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1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rios\Documents\BACKUP OTROS USUARIOS\DOCUMENTOS\BACK UP MAYO 2014\TARIFAS\PLANTILLAS 2017\"/>
    </mc:Choice>
  </mc:AlternateContent>
  <bookViews>
    <workbookView xWindow="9705" yWindow="-135" windowWidth="10245" windowHeight="11445" tabRatio="809" firstSheet="32" activeTab="34"/>
  </bookViews>
  <sheets>
    <sheet name=" SPR BUENAVENTURA" sheetId="49" r:id="rId1"/>
    <sheet name="SPR BARRANQUILLA" sheetId="3" r:id="rId2"/>
    <sheet name="PENSOPORT" sheetId="27" r:id="rId3"/>
    <sheet name="SP TMSYP" sheetId="28" r:id="rId4"/>
    <sheet name="SP PORTMAGDALENA" sheetId="30" r:id="rId5"/>
    <sheet name="PALERMO SP" sheetId="37" r:id="rId6"/>
    <sheet name="OCENSA" sheetId="39" r:id="rId7"/>
    <sheet name="COMPAS BUENAVENTURA" sheetId="40" r:id="rId8"/>
    <sheet name="GRUPO PORT." sheetId="42" r:id="rId9"/>
    <sheet name="DV-IDENTITY-0" sheetId="43" state="veryHidden" r:id="rId10"/>
    <sheet name="ALGRANEL" sheetId="44" r:id="rId11"/>
    <sheet name="COMPAS TOLU" sheetId="46" r:id="rId12"/>
    <sheet name="BUENAVISTA" sheetId="45" r:id="rId13"/>
    <sheet name="SP DEL DIQUE" sheetId="47" r:id="rId14"/>
    <sheet name="RIO GRANDE" sheetId="50" r:id="rId15"/>
    <sheet name="SIDUPORT" sheetId="48" r:id="rId16"/>
    <sheet name="AQUAMAR" sheetId="53" r:id="rId17"/>
    <sheet name="OILTANKING" sheetId="52" r:id="rId18"/>
    <sheet name="SP CENTRAL CART" sheetId="51" r:id="rId19"/>
    <sheet name="OLEOFINAS Y DERIVADOS" sheetId="63" r:id="rId20"/>
    <sheet name=" SPR TUMACO" sheetId="62" r:id="rId21"/>
    <sheet name=" SPR CARTAGENA" sheetId="56" r:id="rId22"/>
    <sheet name=" CONTECAR" sheetId="57" r:id="rId23"/>
    <sheet name="TCBUEN" sheetId="58" r:id="rId24"/>
    <sheet name="BITCO" sheetId="59" r:id="rId25"/>
    <sheet name="COMPAS BQLLA" sheetId="60" r:id="rId26"/>
    <sheet name="MICHELLMAR" sheetId="61" r:id="rId27"/>
    <sheet name="COMPAS CARTAGENA" sheetId="26" r:id="rId28"/>
    <sheet name="SP RIVERPORT" sheetId="64" r:id="rId29"/>
    <sheet name="PUERTO BRISA" sheetId="65" r:id="rId30"/>
    <sheet name="SP SAPS" sheetId="68" r:id="rId31"/>
    <sheet name="PUERTO DE MAMONAL" sheetId="66" r:id="rId32"/>
    <sheet name="PUERTO BAHIA" sheetId="67" r:id="rId33"/>
    <sheet name="PUERTO NUEVO" sheetId="70" r:id="rId34"/>
    <sheet name=" SPR SANTA MARTA" sheetId="69" r:id="rId35"/>
    <sheet name="SPR MAGANGUÉ" sheetId="71" r:id="rId36"/>
    <sheet name="SP DEXTON" sheetId="72" r:id="rId37"/>
    <sheet name="SP AGUADULCE" sheetId="73" r:id="rId38"/>
    <sheet name="VOPAK" sheetId="74" r:id="rId39"/>
    <sheet name="CAYAO" sheetId="75" r:id="rId40"/>
  </sheets>
  <externalReferences>
    <externalReference r:id="rId41"/>
    <externalReference r:id="rId42"/>
  </externalReferences>
  <definedNames>
    <definedName name="_xlnm.Print_Titles" localSheetId="1">'SPR BARRANQUILLA'!$2:$2</definedName>
  </definedNames>
  <calcPr calcId="152511" concurrentCalc="0"/>
</workbook>
</file>

<file path=xl/calcChain.xml><?xml version="1.0" encoding="utf-8"?>
<calcChain xmlns="http://schemas.openxmlformats.org/spreadsheetml/2006/main">
  <c r="B66" i="73" l="1"/>
  <c r="B67" i="73"/>
  <c r="B65" i="73"/>
  <c r="B39" i="73"/>
  <c r="B40" i="73"/>
  <c r="B38" i="73"/>
  <c r="B7" i="72"/>
  <c r="D24" i="70"/>
  <c r="F23" i="70"/>
  <c r="F37" i="70"/>
  <c r="D37" i="70"/>
  <c r="F36" i="70"/>
  <c r="D36" i="70"/>
  <c r="F35" i="70"/>
  <c r="D35" i="70"/>
  <c r="F34" i="70"/>
  <c r="D34" i="70"/>
  <c r="F29" i="70"/>
  <c r="F28" i="70"/>
  <c r="F27" i="70"/>
  <c r="F26" i="70"/>
  <c r="F25" i="70"/>
  <c r="F24" i="70"/>
  <c r="E24" i="70"/>
  <c r="E25" i="70"/>
  <c r="F16" i="70"/>
  <c r="F15" i="70"/>
  <c r="F14" i="70"/>
  <c r="F13" i="70"/>
  <c r="F12" i="70"/>
  <c r="F10" i="70"/>
  <c r="F9" i="70"/>
  <c r="F7" i="70"/>
  <c r="E26" i="70"/>
  <c r="D26" i="70"/>
  <c r="D25" i="70"/>
  <c r="F156" i="68"/>
  <c r="F155" i="68"/>
  <c r="F154" i="68"/>
  <c r="F153" i="68"/>
  <c r="F152" i="68"/>
  <c r="F148" i="68"/>
  <c r="F147" i="68"/>
  <c r="F146" i="68"/>
  <c r="F145" i="68"/>
  <c r="F144" i="68"/>
  <c r="F142" i="68"/>
  <c r="F141" i="68"/>
  <c r="F140" i="68"/>
  <c r="F139" i="68"/>
  <c r="F138" i="68"/>
  <c r="F137" i="68"/>
  <c r="F136" i="68"/>
  <c r="F134" i="68"/>
  <c r="F133" i="68"/>
  <c r="F132" i="68"/>
  <c r="F130" i="68"/>
  <c r="F129" i="68"/>
  <c r="F128" i="68"/>
  <c r="F124" i="68"/>
  <c r="F123" i="68"/>
  <c r="F122" i="68"/>
  <c r="F121" i="68"/>
  <c r="F120" i="68"/>
  <c r="F119" i="68"/>
  <c r="F118" i="68"/>
  <c r="F117" i="68"/>
  <c r="F116" i="68"/>
  <c r="F115" i="68"/>
  <c r="F114" i="68"/>
  <c r="F110" i="68"/>
  <c r="F109" i="68"/>
  <c r="F108" i="68"/>
  <c r="F107" i="68"/>
  <c r="F106" i="68"/>
  <c r="F105" i="68"/>
  <c r="F104" i="68"/>
  <c r="F103" i="68"/>
  <c r="F91" i="68"/>
  <c r="F90" i="68"/>
  <c r="F89" i="68"/>
  <c r="F87" i="68"/>
  <c r="F86" i="68"/>
  <c r="F85" i="68"/>
  <c r="F84" i="68"/>
  <c r="F83" i="68"/>
  <c r="F79" i="68"/>
  <c r="F78" i="68"/>
  <c r="F77" i="68"/>
  <c r="F76" i="68"/>
  <c r="F75" i="68"/>
  <c r="F73" i="68"/>
  <c r="F72" i="68"/>
  <c r="F71" i="68"/>
  <c r="F70" i="68"/>
  <c r="F68" i="68"/>
  <c r="F67" i="68"/>
  <c r="F66" i="68"/>
  <c r="F64" i="68"/>
  <c r="F63" i="68"/>
  <c r="F62" i="68"/>
  <c r="F61" i="68"/>
  <c r="F60" i="68"/>
  <c r="F55" i="68"/>
  <c r="F54" i="68"/>
  <c r="F53" i="68"/>
  <c r="F52" i="68"/>
  <c r="F51" i="68"/>
  <c r="F50" i="68"/>
  <c r="F49" i="68"/>
  <c r="F48" i="68"/>
  <c r="F47" i="68"/>
  <c r="F46" i="68"/>
  <c r="F45" i="68"/>
  <c r="F44" i="68"/>
  <c r="F42" i="68"/>
  <c r="F41" i="68"/>
  <c r="F40" i="68"/>
  <c r="F39" i="68"/>
  <c r="F37" i="68"/>
  <c r="F36" i="68"/>
  <c r="F35" i="68"/>
  <c r="F33" i="68"/>
  <c r="F32" i="68"/>
  <c r="F31" i="68"/>
  <c r="F14" i="68"/>
  <c r="F24" i="68"/>
  <c r="F13" i="68"/>
  <c r="F23" i="68"/>
  <c r="F12" i="68"/>
  <c r="F22" i="68"/>
  <c r="F11" i="68"/>
  <c r="F21" i="68"/>
  <c r="F10" i="68"/>
  <c r="F20" i="68"/>
  <c r="F9" i="68"/>
  <c r="F19" i="68"/>
  <c r="F8" i="68"/>
  <c r="F18" i="68"/>
  <c r="F16" i="68"/>
  <c r="F15" i="68"/>
  <c r="C31" i="64"/>
  <c r="D31" i="64"/>
  <c r="C30" i="64"/>
  <c r="D30" i="64"/>
  <c r="C29" i="64"/>
  <c r="D29" i="64"/>
  <c r="C28" i="64"/>
  <c r="D28" i="64"/>
  <c r="C24" i="64"/>
  <c r="D24" i="64"/>
  <c r="C23" i="64"/>
  <c r="D23" i="64"/>
  <c r="C22" i="64"/>
  <c r="D22" i="64"/>
  <c r="C21" i="64"/>
  <c r="D21" i="64"/>
  <c r="D20" i="64"/>
  <c r="A360" i="43"/>
  <c r="A359" i="43"/>
  <c r="A358" i="43"/>
  <c r="A357" i="43"/>
  <c r="A356" i="43"/>
  <c r="A355" i="43"/>
  <c r="A354" i="43"/>
  <c r="C353" i="43"/>
  <c r="A352" i="43"/>
  <c r="B352" i="43"/>
  <c r="C352" i="43"/>
  <c r="D352" i="43"/>
  <c r="E352" i="43"/>
  <c r="H352" i="43"/>
  <c r="A351" i="43"/>
  <c r="B351" i="43"/>
  <c r="C351" i="43"/>
  <c r="D351" i="43"/>
  <c r="E351" i="43"/>
  <c r="F351" i="43"/>
  <c r="G351" i="43"/>
  <c r="H351" i="43"/>
  <c r="I351" i="43"/>
  <c r="J351" i="43"/>
  <c r="K351" i="43"/>
  <c r="L351" i="43"/>
  <c r="O351" i="43"/>
  <c r="A350" i="43"/>
  <c r="B350" i="43"/>
  <c r="E350" i="43"/>
  <c r="A349" i="43"/>
  <c r="B349" i="43"/>
  <c r="C349" i="43"/>
  <c r="D349" i="43"/>
  <c r="E349" i="43"/>
  <c r="F349" i="43"/>
  <c r="G349" i="43"/>
  <c r="H349" i="43"/>
  <c r="I349" i="43"/>
  <c r="J349" i="43"/>
  <c r="K349" i="43"/>
  <c r="L349" i="43"/>
  <c r="M349" i="43"/>
  <c r="N349" i="43"/>
  <c r="O349" i="43"/>
  <c r="P349" i="43"/>
  <c r="Q349" i="43"/>
  <c r="R349" i="43"/>
  <c r="S349" i="43"/>
  <c r="T349" i="43"/>
  <c r="U349" i="43"/>
  <c r="V349" i="43"/>
  <c r="W349" i="43"/>
  <c r="X349" i="43"/>
  <c r="Y349" i="43"/>
  <c r="Z349" i="43"/>
  <c r="AA349" i="43"/>
  <c r="AB349" i="43"/>
  <c r="AC349" i="43"/>
  <c r="AD349" i="43"/>
  <c r="AE349" i="43"/>
  <c r="AF349" i="43"/>
  <c r="AG349" i="43"/>
  <c r="AH349" i="43"/>
  <c r="AI349" i="43"/>
  <c r="AJ349" i="43"/>
  <c r="AK349" i="43"/>
  <c r="AL349" i="43"/>
  <c r="AM349" i="43"/>
  <c r="AN349" i="43"/>
  <c r="AO349" i="43"/>
  <c r="AP349" i="43"/>
  <c r="AQ349" i="43"/>
  <c r="AR349" i="43"/>
  <c r="AS349" i="43"/>
  <c r="AT349" i="43"/>
  <c r="AU349" i="43"/>
  <c r="AV349" i="43"/>
  <c r="AW349" i="43"/>
  <c r="AX349" i="43"/>
  <c r="AY349" i="43"/>
  <c r="AZ349" i="43"/>
  <c r="BA349" i="43"/>
  <c r="BB349" i="43"/>
  <c r="BC349" i="43"/>
  <c r="BD349" i="43"/>
  <c r="BE349" i="43"/>
  <c r="BF349" i="43"/>
  <c r="BG349" i="43"/>
  <c r="BH349" i="43"/>
  <c r="BI349" i="43"/>
  <c r="BJ349" i="43"/>
  <c r="BK349" i="43"/>
  <c r="BL349" i="43"/>
  <c r="BM349" i="43"/>
  <c r="BN349" i="43"/>
  <c r="BO349" i="43"/>
  <c r="BP349" i="43"/>
  <c r="BQ349" i="43"/>
  <c r="BR349" i="43"/>
  <c r="BS349" i="43"/>
  <c r="BT349" i="43"/>
  <c r="BU349" i="43"/>
  <c r="BV349" i="43"/>
  <c r="BW349" i="43"/>
  <c r="BX349" i="43"/>
  <c r="BY349" i="43"/>
  <c r="BZ349" i="43"/>
  <c r="CA349" i="43"/>
  <c r="CB349" i="43"/>
  <c r="CC349" i="43"/>
  <c r="CD349" i="43"/>
  <c r="CE349" i="43"/>
  <c r="CF349" i="43"/>
  <c r="CG349" i="43"/>
  <c r="CH349" i="43"/>
  <c r="CI349" i="43"/>
  <c r="CJ349" i="43"/>
  <c r="CK349" i="43"/>
  <c r="CL349" i="43"/>
  <c r="CM349" i="43"/>
  <c r="CN349" i="43"/>
  <c r="CO349" i="43"/>
  <c r="CP349" i="43"/>
  <c r="CQ349" i="43"/>
  <c r="CR349" i="43"/>
  <c r="CS349" i="43"/>
  <c r="CT349" i="43"/>
  <c r="CU349" i="43"/>
  <c r="CV349" i="43"/>
  <c r="CW349" i="43"/>
  <c r="CX349" i="43"/>
  <c r="CY349" i="43"/>
  <c r="CZ349" i="43"/>
  <c r="DA349" i="43"/>
  <c r="DB349" i="43"/>
  <c r="DC349" i="43"/>
  <c r="DD349" i="43"/>
  <c r="DE349" i="43"/>
  <c r="DF349" i="43"/>
  <c r="DG349" i="43"/>
  <c r="DH349" i="43"/>
  <c r="DI349" i="43"/>
  <c r="DJ349" i="43"/>
  <c r="DK349" i="43"/>
  <c r="DL349" i="43"/>
  <c r="DM349" i="43"/>
  <c r="DN349" i="43"/>
  <c r="DO349" i="43"/>
  <c r="DP349" i="43"/>
  <c r="DV349" i="43"/>
  <c r="A348" i="43"/>
  <c r="B348" i="43"/>
  <c r="C348" i="43"/>
  <c r="D348" i="43"/>
  <c r="E348" i="43"/>
  <c r="F348" i="43"/>
  <c r="G348" i="43"/>
  <c r="H348" i="43"/>
  <c r="I348" i="43"/>
  <c r="J348" i="43"/>
  <c r="K348" i="43"/>
  <c r="L348" i="43"/>
  <c r="M348" i="43"/>
  <c r="N348" i="43"/>
  <c r="O348" i="43"/>
  <c r="P348" i="43"/>
  <c r="Q348" i="43"/>
  <c r="R348" i="43"/>
  <c r="S348" i="43"/>
  <c r="T348" i="43"/>
  <c r="U348" i="43"/>
  <c r="V348" i="43"/>
  <c r="W348" i="43"/>
  <c r="X348" i="43"/>
  <c r="Y348" i="43"/>
  <c r="Z348" i="43"/>
  <c r="AA348" i="43"/>
  <c r="AB348" i="43"/>
  <c r="AC348" i="43"/>
  <c r="AD348" i="43"/>
  <c r="AE348" i="43"/>
  <c r="AF348" i="43"/>
  <c r="AG348" i="43"/>
  <c r="AH348" i="43"/>
  <c r="AI348" i="43"/>
  <c r="AJ348" i="43"/>
  <c r="AK348" i="43"/>
  <c r="AL348" i="43"/>
  <c r="AM348" i="43"/>
  <c r="AN348" i="43"/>
  <c r="AO348" i="43"/>
  <c r="AP348" i="43"/>
  <c r="AQ348" i="43"/>
  <c r="AR348" i="43"/>
  <c r="AS348" i="43"/>
  <c r="AT348" i="43"/>
  <c r="AU348" i="43"/>
  <c r="AV348" i="43"/>
  <c r="AW348" i="43"/>
  <c r="AX348" i="43"/>
  <c r="AY348" i="43"/>
  <c r="AZ348" i="43"/>
  <c r="BA348" i="43"/>
  <c r="BB348" i="43"/>
  <c r="BC348" i="43"/>
  <c r="BD348" i="43"/>
  <c r="BE348" i="43"/>
  <c r="BF348" i="43"/>
  <c r="BG348" i="43"/>
  <c r="BH348" i="43"/>
  <c r="BI348" i="43"/>
  <c r="BJ348" i="43"/>
  <c r="BK348" i="43"/>
  <c r="BL348" i="43"/>
  <c r="BM348" i="43"/>
  <c r="BN348" i="43"/>
  <c r="BO348" i="43"/>
  <c r="BP348" i="43"/>
  <c r="BQ348" i="43"/>
  <c r="BR348" i="43"/>
  <c r="BS348" i="43"/>
  <c r="BT348" i="43"/>
  <c r="BU348" i="43"/>
  <c r="BV348" i="43"/>
  <c r="BW348" i="43"/>
  <c r="BX348" i="43"/>
  <c r="BY348" i="43"/>
  <c r="BZ348" i="43"/>
  <c r="CA348" i="43"/>
  <c r="CB348" i="43"/>
  <c r="CC348" i="43"/>
  <c r="CD348" i="43"/>
  <c r="CE348" i="43"/>
  <c r="CF348" i="43"/>
  <c r="CG348" i="43"/>
  <c r="CH348" i="43"/>
  <c r="CI348" i="43"/>
  <c r="CJ348" i="43"/>
  <c r="CK348" i="43"/>
  <c r="CL348" i="43"/>
  <c r="CM348" i="43"/>
  <c r="CN348" i="43"/>
  <c r="CO348" i="43"/>
  <c r="CP348" i="43"/>
  <c r="CQ348" i="43"/>
  <c r="CR348" i="43"/>
  <c r="CS348" i="43"/>
  <c r="CT348" i="43"/>
  <c r="CU348" i="43"/>
  <c r="CV348" i="43"/>
  <c r="CW348" i="43"/>
  <c r="CX348" i="43"/>
  <c r="CY348" i="43"/>
  <c r="CZ348" i="43"/>
  <c r="DA348" i="43"/>
  <c r="DB348" i="43"/>
  <c r="DC348" i="43"/>
  <c r="DD348" i="43"/>
  <c r="DE348" i="43"/>
  <c r="DF348" i="43"/>
  <c r="DG348" i="43"/>
  <c r="DH348" i="43"/>
  <c r="DI348" i="43"/>
  <c r="DJ348" i="43"/>
  <c r="DK348" i="43"/>
  <c r="DL348" i="43"/>
  <c r="DM348" i="43"/>
  <c r="DN348" i="43"/>
  <c r="DO348" i="43"/>
  <c r="DP348" i="43"/>
  <c r="DQ348" i="43"/>
  <c r="DR348" i="43"/>
  <c r="DS348" i="43"/>
  <c r="DT348" i="43"/>
  <c r="DU348" i="43"/>
  <c r="DV348" i="43"/>
  <c r="DW348" i="43"/>
  <c r="DX348" i="43"/>
  <c r="DY348" i="43"/>
  <c r="DZ348" i="43"/>
  <c r="EA348" i="43"/>
  <c r="EB348" i="43"/>
  <c r="EC348" i="43"/>
  <c r="ED348" i="43"/>
  <c r="EE348" i="43"/>
  <c r="EF348" i="43"/>
  <c r="EG348" i="43"/>
  <c r="EH348" i="43"/>
  <c r="EI348" i="43"/>
  <c r="EJ348" i="43"/>
  <c r="EK348" i="43"/>
  <c r="EL348" i="43"/>
  <c r="EM348" i="43"/>
  <c r="EN348" i="43"/>
  <c r="EO348" i="43"/>
  <c r="EP348" i="43"/>
  <c r="EQ348" i="43"/>
  <c r="ER348" i="43"/>
  <c r="ES348" i="43"/>
  <c r="ET348" i="43"/>
  <c r="EU348" i="43"/>
  <c r="EV348" i="43"/>
  <c r="EW348" i="43"/>
  <c r="EX348" i="43"/>
  <c r="EY348" i="43"/>
  <c r="EZ348" i="43"/>
  <c r="FA348" i="43"/>
  <c r="FB348" i="43"/>
  <c r="FC348" i="43"/>
  <c r="FD348" i="43"/>
  <c r="FE348" i="43"/>
  <c r="FF348" i="43"/>
  <c r="FG348" i="43"/>
  <c r="FH348" i="43"/>
  <c r="FI348" i="43"/>
  <c r="FJ348" i="43"/>
  <c r="FK348" i="43"/>
  <c r="FL348" i="43"/>
  <c r="FM348" i="43"/>
  <c r="FN348" i="43"/>
  <c r="FO348" i="43"/>
  <c r="FP348" i="43"/>
  <c r="FQ348" i="43"/>
  <c r="FR348" i="43"/>
  <c r="FS348" i="43"/>
  <c r="FT348" i="43"/>
  <c r="FU348" i="43"/>
  <c r="FV348" i="43"/>
  <c r="FW348" i="43"/>
  <c r="FX348" i="43"/>
  <c r="FY348" i="43"/>
  <c r="FZ348" i="43"/>
  <c r="GA348" i="43"/>
  <c r="GB348" i="43"/>
  <c r="GC348" i="43"/>
  <c r="GD348" i="43"/>
  <c r="GE348" i="43"/>
  <c r="GF348" i="43"/>
  <c r="GG348" i="43"/>
  <c r="GH348" i="43"/>
  <c r="GI348" i="43"/>
  <c r="GJ348" i="43"/>
  <c r="GK348" i="43"/>
  <c r="GL348" i="43"/>
  <c r="GM348" i="43"/>
  <c r="GN348" i="43"/>
  <c r="GO348" i="43"/>
  <c r="GP348" i="43"/>
  <c r="GQ348" i="43"/>
  <c r="GR348" i="43"/>
  <c r="GS348" i="43"/>
  <c r="GT348" i="43"/>
  <c r="GU348" i="43"/>
  <c r="GV348" i="43"/>
  <c r="GW348" i="43"/>
  <c r="GX348" i="43"/>
  <c r="GY348" i="43"/>
  <c r="GZ348" i="43"/>
  <c r="HA348" i="43"/>
  <c r="HB348" i="43"/>
  <c r="HC348" i="43"/>
  <c r="HD348" i="43"/>
  <c r="HE348" i="43"/>
  <c r="HF348" i="43"/>
  <c r="HG348" i="43"/>
  <c r="HH348" i="43"/>
  <c r="HI348" i="43"/>
  <c r="HJ348" i="43"/>
  <c r="HK348" i="43"/>
  <c r="HL348" i="43"/>
  <c r="HM348" i="43"/>
  <c r="HN348" i="43"/>
  <c r="HO348" i="43"/>
  <c r="HP348" i="43"/>
  <c r="HQ348" i="43"/>
  <c r="HR348" i="43"/>
  <c r="HS348" i="43"/>
  <c r="HT348" i="43"/>
  <c r="HU348" i="43"/>
  <c r="HV348" i="43"/>
  <c r="HW348" i="43"/>
  <c r="HX348" i="43"/>
  <c r="HY348" i="43"/>
  <c r="HZ348" i="43"/>
  <c r="IA348" i="43"/>
  <c r="IB348" i="43"/>
  <c r="IC348" i="43"/>
  <c r="ID348" i="43"/>
  <c r="IE348" i="43"/>
  <c r="IF348" i="43"/>
  <c r="IG348" i="43"/>
  <c r="IH348" i="43"/>
  <c r="II348" i="43"/>
  <c r="IJ348" i="43"/>
  <c r="IK348" i="43"/>
  <c r="IL348" i="43"/>
  <c r="IM348" i="43"/>
  <c r="IN348" i="43"/>
  <c r="IO348" i="43"/>
  <c r="IP348" i="43"/>
  <c r="IQ348" i="43"/>
  <c r="IR348" i="43"/>
  <c r="IS348" i="43"/>
  <c r="IT348" i="43"/>
  <c r="IU348" i="43"/>
  <c r="IV348" i="43"/>
  <c r="A347" i="43"/>
  <c r="B347" i="43"/>
  <c r="C347" i="43"/>
  <c r="D347" i="43"/>
  <c r="E347" i="43"/>
  <c r="F347" i="43"/>
  <c r="G347" i="43"/>
  <c r="H347" i="43"/>
  <c r="I347" i="43"/>
  <c r="J347" i="43"/>
  <c r="K347" i="43"/>
  <c r="L347" i="43"/>
  <c r="M347" i="43"/>
  <c r="N347" i="43"/>
  <c r="O347" i="43"/>
  <c r="P347" i="43"/>
  <c r="Q347" i="43"/>
  <c r="R347" i="43"/>
  <c r="S347" i="43"/>
  <c r="T347" i="43"/>
  <c r="U347" i="43"/>
  <c r="V347" i="43"/>
  <c r="W347" i="43"/>
  <c r="X347" i="43"/>
  <c r="Y347" i="43"/>
  <c r="Z347" i="43"/>
  <c r="AA347" i="43"/>
  <c r="AB347" i="43"/>
  <c r="AC347" i="43"/>
  <c r="AD347" i="43"/>
  <c r="AE347" i="43"/>
  <c r="AF347" i="43"/>
  <c r="AG347" i="43"/>
  <c r="AH347" i="43"/>
  <c r="AI347" i="43"/>
  <c r="AJ347" i="43"/>
  <c r="AK347" i="43"/>
  <c r="AL347" i="43"/>
  <c r="AM347" i="43"/>
  <c r="AN347" i="43"/>
  <c r="AO347" i="43"/>
  <c r="AP347" i="43"/>
  <c r="AQ347" i="43"/>
  <c r="AR347" i="43"/>
  <c r="AS347" i="43"/>
  <c r="AT347" i="43"/>
  <c r="AU347" i="43"/>
  <c r="AV347" i="43"/>
  <c r="AW347" i="43"/>
  <c r="AX347" i="43"/>
  <c r="AY347" i="43"/>
  <c r="AZ347" i="43"/>
  <c r="BA347" i="43"/>
  <c r="BB347" i="43"/>
  <c r="BC347" i="43"/>
  <c r="BD347" i="43"/>
  <c r="BE347" i="43"/>
  <c r="BF347" i="43"/>
  <c r="BG347" i="43"/>
  <c r="BH347" i="43"/>
  <c r="BI347" i="43"/>
  <c r="BJ347" i="43"/>
  <c r="BK347" i="43"/>
  <c r="BL347" i="43"/>
  <c r="BM347" i="43"/>
  <c r="BN347" i="43"/>
  <c r="BO347" i="43"/>
  <c r="BP347" i="43"/>
  <c r="BQ347" i="43"/>
  <c r="BR347" i="43"/>
  <c r="BS347" i="43"/>
  <c r="BT347" i="43"/>
  <c r="BU347" i="43"/>
  <c r="BV347" i="43"/>
  <c r="BW347" i="43"/>
  <c r="BX347" i="43"/>
  <c r="BY347" i="43"/>
  <c r="BZ347" i="43"/>
  <c r="CA347" i="43"/>
  <c r="CB347" i="43"/>
  <c r="CC347" i="43"/>
  <c r="CD347" i="43"/>
  <c r="CE347" i="43"/>
  <c r="CF347" i="43"/>
  <c r="CG347" i="43"/>
  <c r="CH347" i="43"/>
  <c r="CI347" i="43"/>
  <c r="CJ347" i="43"/>
  <c r="CK347" i="43"/>
  <c r="CL347" i="43"/>
  <c r="CM347" i="43"/>
  <c r="CN347" i="43"/>
  <c r="CO347" i="43"/>
  <c r="CP347" i="43"/>
  <c r="CQ347" i="43"/>
  <c r="CR347" i="43"/>
  <c r="CS347" i="43"/>
  <c r="CT347" i="43"/>
  <c r="CU347" i="43"/>
  <c r="CV347" i="43"/>
  <c r="CW347" i="43"/>
  <c r="CX347" i="43"/>
  <c r="CY347" i="43"/>
  <c r="CZ347" i="43"/>
  <c r="DA347" i="43"/>
  <c r="DB347" i="43"/>
  <c r="DC347" i="43"/>
  <c r="DD347" i="43"/>
  <c r="DE347" i="43"/>
  <c r="DF347" i="43"/>
  <c r="DG347" i="43"/>
  <c r="DH347" i="43"/>
  <c r="DI347" i="43"/>
  <c r="DJ347" i="43"/>
  <c r="DK347" i="43"/>
  <c r="DL347" i="43"/>
  <c r="DM347" i="43"/>
  <c r="DN347" i="43"/>
  <c r="DO347" i="43"/>
  <c r="DP347" i="43"/>
  <c r="DQ347" i="43"/>
  <c r="DR347" i="43"/>
  <c r="DS347" i="43"/>
  <c r="DT347" i="43"/>
  <c r="DU347" i="43"/>
  <c r="DV347" i="43"/>
  <c r="DW347" i="43"/>
  <c r="DX347" i="43"/>
  <c r="DY347" i="43"/>
  <c r="DZ347" i="43"/>
  <c r="EA347" i="43"/>
  <c r="EB347" i="43"/>
  <c r="EC347" i="43"/>
  <c r="ED347" i="43"/>
  <c r="EE347" i="43"/>
  <c r="EF347" i="43"/>
  <c r="EG347" i="43"/>
  <c r="EH347" i="43"/>
  <c r="EI347" i="43"/>
  <c r="EJ347" i="43"/>
  <c r="EK347" i="43"/>
  <c r="EL347" i="43"/>
  <c r="EM347" i="43"/>
  <c r="EN347" i="43"/>
  <c r="EO347" i="43"/>
  <c r="EP347" i="43"/>
  <c r="EQ347" i="43"/>
  <c r="ER347" i="43"/>
  <c r="ES347" i="43"/>
  <c r="ET347" i="43"/>
  <c r="EU347" i="43"/>
  <c r="EV347" i="43"/>
  <c r="EW347" i="43"/>
  <c r="EX347" i="43"/>
  <c r="EY347" i="43"/>
  <c r="EZ347" i="43"/>
  <c r="FA347" i="43"/>
  <c r="FB347" i="43"/>
  <c r="FC347" i="43"/>
  <c r="FD347" i="43"/>
  <c r="FE347" i="43"/>
  <c r="FF347" i="43"/>
  <c r="FG347" i="43"/>
  <c r="FH347" i="43"/>
  <c r="FI347" i="43"/>
  <c r="FJ347" i="43"/>
  <c r="FK347" i="43"/>
  <c r="FL347" i="43"/>
  <c r="FM347" i="43"/>
  <c r="FN347" i="43"/>
  <c r="FO347" i="43"/>
  <c r="FP347" i="43"/>
  <c r="FQ347" i="43"/>
  <c r="FR347" i="43"/>
  <c r="FS347" i="43"/>
  <c r="FT347" i="43"/>
  <c r="FU347" i="43"/>
  <c r="FV347" i="43"/>
  <c r="FW347" i="43"/>
  <c r="FX347" i="43"/>
  <c r="FY347" i="43"/>
  <c r="FZ347" i="43"/>
  <c r="GA347" i="43"/>
  <c r="GB347" i="43"/>
  <c r="GC347" i="43"/>
  <c r="GD347" i="43"/>
  <c r="GE347" i="43"/>
  <c r="GF347" i="43"/>
  <c r="GG347" i="43"/>
  <c r="GH347" i="43"/>
  <c r="GI347" i="43"/>
  <c r="GJ347" i="43"/>
  <c r="GK347" i="43"/>
  <c r="GL347" i="43"/>
  <c r="GM347" i="43"/>
  <c r="GN347" i="43"/>
  <c r="GO347" i="43"/>
  <c r="GP347" i="43"/>
  <c r="GQ347" i="43"/>
  <c r="GR347" i="43"/>
  <c r="GS347" i="43"/>
  <c r="GT347" i="43"/>
  <c r="GU347" i="43"/>
  <c r="GV347" i="43"/>
  <c r="GW347" i="43"/>
  <c r="GX347" i="43"/>
  <c r="GY347" i="43"/>
  <c r="GZ347" i="43"/>
  <c r="HA347" i="43"/>
  <c r="HB347" i="43"/>
  <c r="HC347" i="43"/>
  <c r="HD347" i="43"/>
  <c r="HE347" i="43"/>
  <c r="HF347" i="43"/>
  <c r="HG347" i="43"/>
  <c r="HH347" i="43"/>
  <c r="HI347" i="43"/>
  <c r="HJ347" i="43"/>
  <c r="HK347" i="43"/>
  <c r="HL347" i="43"/>
  <c r="HM347" i="43"/>
  <c r="HN347" i="43"/>
  <c r="HO347" i="43"/>
  <c r="HP347" i="43"/>
  <c r="HQ347" i="43"/>
  <c r="HR347" i="43"/>
  <c r="HS347" i="43"/>
  <c r="HT347" i="43"/>
  <c r="HU347" i="43"/>
  <c r="HV347" i="43"/>
  <c r="HW347" i="43"/>
  <c r="HX347" i="43"/>
  <c r="HY347" i="43"/>
  <c r="HZ347" i="43"/>
  <c r="IA347" i="43"/>
  <c r="IB347" i="43"/>
  <c r="IC347" i="43"/>
  <c r="ID347" i="43"/>
  <c r="IE347" i="43"/>
  <c r="IF347" i="43"/>
  <c r="IG347" i="43"/>
  <c r="IH347" i="43"/>
  <c r="II347" i="43"/>
  <c r="IJ347" i="43"/>
  <c r="IK347" i="43"/>
  <c r="IL347" i="43"/>
  <c r="IM347" i="43"/>
  <c r="IN347" i="43"/>
  <c r="IO347" i="43"/>
  <c r="IP347" i="43"/>
  <c r="IQ347" i="43"/>
  <c r="IR347" i="43"/>
  <c r="IS347" i="43"/>
  <c r="IT347" i="43"/>
  <c r="IU347" i="43"/>
  <c r="IV347" i="43"/>
  <c r="A346" i="43"/>
  <c r="B346" i="43"/>
  <c r="C346" i="43"/>
  <c r="D346" i="43"/>
  <c r="E346" i="43"/>
  <c r="F346" i="43"/>
  <c r="G346" i="43"/>
  <c r="H346" i="43"/>
  <c r="I346" i="43"/>
  <c r="J346" i="43"/>
  <c r="K346" i="43"/>
  <c r="L346" i="43"/>
  <c r="M346" i="43"/>
  <c r="N346" i="43"/>
  <c r="O346" i="43"/>
  <c r="P346" i="43"/>
  <c r="Q346" i="43"/>
  <c r="R346" i="43"/>
  <c r="S346" i="43"/>
  <c r="T346" i="43"/>
  <c r="U346" i="43"/>
  <c r="V346" i="43"/>
  <c r="W346" i="43"/>
  <c r="X346" i="43"/>
  <c r="Y346" i="43"/>
  <c r="Z346" i="43"/>
  <c r="AA346" i="43"/>
  <c r="AB346" i="43"/>
  <c r="AC346" i="43"/>
  <c r="AD346" i="43"/>
  <c r="AE346" i="43"/>
  <c r="AF346" i="43"/>
  <c r="AG346" i="43"/>
  <c r="AH346" i="43"/>
  <c r="AI346" i="43"/>
  <c r="AJ346" i="43"/>
  <c r="AK346" i="43"/>
  <c r="AL346" i="43"/>
  <c r="AM346" i="43"/>
  <c r="AN346" i="43"/>
  <c r="AO346" i="43"/>
  <c r="AP346" i="43"/>
  <c r="AQ346" i="43"/>
  <c r="AR346" i="43"/>
  <c r="AS346" i="43"/>
  <c r="AT346" i="43"/>
  <c r="AU346" i="43"/>
  <c r="AV346" i="43"/>
  <c r="AW346" i="43"/>
  <c r="AX346" i="43"/>
  <c r="AY346" i="43"/>
  <c r="AZ346" i="43"/>
  <c r="BA346" i="43"/>
  <c r="BB346" i="43"/>
  <c r="BC346" i="43"/>
  <c r="BD346" i="43"/>
  <c r="BE346" i="43"/>
  <c r="BF346" i="43"/>
  <c r="BG346" i="43"/>
  <c r="BH346" i="43"/>
  <c r="BI346" i="43"/>
  <c r="BJ346" i="43"/>
  <c r="BK346" i="43"/>
  <c r="BL346" i="43"/>
  <c r="BM346" i="43"/>
  <c r="BN346" i="43"/>
  <c r="BO346" i="43"/>
  <c r="BP346" i="43"/>
  <c r="BQ346" i="43"/>
  <c r="BR346" i="43"/>
  <c r="BS346" i="43"/>
  <c r="BT346" i="43"/>
  <c r="BU346" i="43"/>
  <c r="BV346" i="43"/>
  <c r="BW346" i="43"/>
  <c r="BX346" i="43"/>
  <c r="BY346" i="43"/>
  <c r="BZ346" i="43"/>
  <c r="CA346" i="43"/>
  <c r="CB346" i="43"/>
  <c r="CC346" i="43"/>
  <c r="CD346" i="43"/>
  <c r="CE346" i="43"/>
  <c r="CF346" i="43"/>
  <c r="CG346" i="43"/>
  <c r="CH346" i="43"/>
  <c r="CI346" i="43"/>
  <c r="CJ346" i="43"/>
  <c r="CK346" i="43"/>
  <c r="CL346" i="43"/>
  <c r="CM346" i="43"/>
  <c r="CN346" i="43"/>
  <c r="CO346" i="43"/>
  <c r="CP346" i="43"/>
  <c r="CQ346" i="43"/>
  <c r="CR346" i="43"/>
  <c r="CS346" i="43"/>
  <c r="CT346" i="43"/>
  <c r="CU346" i="43"/>
  <c r="CV346" i="43"/>
  <c r="CW346" i="43"/>
  <c r="CX346" i="43"/>
  <c r="CY346" i="43"/>
  <c r="CZ346" i="43"/>
  <c r="DA346" i="43"/>
  <c r="DB346" i="43"/>
  <c r="DC346" i="43"/>
  <c r="DD346" i="43"/>
  <c r="DE346" i="43"/>
  <c r="DF346" i="43"/>
  <c r="DG346" i="43"/>
  <c r="DH346" i="43"/>
  <c r="DI346" i="43"/>
  <c r="DJ346" i="43"/>
  <c r="DK346" i="43"/>
  <c r="DL346" i="43"/>
  <c r="DM346" i="43"/>
  <c r="DN346" i="43"/>
  <c r="DO346" i="43"/>
  <c r="DP346" i="43"/>
  <c r="DQ346" i="43"/>
  <c r="DR346" i="43"/>
  <c r="DS346" i="43"/>
  <c r="DT346" i="43"/>
  <c r="DU346" i="43"/>
  <c r="DV346" i="43"/>
  <c r="DW346" i="43"/>
  <c r="DX346" i="43"/>
  <c r="DY346" i="43"/>
  <c r="DZ346" i="43"/>
  <c r="EA346" i="43"/>
  <c r="EB346" i="43"/>
  <c r="EC346" i="43"/>
  <c r="ED346" i="43"/>
  <c r="EE346" i="43"/>
  <c r="EF346" i="43"/>
  <c r="EG346" i="43"/>
  <c r="EH346" i="43"/>
  <c r="EI346" i="43"/>
  <c r="EJ346" i="43"/>
  <c r="EK346" i="43"/>
  <c r="EL346" i="43"/>
  <c r="EM346" i="43"/>
  <c r="EN346" i="43"/>
  <c r="EO346" i="43"/>
  <c r="EP346" i="43"/>
  <c r="EQ346" i="43"/>
  <c r="ER346" i="43"/>
  <c r="ES346" i="43"/>
  <c r="ET346" i="43"/>
  <c r="EU346" i="43"/>
  <c r="EV346" i="43"/>
  <c r="EW346" i="43"/>
  <c r="EX346" i="43"/>
  <c r="EY346" i="43"/>
  <c r="EZ346" i="43"/>
  <c r="FA346" i="43"/>
  <c r="FB346" i="43"/>
  <c r="FC346" i="43"/>
  <c r="FD346" i="43"/>
  <c r="FE346" i="43"/>
  <c r="FF346" i="43"/>
  <c r="FG346" i="43"/>
  <c r="FH346" i="43"/>
  <c r="FI346" i="43"/>
  <c r="FJ346" i="43"/>
  <c r="FK346" i="43"/>
  <c r="FL346" i="43"/>
  <c r="FM346" i="43"/>
  <c r="FN346" i="43"/>
  <c r="FO346" i="43"/>
  <c r="FP346" i="43"/>
  <c r="FQ346" i="43"/>
  <c r="FR346" i="43"/>
  <c r="FS346" i="43"/>
  <c r="FT346" i="43"/>
  <c r="FU346" i="43"/>
  <c r="FV346" i="43"/>
  <c r="FW346" i="43"/>
  <c r="FX346" i="43"/>
  <c r="FY346" i="43"/>
  <c r="FZ346" i="43"/>
  <c r="GA346" i="43"/>
  <c r="GB346" i="43"/>
  <c r="GC346" i="43"/>
  <c r="GD346" i="43"/>
  <c r="GE346" i="43"/>
  <c r="GF346" i="43"/>
  <c r="GG346" i="43"/>
  <c r="GH346" i="43"/>
  <c r="GI346" i="43"/>
  <c r="GJ346" i="43"/>
  <c r="GK346" i="43"/>
  <c r="GL346" i="43"/>
  <c r="GM346" i="43"/>
  <c r="GN346" i="43"/>
  <c r="GO346" i="43"/>
  <c r="GP346" i="43"/>
  <c r="GQ346" i="43"/>
  <c r="GR346" i="43"/>
  <c r="GS346" i="43"/>
  <c r="GT346" i="43"/>
  <c r="GU346" i="43"/>
  <c r="GV346" i="43"/>
  <c r="GW346" i="43"/>
  <c r="GX346" i="43"/>
  <c r="GY346" i="43"/>
  <c r="GZ346" i="43"/>
  <c r="HA346" i="43"/>
  <c r="HB346" i="43"/>
  <c r="HC346" i="43"/>
  <c r="HD346" i="43"/>
  <c r="HE346" i="43"/>
  <c r="HF346" i="43"/>
  <c r="HG346" i="43"/>
  <c r="HH346" i="43"/>
  <c r="HI346" i="43"/>
  <c r="HJ346" i="43"/>
  <c r="HK346" i="43"/>
  <c r="HL346" i="43"/>
  <c r="HM346" i="43"/>
  <c r="HN346" i="43"/>
  <c r="HO346" i="43"/>
  <c r="HP346" i="43"/>
  <c r="HQ346" i="43"/>
  <c r="HR346" i="43"/>
  <c r="HS346" i="43"/>
  <c r="HT346" i="43"/>
  <c r="HU346" i="43"/>
  <c r="HV346" i="43"/>
  <c r="HW346" i="43"/>
  <c r="HX346" i="43"/>
  <c r="HY346" i="43"/>
  <c r="HZ346" i="43"/>
  <c r="IA346" i="43"/>
  <c r="IB346" i="43"/>
  <c r="IC346" i="43"/>
  <c r="ID346" i="43"/>
  <c r="IE346" i="43"/>
  <c r="IF346" i="43"/>
  <c r="IG346" i="43"/>
  <c r="IH346" i="43"/>
  <c r="II346" i="43"/>
  <c r="IJ346" i="43"/>
  <c r="IK346" i="43"/>
  <c r="IL346" i="43"/>
  <c r="IM346" i="43"/>
  <c r="IN346" i="43"/>
  <c r="IO346" i="43"/>
  <c r="IP346" i="43"/>
  <c r="IQ346" i="43"/>
  <c r="IR346" i="43"/>
  <c r="IS346" i="43"/>
  <c r="IT346" i="43"/>
  <c r="IU346" i="43"/>
  <c r="IV346" i="43"/>
  <c r="A345" i="43"/>
  <c r="B345" i="43"/>
  <c r="C345" i="43"/>
  <c r="D345" i="43"/>
  <c r="E345" i="43"/>
  <c r="F345" i="43"/>
  <c r="G345" i="43"/>
  <c r="H345" i="43"/>
  <c r="I345" i="43"/>
  <c r="J345" i="43"/>
  <c r="K345" i="43"/>
  <c r="L345" i="43"/>
  <c r="M345" i="43"/>
  <c r="N345" i="43"/>
  <c r="O345" i="43"/>
  <c r="P345" i="43"/>
  <c r="Q345" i="43"/>
  <c r="R345" i="43"/>
  <c r="S345" i="43"/>
  <c r="T345" i="43"/>
  <c r="U345" i="43"/>
  <c r="V345" i="43"/>
  <c r="W345" i="43"/>
  <c r="X345" i="43"/>
  <c r="Y345" i="43"/>
  <c r="Z345" i="43"/>
  <c r="AA345" i="43"/>
  <c r="AB345" i="43"/>
  <c r="AC345" i="43"/>
  <c r="AD345" i="43"/>
  <c r="AE345" i="43"/>
  <c r="AF345" i="43"/>
  <c r="AG345" i="43"/>
  <c r="AH345" i="43"/>
  <c r="AI345" i="43"/>
  <c r="AJ345" i="43"/>
  <c r="AK345" i="43"/>
  <c r="AL345" i="43"/>
  <c r="AM345" i="43"/>
  <c r="AN345" i="43"/>
  <c r="AO345" i="43"/>
  <c r="AP345" i="43"/>
  <c r="AQ345" i="43"/>
  <c r="AR345" i="43"/>
  <c r="AS345" i="43"/>
  <c r="AT345" i="43"/>
  <c r="AU345" i="43"/>
  <c r="AV345" i="43"/>
  <c r="AW345" i="43"/>
  <c r="AX345" i="43"/>
  <c r="AY345" i="43"/>
  <c r="AZ345" i="43"/>
  <c r="BA345" i="43"/>
  <c r="BB345" i="43"/>
  <c r="BC345" i="43"/>
  <c r="BD345" i="43"/>
  <c r="BE345" i="43"/>
  <c r="BF345" i="43"/>
  <c r="BG345" i="43"/>
  <c r="BH345" i="43"/>
  <c r="BI345" i="43"/>
  <c r="BJ345" i="43"/>
  <c r="BK345" i="43"/>
  <c r="BL345" i="43"/>
  <c r="BM345" i="43"/>
  <c r="BN345" i="43"/>
  <c r="BO345" i="43"/>
  <c r="BP345" i="43"/>
  <c r="BQ345" i="43"/>
  <c r="BR345" i="43"/>
  <c r="BS345" i="43"/>
  <c r="BT345" i="43"/>
  <c r="BU345" i="43"/>
  <c r="BV345" i="43"/>
  <c r="BW345" i="43"/>
  <c r="BX345" i="43"/>
  <c r="BY345" i="43"/>
  <c r="BZ345" i="43"/>
  <c r="CA345" i="43"/>
  <c r="CB345" i="43"/>
  <c r="CC345" i="43"/>
  <c r="CD345" i="43"/>
  <c r="CE345" i="43"/>
  <c r="CF345" i="43"/>
  <c r="CG345" i="43"/>
  <c r="CH345" i="43"/>
  <c r="CI345" i="43"/>
  <c r="CJ345" i="43"/>
  <c r="CK345" i="43"/>
  <c r="CL345" i="43"/>
  <c r="CM345" i="43"/>
  <c r="CN345" i="43"/>
  <c r="CO345" i="43"/>
  <c r="CP345" i="43"/>
  <c r="CQ345" i="43"/>
  <c r="CR345" i="43"/>
  <c r="CS345" i="43"/>
  <c r="CT345" i="43"/>
  <c r="CU345" i="43"/>
  <c r="CV345" i="43"/>
  <c r="CW345" i="43"/>
  <c r="CX345" i="43"/>
  <c r="CY345" i="43"/>
  <c r="CZ345" i="43"/>
  <c r="DA345" i="43"/>
  <c r="DB345" i="43"/>
  <c r="DC345" i="43"/>
  <c r="DD345" i="43"/>
  <c r="DE345" i="43"/>
  <c r="DF345" i="43"/>
  <c r="DG345" i="43"/>
  <c r="DH345" i="43"/>
  <c r="DI345" i="43"/>
  <c r="DJ345" i="43"/>
  <c r="DK345" i="43"/>
  <c r="DL345" i="43"/>
  <c r="DM345" i="43"/>
  <c r="DN345" i="43"/>
  <c r="DO345" i="43"/>
  <c r="DP345" i="43"/>
  <c r="DQ345" i="43"/>
  <c r="DR345" i="43"/>
  <c r="DS345" i="43"/>
  <c r="DT345" i="43"/>
  <c r="DU345" i="43"/>
  <c r="DV345" i="43"/>
  <c r="DW345" i="43"/>
  <c r="DX345" i="43"/>
  <c r="DY345" i="43"/>
  <c r="DZ345" i="43"/>
  <c r="EA345" i="43"/>
  <c r="EB345" i="43"/>
  <c r="EC345" i="43"/>
  <c r="ED345" i="43"/>
  <c r="EE345" i="43"/>
  <c r="EF345" i="43"/>
  <c r="EG345" i="43"/>
  <c r="EH345" i="43"/>
  <c r="EI345" i="43"/>
  <c r="EJ345" i="43"/>
  <c r="EK345" i="43"/>
  <c r="EL345" i="43"/>
  <c r="EM345" i="43"/>
  <c r="EN345" i="43"/>
  <c r="EO345" i="43"/>
  <c r="EP345" i="43"/>
  <c r="EQ345" i="43"/>
  <c r="ER345" i="43"/>
  <c r="ES345" i="43"/>
  <c r="ET345" i="43"/>
  <c r="EU345" i="43"/>
  <c r="EV345" i="43"/>
  <c r="EW345" i="43"/>
  <c r="EX345" i="43"/>
  <c r="EY345" i="43"/>
  <c r="EZ345" i="43"/>
  <c r="FA345" i="43"/>
  <c r="FB345" i="43"/>
  <c r="FC345" i="43"/>
  <c r="FD345" i="43"/>
  <c r="FE345" i="43"/>
  <c r="FF345" i="43"/>
  <c r="FG345" i="43"/>
  <c r="FH345" i="43"/>
  <c r="FI345" i="43"/>
  <c r="FJ345" i="43"/>
  <c r="FK345" i="43"/>
  <c r="FL345" i="43"/>
  <c r="FM345" i="43"/>
  <c r="FN345" i="43"/>
  <c r="FO345" i="43"/>
  <c r="FP345" i="43"/>
  <c r="FQ345" i="43"/>
  <c r="FR345" i="43"/>
  <c r="FS345" i="43"/>
  <c r="FT345" i="43"/>
  <c r="FU345" i="43"/>
  <c r="FV345" i="43"/>
  <c r="FW345" i="43"/>
  <c r="FX345" i="43"/>
  <c r="FY345" i="43"/>
  <c r="FZ345" i="43"/>
  <c r="GA345" i="43"/>
  <c r="GB345" i="43"/>
  <c r="GC345" i="43"/>
  <c r="GD345" i="43"/>
  <c r="GE345" i="43"/>
  <c r="GF345" i="43"/>
  <c r="GG345" i="43"/>
  <c r="GH345" i="43"/>
  <c r="GI345" i="43"/>
  <c r="GJ345" i="43"/>
  <c r="GK345" i="43"/>
  <c r="GL345" i="43"/>
  <c r="GM345" i="43"/>
  <c r="GN345" i="43"/>
  <c r="GO345" i="43"/>
  <c r="GP345" i="43"/>
  <c r="GQ345" i="43"/>
  <c r="GR345" i="43"/>
  <c r="GS345" i="43"/>
  <c r="GT345" i="43"/>
  <c r="GU345" i="43"/>
  <c r="GV345" i="43"/>
  <c r="GW345" i="43"/>
  <c r="GX345" i="43"/>
  <c r="GY345" i="43"/>
  <c r="GZ345" i="43"/>
  <c r="HA345" i="43"/>
  <c r="HB345" i="43"/>
  <c r="HC345" i="43"/>
  <c r="HD345" i="43"/>
  <c r="HE345" i="43"/>
  <c r="HF345" i="43"/>
  <c r="HG345" i="43"/>
  <c r="HH345" i="43"/>
  <c r="HI345" i="43"/>
  <c r="HJ345" i="43"/>
  <c r="HK345" i="43"/>
  <c r="HL345" i="43"/>
  <c r="HM345" i="43"/>
  <c r="HN345" i="43"/>
  <c r="HO345" i="43"/>
  <c r="HP345" i="43"/>
  <c r="HQ345" i="43"/>
  <c r="HR345" i="43"/>
  <c r="HS345" i="43"/>
  <c r="HT345" i="43"/>
  <c r="HU345" i="43"/>
  <c r="HV345" i="43"/>
  <c r="HW345" i="43"/>
  <c r="HX345" i="43"/>
  <c r="HY345" i="43"/>
  <c r="HZ345" i="43"/>
  <c r="IA345" i="43"/>
  <c r="IB345" i="43"/>
  <c r="IC345" i="43"/>
  <c r="ID345" i="43"/>
  <c r="IE345" i="43"/>
  <c r="IF345" i="43"/>
  <c r="IG345" i="43"/>
  <c r="IH345" i="43"/>
  <c r="II345" i="43"/>
  <c r="IJ345" i="43"/>
  <c r="IK345" i="43"/>
  <c r="IL345" i="43"/>
  <c r="IM345" i="43"/>
  <c r="IN345" i="43"/>
  <c r="IO345" i="43"/>
  <c r="IP345" i="43"/>
  <c r="IQ345" i="43"/>
  <c r="IR345" i="43"/>
  <c r="IS345" i="43"/>
  <c r="IT345" i="43"/>
  <c r="IU345" i="43"/>
  <c r="IV345" i="43"/>
  <c r="A344" i="43"/>
  <c r="B344" i="43"/>
  <c r="C344" i="43"/>
  <c r="D344" i="43"/>
  <c r="E344" i="43"/>
  <c r="F344" i="43"/>
  <c r="G344" i="43"/>
  <c r="H344" i="43"/>
  <c r="I344" i="43"/>
  <c r="J344" i="43"/>
  <c r="K344" i="43"/>
  <c r="L344" i="43"/>
  <c r="M344" i="43"/>
  <c r="N344" i="43"/>
  <c r="O344" i="43"/>
  <c r="P344" i="43"/>
  <c r="Q344" i="43"/>
  <c r="R344" i="43"/>
  <c r="S344" i="43"/>
  <c r="T344" i="43"/>
  <c r="U344" i="43"/>
  <c r="V344" i="43"/>
  <c r="W344" i="43"/>
  <c r="X344" i="43"/>
  <c r="Y344" i="43"/>
  <c r="Z344" i="43"/>
  <c r="AA344" i="43"/>
  <c r="AB344" i="43"/>
  <c r="AC344" i="43"/>
  <c r="AD344" i="43"/>
  <c r="AE344" i="43"/>
  <c r="AF344" i="43"/>
  <c r="AG344" i="43"/>
  <c r="AH344" i="43"/>
  <c r="AI344" i="43"/>
  <c r="AJ344" i="43"/>
  <c r="AK344" i="43"/>
  <c r="AL344" i="43"/>
  <c r="AM344" i="43"/>
  <c r="AN344" i="43"/>
  <c r="AO344" i="43"/>
  <c r="AP344" i="43"/>
  <c r="AQ344" i="43"/>
  <c r="AR344" i="43"/>
  <c r="AS344" i="43"/>
  <c r="AT344" i="43"/>
  <c r="AU344" i="43"/>
  <c r="AV344" i="43"/>
  <c r="AW344" i="43"/>
  <c r="AX344" i="43"/>
  <c r="AY344" i="43"/>
  <c r="AZ344" i="43"/>
  <c r="BA344" i="43"/>
  <c r="BB344" i="43"/>
  <c r="BC344" i="43"/>
  <c r="BD344" i="43"/>
  <c r="BE344" i="43"/>
  <c r="BF344" i="43"/>
  <c r="BG344" i="43"/>
  <c r="BH344" i="43"/>
  <c r="BI344" i="43"/>
  <c r="BJ344" i="43"/>
  <c r="BK344" i="43"/>
  <c r="BL344" i="43"/>
  <c r="BM344" i="43"/>
  <c r="BN344" i="43"/>
  <c r="BO344" i="43"/>
  <c r="BP344" i="43"/>
  <c r="BQ344" i="43"/>
  <c r="BR344" i="43"/>
  <c r="BS344" i="43"/>
  <c r="BT344" i="43"/>
  <c r="BU344" i="43"/>
  <c r="BV344" i="43"/>
  <c r="BW344" i="43"/>
  <c r="BX344" i="43"/>
  <c r="BY344" i="43"/>
  <c r="BZ344" i="43"/>
  <c r="CA344" i="43"/>
  <c r="CB344" i="43"/>
  <c r="CC344" i="43"/>
  <c r="CD344" i="43"/>
  <c r="CE344" i="43"/>
  <c r="CF344" i="43"/>
  <c r="CG344" i="43"/>
  <c r="CH344" i="43"/>
  <c r="CI344" i="43"/>
  <c r="CJ344" i="43"/>
  <c r="CK344" i="43"/>
  <c r="CL344" i="43"/>
  <c r="CM344" i="43"/>
  <c r="CN344" i="43"/>
  <c r="CO344" i="43"/>
  <c r="CP344" i="43"/>
  <c r="CQ344" i="43"/>
  <c r="CR344" i="43"/>
  <c r="CS344" i="43"/>
  <c r="CT344" i="43"/>
  <c r="CU344" i="43"/>
  <c r="CV344" i="43"/>
  <c r="CW344" i="43"/>
  <c r="CX344" i="43"/>
  <c r="CY344" i="43"/>
  <c r="CZ344" i="43"/>
  <c r="DA344" i="43"/>
  <c r="DB344" i="43"/>
  <c r="DC344" i="43"/>
  <c r="DD344" i="43"/>
  <c r="DE344" i="43"/>
  <c r="DF344" i="43"/>
  <c r="DG344" i="43"/>
  <c r="DH344" i="43"/>
  <c r="DI344" i="43"/>
  <c r="DJ344" i="43"/>
  <c r="DK344" i="43"/>
  <c r="DL344" i="43"/>
  <c r="DM344" i="43"/>
  <c r="DN344" i="43"/>
  <c r="DO344" i="43"/>
  <c r="DP344" i="43"/>
  <c r="DQ344" i="43"/>
  <c r="DR344" i="43"/>
  <c r="DS344" i="43"/>
  <c r="DT344" i="43"/>
  <c r="DU344" i="43"/>
  <c r="DV344" i="43"/>
  <c r="DW344" i="43"/>
  <c r="DX344" i="43"/>
  <c r="DY344" i="43"/>
  <c r="DZ344" i="43"/>
  <c r="EA344" i="43"/>
  <c r="EB344" i="43"/>
  <c r="EC344" i="43"/>
  <c r="ED344" i="43"/>
  <c r="EE344" i="43"/>
  <c r="EF344" i="43"/>
  <c r="EG344" i="43"/>
  <c r="EH344" i="43"/>
  <c r="EI344" i="43"/>
  <c r="EJ344" i="43"/>
  <c r="EK344" i="43"/>
  <c r="EL344" i="43"/>
  <c r="EM344" i="43"/>
  <c r="EN344" i="43"/>
  <c r="EO344" i="43"/>
  <c r="EP344" i="43"/>
  <c r="EQ344" i="43"/>
  <c r="ER344" i="43"/>
  <c r="ES344" i="43"/>
  <c r="ET344" i="43"/>
  <c r="EU344" i="43"/>
  <c r="EV344" i="43"/>
  <c r="EW344" i="43"/>
  <c r="EX344" i="43"/>
  <c r="EY344" i="43"/>
  <c r="EZ344" i="43"/>
  <c r="FA344" i="43"/>
  <c r="FB344" i="43"/>
  <c r="FC344" i="43"/>
  <c r="FD344" i="43"/>
  <c r="FE344" i="43"/>
  <c r="FF344" i="43"/>
  <c r="FG344" i="43"/>
  <c r="FH344" i="43"/>
  <c r="FI344" i="43"/>
  <c r="FJ344" i="43"/>
  <c r="FK344" i="43"/>
  <c r="FL344" i="43"/>
  <c r="FM344" i="43"/>
  <c r="FN344" i="43"/>
  <c r="FO344" i="43"/>
  <c r="FP344" i="43"/>
  <c r="FQ344" i="43"/>
  <c r="FR344" i="43"/>
  <c r="FS344" i="43"/>
  <c r="FT344" i="43"/>
  <c r="FU344" i="43"/>
  <c r="FV344" i="43"/>
  <c r="FW344" i="43"/>
  <c r="FX344" i="43"/>
  <c r="FY344" i="43"/>
  <c r="FZ344" i="43"/>
  <c r="GA344" i="43"/>
  <c r="GB344" i="43"/>
  <c r="GC344" i="43"/>
  <c r="GD344" i="43"/>
  <c r="GE344" i="43"/>
  <c r="GF344" i="43"/>
  <c r="GG344" i="43"/>
  <c r="GH344" i="43"/>
  <c r="GI344" i="43"/>
  <c r="GJ344" i="43"/>
  <c r="GK344" i="43"/>
  <c r="GL344" i="43"/>
  <c r="GM344" i="43"/>
  <c r="GN344" i="43"/>
  <c r="GO344" i="43"/>
  <c r="GP344" i="43"/>
  <c r="GQ344" i="43"/>
  <c r="GR344" i="43"/>
  <c r="GS344" i="43"/>
  <c r="GT344" i="43"/>
  <c r="GU344" i="43"/>
  <c r="GV344" i="43"/>
  <c r="GW344" i="43"/>
  <c r="GX344" i="43"/>
  <c r="GY344" i="43"/>
  <c r="GZ344" i="43"/>
  <c r="HA344" i="43"/>
  <c r="HB344" i="43"/>
  <c r="HC344" i="43"/>
  <c r="HD344" i="43"/>
  <c r="HE344" i="43"/>
  <c r="HF344" i="43"/>
  <c r="HG344" i="43"/>
  <c r="HH344" i="43"/>
  <c r="HI344" i="43"/>
  <c r="HJ344" i="43"/>
  <c r="HK344" i="43"/>
  <c r="HL344" i="43"/>
  <c r="HM344" i="43"/>
  <c r="HN344" i="43"/>
  <c r="HO344" i="43"/>
  <c r="HP344" i="43"/>
  <c r="HQ344" i="43"/>
  <c r="HR344" i="43"/>
  <c r="HS344" i="43"/>
  <c r="HT344" i="43"/>
  <c r="HU344" i="43"/>
  <c r="HV344" i="43"/>
  <c r="HW344" i="43"/>
  <c r="HX344" i="43"/>
  <c r="HY344" i="43"/>
  <c r="HZ344" i="43"/>
  <c r="IA344" i="43"/>
  <c r="IB344" i="43"/>
  <c r="IC344" i="43"/>
  <c r="ID344" i="43"/>
  <c r="IE344" i="43"/>
  <c r="IF344" i="43"/>
  <c r="IG344" i="43"/>
  <c r="IH344" i="43"/>
  <c r="II344" i="43"/>
  <c r="IJ344" i="43"/>
  <c r="IK344" i="43"/>
  <c r="IL344" i="43"/>
  <c r="IM344" i="43"/>
  <c r="IN344" i="43"/>
  <c r="IO344" i="43"/>
  <c r="IP344" i="43"/>
  <c r="IQ344" i="43"/>
  <c r="IR344" i="43"/>
  <c r="IS344" i="43"/>
  <c r="IT344" i="43"/>
  <c r="IU344" i="43"/>
  <c r="IV344" i="43"/>
  <c r="A343" i="43"/>
  <c r="B343" i="43"/>
  <c r="C343" i="43"/>
  <c r="D343" i="43"/>
  <c r="E343" i="43"/>
  <c r="F343" i="43"/>
  <c r="G343" i="43"/>
  <c r="H343" i="43"/>
  <c r="I343" i="43"/>
  <c r="J343" i="43"/>
  <c r="K343" i="43"/>
  <c r="L343" i="43"/>
  <c r="M343" i="43"/>
  <c r="N343" i="43"/>
  <c r="O343" i="43"/>
  <c r="P343" i="43"/>
  <c r="Q343" i="43"/>
  <c r="R343" i="43"/>
  <c r="S343" i="43"/>
  <c r="T343" i="43"/>
  <c r="U343" i="43"/>
  <c r="V343" i="43"/>
  <c r="W343" i="43"/>
  <c r="X343" i="43"/>
  <c r="Y343" i="43"/>
  <c r="Z343" i="43"/>
  <c r="AA343" i="43"/>
  <c r="AB343" i="43"/>
  <c r="AC343" i="43"/>
  <c r="AD343" i="43"/>
  <c r="AE343" i="43"/>
  <c r="AF343" i="43"/>
  <c r="AG343" i="43"/>
  <c r="AH343" i="43"/>
  <c r="AI343" i="43"/>
  <c r="AJ343" i="43"/>
  <c r="AK343" i="43"/>
  <c r="AL343" i="43"/>
  <c r="AM343" i="43"/>
  <c r="AN343" i="43"/>
  <c r="AO343" i="43"/>
  <c r="AP343" i="43"/>
  <c r="AQ343" i="43"/>
  <c r="AR343" i="43"/>
  <c r="AS343" i="43"/>
  <c r="AT343" i="43"/>
  <c r="AU343" i="43"/>
  <c r="AV343" i="43"/>
  <c r="AW343" i="43"/>
  <c r="AX343" i="43"/>
  <c r="AY343" i="43"/>
  <c r="AZ343" i="43"/>
  <c r="BA343" i="43"/>
  <c r="BB343" i="43"/>
  <c r="BC343" i="43"/>
  <c r="BD343" i="43"/>
  <c r="BE343" i="43"/>
  <c r="BF343" i="43"/>
  <c r="BG343" i="43"/>
  <c r="BH343" i="43"/>
  <c r="BI343" i="43"/>
  <c r="BJ343" i="43"/>
  <c r="BK343" i="43"/>
  <c r="BL343" i="43"/>
  <c r="BM343" i="43"/>
  <c r="BN343" i="43"/>
  <c r="BO343" i="43"/>
  <c r="BP343" i="43"/>
  <c r="BQ343" i="43"/>
  <c r="BR343" i="43"/>
  <c r="BS343" i="43"/>
  <c r="BT343" i="43"/>
  <c r="BU343" i="43"/>
  <c r="BV343" i="43"/>
  <c r="BW343" i="43"/>
  <c r="BX343" i="43"/>
  <c r="BY343" i="43"/>
  <c r="BZ343" i="43"/>
  <c r="CA343" i="43"/>
  <c r="CB343" i="43"/>
  <c r="CC343" i="43"/>
  <c r="CD343" i="43"/>
  <c r="CE343" i="43"/>
  <c r="CF343" i="43"/>
  <c r="CG343" i="43"/>
  <c r="CH343" i="43"/>
  <c r="CI343" i="43"/>
  <c r="CJ343" i="43"/>
  <c r="CK343" i="43"/>
  <c r="CL343" i="43"/>
  <c r="CM343" i="43"/>
  <c r="CN343" i="43"/>
  <c r="CO343" i="43"/>
  <c r="CP343" i="43"/>
  <c r="CQ343" i="43"/>
  <c r="CR343" i="43"/>
  <c r="CS343" i="43"/>
  <c r="CT343" i="43"/>
  <c r="CU343" i="43"/>
  <c r="CV343" i="43"/>
  <c r="CW343" i="43"/>
  <c r="CX343" i="43"/>
  <c r="CY343" i="43"/>
  <c r="CZ343" i="43"/>
  <c r="DA343" i="43"/>
  <c r="DB343" i="43"/>
  <c r="DC343" i="43"/>
  <c r="DD343" i="43"/>
  <c r="DE343" i="43"/>
  <c r="DF343" i="43"/>
  <c r="DG343" i="43"/>
  <c r="DH343" i="43"/>
  <c r="DI343" i="43"/>
  <c r="DJ343" i="43"/>
  <c r="DK343" i="43"/>
  <c r="DL343" i="43"/>
  <c r="DM343" i="43"/>
  <c r="DN343" i="43"/>
  <c r="DO343" i="43"/>
  <c r="DP343" i="43"/>
  <c r="DQ343" i="43"/>
  <c r="DR343" i="43"/>
  <c r="DS343" i="43"/>
  <c r="DT343" i="43"/>
  <c r="DU343" i="43"/>
  <c r="DV343" i="43"/>
  <c r="DW343" i="43"/>
  <c r="DX343" i="43"/>
  <c r="DY343" i="43"/>
  <c r="DZ343" i="43"/>
  <c r="EA343" i="43"/>
  <c r="EB343" i="43"/>
  <c r="EC343" i="43"/>
  <c r="ED343" i="43"/>
  <c r="EE343" i="43"/>
  <c r="EF343" i="43"/>
  <c r="EG343" i="43"/>
  <c r="EH343" i="43"/>
  <c r="EI343" i="43"/>
  <c r="EJ343" i="43"/>
  <c r="EK343" i="43"/>
  <c r="EL343" i="43"/>
  <c r="EM343" i="43"/>
  <c r="EN343" i="43"/>
  <c r="EO343" i="43"/>
  <c r="EP343" i="43"/>
  <c r="EQ343" i="43"/>
  <c r="ER343" i="43"/>
  <c r="ES343" i="43"/>
  <c r="ET343" i="43"/>
  <c r="EU343" i="43"/>
  <c r="EV343" i="43"/>
  <c r="EW343" i="43"/>
  <c r="EX343" i="43"/>
  <c r="EY343" i="43"/>
  <c r="EZ343" i="43"/>
  <c r="FA343" i="43"/>
  <c r="FB343" i="43"/>
  <c r="FC343" i="43"/>
  <c r="FD343" i="43"/>
  <c r="FE343" i="43"/>
  <c r="FF343" i="43"/>
  <c r="FG343" i="43"/>
  <c r="FH343" i="43"/>
  <c r="FI343" i="43"/>
  <c r="FJ343" i="43"/>
  <c r="FK343" i="43"/>
  <c r="FL343" i="43"/>
  <c r="FM343" i="43"/>
  <c r="FN343" i="43"/>
  <c r="FO343" i="43"/>
  <c r="FP343" i="43"/>
  <c r="FQ343" i="43"/>
  <c r="FR343" i="43"/>
  <c r="FS343" i="43"/>
  <c r="FT343" i="43"/>
  <c r="FU343" i="43"/>
  <c r="FV343" i="43"/>
  <c r="FW343" i="43"/>
  <c r="FX343" i="43"/>
  <c r="FY343" i="43"/>
  <c r="FZ343" i="43"/>
  <c r="GA343" i="43"/>
  <c r="GB343" i="43"/>
  <c r="GC343" i="43"/>
  <c r="GD343" i="43"/>
  <c r="GE343" i="43"/>
  <c r="GF343" i="43"/>
  <c r="GG343" i="43"/>
  <c r="GH343" i="43"/>
  <c r="GI343" i="43"/>
  <c r="GJ343" i="43"/>
  <c r="GK343" i="43"/>
  <c r="GL343" i="43"/>
  <c r="GM343" i="43"/>
  <c r="GN343" i="43"/>
  <c r="GO343" i="43"/>
  <c r="GP343" i="43"/>
  <c r="GQ343" i="43"/>
  <c r="GR343" i="43"/>
  <c r="GS343" i="43"/>
  <c r="GT343" i="43"/>
  <c r="GU343" i="43"/>
  <c r="GV343" i="43"/>
  <c r="GW343" i="43"/>
  <c r="GX343" i="43"/>
  <c r="GY343" i="43"/>
  <c r="GZ343" i="43"/>
  <c r="HA343" i="43"/>
  <c r="HB343" i="43"/>
  <c r="HC343" i="43"/>
  <c r="HD343" i="43"/>
  <c r="HE343" i="43"/>
  <c r="HF343" i="43"/>
  <c r="HG343" i="43"/>
  <c r="HH343" i="43"/>
  <c r="HI343" i="43"/>
  <c r="HJ343" i="43"/>
  <c r="HK343" i="43"/>
  <c r="HL343" i="43"/>
  <c r="HM343" i="43"/>
  <c r="HN343" i="43"/>
  <c r="HO343" i="43"/>
  <c r="HP343" i="43"/>
  <c r="HQ343" i="43"/>
  <c r="HR343" i="43"/>
  <c r="HS343" i="43"/>
  <c r="HT343" i="43"/>
  <c r="HU343" i="43"/>
  <c r="HV343" i="43"/>
  <c r="HW343" i="43"/>
  <c r="HX343" i="43"/>
  <c r="HY343" i="43"/>
  <c r="HZ343" i="43"/>
  <c r="IA343" i="43"/>
  <c r="IB343" i="43"/>
  <c r="IC343" i="43"/>
  <c r="ID343" i="43"/>
  <c r="IE343" i="43"/>
  <c r="IF343" i="43"/>
  <c r="IG343" i="43"/>
  <c r="IH343" i="43"/>
  <c r="II343" i="43"/>
  <c r="IJ343" i="43"/>
  <c r="IK343" i="43"/>
  <c r="IL343" i="43"/>
  <c r="IM343" i="43"/>
  <c r="IN343" i="43"/>
  <c r="IO343" i="43"/>
  <c r="IP343" i="43"/>
  <c r="IQ343" i="43"/>
  <c r="IR343" i="43"/>
  <c r="IS343" i="43"/>
  <c r="IT343" i="43"/>
  <c r="IU343" i="43"/>
  <c r="IV343" i="43"/>
  <c r="A342" i="43"/>
  <c r="B342" i="43"/>
  <c r="C342" i="43"/>
  <c r="D342" i="43"/>
  <c r="E342" i="43"/>
  <c r="F342" i="43"/>
  <c r="G342" i="43"/>
  <c r="H342" i="43"/>
  <c r="I342" i="43"/>
  <c r="J342" i="43"/>
  <c r="K342" i="43"/>
  <c r="L342" i="43"/>
  <c r="M342" i="43"/>
  <c r="N342" i="43"/>
  <c r="O342" i="43"/>
  <c r="P342" i="43"/>
  <c r="Q342" i="43"/>
  <c r="R342" i="43"/>
  <c r="S342" i="43"/>
  <c r="T342" i="43"/>
  <c r="U342" i="43"/>
  <c r="V342" i="43"/>
  <c r="W342" i="43"/>
  <c r="X342" i="43"/>
  <c r="Y342" i="43"/>
  <c r="Z342" i="43"/>
  <c r="AA342" i="43"/>
  <c r="AB342" i="43"/>
  <c r="AC342" i="43"/>
  <c r="AD342" i="43"/>
  <c r="AE342" i="43"/>
  <c r="AF342" i="43"/>
  <c r="AG342" i="43"/>
  <c r="AH342" i="43"/>
  <c r="AI342" i="43"/>
  <c r="AJ342" i="43"/>
  <c r="AK342" i="43"/>
  <c r="AL342" i="43"/>
  <c r="AM342" i="43"/>
  <c r="AN342" i="43"/>
  <c r="AO342" i="43"/>
  <c r="AP342" i="43"/>
  <c r="AQ342" i="43"/>
  <c r="AR342" i="43"/>
  <c r="AS342" i="43"/>
  <c r="AT342" i="43"/>
  <c r="AU342" i="43"/>
  <c r="AV342" i="43"/>
  <c r="AW342" i="43"/>
  <c r="AX342" i="43"/>
  <c r="AY342" i="43"/>
  <c r="AZ342" i="43"/>
  <c r="BA342" i="43"/>
  <c r="BB342" i="43"/>
  <c r="BC342" i="43"/>
  <c r="BD342" i="43"/>
  <c r="BE342" i="43"/>
  <c r="BF342" i="43"/>
  <c r="BG342" i="43"/>
  <c r="BH342" i="43"/>
  <c r="BI342" i="43"/>
  <c r="BJ342" i="43"/>
  <c r="BK342" i="43"/>
  <c r="BL342" i="43"/>
  <c r="BM342" i="43"/>
  <c r="BN342" i="43"/>
  <c r="BO342" i="43"/>
  <c r="BP342" i="43"/>
  <c r="BQ342" i="43"/>
  <c r="BR342" i="43"/>
  <c r="BS342" i="43"/>
  <c r="BT342" i="43"/>
  <c r="BU342" i="43"/>
  <c r="BV342" i="43"/>
  <c r="BW342" i="43"/>
  <c r="BX342" i="43"/>
  <c r="BY342" i="43"/>
  <c r="BZ342" i="43"/>
  <c r="CA342" i="43"/>
  <c r="CB342" i="43"/>
  <c r="CC342" i="43"/>
  <c r="CD342" i="43"/>
  <c r="CE342" i="43"/>
  <c r="CF342" i="43"/>
  <c r="CG342" i="43"/>
  <c r="CH342" i="43"/>
  <c r="CI342" i="43"/>
  <c r="CJ342" i="43"/>
  <c r="CK342" i="43"/>
  <c r="CL342" i="43"/>
  <c r="CM342" i="43"/>
  <c r="CN342" i="43"/>
  <c r="CO342" i="43"/>
  <c r="CP342" i="43"/>
  <c r="CQ342" i="43"/>
  <c r="CR342" i="43"/>
  <c r="CS342" i="43"/>
  <c r="CT342" i="43"/>
  <c r="CU342" i="43"/>
  <c r="CV342" i="43"/>
  <c r="CW342" i="43"/>
  <c r="CX342" i="43"/>
  <c r="CY342" i="43"/>
  <c r="CZ342" i="43"/>
  <c r="DA342" i="43"/>
  <c r="DB342" i="43"/>
  <c r="DC342" i="43"/>
  <c r="DD342" i="43"/>
  <c r="DE342" i="43"/>
  <c r="DF342" i="43"/>
  <c r="DG342" i="43"/>
  <c r="DH342" i="43"/>
  <c r="DI342" i="43"/>
  <c r="DJ342" i="43"/>
  <c r="DK342" i="43"/>
  <c r="DL342" i="43"/>
  <c r="DM342" i="43"/>
  <c r="DN342" i="43"/>
  <c r="DO342" i="43"/>
  <c r="DP342" i="43"/>
  <c r="DQ342" i="43"/>
  <c r="DR342" i="43"/>
  <c r="DS342" i="43"/>
  <c r="DT342" i="43"/>
  <c r="DU342" i="43"/>
  <c r="DV342" i="43"/>
  <c r="DW342" i="43"/>
  <c r="DX342" i="43"/>
  <c r="DY342" i="43"/>
  <c r="DZ342" i="43"/>
  <c r="EA342" i="43"/>
  <c r="EB342" i="43"/>
  <c r="EC342" i="43"/>
  <c r="ED342" i="43"/>
  <c r="EE342" i="43"/>
  <c r="EF342" i="43"/>
  <c r="EG342" i="43"/>
  <c r="EH342" i="43"/>
  <c r="EI342" i="43"/>
  <c r="EJ342" i="43"/>
  <c r="EK342" i="43"/>
  <c r="EL342" i="43"/>
  <c r="EM342" i="43"/>
  <c r="EN342" i="43"/>
  <c r="EO342" i="43"/>
  <c r="EP342" i="43"/>
  <c r="EQ342" i="43"/>
  <c r="ER342" i="43"/>
  <c r="ES342" i="43"/>
  <c r="ET342" i="43"/>
  <c r="EU342" i="43"/>
  <c r="EV342" i="43"/>
  <c r="EW342" i="43"/>
  <c r="EX342" i="43"/>
  <c r="EY342" i="43"/>
  <c r="EZ342" i="43"/>
  <c r="FA342" i="43"/>
  <c r="FB342" i="43"/>
  <c r="FC342" i="43"/>
  <c r="FD342" i="43"/>
  <c r="FE342" i="43"/>
  <c r="FF342" i="43"/>
  <c r="FG342" i="43"/>
  <c r="FH342" i="43"/>
  <c r="FI342" i="43"/>
  <c r="FJ342" i="43"/>
  <c r="FK342" i="43"/>
  <c r="FL342" i="43"/>
  <c r="FM342" i="43"/>
  <c r="FN342" i="43"/>
  <c r="FO342" i="43"/>
  <c r="FP342" i="43"/>
  <c r="FQ342" i="43"/>
  <c r="FR342" i="43"/>
  <c r="FS342" i="43"/>
  <c r="FT342" i="43"/>
  <c r="FU342" i="43"/>
  <c r="FV342" i="43"/>
  <c r="FW342" i="43"/>
  <c r="FX342" i="43"/>
  <c r="FY342" i="43"/>
  <c r="FZ342" i="43"/>
  <c r="GA342" i="43"/>
  <c r="GB342" i="43"/>
  <c r="GC342" i="43"/>
  <c r="GD342" i="43"/>
  <c r="GE342" i="43"/>
  <c r="GF342" i="43"/>
  <c r="GG342" i="43"/>
  <c r="GH342" i="43"/>
  <c r="GI342" i="43"/>
  <c r="GJ342" i="43"/>
  <c r="GK342" i="43"/>
  <c r="GL342" i="43"/>
  <c r="GM342" i="43"/>
  <c r="GN342" i="43"/>
  <c r="GO342" i="43"/>
  <c r="GP342" i="43"/>
  <c r="GQ342" i="43"/>
  <c r="GR342" i="43"/>
  <c r="GS342" i="43"/>
  <c r="GT342" i="43"/>
  <c r="GU342" i="43"/>
  <c r="GV342" i="43"/>
  <c r="GW342" i="43"/>
  <c r="GX342" i="43"/>
  <c r="GY342" i="43"/>
  <c r="GZ342" i="43"/>
  <c r="HA342" i="43"/>
  <c r="HB342" i="43"/>
  <c r="HC342" i="43"/>
  <c r="HD342" i="43"/>
  <c r="HE342" i="43"/>
  <c r="HF342" i="43"/>
  <c r="HG342" i="43"/>
  <c r="HH342" i="43"/>
  <c r="HI342" i="43"/>
  <c r="HJ342" i="43"/>
  <c r="HK342" i="43"/>
  <c r="HL342" i="43"/>
  <c r="HM342" i="43"/>
  <c r="HN342" i="43"/>
  <c r="HO342" i="43"/>
  <c r="HP342" i="43"/>
  <c r="HQ342" i="43"/>
  <c r="HR342" i="43"/>
  <c r="HS342" i="43"/>
  <c r="HT342" i="43"/>
  <c r="HU342" i="43"/>
  <c r="HV342" i="43"/>
  <c r="HW342" i="43"/>
  <c r="HX342" i="43"/>
  <c r="HY342" i="43"/>
  <c r="HZ342" i="43"/>
  <c r="IA342" i="43"/>
  <c r="IB342" i="43"/>
  <c r="IC342" i="43"/>
  <c r="ID342" i="43"/>
  <c r="IE342" i="43"/>
  <c r="IF342" i="43"/>
  <c r="IG342" i="43"/>
  <c r="IH342" i="43"/>
  <c r="II342" i="43"/>
  <c r="IJ342" i="43"/>
  <c r="IK342" i="43"/>
  <c r="IL342" i="43"/>
  <c r="IM342" i="43"/>
  <c r="IN342" i="43"/>
  <c r="IO342" i="43"/>
  <c r="IP342" i="43"/>
  <c r="IQ342" i="43"/>
  <c r="IR342" i="43"/>
  <c r="IS342" i="43"/>
  <c r="IT342" i="43"/>
  <c r="IU342" i="43"/>
  <c r="IV342" i="43"/>
  <c r="A341" i="43"/>
  <c r="B341" i="43"/>
  <c r="C341" i="43"/>
  <c r="D341" i="43"/>
  <c r="E341" i="43"/>
  <c r="F341" i="43"/>
  <c r="G341" i="43"/>
  <c r="H341" i="43"/>
  <c r="I341" i="43"/>
  <c r="J341" i="43"/>
  <c r="K341" i="43"/>
  <c r="L341" i="43"/>
  <c r="M341" i="43"/>
  <c r="N341" i="43"/>
  <c r="O341" i="43"/>
  <c r="P341" i="43"/>
  <c r="Q341" i="43"/>
  <c r="R341" i="43"/>
  <c r="S341" i="43"/>
  <c r="T341" i="43"/>
  <c r="U341" i="43"/>
  <c r="V341" i="43"/>
  <c r="W341" i="43"/>
  <c r="X341" i="43"/>
  <c r="Y341" i="43"/>
  <c r="Z341" i="43"/>
  <c r="AA341" i="43"/>
  <c r="AB341" i="43"/>
  <c r="AC341" i="43"/>
  <c r="AD341" i="43"/>
  <c r="AE341" i="43"/>
  <c r="AF341" i="43"/>
  <c r="AG341" i="43"/>
  <c r="AH341" i="43"/>
  <c r="AI341" i="43"/>
  <c r="AJ341" i="43"/>
  <c r="AK341" i="43"/>
  <c r="AL341" i="43"/>
  <c r="AM341" i="43"/>
  <c r="AN341" i="43"/>
  <c r="AO341" i="43"/>
  <c r="AP341" i="43"/>
  <c r="AQ341" i="43"/>
  <c r="AR341" i="43"/>
  <c r="AS341" i="43"/>
  <c r="AT341" i="43"/>
  <c r="AU341" i="43"/>
  <c r="AV341" i="43"/>
  <c r="AW341" i="43"/>
  <c r="AX341" i="43"/>
  <c r="AY341" i="43"/>
  <c r="AZ341" i="43"/>
  <c r="BA341" i="43"/>
  <c r="BB341" i="43"/>
  <c r="BC341" i="43"/>
  <c r="BD341" i="43"/>
  <c r="BE341" i="43"/>
  <c r="BF341" i="43"/>
  <c r="BG341" i="43"/>
  <c r="BH341" i="43"/>
  <c r="BI341" i="43"/>
  <c r="BJ341" i="43"/>
  <c r="BK341" i="43"/>
  <c r="BL341" i="43"/>
  <c r="BM341" i="43"/>
  <c r="BN341" i="43"/>
  <c r="BO341" i="43"/>
  <c r="BP341" i="43"/>
  <c r="BQ341" i="43"/>
  <c r="BR341" i="43"/>
  <c r="BS341" i="43"/>
  <c r="BT341" i="43"/>
  <c r="BU341" i="43"/>
  <c r="BV341" i="43"/>
  <c r="BW341" i="43"/>
  <c r="BX341" i="43"/>
  <c r="BY341" i="43"/>
  <c r="BZ341" i="43"/>
  <c r="CA341" i="43"/>
  <c r="CB341" i="43"/>
  <c r="CC341" i="43"/>
  <c r="CD341" i="43"/>
  <c r="CE341" i="43"/>
  <c r="CF341" i="43"/>
  <c r="CG341" i="43"/>
  <c r="CH341" i="43"/>
  <c r="CI341" i="43"/>
  <c r="CJ341" i="43"/>
  <c r="CK341" i="43"/>
  <c r="CL341" i="43"/>
  <c r="CM341" i="43"/>
  <c r="CN341" i="43"/>
  <c r="CO341" i="43"/>
  <c r="CP341" i="43"/>
  <c r="CQ341" i="43"/>
  <c r="CR341" i="43"/>
  <c r="CS341" i="43"/>
  <c r="CT341" i="43"/>
  <c r="CU341" i="43"/>
  <c r="CV341" i="43"/>
  <c r="CW341" i="43"/>
  <c r="CX341" i="43"/>
  <c r="CY341" i="43"/>
  <c r="CZ341" i="43"/>
  <c r="DA341" i="43"/>
  <c r="DB341" i="43"/>
  <c r="DC341" i="43"/>
  <c r="DD341" i="43"/>
  <c r="DE341" i="43"/>
  <c r="DF341" i="43"/>
  <c r="DG341" i="43"/>
  <c r="DH341" i="43"/>
  <c r="DI341" i="43"/>
  <c r="DJ341" i="43"/>
  <c r="DK341" i="43"/>
  <c r="DL341" i="43"/>
  <c r="DM341" i="43"/>
  <c r="DN341" i="43"/>
  <c r="DO341" i="43"/>
  <c r="DP341" i="43"/>
  <c r="DQ341" i="43"/>
  <c r="DR341" i="43"/>
  <c r="DS341" i="43"/>
  <c r="DT341" i="43"/>
  <c r="DU341" i="43"/>
  <c r="DV341" i="43"/>
  <c r="DW341" i="43"/>
  <c r="DX341" i="43"/>
  <c r="DY341" i="43"/>
  <c r="DZ341" i="43"/>
  <c r="EA341" i="43"/>
  <c r="EB341" i="43"/>
  <c r="EC341" i="43"/>
  <c r="ED341" i="43"/>
  <c r="EE341" i="43"/>
  <c r="EF341" i="43"/>
  <c r="EG341" i="43"/>
  <c r="EH341" i="43"/>
  <c r="EI341" i="43"/>
  <c r="EJ341" i="43"/>
  <c r="EK341" i="43"/>
  <c r="EL341" i="43"/>
  <c r="EM341" i="43"/>
  <c r="EN341" i="43"/>
  <c r="EO341" i="43"/>
  <c r="EP341" i="43"/>
  <c r="EQ341" i="43"/>
  <c r="ER341" i="43"/>
  <c r="ES341" i="43"/>
  <c r="ET341" i="43"/>
  <c r="EU341" i="43"/>
  <c r="EV341" i="43"/>
  <c r="EW341" i="43"/>
  <c r="EX341" i="43"/>
  <c r="EY341" i="43"/>
  <c r="EZ341" i="43"/>
  <c r="FA341" i="43"/>
  <c r="FB341" i="43"/>
  <c r="FC341" i="43"/>
  <c r="FD341" i="43"/>
  <c r="FE341" i="43"/>
  <c r="FF341" i="43"/>
  <c r="FG341" i="43"/>
  <c r="FH341" i="43"/>
  <c r="FI341" i="43"/>
  <c r="FJ341" i="43"/>
  <c r="FK341" i="43"/>
  <c r="FL341" i="43"/>
  <c r="FM341" i="43"/>
  <c r="FN341" i="43"/>
  <c r="FO341" i="43"/>
  <c r="FP341" i="43"/>
  <c r="FQ341" i="43"/>
  <c r="FR341" i="43"/>
  <c r="FS341" i="43"/>
  <c r="FT341" i="43"/>
  <c r="FU341" i="43"/>
  <c r="FV341" i="43"/>
  <c r="FW341" i="43"/>
  <c r="FX341" i="43"/>
  <c r="FY341" i="43"/>
  <c r="FZ341" i="43"/>
  <c r="GA341" i="43"/>
  <c r="GB341" i="43"/>
  <c r="GC341" i="43"/>
  <c r="GD341" i="43"/>
  <c r="GE341" i="43"/>
  <c r="GF341" i="43"/>
  <c r="GG341" i="43"/>
  <c r="GH341" i="43"/>
  <c r="GI341" i="43"/>
  <c r="GJ341" i="43"/>
  <c r="GK341" i="43"/>
  <c r="GL341" i="43"/>
  <c r="GM341" i="43"/>
  <c r="GN341" i="43"/>
  <c r="GO341" i="43"/>
  <c r="GP341" i="43"/>
  <c r="GQ341" i="43"/>
  <c r="GR341" i="43"/>
  <c r="GS341" i="43"/>
  <c r="GT341" i="43"/>
  <c r="GU341" i="43"/>
  <c r="GV341" i="43"/>
  <c r="GW341" i="43"/>
  <c r="GX341" i="43"/>
  <c r="GY341" i="43"/>
  <c r="GZ341" i="43"/>
  <c r="HA341" i="43"/>
  <c r="HB341" i="43"/>
  <c r="HC341" i="43"/>
  <c r="HD341" i="43"/>
  <c r="HE341" i="43"/>
  <c r="HF341" i="43"/>
  <c r="HG341" i="43"/>
  <c r="HH341" i="43"/>
  <c r="HI341" i="43"/>
  <c r="HJ341" i="43"/>
  <c r="HK341" i="43"/>
  <c r="HL341" i="43"/>
  <c r="HM341" i="43"/>
  <c r="HN341" i="43"/>
  <c r="HO341" i="43"/>
  <c r="HP341" i="43"/>
  <c r="HQ341" i="43"/>
  <c r="HR341" i="43"/>
  <c r="HS341" i="43"/>
  <c r="HT341" i="43"/>
  <c r="HU341" i="43"/>
  <c r="HV341" i="43"/>
  <c r="HW341" i="43"/>
  <c r="HX341" i="43"/>
  <c r="HY341" i="43"/>
  <c r="HZ341" i="43"/>
  <c r="IA341" i="43"/>
  <c r="IB341" i="43"/>
  <c r="IC341" i="43"/>
  <c r="ID341" i="43"/>
  <c r="IE341" i="43"/>
  <c r="IF341" i="43"/>
  <c r="IG341" i="43"/>
  <c r="IH341" i="43"/>
  <c r="II341" i="43"/>
  <c r="IJ341" i="43"/>
  <c r="IK341" i="43"/>
  <c r="IL341" i="43"/>
  <c r="IM341" i="43"/>
  <c r="IN341" i="43"/>
  <c r="IO341" i="43"/>
  <c r="IP341" i="43"/>
  <c r="IQ341" i="43"/>
  <c r="IR341" i="43"/>
  <c r="IS341" i="43"/>
  <c r="IT341" i="43"/>
  <c r="IU341" i="43"/>
  <c r="IV341" i="43"/>
  <c r="A340" i="43"/>
  <c r="B340" i="43"/>
  <c r="C340" i="43"/>
  <c r="D340" i="43"/>
  <c r="E340" i="43"/>
  <c r="F340" i="43"/>
  <c r="G340" i="43"/>
  <c r="H340" i="43"/>
  <c r="I340" i="43"/>
  <c r="J340" i="43"/>
  <c r="K340" i="43"/>
  <c r="L340" i="43"/>
  <c r="M340" i="43"/>
  <c r="N340" i="43"/>
  <c r="O340" i="43"/>
  <c r="P340" i="43"/>
  <c r="Q340" i="43"/>
  <c r="R340" i="43"/>
  <c r="S340" i="43"/>
  <c r="T340" i="43"/>
  <c r="U340" i="43"/>
  <c r="V340" i="43"/>
  <c r="W340" i="43"/>
  <c r="X340" i="43"/>
  <c r="Y340" i="43"/>
  <c r="Z340" i="43"/>
  <c r="AA340" i="43"/>
  <c r="AB340" i="43"/>
  <c r="AC340" i="43"/>
  <c r="AD340" i="43"/>
  <c r="AE340" i="43"/>
  <c r="AF340" i="43"/>
  <c r="AG340" i="43"/>
  <c r="AH340" i="43"/>
  <c r="AI340" i="43"/>
  <c r="AJ340" i="43"/>
  <c r="AK340" i="43"/>
  <c r="AL340" i="43"/>
  <c r="AM340" i="43"/>
  <c r="AN340" i="43"/>
  <c r="AO340" i="43"/>
  <c r="AP340" i="43"/>
  <c r="AQ340" i="43"/>
  <c r="AR340" i="43"/>
  <c r="AS340" i="43"/>
  <c r="AT340" i="43"/>
  <c r="AU340" i="43"/>
  <c r="AV340" i="43"/>
  <c r="AW340" i="43"/>
  <c r="AX340" i="43"/>
  <c r="AY340" i="43"/>
  <c r="AZ340" i="43"/>
  <c r="BA340" i="43"/>
  <c r="BB340" i="43"/>
  <c r="BC340" i="43"/>
  <c r="BD340" i="43"/>
  <c r="BE340" i="43"/>
  <c r="BF340" i="43"/>
  <c r="BG340" i="43"/>
  <c r="BH340" i="43"/>
  <c r="BI340" i="43"/>
  <c r="BJ340" i="43"/>
  <c r="BK340" i="43"/>
  <c r="BL340" i="43"/>
  <c r="BM340" i="43"/>
  <c r="BN340" i="43"/>
  <c r="BO340" i="43"/>
  <c r="BP340" i="43"/>
  <c r="BQ340" i="43"/>
  <c r="BR340" i="43"/>
  <c r="BS340" i="43"/>
  <c r="BT340" i="43"/>
  <c r="BU340" i="43"/>
  <c r="BV340" i="43"/>
  <c r="BW340" i="43"/>
  <c r="BX340" i="43"/>
  <c r="BY340" i="43"/>
  <c r="BZ340" i="43"/>
  <c r="CA340" i="43"/>
  <c r="CB340" i="43"/>
  <c r="CC340" i="43"/>
  <c r="CD340" i="43"/>
  <c r="CE340" i="43"/>
  <c r="CF340" i="43"/>
  <c r="CG340" i="43"/>
  <c r="CH340" i="43"/>
  <c r="CI340" i="43"/>
  <c r="CJ340" i="43"/>
  <c r="CK340" i="43"/>
  <c r="CL340" i="43"/>
  <c r="CM340" i="43"/>
  <c r="CN340" i="43"/>
  <c r="CO340" i="43"/>
  <c r="CP340" i="43"/>
  <c r="CQ340" i="43"/>
  <c r="CR340" i="43"/>
  <c r="CS340" i="43"/>
  <c r="CT340" i="43"/>
  <c r="CU340" i="43"/>
  <c r="CV340" i="43"/>
  <c r="CW340" i="43"/>
  <c r="CX340" i="43"/>
  <c r="CY340" i="43"/>
  <c r="CZ340" i="43"/>
  <c r="DA340" i="43"/>
  <c r="DB340" i="43"/>
  <c r="DC340" i="43"/>
  <c r="DD340" i="43"/>
  <c r="DE340" i="43"/>
  <c r="DF340" i="43"/>
  <c r="DG340" i="43"/>
  <c r="DH340" i="43"/>
  <c r="DI340" i="43"/>
  <c r="DJ340" i="43"/>
  <c r="DK340" i="43"/>
  <c r="DL340" i="43"/>
  <c r="DM340" i="43"/>
  <c r="DN340" i="43"/>
  <c r="DO340" i="43"/>
  <c r="DP340" i="43"/>
  <c r="DQ340" i="43"/>
  <c r="DR340" i="43"/>
  <c r="DS340" i="43"/>
  <c r="DT340" i="43"/>
  <c r="DU340" i="43"/>
  <c r="DV340" i="43"/>
  <c r="DW340" i="43"/>
  <c r="DX340" i="43"/>
  <c r="DY340" i="43"/>
  <c r="DZ340" i="43"/>
  <c r="EA340" i="43"/>
  <c r="EB340" i="43"/>
  <c r="EC340" i="43"/>
  <c r="ED340" i="43"/>
  <c r="EE340" i="43"/>
  <c r="EF340" i="43"/>
  <c r="EG340" i="43"/>
  <c r="EH340" i="43"/>
  <c r="EI340" i="43"/>
  <c r="EJ340" i="43"/>
  <c r="EK340" i="43"/>
  <c r="EL340" i="43"/>
  <c r="EM340" i="43"/>
  <c r="EN340" i="43"/>
  <c r="EO340" i="43"/>
  <c r="EP340" i="43"/>
  <c r="EQ340" i="43"/>
  <c r="ER340" i="43"/>
  <c r="ES340" i="43"/>
  <c r="ET340" i="43"/>
  <c r="EU340" i="43"/>
  <c r="EV340" i="43"/>
  <c r="EW340" i="43"/>
  <c r="EX340" i="43"/>
  <c r="EY340" i="43"/>
  <c r="EZ340" i="43"/>
  <c r="FA340" i="43"/>
  <c r="FB340" i="43"/>
  <c r="FC340" i="43"/>
  <c r="FD340" i="43"/>
  <c r="FE340" i="43"/>
  <c r="FF340" i="43"/>
  <c r="FG340" i="43"/>
  <c r="FH340" i="43"/>
  <c r="FI340" i="43"/>
  <c r="FJ340" i="43"/>
  <c r="FK340" i="43"/>
  <c r="FL340" i="43"/>
  <c r="FM340" i="43"/>
  <c r="FN340" i="43"/>
  <c r="FO340" i="43"/>
  <c r="FP340" i="43"/>
  <c r="FQ340" i="43"/>
  <c r="FR340" i="43"/>
  <c r="FS340" i="43"/>
  <c r="FT340" i="43"/>
  <c r="FU340" i="43"/>
  <c r="FV340" i="43"/>
  <c r="FW340" i="43"/>
  <c r="FX340" i="43"/>
  <c r="FY340" i="43"/>
  <c r="FZ340" i="43"/>
  <c r="GA340" i="43"/>
  <c r="GB340" i="43"/>
  <c r="GC340" i="43"/>
  <c r="GD340" i="43"/>
  <c r="GE340" i="43"/>
  <c r="GF340" i="43"/>
  <c r="GG340" i="43"/>
  <c r="GH340" i="43"/>
  <c r="GI340" i="43"/>
  <c r="GJ340" i="43"/>
  <c r="GK340" i="43"/>
  <c r="GL340" i="43"/>
  <c r="GM340" i="43"/>
  <c r="GN340" i="43"/>
  <c r="GO340" i="43"/>
  <c r="GP340" i="43"/>
  <c r="GQ340" i="43"/>
  <c r="GR340" i="43"/>
  <c r="GS340" i="43"/>
  <c r="GT340" i="43"/>
  <c r="GU340" i="43"/>
  <c r="GV340" i="43"/>
  <c r="GW340" i="43"/>
  <c r="GX340" i="43"/>
  <c r="GY340" i="43"/>
  <c r="GZ340" i="43"/>
  <c r="HA340" i="43"/>
  <c r="HB340" i="43"/>
  <c r="HC340" i="43"/>
  <c r="HD340" i="43"/>
  <c r="HE340" i="43"/>
  <c r="HF340" i="43"/>
  <c r="HG340" i="43"/>
  <c r="HH340" i="43"/>
  <c r="HI340" i="43"/>
  <c r="HJ340" i="43"/>
  <c r="HK340" i="43"/>
  <c r="HL340" i="43"/>
  <c r="HM340" i="43"/>
  <c r="HN340" i="43"/>
  <c r="HO340" i="43"/>
  <c r="HP340" i="43"/>
  <c r="HQ340" i="43"/>
  <c r="HR340" i="43"/>
  <c r="HS340" i="43"/>
  <c r="HT340" i="43"/>
  <c r="HU340" i="43"/>
  <c r="HV340" i="43"/>
  <c r="HW340" i="43"/>
  <c r="HX340" i="43"/>
  <c r="HY340" i="43"/>
  <c r="HZ340" i="43"/>
  <c r="IA340" i="43"/>
  <c r="IB340" i="43"/>
  <c r="IC340" i="43"/>
  <c r="ID340" i="43"/>
  <c r="IE340" i="43"/>
  <c r="IF340" i="43"/>
  <c r="IG340" i="43"/>
  <c r="IH340" i="43"/>
  <c r="II340" i="43"/>
  <c r="IJ340" i="43"/>
  <c r="IK340" i="43"/>
  <c r="IL340" i="43"/>
  <c r="IM340" i="43"/>
  <c r="IN340" i="43"/>
  <c r="IO340" i="43"/>
  <c r="IP340" i="43"/>
  <c r="IQ340" i="43"/>
  <c r="IR340" i="43"/>
  <c r="IS340" i="43"/>
  <c r="IT340" i="43"/>
  <c r="IU340" i="43"/>
  <c r="IV340" i="43"/>
  <c r="A339" i="43"/>
  <c r="B339" i="43"/>
  <c r="C339" i="43"/>
  <c r="D339" i="43"/>
  <c r="E339" i="43"/>
  <c r="F339" i="43"/>
  <c r="G339" i="43"/>
  <c r="H339" i="43"/>
  <c r="I339" i="43"/>
  <c r="J339" i="43"/>
  <c r="K339" i="43"/>
  <c r="L339" i="43"/>
  <c r="M339" i="43"/>
  <c r="N339" i="43"/>
  <c r="O339" i="43"/>
  <c r="P339" i="43"/>
  <c r="Q339" i="43"/>
  <c r="R339" i="43"/>
  <c r="S339" i="43"/>
  <c r="T339" i="43"/>
  <c r="U339" i="43"/>
  <c r="V339" i="43"/>
  <c r="W339" i="43"/>
  <c r="X339" i="43"/>
  <c r="Y339" i="43"/>
  <c r="Z339" i="43"/>
  <c r="AA339" i="43"/>
  <c r="AB339" i="43"/>
  <c r="AC339" i="43"/>
  <c r="AD339" i="43"/>
  <c r="AE339" i="43"/>
  <c r="AF339" i="43"/>
  <c r="AG339" i="43"/>
  <c r="AH339" i="43"/>
  <c r="AI339" i="43"/>
  <c r="AJ339" i="43"/>
  <c r="AK339" i="43"/>
  <c r="AL339" i="43"/>
  <c r="AM339" i="43"/>
  <c r="AN339" i="43"/>
  <c r="AO339" i="43"/>
  <c r="AP339" i="43"/>
  <c r="AQ339" i="43"/>
  <c r="AR339" i="43"/>
  <c r="AS339" i="43"/>
  <c r="AT339" i="43"/>
  <c r="AU339" i="43"/>
  <c r="AV339" i="43"/>
  <c r="AW339" i="43"/>
  <c r="AX339" i="43"/>
  <c r="AY339" i="43"/>
  <c r="AZ339" i="43"/>
  <c r="BA339" i="43"/>
  <c r="BB339" i="43"/>
  <c r="BC339" i="43"/>
  <c r="BD339" i="43"/>
  <c r="BE339" i="43"/>
  <c r="BF339" i="43"/>
  <c r="BG339" i="43"/>
  <c r="BH339" i="43"/>
  <c r="BI339" i="43"/>
  <c r="BJ339" i="43"/>
  <c r="BK339" i="43"/>
  <c r="BL339" i="43"/>
  <c r="BM339" i="43"/>
  <c r="BN339" i="43"/>
  <c r="BO339" i="43"/>
  <c r="BP339" i="43"/>
  <c r="BQ339" i="43"/>
  <c r="BR339" i="43"/>
  <c r="BS339" i="43"/>
  <c r="BT339" i="43"/>
  <c r="BU339" i="43"/>
  <c r="BV339" i="43"/>
  <c r="BW339" i="43"/>
  <c r="BX339" i="43"/>
  <c r="BY339" i="43"/>
  <c r="BZ339" i="43"/>
  <c r="CA339" i="43"/>
  <c r="CB339" i="43"/>
  <c r="CC339" i="43"/>
  <c r="CD339" i="43"/>
  <c r="CE339" i="43"/>
  <c r="CF339" i="43"/>
  <c r="CG339" i="43"/>
  <c r="CH339" i="43"/>
  <c r="CI339" i="43"/>
  <c r="CJ339" i="43"/>
  <c r="CK339" i="43"/>
  <c r="CL339" i="43"/>
  <c r="CM339" i="43"/>
  <c r="CN339" i="43"/>
  <c r="CO339" i="43"/>
  <c r="CP339" i="43"/>
  <c r="CQ339" i="43"/>
  <c r="CR339" i="43"/>
  <c r="CS339" i="43"/>
  <c r="CT339" i="43"/>
  <c r="CU339" i="43"/>
  <c r="CV339" i="43"/>
  <c r="CW339" i="43"/>
  <c r="CX339" i="43"/>
  <c r="CY339" i="43"/>
  <c r="CZ339" i="43"/>
  <c r="DA339" i="43"/>
  <c r="DB339" i="43"/>
  <c r="DC339" i="43"/>
  <c r="DD339" i="43"/>
  <c r="DE339" i="43"/>
  <c r="DF339" i="43"/>
  <c r="DG339" i="43"/>
  <c r="DH339" i="43"/>
  <c r="DI339" i="43"/>
  <c r="DJ339" i="43"/>
  <c r="DK339" i="43"/>
  <c r="DL339" i="43"/>
  <c r="DM339" i="43"/>
  <c r="DN339" i="43"/>
  <c r="DO339" i="43"/>
  <c r="DP339" i="43"/>
  <c r="DQ339" i="43"/>
  <c r="DR339" i="43"/>
  <c r="DS339" i="43"/>
  <c r="DT339" i="43"/>
  <c r="DU339" i="43"/>
  <c r="DV339" i="43"/>
  <c r="DW339" i="43"/>
  <c r="DX339" i="43"/>
  <c r="DY339" i="43"/>
  <c r="DZ339" i="43"/>
  <c r="EA339" i="43"/>
  <c r="EB339" i="43"/>
  <c r="EC339" i="43"/>
  <c r="ED339" i="43"/>
  <c r="EE339" i="43"/>
  <c r="EF339" i="43"/>
  <c r="EG339" i="43"/>
  <c r="EH339" i="43"/>
  <c r="EI339" i="43"/>
  <c r="EJ339" i="43"/>
  <c r="EK339" i="43"/>
  <c r="EL339" i="43"/>
  <c r="EM339" i="43"/>
  <c r="EN339" i="43"/>
  <c r="EO339" i="43"/>
  <c r="EP339" i="43"/>
  <c r="EQ339" i="43"/>
  <c r="ER339" i="43"/>
  <c r="ES339" i="43"/>
  <c r="ET339" i="43"/>
  <c r="EU339" i="43"/>
  <c r="EV339" i="43"/>
  <c r="EW339" i="43"/>
  <c r="EX339" i="43"/>
  <c r="EY339" i="43"/>
  <c r="EZ339" i="43"/>
  <c r="FA339" i="43"/>
  <c r="FB339" i="43"/>
  <c r="FC339" i="43"/>
  <c r="FD339" i="43"/>
  <c r="FE339" i="43"/>
  <c r="FF339" i="43"/>
  <c r="FG339" i="43"/>
  <c r="FH339" i="43"/>
  <c r="FI339" i="43"/>
  <c r="FJ339" i="43"/>
  <c r="FK339" i="43"/>
  <c r="FL339" i="43"/>
  <c r="FM339" i="43"/>
  <c r="FN339" i="43"/>
  <c r="FO339" i="43"/>
  <c r="FP339" i="43"/>
  <c r="FQ339" i="43"/>
  <c r="FR339" i="43"/>
  <c r="FS339" i="43"/>
  <c r="FT339" i="43"/>
  <c r="FU339" i="43"/>
  <c r="FV339" i="43"/>
  <c r="FW339" i="43"/>
  <c r="FX339" i="43"/>
  <c r="FY339" i="43"/>
  <c r="FZ339" i="43"/>
  <c r="GA339" i="43"/>
  <c r="GB339" i="43"/>
  <c r="GC339" i="43"/>
  <c r="GD339" i="43"/>
  <c r="GE339" i="43"/>
  <c r="GF339" i="43"/>
  <c r="GG339" i="43"/>
  <c r="GH339" i="43"/>
  <c r="GI339" i="43"/>
  <c r="GJ339" i="43"/>
  <c r="GK339" i="43"/>
  <c r="GL339" i="43"/>
  <c r="GM339" i="43"/>
  <c r="GN339" i="43"/>
  <c r="GO339" i="43"/>
  <c r="GP339" i="43"/>
  <c r="GQ339" i="43"/>
  <c r="GR339" i="43"/>
  <c r="GS339" i="43"/>
  <c r="GT339" i="43"/>
  <c r="GU339" i="43"/>
  <c r="GV339" i="43"/>
  <c r="GW339" i="43"/>
  <c r="GX339" i="43"/>
  <c r="GY339" i="43"/>
  <c r="GZ339" i="43"/>
  <c r="HA339" i="43"/>
  <c r="HB339" i="43"/>
  <c r="HC339" i="43"/>
  <c r="HD339" i="43"/>
  <c r="HE339" i="43"/>
  <c r="HF339" i="43"/>
  <c r="HG339" i="43"/>
  <c r="HH339" i="43"/>
  <c r="HI339" i="43"/>
  <c r="HJ339" i="43"/>
  <c r="HK339" i="43"/>
  <c r="HL339" i="43"/>
  <c r="HM339" i="43"/>
  <c r="HN339" i="43"/>
  <c r="HO339" i="43"/>
  <c r="HP339" i="43"/>
  <c r="HQ339" i="43"/>
  <c r="HR339" i="43"/>
  <c r="HS339" i="43"/>
  <c r="HT339" i="43"/>
  <c r="HU339" i="43"/>
  <c r="HV339" i="43"/>
  <c r="HW339" i="43"/>
  <c r="HX339" i="43"/>
  <c r="HY339" i="43"/>
  <c r="HZ339" i="43"/>
  <c r="IA339" i="43"/>
  <c r="IB339" i="43"/>
  <c r="IC339" i="43"/>
  <c r="ID339" i="43"/>
  <c r="IE339" i="43"/>
  <c r="IF339" i="43"/>
  <c r="IG339" i="43"/>
  <c r="IH339" i="43"/>
  <c r="II339" i="43"/>
  <c r="IJ339" i="43"/>
  <c r="IK339" i="43"/>
  <c r="IL339" i="43"/>
  <c r="IM339" i="43"/>
  <c r="IN339" i="43"/>
  <c r="IO339" i="43"/>
  <c r="IP339" i="43"/>
  <c r="IQ339" i="43"/>
  <c r="IR339" i="43"/>
  <c r="IS339" i="43"/>
  <c r="IT339" i="43"/>
  <c r="IU339" i="43"/>
  <c r="IV339" i="43"/>
  <c r="A338" i="43"/>
  <c r="B338" i="43"/>
  <c r="C338" i="43"/>
  <c r="D338" i="43"/>
  <c r="E338" i="43"/>
  <c r="F338" i="43"/>
  <c r="G338" i="43"/>
  <c r="H338" i="43"/>
  <c r="I338" i="43"/>
  <c r="J338" i="43"/>
  <c r="K338" i="43"/>
  <c r="L338" i="43"/>
  <c r="M338" i="43"/>
  <c r="N338" i="43"/>
  <c r="O338" i="43"/>
  <c r="P338" i="43"/>
  <c r="Q338" i="43"/>
  <c r="R338" i="43"/>
  <c r="S338" i="43"/>
  <c r="T338" i="43"/>
  <c r="U338" i="43"/>
  <c r="V338" i="43"/>
  <c r="W338" i="43"/>
  <c r="X338" i="43"/>
  <c r="Y338" i="43"/>
  <c r="Z338" i="43"/>
  <c r="AA338" i="43"/>
  <c r="AB338" i="43"/>
  <c r="AC338" i="43"/>
  <c r="AD338" i="43"/>
  <c r="AE338" i="43"/>
  <c r="AF338" i="43"/>
  <c r="AG338" i="43"/>
  <c r="AH338" i="43"/>
  <c r="AI338" i="43"/>
  <c r="AJ338" i="43"/>
  <c r="AK338" i="43"/>
  <c r="AL338" i="43"/>
  <c r="AM338" i="43"/>
  <c r="AN338" i="43"/>
  <c r="AO338" i="43"/>
  <c r="AP338" i="43"/>
  <c r="AQ338" i="43"/>
  <c r="AR338" i="43"/>
  <c r="AS338" i="43"/>
  <c r="AT338" i="43"/>
  <c r="AU338" i="43"/>
  <c r="AV338" i="43"/>
  <c r="AW338" i="43"/>
  <c r="AX338" i="43"/>
  <c r="AY338" i="43"/>
  <c r="AZ338" i="43"/>
  <c r="BA338" i="43"/>
  <c r="BB338" i="43"/>
  <c r="BC338" i="43"/>
  <c r="BD338" i="43"/>
  <c r="BE338" i="43"/>
  <c r="BF338" i="43"/>
  <c r="BG338" i="43"/>
  <c r="BH338" i="43"/>
  <c r="BI338" i="43"/>
  <c r="BJ338" i="43"/>
  <c r="BK338" i="43"/>
  <c r="BL338" i="43"/>
  <c r="BM338" i="43"/>
  <c r="BN338" i="43"/>
  <c r="BO338" i="43"/>
  <c r="BP338" i="43"/>
  <c r="BQ338" i="43"/>
  <c r="BR338" i="43"/>
  <c r="BS338" i="43"/>
  <c r="BT338" i="43"/>
  <c r="BU338" i="43"/>
  <c r="BV338" i="43"/>
  <c r="BW338" i="43"/>
  <c r="BX338" i="43"/>
  <c r="BY338" i="43"/>
  <c r="BZ338" i="43"/>
  <c r="CA338" i="43"/>
  <c r="CB338" i="43"/>
  <c r="CC338" i="43"/>
  <c r="CD338" i="43"/>
  <c r="CE338" i="43"/>
  <c r="CF338" i="43"/>
  <c r="CG338" i="43"/>
  <c r="CH338" i="43"/>
  <c r="CI338" i="43"/>
  <c r="CJ338" i="43"/>
  <c r="CK338" i="43"/>
  <c r="CL338" i="43"/>
  <c r="CM338" i="43"/>
  <c r="CN338" i="43"/>
  <c r="CO338" i="43"/>
  <c r="CP338" i="43"/>
  <c r="CQ338" i="43"/>
  <c r="CR338" i="43"/>
  <c r="CS338" i="43"/>
  <c r="CT338" i="43"/>
  <c r="CU338" i="43"/>
  <c r="CV338" i="43"/>
  <c r="CW338" i="43"/>
  <c r="CX338" i="43"/>
  <c r="CY338" i="43"/>
  <c r="CZ338" i="43"/>
  <c r="DA338" i="43"/>
  <c r="DB338" i="43"/>
  <c r="DC338" i="43"/>
  <c r="DD338" i="43"/>
  <c r="DE338" i="43"/>
  <c r="DF338" i="43"/>
  <c r="DG338" i="43"/>
  <c r="DH338" i="43"/>
  <c r="DI338" i="43"/>
  <c r="DJ338" i="43"/>
  <c r="DK338" i="43"/>
  <c r="DL338" i="43"/>
  <c r="DM338" i="43"/>
  <c r="DN338" i="43"/>
  <c r="DO338" i="43"/>
  <c r="DP338" i="43"/>
  <c r="DQ338" i="43"/>
  <c r="DR338" i="43"/>
  <c r="DS338" i="43"/>
  <c r="DT338" i="43"/>
  <c r="DU338" i="43"/>
  <c r="DV338" i="43"/>
  <c r="DW338" i="43"/>
  <c r="DX338" i="43"/>
  <c r="DY338" i="43"/>
  <c r="DZ338" i="43"/>
  <c r="EA338" i="43"/>
  <c r="EB338" i="43"/>
  <c r="EC338" i="43"/>
  <c r="ED338" i="43"/>
  <c r="EE338" i="43"/>
  <c r="EF338" i="43"/>
  <c r="EG338" i="43"/>
  <c r="EH338" i="43"/>
  <c r="EI338" i="43"/>
  <c r="EJ338" i="43"/>
  <c r="EK338" i="43"/>
  <c r="EL338" i="43"/>
  <c r="EM338" i="43"/>
  <c r="EN338" i="43"/>
  <c r="EO338" i="43"/>
  <c r="EP338" i="43"/>
  <c r="EQ338" i="43"/>
  <c r="ER338" i="43"/>
  <c r="ES338" i="43"/>
  <c r="ET338" i="43"/>
  <c r="EU338" i="43"/>
  <c r="EV338" i="43"/>
  <c r="EW338" i="43"/>
  <c r="EX338" i="43"/>
  <c r="EY338" i="43"/>
  <c r="EZ338" i="43"/>
  <c r="FA338" i="43"/>
  <c r="FB338" i="43"/>
  <c r="FC338" i="43"/>
  <c r="FD338" i="43"/>
  <c r="FE338" i="43"/>
  <c r="FF338" i="43"/>
  <c r="FG338" i="43"/>
  <c r="FH338" i="43"/>
  <c r="FI338" i="43"/>
  <c r="FJ338" i="43"/>
  <c r="FK338" i="43"/>
  <c r="FL338" i="43"/>
  <c r="FM338" i="43"/>
  <c r="FN338" i="43"/>
  <c r="FO338" i="43"/>
  <c r="FP338" i="43"/>
  <c r="FQ338" i="43"/>
  <c r="FR338" i="43"/>
  <c r="FS338" i="43"/>
  <c r="FT338" i="43"/>
  <c r="FU338" i="43"/>
  <c r="FV338" i="43"/>
  <c r="FW338" i="43"/>
  <c r="FX338" i="43"/>
  <c r="FY338" i="43"/>
  <c r="FZ338" i="43"/>
  <c r="GA338" i="43"/>
  <c r="GB338" i="43"/>
  <c r="GC338" i="43"/>
  <c r="GD338" i="43"/>
  <c r="GE338" i="43"/>
  <c r="GF338" i="43"/>
  <c r="GG338" i="43"/>
  <c r="GH338" i="43"/>
  <c r="GI338" i="43"/>
  <c r="GJ338" i="43"/>
  <c r="GK338" i="43"/>
  <c r="GL338" i="43"/>
  <c r="GM338" i="43"/>
  <c r="GN338" i="43"/>
  <c r="GO338" i="43"/>
  <c r="GP338" i="43"/>
  <c r="GQ338" i="43"/>
  <c r="GR338" i="43"/>
  <c r="GS338" i="43"/>
  <c r="GT338" i="43"/>
  <c r="GU338" i="43"/>
  <c r="GV338" i="43"/>
  <c r="GW338" i="43"/>
  <c r="GX338" i="43"/>
  <c r="GY338" i="43"/>
  <c r="GZ338" i="43"/>
  <c r="HA338" i="43"/>
  <c r="HB338" i="43"/>
  <c r="HC338" i="43"/>
  <c r="HD338" i="43"/>
  <c r="HE338" i="43"/>
  <c r="HF338" i="43"/>
  <c r="HG338" i="43"/>
  <c r="HH338" i="43"/>
  <c r="HI338" i="43"/>
  <c r="HJ338" i="43"/>
  <c r="HK338" i="43"/>
  <c r="HL338" i="43"/>
  <c r="HM338" i="43"/>
  <c r="HN338" i="43"/>
  <c r="HO338" i="43"/>
  <c r="HP338" i="43"/>
  <c r="HQ338" i="43"/>
  <c r="HR338" i="43"/>
  <c r="HS338" i="43"/>
  <c r="HT338" i="43"/>
  <c r="HU338" i="43"/>
  <c r="HV338" i="43"/>
  <c r="HW338" i="43"/>
  <c r="HX338" i="43"/>
  <c r="HY338" i="43"/>
  <c r="HZ338" i="43"/>
  <c r="IA338" i="43"/>
  <c r="IB338" i="43"/>
  <c r="IC338" i="43"/>
  <c r="ID338" i="43"/>
  <c r="IE338" i="43"/>
  <c r="IF338" i="43"/>
  <c r="IG338" i="43"/>
  <c r="IH338" i="43"/>
  <c r="II338" i="43"/>
  <c r="IJ338" i="43"/>
  <c r="IK338" i="43"/>
  <c r="IL338" i="43"/>
  <c r="IM338" i="43"/>
  <c r="IN338" i="43"/>
  <c r="IO338" i="43"/>
  <c r="IP338" i="43"/>
  <c r="IQ338" i="43"/>
  <c r="IR338" i="43"/>
  <c r="IS338" i="43"/>
  <c r="IT338" i="43"/>
  <c r="IU338" i="43"/>
  <c r="IV338" i="43"/>
  <c r="A337" i="43"/>
  <c r="B337" i="43"/>
  <c r="C337" i="43"/>
  <c r="D337" i="43"/>
  <c r="E337" i="43"/>
  <c r="F337" i="43"/>
  <c r="G337" i="43"/>
  <c r="H337" i="43"/>
  <c r="I337" i="43"/>
  <c r="J337" i="43"/>
  <c r="K337" i="43"/>
  <c r="L337" i="43"/>
  <c r="M337" i="43"/>
  <c r="N337" i="43"/>
  <c r="O337" i="43"/>
  <c r="P337" i="43"/>
  <c r="Q337" i="43"/>
  <c r="R337" i="43"/>
  <c r="S337" i="43"/>
  <c r="T337" i="43"/>
  <c r="U337" i="43"/>
  <c r="V337" i="43"/>
  <c r="W337" i="43"/>
  <c r="X337" i="43"/>
  <c r="Y337" i="43"/>
  <c r="Z337" i="43"/>
  <c r="AA337" i="43"/>
  <c r="AB337" i="43"/>
  <c r="AC337" i="43"/>
  <c r="AD337" i="43"/>
  <c r="AE337" i="43"/>
  <c r="AF337" i="43"/>
  <c r="AG337" i="43"/>
  <c r="AH337" i="43"/>
  <c r="AI337" i="43"/>
  <c r="AJ337" i="43"/>
  <c r="AK337" i="43"/>
  <c r="AL337" i="43"/>
  <c r="AM337" i="43"/>
  <c r="AN337" i="43"/>
  <c r="AO337" i="43"/>
  <c r="AP337" i="43"/>
  <c r="AQ337" i="43"/>
  <c r="AR337" i="43"/>
  <c r="AS337" i="43"/>
  <c r="AT337" i="43"/>
  <c r="AU337" i="43"/>
  <c r="AV337" i="43"/>
  <c r="AW337" i="43"/>
  <c r="AX337" i="43"/>
  <c r="AY337" i="43"/>
  <c r="AZ337" i="43"/>
  <c r="BA337" i="43"/>
  <c r="BB337" i="43"/>
  <c r="BC337" i="43"/>
  <c r="BD337" i="43"/>
  <c r="BE337" i="43"/>
  <c r="BF337" i="43"/>
  <c r="BG337" i="43"/>
  <c r="BH337" i="43"/>
  <c r="BI337" i="43"/>
  <c r="BJ337" i="43"/>
  <c r="BK337" i="43"/>
  <c r="BL337" i="43"/>
  <c r="BM337" i="43"/>
  <c r="BN337" i="43"/>
  <c r="BO337" i="43"/>
  <c r="BP337" i="43"/>
  <c r="BQ337" i="43"/>
  <c r="BR337" i="43"/>
  <c r="BS337" i="43"/>
  <c r="BT337" i="43"/>
  <c r="BU337" i="43"/>
  <c r="BV337" i="43"/>
  <c r="BW337" i="43"/>
  <c r="BX337" i="43"/>
  <c r="BY337" i="43"/>
  <c r="BZ337" i="43"/>
  <c r="CA337" i="43"/>
  <c r="CB337" i="43"/>
  <c r="CC337" i="43"/>
  <c r="CD337" i="43"/>
  <c r="CE337" i="43"/>
  <c r="CF337" i="43"/>
  <c r="CG337" i="43"/>
  <c r="CH337" i="43"/>
  <c r="CI337" i="43"/>
  <c r="CJ337" i="43"/>
  <c r="CK337" i="43"/>
  <c r="CL337" i="43"/>
  <c r="CM337" i="43"/>
  <c r="CN337" i="43"/>
  <c r="CO337" i="43"/>
  <c r="CP337" i="43"/>
  <c r="CQ337" i="43"/>
  <c r="CR337" i="43"/>
  <c r="CS337" i="43"/>
  <c r="CT337" i="43"/>
  <c r="CU337" i="43"/>
  <c r="CV337" i="43"/>
  <c r="CW337" i="43"/>
  <c r="CX337" i="43"/>
  <c r="CY337" i="43"/>
  <c r="CZ337" i="43"/>
  <c r="DA337" i="43"/>
  <c r="DB337" i="43"/>
  <c r="DC337" i="43"/>
  <c r="DD337" i="43"/>
  <c r="DE337" i="43"/>
  <c r="DF337" i="43"/>
  <c r="DG337" i="43"/>
  <c r="DH337" i="43"/>
  <c r="DI337" i="43"/>
  <c r="DJ337" i="43"/>
  <c r="DK337" i="43"/>
  <c r="DL337" i="43"/>
  <c r="DM337" i="43"/>
  <c r="DN337" i="43"/>
  <c r="DO337" i="43"/>
  <c r="DP337" i="43"/>
  <c r="DQ337" i="43"/>
  <c r="DR337" i="43"/>
  <c r="DS337" i="43"/>
  <c r="DT337" i="43"/>
  <c r="DU337" i="43"/>
  <c r="DV337" i="43"/>
  <c r="DW337" i="43"/>
  <c r="DX337" i="43"/>
  <c r="DY337" i="43"/>
  <c r="DZ337" i="43"/>
  <c r="EA337" i="43"/>
  <c r="EB337" i="43"/>
  <c r="EC337" i="43"/>
  <c r="ED337" i="43"/>
  <c r="EE337" i="43"/>
  <c r="EF337" i="43"/>
  <c r="EG337" i="43"/>
  <c r="EH337" i="43"/>
  <c r="EI337" i="43"/>
  <c r="EJ337" i="43"/>
  <c r="EK337" i="43"/>
  <c r="EL337" i="43"/>
  <c r="EM337" i="43"/>
  <c r="EN337" i="43"/>
  <c r="EO337" i="43"/>
  <c r="EP337" i="43"/>
  <c r="EQ337" i="43"/>
  <c r="ER337" i="43"/>
  <c r="ES337" i="43"/>
  <c r="ET337" i="43"/>
  <c r="EU337" i="43"/>
  <c r="EV337" i="43"/>
  <c r="EW337" i="43"/>
  <c r="EX337" i="43"/>
  <c r="EY337" i="43"/>
  <c r="EZ337" i="43"/>
  <c r="FA337" i="43"/>
  <c r="FB337" i="43"/>
  <c r="FC337" i="43"/>
  <c r="FD337" i="43"/>
  <c r="FE337" i="43"/>
  <c r="FF337" i="43"/>
  <c r="FG337" i="43"/>
  <c r="FH337" i="43"/>
  <c r="FI337" i="43"/>
  <c r="FJ337" i="43"/>
  <c r="FK337" i="43"/>
  <c r="FL337" i="43"/>
  <c r="FM337" i="43"/>
  <c r="FN337" i="43"/>
  <c r="FO337" i="43"/>
  <c r="FP337" i="43"/>
  <c r="FQ337" i="43"/>
  <c r="FR337" i="43"/>
  <c r="FS337" i="43"/>
  <c r="FT337" i="43"/>
  <c r="FU337" i="43"/>
  <c r="FV337" i="43"/>
  <c r="FW337" i="43"/>
  <c r="FX337" i="43"/>
  <c r="FY337" i="43"/>
  <c r="FZ337" i="43"/>
  <c r="GA337" i="43"/>
  <c r="GB337" i="43"/>
  <c r="GC337" i="43"/>
  <c r="GD337" i="43"/>
  <c r="GE337" i="43"/>
  <c r="GF337" i="43"/>
  <c r="GG337" i="43"/>
  <c r="GH337" i="43"/>
  <c r="GI337" i="43"/>
  <c r="GJ337" i="43"/>
  <c r="GK337" i="43"/>
  <c r="GL337" i="43"/>
  <c r="GM337" i="43"/>
  <c r="GN337" i="43"/>
  <c r="GO337" i="43"/>
  <c r="GP337" i="43"/>
  <c r="GQ337" i="43"/>
  <c r="GR337" i="43"/>
  <c r="GS337" i="43"/>
  <c r="GT337" i="43"/>
  <c r="GU337" i="43"/>
  <c r="GV337" i="43"/>
  <c r="GW337" i="43"/>
  <c r="GX337" i="43"/>
  <c r="GY337" i="43"/>
  <c r="GZ337" i="43"/>
  <c r="HA337" i="43"/>
  <c r="HB337" i="43"/>
  <c r="HC337" i="43"/>
  <c r="HD337" i="43"/>
  <c r="HE337" i="43"/>
  <c r="HF337" i="43"/>
  <c r="HG337" i="43"/>
  <c r="HH337" i="43"/>
  <c r="HI337" i="43"/>
  <c r="HJ337" i="43"/>
  <c r="HK337" i="43"/>
  <c r="HL337" i="43"/>
  <c r="HM337" i="43"/>
  <c r="HN337" i="43"/>
  <c r="HO337" i="43"/>
  <c r="HP337" i="43"/>
  <c r="HQ337" i="43"/>
  <c r="HR337" i="43"/>
  <c r="HS337" i="43"/>
  <c r="HT337" i="43"/>
  <c r="HU337" i="43"/>
  <c r="HV337" i="43"/>
  <c r="HW337" i="43"/>
  <c r="HX337" i="43"/>
  <c r="HY337" i="43"/>
  <c r="HZ337" i="43"/>
  <c r="IA337" i="43"/>
  <c r="IB337" i="43"/>
  <c r="IC337" i="43"/>
  <c r="ID337" i="43"/>
  <c r="IE337" i="43"/>
  <c r="IF337" i="43"/>
  <c r="IG337" i="43"/>
  <c r="IH337" i="43"/>
  <c r="II337" i="43"/>
  <c r="IJ337" i="43"/>
  <c r="IK337" i="43"/>
  <c r="IL337" i="43"/>
  <c r="IM337" i="43"/>
  <c r="IN337" i="43"/>
  <c r="IO337" i="43"/>
  <c r="IP337" i="43"/>
  <c r="IQ337" i="43"/>
  <c r="IR337" i="43"/>
  <c r="IS337" i="43"/>
  <c r="IT337" i="43"/>
  <c r="IU337" i="43"/>
  <c r="IV337" i="43"/>
  <c r="A336" i="43"/>
  <c r="B336" i="43"/>
  <c r="C336" i="43"/>
  <c r="D336" i="43"/>
  <c r="E336" i="43"/>
  <c r="F336" i="43"/>
  <c r="G336" i="43"/>
  <c r="H336" i="43"/>
  <c r="I336" i="43"/>
  <c r="J336" i="43"/>
  <c r="K336" i="43"/>
  <c r="L336" i="43"/>
  <c r="M336" i="43"/>
  <c r="N336" i="43"/>
  <c r="O336" i="43"/>
  <c r="P336" i="43"/>
  <c r="Q336" i="43"/>
  <c r="R336" i="43"/>
  <c r="S336" i="43"/>
  <c r="T336" i="43"/>
  <c r="U336" i="43"/>
  <c r="V336" i="43"/>
  <c r="W336" i="43"/>
  <c r="X336" i="43"/>
  <c r="Y336" i="43"/>
  <c r="Z336" i="43"/>
  <c r="AA336" i="43"/>
  <c r="AB336" i="43"/>
  <c r="AC336" i="43"/>
  <c r="AD336" i="43"/>
  <c r="AE336" i="43"/>
  <c r="AF336" i="43"/>
  <c r="AG336" i="43"/>
  <c r="AH336" i="43"/>
  <c r="AI336" i="43"/>
  <c r="AJ336" i="43"/>
  <c r="AK336" i="43"/>
  <c r="AL336" i="43"/>
  <c r="AM336" i="43"/>
  <c r="AN336" i="43"/>
  <c r="AO336" i="43"/>
  <c r="AP336" i="43"/>
  <c r="AQ336" i="43"/>
  <c r="AR336" i="43"/>
  <c r="AS336" i="43"/>
  <c r="AT336" i="43"/>
  <c r="AU336" i="43"/>
  <c r="AV336" i="43"/>
  <c r="AW336" i="43"/>
  <c r="AX336" i="43"/>
  <c r="AY336" i="43"/>
  <c r="AZ336" i="43"/>
  <c r="BA336" i="43"/>
  <c r="BB336" i="43"/>
  <c r="BC336" i="43"/>
  <c r="BD336" i="43"/>
  <c r="BE336" i="43"/>
  <c r="BF336" i="43"/>
  <c r="BG336" i="43"/>
  <c r="BH336" i="43"/>
  <c r="BI336" i="43"/>
  <c r="BJ336" i="43"/>
  <c r="BK336" i="43"/>
  <c r="BL336" i="43"/>
  <c r="BM336" i="43"/>
  <c r="BN336" i="43"/>
  <c r="BO336" i="43"/>
  <c r="BP336" i="43"/>
  <c r="BQ336" i="43"/>
  <c r="BR336" i="43"/>
  <c r="BS336" i="43"/>
  <c r="BT336" i="43"/>
  <c r="BU336" i="43"/>
  <c r="BV336" i="43"/>
  <c r="BW336" i="43"/>
  <c r="BX336" i="43"/>
  <c r="BY336" i="43"/>
  <c r="BZ336" i="43"/>
  <c r="CA336" i="43"/>
  <c r="CB336" i="43"/>
  <c r="CC336" i="43"/>
  <c r="CD336" i="43"/>
  <c r="CE336" i="43"/>
  <c r="CF336" i="43"/>
  <c r="CG336" i="43"/>
  <c r="CH336" i="43"/>
  <c r="CI336" i="43"/>
  <c r="CJ336" i="43"/>
  <c r="CK336" i="43"/>
  <c r="CL336" i="43"/>
  <c r="CM336" i="43"/>
  <c r="CN336" i="43"/>
  <c r="CO336" i="43"/>
  <c r="CP336" i="43"/>
  <c r="CQ336" i="43"/>
  <c r="CR336" i="43"/>
  <c r="CS336" i="43"/>
  <c r="CT336" i="43"/>
  <c r="CU336" i="43"/>
  <c r="CV336" i="43"/>
  <c r="CW336" i="43"/>
  <c r="CX336" i="43"/>
  <c r="CY336" i="43"/>
  <c r="CZ336" i="43"/>
  <c r="DA336" i="43"/>
  <c r="DB336" i="43"/>
  <c r="DC336" i="43"/>
  <c r="DD336" i="43"/>
  <c r="DE336" i="43"/>
  <c r="DF336" i="43"/>
  <c r="DG336" i="43"/>
  <c r="DH336" i="43"/>
  <c r="DI336" i="43"/>
  <c r="DJ336" i="43"/>
  <c r="DK336" i="43"/>
  <c r="DL336" i="43"/>
  <c r="DM336" i="43"/>
  <c r="DN336" i="43"/>
  <c r="DO336" i="43"/>
  <c r="DP336" i="43"/>
  <c r="DQ336" i="43"/>
  <c r="DR336" i="43"/>
  <c r="DS336" i="43"/>
  <c r="DT336" i="43"/>
  <c r="DU336" i="43"/>
  <c r="DV336" i="43"/>
  <c r="DW336" i="43"/>
  <c r="DX336" i="43"/>
  <c r="DY336" i="43"/>
  <c r="DZ336" i="43"/>
  <c r="EA336" i="43"/>
  <c r="EB336" i="43"/>
  <c r="EC336" i="43"/>
  <c r="ED336" i="43"/>
  <c r="EE336" i="43"/>
  <c r="EF336" i="43"/>
  <c r="EG336" i="43"/>
  <c r="EH336" i="43"/>
  <c r="EI336" i="43"/>
  <c r="EJ336" i="43"/>
  <c r="EK336" i="43"/>
  <c r="EL336" i="43"/>
  <c r="EM336" i="43"/>
  <c r="EN336" i="43"/>
  <c r="EO336" i="43"/>
  <c r="EP336" i="43"/>
  <c r="EQ336" i="43"/>
  <c r="ER336" i="43"/>
  <c r="ES336" i="43"/>
  <c r="ET336" i="43"/>
  <c r="EU336" i="43"/>
  <c r="EV336" i="43"/>
  <c r="EW336" i="43"/>
  <c r="EX336" i="43"/>
  <c r="EY336" i="43"/>
  <c r="EZ336" i="43"/>
  <c r="FA336" i="43"/>
  <c r="FB336" i="43"/>
  <c r="FC336" i="43"/>
  <c r="FD336" i="43"/>
  <c r="FE336" i="43"/>
  <c r="FF336" i="43"/>
  <c r="FG336" i="43"/>
  <c r="FH336" i="43"/>
  <c r="FI336" i="43"/>
  <c r="FJ336" i="43"/>
  <c r="FK336" i="43"/>
  <c r="FL336" i="43"/>
  <c r="FM336" i="43"/>
  <c r="FN336" i="43"/>
  <c r="FO336" i="43"/>
  <c r="FP336" i="43"/>
  <c r="FQ336" i="43"/>
  <c r="FR336" i="43"/>
  <c r="FS336" i="43"/>
  <c r="FT336" i="43"/>
  <c r="FU336" i="43"/>
  <c r="FV336" i="43"/>
  <c r="FW336" i="43"/>
  <c r="FX336" i="43"/>
  <c r="FY336" i="43"/>
  <c r="FZ336" i="43"/>
  <c r="GA336" i="43"/>
  <c r="GB336" i="43"/>
  <c r="GC336" i="43"/>
  <c r="GD336" i="43"/>
  <c r="GE336" i="43"/>
  <c r="GF336" i="43"/>
  <c r="GG336" i="43"/>
  <c r="GH336" i="43"/>
  <c r="GI336" i="43"/>
  <c r="GJ336" i="43"/>
  <c r="GK336" i="43"/>
  <c r="GL336" i="43"/>
  <c r="GM336" i="43"/>
  <c r="GN336" i="43"/>
  <c r="GO336" i="43"/>
  <c r="GP336" i="43"/>
  <c r="GQ336" i="43"/>
  <c r="GR336" i="43"/>
  <c r="GS336" i="43"/>
  <c r="GT336" i="43"/>
  <c r="GU336" i="43"/>
  <c r="GV336" i="43"/>
  <c r="GW336" i="43"/>
  <c r="GX336" i="43"/>
  <c r="GY336" i="43"/>
  <c r="GZ336" i="43"/>
  <c r="HA336" i="43"/>
  <c r="HB336" i="43"/>
  <c r="HC336" i="43"/>
  <c r="HD336" i="43"/>
  <c r="HE336" i="43"/>
  <c r="HF336" i="43"/>
  <c r="HG336" i="43"/>
  <c r="HH336" i="43"/>
  <c r="HI336" i="43"/>
  <c r="HJ336" i="43"/>
  <c r="HK336" i="43"/>
  <c r="HL336" i="43"/>
  <c r="HM336" i="43"/>
  <c r="HN336" i="43"/>
  <c r="HO336" i="43"/>
  <c r="HP336" i="43"/>
  <c r="HQ336" i="43"/>
  <c r="HR336" i="43"/>
  <c r="HS336" i="43"/>
  <c r="HT336" i="43"/>
  <c r="HU336" i="43"/>
  <c r="HV336" i="43"/>
  <c r="HW336" i="43"/>
  <c r="HX336" i="43"/>
  <c r="HY336" i="43"/>
  <c r="HZ336" i="43"/>
  <c r="IA336" i="43"/>
  <c r="IB336" i="43"/>
  <c r="IC336" i="43"/>
  <c r="ID336" i="43"/>
  <c r="IE336" i="43"/>
  <c r="IF336" i="43"/>
  <c r="IG336" i="43"/>
  <c r="IH336" i="43"/>
  <c r="II336" i="43"/>
  <c r="IJ336" i="43"/>
  <c r="IK336" i="43"/>
  <c r="IL336" i="43"/>
  <c r="IM336" i="43"/>
  <c r="IN336" i="43"/>
  <c r="IO336" i="43"/>
  <c r="IP336" i="43"/>
  <c r="IQ336" i="43"/>
  <c r="IR336" i="43"/>
  <c r="IS336" i="43"/>
  <c r="IT336" i="43"/>
  <c r="IU336" i="43"/>
  <c r="IV336" i="43"/>
  <c r="A335" i="43"/>
  <c r="B335" i="43"/>
  <c r="C335" i="43"/>
  <c r="D335" i="43"/>
  <c r="E335" i="43"/>
  <c r="F335" i="43"/>
  <c r="G335" i="43"/>
  <c r="H335" i="43"/>
  <c r="I335" i="43"/>
  <c r="J335" i="43"/>
  <c r="K335" i="43"/>
  <c r="L335" i="43"/>
  <c r="M335" i="43"/>
  <c r="N335" i="43"/>
  <c r="O335" i="43"/>
  <c r="P335" i="43"/>
  <c r="Q335" i="43"/>
  <c r="R335" i="43"/>
  <c r="S335" i="43"/>
  <c r="T335" i="43"/>
  <c r="U335" i="43"/>
  <c r="V335" i="43"/>
  <c r="W335" i="43"/>
  <c r="X335" i="43"/>
  <c r="Y335" i="43"/>
  <c r="Z335" i="43"/>
  <c r="AA335" i="43"/>
  <c r="AB335" i="43"/>
  <c r="AC335" i="43"/>
  <c r="AD335" i="43"/>
  <c r="AE335" i="43"/>
  <c r="AF335" i="43"/>
  <c r="AG335" i="43"/>
  <c r="AH335" i="43"/>
  <c r="AI335" i="43"/>
  <c r="AJ335" i="43"/>
  <c r="AK335" i="43"/>
  <c r="AL335" i="43"/>
  <c r="AM335" i="43"/>
  <c r="AN335" i="43"/>
  <c r="AO335" i="43"/>
  <c r="AP335" i="43"/>
  <c r="AQ335" i="43"/>
  <c r="AR335" i="43"/>
  <c r="AS335" i="43"/>
  <c r="AT335" i="43"/>
  <c r="AU335" i="43"/>
  <c r="AV335" i="43"/>
  <c r="AW335" i="43"/>
  <c r="AX335" i="43"/>
  <c r="AY335" i="43"/>
  <c r="AZ335" i="43"/>
  <c r="BA335" i="43"/>
  <c r="BB335" i="43"/>
  <c r="BC335" i="43"/>
  <c r="BD335" i="43"/>
  <c r="BE335" i="43"/>
  <c r="BF335" i="43"/>
  <c r="BG335" i="43"/>
  <c r="BH335" i="43"/>
  <c r="BI335" i="43"/>
  <c r="BJ335" i="43"/>
  <c r="BK335" i="43"/>
  <c r="BL335" i="43"/>
  <c r="BM335" i="43"/>
  <c r="BN335" i="43"/>
  <c r="BO335" i="43"/>
  <c r="BP335" i="43"/>
  <c r="BQ335" i="43"/>
  <c r="BR335" i="43"/>
  <c r="BS335" i="43"/>
  <c r="BT335" i="43"/>
  <c r="BU335" i="43"/>
  <c r="BV335" i="43"/>
  <c r="BW335" i="43"/>
  <c r="BX335" i="43"/>
  <c r="BY335" i="43"/>
  <c r="BZ335" i="43"/>
  <c r="CA335" i="43"/>
  <c r="CB335" i="43"/>
  <c r="CC335" i="43"/>
  <c r="CD335" i="43"/>
  <c r="CE335" i="43"/>
  <c r="CF335" i="43"/>
  <c r="CG335" i="43"/>
  <c r="CH335" i="43"/>
  <c r="CI335" i="43"/>
  <c r="CJ335" i="43"/>
  <c r="CK335" i="43"/>
  <c r="CL335" i="43"/>
  <c r="CM335" i="43"/>
  <c r="CN335" i="43"/>
  <c r="CO335" i="43"/>
  <c r="CP335" i="43"/>
  <c r="CQ335" i="43"/>
  <c r="CR335" i="43"/>
  <c r="CS335" i="43"/>
  <c r="CT335" i="43"/>
  <c r="CU335" i="43"/>
  <c r="CV335" i="43"/>
  <c r="CW335" i="43"/>
  <c r="CX335" i="43"/>
  <c r="CY335" i="43"/>
  <c r="CZ335" i="43"/>
  <c r="DA335" i="43"/>
  <c r="DB335" i="43"/>
  <c r="DC335" i="43"/>
  <c r="DD335" i="43"/>
  <c r="DE335" i="43"/>
  <c r="DF335" i="43"/>
  <c r="DG335" i="43"/>
  <c r="DH335" i="43"/>
  <c r="DI335" i="43"/>
  <c r="DJ335" i="43"/>
  <c r="DK335" i="43"/>
  <c r="DL335" i="43"/>
  <c r="DM335" i="43"/>
  <c r="DN335" i="43"/>
  <c r="DO335" i="43"/>
  <c r="DP335" i="43"/>
  <c r="DQ335" i="43"/>
  <c r="DR335" i="43"/>
  <c r="DS335" i="43"/>
  <c r="DT335" i="43"/>
  <c r="DU335" i="43"/>
  <c r="DV335" i="43"/>
  <c r="DW335" i="43"/>
  <c r="DX335" i="43"/>
  <c r="DY335" i="43"/>
  <c r="DZ335" i="43"/>
  <c r="EA335" i="43"/>
  <c r="EB335" i="43"/>
  <c r="EC335" i="43"/>
  <c r="ED335" i="43"/>
  <c r="EE335" i="43"/>
  <c r="EF335" i="43"/>
  <c r="EG335" i="43"/>
  <c r="EH335" i="43"/>
  <c r="EI335" i="43"/>
  <c r="EJ335" i="43"/>
  <c r="EK335" i="43"/>
  <c r="EL335" i="43"/>
  <c r="EM335" i="43"/>
  <c r="EN335" i="43"/>
  <c r="EO335" i="43"/>
  <c r="EP335" i="43"/>
  <c r="EQ335" i="43"/>
  <c r="ER335" i="43"/>
  <c r="ES335" i="43"/>
  <c r="ET335" i="43"/>
  <c r="EU335" i="43"/>
  <c r="EV335" i="43"/>
  <c r="EW335" i="43"/>
  <c r="EX335" i="43"/>
  <c r="EY335" i="43"/>
  <c r="EZ335" i="43"/>
  <c r="FA335" i="43"/>
  <c r="FB335" i="43"/>
  <c r="FC335" i="43"/>
  <c r="FD335" i="43"/>
  <c r="FE335" i="43"/>
  <c r="FF335" i="43"/>
  <c r="FG335" i="43"/>
  <c r="FH335" i="43"/>
  <c r="FI335" i="43"/>
  <c r="FJ335" i="43"/>
  <c r="FK335" i="43"/>
  <c r="FL335" i="43"/>
  <c r="FM335" i="43"/>
  <c r="FN335" i="43"/>
  <c r="FO335" i="43"/>
  <c r="FP335" i="43"/>
  <c r="FQ335" i="43"/>
  <c r="FR335" i="43"/>
  <c r="FS335" i="43"/>
  <c r="FT335" i="43"/>
  <c r="FU335" i="43"/>
  <c r="FV335" i="43"/>
  <c r="FW335" i="43"/>
  <c r="FX335" i="43"/>
  <c r="FY335" i="43"/>
  <c r="FZ335" i="43"/>
  <c r="GA335" i="43"/>
  <c r="GB335" i="43"/>
  <c r="GC335" i="43"/>
  <c r="GD335" i="43"/>
  <c r="GE335" i="43"/>
  <c r="GF335" i="43"/>
  <c r="GG335" i="43"/>
  <c r="GH335" i="43"/>
  <c r="GI335" i="43"/>
  <c r="GJ335" i="43"/>
  <c r="GK335" i="43"/>
  <c r="GL335" i="43"/>
  <c r="GM335" i="43"/>
  <c r="GN335" i="43"/>
  <c r="GO335" i="43"/>
  <c r="GP335" i="43"/>
  <c r="GQ335" i="43"/>
  <c r="GR335" i="43"/>
  <c r="GS335" i="43"/>
  <c r="GT335" i="43"/>
  <c r="GU335" i="43"/>
  <c r="GV335" i="43"/>
  <c r="GW335" i="43"/>
  <c r="GX335" i="43"/>
  <c r="GY335" i="43"/>
  <c r="GZ335" i="43"/>
  <c r="HA335" i="43"/>
  <c r="HB335" i="43"/>
  <c r="HC335" i="43"/>
  <c r="HD335" i="43"/>
  <c r="HE335" i="43"/>
  <c r="HF335" i="43"/>
  <c r="HG335" i="43"/>
  <c r="HH335" i="43"/>
  <c r="HI335" i="43"/>
  <c r="HJ335" i="43"/>
  <c r="HK335" i="43"/>
  <c r="HL335" i="43"/>
  <c r="HM335" i="43"/>
  <c r="HN335" i="43"/>
  <c r="HO335" i="43"/>
  <c r="HP335" i="43"/>
  <c r="HQ335" i="43"/>
  <c r="HR335" i="43"/>
  <c r="HS335" i="43"/>
  <c r="HT335" i="43"/>
  <c r="HU335" i="43"/>
  <c r="HV335" i="43"/>
  <c r="HW335" i="43"/>
  <c r="HX335" i="43"/>
  <c r="HY335" i="43"/>
  <c r="HZ335" i="43"/>
  <c r="IA335" i="43"/>
  <c r="IB335" i="43"/>
  <c r="IC335" i="43"/>
  <c r="ID335" i="43"/>
  <c r="IE335" i="43"/>
  <c r="IF335" i="43"/>
  <c r="IG335" i="43"/>
  <c r="IH335" i="43"/>
  <c r="II335" i="43"/>
  <c r="IJ335" i="43"/>
  <c r="IK335" i="43"/>
  <c r="IL335" i="43"/>
  <c r="IM335" i="43"/>
  <c r="IN335" i="43"/>
  <c r="IO335" i="43"/>
  <c r="IP335" i="43"/>
  <c r="IQ335" i="43"/>
  <c r="IR335" i="43"/>
  <c r="IS335" i="43"/>
  <c r="IT335" i="43"/>
  <c r="IU335" i="43"/>
  <c r="IV335" i="43"/>
  <c r="A334" i="43"/>
  <c r="B334" i="43"/>
  <c r="C334" i="43"/>
  <c r="D334" i="43"/>
  <c r="E334" i="43"/>
  <c r="F334" i="43"/>
  <c r="G334" i="43"/>
  <c r="H334" i="43"/>
  <c r="I334" i="43"/>
  <c r="J334" i="43"/>
  <c r="K334" i="43"/>
  <c r="L334" i="43"/>
  <c r="M334" i="43"/>
  <c r="N334" i="43"/>
  <c r="O334" i="43"/>
  <c r="P334" i="43"/>
  <c r="Q334" i="43"/>
  <c r="R334" i="43"/>
  <c r="S334" i="43"/>
  <c r="T334" i="43"/>
  <c r="U334" i="43"/>
  <c r="V334" i="43"/>
  <c r="W334" i="43"/>
  <c r="X334" i="43"/>
  <c r="Y334" i="43"/>
  <c r="Z334" i="43"/>
  <c r="AA334" i="43"/>
  <c r="AB334" i="43"/>
  <c r="AC334" i="43"/>
  <c r="AD334" i="43"/>
  <c r="AE334" i="43"/>
  <c r="AF334" i="43"/>
  <c r="AG334" i="43"/>
  <c r="AH334" i="43"/>
  <c r="AI334" i="43"/>
  <c r="AJ334" i="43"/>
  <c r="AK334" i="43"/>
  <c r="AL334" i="43"/>
  <c r="AM334" i="43"/>
  <c r="AN334" i="43"/>
  <c r="AO334" i="43"/>
  <c r="AP334" i="43"/>
  <c r="AQ334" i="43"/>
  <c r="AR334" i="43"/>
  <c r="AS334" i="43"/>
  <c r="AT334" i="43"/>
  <c r="AU334" i="43"/>
  <c r="AV334" i="43"/>
  <c r="AW334" i="43"/>
  <c r="AX334" i="43"/>
  <c r="AY334" i="43"/>
  <c r="AZ334" i="43"/>
  <c r="BA334" i="43"/>
  <c r="BB334" i="43"/>
  <c r="BC334" i="43"/>
  <c r="BD334" i="43"/>
  <c r="BE334" i="43"/>
  <c r="BF334" i="43"/>
  <c r="BG334" i="43"/>
  <c r="BH334" i="43"/>
  <c r="BI334" i="43"/>
  <c r="BJ334" i="43"/>
  <c r="BK334" i="43"/>
  <c r="BL334" i="43"/>
  <c r="BM334" i="43"/>
  <c r="BN334" i="43"/>
  <c r="BO334" i="43"/>
  <c r="BP334" i="43"/>
  <c r="BQ334" i="43"/>
  <c r="BR334" i="43"/>
  <c r="BS334" i="43"/>
  <c r="BT334" i="43"/>
  <c r="BU334" i="43"/>
  <c r="BV334" i="43"/>
  <c r="BW334" i="43"/>
  <c r="BX334" i="43"/>
  <c r="BY334" i="43"/>
  <c r="BZ334" i="43"/>
  <c r="CA334" i="43"/>
  <c r="CB334" i="43"/>
  <c r="CC334" i="43"/>
  <c r="CD334" i="43"/>
  <c r="CE334" i="43"/>
  <c r="CF334" i="43"/>
  <c r="CG334" i="43"/>
  <c r="CH334" i="43"/>
  <c r="CI334" i="43"/>
  <c r="CJ334" i="43"/>
  <c r="CK334" i="43"/>
  <c r="CL334" i="43"/>
  <c r="CM334" i="43"/>
  <c r="CN334" i="43"/>
  <c r="CO334" i="43"/>
  <c r="CP334" i="43"/>
  <c r="CQ334" i="43"/>
  <c r="CR334" i="43"/>
  <c r="CS334" i="43"/>
  <c r="CT334" i="43"/>
  <c r="CU334" i="43"/>
  <c r="CV334" i="43"/>
  <c r="CW334" i="43"/>
  <c r="CX334" i="43"/>
  <c r="CY334" i="43"/>
  <c r="CZ334" i="43"/>
  <c r="DA334" i="43"/>
  <c r="DB334" i="43"/>
  <c r="DC334" i="43"/>
  <c r="DD334" i="43"/>
  <c r="DE334" i="43"/>
  <c r="DF334" i="43"/>
  <c r="DG334" i="43"/>
  <c r="DH334" i="43"/>
  <c r="DI334" i="43"/>
  <c r="DJ334" i="43"/>
  <c r="DK334" i="43"/>
  <c r="DL334" i="43"/>
  <c r="DM334" i="43"/>
  <c r="DN334" i="43"/>
  <c r="DO334" i="43"/>
  <c r="DP334" i="43"/>
  <c r="DQ334" i="43"/>
  <c r="DR334" i="43"/>
  <c r="DS334" i="43"/>
  <c r="DT334" i="43"/>
  <c r="DU334" i="43"/>
  <c r="DV334" i="43"/>
  <c r="DW334" i="43"/>
  <c r="DX334" i="43"/>
  <c r="DY334" i="43"/>
  <c r="DZ334" i="43"/>
  <c r="EA334" i="43"/>
  <c r="EB334" i="43"/>
  <c r="EC334" i="43"/>
  <c r="ED334" i="43"/>
  <c r="EE334" i="43"/>
  <c r="EF334" i="43"/>
  <c r="EG334" i="43"/>
  <c r="EH334" i="43"/>
  <c r="EI334" i="43"/>
  <c r="EJ334" i="43"/>
  <c r="EK334" i="43"/>
  <c r="EL334" i="43"/>
  <c r="EM334" i="43"/>
  <c r="EN334" i="43"/>
  <c r="EO334" i="43"/>
  <c r="EP334" i="43"/>
  <c r="EQ334" i="43"/>
  <c r="ER334" i="43"/>
  <c r="ES334" i="43"/>
  <c r="ET334" i="43"/>
  <c r="EU334" i="43"/>
  <c r="EV334" i="43"/>
  <c r="EW334" i="43"/>
  <c r="EX334" i="43"/>
  <c r="EY334" i="43"/>
  <c r="EZ334" i="43"/>
  <c r="FA334" i="43"/>
  <c r="FB334" i="43"/>
  <c r="FC334" i="43"/>
  <c r="FD334" i="43"/>
  <c r="FE334" i="43"/>
  <c r="FF334" i="43"/>
  <c r="FG334" i="43"/>
  <c r="FH334" i="43"/>
  <c r="FI334" i="43"/>
  <c r="FJ334" i="43"/>
  <c r="FK334" i="43"/>
  <c r="FL334" i="43"/>
  <c r="FM334" i="43"/>
  <c r="FN334" i="43"/>
  <c r="FO334" i="43"/>
  <c r="FP334" i="43"/>
  <c r="FQ334" i="43"/>
  <c r="FR334" i="43"/>
  <c r="FS334" i="43"/>
  <c r="FT334" i="43"/>
  <c r="FU334" i="43"/>
  <c r="FV334" i="43"/>
  <c r="FW334" i="43"/>
  <c r="FX334" i="43"/>
  <c r="FY334" i="43"/>
  <c r="FZ334" i="43"/>
  <c r="GA334" i="43"/>
  <c r="GB334" i="43"/>
  <c r="GC334" i="43"/>
  <c r="GD334" i="43"/>
  <c r="GE334" i="43"/>
  <c r="GF334" i="43"/>
  <c r="GG334" i="43"/>
  <c r="GH334" i="43"/>
  <c r="GI334" i="43"/>
  <c r="GJ334" i="43"/>
  <c r="GK334" i="43"/>
  <c r="GL334" i="43"/>
  <c r="GM334" i="43"/>
  <c r="GN334" i="43"/>
  <c r="GO334" i="43"/>
  <c r="GP334" i="43"/>
  <c r="GQ334" i="43"/>
  <c r="GR334" i="43"/>
  <c r="GS334" i="43"/>
  <c r="GT334" i="43"/>
  <c r="GU334" i="43"/>
  <c r="GV334" i="43"/>
  <c r="GW334" i="43"/>
  <c r="GX334" i="43"/>
  <c r="GY334" i="43"/>
  <c r="GZ334" i="43"/>
  <c r="HA334" i="43"/>
  <c r="HB334" i="43"/>
  <c r="HC334" i="43"/>
  <c r="HD334" i="43"/>
  <c r="HE334" i="43"/>
  <c r="HF334" i="43"/>
  <c r="HG334" i="43"/>
  <c r="HH334" i="43"/>
  <c r="HI334" i="43"/>
  <c r="HJ334" i="43"/>
  <c r="HK334" i="43"/>
  <c r="HL334" i="43"/>
  <c r="HM334" i="43"/>
  <c r="HN334" i="43"/>
  <c r="HO334" i="43"/>
  <c r="HP334" i="43"/>
  <c r="HQ334" i="43"/>
  <c r="HR334" i="43"/>
  <c r="HS334" i="43"/>
  <c r="HT334" i="43"/>
  <c r="HU334" i="43"/>
  <c r="HV334" i="43"/>
  <c r="HW334" i="43"/>
  <c r="HX334" i="43"/>
  <c r="HY334" i="43"/>
  <c r="HZ334" i="43"/>
  <c r="IA334" i="43"/>
  <c r="IB334" i="43"/>
  <c r="IC334" i="43"/>
  <c r="ID334" i="43"/>
  <c r="IE334" i="43"/>
  <c r="IF334" i="43"/>
  <c r="IG334" i="43"/>
  <c r="IH334" i="43"/>
  <c r="II334" i="43"/>
  <c r="IJ334" i="43"/>
  <c r="IK334" i="43"/>
  <c r="IL334" i="43"/>
  <c r="IM334" i="43"/>
  <c r="IN334" i="43"/>
  <c r="IO334" i="43"/>
  <c r="IP334" i="43"/>
  <c r="IQ334" i="43"/>
  <c r="IR334" i="43"/>
  <c r="IS334" i="43"/>
  <c r="IT334" i="43"/>
  <c r="IU334" i="43"/>
  <c r="IV334" i="43"/>
  <c r="A333" i="43"/>
  <c r="B333" i="43"/>
  <c r="C333" i="43"/>
  <c r="D333" i="43"/>
  <c r="E333" i="43"/>
  <c r="F333" i="43"/>
  <c r="G333" i="43"/>
  <c r="H333" i="43"/>
  <c r="I333" i="43"/>
  <c r="J333" i="43"/>
  <c r="K333" i="43"/>
  <c r="L333" i="43"/>
  <c r="M333" i="43"/>
  <c r="N333" i="43"/>
  <c r="O333" i="43"/>
  <c r="P333" i="43"/>
  <c r="Q333" i="43"/>
  <c r="R333" i="43"/>
  <c r="S333" i="43"/>
  <c r="T333" i="43"/>
  <c r="U333" i="43"/>
  <c r="V333" i="43"/>
  <c r="W333" i="43"/>
  <c r="X333" i="43"/>
  <c r="Y333" i="43"/>
  <c r="Z333" i="43"/>
  <c r="AA333" i="43"/>
  <c r="AB333" i="43"/>
  <c r="AC333" i="43"/>
  <c r="AD333" i="43"/>
  <c r="AE333" i="43"/>
  <c r="AF333" i="43"/>
  <c r="AG333" i="43"/>
  <c r="AH333" i="43"/>
  <c r="AI333" i="43"/>
  <c r="AJ333" i="43"/>
  <c r="AK333" i="43"/>
  <c r="AL333" i="43"/>
  <c r="AM333" i="43"/>
  <c r="AN333" i="43"/>
  <c r="AO333" i="43"/>
  <c r="AP333" i="43"/>
  <c r="AQ333" i="43"/>
  <c r="AR333" i="43"/>
  <c r="AS333" i="43"/>
  <c r="AT333" i="43"/>
  <c r="AU333" i="43"/>
  <c r="AV333" i="43"/>
  <c r="AW333" i="43"/>
  <c r="AX333" i="43"/>
  <c r="AY333" i="43"/>
  <c r="AZ333" i="43"/>
  <c r="BA333" i="43"/>
  <c r="BB333" i="43"/>
  <c r="BC333" i="43"/>
  <c r="BD333" i="43"/>
  <c r="BE333" i="43"/>
  <c r="BF333" i="43"/>
  <c r="BG333" i="43"/>
  <c r="BH333" i="43"/>
  <c r="BI333" i="43"/>
  <c r="BJ333" i="43"/>
  <c r="BK333" i="43"/>
  <c r="BL333" i="43"/>
  <c r="BM333" i="43"/>
  <c r="BN333" i="43"/>
  <c r="BO333" i="43"/>
  <c r="BP333" i="43"/>
  <c r="BQ333" i="43"/>
  <c r="BR333" i="43"/>
  <c r="BS333" i="43"/>
  <c r="BT333" i="43"/>
  <c r="BU333" i="43"/>
  <c r="BV333" i="43"/>
  <c r="BW333" i="43"/>
  <c r="BX333" i="43"/>
  <c r="BY333" i="43"/>
  <c r="BZ333" i="43"/>
  <c r="CA333" i="43"/>
  <c r="CB333" i="43"/>
  <c r="CC333" i="43"/>
  <c r="CD333" i="43"/>
  <c r="CE333" i="43"/>
  <c r="CF333" i="43"/>
  <c r="CG333" i="43"/>
  <c r="CH333" i="43"/>
  <c r="CI333" i="43"/>
  <c r="CJ333" i="43"/>
  <c r="CK333" i="43"/>
  <c r="CL333" i="43"/>
  <c r="CM333" i="43"/>
  <c r="CN333" i="43"/>
  <c r="CO333" i="43"/>
  <c r="CP333" i="43"/>
  <c r="CQ333" i="43"/>
  <c r="CR333" i="43"/>
  <c r="CS333" i="43"/>
  <c r="CT333" i="43"/>
  <c r="CU333" i="43"/>
  <c r="CV333" i="43"/>
  <c r="CW333" i="43"/>
  <c r="CX333" i="43"/>
  <c r="CY333" i="43"/>
  <c r="CZ333" i="43"/>
  <c r="DA333" i="43"/>
  <c r="DB333" i="43"/>
  <c r="DC333" i="43"/>
  <c r="DD333" i="43"/>
  <c r="DE333" i="43"/>
  <c r="DF333" i="43"/>
  <c r="DG333" i="43"/>
  <c r="DH333" i="43"/>
  <c r="DI333" i="43"/>
  <c r="DJ333" i="43"/>
  <c r="DK333" i="43"/>
  <c r="DL333" i="43"/>
  <c r="DM333" i="43"/>
  <c r="DN333" i="43"/>
  <c r="DO333" i="43"/>
  <c r="DP333" i="43"/>
  <c r="DQ333" i="43"/>
  <c r="DR333" i="43"/>
  <c r="DS333" i="43"/>
  <c r="DT333" i="43"/>
  <c r="DU333" i="43"/>
  <c r="DV333" i="43"/>
  <c r="DW333" i="43"/>
  <c r="DX333" i="43"/>
  <c r="DY333" i="43"/>
  <c r="DZ333" i="43"/>
  <c r="EA333" i="43"/>
  <c r="EB333" i="43"/>
  <c r="EC333" i="43"/>
  <c r="ED333" i="43"/>
  <c r="EE333" i="43"/>
  <c r="EF333" i="43"/>
  <c r="EG333" i="43"/>
  <c r="EH333" i="43"/>
  <c r="EI333" i="43"/>
  <c r="EJ333" i="43"/>
  <c r="EK333" i="43"/>
  <c r="EL333" i="43"/>
  <c r="EM333" i="43"/>
  <c r="EN333" i="43"/>
  <c r="EO333" i="43"/>
  <c r="EP333" i="43"/>
  <c r="EQ333" i="43"/>
  <c r="ER333" i="43"/>
  <c r="ES333" i="43"/>
  <c r="ET333" i="43"/>
  <c r="EU333" i="43"/>
  <c r="EV333" i="43"/>
  <c r="EW333" i="43"/>
  <c r="EX333" i="43"/>
  <c r="EY333" i="43"/>
  <c r="EZ333" i="43"/>
  <c r="FA333" i="43"/>
  <c r="FB333" i="43"/>
  <c r="FC333" i="43"/>
  <c r="FD333" i="43"/>
  <c r="FE333" i="43"/>
  <c r="FF333" i="43"/>
  <c r="FG333" i="43"/>
  <c r="FH333" i="43"/>
  <c r="FI333" i="43"/>
  <c r="FJ333" i="43"/>
  <c r="FK333" i="43"/>
  <c r="FL333" i="43"/>
  <c r="FM333" i="43"/>
  <c r="FN333" i="43"/>
  <c r="FO333" i="43"/>
  <c r="FP333" i="43"/>
  <c r="FQ333" i="43"/>
  <c r="FR333" i="43"/>
  <c r="FS333" i="43"/>
  <c r="FT333" i="43"/>
  <c r="FU333" i="43"/>
  <c r="FV333" i="43"/>
  <c r="FW333" i="43"/>
  <c r="FX333" i="43"/>
  <c r="FY333" i="43"/>
  <c r="FZ333" i="43"/>
  <c r="GA333" i="43"/>
  <c r="GB333" i="43"/>
  <c r="GC333" i="43"/>
  <c r="GD333" i="43"/>
  <c r="GE333" i="43"/>
  <c r="GF333" i="43"/>
  <c r="GG333" i="43"/>
  <c r="GH333" i="43"/>
  <c r="GI333" i="43"/>
  <c r="GJ333" i="43"/>
  <c r="GK333" i="43"/>
  <c r="GL333" i="43"/>
  <c r="GM333" i="43"/>
  <c r="GN333" i="43"/>
  <c r="GO333" i="43"/>
  <c r="GP333" i="43"/>
  <c r="GQ333" i="43"/>
  <c r="GR333" i="43"/>
  <c r="GS333" i="43"/>
  <c r="GT333" i="43"/>
  <c r="GU333" i="43"/>
  <c r="GV333" i="43"/>
  <c r="GW333" i="43"/>
  <c r="GX333" i="43"/>
  <c r="GY333" i="43"/>
  <c r="GZ333" i="43"/>
  <c r="HA333" i="43"/>
  <c r="HB333" i="43"/>
  <c r="HC333" i="43"/>
  <c r="HD333" i="43"/>
  <c r="HE333" i="43"/>
  <c r="HF333" i="43"/>
  <c r="HG333" i="43"/>
  <c r="HH333" i="43"/>
  <c r="HI333" i="43"/>
  <c r="HJ333" i="43"/>
  <c r="HK333" i="43"/>
  <c r="HL333" i="43"/>
  <c r="HM333" i="43"/>
  <c r="HN333" i="43"/>
  <c r="HO333" i="43"/>
  <c r="HP333" i="43"/>
  <c r="HQ333" i="43"/>
  <c r="HR333" i="43"/>
  <c r="HS333" i="43"/>
  <c r="HT333" i="43"/>
  <c r="HU333" i="43"/>
  <c r="HV333" i="43"/>
  <c r="HW333" i="43"/>
  <c r="HX333" i="43"/>
  <c r="HY333" i="43"/>
  <c r="HZ333" i="43"/>
  <c r="IA333" i="43"/>
  <c r="IB333" i="43"/>
  <c r="IC333" i="43"/>
  <c r="ID333" i="43"/>
  <c r="IE333" i="43"/>
  <c r="IF333" i="43"/>
  <c r="IG333" i="43"/>
  <c r="IH333" i="43"/>
  <c r="II333" i="43"/>
  <c r="IJ333" i="43"/>
  <c r="IK333" i="43"/>
  <c r="IL333" i="43"/>
  <c r="IM333" i="43"/>
  <c r="IN333" i="43"/>
  <c r="IO333" i="43"/>
  <c r="IP333" i="43"/>
  <c r="IQ333" i="43"/>
  <c r="IR333" i="43"/>
  <c r="IS333" i="43"/>
  <c r="IT333" i="43"/>
  <c r="IU333" i="43"/>
  <c r="IV333" i="43"/>
  <c r="A332" i="43"/>
  <c r="B332" i="43"/>
  <c r="C332" i="43"/>
  <c r="D332" i="43"/>
  <c r="E332" i="43"/>
  <c r="F332" i="43"/>
  <c r="G332" i="43"/>
  <c r="H332" i="43"/>
  <c r="I332" i="43"/>
  <c r="J332" i="43"/>
  <c r="K332" i="43"/>
  <c r="L332" i="43"/>
  <c r="M332" i="43"/>
  <c r="N332" i="43"/>
  <c r="O332" i="43"/>
  <c r="P332" i="43"/>
  <c r="Q332" i="43"/>
  <c r="R332" i="43"/>
  <c r="S332" i="43"/>
  <c r="T332" i="43"/>
  <c r="U332" i="43"/>
  <c r="V332" i="43"/>
  <c r="W332" i="43"/>
  <c r="X332" i="43"/>
  <c r="Y332" i="43"/>
  <c r="Z332" i="43"/>
  <c r="AA332" i="43"/>
  <c r="AB332" i="43"/>
  <c r="AC332" i="43"/>
  <c r="AD332" i="43"/>
  <c r="AE332" i="43"/>
  <c r="AF332" i="43"/>
  <c r="AG332" i="43"/>
  <c r="AH332" i="43"/>
  <c r="AI332" i="43"/>
  <c r="AJ332" i="43"/>
  <c r="AK332" i="43"/>
  <c r="AL332" i="43"/>
  <c r="AM332" i="43"/>
  <c r="AN332" i="43"/>
  <c r="AO332" i="43"/>
  <c r="AP332" i="43"/>
  <c r="AQ332" i="43"/>
  <c r="AR332" i="43"/>
  <c r="AS332" i="43"/>
  <c r="AT332" i="43"/>
  <c r="AU332" i="43"/>
  <c r="AV332" i="43"/>
  <c r="AW332" i="43"/>
  <c r="AX332" i="43"/>
  <c r="AY332" i="43"/>
  <c r="AZ332" i="43"/>
  <c r="BA332" i="43"/>
  <c r="BB332" i="43"/>
  <c r="BC332" i="43"/>
  <c r="BD332" i="43"/>
  <c r="BE332" i="43"/>
  <c r="BF332" i="43"/>
  <c r="BG332" i="43"/>
  <c r="BH332" i="43"/>
  <c r="BI332" i="43"/>
  <c r="BJ332" i="43"/>
  <c r="BK332" i="43"/>
  <c r="BL332" i="43"/>
  <c r="BM332" i="43"/>
  <c r="BN332" i="43"/>
  <c r="BO332" i="43"/>
  <c r="BP332" i="43"/>
  <c r="BQ332" i="43"/>
  <c r="BR332" i="43"/>
  <c r="BS332" i="43"/>
  <c r="BT332" i="43"/>
  <c r="BU332" i="43"/>
  <c r="BV332" i="43"/>
  <c r="BW332" i="43"/>
  <c r="BX332" i="43"/>
  <c r="BY332" i="43"/>
  <c r="BZ332" i="43"/>
  <c r="CA332" i="43"/>
  <c r="CB332" i="43"/>
  <c r="CC332" i="43"/>
  <c r="CD332" i="43"/>
  <c r="CE332" i="43"/>
  <c r="CF332" i="43"/>
  <c r="CG332" i="43"/>
  <c r="CH332" i="43"/>
  <c r="CI332" i="43"/>
  <c r="CJ332" i="43"/>
  <c r="CK332" i="43"/>
  <c r="CL332" i="43"/>
  <c r="CM332" i="43"/>
  <c r="CN332" i="43"/>
  <c r="CO332" i="43"/>
  <c r="CP332" i="43"/>
  <c r="CQ332" i="43"/>
  <c r="CR332" i="43"/>
  <c r="CS332" i="43"/>
  <c r="CT332" i="43"/>
  <c r="CU332" i="43"/>
  <c r="CV332" i="43"/>
  <c r="CW332" i="43"/>
  <c r="CX332" i="43"/>
  <c r="CY332" i="43"/>
  <c r="CZ332" i="43"/>
  <c r="DA332" i="43"/>
  <c r="DB332" i="43"/>
  <c r="DC332" i="43"/>
  <c r="DD332" i="43"/>
  <c r="DE332" i="43"/>
  <c r="DF332" i="43"/>
  <c r="DG332" i="43"/>
  <c r="DH332" i="43"/>
  <c r="DI332" i="43"/>
  <c r="DJ332" i="43"/>
  <c r="DK332" i="43"/>
  <c r="DL332" i="43"/>
  <c r="DM332" i="43"/>
  <c r="DN332" i="43"/>
  <c r="DO332" i="43"/>
  <c r="DP332" i="43"/>
  <c r="DQ332" i="43"/>
  <c r="DR332" i="43"/>
  <c r="DS332" i="43"/>
  <c r="DT332" i="43"/>
  <c r="DU332" i="43"/>
  <c r="DV332" i="43"/>
  <c r="DW332" i="43"/>
  <c r="DX332" i="43"/>
  <c r="DY332" i="43"/>
  <c r="DZ332" i="43"/>
  <c r="EA332" i="43"/>
  <c r="EB332" i="43"/>
  <c r="EC332" i="43"/>
  <c r="ED332" i="43"/>
  <c r="EE332" i="43"/>
  <c r="EF332" i="43"/>
  <c r="EG332" i="43"/>
  <c r="EH332" i="43"/>
  <c r="EI332" i="43"/>
  <c r="EJ332" i="43"/>
  <c r="EK332" i="43"/>
  <c r="EL332" i="43"/>
  <c r="EM332" i="43"/>
  <c r="EN332" i="43"/>
  <c r="EO332" i="43"/>
  <c r="EP332" i="43"/>
  <c r="EQ332" i="43"/>
  <c r="ER332" i="43"/>
  <c r="ES332" i="43"/>
  <c r="ET332" i="43"/>
  <c r="EU332" i="43"/>
  <c r="EV332" i="43"/>
  <c r="EW332" i="43"/>
  <c r="EX332" i="43"/>
  <c r="EY332" i="43"/>
  <c r="EZ332" i="43"/>
  <c r="FA332" i="43"/>
  <c r="FB332" i="43"/>
  <c r="FC332" i="43"/>
  <c r="FD332" i="43"/>
  <c r="FE332" i="43"/>
  <c r="FF332" i="43"/>
  <c r="FG332" i="43"/>
  <c r="FH332" i="43"/>
  <c r="FI332" i="43"/>
  <c r="FJ332" i="43"/>
  <c r="FK332" i="43"/>
  <c r="FL332" i="43"/>
  <c r="FM332" i="43"/>
  <c r="FN332" i="43"/>
  <c r="FO332" i="43"/>
  <c r="FP332" i="43"/>
  <c r="FQ332" i="43"/>
  <c r="FR332" i="43"/>
  <c r="FS332" i="43"/>
  <c r="FT332" i="43"/>
  <c r="FU332" i="43"/>
  <c r="FV332" i="43"/>
  <c r="FW332" i="43"/>
  <c r="FX332" i="43"/>
  <c r="FY332" i="43"/>
  <c r="FZ332" i="43"/>
  <c r="GA332" i="43"/>
  <c r="GB332" i="43"/>
  <c r="GC332" i="43"/>
  <c r="GD332" i="43"/>
  <c r="GE332" i="43"/>
  <c r="GF332" i="43"/>
  <c r="GG332" i="43"/>
  <c r="GH332" i="43"/>
  <c r="GI332" i="43"/>
  <c r="GJ332" i="43"/>
  <c r="GK332" i="43"/>
  <c r="GL332" i="43"/>
  <c r="GM332" i="43"/>
  <c r="GN332" i="43"/>
  <c r="GO332" i="43"/>
  <c r="GP332" i="43"/>
  <c r="GQ332" i="43"/>
  <c r="GR332" i="43"/>
  <c r="GS332" i="43"/>
  <c r="GT332" i="43"/>
  <c r="GU332" i="43"/>
  <c r="GV332" i="43"/>
  <c r="GW332" i="43"/>
  <c r="GX332" i="43"/>
  <c r="GY332" i="43"/>
  <c r="GZ332" i="43"/>
  <c r="HA332" i="43"/>
  <c r="HB332" i="43"/>
  <c r="HC332" i="43"/>
  <c r="HD332" i="43"/>
  <c r="HE332" i="43"/>
  <c r="HF332" i="43"/>
  <c r="HG332" i="43"/>
  <c r="HH332" i="43"/>
  <c r="HI332" i="43"/>
  <c r="HJ332" i="43"/>
  <c r="HK332" i="43"/>
  <c r="HL332" i="43"/>
  <c r="HM332" i="43"/>
  <c r="HN332" i="43"/>
  <c r="HO332" i="43"/>
  <c r="HP332" i="43"/>
  <c r="HQ332" i="43"/>
  <c r="HR332" i="43"/>
  <c r="HS332" i="43"/>
  <c r="HT332" i="43"/>
  <c r="HU332" i="43"/>
  <c r="HV332" i="43"/>
  <c r="HW332" i="43"/>
  <c r="HX332" i="43"/>
  <c r="HY332" i="43"/>
  <c r="HZ332" i="43"/>
  <c r="IA332" i="43"/>
  <c r="IB332" i="43"/>
  <c r="IC332" i="43"/>
  <c r="ID332" i="43"/>
  <c r="IE332" i="43"/>
  <c r="IF332" i="43"/>
  <c r="IG332" i="43"/>
  <c r="IH332" i="43"/>
  <c r="II332" i="43"/>
  <c r="IJ332" i="43"/>
  <c r="IK332" i="43"/>
  <c r="IL332" i="43"/>
  <c r="IM332" i="43"/>
  <c r="IN332" i="43"/>
  <c r="IO332" i="43"/>
  <c r="IP332" i="43"/>
  <c r="IQ332" i="43"/>
  <c r="IR332" i="43"/>
  <c r="IS332" i="43"/>
  <c r="IT332" i="43"/>
  <c r="IU332" i="43"/>
  <c r="IV332" i="43"/>
  <c r="A331" i="43"/>
  <c r="B331" i="43"/>
  <c r="C331" i="43"/>
  <c r="D331" i="43"/>
  <c r="E331" i="43"/>
  <c r="F331" i="43"/>
  <c r="G331" i="43"/>
  <c r="H331" i="43"/>
  <c r="I331" i="43"/>
  <c r="J331" i="43"/>
  <c r="K331" i="43"/>
  <c r="L331" i="43"/>
  <c r="M331" i="43"/>
  <c r="N331" i="43"/>
  <c r="O331" i="43"/>
  <c r="P331" i="43"/>
  <c r="Q331" i="43"/>
  <c r="R331" i="43"/>
  <c r="S331" i="43"/>
  <c r="T331" i="43"/>
  <c r="U331" i="43"/>
  <c r="V331" i="43"/>
  <c r="W331" i="43"/>
  <c r="X331" i="43"/>
  <c r="Y331" i="43"/>
  <c r="Z331" i="43"/>
  <c r="AA331" i="43"/>
  <c r="AB331" i="43"/>
  <c r="AC331" i="43"/>
  <c r="AD331" i="43"/>
  <c r="AE331" i="43"/>
  <c r="AF331" i="43"/>
  <c r="AG331" i="43"/>
  <c r="AH331" i="43"/>
  <c r="AI331" i="43"/>
  <c r="AJ331" i="43"/>
  <c r="AK331" i="43"/>
  <c r="AL331" i="43"/>
  <c r="AM331" i="43"/>
  <c r="AN331" i="43"/>
  <c r="AO331" i="43"/>
  <c r="AP331" i="43"/>
  <c r="AQ331" i="43"/>
  <c r="AR331" i="43"/>
  <c r="AS331" i="43"/>
  <c r="AT331" i="43"/>
  <c r="AU331" i="43"/>
  <c r="AV331" i="43"/>
  <c r="AW331" i="43"/>
  <c r="AX331" i="43"/>
  <c r="AY331" i="43"/>
  <c r="AZ331" i="43"/>
  <c r="BA331" i="43"/>
  <c r="BB331" i="43"/>
  <c r="BC331" i="43"/>
  <c r="BD331" i="43"/>
  <c r="BE331" i="43"/>
  <c r="BF331" i="43"/>
  <c r="BG331" i="43"/>
  <c r="BH331" i="43"/>
  <c r="BI331" i="43"/>
  <c r="BJ331" i="43"/>
  <c r="BK331" i="43"/>
  <c r="BL331" i="43"/>
  <c r="BM331" i="43"/>
  <c r="BN331" i="43"/>
  <c r="BO331" i="43"/>
  <c r="BP331" i="43"/>
  <c r="BQ331" i="43"/>
  <c r="BR331" i="43"/>
  <c r="BS331" i="43"/>
  <c r="BT331" i="43"/>
  <c r="BU331" i="43"/>
  <c r="BV331" i="43"/>
  <c r="BW331" i="43"/>
  <c r="BX331" i="43"/>
  <c r="BY331" i="43"/>
  <c r="BZ331" i="43"/>
  <c r="CA331" i="43"/>
  <c r="CB331" i="43"/>
  <c r="CC331" i="43"/>
  <c r="CD331" i="43"/>
  <c r="CE331" i="43"/>
  <c r="CF331" i="43"/>
  <c r="CG331" i="43"/>
  <c r="CH331" i="43"/>
  <c r="CI331" i="43"/>
  <c r="CJ331" i="43"/>
  <c r="CK331" i="43"/>
  <c r="CL331" i="43"/>
  <c r="CM331" i="43"/>
  <c r="CN331" i="43"/>
  <c r="CO331" i="43"/>
  <c r="CP331" i="43"/>
  <c r="CQ331" i="43"/>
  <c r="CR331" i="43"/>
  <c r="CS331" i="43"/>
  <c r="CT331" i="43"/>
  <c r="CU331" i="43"/>
  <c r="CV331" i="43"/>
  <c r="CW331" i="43"/>
  <c r="CX331" i="43"/>
  <c r="CY331" i="43"/>
  <c r="CZ331" i="43"/>
  <c r="DA331" i="43"/>
  <c r="DB331" i="43"/>
  <c r="DC331" i="43"/>
  <c r="DD331" i="43"/>
  <c r="DE331" i="43"/>
  <c r="DF331" i="43"/>
  <c r="DG331" i="43"/>
  <c r="DH331" i="43"/>
  <c r="DI331" i="43"/>
  <c r="DJ331" i="43"/>
  <c r="DK331" i="43"/>
  <c r="DL331" i="43"/>
  <c r="DM331" i="43"/>
  <c r="DN331" i="43"/>
  <c r="DO331" i="43"/>
  <c r="DP331" i="43"/>
  <c r="DQ331" i="43"/>
  <c r="DR331" i="43"/>
  <c r="DS331" i="43"/>
  <c r="DT331" i="43"/>
  <c r="DU331" i="43"/>
  <c r="DV331" i="43"/>
  <c r="DW331" i="43"/>
  <c r="DX331" i="43"/>
  <c r="DY331" i="43"/>
  <c r="DZ331" i="43"/>
  <c r="EA331" i="43"/>
  <c r="EB331" i="43"/>
  <c r="EC331" i="43"/>
  <c r="ED331" i="43"/>
  <c r="EE331" i="43"/>
  <c r="EF331" i="43"/>
  <c r="EG331" i="43"/>
  <c r="EH331" i="43"/>
  <c r="EI331" i="43"/>
  <c r="EJ331" i="43"/>
  <c r="EK331" i="43"/>
  <c r="EL331" i="43"/>
  <c r="EM331" i="43"/>
  <c r="EN331" i="43"/>
  <c r="EO331" i="43"/>
  <c r="EP331" i="43"/>
  <c r="EQ331" i="43"/>
  <c r="ER331" i="43"/>
  <c r="ES331" i="43"/>
  <c r="ET331" i="43"/>
  <c r="EU331" i="43"/>
  <c r="EV331" i="43"/>
  <c r="EW331" i="43"/>
  <c r="EX331" i="43"/>
  <c r="EY331" i="43"/>
  <c r="EZ331" i="43"/>
  <c r="FA331" i="43"/>
  <c r="FB331" i="43"/>
  <c r="FC331" i="43"/>
  <c r="FD331" i="43"/>
  <c r="FE331" i="43"/>
  <c r="FF331" i="43"/>
  <c r="FG331" i="43"/>
  <c r="FH331" i="43"/>
  <c r="FI331" i="43"/>
  <c r="FJ331" i="43"/>
  <c r="FK331" i="43"/>
  <c r="FL331" i="43"/>
  <c r="FM331" i="43"/>
  <c r="FN331" i="43"/>
  <c r="FO331" i="43"/>
  <c r="FP331" i="43"/>
  <c r="FQ331" i="43"/>
  <c r="FR331" i="43"/>
  <c r="FS331" i="43"/>
  <c r="FT331" i="43"/>
  <c r="FU331" i="43"/>
  <c r="FV331" i="43"/>
  <c r="FW331" i="43"/>
  <c r="FX331" i="43"/>
  <c r="FY331" i="43"/>
  <c r="FZ331" i="43"/>
  <c r="GA331" i="43"/>
  <c r="GB331" i="43"/>
  <c r="GC331" i="43"/>
  <c r="GD331" i="43"/>
  <c r="GE331" i="43"/>
  <c r="GF331" i="43"/>
  <c r="GG331" i="43"/>
  <c r="GH331" i="43"/>
  <c r="GI331" i="43"/>
  <c r="GJ331" i="43"/>
  <c r="GK331" i="43"/>
  <c r="GL331" i="43"/>
  <c r="GM331" i="43"/>
  <c r="GN331" i="43"/>
  <c r="GO331" i="43"/>
  <c r="GP331" i="43"/>
  <c r="GQ331" i="43"/>
  <c r="GR331" i="43"/>
  <c r="GS331" i="43"/>
  <c r="GT331" i="43"/>
  <c r="GU331" i="43"/>
  <c r="GV331" i="43"/>
  <c r="GW331" i="43"/>
  <c r="GX331" i="43"/>
  <c r="GY331" i="43"/>
  <c r="GZ331" i="43"/>
  <c r="HA331" i="43"/>
  <c r="HB331" i="43"/>
  <c r="HC331" i="43"/>
  <c r="HD331" i="43"/>
  <c r="HE331" i="43"/>
  <c r="HF331" i="43"/>
  <c r="HG331" i="43"/>
  <c r="HH331" i="43"/>
  <c r="HI331" i="43"/>
  <c r="HJ331" i="43"/>
  <c r="HK331" i="43"/>
  <c r="HL331" i="43"/>
  <c r="HM331" i="43"/>
  <c r="HN331" i="43"/>
  <c r="HO331" i="43"/>
  <c r="HP331" i="43"/>
  <c r="HQ331" i="43"/>
  <c r="HR331" i="43"/>
  <c r="HS331" i="43"/>
  <c r="HT331" i="43"/>
  <c r="HU331" i="43"/>
  <c r="HV331" i="43"/>
  <c r="HW331" i="43"/>
  <c r="HX331" i="43"/>
  <c r="HY331" i="43"/>
  <c r="HZ331" i="43"/>
  <c r="IA331" i="43"/>
  <c r="IB331" i="43"/>
  <c r="IC331" i="43"/>
  <c r="ID331" i="43"/>
  <c r="IE331" i="43"/>
  <c r="IF331" i="43"/>
  <c r="IG331" i="43"/>
  <c r="IH331" i="43"/>
  <c r="II331" i="43"/>
  <c r="IJ331" i="43"/>
  <c r="IK331" i="43"/>
  <c r="IL331" i="43"/>
  <c r="IM331" i="43"/>
  <c r="IN331" i="43"/>
  <c r="IO331" i="43"/>
  <c r="IP331" i="43"/>
  <c r="IQ331" i="43"/>
  <c r="IR331" i="43"/>
  <c r="IS331" i="43"/>
  <c r="IT331" i="43"/>
  <c r="IU331" i="43"/>
  <c r="IV331" i="43"/>
  <c r="A330" i="43"/>
  <c r="B330" i="43"/>
  <c r="C330" i="43"/>
  <c r="D330" i="43"/>
  <c r="E330" i="43"/>
  <c r="F330" i="43"/>
  <c r="G330" i="43"/>
  <c r="H330" i="43"/>
  <c r="I330" i="43"/>
  <c r="J330" i="43"/>
  <c r="K330" i="43"/>
  <c r="L330" i="43"/>
  <c r="M330" i="43"/>
  <c r="N330" i="43"/>
  <c r="O330" i="43"/>
  <c r="P330" i="43"/>
  <c r="Q330" i="43"/>
  <c r="R330" i="43"/>
  <c r="S330" i="43"/>
  <c r="T330" i="43"/>
  <c r="U330" i="43"/>
  <c r="V330" i="43"/>
  <c r="W330" i="43"/>
  <c r="X330" i="43"/>
  <c r="Y330" i="43"/>
  <c r="Z330" i="43"/>
  <c r="AA330" i="43"/>
  <c r="AB330" i="43"/>
  <c r="AC330" i="43"/>
  <c r="AD330" i="43"/>
  <c r="AE330" i="43"/>
  <c r="AF330" i="43"/>
  <c r="AG330" i="43"/>
  <c r="AH330" i="43"/>
  <c r="AI330" i="43"/>
  <c r="AJ330" i="43"/>
  <c r="AK330" i="43"/>
  <c r="AL330" i="43"/>
  <c r="AM330" i="43"/>
  <c r="AN330" i="43"/>
  <c r="AO330" i="43"/>
  <c r="AP330" i="43"/>
  <c r="AQ330" i="43"/>
  <c r="AR330" i="43"/>
  <c r="AS330" i="43"/>
  <c r="AT330" i="43"/>
  <c r="AU330" i="43"/>
  <c r="AV330" i="43"/>
  <c r="AW330" i="43"/>
  <c r="AX330" i="43"/>
  <c r="AY330" i="43"/>
  <c r="AZ330" i="43"/>
  <c r="BA330" i="43"/>
  <c r="BB330" i="43"/>
  <c r="BC330" i="43"/>
  <c r="BD330" i="43"/>
  <c r="BE330" i="43"/>
  <c r="BF330" i="43"/>
  <c r="BG330" i="43"/>
  <c r="BH330" i="43"/>
  <c r="BI330" i="43"/>
  <c r="BJ330" i="43"/>
  <c r="BK330" i="43"/>
  <c r="BL330" i="43"/>
  <c r="BM330" i="43"/>
  <c r="BN330" i="43"/>
  <c r="BO330" i="43"/>
  <c r="BP330" i="43"/>
  <c r="BQ330" i="43"/>
  <c r="BR330" i="43"/>
  <c r="BS330" i="43"/>
  <c r="BT330" i="43"/>
  <c r="BU330" i="43"/>
  <c r="BV330" i="43"/>
  <c r="BW330" i="43"/>
  <c r="BX330" i="43"/>
  <c r="BY330" i="43"/>
  <c r="BZ330" i="43"/>
  <c r="CA330" i="43"/>
  <c r="CB330" i="43"/>
  <c r="CC330" i="43"/>
  <c r="CD330" i="43"/>
  <c r="CE330" i="43"/>
  <c r="CF330" i="43"/>
  <c r="CG330" i="43"/>
  <c r="CH330" i="43"/>
  <c r="CI330" i="43"/>
  <c r="CJ330" i="43"/>
  <c r="CK330" i="43"/>
  <c r="CL330" i="43"/>
  <c r="CM330" i="43"/>
  <c r="CN330" i="43"/>
  <c r="CO330" i="43"/>
  <c r="CP330" i="43"/>
  <c r="CQ330" i="43"/>
  <c r="CR330" i="43"/>
  <c r="CS330" i="43"/>
  <c r="CT330" i="43"/>
  <c r="CU330" i="43"/>
  <c r="CV330" i="43"/>
  <c r="CW330" i="43"/>
  <c r="CX330" i="43"/>
  <c r="CY330" i="43"/>
  <c r="CZ330" i="43"/>
  <c r="DA330" i="43"/>
  <c r="DB330" i="43"/>
  <c r="DC330" i="43"/>
  <c r="DD330" i="43"/>
  <c r="DE330" i="43"/>
  <c r="DF330" i="43"/>
  <c r="DG330" i="43"/>
  <c r="DH330" i="43"/>
  <c r="DI330" i="43"/>
  <c r="DJ330" i="43"/>
  <c r="DK330" i="43"/>
  <c r="DL330" i="43"/>
  <c r="DM330" i="43"/>
  <c r="DN330" i="43"/>
  <c r="DO330" i="43"/>
  <c r="DP330" i="43"/>
  <c r="DQ330" i="43"/>
  <c r="DR330" i="43"/>
  <c r="DS330" i="43"/>
  <c r="DT330" i="43"/>
  <c r="DU330" i="43"/>
  <c r="DV330" i="43"/>
  <c r="DW330" i="43"/>
  <c r="DX330" i="43"/>
  <c r="DY330" i="43"/>
  <c r="DZ330" i="43"/>
  <c r="EA330" i="43"/>
  <c r="EB330" i="43"/>
  <c r="EC330" i="43"/>
  <c r="ED330" i="43"/>
  <c r="EE330" i="43"/>
  <c r="EF330" i="43"/>
  <c r="EG330" i="43"/>
  <c r="EH330" i="43"/>
  <c r="EI330" i="43"/>
  <c r="EJ330" i="43"/>
  <c r="EK330" i="43"/>
  <c r="EL330" i="43"/>
  <c r="EM330" i="43"/>
  <c r="EN330" i="43"/>
  <c r="EO330" i="43"/>
  <c r="EP330" i="43"/>
  <c r="EQ330" i="43"/>
  <c r="ER330" i="43"/>
  <c r="ES330" i="43"/>
  <c r="ET330" i="43"/>
  <c r="EU330" i="43"/>
  <c r="EV330" i="43"/>
  <c r="EW330" i="43"/>
  <c r="EX330" i="43"/>
  <c r="EY330" i="43"/>
  <c r="EZ330" i="43"/>
  <c r="FA330" i="43"/>
  <c r="FB330" i="43"/>
  <c r="FC330" i="43"/>
  <c r="FD330" i="43"/>
  <c r="FE330" i="43"/>
  <c r="FF330" i="43"/>
  <c r="FG330" i="43"/>
  <c r="FH330" i="43"/>
  <c r="FI330" i="43"/>
  <c r="FJ330" i="43"/>
  <c r="FK330" i="43"/>
  <c r="FL330" i="43"/>
  <c r="FM330" i="43"/>
  <c r="FN330" i="43"/>
  <c r="FO330" i="43"/>
  <c r="FP330" i="43"/>
  <c r="FQ330" i="43"/>
  <c r="FR330" i="43"/>
  <c r="FS330" i="43"/>
  <c r="FT330" i="43"/>
  <c r="FU330" i="43"/>
  <c r="FV330" i="43"/>
  <c r="FW330" i="43"/>
  <c r="FX330" i="43"/>
  <c r="FY330" i="43"/>
  <c r="FZ330" i="43"/>
  <c r="GA330" i="43"/>
  <c r="GB330" i="43"/>
  <c r="GC330" i="43"/>
  <c r="GD330" i="43"/>
  <c r="GE330" i="43"/>
  <c r="GF330" i="43"/>
  <c r="GG330" i="43"/>
  <c r="GH330" i="43"/>
  <c r="GI330" i="43"/>
  <c r="GJ330" i="43"/>
  <c r="GK330" i="43"/>
  <c r="GL330" i="43"/>
  <c r="GM330" i="43"/>
  <c r="GN330" i="43"/>
  <c r="GO330" i="43"/>
  <c r="GP330" i="43"/>
  <c r="GQ330" i="43"/>
  <c r="GR330" i="43"/>
  <c r="GS330" i="43"/>
  <c r="GT330" i="43"/>
  <c r="GU330" i="43"/>
  <c r="GV330" i="43"/>
  <c r="GW330" i="43"/>
  <c r="GX330" i="43"/>
  <c r="GY330" i="43"/>
  <c r="GZ330" i="43"/>
  <c r="HA330" i="43"/>
  <c r="HB330" i="43"/>
  <c r="HC330" i="43"/>
  <c r="HD330" i="43"/>
  <c r="HE330" i="43"/>
  <c r="HF330" i="43"/>
  <c r="HG330" i="43"/>
  <c r="HH330" i="43"/>
  <c r="HI330" i="43"/>
  <c r="HJ330" i="43"/>
  <c r="HK330" i="43"/>
  <c r="HL330" i="43"/>
  <c r="HM330" i="43"/>
  <c r="HN330" i="43"/>
  <c r="HO330" i="43"/>
  <c r="HP330" i="43"/>
  <c r="HQ330" i="43"/>
  <c r="HR330" i="43"/>
  <c r="HS330" i="43"/>
  <c r="HT330" i="43"/>
  <c r="HU330" i="43"/>
  <c r="HV330" i="43"/>
  <c r="HW330" i="43"/>
  <c r="HX330" i="43"/>
  <c r="HY330" i="43"/>
  <c r="HZ330" i="43"/>
  <c r="IA330" i="43"/>
  <c r="IB330" i="43"/>
  <c r="IC330" i="43"/>
  <c r="ID330" i="43"/>
  <c r="IE330" i="43"/>
  <c r="IF330" i="43"/>
  <c r="IG330" i="43"/>
  <c r="IH330" i="43"/>
  <c r="II330" i="43"/>
  <c r="IJ330" i="43"/>
  <c r="IK330" i="43"/>
  <c r="IL330" i="43"/>
  <c r="IM330" i="43"/>
  <c r="IN330" i="43"/>
  <c r="IO330" i="43"/>
  <c r="IP330" i="43"/>
  <c r="IQ330" i="43"/>
  <c r="IR330" i="43"/>
  <c r="IS330" i="43"/>
  <c r="IT330" i="43"/>
  <c r="IU330" i="43"/>
  <c r="IV330" i="43"/>
  <c r="A329" i="43"/>
  <c r="B329" i="43"/>
  <c r="C329" i="43"/>
  <c r="D329" i="43"/>
  <c r="E329" i="43"/>
  <c r="F329" i="43"/>
  <c r="G329" i="43"/>
  <c r="H329" i="43"/>
  <c r="I329" i="43"/>
  <c r="J329" i="43"/>
  <c r="K329" i="43"/>
  <c r="L329" i="43"/>
  <c r="M329" i="43"/>
  <c r="N329" i="43"/>
  <c r="O329" i="43"/>
  <c r="P329" i="43"/>
  <c r="Q329" i="43"/>
  <c r="R329" i="43"/>
  <c r="S329" i="43"/>
  <c r="T329" i="43"/>
  <c r="U329" i="43"/>
  <c r="V329" i="43"/>
  <c r="W329" i="43"/>
  <c r="X329" i="43"/>
  <c r="Y329" i="43"/>
  <c r="Z329" i="43"/>
  <c r="AA329" i="43"/>
  <c r="AB329" i="43"/>
  <c r="AC329" i="43"/>
  <c r="AD329" i="43"/>
  <c r="AE329" i="43"/>
  <c r="AF329" i="43"/>
  <c r="AG329" i="43"/>
  <c r="AH329" i="43"/>
  <c r="AI329" i="43"/>
  <c r="AJ329" i="43"/>
  <c r="AK329" i="43"/>
  <c r="AL329" i="43"/>
  <c r="AM329" i="43"/>
  <c r="AN329" i="43"/>
  <c r="AO329" i="43"/>
  <c r="AP329" i="43"/>
  <c r="AQ329" i="43"/>
  <c r="AR329" i="43"/>
  <c r="AS329" i="43"/>
  <c r="AT329" i="43"/>
  <c r="AU329" i="43"/>
  <c r="AV329" i="43"/>
  <c r="AW329" i="43"/>
  <c r="AX329" i="43"/>
  <c r="AY329" i="43"/>
  <c r="AZ329" i="43"/>
  <c r="BA329" i="43"/>
  <c r="BB329" i="43"/>
  <c r="BC329" i="43"/>
  <c r="BD329" i="43"/>
  <c r="BE329" i="43"/>
  <c r="BF329" i="43"/>
  <c r="BG329" i="43"/>
  <c r="BH329" i="43"/>
  <c r="BI329" i="43"/>
  <c r="BJ329" i="43"/>
  <c r="BK329" i="43"/>
  <c r="BL329" i="43"/>
  <c r="BM329" i="43"/>
  <c r="BN329" i="43"/>
  <c r="BO329" i="43"/>
  <c r="BP329" i="43"/>
  <c r="BQ329" i="43"/>
  <c r="BR329" i="43"/>
  <c r="BS329" i="43"/>
  <c r="BT329" i="43"/>
  <c r="BU329" i="43"/>
  <c r="BV329" i="43"/>
  <c r="BW329" i="43"/>
  <c r="BX329" i="43"/>
  <c r="BY329" i="43"/>
  <c r="BZ329" i="43"/>
  <c r="CA329" i="43"/>
  <c r="CB329" i="43"/>
  <c r="CC329" i="43"/>
  <c r="CD329" i="43"/>
  <c r="CE329" i="43"/>
  <c r="CF329" i="43"/>
  <c r="CG329" i="43"/>
  <c r="CH329" i="43"/>
  <c r="CI329" i="43"/>
  <c r="CJ329" i="43"/>
  <c r="CK329" i="43"/>
  <c r="CL329" i="43"/>
  <c r="CM329" i="43"/>
  <c r="CN329" i="43"/>
  <c r="CO329" i="43"/>
  <c r="CP329" i="43"/>
  <c r="CQ329" i="43"/>
  <c r="CR329" i="43"/>
  <c r="CS329" i="43"/>
  <c r="CT329" i="43"/>
  <c r="CU329" i="43"/>
  <c r="CV329" i="43"/>
  <c r="CW329" i="43"/>
  <c r="CX329" i="43"/>
  <c r="CY329" i="43"/>
  <c r="CZ329" i="43"/>
  <c r="DA329" i="43"/>
  <c r="DB329" i="43"/>
  <c r="DC329" i="43"/>
  <c r="DD329" i="43"/>
  <c r="DE329" i="43"/>
  <c r="DF329" i="43"/>
  <c r="DG329" i="43"/>
  <c r="DH329" i="43"/>
  <c r="DI329" i="43"/>
  <c r="DJ329" i="43"/>
  <c r="DK329" i="43"/>
  <c r="DL329" i="43"/>
  <c r="DM329" i="43"/>
  <c r="DN329" i="43"/>
  <c r="DO329" i="43"/>
  <c r="DP329" i="43"/>
  <c r="DQ329" i="43"/>
  <c r="DR329" i="43"/>
  <c r="DS329" i="43"/>
  <c r="DT329" i="43"/>
  <c r="DU329" i="43"/>
  <c r="DV329" i="43"/>
  <c r="DW329" i="43"/>
  <c r="DX329" i="43"/>
  <c r="DY329" i="43"/>
  <c r="DZ329" i="43"/>
  <c r="EA329" i="43"/>
  <c r="EB329" i="43"/>
  <c r="EC329" i="43"/>
  <c r="ED329" i="43"/>
  <c r="EE329" i="43"/>
  <c r="EF329" i="43"/>
  <c r="EG329" i="43"/>
  <c r="EH329" i="43"/>
  <c r="EI329" i="43"/>
  <c r="EJ329" i="43"/>
  <c r="EK329" i="43"/>
  <c r="EL329" i="43"/>
  <c r="EM329" i="43"/>
  <c r="EN329" i="43"/>
  <c r="EO329" i="43"/>
  <c r="EP329" i="43"/>
  <c r="EQ329" i="43"/>
  <c r="ER329" i="43"/>
  <c r="ES329" i="43"/>
  <c r="ET329" i="43"/>
  <c r="EU329" i="43"/>
  <c r="EV329" i="43"/>
  <c r="EW329" i="43"/>
  <c r="EX329" i="43"/>
  <c r="EY329" i="43"/>
  <c r="EZ329" i="43"/>
  <c r="FA329" i="43"/>
  <c r="FB329" i="43"/>
  <c r="FC329" i="43"/>
  <c r="FD329" i="43"/>
  <c r="FE329" i="43"/>
  <c r="FF329" i="43"/>
  <c r="FG329" i="43"/>
  <c r="FH329" i="43"/>
  <c r="FI329" i="43"/>
  <c r="FJ329" i="43"/>
  <c r="FK329" i="43"/>
  <c r="FL329" i="43"/>
  <c r="FM329" i="43"/>
  <c r="FN329" i="43"/>
  <c r="FO329" i="43"/>
  <c r="FP329" i="43"/>
  <c r="FQ329" i="43"/>
  <c r="FR329" i="43"/>
  <c r="FS329" i="43"/>
  <c r="FT329" i="43"/>
  <c r="FU329" i="43"/>
  <c r="FV329" i="43"/>
  <c r="FW329" i="43"/>
  <c r="FX329" i="43"/>
  <c r="FY329" i="43"/>
  <c r="FZ329" i="43"/>
  <c r="GA329" i="43"/>
  <c r="GB329" i="43"/>
  <c r="GC329" i="43"/>
  <c r="GD329" i="43"/>
  <c r="GE329" i="43"/>
  <c r="GF329" i="43"/>
  <c r="GG329" i="43"/>
  <c r="GH329" i="43"/>
  <c r="GI329" i="43"/>
  <c r="GJ329" i="43"/>
  <c r="GK329" i="43"/>
  <c r="GL329" i="43"/>
  <c r="GM329" i="43"/>
  <c r="GN329" i="43"/>
  <c r="GO329" i="43"/>
  <c r="GP329" i="43"/>
  <c r="GQ329" i="43"/>
  <c r="GR329" i="43"/>
  <c r="GS329" i="43"/>
  <c r="GT329" i="43"/>
  <c r="GU329" i="43"/>
  <c r="GV329" i="43"/>
  <c r="GW329" i="43"/>
  <c r="GX329" i="43"/>
  <c r="GY329" i="43"/>
  <c r="GZ329" i="43"/>
  <c r="HA329" i="43"/>
  <c r="HB329" i="43"/>
  <c r="HC329" i="43"/>
  <c r="HD329" i="43"/>
  <c r="HE329" i="43"/>
  <c r="HF329" i="43"/>
  <c r="HG329" i="43"/>
  <c r="HH329" i="43"/>
  <c r="HI329" i="43"/>
  <c r="HJ329" i="43"/>
  <c r="HK329" i="43"/>
  <c r="HL329" i="43"/>
  <c r="HM329" i="43"/>
  <c r="HN329" i="43"/>
  <c r="HO329" i="43"/>
  <c r="HP329" i="43"/>
  <c r="HQ329" i="43"/>
  <c r="HR329" i="43"/>
  <c r="HS329" i="43"/>
  <c r="HT329" i="43"/>
  <c r="HU329" i="43"/>
  <c r="HV329" i="43"/>
  <c r="HW329" i="43"/>
  <c r="HX329" i="43"/>
  <c r="HY329" i="43"/>
  <c r="HZ329" i="43"/>
  <c r="IA329" i="43"/>
  <c r="IB329" i="43"/>
  <c r="IC329" i="43"/>
  <c r="ID329" i="43"/>
  <c r="IE329" i="43"/>
  <c r="IF329" i="43"/>
  <c r="IG329" i="43"/>
  <c r="IH329" i="43"/>
  <c r="II329" i="43"/>
  <c r="IJ329" i="43"/>
  <c r="IK329" i="43"/>
  <c r="IL329" i="43"/>
  <c r="IM329" i="43"/>
  <c r="IN329" i="43"/>
  <c r="IO329" i="43"/>
  <c r="IP329" i="43"/>
  <c r="IQ329" i="43"/>
  <c r="IR329" i="43"/>
  <c r="IS329" i="43"/>
  <c r="IT329" i="43"/>
  <c r="IU329" i="43"/>
  <c r="IV329" i="43"/>
  <c r="A328" i="43"/>
  <c r="B328" i="43"/>
  <c r="C328" i="43"/>
  <c r="D328" i="43"/>
  <c r="E328" i="43"/>
  <c r="F328" i="43"/>
  <c r="G328" i="43"/>
  <c r="H328" i="43"/>
  <c r="I328" i="43"/>
  <c r="J328" i="43"/>
  <c r="K328" i="43"/>
  <c r="L328" i="43"/>
  <c r="M328" i="43"/>
  <c r="N328" i="43"/>
  <c r="O328" i="43"/>
  <c r="P328" i="43"/>
  <c r="Q328" i="43"/>
  <c r="R328" i="43"/>
  <c r="S328" i="43"/>
  <c r="T328" i="43"/>
  <c r="U328" i="43"/>
  <c r="V328" i="43"/>
  <c r="W328" i="43"/>
  <c r="X328" i="43"/>
  <c r="Y328" i="43"/>
  <c r="Z328" i="43"/>
  <c r="AA328" i="43"/>
  <c r="AB328" i="43"/>
  <c r="AC328" i="43"/>
  <c r="AD328" i="43"/>
  <c r="AE328" i="43"/>
  <c r="AF328" i="43"/>
  <c r="AG328" i="43"/>
  <c r="AH328" i="43"/>
  <c r="AI328" i="43"/>
  <c r="AJ328" i="43"/>
  <c r="AK328" i="43"/>
  <c r="AL328" i="43"/>
  <c r="AM328" i="43"/>
  <c r="AN328" i="43"/>
  <c r="AO328" i="43"/>
  <c r="AP328" i="43"/>
  <c r="AQ328" i="43"/>
  <c r="AR328" i="43"/>
  <c r="AS328" i="43"/>
  <c r="AT328" i="43"/>
  <c r="AU328" i="43"/>
  <c r="AV328" i="43"/>
  <c r="AW328" i="43"/>
  <c r="AX328" i="43"/>
  <c r="AY328" i="43"/>
  <c r="AZ328" i="43"/>
  <c r="BA328" i="43"/>
  <c r="BB328" i="43"/>
  <c r="BC328" i="43"/>
  <c r="BD328" i="43"/>
  <c r="BE328" i="43"/>
  <c r="BF328" i="43"/>
  <c r="BG328" i="43"/>
  <c r="BH328" i="43"/>
  <c r="BI328" i="43"/>
  <c r="BJ328" i="43"/>
  <c r="BK328" i="43"/>
  <c r="BL328" i="43"/>
  <c r="BM328" i="43"/>
  <c r="BN328" i="43"/>
  <c r="BO328" i="43"/>
  <c r="BP328" i="43"/>
  <c r="BQ328" i="43"/>
  <c r="BR328" i="43"/>
  <c r="BS328" i="43"/>
  <c r="BT328" i="43"/>
  <c r="BU328" i="43"/>
  <c r="BV328" i="43"/>
  <c r="BW328" i="43"/>
  <c r="BX328" i="43"/>
  <c r="BY328" i="43"/>
  <c r="BZ328" i="43"/>
  <c r="CA328" i="43"/>
  <c r="CB328" i="43"/>
  <c r="CC328" i="43"/>
  <c r="CD328" i="43"/>
  <c r="CE328" i="43"/>
  <c r="CF328" i="43"/>
  <c r="CG328" i="43"/>
  <c r="CH328" i="43"/>
  <c r="CI328" i="43"/>
  <c r="CJ328" i="43"/>
  <c r="CK328" i="43"/>
  <c r="CL328" i="43"/>
  <c r="CM328" i="43"/>
  <c r="CN328" i="43"/>
  <c r="CO328" i="43"/>
  <c r="CP328" i="43"/>
  <c r="CQ328" i="43"/>
  <c r="CR328" i="43"/>
  <c r="CS328" i="43"/>
  <c r="CT328" i="43"/>
  <c r="CU328" i="43"/>
  <c r="CV328" i="43"/>
  <c r="CW328" i="43"/>
  <c r="CX328" i="43"/>
  <c r="CY328" i="43"/>
  <c r="CZ328" i="43"/>
  <c r="DA328" i="43"/>
  <c r="DB328" i="43"/>
  <c r="DC328" i="43"/>
  <c r="DD328" i="43"/>
  <c r="DE328" i="43"/>
  <c r="DF328" i="43"/>
  <c r="DG328" i="43"/>
  <c r="DH328" i="43"/>
  <c r="DI328" i="43"/>
  <c r="DJ328" i="43"/>
  <c r="DK328" i="43"/>
  <c r="DL328" i="43"/>
  <c r="DM328" i="43"/>
  <c r="DN328" i="43"/>
  <c r="DO328" i="43"/>
  <c r="DP328" i="43"/>
  <c r="DQ328" i="43"/>
  <c r="DR328" i="43"/>
  <c r="DS328" i="43"/>
  <c r="DT328" i="43"/>
  <c r="DU328" i="43"/>
  <c r="DV328" i="43"/>
  <c r="DW328" i="43"/>
  <c r="DX328" i="43"/>
  <c r="DY328" i="43"/>
  <c r="DZ328" i="43"/>
  <c r="EA328" i="43"/>
  <c r="EB328" i="43"/>
  <c r="EC328" i="43"/>
  <c r="ED328" i="43"/>
  <c r="EE328" i="43"/>
  <c r="EF328" i="43"/>
  <c r="EG328" i="43"/>
  <c r="EH328" i="43"/>
  <c r="EI328" i="43"/>
  <c r="EJ328" i="43"/>
  <c r="EK328" i="43"/>
  <c r="EL328" i="43"/>
  <c r="EM328" i="43"/>
  <c r="EN328" i="43"/>
  <c r="EO328" i="43"/>
  <c r="EP328" i="43"/>
  <c r="EQ328" i="43"/>
  <c r="ER328" i="43"/>
  <c r="ES328" i="43"/>
  <c r="ET328" i="43"/>
  <c r="EU328" i="43"/>
  <c r="EV328" i="43"/>
  <c r="EW328" i="43"/>
  <c r="EX328" i="43"/>
  <c r="EY328" i="43"/>
  <c r="EZ328" i="43"/>
  <c r="FA328" i="43"/>
  <c r="FB328" i="43"/>
  <c r="FC328" i="43"/>
  <c r="FD328" i="43"/>
  <c r="FE328" i="43"/>
  <c r="FF328" i="43"/>
  <c r="FG328" i="43"/>
  <c r="FH328" i="43"/>
  <c r="FI328" i="43"/>
  <c r="FJ328" i="43"/>
  <c r="FK328" i="43"/>
  <c r="FL328" i="43"/>
  <c r="FM328" i="43"/>
  <c r="FN328" i="43"/>
  <c r="FO328" i="43"/>
  <c r="FP328" i="43"/>
  <c r="FQ328" i="43"/>
  <c r="FR328" i="43"/>
  <c r="FS328" i="43"/>
  <c r="FT328" i="43"/>
  <c r="FU328" i="43"/>
  <c r="FV328" i="43"/>
  <c r="FW328" i="43"/>
  <c r="FX328" i="43"/>
  <c r="FY328" i="43"/>
  <c r="FZ328" i="43"/>
  <c r="GA328" i="43"/>
  <c r="GB328" i="43"/>
  <c r="GC328" i="43"/>
  <c r="GD328" i="43"/>
  <c r="GE328" i="43"/>
  <c r="GF328" i="43"/>
  <c r="GG328" i="43"/>
  <c r="GH328" i="43"/>
  <c r="GI328" i="43"/>
  <c r="GJ328" i="43"/>
  <c r="GK328" i="43"/>
  <c r="GL328" i="43"/>
  <c r="GM328" i="43"/>
  <c r="GN328" i="43"/>
  <c r="GO328" i="43"/>
  <c r="GP328" i="43"/>
  <c r="GQ328" i="43"/>
  <c r="GR328" i="43"/>
  <c r="GS328" i="43"/>
  <c r="GT328" i="43"/>
  <c r="GU328" i="43"/>
  <c r="GV328" i="43"/>
  <c r="GW328" i="43"/>
  <c r="GX328" i="43"/>
  <c r="GY328" i="43"/>
  <c r="GZ328" i="43"/>
  <c r="HA328" i="43"/>
  <c r="HB328" i="43"/>
  <c r="HC328" i="43"/>
  <c r="HD328" i="43"/>
  <c r="HE328" i="43"/>
  <c r="HF328" i="43"/>
  <c r="HG328" i="43"/>
  <c r="HH328" i="43"/>
  <c r="HI328" i="43"/>
  <c r="HJ328" i="43"/>
  <c r="HK328" i="43"/>
  <c r="HL328" i="43"/>
  <c r="HM328" i="43"/>
  <c r="HN328" i="43"/>
  <c r="HO328" i="43"/>
  <c r="HP328" i="43"/>
  <c r="HQ328" i="43"/>
  <c r="HR328" i="43"/>
  <c r="HS328" i="43"/>
  <c r="HT328" i="43"/>
  <c r="HU328" i="43"/>
  <c r="HV328" i="43"/>
  <c r="HW328" i="43"/>
  <c r="HX328" i="43"/>
  <c r="HY328" i="43"/>
  <c r="HZ328" i="43"/>
  <c r="IA328" i="43"/>
  <c r="IB328" i="43"/>
  <c r="IC328" i="43"/>
  <c r="ID328" i="43"/>
  <c r="IE328" i="43"/>
  <c r="IF328" i="43"/>
  <c r="IG328" i="43"/>
  <c r="IH328" i="43"/>
  <c r="II328" i="43"/>
  <c r="IJ328" i="43"/>
  <c r="IK328" i="43"/>
  <c r="IL328" i="43"/>
  <c r="IM328" i="43"/>
  <c r="IN328" i="43"/>
  <c r="IO328" i="43"/>
  <c r="IP328" i="43"/>
  <c r="IQ328" i="43"/>
  <c r="IR328" i="43"/>
  <c r="IS328" i="43"/>
  <c r="IT328" i="43"/>
  <c r="IU328" i="43"/>
  <c r="IV328" i="43"/>
  <c r="A327" i="43"/>
  <c r="B327" i="43"/>
  <c r="C327" i="43"/>
  <c r="D327" i="43"/>
  <c r="E327" i="43"/>
  <c r="F327" i="43"/>
  <c r="G327" i="43"/>
  <c r="H327" i="43"/>
  <c r="I327" i="43"/>
  <c r="J327" i="43"/>
  <c r="K327" i="43"/>
  <c r="L327" i="43"/>
  <c r="M327" i="43"/>
  <c r="N327" i="43"/>
  <c r="O327" i="43"/>
  <c r="P327" i="43"/>
  <c r="Q327" i="43"/>
  <c r="R327" i="43"/>
  <c r="S327" i="43"/>
  <c r="T327" i="43"/>
  <c r="U327" i="43"/>
  <c r="V327" i="43"/>
  <c r="W327" i="43"/>
  <c r="X327" i="43"/>
  <c r="Y327" i="43"/>
  <c r="Z327" i="43"/>
  <c r="AA327" i="43"/>
  <c r="AB327" i="43"/>
  <c r="AC327" i="43"/>
  <c r="AD327" i="43"/>
  <c r="AE327" i="43"/>
  <c r="AF327" i="43"/>
  <c r="AG327" i="43"/>
  <c r="AH327" i="43"/>
  <c r="AI327" i="43"/>
  <c r="AJ327" i="43"/>
  <c r="AK327" i="43"/>
  <c r="AL327" i="43"/>
  <c r="AM327" i="43"/>
  <c r="AN327" i="43"/>
  <c r="AO327" i="43"/>
  <c r="AP327" i="43"/>
  <c r="AQ327" i="43"/>
  <c r="AR327" i="43"/>
  <c r="AS327" i="43"/>
  <c r="AT327" i="43"/>
  <c r="AU327" i="43"/>
  <c r="AV327" i="43"/>
  <c r="AW327" i="43"/>
  <c r="AX327" i="43"/>
  <c r="AY327" i="43"/>
  <c r="AZ327" i="43"/>
  <c r="BA327" i="43"/>
  <c r="BB327" i="43"/>
  <c r="BC327" i="43"/>
  <c r="BD327" i="43"/>
  <c r="BE327" i="43"/>
  <c r="BF327" i="43"/>
  <c r="BG327" i="43"/>
  <c r="BH327" i="43"/>
  <c r="BI327" i="43"/>
  <c r="BJ327" i="43"/>
  <c r="BK327" i="43"/>
  <c r="BL327" i="43"/>
  <c r="BM327" i="43"/>
  <c r="BN327" i="43"/>
  <c r="BO327" i="43"/>
  <c r="BP327" i="43"/>
  <c r="BQ327" i="43"/>
  <c r="BR327" i="43"/>
  <c r="BS327" i="43"/>
  <c r="BT327" i="43"/>
  <c r="BU327" i="43"/>
  <c r="BV327" i="43"/>
  <c r="BW327" i="43"/>
  <c r="BX327" i="43"/>
  <c r="BY327" i="43"/>
  <c r="BZ327" i="43"/>
  <c r="CA327" i="43"/>
  <c r="CB327" i="43"/>
  <c r="CC327" i="43"/>
  <c r="CD327" i="43"/>
  <c r="CE327" i="43"/>
  <c r="CF327" i="43"/>
  <c r="CG327" i="43"/>
  <c r="CH327" i="43"/>
  <c r="CI327" i="43"/>
  <c r="CJ327" i="43"/>
  <c r="CK327" i="43"/>
  <c r="CL327" i="43"/>
  <c r="CM327" i="43"/>
  <c r="CN327" i="43"/>
  <c r="CO327" i="43"/>
  <c r="CP327" i="43"/>
  <c r="CQ327" i="43"/>
  <c r="CR327" i="43"/>
  <c r="CS327" i="43"/>
  <c r="CT327" i="43"/>
  <c r="CU327" i="43"/>
  <c r="CV327" i="43"/>
  <c r="CW327" i="43"/>
  <c r="CX327" i="43"/>
  <c r="CY327" i="43"/>
  <c r="CZ327" i="43"/>
  <c r="DA327" i="43"/>
  <c r="DB327" i="43"/>
  <c r="DC327" i="43"/>
  <c r="DD327" i="43"/>
  <c r="DE327" i="43"/>
  <c r="DF327" i="43"/>
  <c r="DG327" i="43"/>
  <c r="DH327" i="43"/>
  <c r="DI327" i="43"/>
  <c r="DJ327" i="43"/>
  <c r="DK327" i="43"/>
  <c r="DL327" i="43"/>
  <c r="DM327" i="43"/>
  <c r="DN327" i="43"/>
  <c r="DO327" i="43"/>
  <c r="DP327" i="43"/>
  <c r="DQ327" i="43"/>
  <c r="DR327" i="43"/>
  <c r="DS327" i="43"/>
  <c r="DT327" i="43"/>
  <c r="DU327" i="43"/>
  <c r="DV327" i="43"/>
  <c r="DW327" i="43"/>
  <c r="DX327" i="43"/>
  <c r="DY327" i="43"/>
  <c r="DZ327" i="43"/>
  <c r="EA327" i="43"/>
  <c r="EB327" i="43"/>
  <c r="EC327" i="43"/>
  <c r="ED327" i="43"/>
  <c r="EE327" i="43"/>
  <c r="EF327" i="43"/>
  <c r="EG327" i="43"/>
  <c r="EH327" i="43"/>
  <c r="EI327" i="43"/>
  <c r="EJ327" i="43"/>
  <c r="EK327" i="43"/>
  <c r="EL327" i="43"/>
  <c r="EM327" i="43"/>
  <c r="EN327" i="43"/>
  <c r="EO327" i="43"/>
  <c r="EP327" i="43"/>
  <c r="EQ327" i="43"/>
  <c r="ER327" i="43"/>
  <c r="ES327" i="43"/>
  <c r="ET327" i="43"/>
  <c r="EU327" i="43"/>
  <c r="EV327" i="43"/>
  <c r="EW327" i="43"/>
  <c r="EX327" i="43"/>
  <c r="EY327" i="43"/>
  <c r="EZ327" i="43"/>
  <c r="FA327" i="43"/>
  <c r="FB327" i="43"/>
  <c r="FC327" i="43"/>
  <c r="FD327" i="43"/>
  <c r="FE327" i="43"/>
  <c r="FF327" i="43"/>
  <c r="FG327" i="43"/>
  <c r="FH327" i="43"/>
  <c r="FI327" i="43"/>
  <c r="FJ327" i="43"/>
  <c r="FK327" i="43"/>
  <c r="FL327" i="43"/>
  <c r="FM327" i="43"/>
  <c r="FN327" i="43"/>
  <c r="FO327" i="43"/>
  <c r="FP327" i="43"/>
  <c r="FQ327" i="43"/>
  <c r="FR327" i="43"/>
  <c r="FS327" i="43"/>
  <c r="FT327" i="43"/>
  <c r="FU327" i="43"/>
  <c r="FV327" i="43"/>
  <c r="FW327" i="43"/>
  <c r="FX327" i="43"/>
  <c r="FY327" i="43"/>
  <c r="FZ327" i="43"/>
  <c r="GA327" i="43"/>
  <c r="GB327" i="43"/>
  <c r="GC327" i="43"/>
  <c r="GD327" i="43"/>
  <c r="GE327" i="43"/>
  <c r="GF327" i="43"/>
  <c r="GG327" i="43"/>
  <c r="GH327" i="43"/>
  <c r="GI327" i="43"/>
  <c r="GJ327" i="43"/>
  <c r="GK327" i="43"/>
  <c r="GL327" i="43"/>
  <c r="GM327" i="43"/>
  <c r="GN327" i="43"/>
  <c r="GO327" i="43"/>
  <c r="GP327" i="43"/>
  <c r="GQ327" i="43"/>
  <c r="GR327" i="43"/>
  <c r="GS327" i="43"/>
  <c r="GT327" i="43"/>
  <c r="GU327" i="43"/>
  <c r="GV327" i="43"/>
  <c r="GW327" i="43"/>
  <c r="GX327" i="43"/>
  <c r="GY327" i="43"/>
  <c r="GZ327" i="43"/>
  <c r="HA327" i="43"/>
  <c r="HB327" i="43"/>
  <c r="HC327" i="43"/>
  <c r="HD327" i="43"/>
  <c r="HE327" i="43"/>
  <c r="HF327" i="43"/>
  <c r="HG327" i="43"/>
  <c r="HH327" i="43"/>
  <c r="HI327" i="43"/>
  <c r="HJ327" i="43"/>
  <c r="HK327" i="43"/>
  <c r="HL327" i="43"/>
  <c r="HM327" i="43"/>
  <c r="HN327" i="43"/>
  <c r="HO327" i="43"/>
  <c r="HP327" i="43"/>
  <c r="HQ327" i="43"/>
  <c r="HR327" i="43"/>
  <c r="HS327" i="43"/>
  <c r="HT327" i="43"/>
  <c r="HU327" i="43"/>
  <c r="HV327" i="43"/>
  <c r="HW327" i="43"/>
  <c r="HX327" i="43"/>
  <c r="HY327" i="43"/>
  <c r="HZ327" i="43"/>
  <c r="IA327" i="43"/>
  <c r="IB327" i="43"/>
  <c r="IC327" i="43"/>
  <c r="ID327" i="43"/>
  <c r="IE327" i="43"/>
  <c r="IF327" i="43"/>
  <c r="IG327" i="43"/>
  <c r="IH327" i="43"/>
  <c r="II327" i="43"/>
  <c r="IJ327" i="43"/>
  <c r="IK327" i="43"/>
  <c r="IL327" i="43"/>
  <c r="IM327" i="43"/>
  <c r="IN327" i="43"/>
  <c r="IO327" i="43"/>
  <c r="IP327" i="43"/>
  <c r="IQ327" i="43"/>
  <c r="IR327" i="43"/>
  <c r="IS327" i="43"/>
  <c r="IT327" i="43"/>
  <c r="IU327" i="43"/>
  <c r="IV327" i="43"/>
  <c r="A326" i="43"/>
  <c r="B326" i="43"/>
  <c r="C326" i="43"/>
  <c r="D326" i="43"/>
  <c r="E326" i="43"/>
  <c r="F326" i="43"/>
  <c r="G326" i="43"/>
  <c r="H326" i="43"/>
  <c r="I326" i="43"/>
  <c r="J326" i="43"/>
  <c r="K326" i="43"/>
  <c r="L326" i="43"/>
  <c r="M326" i="43"/>
  <c r="N326" i="43"/>
  <c r="O326" i="43"/>
  <c r="P326" i="43"/>
  <c r="Q326" i="43"/>
  <c r="R326" i="43"/>
  <c r="S326" i="43"/>
  <c r="T326" i="43"/>
  <c r="U326" i="43"/>
  <c r="V326" i="43"/>
  <c r="W326" i="43"/>
  <c r="X326" i="43"/>
  <c r="Y326" i="43"/>
  <c r="Z326" i="43"/>
  <c r="AA326" i="43"/>
  <c r="AB326" i="43"/>
  <c r="AC326" i="43"/>
  <c r="AD326" i="43"/>
  <c r="AE326" i="43"/>
  <c r="AF326" i="43"/>
  <c r="AG326" i="43"/>
  <c r="AH326" i="43"/>
  <c r="AI326" i="43"/>
  <c r="AJ326" i="43"/>
  <c r="AK326" i="43"/>
  <c r="AL326" i="43"/>
  <c r="AM326" i="43"/>
  <c r="AN326" i="43"/>
  <c r="AO326" i="43"/>
  <c r="AP326" i="43"/>
  <c r="AQ326" i="43"/>
  <c r="AR326" i="43"/>
  <c r="AS326" i="43"/>
  <c r="AT326" i="43"/>
  <c r="AU326" i="43"/>
  <c r="AV326" i="43"/>
  <c r="AW326" i="43"/>
  <c r="AX326" i="43"/>
  <c r="AY326" i="43"/>
  <c r="AZ326" i="43"/>
  <c r="BA326" i="43"/>
  <c r="BB326" i="43"/>
  <c r="BC326" i="43"/>
  <c r="BD326" i="43"/>
  <c r="BE326" i="43"/>
  <c r="BF326" i="43"/>
  <c r="BG326" i="43"/>
  <c r="BH326" i="43"/>
  <c r="BI326" i="43"/>
  <c r="BJ326" i="43"/>
  <c r="BK326" i="43"/>
  <c r="BL326" i="43"/>
  <c r="BM326" i="43"/>
  <c r="BN326" i="43"/>
  <c r="BO326" i="43"/>
  <c r="BP326" i="43"/>
  <c r="BQ326" i="43"/>
  <c r="BR326" i="43"/>
  <c r="BS326" i="43"/>
  <c r="BT326" i="43"/>
  <c r="BU326" i="43"/>
  <c r="BV326" i="43"/>
  <c r="BW326" i="43"/>
  <c r="BX326" i="43"/>
  <c r="BY326" i="43"/>
  <c r="BZ326" i="43"/>
  <c r="CA326" i="43"/>
  <c r="CB326" i="43"/>
  <c r="CC326" i="43"/>
  <c r="CD326" i="43"/>
  <c r="CE326" i="43"/>
  <c r="CF326" i="43"/>
  <c r="CG326" i="43"/>
  <c r="CH326" i="43"/>
  <c r="CI326" i="43"/>
  <c r="CJ326" i="43"/>
  <c r="CK326" i="43"/>
  <c r="CL326" i="43"/>
  <c r="CM326" i="43"/>
  <c r="CN326" i="43"/>
  <c r="CO326" i="43"/>
  <c r="CP326" i="43"/>
  <c r="CQ326" i="43"/>
  <c r="CR326" i="43"/>
  <c r="CS326" i="43"/>
  <c r="CT326" i="43"/>
  <c r="CU326" i="43"/>
  <c r="CV326" i="43"/>
  <c r="CW326" i="43"/>
  <c r="CX326" i="43"/>
  <c r="CY326" i="43"/>
  <c r="CZ326" i="43"/>
  <c r="DA326" i="43"/>
  <c r="DB326" i="43"/>
  <c r="DC326" i="43"/>
  <c r="DD326" i="43"/>
  <c r="DE326" i="43"/>
  <c r="DF326" i="43"/>
  <c r="DG326" i="43"/>
  <c r="DH326" i="43"/>
  <c r="DI326" i="43"/>
  <c r="DJ326" i="43"/>
  <c r="DK326" i="43"/>
  <c r="DL326" i="43"/>
  <c r="DM326" i="43"/>
  <c r="DN326" i="43"/>
  <c r="DO326" i="43"/>
  <c r="DP326" i="43"/>
  <c r="DQ326" i="43"/>
  <c r="DR326" i="43"/>
  <c r="DS326" i="43"/>
  <c r="DT326" i="43"/>
  <c r="DU326" i="43"/>
  <c r="DV326" i="43"/>
  <c r="DW326" i="43"/>
  <c r="DX326" i="43"/>
  <c r="DY326" i="43"/>
  <c r="DZ326" i="43"/>
  <c r="EA326" i="43"/>
  <c r="EB326" i="43"/>
  <c r="EC326" i="43"/>
  <c r="ED326" i="43"/>
  <c r="EE326" i="43"/>
  <c r="EF326" i="43"/>
  <c r="EG326" i="43"/>
  <c r="EH326" i="43"/>
  <c r="EI326" i="43"/>
  <c r="EJ326" i="43"/>
  <c r="EK326" i="43"/>
  <c r="EL326" i="43"/>
  <c r="EM326" i="43"/>
  <c r="EN326" i="43"/>
  <c r="EO326" i="43"/>
  <c r="EP326" i="43"/>
  <c r="EQ326" i="43"/>
  <c r="ER326" i="43"/>
  <c r="ES326" i="43"/>
  <c r="ET326" i="43"/>
  <c r="EU326" i="43"/>
  <c r="EV326" i="43"/>
  <c r="EW326" i="43"/>
  <c r="EX326" i="43"/>
  <c r="EY326" i="43"/>
  <c r="EZ326" i="43"/>
  <c r="FA326" i="43"/>
  <c r="FB326" i="43"/>
  <c r="FC326" i="43"/>
  <c r="FD326" i="43"/>
  <c r="FE326" i="43"/>
  <c r="FF326" i="43"/>
  <c r="FG326" i="43"/>
  <c r="FH326" i="43"/>
  <c r="FI326" i="43"/>
  <c r="FJ326" i="43"/>
  <c r="FK326" i="43"/>
  <c r="FL326" i="43"/>
  <c r="FM326" i="43"/>
  <c r="FN326" i="43"/>
  <c r="FO326" i="43"/>
  <c r="FP326" i="43"/>
  <c r="FQ326" i="43"/>
  <c r="FR326" i="43"/>
  <c r="FS326" i="43"/>
  <c r="FT326" i="43"/>
  <c r="FU326" i="43"/>
  <c r="FV326" i="43"/>
  <c r="FW326" i="43"/>
  <c r="FX326" i="43"/>
  <c r="FY326" i="43"/>
  <c r="FZ326" i="43"/>
  <c r="GA326" i="43"/>
  <c r="GB326" i="43"/>
  <c r="GC326" i="43"/>
  <c r="GD326" i="43"/>
  <c r="GE326" i="43"/>
  <c r="GF326" i="43"/>
  <c r="GG326" i="43"/>
  <c r="GH326" i="43"/>
  <c r="GI326" i="43"/>
  <c r="GJ326" i="43"/>
  <c r="GK326" i="43"/>
  <c r="GL326" i="43"/>
  <c r="GM326" i="43"/>
  <c r="GN326" i="43"/>
  <c r="GO326" i="43"/>
  <c r="GP326" i="43"/>
  <c r="GQ326" i="43"/>
  <c r="GR326" i="43"/>
  <c r="GS326" i="43"/>
  <c r="GT326" i="43"/>
  <c r="GU326" i="43"/>
  <c r="GV326" i="43"/>
  <c r="GW326" i="43"/>
  <c r="GX326" i="43"/>
  <c r="GY326" i="43"/>
  <c r="GZ326" i="43"/>
  <c r="HA326" i="43"/>
  <c r="HB326" i="43"/>
  <c r="HC326" i="43"/>
  <c r="HD326" i="43"/>
  <c r="HE326" i="43"/>
  <c r="HF326" i="43"/>
  <c r="HG326" i="43"/>
  <c r="HH326" i="43"/>
  <c r="HI326" i="43"/>
  <c r="HJ326" i="43"/>
  <c r="HK326" i="43"/>
  <c r="HL326" i="43"/>
  <c r="HM326" i="43"/>
  <c r="HN326" i="43"/>
  <c r="HO326" i="43"/>
  <c r="HP326" i="43"/>
  <c r="HQ326" i="43"/>
  <c r="HR326" i="43"/>
  <c r="HS326" i="43"/>
  <c r="HT326" i="43"/>
  <c r="HU326" i="43"/>
  <c r="HV326" i="43"/>
  <c r="HW326" i="43"/>
  <c r="HX326" i="43"/>
  <c r="HY326" i="43"/>
  <c r="HZ326" i="43"/>
  <c r="IA326" i="43"/>
  <c r="IB326" i="43"/>
  <c r="IC326" i="43"/>
  <c r="ID326" i="43"/>
  <c r="IE326" i="43"/>
  <c r="IF326" i="43"/>
  <c r="IG326" i="43"/>
  <c r="IH326" i="43"/>
  <c r="II326" i="43"/>
  <c r="IJ326" i="43"/>
  <c r="IK326" i="43"/>
  <c r="IL326" i="43"/>
  <c r="IM326" i="43"/>
  <c r="IN326" i="43"/>
  <c r="IO326" i="43"/>
  <c r="IP326" i="43"/>
  <c r="IQ326" i="43"/>
  <c r="IR326" i="43"/>
  <c r="IS326" i="43"/>
  <c r="IT326" i="43"/>
  <c r="IU326" i="43"/>
  <c r="IV326" i="43"/>
  <c r="A325" i="43"/>
  <c r="B325" i="43"/>
  <c r="C325" i="43"/>
  <c r="D325" i="43"/>
  <c r="E325" i="43"/>
  <c r="F325" i="43"/>
  <c r="G325" i="43"/>
  <c r="H325" i="43"/>
  <c r="I325" i="43"/>
  <c r="J325" i="43"/>
  <c r="K325" i="43"/>
  <c r="L325" i="43"/>
  <c r="M325" i="43"/>
  <c r="N325" i="43"/>
  <c r="O325" i="43"/>
  <c r="P325" i="43"/>
  <c r="Q325" i="43"/>
  <c r="R325" i="43"/>
  <c r="S325" i="43"/>
  <c r="T325" i="43"/>
  <c r="U325" i="43"/>
  <c r="V325" i="43"/>
  <c r="W325" i="43"/>
  <c r="X325" i="43"/>
  <c r="Y325" i="43"/>
  <c r="Z325" i="43"/>
  <c r="AA325" i="43"/>
  <c r="AB325" i="43"/>
  <c r="AC325" i="43"/>
  <c r="AD325" i="43"/>
  <c r="AE325" i="43"/>
  <c r="AF325" i="43"/>
  <c r="AG325" i="43"/>
  <c r="AH325" i="43"/>
  <c r="AI325" i="43"/>
  <c r="AJ325" i="43"/>
  <c r="AK325" i="43"/>
  <c r="AL325" i="43"/>
  <c r="AM325" i="43"/>
  <c r="AN325" i="43"/>
  <c r="AO325" i="43"/>
  <c r="AP325" i="43"/>
  <c r="AQ325" i="43"/>
  <c r="AR325" i="43"/>
  <c r="AS325" i="43"/>
  <c r="AT325" i="43"/>
  <c r="AU325" i="43"/>
  <c r="AV325" i="43"/>
  <c r="AW325" i="43"/>
  <c r="AX325" i="43"/>
  <c r="AY325" i="43"/>
  <c r="AZ325" i="43"/>
  <c r="BA325" i="43"/>
  <c r="BB325" i="43"/>
  <c r="BC325" i="43"/>
  <c r="BD325" i="43"/>
  <c r="BE325" i="43"/>
  <c r="BF325" i="43"/>
  <c r="BG325" i="43"/>
  <c r="BH325" i="43"/>
  <c r="BI325" i="43"/>
  <c r="BJ325" i="43"/>
  <c r="BK325" i="43"/>
  <c r="BL325" i="43"/>
  <c r="BM325" i="43"/>
  <c r="BN325" i="43"/>
  <c r="BO325" i="43"/>
  <c r="BP325" i="43"/>
  <c r="BQ325" i="43"/>
  <c r="BR325" i="43"/>
  <c r="BS325" i="43"/>
  <c r="BT325" i="43"/>
  <c r="BU325" i="43"/>
  <c r="BV325" i="43"/>
  <c r="BW325" i="43"/>
  <c r="BX325" i="43"/>
  <c r="BY325" i="43"/>
  <c r="BZ325" i="43"/>
  <c r="CA325" i="43"/>
  <c r="CB325" i="43"/>
  <c r="CC325" i="43"/>
  <c r="CD325" i="43"/>
  <c r="CE325" i="43"/>
  <c r="CF325" i="43"/>
  <c r="CG325" i="43"/>
  <c r="CH325" i="43"/>
  <c r="CI325" i="43"/>
  <c r="CJ325" i="43"/>
  <c r="CK325" i="43"/>
  <c r="CL325" i="43"/>
  <c r="CM325" i="43"/>
  <c r="CN325" i="43"/>
  <c r="CO325" i="43"/>
  <c r="CP325" i="43"/>
  <c r="CQ325" i="43"/>
  <c r="CR325" i="43"/>
  <c r="CS325" i="43"/>
  <c r="CT325" i="43"/>
  <c r="CU325" i="43"/>
  <c r="CV325" i="43"/>
  <c r="CW325" i="43"/>
  <c r="CX325" i="43"/>
  <c r="CY325" i="43"/>
  <c r="CZ325" i="43"/>
  <c r="DA325" i="43"/>
  <c r="DB325" i="43"/>
  <c r="DC325" i="43"/>
  <c r="DD325" i="43"/>
  <c r="DE325" i="43"/>
  <c r="DF325" i="43"/>
  <c r="DG325" i="43"/>
  <c r="DH325" i="43"/>
  <c r="DI325" i="43"/>
  <c r="DJ325" i="43"/>
  <c r="DK325" i="43"/>
  <c r="DL325" i="43"/>
  <c r="DM325" i="43"/>
  <c r="DN325" i="43"/>
  <c r="DO325" i="43"/>
  <c r="DP325" i="43"/>
  <c r="DQ325" i="43"/>
  <c r="DR325" i="43"/>
  <c r="DS325" i="43"/>
  <c r="DT325" i="43"/>
  <c r="DU325" i="43"/>
  <c r="DV325" i="43"/>
  <c r="DW325" i="43"/>
  <c r="DX325" i="43"/>
  <c r="DY325" i="43"/>
  <c r="DZ325" i="43"/>
  <c r="EA325" i="43"/>
  <c r="EB325" i="43"/>
  <c r="EC325" i="43"/>
  <c r="ED325" i="43"/>
  <c r="EE325" i="43"/>
  <c r="EF325" i="43"/>
  <c r="EG325" i="43"/>
  <c r="EH325" i="43"/>
  <c r="EI325" i="43"/>
  <c r="EJ325" i="43"/>
  <c r="EK325" i="43"/>
  <c r="EL325" i="43"/>
  <c r="EM325" i="43"/>
  <c r="EN325" i="43"/>
  <c r="EO325" i="43"/>
  <c r="EP325" i="43"/>
  <c r="EQ325" i="43"/>
  <c r="ER325" i="43"/>
  <c r="ES325" i="43"/>
  <c r="ET325" i="43"/>
  <c r="EU325" i="43"/>
  <c r="EV325" i="43"/>
  <c r="EW325" i="43"/>
  <c r="EX325" i="43"/>
  <c r="EY325" i="43"/>
  <c r="EZ325" i="43"/>
  <c r="FA325" i="43"/>
  <c r="FB325" i="43"/>
  <c r="FC325" i="43"/>
  <c r="FD325" i="43"/>
  <c r="FE325" i="43"/>
  <c r="FF325" i="43"/>
  <c r="FG325" i="43"/>
  <c r="FH325" i="43"/>
  <c r="FI325" i="43"/>
  <c r="FJ325" i="43"/>
  <c r="FK325" i="43"/>
  <c r="FL325" i="43"/>
  <c r="FM325" i="43"/>
  <c r="FN325" i="43"/>
  <c r="FO325" i="43"/>
  <c r="FP325" i="43"/>
  <c r="FQ325" i="43"/>
  <c r="FR325" i="43"/>
  <c r="FS325" i="43"/>
  <c r="FT325" i="43"/>
  <c r="FU325" i="43"/>
  <c r="FV325" i="43"/>
  <c r="FW325" i="43"/>
  <c r="FX325" i="43"/>
  <c r="FY325" i="43"/>
  <c r="FZ325" i="43"/>
  <c r="GA325" i="43"/>
  <c r="GB325" i="43"/>
  <c r="GC325" i="43"/>
  <c r="GD325" i="43"/>
  <c r="GE325" i="43"/>
  <c r="GF325" i="43"/>
  <c r="GG325" i="43"/>
  <c r="GH325" i="43"/>
  <c r="GI325" i="43"/>
  <c r="GJ325" i="43"/>
  <c r="GK325" i="43"/>
  <c r="GL325" i="43"/>
  <c r="GM325" i="43"/>
  <c r="GN325" i="43"/>
  <c r="GO325" i="43"/>
  <c r="GP325" i="43"/>
  <c r="GQ325" i="43"/>
  <c r="GR325" i="43"/>
  <c r="GS325" i="43"/>
  <c r="GT325" i="43"/>
  <c r="GU325" i="43"/>
  <c r="GV325" i="43"/>
  <c r="GW325" i="43"/>
  <c r="GX325" i="43"/>
  <c r="GY325" i="43"/>
  <c r="GZ325" i="43"/>
  <c r="HA325" i="43"/>
  <c r="HB325" i="43"/>
  <c r="HC325" i="43"/>
  <c r="HD325" i="43"/>
  <c r="HE325" i="43"/>
  <c r="HF325" i="43"/>
  <c r="HG325" i="43"/>
  <c r="HH325" i="43"/>
  <c r="HI325" i="43"/>
  <c r="HJ325" i="43"/>
  <c r="HK325" i="43"/>
  <c r="HL325" i="43"/>
  <c r="HM325" i="43"/>
  <c r="HN325" i="43"/>
  <c r="HO325" i="43"/>
  <c r="HP325" i="43"/>
  <c r="HQ325" i="43"/>
  <c r="HR325" i="43"/>
  <c r="HS325" i="43"/>
  <c r="HT325" i="43"/>
  <c r="HU325" i="43"/>
  <c r="HV325" i="43"/>
  <c r="HW325" i="43"/>
  <c r="HX325" i="43"/>
  <c r="HY325" i="43"/>
  <c r="HZ325" i="43"/>
  <c r="IA325" i="43"/>
  <c r="IB325" i="43"/>
  <c r="IC325" i="43"/>
  <c r="ID325" i="43"/>
  <c r="IE325" i="43"/>
  <c r="IF325" i="43"/>
  <c r="IG325" i="43"/>
  <c r="IH325" i="43"/>
  <c r="II325" i="43"/>
  <c r="IJ325" i="43"/>
  <c r="IK325" i="43"/>
  <c r="IL325" i="43"/>
  <c r="IM325" i="43"/>
  <c r="IN325" i="43"/>
  <c r="IO325" i="43"/>
  <c r="IP325" i="43"/>
  <c r="IQ325" i="43"/>
  <c r="IR325" i="43"/>
  <c r="IS325" i="43"/>
  <c r="IT325" i="43"/>
  <c r="IU325" i="43"/>
  <c r="IV325" i="43"/>
  <c r="A324" i="43"/>
  <c r="B324" i="43"/>
  <c r="C324" i="43"/>
  <c r="D324" i="43"/>
  <c r="E324" i="43"/>
  <c r="F324" i="43"/>
  <c r="G324" i="43"/>
  <c r="H324" i="43"/>
  <c r="I324" i="43"/>
  <c r="J324" i="43"/>
  <c r="K324" i="43"/>
  <c r="L324" i="43"/>
  <c r="M324" i="43"/>
  <c r="N324" i="43"/>
  <c r="O324" i="43"/>
  <c r="P324" i="43"/>
  <c r="Q324" i="43"/>
  <c r="R324" i="43"/>
  <c r="S324" i="43"/>
  <c r="T324" i="43"/>
  <c r="U324" i="43"/>
  <c r="V324" i="43"/>
  <c r="W324" i="43"/>
  <c r="X324" i="43"/>
  <c r="Y324" i="43"/>
  <c r="Z324" i="43"/>
  <c r="AA324" i="43"/>
  <c r="AB324" i="43"/>
  <c r="AC324" i="43"/>
  <c r="AD324" i="43"/>
  <c r="AE324" i="43"/>
  <c r="AF324" i="43"/>
  <c r="AG324" i="43"/>
  <c r="AH324" i="43"/>
  <c r="AI324" i="43"/>
  <c r="AJ324" i="43"/>
  <c r="AK324" i="43"/>
  <c r="AL324" i="43"/>
  <c r="AM324" i="43"/>
  <c r="AN324" i="43"/>
  <c r="AO324" i="43"/>
  <c r="AP324" i="43"/>
  <c r="AQ324" i="43"/>
  <c r="AR324" i="43"/>
  <c r="AS324" i="43"/>
  <c r="AT324" i="43"/>
  <c r="AU324" i="43"/>
  <c r="AV324" i="43"/>
  <c r="AW324" i="43"/>
  <c r="AX324" i="43"/>
  <c r="AY324" i="43"/>
  <c r="AZ324" i="43"/>
  <c r="BA324" i="43"/>
  <c r="BB324" i="43"/>
  <c r="BC324" i="43"/>
  <c r="BD324" i="43"/>
  <c r="BE324" i="43"/>
  <c r="BF324" i="43"/>
  <c r="BG324" i="43"/>
  <c r="BH324" i="43"/>
  <c r="BI324" i="43"/>
  <c r="BJ324" i="43"/>
  <c r="BK324" i="43"/>
  <c r="BL324" i="43"/>
  <c r="BM324" i="43"/>
  <c r="BN324" i="43"/>
  <c r="BO324" i="43"/>
  <c r="BP324" i="43"/>
  <c r="BQ324" i="43"/>
  <c r="BR324" i="43"/>
  <c r="BS324" i="43"/>
  <c r="BT324" i="43"/>
  <c r="BU324" i="43"/>
  <c r="BV324" i="43"/>
  <c r="BW324" i="43"/>
  <c r="BX324" i="43"/>
  <c r="BY324" i="43"/>
  <c r="BZ324" i="43"/>
  <c r="CA324" i="43"/>
  <c r="CB324" i="43"/>
  <c r="CC324" i="43"/>
  <c r="CD324" i="43"/>
  <c r="CE324" i="43"/>
  <c r="CF324" i="43"/>
  <c r="CG324" i="43"/>
  <c r="CH324" i="43"/>
  <c r="CI324" i="43"/>
  <c r="CJ324" i="43"/>
  <c r="CK324" i="43"/>
  <c r="CL324" i="43"/>
  <c r="CM324" i="43"/>
  <c r="CN324" i="43"/>
  <c r="CO324" i="43"/>
  <c r="CP324" i="43"/>
  <c r="CQ324" i="43"/>
  <c r="CR324" i="43"/>
  <c r="CS324" i="43"/>
  <c r="CT324" i="43"/>
  <c r="CU324" i="43"/>
  <c r="CV324" i="43"/>
  <c r="CW324" i="43"/>
  <c r="CX324" i="43"/>
  <c r="CY324" i="43"/>
  <c r="CZ324" i="43"/>
  <c r="DA324" i="43"/>
  <c r="DB324" i="43"/>
  <c r="DC324" i="43"/>
  <c r="DD324" i="43"/>
  <c r="DE324" i="43"/>
  <c r="DF324" i="43"/>
  <c r="DG324" i="43"/>
  <c r="DH324" i="43"/>
  <c r="DI324" i="43"/>
  <c r="DJ324" i="43"/>
  <c r="DK324" i="43"/>
  <c r="DL324" i="43"/>
  <c r="DM324" i="43"/>
  <c r="DN324" i="43"/>
  <c r="DO324" i="43"/>
  <c r="DP324" i="43"/>
  <c r="DQ324" i="43"/>
  <c r="DR324" i="43"/>
  <c r="DS324" i="43"/>
  <c r="DT324" i="43"/>
  <c r="DU324" i="43"/>
  <c r="DV324" i="43"/>
  <c r="DW324" i="43"/>
  <c r="DX324" i="43"/>
  <c r="DY324" i="43"/>
  <c r="DZ324" i="43"/>
  <c r="EA324" i="43"/>
  <c r="EB324" i="43"/>
  <c r="EC324" i="43"/>
  <c r="ED324" i="43"/>
  <c r="EE324" i="43"/>
  <c r="EF324" i="43"/>
  <c r="EG324" i="43"/>
  <c r="EH324" i="43"/>
  <c r="EI324" i="43"/>
  <c r="EJ324" i="43"/>
  <c r="EK324" i="43"/>
  <c r="EL324" i="43"/>
  <c r="EM324" i="43"/>
  <c r="EN324" i="43"/>
  <c r="EO324" i="43"/>
  <c r="EP324" i="43"/>
  <c r="EQ324" i="43"/>
  <c r="ER324" i="43"/>
  <c r="ES324" i="43"/>
  <c r="ET324" i="43"/>
  <c r="EU324" i="43"/>
  <c r="EV324" i="43"/>
  <c r="EW324" i="43"/>
  <c r="EX324" i="43"/>
  <c r="EY324" i="43"/>
  <c r="EZ324" i="43"/>
  <c r="FA324" i="43"/>
  <c r="FB324" i="43"/>
  <c r="FC324" i="43"/>
  <c r="FD324" i="43"/>
  <c r="FE324" i="43"/>
  <c r="FF324" i="43"/>
  <c r="FG324" i="43"/>
  <c r="FH324" i="43"/>
  <c r="FI324" i="43"/>
  <c r="FJ324" i="43"/>
  <c r="FK324" i="43"/>
  <c r="FL324" i="43"/>
  <c r="FM324" i="43"/>
  <c r="FN324" i="43"/>
  <c r="FO324" i="43"/>
  <c r="FP324" i="43"/>
  <c r="FQ324" i="43"/>
  <c r="FR324" i="43"/>
  <c r="FS324" i="43"/>
  <c r="FT324" i="43"/>
  <c r="FU324" i="43"/>
  <c r="FV324" i="43"/>
  <c r="FW324" i="43"/>
  <c r="FX324" i="43"/>
  <c r="FY324" i="43"/>
  <c r="FZ324" i="43"/>
  <c r="GA324" i="43"/>
  <c r="GB324" i="43"/>
  <c r="GC324" i="43"/>
  <c r="GD324" i="43"/>
  <c r="GE324" i="43"/>
  <c r="GF324" i="43"/>
  <c r="GG324" i="43"/>
  <c r="GH324" i="43"/>
  <c r="GI324" i="43"/>
  <c r="GJ324" i="43"/>
  <c r="GK324" i="43"/>
  <c r="GL324" i="43"/>
  <c r="GM324" i="43"/>
  <c r="GN324" i="43"/>
  <c r="GO324" i="43"/>
  <c r="GP324" i="43"/>
  <c r="GQ324" i="43"/>
  <c r="GR324" i="43"/>
  <c r="GS324" i="43"/>
  <c r="GT324" i="43"/>
  <c r="GU324" i="43"/>
  <c r="GV324" i="43"/>
  <c r="GW324" i="43"/>
  <c r="GX324" i="43"/>
  <c r="GY324" i="43"/>
  <c r="GZ324" i="43"/>
  <c r="HA324" i="43"/>
  <c r="HB324" i="43"/>
  <c r="HC324" i="43"/>
  <c r="HD324" i="43"/>
  <c r="HE324" i="43"/>
  <c r="HF324" i="43"/>
  <c r="HG324" i="43"/>
  <c r="HH324" i="43"/>
  <c r="HI324" i="43"/>
  <c r="HJ324" i="43"/>
  <c r="HK324" i="43"/>
  <c r="HL324" i="43"/>
  <c r="HM324" i="43"/>
  <c r="HN324" i="43"/>
  <c r="HO324" i="43"/>
  <c r="HP324" i="43"/>
  <c r="HQ324" i="43"/>
  <c r="HR324" i="43"/>
  <c r="HS324" i="43"/>
  <c r="HT324" i="43"/>
  <c r="HU324" i="43"/>
  <c r="HV324" i="43"/>
  <c r="HW324" i="43"/>
  <c r="HX324" i="43"/>
  <c r="HY324" i="43"/>
  <c r="HZ324" i="43"/>
  <c r="IA324" i="43"/>
  <c r="IB324" i="43"/>
  <c r="IC324" i="43"/>
  <c r="ID324" i="43"/>
  <c r="IE324" i="43"/>
  <c r="IF324" i="43"/>
  <c r="IG324" i="43"/>
  <c r="IH324" i="43"/>
  <c r="II324" i="43"/>
  <c r="IJ324" i="43"/>
  <c r="IK324" i="43"/>
  <c r="IL324" i="43"/>
  <c r="IM324" i="43"/>
  <c r="IN324" i="43"/>
  <c r="IO324" i="43"/>
  <c r="IP324" i="43"/>
  <c r="IQ324" i="43"/>
  <c r="IR324" i="43"/>
  <c r="IS324" i="43"/>
  <c r="IT324" i="43"/>
  <c r="IU324" i="43"/>
  <c r="IV324" i="43"/>
  <c r="A323" i="43"/>
  <c r="B323" i="43"/>
  <c r="C323" i="43"/>
  <c r="D323" i="43"/>
  <c r="E323" i="43"/>
  <c r="F323" i="43"/>
  <c r="G323" i="43"/>
  <c r="H323" i="43"/>
  <c r="I323" i="43"/>
  <c r="J323" i="43"/>
  <c r="K323" i="43"/>
  <c r="L323" i="43"/>
  <c r="M323" i="43"/>
  <c r="N323" i="43"/>
  <c r="O323" i="43"/>
  <c r="P323" i="43"/>
  <c r="Q323" i="43"/>
  <c r="R323" i="43"/>
  <c r="S323" i="43"/>
  <c r="T323" i="43"/>
  <c r="U323" i="43"/>
  <c r="V323" i="43"/>
  <c r="W323" i="43"/>
  <c r="X323" i="43"/>
  <c r="Y323" i="43"/>
  <c r="Z323" i="43"/>
  <c r="AA323" i="43"/>
  <c r="AB323" i="43"/>
  <c r="AC323" i="43"/>
  <c r="AD323" i="43"/>
  <c r="AE323" i="43"/>
  <c r="AF323" i="43"/>
  <c r="AG323" i="43"/>
  <c r="AH323" i="43"/>
  <c r="AI323" i="43"/>
  <c r="AJ323" i="43"/>
  <c r="AK323" i="43"/>
  <c r="AL323" i="43"/>
  <c r="AM323" i="43"/>
  <c r="AN323" i="43"/>
  <c r="AO323" i="43"/>
  <c r="AP323" i="43"/>
  <c r="AQ323" i="43"/>
  <c r="AR323" i="43"/>
  <c r="AS323" i="43"/>
  <c r="AT323" i="43"/>
  <c r="AU323" i="43"/>
  <c r="AV323" i="43"/>
  <c r="AW323" i="43"/>
  <c r="AX323" i="43"/>
  <c r="AY323" i="43"/>
  <c r="AZ323" i="43"/>
  <c r="BA323" i="43"/>
  <c r="BB323" i="43"/>
  <c r="BC323" i="43"/>
  <c r="BD323" i="43"/>
  <c r="BE323" i="43"/>
  <c r="BF323" i="43"/>
  <c r="BG323" i="43"/>
  <c r="BH323" i="43"/>
  <c r="BI323" i="43"/>
  <c r="BJ323" i="43"/>
  <c r="BK323" i="43"/>
  <c r="BL323" i="43"/>
  <c r="BM323" i="43"/>
  <c r="BN323" i="43"/>
  <c r="BO323" i="43"/>
  <c r="BP323" i="43"/>
  <c r="BQ323" i="43"/>
  <c r="BR323" i="43"/>
  <c r="BS323" i="43"/>
  <c r="BT323" i="43"/>
  <c r="BU323" i="43"/>
  <c r="BV323" i="43"/>
  <c r="BW323" i="43"/>
  <c r="BX323" i="43"/>
  <c r="BY323" i="43"/>
  <c r="BZ323" i="43"/>
  <c r="CA323" i="43"/>
  <c r="CB323" i="43"/>
  <c r="CC323" i="43"/>
  <c r="CD323" i="43"/>
  <c r="CE323" i="43"/>
  <c r="CF323" i="43"/>
  <c r="CG323" i="43"/>
  <c r="CH323" i="43"/>
  <c r="CI323" i="43"/>
  <c r="CJ323" i="43"/>
  <c r="CK323" i="43"/>
  <c r="CL323" i="43"/>
  <c r="CM323" i="43"/>
  <c r="CN323" i="43"/>
  <c r="CO323" i="43"/>
  <c r="CP323" i="43"/>
  <c r="CQ323" i="43"/>
  <c r="CR323" i="43"/>
  <c r="CS323" i="43"/>
  <c r="CT323" i="43"/>
  <c r="CU323" i="43"/>
  <c r="CV323" i="43"/>
  <c r="CW323" i="43"/>
  <c r="CX323" i="43"/>
  <c r="CY323" i="43"/>
  <c r="CZ323" i="43"/>
  <c r="DA323" i="43"/>
  <c r="DB323" i="43"/>
  <c r="DC323" i="43"/>
  <c r="DD323" i="43"/>
  <c r="DE323" i="43"/>
  <c r="DF323" i="43"/>
  <c r="DG323" i="43"/>
  <c r="DH323" i="43"/>
  <c r="DI323" i="43"/>
  <c r="DJ323" i="43"/>
  <c r="DK323" i="43"/>
  <c r="DL323" i="43"/>
  <c r="DM323" i="43"/>
  <c r="DN323" i="43"/>
  <c r="DO323" i="43"/>
  <c r="DP323" i="43"/>
  <c r="DQ323" i="43"/>
  <c r="DR323" i="43"/>
  <c r="DS323" i="43"/>
  <c r="DT323" i="43"/>
  <c r="DU323" i="43"/>
  <c r="DV323" i="43"/>
  <c r="DW323" i="43"/>
  <c r="DX323" i="43"/>
  <c r="DY323" i="43"/>
  <c r="DZ323" i="43"/>
  <c r="EA323" i="43"/>
  <c r="EB323" i="43"/>
  <c r="EC323" i="43"/>
  <c r="ED323" i="43"/>
  <c r="EE323" i="43"/>
  <c r="EF323" i="43"/>
  <c r="EG323" i="43"/>
  <c r="EH323" i="43"/>
  <c r="EI323" i="43"/>
  <c r="EJ323" i="43"/>
  <c r="EK323" i="43"/>
  <c r="EL323" i="43"/>
  <c r="EM323" i="43"/>
  <c r="EN323" i="43"/>
  <c r="EO323" i="43"/>
  <c r="EP323" i="43"/>
  <c r="EQ323" i="43"/>
  <c r="ER323" i="43"/>
  <c r="ES323" i="43"/>
  <c r="ET323" i="43"/>
  <c r="EU323" i="43"/>
  <c r="EV323" i="43"/>
  <c r="EW323" i="43"/>
  <c r="EX323" i="43"/>
  <c r="EY323" i="43"/>
  <c r="EZ323" i="43"/>
  <c r="FA323" i="43"/>
  <c r="FB323" i="43"/>
  <c r="FC323" i="43"/>
  <c r="FD323" i="43"/>
  <c r="FE323" i="43"/>
  <c r="FF323" i="43"/>
  <c r="FG323" i="43"/>
  <c r="FH323" i="43"/>
  <c r="FI323" i="43"/>
  <c r="FJ323" i="43"/>
  <c r="FK323" i="43"/>
  <c r="FL323" i="43"/>
  <c r="FM323" i="43"/>
  <c r="FN323" i="43"/>
  <c r="FO323" i="43"/>
  <c r="FP323" i="43"/>
  <c r="FQ323" i="43"/>
  <c r="FR323" i="43"/>
  <c r="FS323" i="43"/>
  <c r="FT323" i="43"/>
  <c r="FU323" i="43"/>
  <c r="FV323" i="43"/>
  <c r="FW323" i="43"/>
  <c r="FX323" i="43"/>
  <c r="FY323" i="43"/>
  <c r="FZ323" i="43"/>
  <c r="GA323" i="43"/>
  <c r="GB323" i="43"/>
  <c r="GC323" i="43"/>
  <c r="GD323" i="43"/>
  <c r="GE323" i="43"/>
  <c r="GF323" i="43"/>
  <c r="GG323" i="43"/>
  <c r="GH323" i="43"/>
  <c r="GI323" i="43"/>
  <c r="GJ323" i="43"/>
  <c r="GK323" i="43"/>
  <c r="GL323" i="43"/>
  <c r="GM323" i="43"/>
  <c r="GN323" i="43"/>
  <c r="GO323" i="43"/>
  <c r="GP323" i="43"/>
  <c r="GQ323" i="43"/>
  <c r="GR323" i="43"/>
  <c r="GS323" i="43"/>
  <c r="GT323" i="43"/>
  <c r="GU323" i="43"/>
  <c r="GV323" i="43"/>
  <c r="GW323" i="43"/>
  <c r="GX323" i="43"/>
  <c r="GY323" i="43"/>
  <c r="GZ323" i="43"/>
  <c r="HA323" i="43"/>
  <c r="HB323" i="43"/>
  <c r="HC323" i="43"/>
  <c r="HD323" i="43"/>
  <c r="HE323" i="43"/>
  <c r="HF323" i="43"/>
  <c r="HG323" i="43"/>
  <c r="HH323" i="43"/>
  <c r="HI323" i="43"/>
  <c r="HJ323" i="43"/>
  <c r="HK323" i="43"/>
  <c r="HL323" i="43"/>
  <c r="HM323" i="43"/>
  <c r="HN323" i="43"/>
  <c r="HO323" i="43"/>
  <c r="HP323" i="43"/>
  <c r="HQ323" i="43"/>
  <c r="HR323" i="43"/>
  <c r="HS323" i="43"/>
  <c r="HT323" i="43"/>
  <c r="HU323" i="43"/>
  <c r="HV323" i="43"/>
  <c r="HW323" i="43"/>
  <c r="HX323" i="43"/>
  <c r="HY323" i="43"/>
  <c r="HZ323" i="43"/>
  <c r="IA323" i="43"/>
  <c r="IB323" i="43"/>
  <c r="IC323" i="43"/>
  <c r="ID323" i="43"/>
  <c r="IE323" i="43"/>
  <c r="IF323" i="43"/>
  <c r="IG323" i="43"/>
  <c r="IH323" i="43"/>
  <c r="II323" i="43"/>
  <c r="IJ323" i="43"/>
  <c r="IK323" i="43"/>
  <c r="IL323" i="43"/>
  <c r="IM323" i="43"/>
  <c r="IN323" i="43"/>
  <c r="IO323" i="43"/>
  <c r="IP323" i="43"/>
  <c r="IQ323" i="43"/>
  <c r="IR323" i="43"/>
  <c r="IS323" i="43"/>
  <c r="IT323" i="43"/>
  <c r="IU323" i="43"/>
  <c r="IV323" i="43"/>
  <c r="A322" i="43"/>
  <c r="B322" i="43"/>
  <c r="C322" i="43"/>
  <c r="D322" i="43"/>
  <c r="E322" i="43"/>
  <c r="F322" i="43"/>
  <c r="G322" i="43"/>
  <c r="H322" i="43"/>
  <c r="I322" i="43"/>
  <c r="J322" i="43"/>
  <c r="K322" i="43"/>
  <c r="L322" i="43"/>
  <c r="M322" i="43"/>
  <c r="N322" i="43"/>
  <c r="O322" i="43"/>
  <c r="P322" i="43"/>
  <c r="Q322" i="43"/>
  <c r="R322" i="43"/>
  <c r="S322" i="43"/>
  <c r="T322" i="43"/>
  <c r="U322" i="43"/>
  <c r="V322" i="43"/>
  <c r="W322" i="43"/>
  <c r="X322" i="43"/>
  <c r="Y322" i="43"/>
  <c r="Z322" i="43"/>
  <c r="AA322" i="43"/>
  <c r="AB322" i="43"/>
  <c r="AC322" i="43"/>
  <c r="AD322" i="43"/>
  <c r="AE322" i="43"/>
  <c r="AF322" i="43"/>
  <c r="AG322" i="43"/>
  <c r="AH322" i="43"/>
  <c r="AI322" i="43"/>
  <c r="AJ322" i="43"/>
  <c r="AK322" i="43"/>
  <c r="AL322" i="43"/>
  <c r="AM322" i="43"/>
  <c r="AN322" i="43"/>
  <c r="AO322" i="43"/>
  <c r="AP322" i="43"/>
  <c r="AQ322" i="43"/>
  <c r="AR322" i="43"/>
  <c r="AS322" i="43"/>
  <c r="AT322" i="43"/>
  <c r="AU322" i="43"/>
  <c r="AV322" i="43"/>
  <c r="AW322" i="43"/>
  <c r="AX322" i="43"/>
  <c r="AY322" i="43"/>
  <c r="AZ322" i="43"/>
  <c r="BA322" i="43"/>
  <c r="BB322" i="43"/>
  <c r="BC322" i="43"/>
  <c r="BD322" i="43"/>
  <c r="BE322" i="43"/>
  <c r="BF322" i="43"/>
  <c r="BG322" i="43"/>
  <c r="BH322" i="43"/>
  <c r="BI322" i="43"/>
  <c r="BJ322" i="43"/>
  <c r="BK322" i="43"/>
  <c r="BL322" i="43"/>
  <c r="BM322" i="43"/>
  <c r="BN322" i="43"/>
  <c r="BO322" i="43"/>
  <c r="BP322" i="43"/>
  <c r="BQ322" i="43"/>
  <c r="BR322" i="43"/>
  <c r="BS322" i="43"/>
  <c r="BT322" i="43"/>
  <c r="BU322" i="43"/>
  <c r="BV322" i="43"/>
  <c r="BW322" i="43"/>
  <c r="BX322" i="43"/>
  <c r="BY322" i="43"/>
  <c r="BZ322" i="43"/>
  <c r="CA322" i="43"/>
  <c r="CB322" i="43"/>
  <c r="CC322" i="43"/>
  <c r="CD322" i="43"/>
  <c r="CE322" i="43"/>
  <c r="CF322" i="43"/>
  <c r="CG322" i="43"/>
  <c r="CH322" i="43"/>
  <c r="CI322" i="43"/>
  <c r="CJ322" i="43"/>
  <c r="CK322" i="43"/>
  <c r="CL322" i="43"/>
  <c r="CM322" i="43"/>
  <c r="CN322" i="43"/>
  <c r="CO322" i="43"/>
  <c r="CP322" i="43"/>
  <c r="CQ322" i="43"/>
  <c r="CR322" i="43"/>
  <c r="CS322" i="43"/>
  <c r="CT322" i="43"/>
  <c r="CU322" i="43"/>
  <c r="CV322" i="43"/>
  <c r="CW322" i="43"/>
  <c r="CX322" i="43"/>
  <c r="CY322" i="43"/>
  <c r="CZ322" i="43"/>
  <c r="DA322" i="43"/>
  <c r="DB322" i="43"/>
  <c r="DC322" i="43"/>
  <c r="DD322" i="43"/>
  <c r="DE322" i="43"/>
  <c r="DF322" i="43"/>
  <c r="DG322" i="43"/>
  <c r="DH322" i="43"/>
  <c r="DI322" i="43"/>
  <c r="DJ322" i="43"/>
  <c r="DK322" i="43"/>
  <c r="DL322" i="43"/>
  <c r="DM322" i="43"/>
  <c r="DN322" i="43"/>
  <c r="DO322" i="43"/>
  <c r="DP322" i="43"/>
  <c r="DQ322" i="43"/>
  <c r="DR322" i="43"/>
  <c r="DS322" i="43"/>
  <c r="DT322" i="43"/>
  <c r="DU322" i="43"/>
  <c r="DV322" i="43"/>
  <c r="DW322" i="43"/>
  <c r="DX322" i="43"/>
  <c r="DY322" i="43"/>
  <c r="DZ322" i="43"/>
  <c r="EA322" i="43"/>
  <c r="EB322" i="43"/>
  <c r="EC322" i="43"/>
  <c r="ED322" i="43"/>
  <c r="EE322" i="43"/>
  <c r="EF322" i="43"/>
  <c r="EG322" i="43"/>
  <c r="EH322" i="43"/>
  <c r="EI322" i="43"/>
  <c r="EJ322" i="43"/>
  <c r="EK322" i="43"/>
  <c r="EL322" i="43"/>
  <c r="EM322" i="43"/>
  <c r="EN322" i="43"/>
  <c r="EO322" i="43"/>
  <c r="EP322" i="43"/>
  <c r="EQ322" i="43"/>
  <c r="ER322" i="43"/>
  <c r="ES322" i="43"/>
  <c r="ET322" i="43"/>
  <c r="EU322" i="43"/>
  <c r="EV322" i="43"/>
  <c r="EW322" i="43"/>
  <c r="EX322" i="43"/>
  <c r="EY322" i="43"/>
  <c r="EZ322" i="43"/>
  <c r="FA322" i="43"/>
  <c r="FB322" i="43"/>
  <c r="FC322" i="43"/>
  <c r="FD322" i="43"/>
  <c r="FE322" i="43"/>
  <c r="FF322" i="43"/>
  <c r="FG322" i="43"/>
  <c r="FH322" i="43"/>
  <c r="FI322" i="43"/>
  <c r="FJ322" i="43"/>
  <c r="FK322" i="43"/>
  <c r="FL322" i="43"/>
  <c r="FM322" i="43"/>
  <c r="FN322" i="43"/>
  <c r="FO322" i="43"/>
  <c r="FP322" i="43"/>
  <c r="FQ322" i="43"/>
  <c r="FR322" i="43"/>
  <c r="FS322" i="43"/>
  <c r="FT322" i="43"/>
  <c r="FU322" i="43"/>
  <c r="FV322" i="43"/>
  <c r="FW322" i="43"/>
  <c r="FX322" i="43"/>
  <c r="FY322" i="43"/>
  <c r="FZ322" i="43"/>
  <c r="GA322" i="43"/>
  <c r="GB322" i="43"/>
  <c r="GC322" i="43"/>
  <c r="GD322" i="43"/>
  <c r="GE322" i="43"/>
  <c r="GF322" i="43"/>
  <c r="GG322" i="43"/>
  <c r="GH322" i="43"/>
  <c r="GI322" i="43"/>
  <c r="GJ322" i="43"/>
  <c r="GK322" i="43"/>
  <c r="GL322" i="43"/>
  <c r="GM322" i="43"/>
  <c r="GN322" i="43"/>
  <c r="GO322" i="43"/>
  <c r="GP322" i="43"/>
  <c r="GQ322" i="43"/>
  <c r="GR322" i="43"/>
  <c r="GS322" i="43"/>
  <c r="GT322" i="43"/>
  <c r="GU322" i="43"/>
  <c r="GV322" i="43"/>
  <c r="GW322" i="43"/>
  <c r="GX322" i="43"/>
  <c r="GY322" i="43"/>
  <c r="GZ322" i="43"/>
  <c r="HA322" i="43"/>
  <c r="HB322" i="43"/>
  <c r="HC322" i="43"/>
  <c r="HD322" i="43"/>
  <c r="HE322" i="43"/>
  <c r="HF322" i="43"/>
  <c r="HG322" i="43"/>
  <c r="HH322" i="43"/>
  <c r="HI322" i="43"/>
  <c r="HJ322" i="43"/>
  <c r="HK322" i="43"/>
  <c r="HL322" i="43"/>
  <c r="HM322" i="43"/>
  <c r="HN322" i="43"/>
  <c r="HO322" i="43"/>
  <c r="HP322" i="43"/>
  <c r="HQ322" i="43"/>
  <c r="HR322" i="43"/>
  <c r="HS322" i="43"/>
  <c r="HT322" i="43"/>
  <c r="HU322" i="43"/>
  <c r="HV322" i="43"/>
  <c r="HW322" i="43"/>
  <c r="HX322" i="43"/>
  <c r="HY322" i="43"/>
  <c r="HZ322" i="43"/>
  <c r="IA322" i="43"/>
  <c r="IB322" i="43"/>
  <c r="IC322" i="43"/>
  <c r="ID322" i="43"/>
  <c r="IE322" i="43"/>
  <c r="IF322" i="43"/>
  <c r="IG322" i="43"/>
  <c r="IH322" i="43"/>
  <c r="II322" i="43"/>
  <c r="IJ322" i="43"/>
  <c r="IK322" i="43"/>
  <c r="IL322" i="43"/>
  <c r="IM322" i="43"/>
  <c r="IN322" i="43"/>
  <c r="IO322" i="43"/>
  <c r="IP322" i="43"/>
  <c r="IQ322" i="43"/>
  <c r="IR322" i="43"/>
  <c r="IS322" i="43"/>
  <c r="IT322" i="43"/>
  <c r="IU322" i="43"/>
  <c r="IV322" i="43"/>
  <c r="A321" i="43"/>
  <c r="B321" i="43"/>
  <c r="C321" i="43"/>
  <c r="D321" i="43"/>
  <c r="E321" i="43"/>
  <c r="F321" i="43"/>
  <c r="G321" i="43"/>
  <c r="H321" i="43"/>
  <c r="I321" i="43"/>
  <c r="J321" i="43"/>
  <c r="K321" i="43"/>
  <c r="L321" i="43"/>
  <c r="M321" i="43"/>
  <c r="N321" i="43"/>
  <c r="O321" i="43"/>
  <c r="P321" i="43"/>
  <c r="Q321" i="43"/>
  <c r="R321" i="43"/>
  <c r="S321" i="43"/>
  <c r="T321" i="43"/>
  <c r="U321" i="43"/>
  <c r="V321" i="43"/>
  <c r="W321" i="43"/>
  <c r="X321" i="43"/>
  <c r="Y321" i="43"/>
  <c r="Z321" i="43"/>
  <c r="AA321" i="43"/>
  <c r="AB321" i="43"/>
  <c r="AC321" i="43"/>
  <c r="AD321" i="43"/>
  <c r="AE321" i="43"/>
  <c r="AF321" i="43"/>
  <c r="AG321" i="43"/>
  <c r="AH321" i="43"/>
  <c r="AI321" i="43"/>
  <c r="AJ321" i="43"/>
  <c r="AK321" i="43"/>
  <c r="AL321" i="43"/>
  <c r="AM321" i="43"/>
  <c r="AN321" i="43"/>
  <c r="AO321" i="43"/>
  <c r="AP321" i="43"/>
  <c r="AQ321" i="43"/>
  <c r="AR321" i="43"/>
  <c r="AS321" i="43"/>
  <c r="AT321" i="43"/>
  <c r="AU321" i="43"/>
  <c r="AV321" i="43"/>
  <c r="AW321" i="43"/>
  <c r="AX321" i="43"/>
  <c r="AY321" i="43"/>
  <c r="AZ321" i="43"/>
  <c r="BA321" i="43"/>
  <c r="BB321" i="43"/>
  <c r="BC321" i="43"/>
  <c r="BD321" i="43"/>
  <c r="BE321" i="43"/>
  <c r="BF321" i="43"/>
  <c r="BG321" i="43"/>
  <c r="BH321" i="43"/>
  <c r="BI321" i="43"/>
  <c r="BJ321" i="43"/>
  <c r="BK321" i="43"/>
  <c r="BL321" i="43"/>
  <c r="BM321" i="43"/>
  <c r="BN321" i="43"/>
  <c r="BO321" i="43"/>
  <c r="BP321" i="43"/>
  <c r="BQ321" i="43"/>
  <c r="BR321" i="43"/>
  <c r="BS321" i="43"/>
  <c r="BT321" i="43"/>
  <c r="BU321" i="43"/>
  <c r="BV321" i="43"/>
  <c r="BW321" i="43"/>
  <c r="BX321" i="43"/>
  <c r="BY321" i="43"/>
  <c r="BZ321" i="43"/>
  <c r="CA321" i="43"/>
  <c r="CB321" i="43"/>
  <c r="CC321" i="43"/>
  <c r="CD321" i="43"/>
  <c r="CE321" i="43"/>
  <c r="CF321" i="43"/>
  <c r="CG321" i="43"/>
  <c r="CH321" i="43"/>
  <c r="CI321" i="43"/>
  <c r="CJ321" i="43"/>
  <c r="CK321" i="43"/>
  <c r="CL321" i="43"/>
  <c r="CM321" i="43"/>
  <c r="CN321" i="43"/>
  <c r="CO321" i="43"/>
  <c r="CP321" i="43"/>
  <c r="CQ321" i="43"/>
  <c r="CR321" i="43"/>
  <c r="CS321" i="43"/>
  <c r="CT321" i="43"/>
  <c r="CU321" i="43"/>
  <c r="CV321" i="43"/>
  <c r="CW321" i="43"/>
  <c r="CX321" i="43"/>
  <c r="CY321" i="43"/>
  <c r="CZ321" i="43"/>
  <c r="DA321" i="43"/>
  <c r="DB321" i="43"/>
  <c r="DC321" i="43"/>
  <c r="DD321" i="43"/>
  <c r="DE321" i="43"/>
  <c r="DF321" i="43"/>
  <c r="DG321" i="43"/>
  <c r="DH321" i="43"/>
  <c r="DI321" i="43"/>
  <c r="DJ321" i="43"/>
  <c r="DK321" i="43"/>
  <c r="DL321" i="43"/>
  <c r="DM321" i="43"/>
  <c r="DN321" i="43"/>
  <c r="DO321" i="43"/>
  <c r="DP321" i="43"/>
  <c r="DQ321" i="43"/>
  <c r="DR321" i="43"/>
  <c r="DS321" i="43"/>
  <c r="DT321" i="43"/>
  <c r="DU321" i="43"/>
  <c r="DV321" i="43"/>
  <c r="DW321" i="43"/>
  <c r="DX321" i="43"/>
  <c r="DY321" i="43"/>
  <c r="DZ321" i="43"/>
  <c r="EA321" i="43"/>
  <c r="EB321" i="43"/>
  <c r="EC321" i="43"/>
  <c r="ED321" i="43"/>
  <c r="EE321" i="43"/>
  <c r="EF321" i="43"/>
  <c r="EG321" i="43"/>
  <c r="EH321" i="43"/>
  <c r="EI321" i="43"/>
  <c r="EJ321" i="43"/>
  <c r="EK321" i="43"/>
  <c r="EL321" i="43"/>
  <c r="EM321" i="43"/>
  <c r="EN321" i="43"/>
  <c r="EO321" i="43"/>
  <c r="EP321" i="43"/>
  <c r="EQ321" i="43"/>
  <c r="ER321" i="43"/>
  <c r="ES321" i="43"/>
  <c r="ET321" i="43"/>
  <c r="EU321" i="43"/>
  <c r="EV321" i="43"/>
  <c r="EW321" i="43"/>
  <c r="EX321" i="43"/>
  <c r="EY321" i="43"/>
  <c r="EZ321" i="43"/>
  <c r="FA321" i="43"/>
  <c r="FB321" i="43"/>
  <c r="FC321" i="43"/>
  <c r="FD321" i="43"/>
  <c r="FE321" i="43"/>
  <c r="FF321" i="43"/>
  <c r="FG321" i="43"/>
  <c r="FH321" i="43"/>
  <c r="FI321" i="43"/>
  <c r="FJ321" i="43"/>
  <c r="FK321" i="43"/>
  <c r="FL321" i="43"/>
  <c r="FM321" i="43"/>
  <c r="FN321" i="43"/>
  <c r="FO321" i="43"/>
  <c r="FP321" i="43"/>
  <c r="FQ321" i="43"/>
  <c r="FR321" i="43"/>
  <c r="FS321" i="43"/>
  <c r="FT321" i="43"/>
  <c r="FU321" i="43"/>
  <c r="FV321" i="43"/>
  <c r="FW321" i="43"/>
  <c r="FX321" i="43"/>
  <c r="FY321" i="43"/>
  <c r="FZ321" i="43"/>
  <c r="GA321" i="43"/>
  <c r="GB321" i="43"/>
  <c r="GC321" i="43"/>
  <c r="GD321" i="43"/>
  <c r="GE321" i="43"/>
  <c r="GF321" i="43"/>
  <c r="GG321" i="43"/>
  <c r="GH321" i="43"/>
  <c r="GI321" i="43"/>
  <c r="GJ321" i="43"/>
  <c r="GK321" i="43"/>
  <c r="GL321" i="43"/>
  <c r="GM321" i="43"/>
  <c r="GN321" i="43"/>
  <c r="GO321" i="43"/>
  <c r="GP321" i="43"/>
  <c r="GQ321" i="43"/>
  <c r="GR321" i="43"/>
  <c r="GS321" i="43"/>
  <c r="GT321" i="43"/>
  <c r="GU321" i="43"/>
  <c r="GV321" i="43"/>
  <c r="GW321" i="43"/>
  <c r="GX321" i="43"/>
  <c r="GY321" i="43"/>
  <c r="GZ321" i="43"/>
  <c r="HA321" i="43"/>
  <c r="HB321" i="43"/>
  <c r="HC321" i="43"/>
  <c r="HD321" i="43"/>
  <c r="HE321" i="43"/>
  <c r="HF321" i="43"/>
  <c r="HG321" i="43"/>
  <c r="HH321" i="43"/>
  <c r="HI321" i="43"/>
  <c r="HJ321" i="43"/>
  <c r="HK321" i="43"/>
  <c r="HL321" i="43"/>
  <c r="HM321" i="43"/>
  <c r="HN321" i="43"/>
  <c r="HO321" i="43"/>
  <c r="HP321" i="43"/>
  <c r="HQ321" i="43"/>
  <c r="HR321" i="43"/>
  <c r="HS321" i="43"/>
  <c r="HT321" i="43"/>
  <c r="HU321" i="43"/>
  <c r="HV321" i="43"/>
  <c r="HW321" i="43"/>
  <c r="HX321" i="43"/>
  <c r="HY321" i="43"/>
  <c r="HZ321" i="43"/>
  <c r="IA321" i="43"/>
  <c r="IB321" i="43"/>
  <c r="IC321" i="43"/>
  <c r="ID321" i="43"/>
  <c r="IE321" i="43"/>
  <c r="IF321" i="43"/>
  <c r="IG321" i="43"/>
  <c r="IH321" i="43"/>
  <c r="II321" i="43"/>
  <c r="IJ321" i="43"/>
  <c r="IK321" i="43"/>
  <c r="IL321" i="43"/>
  <c r="IM321" i="43"/>
  <c r="IN321" i="43"/>
  <c r="IO321" i="43"/>
  <c r="IP321" i="43"/>
  <c r="IQ321" i="43"/>
  <c r="IR321" i="43"/>
  <c r="IS321" i="43"/>
  <c r="IT321" i="43"/>
  <c r="IU321" i="43"/>
  <c r="IV321" i="43"/>
  <c r="A320" i="43"/>
  <c r="B320" i="43"/>
  <c r="C320" i="43"/>
  <c r="D320" i="43"/>
  <c r="E320" i="43"/>
  <c r="F320" i="43"/>
  <c r="G320" i="43"/>
  <c r="H320" i="43"/>
  <c r="I320" i="43"/>
  <c r="J320" i="43"/>
  <c r="K320" i="43"/>
  <c r="L320" i="43"/>
  <c r="M320" i="43"/>
  <c r="N320" i="43"/>
  <c r="O320" i="43"/>
  <c r="P320" i="43"/>
  <c r="Q320" i="43"/>
  <c r="R320" i="43"/>
  <c r="S320" i="43"/>
  <c r="T320" i="43"/>
  <c r="U320" i="43"/>
  <c r="V320" i="43"/>
  <c r="W320" i="43"/>
  <c r="X320" i="43"/>
  <c r="Y320" i="43"/>
  <c r="Z320" i="43"/>
  <c r="AA320" i="43"/>
  <c r="AB320" i="43"/>
  <c r="AC320" i="43"/>
  <c r="AD320" i="43"/>
  <c r="AE320" i="43"/>
  <c r="AF320" i="43"/>
  <c r="AG320" i="43"/>
  <c r="AH320" i="43"/>
  <c r="AI320" i="43"/>
  <c r="AJ320" i="43"/>
  <c r="AK320" i="43"/>
  <c r="AL320" i="43"/>
  <c r="AM320" i="43"/>
  <c r="AN320" i="43"/>
  <c r="AO320" i="43"/>
  <c r="AP320" i="43"/>
  <c r="AQ320" i="43"/>
  <c r="AR320" i="43"/>
  <c r="AS320" i="43"/>
  <c r="AT320" i="43"/>
  <c r="AU320" i="43"/>
  <c r="AV320" i="43"/>
  <c r="AW320" i="43"/>
  <c r="AX320" i="43"/>
  <c r="AY320" i="43"/>
  <c r="AZ320" i="43"/>
  <c r="BA320" i="43"/>
  <c r="BB320" i="43"/>
  <c r="BC320" i="43"/>
  <c r="BD320" i="43"/>
  <c r="BE320" i="43"/>
  <c r="BF320" i="43"/>
  <c r="BG320" i="43"/>
  <c r="BH320" i="43"/>
  <c r="BI320" i="43"/>
  <c r="BJ320" i="43"/>
  <c r="BK320" i="43"/>
  <c r="BL320" i="43"/>
  <c r="BM320" i="43"/>
  <c r="BN320" i="43"/>
  <c r="BO320" i="43"/>
  <c r="BP320" i="43"/>
  <c r="BQ320" i="43"/>
  <c r="BR320" i="43"/>
  <c r="BS320" i="43"/>
  <c r="BT320" i="43"/>
  <c r="BU320" i="43"/>
  <c r="BV320" i="43"/>
  <c r="BW320" i="43"/>
  <c r="BX320" i="43"/>
  <c r="BY320" i="43"/>
  <c r="BZ320" i="43"/>
  <c r="CA320" i="43"/>
  <c r="CB320" i="43"/>
  <c r="CC320" i="43"/>
  <c r="CD320" i="43"/>
  <c r="CE320" i="43"/>
  <c r="CF320" i="43"/>
  <c r="CG320" i="43"/>
  <c r="CH320" i="43"/>
  <c r="CI320" i="43"/>
  <c r="CJ320" i="43"/>
  <c r="CK320" i="43"/>
  <c r="CL320" i="43"/>
  <c r="CM320" i="43"/>
  <c r="CN320" i="43"/>
  <c r="CO320" i="43"/>
  <c r="CP320" i="43"/>
  <c r="CQ320" i="43"/>
  <c r="CR320" i="43"/>
  <c r="CS320" i="43"/>
  <c r="CT320" i="43"/>
  <c r="CU320" i="43"/>
  <c r="CV320" i="43"/>
  <c r="CW320" i="43"/>
  <c r="CX320" i="43"/>
  <c r="CY320" i="43"/>
  <c r="CZ320" i="43"/>
  <c r="DA320" i="43"/>
  <c r="DB320" i="43"/>
  <c r="DC320" i="43"/>
  <c r="DD320" i="43"/>
  <c r="DE320" i="43"/>
  <c r="DF320" i="43"/>
  <c r="DG320" i="43"/>
  <c r="DH320" i="43"/>
  <c r="DI320" i="43"/>
  <c r="DJ320" i="43"/>
  <c r="DK320" i="43"/>
  <c r="DL320" i="43"/>
  <c r="DM320" i="43"/>
  <c r="DN320" i="43"/>
  <c r="DO320" i="43"/>
  <c r="DP320" i="43"/>
  <c r="DQ320" i="43"/>
  <c r="DR320" i="43"/>
  <c r="DS320" i="43"/>
  <c r="DT320" i="43"/>
  <c r="DU320" i="43"/>
  <c r="DV320" i="43"/>
  <c r="DW320" i="43"/>
  <c r="DX320" i="43"/>
  <c r="DY320" i="43"/>
  <c r="DZ320" i="43"/>
  <c r="EA320" i="43"/>
  <c r="EB320" i="43"/>
  <c r="EC320" i="43"/>
  <c r="ED320" i="43"/>
  <c r="EE320" i="43"/>
  <c r="EF320" i="43"/>
  <c r="EG320" i="43"/>
  <c r="EH320" i="43"/>
  <c r="EI320" i="43"/>
  <c r="EJ320" i="43"/>
  <c r="EK320" i="43"/>
  <c r="EL320" i="43"/>
  <c r="EM320" i="43"/>
  <c r="EN320" i="43"/>
  <c r="EO320" i="43"/>
  <c r="EP320" i="43"/>
  <c r="EQ320" i="43"/>
  <c r="ER320" i="43"/>
  <c r="ES320" i="43"/>
  <c r="ET320" i="43"/>
  <c r="EU320" i="43"/>
  <c r="EV320" i="43"/>
  <c r="EW320" i="43"/>
  <c r="EX320" i="43"/>
  <c r="EY320" i="43"/>
  <c r="EZ320" i="43"/>
  <c r="FA320" i="43"/>
  <c r="FB320" i="43"/>
  <c r="FC320" i="43"/>
  <c r="FD320" i="43"/>
  <c r="FE320" i="43"/>
  <c r="FF320" i="43"/>
  <c r="FG320" i="43"/>
  <c r="FH320" i="43"/>
  <c r="FI320" i="43"/>
  <c r="FJ320" i="43"/>
  <c r="FK320" i="43"/>
  <c r="FL320" i="43"/>
  <c r="FM320" i="43"/>
  <c r="FN320" i="43"/>
  <c r="FO320" i="43"/>
  <c r="FP320" i="43"/>
  <c r="FQ320" i="43"/>
  <c r="FR320" i="43"/>
  <c r="FS320" i="43"/>
  <c r="FT320" i="43"/>
  <c r="FU320" i="43"/>
  <c r="FV320" i="43"/>
  <c r="FW320" i="43"/>
  <c r="FX320" i="43"/>
  <c r="FY320" i="43"/>
  <c r="FZ320" i="43"/>
  <c r="GA320" i="43"/>
  <c r="GB320" i="43"/>
  <c r="GC320" i="43"/>
  <c r="GD320" i="43"/>
  <c r="GE320" i="43"/>
  <c r="GF320" i="43"/>
  <c r="GG320" i="43"/>
  <c r="GH320" i="43"/>
  <c r="GI320" i="43"/>
  <c r="GJ320" i="43"/>
  <c r="GK320" i="43"/>
  <c r="GL320" i="43"/>
  <c r="GM320" i="43"/>
  <c r="GN320" i="43"/>
  <c r="GO320" i="43"/>
  <c r="GP320" i="43"/>
  <c r="GQ320" i="43"/>
  <c r="GR320" i="43"/>
  <c r="GS320" i="43"/>
  <c r="GT320" i="43"/>
  <c r="GU320" i="43"/>
  <c r="GV320" i="43"/>
  <c r="GW320" i="43"/>
  <c r="GX320" i="43"/>
  <c r="GY320" i="43"/>
  <c r="GZ320" i="43"/>
  <c r="HA320" i="43"/>
  <c r="HB320" i="43"/>
  <c r="HC320" i="43"/>
  <c r="HD320" i="43"/>
  <c r="HE320" i="43"/>
  <c r="HF320" i="43"/>
  <c r="HG320" i="43"/>
  <c r="HH320" i="43"/>
  <c r="HI320" i="43"/>
  <c r="HJ320" i="43"/>
  <c r="HK320" i="43"/>
  <c r="HL320" i="43"/>
  <c r="HM320" i="43"/>
  <c r="HN320" i="43"/>
  <c r="HO320" i="43"/>
  <c r="HP320" i="43"/>
  <c r="HQ320" i="43"/>
  <c r="HR320" i="43"/>
  <c r="HS320" i="43"/>
  <c r="HT320" i="43"/>
  <c r="HU320" i="43"/>
  <c r="HV320" i="43"/>
  <c r="HW320" i="43"/>
  <c r="HX320" i="43"/>
  <c r="HY320" i="43"/>
  <c r="HZ320" i="43"/>
  <c r="IA320" i="43"/>
  <c r="IB320" i="43"/>
  <c r="IC320" i="43"/>
  <c r="ID320" i="43"/>
  <c r="IE320" i="43"/>
  <c r="IF320" i="43"/>
  <c r="IG320" i="43"/>
  <c r="IH320" i="43"/>
  <c r="II320" i="43"/>
  <c r="IJ320" i="43"/>
  <c r="IK320" i="43"/>
  <c r="IL320" i="43"/>
  <c r="IM320" i="43"/>
  <c r="IN320" i="43"/>
  <c r="IO320" i="43"/>
  <c r="IP320" i="43"/>
  <c r="IQ320" i="43"/>
  <c r="IR320" i="43"/>
  <c r="IS320" i="43"/>
  <c r="IT320" i="43"/>
  <c r="IU320" i="43"/>
  <c r="IV320" i="43"/>
  <c r="A319" i="43"/>
  <c r="B319" i="43"/>
  <c r="C319" i="43"/>
  <c r="D319" i="43"/>
  <c r="E319" i="43"/>
  <c r="F319" i="43"/>
  <c r="G319" i="43"/>
  <c r="H319" i="43"/>
  <c r="I319" i="43"/>
  <c r="J319" i="43"/>
  <c r="K319" i="43"/>
  <c r="L319" i="43"/>
  <c r="M319" i="43"/>
  <c r="N319" i="43"/>
  <c r="O319" i="43"/>
  <c r="P319" i="43"/>
  <c r="Q319" i="43"/>
  <c r="R319" i="43"/>
  <c r="S319" i="43"/>
  <c r="T319" i="43"/>
  <c r="U319" i="43"/>
  <c r="V319" i="43"/>
  <c r="W319" i="43"/>
  <c r="X319" i="43"/>
  <c r="Y319" i="43"/>
  <c r="Z319" i="43"/>
  <c r="AA319" i="43"/>
  <c r="AB319" i="43"/>
  <c r="AC319" i="43"/>
  <c r="AD319" i="43"/>
  <c r="AE319" i="43"/>
  <c r="AF319" i="43"/>
  <c r="AG319" i="43"/>
  <c r="AH319" i="43"/>
  <c r="AI319" i="43"/>
  <c r="AJ319" i="43"/>
  <c r="AK319" i="43"/>
  <c r="AL319" i="43"/>
  <c r="AM319" i="43"/>
  <c r="AN319" i="43"/>
  <c r="AO319" i="43"/>
  <c r="AP319" i="43"/>
  <c r="AQ319" i="43"/>
  <c r="AR319" i="43"/>
  <c r="AS319" i="43"/>
  <c r="AT319" i="43"/>
  <c r="AU319" i="43"/>
  <c r="AV319" i="43"/>
  <c r="AW319" i="43"/>
  <c r="AX319" i="43"/>
  <c r="AY319" i="43"/>
  <c r="AZ319" i="43"/>
  <c r="BA319" i="43"/>
  <c r="BB319" i="43"/>
  <c r="BC319" i="43"/>
  <c r="BD319" i="43"/>
  <c r="BE319" i="43"/>
  <c r="BF319" i="43"/>
  <c r="BG319" i="43"/>
  <c r="BH319" i="43"/>
  <c r="BI319" i="43"/>
  <c r="BJ319" i="43"/>
  <c r="BK319" i="43"/>
  <c r="BL319" i="43"/>
  <c r="BM319" i="43"/>
  <c r="BN319" i="43"/>
  <c r="BO319" i="43"/>
  <c r="BP319" i="43"/>
  <c r="BQ319" i="43"/>
  <c r="BR319" i="43"/>
  <c r="BS319" i="43"/>
  <c r="BT319" i="43"/>
  <c r="BU319" i="43"/>
  <c r="BV319" i="43"/>
  <c r="BW319" i="43"/>
  <c r="BX319" i="43"/>
  <c r="BY319" i="43"/>
  <c r="BZ319" i="43"/>
  <c r="CA319" i="43"/>
  <c r="CB319" i="43"/>
  <c r="CC319" i="43"/>
  <c r="CD319" i="43"/>
  <c r="CE319" i="43"/>
  <c r="CF319" i="43"/>
  <c r="CG319" i="43"/>
  <c r="CH319" i="43"/>
  <c r="CI319" i="43"/>
  <c r="CJ319" i="43"/>
  <c r="CK319" i="43"/>
  <c r="CL319" i="43"/>
  <c r="CM319" i="43"/>
  <c r="CN319" i="43"/>
  <c r="CO319" i="43"/>
  <c r="CP319" i="43"/>
  <c r="CQ319" i="43"/>
  <c r="CR319" i="43"/>
  <c r="CS319" i="43"/>
  <c r="CT319" i="43"/>
  <c r="CU319" i="43"/>
  <c r="CV319" i="43"/>
  <c r="CW319" i="43"/>
  <c r="CX319" i="43"/>
  <c r="CY319" i="43"/>
  <c r="CZ319" i="43"/>
  <c r="DA319" i="43"/>
  <c r="DB319" i="43"/>
  <c r="DC319" i="43"/>
  <c r="DD319" i="43"/>
  <c r="DE319" i="43"/>
  <c r="DF319" i="43"/>
  <c r="DG319" i="43"/>
  <c r="DH319" i="43"/>
  <c r="DI319" i="43"/>
  <c r="DJ319" i="43"/>
  <c r="DK319" i="43"/>
  <c r="DL319" i="43"/>
  <c r="DM319" i="43"/>
  <c r="DN319" i="43"/>
  <c r="DO319" i="43"/>
  <c r="DP319" i="43"/>
  <c r="DQ319" i="43"/>
  <c r="DR319" i="43"/>
  <c r="DS319" i="43"/>
  <c r="DT319" i="43"/>
  <c r="DU319" i="43"/>
  <c r="DV319" i="43"/>
  <c r="DW319" i="43"/>
  <c r="DX319" i="43"/>
  <c r="DY319" i="43"/>
  <c r="DZ319" i="43"/>
  <c r="EA319" i="43"/>
  <c r="EB319" i="43"/>
  <c r="EC319" i="43"/>
  <c r="ED319" i="43"/>
  <c r="EE319" i="43"/>
  <c r="EF319" i="43"/>
  <c r="EG319" i="43"/>
  <c r="EH319" i="43"/>
  <c r="EI319" i="43"/>
  <c r="EJ319" i="43"/>
  <c r="EK319" i="43"/>
  <c r="EL319" i="43"/>
  <c r="EM319" i="43"/>
  <c r="EN319" i="43"/>
  <c r="EO319" i="43"/>
  <c r="EP319" i="43"/>
  <c r="EQ319" i="43"/>
  <c r="ER319" i="43"/>
  <c r="ES319" i="43"/>
  <c r="ET319" i="43"/>
  <c r="EU319" i="43"/>
  <c r="EV319" i="43"/>
  <c r="EW319" i="43"/>
  <c r="EX319" i="43"/>
  <c r="EY319" i="43"/>
  <c r="EZ319" i="43"/>
  <c r="FA319" i="43"/>
  <c r="FB319" i="43"/>
  <c r="FC319" i="43"/>
  <c r="FD319" i="43"/>
  <c r="FE319" i="43"/>
  <c r="FF319" i="43"/>
  <c r="FG319" i="43"/>
  <c r="FH319" i="43"/>
  <c r="FI319" i="43"/>
  <c r="FJ319" i="43"/>
  <c r="FK319" i="43"/>
  <c r="FL319" i="43"/>
  <c r="FM319" i="43"/>
  <c r="FN319" i="43"/>
  <c r="FO319" i="43"/>
  <c r="FP319" i="43"/>
  <c r="FQ319" i="43"/>
  <c r="FR319" i="43"/>
  <c r="FS319" i="43"/>
  <c r="FT319" i="43"/>
  <c r="FU319" i="43"/>
  <c r="FV319" i="43"/>
  <c r="FW319" i="43"/>
  <c r="FX319" i="43"/>
  <c r="FY319" i="43"/>
  <c r="FZ319" i="43"/>
  <c r="GA319" i="43"/>
  <c r="GB319" i="43"/>
  <c r="GC319" i="43"/>
  <c r="GD319" i="43"/>
  <c r="GE319" i="43"/>
  <c r="GF319" i="43"/>
  <c r="GG319" i="43"/>
  <c r="GH319" i="43"/>
  <c r="GI319" i="43"/>
  <c r="GJ319" i="43"/>
  <c r="GK319" i="43"/>
  <c r="GL319" i="43"/>
  <c r="GM319" i="43"/>
  <c r="GN319" i="43"/>
  <c r="GO319" i="43"/>
  <c r="GP319" i="43"/>
  <c r="GQ319" i="43"/>
  <c r="GR319" i="43"/>
  <c r="GS319" i="43"/>
  <c r="GT319" i="43"/>
  <c r="GU319" i="43"/>
  <c r="GV319" i="43"/>
  <c r="GW319" i="43"/>
  <c r="GX319" i="43"/>
  <c r="GY319" i="43"/>
  <c r="GZ319" i="43"/>
  <c r="HA319" i="43"/>
  <c r="HB319" i="43"/>
  <c r="HC319" i="43"/>
  <c r="HD319" i="43"/>
  <c r="HE319" i="43"/>
  <c r="HF319" i="43"/>
  <c r="HG319" i="43"/>
  <c r="HH319" i="43"/>
  <c r="HI319" i="43"/>
  <c r="HJ319" i="43"/>
  <c r="HK319" i="43"/>
  <c r="HL319" i="43"/>
  <c r="HM319" i="43"/>
  <c r="HN319" i="43"/>
  <c r="HO319" i="43"/>
  <c r="HP319" i="43"/>
  <c r="HQ319" i="43"/>
  <c r="HR319" i="43"/>
  <c r="HS319" i="43"/>
  <c r="HT319" i="43"/>
  <c r="HU319" i="43"/>
  <c r="HV319" i="43"/>
  <c r="HW319" i="43"/>
  <c r="HX319" i="43"/>
  <c r="HY319" i="43"/>
  <c r="HZ319" i="43"/>
  <c r="IA319" i="43"/>
  <c r="IB319" i="43"/>
  <c r="IC319" i="43"/>
  <c r="ID319" i="43"/>
  <c r="IE319" i="43"/>
  <c r="IF319" i="43"/>
  <c r="IG319" i="43"/>
  <c r="IH319" i="43"/>
  <c r="II319" i="43"/>
  <c r="IJ319" i="43"/>
  <c r="IK319" i="43"/>
  <c r="IL319" i="43"/>
  <c r="IM319" i="43"/>
  <c r="IN319" i="43"/>
  <c r="IO319" i="43"/>
  <c r="IP319" i="43"/>
  <c r="IQ319" i="43"/>
  <c r="IR319" i="43"/>
  <c r="IS319" i="43"/>
  <c r="IT319" i="43"/>
  <c r="IU319" i="43"/>
  <c r="IV319" i="43"/>
  <c r="A318" i="43"/>
  <c r="B318" i="43"/>
  <c r="C318" i="43"/>
  <c r="D318" i="43"/>
  <c r="E318" i="43"/>
  <c r="F318" i="43"/>
  <c r="G318" i="43"/>
  <c r="H318" i="43"/>
  <c r="I318" i="43"/>
  <c r="J318" i="43"/>
  <c r="K318" i="43"/>
  <c r="L318" i="43"/>
  <c r="M318" i="43"/>
  <c r="N318" i="43"/>
  <c r="O318" i="43"/>
  <c r="P318" i="43"/>
  <c r="Q318" i="43"/>
  <c r="R318" i="43"/>
  <c r="S318" i="43"/>
  <c r="T318" i="43"/>
  <c r="U318" i="43"/>
  <c r="V318" i="43"/>
  <c r="W318" i="43"/>
  <c r="X318" i="43"/>
  <c r="Y318" i="43"/>
  <c r="Z318" i="43"/>
  <c r="AA318" i="43"/>
  <c r="AB318" i="43"/>
  <c r="AC318" i="43"/>
  <c r="AD318" i="43"/>
  <c r="AE318" i="43"/>
  <c r="AF318" i="43"/>
  <c r="AG318" i="43"/>
  <c r="AH318" i="43"/>
  <c r="AI318" i="43"/>
  <c r="AJ318" i="43"/>
  <c r="AK318" i="43"/>
  <c r="AL318" i="43"/>
  <c r="AM318" i="43"/>
  <c r="AN318" i="43"/>
  <c r="AO318" i="43"/>
  <c r="AP318" i="43"/>
  <c r="AQ318" i="43"/>
  <c r="AR318" i="43"/>
  <c r="AS318" i="43"/>
  <c r="AT318" i="43"/>
  <c r="AU318" i="43"/>
  <c r="AV318" i="43"/>
  <c r="AW318" i="43"/>
  <c r="AX318" i="43"/>
  <c r="AY318" i="43"/>
  <c r="AZ318" i="43"/>
  <c r="BA318" i="43"/>
  <c r="BB318" i="43"/>
  <c r="BC318" i="43"/>
  <c r="BD318" i="43"/>
  <c r="BE318" i="43"/>
  <c r="BF318" i="43"/>
  <c r="BG318" i="43"/>
  <c r="BH318" i="43"/>
  <c r="BI318" i="43"/>
  <c r="BJ318" i="43"/>
  <c r="BK318" i="43"/>
  <c r="BL318" i="43"/>
  <c r="BM318" i="43"/>
  <c r="BN318" i="43"/>
  <c r="BO318" i="43"/>
  <c r="BP318" i="43"/>
  <c r="BQ318" i="43"/>
  <c r="BR318" i="43"/>
  <c r="BS318" i="43"/>
  <c r="BT318" i="43"/>
  <c r="BU318" i="43"/>
  <c r="BV318" i="43"/>
  <c r="BW318" i="43"/>
  <c r="BX318" i="43"/>
  <c r="BY318" i="43"/>
  <c r="BZ318" i="43"/>
  <c r="CA318" i="43"/>
  <c r="CB318" i="43"/>
  <c r="CC318" i="43"/>
  <c r="CD318" i="43"/>
  <c r="CE318" i="43"/>
  <c r="CF318" i="43"/>
  <c r="CG318" i="43"/>
  <c r="CH318" i="43"/>
  <c r="CI318" i="43"/>
  <c r="CJ318" i="43"/>
  <c r="CK318" i="43"/>
  <c r="CL318" i="43"/>
  <c r="CM318" i="43"/>
  <c r="CN318" i="43"/>
  <c r="CO318" i="43"/>
  <c r="CP318" i="43"/>
  <c r="CQ318" i="43"/>
  <c r="CR318" i="43"/>
  <c r="CS318" i="43"/>
  <c r="CT318" i="43"/>
  <c r="CU318" i="43"/>
  <c r="CV318" i="43"/>
  <c r="CW318" i="43"/>
  <c r="CX318" i="43"/>
  <c r="CY318" i="43"/>
  <c r="CZ318" i="43"/>
  <c r="DA318" i="43"/>
  <c r="DB318" i="43"/>
  <c r="DC318" i="43"/>
  <c r="DD318" i="43"/>
  <c r="DE318" i="43"/>
  <c r="DF318" i="43"/>
  <c r="DG318" i="43"/>
  <c r="DH318" i="43"/>
  <c r="DI318" i="43"/>
  <c r="DJ318" i="43"/>
  <c r="DK318" i="43"/>
  <c r="DL318" i="43"/>
  <c r="DM318" i="43"/>
  <c r="DN318" i="43"/>
  <c r="DO318" i="43"/>
  <c r="DP318" i="43"/>
  <c r="DQ318" i="43"/>
  <c r="DR318" i="43"/>
  <c r="DS318" i="43"/>
  <c r="DT318" i="43"/>
  <c r="DU318" i="43"/>
  <c r="DV318" i="43"/>
  <c r="DW318" i="43"/>
  <c r="DX318" i="43"/>
  <c r="DY318" i="43"/>
  <c r="DZ318" i="43"/>
  <c r="EA318" i="43"/>
  <c r="EB318" i="43"/>
  <c r="EC318" i="43"/>
  <c r="ED318" i="43"/>
  <c r="EE318" i="43"/>
  <c r="EF318" i="43"/>
  <c r="EG318" i="43"/>
  <c r="EH318" i="43"/>
  <c r="EI318" i="43"/>
  <c r="EJ318" i="43"/>
  <c r="EK318" i="43"/>
  <c r="EL318" i="43"/>
  <c r="EM318" i="43"/>
  <c r="EN318" i="43"/>
  <c r="EO318" i="43"/>
  <c r="EP318" i="43"/>
  <c r="EQ318" i="43"/>
  <c r="ER318" i="43"/>
  <c r="ES318" i="43"/>
  <c r="ET318" i="43"/>
  <c r="EU318" i="43"/>
  <c r="EV318" i="43"/>
  <c r="EW318" i="43"/>
  <c r="EX318" i="43"/>
  <c r="EY318" i="43"/>
  <c r="EZ318" i="43"/>
  <c r="FA318" i="43"/>
  <c r="FB318" i="43"/>
  <c r="FC318" i="43"/>
  <c r="FD318" i="43"/>
  <c r="FE318" i="43"/>
  <c r="FF318" i="43"/>
  <c r="FG318" i="43"/>
  <c r="FH318" i="43"/>
  <c r="FI318" i="43"/>
  <c r="FJ318" i="43"/>
  <c r="FK318" i="43"/>
  <c r="FL318" i="43"/>
  <c r="FM318" i="43"/>
  <c r="FN318" i="43"/>
  <c r="FO318" i="43"/>
  <c r="FP318" i="43"/>
  <c r="FQ318" i="43"/>
  <c r="FR318" i="43"/>
  <c r="FS318" i="43"/>
  <c r="FT318" i="43"/>
  <c r="FU318" i="43"/>
  <c r="FV318" i="43"/>
  <c r="FW318" i="43"/>
  <c r="FX318" i="43"/>
  <c r="FY318" i="43"/>
  <c r="FZ318" i="43"/>
  <c r="GA318" i="43"/>
  <c r="GB318" i="43"/>
  <c r="GC318" i="43"/>
  <c r="GD318" i="43"/>
  <c r="GE318" i="43"/>
  <c r="GF318" i="43"/>
  <c r="GG318" i="43"/>
  <c r="GH318" i="43"/>
  <c r="GI318" i="43"/>
  <c r="GJ318" i="43"/>
  <c r="GK318" i="43"/>
  <c r="GL318" i="43"/>
  <c r="GM318" i="43"/>
  <c r="GN318" i="43"/>
  <c r="GO318" i="43"/>
  <c r="GP318" i="43"/>
  <c r="GQ318" i="43"/>
  <c r="GR318" i="43"/>
  <c r="GS318" i="43"/>
  <c r="GT318" i="43"/>
  <c r="GU318" i="43"/>
  <c r="GV318" i="43"/>
  <c r="GW318" i="43"/>
  <c r="GX318" i="43"/>
  <c r="GY318" i="43"/>
  <c r="GZ318" i="43"/>
  <c r="HA318" i="43"/>
  <c r="HB318" i="43"/>
  <c r="HC318" i="43"/>
  <c r="HD318" i="43"/>
  <c r="HE318" i="43"/>
  <c r="HF318" i="43"/>
  <c r="HG318" i="43"/>
  <c r="HH318" i="43"/>
  <c r="HI318" i="43"/>
  <c r="HJ318" i="43"/>
  <c r="HK318" i="43"/>
  <c r="HL318" i="43"/>
  <c r="HM318" i="43"/>
  <c r="HN318" i="43"/>
  <c r="HO318" i="43"/>
  <c r="HP318" i="43"/>
  <c r="HQ318" i="43"/>
  <c r="HR318" i="43"/>
  <c r="HS318" i="43"/>
  <c r="HT318" i="43"/>
  <c r="HU318" i="43"/>
  <c r="HV318" i="43"/>
  <c r="HW318" i="43"/>
  <c r="HX318" i="43"/>
  <c r="HY318" i="43"/>
  <c r="HZ318" i="43"/>
  <c r="IA318" i="43"/>
  <c r="IB318" i="43"/>
  <c r="IC318" i="43"/>
  <c r="ID318" i="43"/>
  <c r="IE318" i="43"/>
  <c r="IF318" i="43"/>
  <c r="IG318" i="43"/>
  <c r="IH318" i="43"/>
  <c r="II318" i="43"/>
  <c r="IJ318" i="43"/>
  <c r="IK318" i="43"/>
  <c r="IL318" i="43"/>
  <c r="IM318" i="43"/>
  <c r="IN318" i="43"/>
  <c r="IO318" i="43"/>
  <c r="IP318" i="43"/>
  <c r="IQ318" i="43"/>
  <c r="IR318" i="43"/>
  <c r="IS318" i="43"/>
  <c r="IT318" i="43"/>
  <c r="IU318" i="43"/>
  <c r="IV318" i="43"/>
  <c r="A317" i="43"/>
  <c r="B317" i="43"/>
  <c r="C317" i="43"/>
  <c r="D317" i="43"/>
  <c r="E317" i="43"/>
  <c r="F317" i="43"/>
  <c r="G317" i="43"/>
  <c r="H317" i="43"/>
  <c r="I317" i="43"/>
  <c r="J317" i="43"/>
  <c r="K317" i="43"/>
  <c r="L317" i="43"/>
  <c r="M317" i="43"/>
  <c r="N317" i="43"/>
  <c r="O317" i="43"/>
  <c r="P317" i="43"/>
  <c r="Q317" i="43"/>
  <c r="R317" i="43"/>
  <c r="S317" i="43"/>
  <c r="T317" i="43"/>
  <c r="U317" i="43"/>
  <c r="V317" i="43"/>
  <c r="W317" i="43"/>
  <c r="X317" i="43"/>
  <c r="Y317" i="43"/>
  <c r="Z317" i="43"/>
  <c r="AA317" i="43"/>
  <c r="AB317" i="43"/>
  <c r="AC317" i="43"/>
  <c r="AD317" i="43"/>
  <c r="AE317" i="43"/>
  <c r="AF317" i="43"/>
  <c r="AG317" i="43"/>
  <c r="AH317" i="43"/>
  <c r="AI317" i="43"/>
  <c r="AJ317" i="43"/>
  <c r="AK317" i="43"/>
  <c r="AL317" i="43"/>
  <c r="AM317" i="43"/>
  <c r="AN317" i="43"/>
  <c r="AO317" i="43"/>
  <c r="AP317" i="43"/>
  <c r="AQ317" i="43"/>
  <c r="AR317" i="43"/>
  <c r="AS317" i="43"/>
  <c r="AT317" i="43"/>
  <c r="AU317" i="43"/>
  <c r="AV317" i="43"/>
  <c r="AW317" i="43"/>
  <c r="AX317" i="43"/>
  <c r="AY317" i="43"/>
  <c r="AZ317" i="43"/>
  <c r="BA317" i="43"/>
  <c r="BB317" i="43"/>
  <c r="BC317" i="43"/>
  <c r="BD317" i="43"/>
  <c r="BE317" i="43"/>
  <c r="BF317" i="43"/>
  <c r="BG317" i="43"/>
  <c r="BH317" i="43"/>
  <c r="BI317" i="43"/>
  <c r="BJ317" i="43"/>
  <c r="BK317" i="43"/>
  <c r="BL317" i="43"/>
  <c r="BM317" i="43"/>
  <c r="BN317" i="43"/>
  <c r="BO317" i="43"/>
  <c r="BP317" i="43"/>
  <c r="BQ317" i="43"/>
  <c r="BR317" i="43"/>
  <c r="BS317" i="43"/>
  <c r="BT317" i="43"/>
  <c r="BU317" i="43"/>
  <c r="BV317" i="43"/>
  <c r="BW317" i="43"/>
  <c r="BX317" i="43"/>
  <c r="BY317" i="43"/>
  <c r="BZ317" i="43"/>
  <c r="CA317" i="43"/>
  <c r="CB317" i="43"/>
  <c r="CC317" i="43"/>
  <c r="CD317" i="43"/>
  <c r="CE317" i="43"/>
  <c r="CF317" i="43"/>
  <c r="CG317" i="43"/>
  <c r="CH317" i="43"/>
  <c r="CI317" i="43"/>
  <c r="CJ317" i="43"/>
  <c r="CK317" i="43"/>
  <c r="CL317" i="43"/>
  <c r="CM317" i="43"/>
  <c r="CN317" i="43"/>
  <c r="CO317" i="43"/>
  <c r="CP317" i="43"/>
  <c r="CQ317" i="43"/>
  <c r="CR317" i="43"/>
  <c r="CS317" i="43"/>
  <c r="CT317" i="43"/>
  <c r="CU317" i="43"/>
  <c r="CV317" i="43"/>
  <c r="CW317" i="43"/>
  <c r="CX317" i="43"/>
  <c r="CY317" i="43"/>
  <c r="CZ317" i="43"/>
  <c r="DA317" i="43"/>
  <c r="DB317" i="43"/>
  <c r="DC317" i="43"/>
  <c r="DD317" i="43"/>
  <c r="DE317" i="43"/>
  <c r="DF317" i="43"/>
  <c r="DG317" i="43"/>
  <c r="DH317" i="43"/>
  <c r="DI317" i="43"/>
  <c r="DJ317" i="43"/>
  <c r="DK317" i="43"/>
  <c r="DL317" i="43"/>
  <c r="DM317" i="43"/>
  <c r="DN317" i="43"/>
  <c r="DO317" i="43"/>
  <c r="DP317" i="43"/>
  <c r="DQ317" i="43"/>
  <c r="DR317" i="43"/>
  <c r="DS317" i="43"/>
  <c r="DT317" i="43"/>
  <c r="DU317" i="43"/>
  <c r="DV317" i="43"/>
  <c r="DW317" i="43"/>
  <c r="DX317" i="43"/>
  <c r="DY317" i="43"/>
  <c r="DZ317" i="43"/>
  <c r="EA317" i="43"/>
  <c r="EB317" i="43"/>
  <c r="EC317" i="43"/>
  <c r="ED317" i="43"/>
  <c r="EE317" i="43"/>
  <c r="EF317" i="43"/>
  <c r="EG317" i="43"/>
  <c r="EH317" i="43"/>
  <c r="EI317" i="43"/>
  <c r="EJ317" i="43"/>
  <c r="EK317" i="43"/>
  <c r="EL317" i="43"/>
  <c r="EM317" i="43"/>
  <c r="EN317" i="43"/>
  <c r="EO317" i="43"/>
  <c r="EP317" i="43"/>
  <c r="EQ317" i="43"/>
  <c r="ER317" i="43"/>
  <c r="ES317" i="43"/>
  <c r="ET317" i="43"/>
  <c r="EU317" i="43"/>
  <c r="EV317" i="43"/>
  <c r="EW317" i="43"/>
  <c r="EX317" i="43"/>
  <c r="EY317" i="43"/>
  <c r="EZ317" i="43"/>
  <c r="FA317" i="43"/>
  <c r="FB317" i="43"/>
  <c r="FC317" i="43"/>
  <c r="FD317" i="43"/>
  <c r="FE317" i="43"/>
  <c r="FF317" i="43"/>
  <c r="FG317" i="43"/>
  <c r="FH317" i="43"/>
  <c r="FI317" i="43"/>
  <c r="FJ317" i="43"/>
  <c r="FK317" i="43"/>
  <c r="FL317" i="43"/>
  <c r="FM317" i="43"/>
  <c r="FN317" i="43"/>
  <c r="FO317" i="43"/>
  <c r="FP317" i="43"/>
  <c r="FQ317" i="43"/>
  <c r="FR317" i="43"/>
  <c r="FS317" i="43"/>
  <c r="FT317" i="43"/>
  <c r="FU317" i="43"/>
  <c r="FV317" i="43"/>
  <c r="FW317" i="43"/>
  <c r="FX317" i="43"/>
  <c r="FY317" i="43"/>
  <c r="FZ317" i="43"/>
  <c r="GA317" i="43"/>
  <c r="GB317" i="43"/>
  <c r="GC317" i="43"/>
  <c r="GD317" i="43"/>
  <c r="GE317" i="43"/>
  <c r="GF317" i="43"/>
  <c r="GG317" i="43"/>
  <c r="GH317" i="43"/>
  <c r="GI317" i="43"/>
  <c r="GJ317" i="43"/>
  <c r="GK317" i="43"/>
  <c r="GL317" i="43"/>
  <c r="GM317" i="43"/>
  <c r="GN317" i="43"/>
  <c r="GO317" i="43"/>
  <c r="GP317" i="43"/>
  <c r="GQ317" i="43"/>
  <c r="GR317" i="43"/>
  <c r="GS317" i="43"/>
  <c r="GT317" i="43"/>
  <c r="GU317" i="43"/>
  <c r="GV317" i="43"/>
  <c r="GW317" i="43"/>
  <c r="GX317" i="43"/>
  <c r="GY317" i="43"/>
  <c r="GZ317" i="43"/>
  <c r="HA317" i="43"/>
  <c r="HB317" i="43"/>
  <c r="HC317" i="43"/>
  <c r="HD317" i="43"/>
  <c r="HE317" i="43"/>
  <c r="HF317" i="43"/>
  <c r="HG317" i="43"/>
  <c r="HH317" i="43"/>
  <c r="HI317" i="43"/>
  <c r="HJ317" i="43"/>
  <c r="HK317" i="43"/>
  <c r="HL317" i="43"/>
  <c r="HM317" i="43"/>
  <c r="HN317" i="43"/>
  <c r="HO317" i="43"/>
  <c r="HP317" i="43"/>
  <c r="HQ317" i="43"/>
  <c r="HR317" i="43"/>
  <c r="HS317" i="43"/>
  <c r="HT317" i="43"/>
  <c r="HU317" i="43"/>
  <c r="HV317" i="43"/>
  <c r="HW317" i="43"/>
  <c r="HX317" i="43"/>
  <c r="HY317" i="43"/>
  <c r="HZ317" i="43"/>
  <c r="IA317" i="43"/>
  <c r="IB317" i="43"/>
  <c r="IC317" i="43"/>
  <c r="ID317" i="43"/>
  <c r="IE317" i="43"/>
  <c r="IF317" i="43"/>
  <c r="IG317" i="43"/>
  <c r="IH317" i="43"/>
  <c r="II317" i="43"/>
  <c r="IJ317" i="43"/>
  <c r="IK317" i="43"/>
  <c r="IL317" i="43"/>
  <c r="IM317" i="43"/>
  <c r="IN317" i="43"/>
  <c r="IO317" i="43"/>
  <c r="IP317" i="43"/>
  <c r="IQ317" i="43"/>
  <c r="IR317" i="43"/>
  <c r="IS317" i="43"/>
  <c r="IT317" i="43"/>
  <c r="IU317" i="43"/>
  <c r="IV317" i="43"/>
  <c r="A316" i="43"/>
  <c r="B316" i="43"/>
  <c r="C316" i="43"/>
  <c r="D316" i="43"/>
  <c r="E316" i="43"/>
  <c r="F316" i="43"/>
  <c r="G316" i="43"/>
  <c r="H316" i="43"/>
  <c r="I316" i="43"/>
  <c r="J316" i="43"/>
  <c r="K316" i="43"/>
  <c r="L316" i="43"/>
  <c r="M316" i="43"/>
  <c r="N316" i="43"/>
  <c r="O316" i="43"/>
  <c r="P316" i="43"/>
  <c r="Q316" i="43"/>
  <c r="R316" i="43"/>
  <c r="S316" i="43"/>
  <c r="T316" i="43"/>
  <c r="U316" i="43"/>
  <c r="V316" i="43"/>
  <c r="W316" i="43"/>
  <c r="X316" i="43"/>
  <c r="Y316" i="43"/>
  <c r="Z316" i="43"/>
  <c r="AA316" i="43"/>
  <c r="AB316" i="43"/>
  <c r="AC316" i="43"/>
  <c r="AD316" i="43"/>
  <c r="AE316" i="43"/>
  <c r="AF316" i="43"/>
  <c r="AG316" i="43"/>
  <c r="AH316" i="43"/>
  <c r="AI316" i="43"/>
  <c r="AJ316" i="43"/>
  <c r="AK316" i="43"/>
  <c r="AL316" i="43"/>
  <c r="AM316" i="43"/>
  <c r="AN316" i="43"/>
  <c r="AO316" i="43"/>
  <c r="AP316" i="43"/>
  <c r="AQ316" i="43"/>
  <c r="AR316" i="43"/>
  <c r="AS316" i="43"/>
  <c r="AT316" i="43"/>
  <c r="AU316" i="43"/>
  <c r="AV316" i="43"/>
  <c r="AW316" i="43"/>
  <c r="AX316" i="43"/>
  <c r="AY316" i="43"/>
  <c r="AZ316" i="43"/>
  <c r="BA316" i="43"/>
  <c r="BB316" i="43"/>
  <c r="BC316" i="43"/>
  <c r="BD316" i="43"/>
  <c r="BE316" i="43"/>
  <c r="BF316" i="43"/>
  <c r="BG316" i="43"/>
  <c r="BH316" i="43"/>
  <c r="BI316" i="43"/>
  <c r="BJ316" i="43"/>
  <c r="BK316" i="43"/>
  <c r="BL316" i="43"/>
  <c r="BM316" i="43"/>
  <c r="BN316" i="43"/>
  <c r="BO316" i="43"/>
  <c r="BP316" i="43"/>
  <c r="BQ316" i="43"/>
  <c r="BR316" i="43"/>
  <c r="BS316" i="43"/>
  <c r="BT316" i="43"/>
  <c r="BU316" i="43"/>
  <c r="BV316" i="43"/>
  <c r="BW316" i="43"/>
  <c r="BX316" i="43"/>
  <c r="BY316" i="43"/>
  <c r="BZ316" i="43"/>
  <c r="CA316" i="43"/>
  <c r="CB316" i="43"/>
  <c r="CC316" i="43"/>
  <c r="CD316" i="43"/>
  <c r="CE316" i="43"/>
  <c r="CF316" i="43"/>
  <c r="CG316" i="43"/>
  <c r="CH316" i="43"/>
  <c r="CI316" i="43"/>
  <c r="CJ316" i="43"/>
  <c r="CK316" i="43"/>
  <c r="CL316" i="43"/>
  <c r="CM316" i="43"/>
  <c r="CN316" i="43"/>
  <c r="CO316" i="43"/>
  <c r="CP316" i="43"/>
  <c r="CQ316" i="43"/>
  <c r="CR316" i="43"/>
  <c r="CS316" i="43"/>
  <c r="CT316" i="43"/>
  <c r="CU316" i="43"/>
  <c r="CV316" i="43"/>
  <c r="CW316" i="43"/>
  <c r="CX316" i="43"/>
  <c r="CY316" i="43"/>
  <c r="CZ316" i="43"/>
  <c r="DA316" i="43"/>
  <c r="DB316" i="43"/>
  <c r="DC316" i="43"/>
  <c r="DD316" i="43"/>
  <c r="DE316" i="43"/>
  <c r="DF316" i="43"/>
  <c r="DG316" i="43"/>
  <c r="DH316" i="43"/>
  <c r="DI316" i="43"/>
  <c r="DJ316" i="43"/>
  <c r="DK316" i="43"/>
  <c r="DL316" i="43"/>
  <c r="DM316" i="43"/>
  <c r="DN316" i="43"/>
  <c r="DO316" i="43"/>
  <c r="DP316" i="43"/>
  <c r="DQ316" i="43"/>
  <c r="DR316" i="43"/>
  <c r="DS316" i="43"/>
  <c r="DT316" i="43"/>
  <c r="DU316" i="43"/>
  <c r="DV316" i="43"/>
  <c r="DW316" i="43"/>
  <c r="DX316" i="43"/>
  <c r="DY316" i="43"/>
  <c r="DZ316" i="43"/>
  <c r="EA316" i="43"/>
  <c r="EB316" i="43"/>
  <c r="EC316" i="43"/>
  <c r="ED316" i="43"/>
  <c r="EE316" i="43"/>
  <c r="EF316" i="43"/>
  <c r="EG316" i="43"/>
  <c r="EH316" i="43"/>
  <c r="EI316" i="43"/>
  <c r="EJ316" i="43"/>
  <c r="EK316" i="43"/>
  <c r="EL316" i="43"/>
  <c r="EM316" i="43"/>
  <c r="EN316" i="43"/>
  <c r="EO316" i="43"/>
  <c r="EP316" i="43"/>
  <c r="EQ316" i="43"/>
  <c r="ER316" i="43"/>
  <c r="ES316" i="43"/>
  <c r="ET316" i="43"/>
  <c r="EU316" i="43"/>
  <c r="EV316" i="43"/>
  <c r="EW316" i="43"/>
  <c r="EX316" i="43"/>
  <c r="EY316" i="43"/>
  <c r="EZ316" i="43"/>
  <c r="FA316" i="43"/>
  <c r="FB316" i="43"/>
  <c r="FC316" i="43"/>
  <c r="FD316" i="43"/>
  <c r="FE316" i="43"/>
  <c r="FF316" i="43"/>
  <c r="FG316" i="43"/>
  <c r="FH316" i="43"/>
  <c r="FI316" i="43"/>
  <c r="FJ316" i="43"/>
  <c r="FK316" i="43"/>
  <c r="FL316" i="43"/>
  <c r="FM316" i="43"/>
  <c r="FN316" i="43"/>
  <c r="FO316" i="43"/>
  <c r="FP316" i="43"/>
  <c r="FQ316" i="43"/>
  <c r="FR316" i="43"/>
  <c r="FS316" i="43"/>
  <c r="FT316" i="43"/>
  <c r="FU316" i="43"/>
  <c r="FV316" i="43"/>
  <c r="FW316" i="43"/>
  <c r="FX316" i="43"/>
  <c r="FY316" i="43"/>
  <c r="FZ316" i="43"/>
  <c r="GA316" i="43"/>
  <c r="GB316" i="43"/>
  <c r="GC316" i="43"/>
  <c r="GD316" i="43"/>
  <c r="GE316" i="43"/>
  <c r="GF316" i="43"/>
  <c r="GG316" i="43"/>
  <c r="GH316" i="43"/>
  <c r="GI316" i="43"/>
  <c r="GJ316" i="43"/>
  <c r="GK316" i="43"/>
  <c r="GL316" i="43"/>
  <c r="GM316" i="43"/>
  <c r="GN316" i="43"/>
  <c r="GO316" i="43"/>
  <c r="GP316" i="43"/>
  <c r="GQ316" i="43"/>
  <c r="GR316" i="43"/>
  <c r="GS316" i="43"/>
  <c r="GT316" i="43"/>
  <c r="GU316" i="43"/>
  <c r="GV316" i="43"/>
  <c r="GW316" i="43"/>
  <c r="GX316" i="43"/>
  <c r="GY316" i="43"/>
  <c r="GZ316" i="43"/>
  <c r="HA316" i="43"/>
  <c r="HB316" i="43"/>
  <c r="HC316" i="43"/>
  <c r="HD316" i="43"/>
  <c r="HE316" i="43"/>
  <c r="HF316" i="43"/>
  <c r="HG316" i="43"/>
  <c r="HH316" i="43"/>
  <c r="HI316" i="43"/>
  <c r="HJ316" i="43"/>
  <c r="HK316" i="43"/>
  <c r="HL316" i="43"/>
  <c r="HM316" i="43"/>
  <c r="HN316" i="43"/>
  <c r="HO316" i="43"/>
  <c r="HP316" i="43"/>
  <c r="HQ316" i="43"/>
  <c r="HR316" i="43"/>
  <c r="HS316" i="43"/>
  <c r="HT316" i="43"/>
  <c r="HU316" i="43"/>
  <c r="HV316" i="43"/>
  <c r="HW316" i="43"/>
  <c r="HX316" i="43"/>
  <c r="HY316" i="43"/>
  <c r="HZ316" i="43"/>
  <c r="IA316" i="43"/>
  <c r="IB316" i="43"/>
  <c r="IC316" i="43"/>
  <c r="ID316" i="43"/>
  <c r="IE316" i="43"/>
  <c r="IF316" i="43"/>
  <c r="IG316" i="43"/>
  <c r="IH316" i="43"/>
  <c r="II316" i="43"/>
  <c r="IJ316" i="43"/>
  <c r="IK316" i="43"/>
  <c r="IL316" i="43"/>
  <c r="IM316" i="43"/>
  <c r="IN316" i="43"/>
  <c r="IO316" i="43"/>
  <c r="IP316" i="43"/>
  <c r="IQ316" i="43"/>
  <c r="IR316" i="43"/>
  <c r="IS316" i="43"/>
  <c r="IT316" i="43"/>
  <c r="IU316" i="43"/>
  <c r="IV316" i="43"/>
  <c r="A315" i="43"/>
  <c r="B315" i="43"/>
  <c r="C315" i="43"/>
  <c r="D315" i="43"/>
  <c r="E315" i="43"/>
  <c r="F315" i="43"/>
  <c r="G315" i="43"/>
  <c r="H315" i="43"/>
  <c r="I315" i="43"/>
  <c r="J315" i="43"/>
  <c r="K315" i="43"/>
  <c r="L315" i="43"/>
  <c r="M315" i="43"/>
  <c r="N315" i="43"/>
  <c r="O315" i="43"/>
  <c r="P315" i="43"/>
  <c r="Q315" i="43"/>
  <c r="R315" i="43"/>
  <c r="S315" i="43"/>
  <c r="T315" i="43"/>
  <c r="U315" i="43"/>
  <c r="V315" i="43"/>
  <c r="W315" i="43"/>
  <c r="X315" i="43"/>
  <c r="Y315" i="43"/>
  <c r="Z315" i="43"/>
  <c r="AA315" i="43"/>
  <c r="AB315" i="43"/>
  <c r="AC315" i="43"/>
  <c r="AD315" i="43"/>
  <c r="AE315" i="43"/>
  <c r="AF315" i="43"/>
  <c r="AG315" i="43"/>
  <c r="AH315" i="43"/>
  <c r="AI315" i="43"/>
  <c r="AJ315" i="43"/>
  <c r="AK315" i="43"/>
  <c r="AL315" i="43"/>
  <c r="AM315" i="43"/>
  <c r="AN315" i="43"/>
  <c r="AO315" i="43"/>
  <c r="AP315" i="43"/>
  <c r="AQ315" i="43"/>
  <c r="AR315" i="43"/>
  <c r="AS315" i="43"/>
  <c r="AT315" i="43"/>
  <c r="AU315" i="43"/>
  <c r="AV315" i="43"/>
  <c r="AW315" i="43"/>
  <c r="AX315" i="43"/>
  <c r="AY315" i="43"/>
  <c r="AZ315" i="43"/>
  <c r="BA315" i="43"/>
  <c r="BB315" i="43"/>
  <c r="BC315" i="43"/>
  <c r="BD315" i="43"/>
  <c r="BE315" i="43"/>
  <c r="BF315" i="43"/>
  <c r="BG315" i="43"/>
  <c r="BH315" i="43"/>
  <c r="BI315" i="43"/>
  <c r="BJ315" i="43"/>
  <c r="BK315" i="43"/>
  <c r="BL315" i="43"/>
  <c r="BM315" i="43"/>
  <c r="BN315" i="43"/>
  <c r="BO315" i="43"/>
  <c r="BP315" i="43"/>
  <c r="BQ315" i="43"/>
  <c r="BR315" i="43"/>
  <c r="BS315" i="43"/>
  <c r="BT315" i="43"/>
  <c r="BU315" i="43"/>
  <c r="BV315" i="43"/>
  <c r="BW315" i="43"/>
  <c r="BX315" i="43"/>
  <c r="BY315" i="43"/>
  <c r="BZ315" i="43"/>
  <c r="CA315" i="43"/>
  <c r="CB315" i="43"/>
  <c r="CC315" i="43"/>
  <c r="CD315" i="43"/>
  <c r="CE315" i="43"/>
  <c r="CF315" i="43"/>
  <c r="CG315" i="43"/>
  <c r="CH315" i="43"/>
  <c r="CI315" i="43"/>
  <c r="CJ315" i="43"/>
  <c r="CK315" i="43"/>
  <c r="CL315" i="43"/>
  <c r="CM315" i="43"/>
  <c r="CN315" i="43"/>
  <c r="CO315" i="43"/>
  <c r="CP315" i="43"/>
  <c r="CQ315" i="43"/>
  <c r="CR315" i="43"/>
  <c r="CS315" i="43"/>
  <c r="CT315" i="43"/>
  <c r="CU315" i="43"/>
  <c r="CV315" i="43"/>
  <c r="CW315" i="43"/>
  <c r="CX315" i="43"/>
  <c r="CY315" i="43"/>
  <c r="CZ315" i="43"/>
  <c r="DA315" i="43"/>
  <c r="DB315" i="43"/>
  <c r="DC315" i="43"/>
  <c r="DD315" i="43"/>
  <c r="DE315" i="43"/>
  <c r="DF315" i="43"/>
  <c r="DG315" i="43"/>
  <c r="DH315" i="43"/>
  <c r="DI315" i="43"/>
  <c r="DJ315" i="43"/>
  <c r="DK315" i="43"/>
  <c r="DL315" i="43"/>
  <c r="DM315" i="43"/>
  <c r="DN315" i="43"/>
  <c r="DO315" i="43"/>
  <c r="DP315" i="43"/>
  <c r="DQ315" i="43"/>
  <c r="DR315" i="43"/>
  <c r="DS315" i="43"/>
  <c r="DT315" i="43"/>
  <c r="DU315" i="43"/>
  <c r="DV315" i="43"/>
  <c r="DW315" i="43"/>
  <c r="DX315" i="43"/>
  <c r="DY315" i="43"/>
  <c r="DZ315" i="43"/>
  <c r="EA315" i="43"/>
  <c r="EB315" i="43"/>
  <c r="EC315" i="43"/>
  <c r="ED315" i="43"/>
  <c r="EE315" i="43"/>
  <c r="EF315" i="43"/>
  <c r="EG315" i="43"/>
  <c r="EH315" i="43"/>
  <c r="EI315" i="43"/>
  <c r="EJ315" i="43"/>
  <c r="EK315" i="43"/>
  <c r="EL315" i="43"/>
  <c r="EM315" i="43"/>
  <c r="EN315" i="43"/>
  <c r="EO315" i="43"/>
  <c r="EP315" i="43"/>
  <c r="EQ315" i="43"/>
  <c r="ER315" i="43"/>
  <c r="ES315" i="43"/>
  <c r="ET315" i="43"/>
  <c r="EU315" i="43"/>
  <c r="EV315" i="43"/>
  <c r="EW315" i="43"/>
  <c r="EX315" i="43"/>
  <c r="EY315" i="43"/>
  <c r="EZ315" i="43"/>
  <c r="FA315" i="43"/>
  <c r="FB315" i="43"/>
  <c r="FC315" i="43"/>
  <c r="FD315" i="43"/>
  <c r="FE315" i="43"/>
  <c r="FF315" i="43"/>
  <c r="FG315" i="43"/>
  <c r="FH315" i="43"/>
  <c r="FI315" i="43"/>
  <c r="FJ315" i="43"/>
  <c r="FK315" i="43"/>
  <c r="FL315" i="43"/>
  <c r="FM315" i="43"/>
  <c r="FN315" i="43"/>
  <c r="FO315" i="43"/>
  <c r="FP315" i="43"/>
  <c r="FQ315" i="43"/>
  <c r="FR315" i="43"/>
  <c r="FS315" i="43"/>
  <c r="FT315" i="43"/>
  <c r="FU315" i="43"/>
  <c r="FV315" i="43"/>
  <c r="FW315" i="43"/>
  <c r="FX315" i="43"/>
  <c r="FY315" i="43"/>
  <c r="FZ315" i="43"/>
  <c r="GA315" i="43"/>
  <c r="GB315" i="43"/>
  <c r="GC315" i="43"/>
  <c r="GD315" i="43"/>
  <c r="GE315" i="43"/>
  <c r="GF315" i="43"/>
  <c r="GG315" i="43"/>
  <c r="GH315" i="43"/>
  <c r="GI315" i="43"/>
  <c r="GJ315" i="43"/>
  <c r="GK315" i="43"/>
  <c r="GL315" i="43"/>
  <c r="GM315" i="43"/>
  <c r="GN315" i="43"/>
  <c r="GO315" i="43"/>
  <c r="GP315" i="43"/>
  <c r="GQ315" i="43"/>
  <c r="GR315" i="43"/>
  <c r="GS315" i="43"/>
  <c r="GT315" i="43"/>
  <c r="GU315" i="43"/>
  <c r="GV315" i="43"/>
  <c r="GW315" i="43"/>
  <c r="GX315" i="43"/>
  <c r="GY315" i="43"/>
  <c r="GZ315" i="43"/>
  <c r="HA315" i="43"/>
  <c r="HB315" i="43"/>
  <c r="HC315" i="43"/>
  <c r="HD315" i="43"/>
  <c r="HE315" i="43"/>
  <c r="HF315" i="43"/>
  <c r="HG315" i="43"/>
  <c r="HH315" i="43"/>
  <c r="HI315" i="43"/>
  <c r="HJ315" i="43"/>
  <c r="HK315" i="43"/>
  <c r="HL315" i="43"/>
  <c r="HM315" i="43"/>
  <c r="HN315" i="43"/>
  <c r="HO315" i="43"/>
  <c r="HP315" i="43"/>
  <c r="HQ315" i="43"/>
  <c r="HR315" i="43"/>
  <c r="HS315" i="43"/>
  <c r="HT315" i="43"/>
  <c r="HU315" i="43"/>
  <c r="HV315" i="43"/>
  <c r="HW315" i="43"/>
  <c r="HX315" i="43"/>
  <c r="HY315" i="43"/>
  <c r="HZ315" i="43"/>
  <c r="IA315" i="43"/>
  <c r="IB315" i="43"/>
  <c r="IC315" i="43"/>
  <c r="ID315" i="43"/>
  <c r="IE315" i="43"/>
  <c r="IF315" i="43"/>
  <c r="IG315" i="43"/>
  <c r="IH315" i="43"/>
  <c r="II315" i="43"/>
  <c r="IJ315" i="43"/>
  <c r="IK315" i="43"/>
  <c r="IL315" i="43"/>
  <c r="IM315" i="43"/>
  <c r="IN315" i="43"/>
  <c r="IO315" i="43"/>
  <c r="IP315" i="43"/>
  <c r="IQ315" i="43"/>
  <c r="IR315" i="43"/>
  <c r="IS315" i="43"/>
  <c r="IT315" i="43"/>
  <c r="IU315" i="43"/>
  <c r="IV315" i="43"/>
  <c r="A314" i="43"/>
  <c r="B314" i="43"/>
  <c r="C314" i="43"/>
  <c r="D314" i="43"/>
  <c r="E314" i="43"/>
  <c r="F314" i="43"/>
  <c r="G314" i="43"/>
  <c r="H314" i="43"/>
  <c r="I314" i="43"/>
  <c r="J314" i="43"/>
  <c r="K314" i="43"/>
  <c r="L314" i="43"/>
  <c r="M314" i="43"/>
  <c r="N314" i="43"/>
  <c r="O314" i="43"/>
  <c r="P314" i="43"/>
  <c r="Q314" i="43"/>
  <c r="R314" i="43"/>
  <c r="S314" i="43"/>
  <c r="T314" i="43"/>
  <c r="U314" i="43"/>
  <c r="V314" i="43"/>
  <c r="W314" i="43"/>
  <c r="X314" i="43"/>
  <c r="Y314" i="43"/>
  <c r="Z314" i="43"/>
  <c r="AA314" i="43"/>
  <c r="AB314" i="43"/>
  <c r="AC314" i="43"/>
  <c r="AD314" i="43"/>
  <c r="AE314" i="43"/>
  <c r="AF314" i="43"/>
  <c r="AG314" i="43"/>
  <c r="AH314" i="43"/>
  <c r="AI314" i="43"/>
  <c r="AJ314" i="43"/>
  <c r="AK314" i="43"/>
  <c r="AL314" i="43"/>
  <c r="AM314" i="43"/>
  <c r="AN314" i="43"/>
  <c r="AO314" i="43"/>
  <c r="AP314" i="43"/>
  <c r="AQ314" i="43"/>
  <c r="AR314" i="43"/>
  <c r="AS314" i="43"/>
  <c r="AT314" i="43"/>
  <c r="AU314" i="43"/>
  <c r="AV314" i="43"/>
  <c r="AW314" i="43"/>
  <c r="AX314" i="43"/>
  <c r="AY314" i="43"/>
  <c r="AZ314" i="43"/>
  <c r="BA314" i="43"/>
  <c r="BB314" i="43"/>
  <c r="BC314" i="43"/>
  <c r="BD314" i="43"/>
  <c r="BE314" i="43"/>
  <c r="BF314" i="43"/>
  <c r="BG314" i="43"/>
  <c r="BH314" i="43"/>
  <c r="BI314" i="43"/>
  <c r="BJ314" i="43"/>
  <c r="BK314" i="43"/>
  <c r="BL314" i="43"/>
  <c r="BM314" i="43"/>
  <c r="BN314" i="43"/>
  <c r="BO314" i="43"/>
  <c r="BP314" i="43"/>
  <c r="BQ314" i="43"/>
  <c r="BR314" i="43"/>
  <c r="BS314" i="43"/>
  <c r="BT314" i="43"/>
  <c r="BU314" i="43"/>
  <c r="BV314" i="43"/>
  <c r="BW314" i="43"/>
  <c r="BX314" i="43"/>
  <c r="BY314" i="43"/>
  <c r="BZ314" i="43"/>
  <c r="CA314" i="43"/>
  <c r="CB314" i="43"/>
  <c r="CC314" i="43"/>
  <c r="CD314" i="43"/>
  <c r="CE314" i="43"/>
  <c r="CF314" i="43"/>
  <c r="CG314" i="43"/>
  <c r="CH314" i="43"/>
  <c r="CI314" i="43"/>
  <c r="CJ314" i="43"/>
  <c r="CK314" i="43"/>
  <c r="CL314" i="43"/>
  <c r="CM314" i="43"/>
  <c r="CN314" i="43"/>
  <c r="CO314" i="43"/>
  <c r="CP314" i="43"/>
  <c r="CQ314" i="43"/>
  <c r="CR314" i="43"/>
  <c r="CS314" i="43"/>
  <c r="CT314" i="43"/>
  <c r="CU314" i="43"/>
  <c r="CV314" i="43"/>
  <c r="CW314" i="43"/>
  <c r="CX314" i="43"/>
  <c r="CY314" i="43"/>
  <c r="CZ314" i="43"/>
  <c r="DA314" i="43"/>
  <c r="DB314" i="43"/>
  <c r="DC314" i="43"/>
  <c r="DD314" i="43"/>
  <c r="DE314" i="43"/>
  <c r="DF314" i="43"/>
  <c r="DG314" i="43"/>
  <c r="DH314" i="43"/>
  <c r="DI314" i="43"/>
  <c r="DJ314" i="43"/>
  <c r="DK314" i="43"/>
  <c r="DL314" i="43"/>
  <c r="DM314" i="43"/>
  <c r="DN314" i="43"/>
  <c r="DO314" i="43"/>
  <c r="DP314" i="43"/>
  <c r="DQ314" i="43"/>
  <c r="DR314" i="43"/>
  <c r="DS314" i="43"/>
  <c r="DT314" i="43"/>
  <c r="DU314" i="43"/>
  <c r="DV314" i="43"/>
  <c r="DW314" i="43"/>
  <c r="DX314" i="43"/>
  <c r="DY314" i="43"/>
  <c r="DZ314" i="43"/>
  <c r="EA314" i="43"/>
  <c r="EB314" i="43"/>
  <c r="EC314" i="43"/>
  <c r="ED314" i="43"/>
  <c r="EE314" i="43"/>
  <c r="EF314" i="43"/>
  <c r="EG314" i="43"/>
  <c r="EH314" i="43"/>
  <c r="EI314" i="43"/>
  <c r="EJ314" i="43"/>
  <c r="EK314" i="43"/>
  <c r="EL314" i="43"/>
  <c r="EM314" i="43"/>
  <c r="EN314" i="43"/>
  <c r="EO314" i="43"/>
  <c r="EP314" i="43"/>
  <c r="EQ314" i="43"/>
  <c r="ER314" i="43"/>
  <c r="ES314" i="43"/>
  <c r="ET314" i="43"/>
  <c r="EU314" i="43"/>
  <c r="EV314" i="43"/>
  <c r="EW314" i="43"/>
  <c r="EX314" i="43"/>
  <c r="EY314" i="43"/>
  <c r="EZ314" i="43"/>
  <c r="FA314" i="43"/>
  <c r="FB314" i="43"/>
  <c r="FC314" i="43"/>
  <c r="FD314" i="43"/>
  <c r="FE314" i="43"/>
  <c r="FF314" i="43"/>
  <c r="FG314" i="43"/>
  <c r="FH314" i="43"/>
  <c r="FI314" i="43"/>
  <c r="FJ314" i="43"/>
  <c r="FK314" i="43"/>
  <c r="FL314" i="43"/>
  <c r="FM314" i="43"/>
  <c r="FN314" i="43"/>
  <c r="FO314" i="43"/>
  <c r="FP314" i="43"/>
  <c r="FQ314" i="43"/>
  <c r="FR314" i="43"/>
  <c r="FS314" i="43"/>
  <c r="FT314" i="43"/>
  <c r="FU314" i="43"/>
  <c r="FV314" i="43"/>
  <c r="FW314" i="43"/>
  <c r="FX314" i="43"/>
  <c r="FY314" i="43"/>
  <c r="FZ314" i="43"/>
  <c r="GA314" i="43"/>
  <c r="GB314" i="43"/>
  <c r="GC314" i="43"/>
  <c r="GD314" i="43"/>
  <c r="GE314" i="43"/>
  <c r="GF314" i="43"/>
  <c r="GG314" i="43"/>
  <c r="GH314" i="43"/>
  <c r="GI314" i="43"/>
  <c r="GJ314" i="43"/>
  <c r="GK314" i="43"/>
  <c r="GL314" i="43"/>
  <c r="GM314" i="43"/>
  <c r="GN314" i="43"/>
  <c r="GO314" i="43"/>
  <c r="GP314" i="43"/>
  <c r="GQ314" i="43"/>
  <c r="GR314" i="43"/>
  <c r="GS314" i="43"/>
  <c r="GT314" i="43"/>
  <c r="GU314" i="43"/>
  <c r="GV314" i="43"/>
  <c r="GW314" i="43"/>
  <c r="GX314" i="43"/>
  <c r="GY314" i="43"/>
  <c r="GZ314" i="43"/>
  <c r="HA314" i="43"/>
  <c r="HB314" i="43"/>
  <c r="HC314" i="43"/>
  <c r="HD314" i="43"/>
  <c r="HE314" i="43"/>
  <c r="HF314" i="43"/>
  <c r="HG314" i="43"/>
  <c r="HH314" i="43"/>
  <c r="HI314" i="43"/>
  <c r="HJ314" i="43"/>
  <c r="HK314" i="43"/>
  <c r="HL314" i="43"/>
  <c r="HM314" i="43"/>
  <c r="HN314" i="43"/>
  <c r="HO314" i="43"/>
  <c r="HP314" i="43"/>
  <c r="HQ314" i="43"/>
  <c r="HR314" i="43"/>
  <c r="HS314" i="43"/>
  <c r="HT314" i="43"/>
  <c r="HU314" i="43"/>
  <c r="HV314" i="43"/>
  <c r="HW314" i="43"/>
  <c r="HX314" i="43"/>
  <c r="HY314" i="43"/>
  <c r="HZ314" i="43"/>
  <c r="IA314" i="43"/>
  <c r="IB314" i="43"/>
  <c r="IC314" i="43"/>
  <c r="ID314" i="43"/>
  <c r="IE314" i="43"/>
  <c r="IF314" i="43"/>
  <c r="IG314" i="43"/>
  <c r="IH314" i="43"/>
  <c r="II314" i="43"/>
  <c r="IJ314" i="43"/>
  <c r="IK314" i="43"/>
  <c r="IL314" i="43"/>
  <c r="IM314" i="43"/>
  <c r="IN314" i="43"/>
  <c r="IO314" i="43"/>
  <c r="IP314" i="43"/>
  <c r="IQ314" i="43"/>
  <c r="IR314" i="43"/>
  <c r="IS314" i="43"/>
  <c r="IT314" i="43"/>
  <c r="IU314" i="43"/>
  <c r="IV314" i="43"/>
  <c r="A313" i="43"/>
  <c r="B313" i="43"/>
  <c r="C313" i="43"/>
  <c r="D313" i="43"/>
  <c r="E313" i="43"/>
  <c r="F313" i="43"/>
  <c r="G313" i="43"/>
  <c r="H313" i="43"/>
  <c r="I313" i="43"/>
  <c r="J313" i="43"/>
  <c r="K313" i="43"/>
  <c r="L313" i="43"/>
  <c r="M313" i="43"/>
  <c r="N313" i="43"/>
  <c r="O313" i="43"/>
  <c r="P313" i="43"/>
  <c r="Q313" i="43"/>
  <c r="R313" i="43"/>
  <c r="S313" i="43"/>
  <c r="T313" i="43"/>
  <c r="U313" i="43"/>
  <c r="V313" i="43"/>
  <c r="W313" i="43"/>
  <c r="X313" i="43"/>
  <c r="Y313" i="43"/>
  <c r="Z313" i="43"/>
  <c r="AA313" i="43"/>
  <c r="AB313" i="43"/>
  <c r="AC313" i="43"/>
  <c r="AD313" i="43"/>
  <c r="AE313" i="43"/>
  <c r="AF313" i="43"/>
  <c r="AG313" i="43"/>
  <c r="AH313" i="43"/>
  <c r="AI313" i="43"/>
  <c r="AJ313" i="43"/>
  <c r="AK313" i="43"/>
  <c r="AL313" i="43"/>
  <c r="AM313" i="43"/>
  <c r="AN313" i="43"/>
  <c r="AO313" i="43"/>
  <c r="AP313" i="43"/>
  <c r="AQ313" i="43"/>
  <c r="AR313" i="43"/>
  <c r="AS313" i="43"/>
  <c r="AT313" i="43"/>
  <c r="AU313" i="43"/>
  <c r="AV313" i="43"/>
  <c r="AW313" i="43"/>
  <c r="AX313" i="43"/>
  <c r="AY313" i="43"/>
  <c r="AZ313" i="43"/>
  <c r="BA313" i="43"/>
  <c r="BB313" i="43"/>
  <c r="BC313" i="43"/>
  <c r="BD313" i="43"/>
  <c r="BE313" i="43"/>
  <c r="BF313" i="43"/>
  <c r="BG313" i="43"/>
  <c r="BH313" i="43"/>
  <c r="BI313" i="43"/>
  <c r="BJ313" i="43"/>
  <c r="BK313" i="43"/>
  <c r="BL313" i="43"/>
  <c r="BM313" i="43"/>
  <c r="BN313" i="43"/>
  <c r="BO313" i="43"/>
  <c r="BP313" i="43"/>
  <c r="BQ313" i="43"/>
  <c r="BR313" i="43"/>
  <c r="BS313" i="43"/>
  <c r="BT313" i="43"/>
  <c r="BU313" i="43"/>
  <c r="BV313" i="43"/>
  <c r="BW313" i="43"/>
  <c r="BX313" i="43"/>
  <c r="BY313" i="43"/>
  <c r="BZ313" i="43"/>
  <c r="CA313" i="43"/>
  <c r="CB313" i="43"/>
  <c r="CC313" i="43"/>
  <c r="CD313" i="43"/>
  <c r="CE313" i="43"/>
  <c r="CF313" i="43"/>
  <c r="CG313" i="43"/>
  <c r="CH313" i="43"/>
  <c r="CI313" i="43"/>
  <c r="CJ313" i="43"/>
  <c r="CK313" i="43"/>
  <c r="CL313" i="43"/>
  <c r="CM313" i="43"/>
  <c r="CN313" i="43"/>
  <c r="CO313" i="43"/>
  <c r="CP313" i="43"/>
  <c r="CQ313" i="43"/>
  <c r="CR313" i="43"/>
  <c r="CS313" i="43"/>
  <c r="CT313" i="43"/>
  <c r="CU313" i="43"/>
  <c r="CV313" i="43"/>
  <c r="CW313" i="43"/>
  <c r="CX313" i="43"/>
  <c r="CY313" i="43"/>
  <c r="CZ313" i="43"/>
  <c r="DA313" i="43"/>
  <c r="DB313" i="43"/>
  <c r="DC313" i="43"/>
  <c r="DD313" i="43"/>
  <c r="DE313" i="43"/>
  <c r="DF313" i="43"/>
  <c r="DG313" i="43"/>
  <c r="DH313" i="43"/>
  <c r="DI313" i="43"/>
  <c r="DJ313" i="43"/>
  <c r="DK313" i="43"/>
  <c r="DL313" i="43"/>
  <c r="DM313" i="43"/>
  <c r="DN313" i="43"/>
  <c r="DO313" i="43"/>
  <c r="DP313" i="43"/>
  <c r="DQ313" i="43"/>
  <c r="DR313" i="43"/>
  <c r="DS313" i="43"/>
  <c r="DT313" i="43"/>
  <c r="DU313" i="43"/>
  <c r="DV313" i="43"/>
  <c r="DW313" i="43"/>
  <c r="DX313" i="43"/>
  <c r="DY313" i="43"/>
  <c r="DZ313" i="43"/>
  <c r="EA313" i="43"/>
  <c r="EB313" i="43"/>
  <c r="EC313" i="43"/>
  <c r="ED313" i="43"/>
  <c r="EE313" i="43"/>
  <c r="EF313" i="43"/>
  <c r="EG313" i="43"/>
  <c r="EH313" i="43"/>
  <c r="EI313" i="43"/>
  <c r="EJ313" i="43"/>
  <c r="EK313" i="43"/>
  <c r="EL313" i="43"/>
  <c r="EM313" i="43"/>
  <c r="EN313" i="43"/>
  <c r="EO313" i="43"/>
  <c r="EP313" i="43"/>
  <c r="EQ313" i="43"/>
  <c r="ER313" i="43"/>
  <c r="ES313" i="43"/>
  <c r="ET313" i="43"/>
  <c r="EU313" i="43"/>
  <c r="EV313" i="43"/>
  <c r="EW313" i="43"/>
  <c r="EX313" i="43"/>
  <c r="EY313" i="43"/>
  <c r="EZ313" i="43"/>
  <c r="FA313" i="43"/>
  <c r="FB313" i="43"/>
  <c r="FC313" i="43"/>
  <c r="FD313" i="43"/>
  <c r="FE313" i="43"/>
  <c r="FF313" i="43"/>
  <c r="FG313" i="43"/>
  <c r="FH313" i="43"/>
  <c r="FI313" i="43"/>
  <c r="FJ313" i="43"/>
  <c r="FK313" i="43"/>
  <c r="FL313" i="43"/>
  <c r="FM313" i="43"/>
  <c r="FN313" i="43"/>
  <c r="FO313" i="43"/>
  <c r="FP313" i="43"/>
  <c r="FQ313" i="43"/>
  <c r="FR313" i="43"/>
  <c r="FS313" i="43"/>
  <c r="FT313" i="43"/>
  <c r="FU313" i="43"/>
  <c r="FV313" i="43"/>
  <c r="FW313" i="43"/>
  <c r="FX313" i="43"/>
  <c r="FY313" i="43"/>
  <c r="FZ313" i="43"/>
  <c r="GA313" i="43"/>
  <c r="GB313" i="43"/>
  <c r="GC313" i="43"/>
  <c r="GD313" i="43"/>
  <c r="GE313" i="43"/>
  <c r="GF313" i="43"/>
  <c r="GG313" i="43"/>
  <c r="GH313" i="43"/>
  <c r="GI313" i="43"/>
  <c r="GJ313" i="43"/>
  <c r="GK313" i="43"/>
  <c r="GL313" i="43"/>
  <c r="GM313" i="43"/>
  <c r="GN313" i="43"/>
  <c r="GO313" i="43"/>
  <c r="GP313" i="43"/>
  <c r="GQ313" i="43"/>
  <c r="GR313" i="43"/>
  <c r="GS313" i="43"/>
  <c r="GT313" i="43"/>
  <c r="GU313" i="43"/>
  <c r="GV313" i="43"/>
  <c r="GW313" i="43"/>
  <c r="GX313" i="43"/>
  <c r="GY313" i="43"/>
  <c r="GZ313" i="43"/>
  <c r="HA313" i="43"/>
  <c r="HB313" i="43"/>
  <c r="HC313" i="43"/>
  <c r="HD313" i="43"/>
  <c r="HE313" i="43"/>
  <c r="HF313" i="43"/>
  <c r="HG313" i="43"/>
  <c r="HH313" i="43"/>
  <c r="HI313" i="43"/>
  <c r="HJ313" i="43"/>
  <c r="HK313" i="43"/>
  <c r="HL313" i="43"/>
  <c r="HM313" i="43"/>
  <c r="HN313" i="43"/>
  <c r="HO313" i="43"/>
  <c r="HP313" i="43"/>
  <c r="HQ313" i="43"/>
  <c r="HR313" i="43"/>
  <c r="HS313" i="43"/>
  <c r="HT313" i="43"/>
  <c r="HU313" i="43"/>
  <c r="HV313" i="43"/>
  <c r="HW313" i="43"/>
  <c r="HX313" i="43"/>
  <c r="HY313" i="43"/>
  <c r="HZ313" i="43"/>
  <c r="IA313" i="43"/>
  <c r="IB313" i="43"/>
  <c r="IC313" i="43"/>
  <c r="ID313" i="43"/>
  <c r="IE313" i="43"/>
  <c r="IF313" i="43"/>
  <c r="IG313" i="43"/>
  <c r="IH313" i="43"/>
  <c r="II313" i="43"/>
  <c r="IJ313" i="43"/>
  <c r="IK313" i="43"/>
  <c r="IL313" i="43"/>
  <c r="IM313" i="43"/>
  <c r="IN313" i="43"/>
  <c r="IO313" i="43"/>
  <c r="IP313" i="43"/>
  <c r="IQ313" i="43"/>
  <c r="IR313" i="43"/>
  <c r="IS313" i="43"/>
  <c r="IT313" i="43"/>
  <c r="IU313" i="43"/>
  <c r="IV313" i="43"/>
  <c r="A312" i="43"/>
  <c r="B312" i="43"/>
  <c r="C312" i="43"/>
  <c r="D312" i="43"/>
  <c r="E312" i="43"/>
  <c r="F312" i="43"/>
  <c r="G312" i="43"/>
  <c r="H312" i="43"/>
  <c r="I312" i="43"/>
  <c r="J312" i="43"/>
  <c r="K312" i="43"/>
  <c r="L312" i="43"/>
  <c r="M312" i="43"/>
  <c r="N312" i="43"/>
  <c r="O312" i="43"/>
  <c r="P312" i="43"/>
  <c r="Q312" i="43"/>
  <c r="R312" i="43"/>
  <c r="S312" i="43"/>
  <c r="T312" i="43"/>
  <c r="U312" i="43"/>
  <c r="V312" i="43"/>
  <c r="W312" i="43"/>
  <c r="X312" i="43"/>
  <c r="Y312" i="43"/>
  <c r="Z312" i="43"/>
  <c r="AA312" i="43"/>
  <c r="AB312" i="43"/>
  <c r="AC312" i="43"/>
  <c r="AD312" i="43"/>
  <c r="AE312" i="43"/>
  <c r="AF312" i="43"/>
  <c r="AG312" i="43"/>
  <c r="AH312" i="43"/>
  <c r="AI312" i="43"/>
  <c r="AJ312" i="43"/>
  <c r="AK312" i="43"/>
  <c r="AL312" i="43"/>
  <c r="AM312" i="43"/>
  <c r="AN312" i="43"/>
  <c r="AO312" i="43"/>
  <c r="AP312" i="43"/>
  <c r="AQ312" i="43"/>
  <c r="AR312" i="43"/>
  <c r="AS312" i="43"/>
  <c r="AT312" i="43"/>
  <c r="AU312" i="43"/>
  <c r="AV312" i="43"/>
  <c r="AW312" i="43"/>
  <c r="AX312" i="43"/>
  <c r="AY312" i="43"/>
  <c r="AZ312" i="43"/>
  <c r="BA312" i="43"/>
  <c r="BB312" i="43"/>
  <c r="BC312" i="43"/>
  <c r="BD312" i="43"/>
  <c r="BE312" i="43"/>
  <c r="BF312" i="43"/>
  <c r="BG312" i="43"/>
  <c r="BH312" i="43"/>
  <c r="BI312" i="43"/>
  <c r="BJ312" i="43"/>
  <c r="BK312" i="43"/>
  <c r="BL312" i="43"/>
  <c r="BM312" i="43"/>
  <c r="BN312" i="43"/>
  <c r="BO312" i="43"/>
  <c r="BP312" i="43"/>
  <c r="BQ312" i="43"/>
  <c r="BR312" i="43"/>
  <c r="BS312" i="43"/>
  <c r="BT312" i="43"/>
  <c r="BU312" i="43"/>
  <c r="BV312" i="43"/>
  <c r="BW312" i="43"/>
  <c r="BX312" i="43"/>
  <c r="BY312" i="43"/>
  <c r="BZ312" i="43"/>
  <c r="CA312" i="43"/>
  <c r="CB312" i="43"/>
  <c r="CC312" i="43"/>
  <c r="CD312" i="43"/>
  <c r="CE312" i="43"/>
  <c r="CF312" i="43"/>
  <c r="CG312" i="43"/>
  <c r="CH312" i="43"/>
  <c r="CI312" i="43"/>
  <c r="CJ312" i="43"/>
  <c r="CK312" i="43"/>
  <c r="CL312" i="43"/>
  <c r="CM312" i="43"/>
  <c r="CN312" i="43"/>
  <c r="CO312" i="43"/>
  <c r="CP312" i="43"/>
  <c r="CQ312" i="43"/>
  <c r="CR312" i="43"/>
  <c r="CS312" i="43"/>
  <c r="CT312" i="43"/>
  <c r="CU312" i="43"/>
  <c r="CV312" i="43"/>
  <c r="CW312" i="43"/>
  <c r="CX312" i="43"/>
  <c r="CY312" i="43"/>
  <c r="CZ312" i="43"/>
  <c r="DA312" i="43"/>
  <c r="DB312" i="43"/>
  <c r="DC312" i="43"/>
  <c r="DD312" i="43"/>
  <c r="DE312" i="43"/>
  <c r="DF312" i="43"/>
  <c r="DG312" i="43"/>
  <c r="DH312" i="43"/>
  <c r="DI312" i="43"/>
  <c r="DJ312" i="43"/>
  <c r="DK312" i="43"/>
  <c r="DL312" i="43"/>
  <c r="DM312" i="43"/>
  <c r="DN312" i="43"/>
  <c r="DO312" i="43"/>
  <c r="DP312" i="43"/>
  <c r="DQ312" i="43"/>
  <c r="DR312" i="43"/>
  <c r="DS312" i="43"/>
  <c r="DT312" i="43"/>
  <c r="DU312" i="43"/>
  <c r="DV312" i="43"/>
  <c r="DW312" i="43"/>
  <c r="DX312" i="43"/>
  <c r="DY312" i="43"/>
  <c r="DZ312" i="43"/>
  <c r="EA312" i="43"/>
  <c r="EB312" i="43"/>
  <c r="EC312" i="43"/>
  <c r="ED312" i="43"/>
  <c r="EE312" i="43"/>
  <c r="EF312" i="43"/>
  <c r="EG312" i="43"/>
  <c r="EH312" i="43"/>
  <c r="EI312" i="43"/>
  <c r="EJ312" i="43"/>
  <c r="EK312" i="43"/>
  <c r="EL312" i="43"/>
  <c r="EM312" i="43"/>
  <c r="EN312" i="43"/>
  <c r="EO312" i="43"/>
  <c r="EP312" i="43"/>
  <c r="EQ312" i="43"/>
  <c r="ER312" i="43"/>
  <c r="ES312" i="43"/>
  <c r="ET312" i="43"/>
  <c r="EU312" i="43"/>
  <c r="EV312" i="43"/>
  <c r="EW312" i="43"/>
  <c r="EX312" i="43"/>
  <c r="EY312" i="43"/>
  <c r="EZ312" i="43"/>
  <c r="FA312" i="43"/>
  <c r="FB312" i="43"/>
  <c r="FC312" i="43"/>
  <c r="FD312" i="43"/>
  <c r="FE312" i="43"/>
  <c r="FF312" i="43"/>
  <c r="FG312" i="43"/>
  <c r="FH312" i="43"/>
  <c r="FI312" i="43"/>
  <c r="FJ312" i="43"/>
  <c r="FK312" i="43"/>
  <c r="FL312" i="43"/>
  <c r="FM312" i="43"/>
  <c r="FN312" i="43"/>
  <c r="FO312" i="43"/>
  <c r="FP312" i="43"/>
  <c r="FQ312" i="43"/>
  <c r="FR312" i="43"/>
  <c r="FS312" i="43"/>
  <c r="FT312" i="43"/>
  <c r="FU312" i="43"/>
  <c r="FV312" i="43"/>
  <c r="FW312" i="43"/>
  <c r="FX312" i="43"/>
  <c r="FY312" i="43"/>
  <c r="FZ312" i="43"/>
  <c r="GA312" i="43"/>
  <c r="GB312" i="43"/>
  <c r="GC312" i="43"/>
  <c r="GD312" i="43"/>
  <c r="GE312" i="43"/>
  <c r="GF312" i="43"/>
  <c r="GG312" i="43"/>
  <c r="GH312" i="43"/>
  <c r="GI312" i="43"/>
  <c r="GJ312" i="43"/>
  <c r="GK312" i="43"/>
  <c r="GL312" i="43"/>
  <c r="GM312" i="43"/>
  <c r="GN312" i="43"/>
  <c r="GO312" i="43"/>
  <c r="GP312" i="43"/>
  <c r="GQ312" i="43"/>
  <c r="GR312" i="43"/>
  <c r="GS312" i="43"/>
  <c r="GT312" i="43"/>
  <c r="GU312" i="43"/>
  <c r="GV312" i="43"/>
  <c r="GW312" i="43"/>
  <c r="GX312" i="43"/>
  <c r="GY312" i="43"/>
  <c r="GZ312" i="43"/>
  <c r="HA312" i="43"/>
  <c r="HB312" i="43"/>
  <c r="HC312" i="43"/>
  <c r="HD312" i="43"/>
  <c r="HE312" i="43"/>
  <c r="HF312" i="43"/>
  <c r="HG312" i="43"/>
  <c r="HH312" i="43"/>
  <c r="HI312" i="43"/>
  <c r="HJ312" i="43"/>
  <c r="HK312" i="43"/>
  <c r="HL312" i="43"/>
  <c r="HM312" i="43"/>
  <c r="HN312" i="43"/>
  <c r="HO312" i="43"/>
  <c r="HP312" i="43"/>
  <c r="HQ312" i="43"/>
  <c r="HR312" i="43"/>
  <c r="HS312" i="43"/>
  <c r="HT312" i="43"/>
  <c r="HU312" i="43"/>
  <c r="HV312" i="43"/>
  <c r="HW312" i="43"/>
  <c r="HX312" i="43"/>
  <c r="HY312" i="43"/>
  <c r="HZ312" i="43"/>
  <c r="IA312" i="43"/>
  <c r="IB312" i="43"/>
  <c r="IC312" i="43"/>
  <c r="ID312" i="43"/>
  <c r="IE312" i="43"/>
  <c r="IF312" i="43"/>
  <c r="IG312" i="43"/>
  <c r="IH312" i="43"/>
  <c r="II312" i="43"/>
  <c r="IJ312" i="43"/>
  <c r="IK312" i="43"/>
  <c r="IL312" i="43"/>
  <c r="IM312" i="43"/>
  <c r="IN312" i="43"/>
  <c r="IO312" i="43"/>
  <c r="IP312" i="43"/>
  <c r="IQ312" i="43"/>
  <c r="IR312" i="43"/>
  <c r="IS312" i="43"/>
  <c r="IT312" i="43"/>
  <c r="IU312" i="43"/>
  <c r="IV312" i="43"/>
  <c r="A311" i="43"/>
  <c r="B311" i="43"/>
  <c r="C311" i="43"/>
  <c r="D311" i="43"/>
  <c r="E311" i="43"/>
  <c r="F311" i="43"/>
  <c r="G311" i="43"/>
  <c r="H311" i="43"/>
  <c r="I311" i="43"/>
  <c r="J311" i="43"/>
  <c r="K311" i="43"/>
  <c r="L311" i="43"/>
  <c r="M311" i="43"/>
  <c r="N311" i="43"/>
  <c r="O311" i="43"/>
  <c r="P311" i="43"/>
  <c r="Q311" i="43"/>
  <c r="R311" i="43"/>
  <c r="S311" i="43"/>
  <c r="T311" i="43"/>
  <c r="U311" i="43"/>
  <c r="V311" i="43"/>
  <c r="W311" i="43"/>
  <c r="X311" i="43"/>
  <c r="Y311" i="43"/>
  <c r="Z311" i="43"/>
  <c r="AA311" i="43"/>
  <c r="AB311" i="43"/>
  <c r="AC311" i="43"/>
  <c r="AD311" i="43"/>
  <c r="AE311" i="43"/>
  <c r="AF311" i="43"/>
  <c r="AG311" i="43"/>
  <c r="AH311" i="43"/>
  <c r="AI311" i="43"/>
  <c r="AJ311" i="43"/>
  <c r="AK311" i="43"/>
  <c r="AL311" i="43"/>
  <c r="AM311" i="43"/>
  <c r="AN311" i="43"/>
  <c r="AO311" i="43"/>
  <c r="AP311" i="43"/>
  <c r="AQ311" i="43"/>
  <c r="AR311" i="43"/>
  <c r="AS311" i="43"/>
  <c r="AT311" i="43"/>
  <c r="AU311" i="43"/>
  <c r="AV311" i="43"/>
  <c r="AW311" i="43"/>
  <c r="AX311" i="43"/>
  <c r="AY311" i="43"/>
  <c r="AZ311" i="43"/>
  <c r="BA311" i="43"/>
  <c r="BB311" i="43"/>
  <c r="BC311" i="43"/>
  <c r="BD311" i="43"/>
  <c r="BE311" i="43"/>
  <c r="BF311" i="43"/>
  <c r="BG311" i="43"/>
  <c r="BH311" i="43"/>
  <c r="BI311" i="43"/>
  <c r="BJ311" i="43"/>
  <c r="BK311" i="43"/>
  <c r="BL311" i="43"/>
  <c r="BM311" i="43"/>
  <c r="BN311" i="43"/>
  <c r="BO311" i="43"/>
  <c r="BP311" i="43"/>
  <c r="BQ311" i="43"/>
  <c r="BR311" i="43"/>
  <c r="BS311" i="43"/>
  <c r="BT311" i="43"/>
  <c r="BU311" i="43"/>
  <c r="BV311" i="43"/>
  <c r="BW311" i="43"/>
  <c r="BX311" i="43"/>
  <c r="BY311" i="43"/>
  <c r="BZ311" i="43"/>
  <c r="CA311" i="43"/>
  <c r="CB311" i="43"/>
  <c r="CC311" i="43"/>
  <c r="CD311" i="43"/>
  <c r="CE311" i="43"/>
  <c r="CF311" i="43"/>
  <c r="CG311" i="43"/>
  <c r="CH311" i="43"/>
  <c r="CI311" i="43"/>
  <c r="CJ311" i="43"/>
  <c r="CK311" i="43"/>
  <c r="CL311" i="43"/>
  <c r="CM311" i="43"/>
  <c r="CN311" i="43"/>
  <c r="CO311" i="43"/>
  <c r="CP311" i="43"/>
  <c r="CQ311" i="43"/>
  <c r="CR311" i="43"/>
  <c r="CS311" i="43"/>
  <c r="CT311" i="43"/>
  <c r="CU311" i="43"/>
  <c r="CV311" i="43"/>
  <c r="CW311" i="43"/>
  <c r="CX311" i="43"/>
  <c r="CY311" i="43"/>
  <c r="CZ311" i="43"/>
  <c r="DA311" i="43"/>
  <c r="DB311" i="43"/>
  <c r="DC311" i="43"/>
  <c r="DD311" i="43"/>
  <c r="DE311" i="43"/>
  <c r="DF311" i="43"/>
  <c r="DG311" i="43"/>
  <c r="DH311" i="43"/>
  <c r="DI311" i="43"/>
  <c r="DJ311" i="43"/>
  <c r="DK311" i="43"/>
  <c r="DL311" i="43"/>
  <c r="DM311" i="43"/>
  <c r="DN311" i="43"/>
  <c r="DO311" i="43"/>
  <c r="DP311" i="43"/>
  <c r="DQ311" i="43"/>
  <c r="DR311" i="43"/>
  <c r="DS311" i="43"/>
  <c r="DT311" i="43"/>
  <c r="DU311" i="43"/>
  <c r="DV311" i="43"/>
  <c r="DW311" i="43"/>
  <c r="DX311" i="43"/>
  <c r="DY311" i="43"/>
  <c r="DZ311" i="43"/>
  <c r="EA311" i="43"/>
  <c r="EB311" i="43"/>
  <c r="EC311" i="43"/>
  <c r="ED311" i="43"/>
  <c r="EE311" i="43"/>
  <c r="EF311" i="43"/>
  <c r="EG311" i="43"/>
  <c r="EH311" i="43"/>
  <c r="EI311" i="43"/>
  <c r="EJ311" i="43"/>
  <c r="EK311" i="43"/>
  <c r="EL311" i="43"/>
  <c r="EM311" i="43"/>
  <c r="EN311" i="43"/>
  <c r="EO311" i="43"/>
  <c r="EP311" i="43"/>
  <c r="EQ311" i="43"/>
  <c r="ER311" i="43"/>
  <c r="ES311" i="43"/>
  <c r="ET311" i="43"/>
  <c r="EU311" i="43"/>
  <c r="EV311" i="43"/>
  <c r="EW311" i="43"/>
  <c r="EX311" i="43"/>
  <c r="EY311" i="43"/>
  <c r="EZ311" i="43"/>
  <c r="FA311" i="43"/>
  <c r="FB311" i="43"/>
  <c r="FC311" i="43"/>
  <c r="FD311" i="43"/>
  <c r="FE311" i="43"/>
  <c r="FF311" i="43"/>
  <c r="FG311" i="43"/>
  <c r="FH311" i="43"/>
  <c r="FI311" i="43"/>
  <c r="FJ311" i="43"/>
  <c r="FK311" i="43"/>
  <c r="FL311" i="43"/>
  <c r="FM311" i="43"/>
  <c r="FN311" i="43"/>
  <c r="FO311" i="43"/>
  <c r="FP311" i="43"/>
  <c r="FQ311" i="43"/>
  <c r="FR311" i="43"/>
  <c r="FS311" i="43"/>
  <c r="FT311" i="43"/>
  <c r="FU311" i="43"/>
  <c r="FV311" i="43"/>
  <c r="FW311" i="43"/>
  <c r="FX311" i="43"/>
  <c r="FY311" i="43"/>
  <c r="FZ311" i="43"/>
  <c r="GA311" i="43"/>
  <c r="GB311" i="43"/>
  <c r="GC311" i="43"/>
  <c r="GD311" i="43"/>
  <c r="GE311" i="43"/>
  <c r="GF311" i="43"/>
  <c r="GG311" i="43"/>
  <c r="GH311" i="43"/>
  <c r="GI311" i="43"/>
  <c r="GJ311" i="43"/>
  <c r="GK311" i="43"/>
  <c r="GL311" i="43"/>
  <c r="GM311" i="43"/>
  <c r="GN311" i="43"/>
  <c r="GO311" i="43"/>
  <c r="GP311" i="43"/>
  <c r="GQ311" i="43"/>
  <c r="GR311" i="43"/>
  <c r="GS311" i="43"/>
  <c r="GT311" i="43"/>
  <c r="GU311" i="43"/>
  <c r="GV311" i="43"/>
  <c r="GW311" i="43"/>
  <c r="GX311" i="43"/>
  <c r="GY311" i="43"/>
  <c r="GZ311" i="43"/>
  <c r="HA311" i="43"/>
  <c r="HB311" i="43"/>
  <c r="HC311" i="43"/>
  <c r="HD311" i="43"/>
  <c r="HE311" i="43"/>
  <c r="HF311" i="43"/>
  <c r="HG311" i="43"/>
  <c r="HH311" i="43"/>
  <c r="HI311" i="43"/>
  <c r="HJ311" i="43"/>
  <c r="HK311" i="43"/>
  <c r="HL311" i="43"/>
  <c r="HM311" i="43"/>
  <c r="HN311" i="43"/>
  <c r="HO311" i="43"/>
  <c r="HP311" i="43"/>
  <c r="HQ311" i="43"/>
  <c r="HR311" i="43"/>
  <c r="HS311" i="43"/>
  <c r="HT311" i="43"/>
  <c r="HU311" i="43"/>
  <c r="HV311" i="43"/>
  <c r="HW311" i="43"/>
  <c r="HX311" i="43"/>
  <c r="HY311" i="43"/>
  <c r="HZ311" i="43"/>
  <c r="IA311" i="43"/>
  <c r="IB311" i="43"/>
  <c r="IC311" i="43"/>
  <c r="ID311" i="43"/>
  <c r="IE311" i="43"/>
  <c r="IF311" i="43"/>
  <c r="IG311" i="43"/>
  <c r="IH311" i="43"/>
  <c r="II311" i="43"/>
  <c r="IJ311" i="43"/>
  <c r="IK311" i="43"/>
  <c r="IL311" i="43"/>
  <c r="IM311" i="43"/>
  <c r="IN311" i="43"/>
  <c r="IO311" i="43"/>
  <c r="IP311" i="43"/>
  <c r="IQ311" i="43"/>
  <c r="IR311" i="43"/>
  <c r="IS311" i="43"/>
  <c r="IT311" i="43"/>
  <c r="IU311" i="43"/>
  <c r="IV311" i="43"/>
  <c r="A310" i="43"/>
  <c r="B310" i="43"/>
  <c r="C310" i="43"/>
  <c r="D310" i="43"/>
  <c r="E310" i="43"/>
  <c r="F310" i="43"/>
  <c r="G310" i="43"/>
  <c r="H310" i="43"/>
  <c r="I310" i="43"/>
  <c r="J310" i="43"/>
  <c r="K310" i="43"/>
  <c r="L310" i="43"/>
  <c r="M310" i="43"/>
  <c r="N310" i="43"/>
  <c r="O310" i="43"/>
  <c r="P310" i="43"/>
  <c r="Q310" i="43"/>
  <c r="R310" i="43"/>
  <c r="S310" i="43"/>
  <c r="T310" i="43"/>
  <c r="U310" i="43"/>
  <c r="V310" i="43"/>
  <c r="W310" i="43"/>
  <c r="X310" i="43"/>
  <c r="Y310" i="43"/>
  <c r="Z310" i="43"/>
  <c r="AA310" i="43"/>
  <c r="AB310" i="43"/>
  <c r="AC310" i="43"/>
  <c r="AD310" i="43"/>
  <c r="AE310" i="43"/>
  <c r="AF310" i="43"/>
  <c r="AG310" i="43"/>
  <c r="AH310" i="43"/>
  <c r="AI310" i="43"/>
  <c r="AJ310" i="43"/>
  <c r="AK310" i="43"/>
  <c r="AL310" i="43"/>
  <c r="AM310" i="43"/>
  <c r="AN310" i="43"/>
  <c r="AO310" i="43"/>
  <c r="AP310" i="43"/>
  <c r="AQ310" i="43"/>
  <c r="AR310" i="43"/>
  <c r="AS310" i="43"/>
  <c r="AT310" i="43"/>
  <c r="AU310" i="43"/>
  <c r="AV310" i="43"/>
  <c r="AW310" i="43"/>
  <c r="AX310" i="43"/>
  <c r="AY310" i="43"/>
  <c r="AZ310" i="43"/>
  <c r="BA310" i="43"/>
  <c r="BB310" i="43"/>
  <c r="BC310" i="43"/>
  <c r="BD310" i="43"/>
  <c r="BE310" i="43"/>
  <c r="BF310" i="43"/>
  <c r="BG310" i="43"/>
  <c r="BH310" i="43"/>
  <c r="BI310" i="43"/>
  <c r="BJ310" i="43"/>
  <c r="BK310" i="43"/>
  <c r="BL310" i="43"/>
  <c r="BM310" i="43"/>
  <c r="BN310" i="43"/>
  <c r="BO310" i="43"/>
  <c r="BP310" i="43"/>
  <c r="BQ310" i="43"/>
  <c r="BR310" i="43"/>
  <c r="BS310" i="43"/>
  <c r="BT310" i="43"/>
  <c r="BU310" i="43"/>
  <c r="BV310" i="43"/>
  <c r="BW310" i="43"/>
  <c r="BX310" i="43"/>
  <c r="BY310" i="43"/>
  <c r="BZ310" i="43"/>
  <c r="CA310" i="43"/>
  <c r="CB310" i="43"/>
  <c r="CC310" i="43"/>
  <c r="CD310" i="43"/>
  <c r="CE310" i="43"/>
  <c r="CF310" i="43"/>
  <c r="CG310" i="43"/>
  <c r="CH310" i="43"/>
  <c r="CI310" i="43"/>
  <c r="CJ310" i="43"/>
  <c r="CK310" i="43"/>
  <c r="CL310" i="43"/>
  <c r="CM310" i="43"/>
  <c r="CN310" i="43"/>
  <c r="CO310" i="43"/>
  <c r="CP310" i="43"/>
  <c r="CQ310" i="43"/>
  <c r="CR310" i="43"/>
  <c r="CS310" i="43"/>
  <c r="CT310" i="43"/>
  <c r="CU310" i="43"/>
  <c r="CV310" i="43"/>
  <c r="CW310" i="43"/>
  <c r="CX310" i="43"/>
  <c r="CY310" i="43"/>
  <c r="CZ310" i="43"/>
  <c r="DA310" i="43"/>
  <c r="DB310" i="43"/>
  <c r="DC310" i="43"/>
  <c r="DD310" i="43"/>
  <c r="DE310" i="43"/>
  <c r="DF310" i="43"/>
  <c r="DG310" i="43"/>
  <c r="DH310" i="43"/>
  <c r="DI310" i="43"/>
  <c r="DJ310" i="43"/>
  <c r="DK310" i="43"/>
  <c r="DL310" i="43"/>
  <c r="DM310" i="43"/>
  <c r="DN310" i="43"/>
  <c r="DO310" i="43"/>
  <c r="DP310" i="43"/>
  <c r="DQ310" i="43"/>
  <c r="DR310" i="43"/>
  <c r="DS310" i="43"/>
  <c r="DT310" i="43"/>
  <c r="DU310" i="43"/>
  <c r="DV310" i="43"/>
  <c r="DW310" i="43"/>
  <c r="DX310" i="43"/>
  <c r="DY310" i="43"/>
  <c r="DZ310" i="43"/>
  <c r="EA310" i="43"/>
  <c r="EB310" i="43"/>
  <c r="EC310" i="43"/>
  <c r="ED310" i="43"/>
  <c r="EE310" i="43"/>
  <c r="EF310" i="43"/>
  <c r="EG310" i="43"/>
  <c r="EH310" i="43"/>
  <c r="EI310" i="43"/>
  <c r="EJ310" i="43"/>
  <c r="EK310" i="43"/>
  <c r="EL310" i="43"/>
  <c r="EM310" i="43"/>
  <c r="EN310" i="43"/>
  <c r="EO310" i="43"/>
  <c r="EP310" i="43"/>
  <c r="EQ310" i="43"/>
  <c r="ER310" i="43"/>
  <c r="ES310" i="43"/>
  <c r="ET310" i="43"/>
  <c r="EU310" i="43"/>
  <c r="EV310" i="43"/>
  <c r="EW310" i="43"/>
  <c r="EX310" i="43"/>
  <c r="EY310" i="43"/>
  <c r="EZ310" i="43"/>
  <c r="FA310" i="43"/>
  <c r="FB310" i="43"/>
  <c r="FC310" i="43"/>
  <c r="FD310" i="43"/>
  <c r="FE310" i="43"/>
  <c r="FF310" i="43"/>
  <c r="FG310" i="43"/>
  <c r="FH310" i="43"/>
  <c r="FI310" i="43"/>
  <c r="FJ310" i="43"/>
  <c r="FK310" i="43"/>
  <c r="FL310" i="43"/>
  <c r="FM310" i="43"/>
  <c r="FN310" i="43"/>
  <c r="FO310" i="43"/>
  <c r="FP310" i="43"/>
  <c r="FQ310" i="43"/>
  <c r="FR310" i="43"/>
  <c r="FS310" i="43"/>
  <c r="FT310" i="43"/>
  <c r="FU310" i="43"/>
  <c r="FV310" i="43"/>
  <c r="FW310" i="43"/>
  <c r="FX310" i="43"/>
  <c r="FY310" i="43"/>
  <c r="FZ310" i="43"/>
  <c r="GA310" i="43"/>
  <c r="GB310" i="43"/>
  <c r="GC310" i="43"/>
  <c r="GD310" i="43"/>
  <c r="GE310" i="43"/>
  <c r="GF310" i="43"/>
  <c r="GG310" i="43"/>
  <c r="GH310" i="43"/>
  <c r="GI310" i="43"/>
  <c r="GJ310" i="43"/>
  <c r="GK310" i="43"/>
  <c r="GL310" i="43"/>
  <c r="GM310" i="43"/>
  <c r="GN310" i="43"/>
  <c r="GO310" i="43"/>
  <c r="GP310" i="43"/>
  <c r="GQ310" i="43"/>
  <c r="GR310" i="43"/>
  <c r="GS310" i="43"/>
  <c r="GT310" i="43"/>
  <c r="GU310" i="43"/>
  <c r="GV310" i="43"/>
  <c r="GW310" i="43"/>
  <c r="GX310" i="43"/>
  <c r="GY310" i="43"/>
  <c r="GZ310" i="43"/>
  <c r="HA310" i="43"/>
  <c r="HB310" i="43"/>
  <c r="HC310" i="43"/>
  <c r="HD310" i="43"/>
  <c r="HE310" i="43"/>
  <c r="HF310" i="43"/>
  <c r="HG310" i="43"/>
  <c r="HH310" i="43"/>
  <c r="HI310" i="43"/>
  <c r="HJ310" i="43"/>
  <c r="HK310" i="43"/>
  <c r="HL310" i="43"/>
  <c r="HM310" i="43"/>
  <c r="HN310" i="43"/>
  <c r="HO310" i="43"/>
  <c r="HP310" i="43"/>
  <c r="HQ310" i="43"/>
  <c r="HR310" i="43"/>
  <c r="HS310" i="43"/>
  <c r="HT310" i="43"/>
  <c r="HU310" i="43"/>
  <c r="HV310" i="43"/>
  <c r="HW310" i="43"/>
  <c r="HX310" i="43"/>
  <c r="HY310" i="43"/>
  <c r="HZ310" i="43"/>
  <c r="IA310" i="43"/>
  <c r="IB310" i="43"/>
  <c r="IC310" i="43"/>
  <c r="ID310" i="43"/>
  <c r="IE310" i="43"/>
  <c r="IF310" i="43"/>
  <c r="IG310" i="43"/>
  <c r="IH310" i="43"/>
  <c r="II310" i="43"/>
  <c r="IJ310" i="43"/>
  <c r="IK310" i="43"/>
  <c r="IL310" i="43"/>
  <c r="IM310" i="43"/>
  <c r="IN310" i="43"/>
  <c r="IO310" i="43"/>
  <c r="IP310" i="43"/>
  <c r="IQ310" i="43"/>
  <c r="IR310" i="43"/>
  <c r="IS310" i="43"/>
  <c r="IT310" i="43"/>
  <c r="IU310" i="43"/>
  <c r="IV310" i="43"/>
  <c r="A309" i="43"/>
  <c r="B309" i="43"/>
  <c r="C309" i="43"/>
  <c r="D309" i="43"/>
  <c r="E309" i="43"/>
  <c r="F309" i="43"/>
  <c r="G309" i="43"/>
  <c r="H309" i="43"/>
  <c r="I309" i="43"/>
  <c r="J309" i="43"/>
  <c r="K309" i="43"/>
  <c r="L309" i="43"/>
  <c r="M309" i="43"/>
  <c r="N309" i="43"/>
  <c r="O309" i="43"/>
  <c r="P309" i="43"/>
  <c r="Q309" i="43"/>
  <c r="R309" i="43"/>
  <c r="S309" i="43"/>
  <c r="T309" i="43"/>
  <c r="U309" i="43"/>
  <c r="V309" i="43"/>
  <c r="W309" i="43"/>
  <c r="X309" i="43"/>
  <c r="Y309" i="43"/>
  <c r="Z309" i="43"/>
  <c r="AA309" i="43"/>
  <c r="AB309" i="43"/>
  <c r="AC309" i="43"/>
  <c r="AD309" i="43"/>
  <c r="AE309" i="43"/>
  <c r="AF309" i="43"/>
  <c r="AG309" i="43"/>
  <c r="AH309" i="43"/>
  <c r="AI309" i="43"/>
  <c r="AJ309" i="43"/>
  <c r="AK309" i="43"/>
  <c r="AL309" i="43"/>
  <c r="AM309" i="43"/>
  <c r="AN309" i="43"/>
  <c r="AO309" i="43"/>
  <c r="AP309" i="43"/>
  <c r="AQ309" i="43"/>
  <c r="AR309" i="43"/>
  <c r="AS309" i="43"/>
  <c r="AT309" i="43"/>
  <c r="AU309" i="43"/>
  <c r="AV309" i="43"/>
  <c r="AW309" i="43"/>
  <c r="AX309" i="43"/>
  <c r="AY309" i="43"/>
  <c r="AZ309" i="43"/>
  <c r="BA309" i="43"/>
  <c r="BB309" i="43"/>
  <c r="BC309" i="43"/>
  <c r="BD309" i="43"/>
  <c r="BE309" i="43"/>
  <c r="BF309" i="43"/>
  <c r="BG309" i="43"/>
  <c r="BH309" i="43"/>
  <c r="BI309" i="43"/>
  <c r="BJ309" i="43"/>
  <c r="BK309" i="43"/>
  <c r="BL309" i="43"/>
  <c r="BM309" i="43"/>
  <c r="BN309" i="43"/>
  <c r="BO309" i="43"/>
  <c r="BP309" i="43"/>
  <c r="BQ309" i="43"/>
  <c r="BR309" i="43"/>
  <c r="BS309" i="43"/>
  <c r="BT309" i="43"/>
  <c r="BU309" i="43"/>
  <c r="BV309" i="43"/>
  <c r="BW309" i="43"/>
  <c r="BX309" i="43"/>
  <c r="BY309" i="43"/>
  <c r="BZ309" i="43"/>
  <c r="CA309" i="43"/>
  <c r="CB309" i="43"/>
  <c r="CC309" i="43"/>
  <c r="CD309" i="43"/>
  <c r="CE309" i="43"/>
  <c r="CF309" i="43"/>
  <c r="CG309" i="43"/>
  <c r="CH309" i="43"/>
  <c r="CI309" i="43"/>
  <c r="CJ309" i="43"/>
  <c r="CK309" i="43"/>
  <c r="CL309" i="43"/>
  <c r="CM309" i="43"/>
  <c r="CN309" i="43"/>
  <c r="CO309" i="43"/>
  <c r="CP309" i="43"/>
  <c r="CQ309" i="43"/>
  <c r="CR309" i="43"/>
  <c r="CS309" i="43"/>
  <c r="CT309" i="43"/>
  <c r="CU309" i="43"/>
  <c r="CV309" i="43"/>
  <c r="CW309" i="43"/>
  <c r="CX309" i="43"/>
  <c r="CY309" i="43"/>
  <c r="CZ309" i="43"/>
  <c r="DA309" i="43"/>
  <c r="DB309" i="43"/>
  <c r="DC309" i="43"/>
  <c r="DD309" i="43"/>
  <c r="DE309" i="43"/>
  <c r="DF309" i="43"/>
  <c r="DG309" i="43"/>
  <c r="DH309" i="43"/>
  <c r="DI309" i="43"/>
  <c r="DJ309" i="43"/>
  <c r="DK309" i="43"/>
  <c r="DL309" i="43"/>
  <c r="DM309" i="43"/>
  <c r="DN309" i="43"/>
  <c r="DO309" i="43"/>
  <c r="DP309" i="43"/>
  <c r="DQ309" i="43"/>
  <c r="DR309" i="43"/>
  <c r="DS309" i="43"/>
  <c r="DT309" i="43"/>
  <c r="DU309" i="43"/>
  <c r="DV309" i="43"/>
  <c r="DW309" i="43"/>
  <c r="DX309" i="43"/>
  <c r="DY309" i="43"/>
  <c r="DZ309" i="43"/>
  <c r="EA309" i="43"/>
  <c r="EB309" i="43"/>
  <c r="EC309" i="43"/>
  <c r="ED309" i="43"/>
  <c r="EE309" i="43"/>
  <c r="EF309" i="43"/>
  <c r="EG309" i="43"/>
  <c r="EH309" i="43"/>
  <c r="EI309" i="43"/>
  <c r="EJ309" i="43"/>
  <c r="EK309" i="43"/>
  <c r="EL309" i="43"/>
  <c r="EM309" i="43"/>
  <c r="EN309" i="43"/>
  <c r="EO309" i="43"/>
  <c r="EP309" i="43"/>
  <c r="EQ309" i="43"/>
  <c r="ER309" i="43"/>
  <c r="ES309" i="43"/>
  <c r="ET309" i="43"/>
  <c r="EU309" i="43"/>
  <c r="EV309" i="43"/>
  <c r="EW309" i="43"/>
  <c r="EX309" i="43"/>
  <c r="EY309" i="43"/>
  <c r="EZ309" i="43"/>
  <c r="FA309" i="43"/>
  <c r="FB309" i="43"/>
  <c r="FC309" i="43"/>
  <c r="FD309" i="43"/>
  <c r="FE309" i="43"/>
  <c r="FF309" i="43"/>
  <c r="FG309" i="43"/>
  <c r="FH309" i="43"/>
  <c r="FI309" i="43"/>
  <c r="FJ309" i="43"/>
  <c r="FK309" i="43"/>
  <c r="FL309" i="43"/>
  <c r="FM309" i="43"/>
  <c r="FN309" i="43"/>
  <c r="FO309" i="43"/>
  <c r="FP309" i="43"/>
  <c r="FQ309" i="43"/>
  <c r="FR309" i="43"/>
  <c r="FS309" i="43"/>
  <c r="FT309" i="43"/>
  <c r="FU309" i="43"/>
  <c r="FV309" i="43"/>
  <c r="FW309" i="43"/>
  <c r="FX309" i="43"/>
  <c r="FY309" i="43"/>
  <c r="FZ309" i="43"/>
  <c r="GA309" i="43"/>
  <c r="GB309" i="43"/>
  <c r="GC309" i="43"/>
  <c r="GD309" i="43"/>
  <c r="GE309" i="43"/>
  <c r="GF309" i="43"/>
  <c r="GG309" i="43"/>
  <c r="GH309" i="43"/>
  <c r="GI309" i="43"/>
  <c r="GJ309" i="43"/>
  <c r="GK309" i="43"/>
  <c r="GL309" i="43"/>
  <c r="GM309" i="43"/>
  <c r="GN309" i="43"/>
  <c r="GO309" i="43"/>
  <c r="GP309" i="43"/>
  <c r="GQ309" i="43"/>
  <c r="GR309" i="43"/>
  <c r="GS309" i="43"/>
  <c r="GT309" i="43"/>
  <c r="GU309" i="43"/>
  <c r="GV309" i="43"/>
  <c r="GW309" i="43"/>
  <c r="GX309" i="43"/>
  <c r="GY309" i="43"/>
  <c r="GZ309" i="43"/>
  <c r="HA309" i="43"/>
  <c r="HB309" i="43"/>
  <c r="HC309" i="43"/>
  <c r="HD309" i="43"/>
  <c r="HE309" i="43"/>
  <c r="HF309" i="43"/>
  <c r="HG309" i="43"/>
  <c r="HH309" i="43"/>
  <c r="HI309" i="43"/>
  <c r="HJ309" i="43"/>
  <c r="HK309" i="43"/>
  <c r="HL309" i="43"/>
  <c r="HM309" i="43"/>
  <c r="HN309" i="43"/>
  <c r="HO309" i="43"/>
  <c r="HP309" i="43"/>
  <c r="HQ309" i="43"/>
  <c r="HR309" i="43"/>
  <c r="HS309" i="43"/>
  <c r="HT309" i="43"/>
  <c r="HU309" i="43"/>
  <c r="HV309" i="43"/>
  <c r="HW309" i="43"/>
  <c r="HX309" i="43"/>
  <c r="HY309" i="43"/>
  <c r="HZ309" i="43"/>
  <c r="IA309" i="43"/>
  <c r="IB309" i="43"/>
  <c r="IC309" i="43"/>
  <c r="ID309" i="43"/>
  <c r="IE309" i="43"/>
  <c r="IF309" i="43"/>
  <c r="IG309" i="43"/>
  <c r="IH309" i="43"/>
  <c r="II309" i="43"/>
  <c r="IJ309" i="43"/>
  <c r="IK309" i="43"/>
  <c r="IL309" i="43"/>
  <c r="IM309" i="43"/>
  <c r="IN309" i="43"/>
  <c r="IO309" i="43"/>
  <c r="IP309" i="43"/>
  <c r="IQ309" i="43"/>
  <c r="IR309" i="43"/>
  <c r="IS309" i="43"/>
  <c r="IT309" i="43"/>
  <c r="IU309" i="43"/>
  <c r="IV309" i="43"/>
  <c r="A308" i="43"/>
  <c r="B308" i="43"/>
  <c r="C308" i="43"/>
  <c r="D308" i="43"/>
  <c r="E308" i="43"/>
  <c r="F308" i="43"/>
  <c r="G308" i="43"/>
  <c r="H308" i="43"/>
  <c r="I308" i="43"/>
  <c r="J308" i="43"/>
  <c r="K308" i="43"/>
  <c r="L308" i="43"/>
  <c r="M308" i="43"/>
  <c r="N308" i="43"/>
  <c r="O308" i="43"/>
  <c r="P308" i="43"/>
  <c r="Q308" i="43"/>
  <c r="R308" i="43"/>
  <c r="S308" i="43"/>
  <c r="T308" i="43"/>
  <c r="U308" i="43"/>
  <c r="V308" i="43"/>
  <c r="W308" i="43"/>
  <c r="X308" i="43"/>
  <c r="Y308" i="43"/>
  <c r="Z308" i="43"/>
  <c r="AA308" i="43"/>
  <c r="AB308" i="43"/>
  <c r="AC308" i="43"/>
  <c r="AD308" i="43"/>
  <c r="AE308" i="43"/>
  <c r="AF308" i="43"/>
  <c r="AG308" i="43"/>
  <c r="AH308" i="43"/>
  <c r="AI308" i="43"/>
  <c r="AJ308" i="43"/>
  <c r="AK308" i="43"/>
  <c r="AL308" i="43"/>
  <c r="AM308" i="43"/>
  <c r="AN308" i="43"/>
  <c r="AO308" i="43"/>
  <c r="AP308" i="43"/>
  <c r="AQ308" i="43"/>
  <c r="AR308" i="43"/>
  <c r="AS308" i="43"/>
  <c r="AT308" i="43"/>
  <c r="AU308" i="43"/>
  <c r="AV308" i="43"/>
  <c r="AW308" i="43"/>
  <c r="AX308" i="43"/>
  <c r="AY308" i="43"/>
  <c r="AZ308" i="43"/>
  <c r="BA308" i="43"/>
  <c r="BB308" i="43"/>
  <c r="BC308" i="43"/>
  <c r="BD308" i="43"/>
  <c r="BE308" i="43"/>
  <c r="BF308" i="43"/>
  <c r="BG308" i="43"/>
  <c r="BH308" i="43"/>
  <c r="BI308" i="43"/>
  <c r="BJ308" i="43"/>
  <c r="BK308" i="43"/>
  <c r="BL308" i="43"/>
  <c r="BM308" i="43"/>
  <c r="BN308" i="43"/>
  <c r="BO308" i="43"/>
  <c r="BP308" i="43"/>
  <c r="BQ308" i="43"/>
  <c r="BR308" i="43"/>
  <c r="BS308" i="43"/>
  <c r="BT308" i="43"/>
  <c r="BU308" i="43"/>
  <c r="BV308" i="43"/>
  <c r="BW308" i="43"/>
  <c r="BX308" i="43"/>
  <c r="BY308" i="43"/>
  <c r="BZ308" i="43"/>
  <c r="CA308" i="43"/>
  <c r="CB308" i="43"/>
  <c r="CC308" i="43"/>
  <c r="CD308" i="43"/>
  <c r="CE308" i="43"/>
  <c r="CF308" i="43"/>
  <c r="CG308" i="43"/>
  <c r="CH308" i="43"/>
  <c r="CI308" i="43"/>
  <c r="CJ308" i="43"/>
  <c r="CK308" i="43"/>
  <c r="CL308" i="43"/>
  <c r="CM308" i="43"/>
  <c r="CN308" i="43"/>
  <c r="CO308" i="43"/>
  <c r="CP308" i="43"/>
  <c r="CQ308" i="43"/>
  <c r="CR308" i="43"/>
  <c r="CS308" i="43"/>
  <c r="CT308" i="43"/>
  <c r="CU308" i="43"/>
  <c r="CV308" i="43"/>
  <c r="CW308" i="43"/>
  <c r="CX308" i="43"/>
  <c r="CY308" i="43"/>
  <c r="CZ308" i="43"/>
  <c r="DA308" i="43"/>
  <c r="DB308" i="43"/>
  <c r="DC308" i="43"/>
  <c r="DD308" i="43"/>
  <c r="DE308" i="43"/>
  <c r="DF308" i="43"/>
  <c r="DG308" i="43"/>
  <c r="DH308" i="43"/>
  <c r="DI308" i="43"/>
  <c r="DJ308" i="43"/>
  <c r="DK308" i="43"/>
  <c r="DL308" i="43"/>
  <c r="DM308" i="43"/>
  <c r="DN308" i="43"/>
  <c r="DO308" i="43"/>
  <c r="DP308" i="43"/>
  <c r="DQ308" i="43"/>
  <c r="DR308" i="43"/>
  <c r="DS308" i="43"/>
  <c r="DT308" i="43"/>
  <c r="DU308" i="43"/>
  <c r="DV308" i="43"/>
  <c r="DW308" i="43"/>
  <c r="DX308" i="43"/>
  <c r="DY308" i="43"/>
  <c r="DZ308" i="43"/>
  <c r="EA308" i="43"/>
  <c r="EB308" i="43"/>
  <c r="EC308" i="43"/>
  <c r="ED308" i="43"/>
  <c r="EE308" i="43"/>
  <c r="EF308" i="43"/>
  <c r="EG308" i="43"/>
  <c r="EH308" i="43"/>
  <c r="EI308" i="43"/>
  <c r="EJ308" i="43"/>
  <c r="EK308" i="43"/>
  <c r="EL308" i="43"/>
  <c r="EM308" i="43"/>
  <c r="EN308" i="43"/>
  <c r="EO308" i="43"/>
  <c r="EP308" i="43"/>
  <c r="EQ308" i="43"/>
  <c r="ER308" i="43"/>
  <c r="ES308" i="43"/>
  <c r="ET308" i="43"/>
  <c r="EU308" i="43"/>
  <c r="EV308" i="43"/>
  <c r="EW308" i="43"/>
  <c r="EX308" i="43"/>
  <c r="EY308" i="43"/>
  <c r="EZ308" i="43"/>
  <c r="FA308" i="43"/>
  <c r="FB308" i="43"/>
  <c r="FC308" i="43"/>
  <c r="FD308" i="43"/>
  <c r="FE308" i="43"/>
  <c r="FF308" i="43"/>
  <c r="FG308" i="43"/>
  <c r="FH308" i="43"/>
  <c r="FI308" i="43"/>
  <c r="FJ308" i="43"/>
  <c r="FK308" i="43"/>
  <c r="FL308" i="43"/>
  <c r="FM308" i="43"/>
  <c r="FN308" i="43"/>
  <c r="FO308" i="43"/>
  <c r="FP308" i="43"/>
  <c r="FQ308" i="43"/>
  <c r="FR308" i="43"/>
  <c r="FS308" i="43"/>
  <c r="FT308" i="43"/>
  <c r="FU308" i="43"/>
  <c r="FV308" i="43"/>
  <c r="FW308" i="43"/>
  <c r="FX308" i="43"/>
  <c r="FY308" i="43"/>
  <c r="FZ308" i="43"/>
  <c r="GA308" i="43"/>
  <c r="GB308" i="43"/>
  <c r="GC308" i="43"/>
  <c r="GD308" i="43"/>
  <c r="GE308" i="43"/>
  <c r="GF308" i="43"/>
  <c r="GG308" i="43"/>
  <c r="GH308" i="43"/>
  <c r="GI308" i="43"/>
  <c r="GJ308" i="43"/>
  <c r="GK308" i="43"/>
  <c r="GL308" i="43"/>
  <c r="GM308" i="43"/>
  <c r="GN308" i="43"/>
  <c r="GO308" i="43"/>
  <c r="GP308" i="43"/>
  <c r="GQ308" i="43"/>
  <c r="GR308" i="43"/>
  <c r="GS308" i="43"/>
  <c r="GT308" i="43"/>
  <c r="GU308" i="43"/>
  <c r="GV308" i="43"/>
  <c r="GW308" i="43"/>
  <c r="GX308" i="43"/>
  <c r="GY308" i="43"/>
  <c r="GZ308" i="43"/>
  <c r="HA308" i="43"/>
  <c r="HB308" i="43"/>
  <c r="HC308" i="43"/>
  <c r="HD308" i="43"/>
  <c r="HE308" i="43"/>
  <c r="HF308" i="43"/>
  <c r="HG308" i="43"/>
  <c r="HH308" i="43"/>
  <c r="HI308" i="43"/>
  <c r="HJ308" i="43"/>
  <c r="HK308" i="43"/>
  <c r="HL308" i="43"/>
  <c r="HM308" i="43"/>
  <c r="HN308" i="43"/>
  <c r="HO308" i="43"/>
  <c r="HP308" i="43"/>
  <c r="HQ308" i="43"/>
  <c r="HR308" i="43"/>
  <c r="HS308" i="43"/>
  <c r="HT308" i="43"/>
  <c r="HU308" i="43"/>
  <c r="HV308" i="43"/>
  <c r="HW308" i="43"/>
  <c r="HX308" i="43"/>
  <c r="HY308" i="43"/>
  <c r="HZ308" i="43"/>
  <c r="IA308" i="43"/>
  <c r="IB308" i="43"/>
  <c r="IC308" i="43"/>
  <c r="ID308" i="43"/>
  <c r="IE308" i="43"/>
  <c r="IF308" i="43"/>
  <c r="IG308" i="43"/>
  <c r="IH308" i="43"/>
  <c r="II308" i="43"/>
  <c r="IJ308" i="43"/>
  <c r="IK308" i="43"/>
  <c r="IL308" i="43"/>
  <c r="IM308" i="43"/>
  <c r="IN308" i="43"/>
  <c r="IO308" i="43"/>
  <c r="IP308" i="43"/>
  <c r="IQ308" i="43"/>
  <c r="IR308" i="43"/>
  <c r="IS308" i="43"/>
  <c r="IT308" i="43"/>
  <c r="IU308" i="43"/>
  <c r="IV308" i="43"/>
  <c r="A307" i="43"/>
  <c r="B307" i="43"/>
  <c r="C307" i="43"/>
  <c r="D307" i="43"/>
  <c r="E307" i="43"/>
  <c r="F307" i="43"/>
  <c r="G307" i="43"/>
  <c r="H307" i="43"/>
  <c r="I307" i="43"/>
  <c r="J307" i="43"/>
  <c r="K307" i="43"/>
  <c r="L307" i="43"/>
  <c r="M307" i="43"/>
  <c r="N307" i="43"/>
  <c r="O307" i="43"/>
  <c r="P307" i="43"/>
  <c r="Q307" i="43"/>
  <c r="R307" i="43"/>
  <c r="S307" i="43"/>
  <c r="T307" i="43"/>
  <c r="U307" i="43"/>
  <c r="V307" i="43"/>
  <c r="W307" i="43"/>
  <c r="X307" i="43"/>
  <c r="Y307" i="43"/>
  <c r="Z307" i="43"/>
  <c r="AA307" i="43"/>
  <c r="AB307" i="43"/>
  <c r="AC307" i="43"/>
  <c r="AD307" i="43"/>
  <c r="AE307" i="43"/>
  <c r="AF307" i="43"/>
  <c r="AG307" i="43"/>
  <c r="AH307" i="43"/>
  <c r="AI307" i="43"/>
  <c r="AJ307" i="43"/>
  <c r="AK307" i="43"/>
  <c r="AL307" i="43"/>
  <c r="AM307" i="43"/>
  <c r="AN307" i="43"/>
  <c r="AO307" i="43"/>
  <c r="AP307" i="43"/>
  <c r="AQ307" i="43"/>
  <c r="AR307" i="43"/>
  <c r="AS307" i="43"/>
  <c r="AT307" i="43"/>
  <c r="AU307" i="43"/>
  <c r="AV307" i="43"/>
  <c r="AW307" i="43"/>
  <c r="AX307" i="43"/>
  <c r="AY307" i="43"/>
  <c r="AZ307" i="43"/>
  <c r="BA307" i="43"/>
  <c r="BB307" i="43"/>
  <c r="BC307" i="43"/>
  <c r="BD307" i="43"/>
  <c r="BE307" i="43"/>
  <c r="BF307" i="43"/>
  <c r="BG307" i="43"/>
  <c r="BH307" i="43"/>
  <c r="BI307" i="43"/>
  <c r="BJ307" i="43"/>
  <c r="BK307" i="43"/>
  <c r="BL307" i="43"/>
  <c r="BM307" i="43"/>
  <c r="BN307" i="43"/>
  <c r="BO307" i="43"/>
  <c r="BP307" i="43"/>
  <c r="BQ307" i="43"/>
  <c r="BR307" i="43"/>
  <c r="BS307" i="43"/>
  <c r="BT307" i="43"/>
  <c r="BU307" i="43"/>
  <c r="BV307" i="43"/>
  <c r="BW307" i="43"/>
  <c r="BX307" i="43"/>
  <c r="BY307" i="43"/>
  <c r="BZ307" i="43"/>
  <c r="CA307" i="43"/>
  <c r="CB307" i="43"/>
  <c r="CC307" i="43"/>
  <c r="CD307" i="43"/>
  <c r="CE307" i="43"/>
  <c r="CF307" i="43"/>
  <c r="CG307" i="43"/>
  <c r="CH307" i="43"/>
  <c r="CI307" i="43"/>
  <c r="CJ307" i="43"/>
  <c r="CK307" i="43"/>
  <c r="CL307" i="43"/>
  <c r="CM307" i="43"/>
  <c r="CN307" i="43"/>
  <c r="CO307" i="43"/>
  <c r="CP307" i="43"/>
  <c r="CQ307" i="43"/>
  <c r="CR307" i="43"/>
  <c r="CS307" i="43"/>
  <c r="CT307" i="43"/>
  <c r="CU307" i="43"/>
  <c r="CV307" i="43"/>
  <c r="CW307" i="43"/>
  <c r="CX307" i="43"/>
  <c r="CY307" i="43"/>
  <c r="CZ307" i="43"/>
  <c r="DA307" i="43"/>
  <c r="DB307" i="43"/>
  <c r="DC307" i="43"/>
  <c r="DD307" i="43"/>
  <c r="DE307" i="43"/>
  <c r="DF307" i="43"/>
  <c r="DG307" i="43"/>
  <c r="DH307" i="43"/>
  <c r="DI307" i="43"/>
  <c r="DJ307" i="43"/>
  <c r="DK307" i="43"/>
  <c r="DL307" i="43"/>
  <c r="DM307" i="43"/>
  <c r="DN307" i="43"/>
  <c r="DO307" i="43"/>
  <c r="DP307" i="43"/>
  <c r="DQ307" i="43"/>
  <c r="DR307" i="43"/>
  <c r="DS307" i="43"/>
  <c r="DT307" i="43"/>
  <c r="DU307" i="43"/>
  <c r="DV307" i="43"/>
  <c r="DW307" i="43"/>
  <c r="DX307" i="43"/>
  <c r="DY307" i="43"/>
  <c r="DZ307" i="43"/>
  <c r="EA307" i="43"/>
  <c r="EB307" i="43"/>
  <c r="EC307" i="43"/>
  <c r="ED307" i="43"/>
  <c r="EE307" i="43"/>
  <c r="EF307" i="43"/>
  <c r="EG307" i="43"/>
  <c r="EH307" i="43"/>
  <c r="EI307" i="43"/>
  <c r="EJ307" i="43"/>
  <c r="EK307" i="43"/>
  <c r="EL307" i="43"/>
  <c r="EM307" i="43"/>
  <c r="EN307" i="43"/>
  <c r="EO307" i="43"/>
  <c r="EP307" i="43"/>
  <c r="EQ307" i="43"/>
  <c r="ER307" i="43"/>
  <c r="ES307" i="43"/>
  <c r="ET307" i="43"/>
  <c r="EU307" i="43"/>
  <c r="EV307" i="43"/>
  <c r="EW307" i="43"/>
  <c r="EX307" i="43"/>
  <c r="EY307" i="43"/>
  <c r="EZ307" i="43"/>
  <c r="FA307" i="43"/>
  <c r="FB307" i="43"/>
  <c r="FC307" i="43"/>
  <c r="FD307" i="43"/>
  <c r="FE307" i="43"/>
  <c r="FF307" i="43"/>
  <c r="FG307" i="43"/>
  <c r="FH307" i="43"/>
  <c r="FI307" i="43"/>
  <c r="FJ307" i="43"/>
  <c r="FK307" i="43"/>
  <c r="FL307" i="43"/>
  <c r="FM307" i="43"/>
  <c r="FN307" i="43"/>
  <c r="FO307" i="43"/>
  <c r="FP307" i="43"/>
  <c r="FQ307" i="43"/>
  <c r="FR307" i="43"/>
  <c r="FS307" i="43"/>
  <c r="FT307" i="43"/>
  <c r="FU307" i="43"/>
  <c r="FV307" i="43"/>
  <c r="FW307" i="43"/>
  <c r="FX307" i="43"/>
  <c r="FY307" i="43"/>
  <c r="FZ307" i="43"/>
  <c r="GA307" i="43"/>
  <c r="GB307" i="43"/>
  <c r="GC307" i="43"/>
  <c r="GD307" i="43"/>
  <c r="GE307" i="43"/>
  <c r="GF307" i="43"/>
  <c r="GG307" i="43"/>
  <c r="GH307" i="43"/>
  <c r="GI307" i="43"/>
  <c r="GJ307" i="43"/>
  <c r="GK307" i="43"/>
  <c r="GL307" i="43"/>
  <c r="GM307" i="43"/>
  <c r="GN307" i="43"/>
  <c r="GO307" i="43"/>
  <c r="GP307" i="43"/>
  <c r="GQ307" i="43"/>
  <c r="GR307" i="43"/>
  <c r="GS307" i="43"/>
  <c r="GT307" i="43"/>
  <c r="GU307" i="43"/>
  <c r="GV307" i="43"/>
  <c r="GW307" i="43"/>
  <c r="GX307" i="43"/>
  <c r="GY307" i="43"/>
  <c r="GZ307" i="43"/>
  <c r="HA307" i="43"/>
  <c r="HB307" i="43"/>
  <c r="HC307" i="43"/>
  <c r="HD307" i="43"/>
  <c r="HE307" i="43"/>
  <c r="HF307" i="43"/>
  <c r="HG307" i="43"/>
  <c r="HH307" i="43"/>
  <c r="HI307" i="43"/>
  <c r="HJ307" i="43"/>
  <c r="HK307" i="43"/>
  <c r="HL307" i="43"/>
  <c r="HM307" i="43"/>
  <c r="HN307" i="43"/>
  <c r="HO307" i="43"/>
  <c r="HP307" i="43"/>
  <c r="HQ307" i="43"/>
  <c r="HR307" i="43"/>
  <c r="HS307" i="43"/>
  <c r="HT307" i="43"/>
  <c r="HU307" i="43"/>
  <c r="HV307" i="43"/>
  <c r="HW307" i="43"/>
  <c r="HX307" i="43"/>
  <c r="HY307" i="43"/>
  <c r="HZ307" i="43"/>
  <c r="IA307" i="43"/>
  <c r="IB307" i="43"/>
  <c r="IC307" i="43"/>
  <c r="ID307" i="43"/>
  <c r="IE307" i="43"/>
  <c r="IF307" i="43"/>
  <c r="IG307" i="43"/>
  <c r="IH307" i="43"/>
  <c r="II307" i="43"/>
  <c r="IJ307" i="43"/>
  <c r="IK307" i="43"/>
  <c r="IL307" i="43"/>
  <c r="IM307" i="43"/>
  <c r="IN307" i="43"/>
  <c r="IO307" i="43"/>
  <c r="IP307" i="43"/>
  <c r="IQ307" i="43"/>
  <c r="IR307" i="43"/>
  <c r="IS307" i="43"/>
  <c r="IT307" i="43"/>
  <c r="IU307" i="43"/>
  <c r="IV307" i="43"/>
  <c r="A306" i="43"/>
  <c r="B306" i="43"/>
  <c r="C306" i="43"/>
  <c r="D306" i="43"/>
  <c r="E306" i="43"/>
  <c r="F306" i="43"/>
  <c r="G306" i="43"/>
  <c r="H306" i="43"/>
  <c r="I306" i="43"/>
  <c r="J306" i="43"/>
  <c r="K306" i="43"/>
  <c r="L306" i="43"/>
  <c r="M306" i="43"/>
  <c r="N306" i="43"/>
  <c r="O306" i="43"/>
  <c r="P306" i="43"/>
  <c r="Q306" i="43"/>
  <c r="R306" i="43"/>
  <c r="S306" i="43"/>
  <c r="T306" i="43"/>
  <c r="U306" i="43"/>
  <c r="V306" i="43"/>
  <c r="W306" i="43"/>
  <c r="X306" i="43"/>
  <c r="Y306" i="43"/>
  <c r="Z306" i="43"/>
  <c r="AA306" i="43"/>
  <c r="AB306" i="43"/>
  <c r="AC306" i="43"/>
  <c r="AD306" i="43"/>
  <c r="AE306" i="43"/>
  <c r="AF306" i="43"/>
  <c r="AG306" i="43"/>
  <c r="AH306" i="43"/>
  <c r="AI306" i="43"/>
  <c r="AJ306" i="43"/>
  <c r="AK306" i="43"/>
  <c r="AL306" i="43"/>
  <c r="AM306" i="43"/>
  <c r="AN306" i="43"/>
  <c r="AO306" i="43"/>
  <c r="AP306" i="43"/>
  <c r="AQ306" i="43"/>
  <c r="AR306" i="43"/>
  <c r="AS306" i="43"/>
  <c r="AT306" i="43"/>
  <c r="AU306" i="43"/>
  <c r="AV306" i="43"/>
  <c r="AW306" i="43"/>
  <c r="AX306" i="43"/>
  <c r="AY306" i="43"/>
  <c r="AZ306" i="43"/>
  <c r="BA306" i="43"/>
  <c r="BB306" i="43"/>
  <c r="BC306" i="43"/>
  <c r="BD306" i="43"/>
  <c r="BE306" i="43"/>
  <c r="BF306" i="43"/>
  <c r="BG306" i="43"/>
  <c r="BH306" i="43"/>
  <c r="BI306" i="43"/>
  <c r="BJ306" i="43"/>
  <c r="BK306" i="43"/>
  <c r="BL306" i="43"/>
  <c r="BM306" i="43"/>
  <c r="BN306" i="43"/>
  <c r="BO306" i="43"/>
  <c r="BP306" i="43"/>
  <c r="BQ306" i="43"/>
  <c r="BR306" i="43"/>
  <c r="BS306" i="43"/>
  <c r="BT306" i="43"/>
  <c r="BU306" i="43"/>
  <c r="BV306" i="43"/>
  <c r="BW306" i="43"/>
  <c r="BX306" i="43"/>
  <c r="BY306" i="43"/>
  <c r="BZ306" i="43"/>
  <c r="CA306" i="43"/>
  <c r="CB306" i="43"/>
  <c r="CC306" i="43"/>
  <c r="CD306" i="43"/>
  <c r="CE306" i="43"/>
  <c r="CF306" i="43"/>
  <c r="CG306" i="43"/>
  <c r="CH306" i="43"/>
  <c r="CI306" i="43"/>
  <c r="CJ306" i="43"/>
  <c r="CK306" i="43"/>
  <c r="CL306" i="43"/>
  <c r="CM306" i="43"/>
  <c r="CN306" i="43"/>
  <c r="CO306" i="43"/>
  <c r="CP306" i="43"/>
  <c r="CQ306" i="43"/>
  <c r="CR306" i="43"/>
  <c r="CS306" i="43"/>
  <c r="CT306" i="43"/>
  <c r="CU306" i="43"/>
  <c r="CV306" i="43"/>
  <c r="CW306" i="43"/>
  <c r="CX306" i="43"/>
  <c r="CY306" i="43"/>
  <c r="CZ306" i="43"/>
  <c r="DA306" i="43"/>
  <c r="DB306" i="43"/>
  <c r="DC306" i="43"/>
  <c r="DD306" i="43"/>
  <c r="DE306" i="43"/>
  <c r="DF306" i="43"/>
  <c r="DG306" i="43"/>
  <c r="DH306" i="43"/>
  <c r="DI306" i="43"/>
  <c r="DJ306" i="43"/>
  <c r="DK306" i="43"/>
  <c r="DL306" i="43"/>
  <c r="DM306" i="43"/>
  <c r="DN306" i="43"/>
  <c r="DO306" i="43"/>
  <c r="DP306" i="43"/>
  <c r="DQ306" i="43"/>
  <c r="DR306" i="43"/>
  <c r="DS306" i="43"/>
  <c r="DT306" i="43"/>
  <c r="DU306" i="43"/>
  <c r="DV306" i="43"/>
  <c r="DW306" i="43"/>
  <c r="DX306" i="43"/>
  <c r="DY306" i="43"/>
  <c r="DZ306" i="43"/>
  <c r="EA306" i="43"/>
  <c r="EB306" i="43"/>
  <c r="EC306" i="43"/>
  <c r="ED306" i="43"/>
  <c r="EE306" i="43"/>
  <c r="EF306" i="43"/>
  <c r="EG306" i="43"/>
  <c r="EH306" i="43"/>
  <c r="EI306" i="43"/>
  <c r="EJ306" i="43"/>
  <c r="EK306" i="43"/>
  <c r="EL306" i="43"/>
  <c r="EM306" i="43"/>
  <c r="EN306" i="43"/>
  <c r="EO306" i="43"/>
  <c r="EP306" i="43"/>
  <c r="EQ306" i="43"/>
  <c r="ER306" i="43"/>
  <c r="ES306" i="43"/>
  <c r="ET306" i="43"/>
  <c r="EU306" i="43"/>
  <c r="EV306" i="43"/>
  <c r="EW306" i="43"/>
  <c r="EX306" i="43"/>
  <c r="EY306" i="43"/>
  <c r="EZ306" i="43"/>
  <c r="FA306" i="43"/>
  <c r="FB306" i="43"/>
  <c r="FC306" i="43"/>
  <c r="FD306" i="43"/>
  <c r="FE306" i="43"/>
  <c r="FF306" i="43"/>
  <c r="FG306" i="43"/>
  <c r="FH306" i="43"/>
  <c r="FI306" i="43"/>
  <c r="FJ306" i="43"/>
  <c r="FK306" i="43"/>
  <c r="FL306" i="43"/>
  <c r="FM306" i="43"/>
  <c r="FN306" i="43"/>
  <c r="FO306" i="43"/>
  <c r="FP306" i="43"/>
  <c r="FQ306" i="43"/>
  <c r="FR306" i="43"/>
  <c r="FS306" i="43"/>
  <c r="FT306" i="43"/>
  <c r="FU306" i="43"/>
  <c r="FV306" i="43"/>
  <c r="FW306" i="43"/>
  <c r="FX306" i="43"/>
  <c r="FY306" i="43"/>
  <c r="FZ306" i="43"/>
  <c r="GA306" i="43"/>
  <c r="GB306" i="43"/>
  <c r="GC306" i="43"/>
  <c r="GD306" i="43"/>
  <c r="GE306" i="43"/>
  <c r="GF306" i="43"/>
  <c r="GG306" i="43"/>
  <c r="GH306" i="43"/>
  <c r="GI306" i="43"/>
  <c r="GJ306" i="43"/>
  <c r="GK306" i="43"/>
  <c r="GL306" i="43"/>
  <c r="GM306" i="43"/>
  <c r="GN306" i="43"/>
  <c r="GO306" i="43"/>
  <c r="GP306" i="43"/>
  <c r="GQ306" i="43"/>
  <c r="GR306" i="43"/>
  <c r="GS306" i="43"/>
  <c r="GT306" i="43"/>
  <c r="GU306" i="43"/>
  <c r="GV306" i="43"/>
  <c r="GW306" i="43"/>
  <c r="GX306" i="43"/>
  <c r="GY306" i="43"/>
  <c r="GZ306" i="43"/>
  <c r="HA306" i="43"/>
  <c r="HB306" i="43"/>
  <c r="HC306" i="43"/>
  <c r="HD306" i="43"/>
  <c r="HE306" i="43"/>
  <c r="HF306" i="43"/>
  <c r="HG306" i="43"/>
  <c r="HH306" i="43"/>
  <c r="HI306" i="43"/>
  <c r="HJ306" i="43"/>
  <c r="HK306" i="43"/>
  <c r="HL306" i="43"/>
  <c r="HM306" i="43"/>
  <c r="HN306" i="43"/>
  <c r="HO306" i="43"/>
  <c r="HP306" i="43"/>
  <c r="HQ306" i="43"/>
  <c r="HR306" i="43"/>
  <c r="HS306" i="43"/>
  <c r="HT306" i="43"/>
  <c r="HU306" i="43"/>
  <c r="HV306" i="43"/>
  <c r="HW306" i="43"/>
  <c r="HX306" i="43"/>
  <c r="HY306" i="43"/>
  <c r="HZ306" i="43"/>
  <c r="IA306" i="43"/>
  <c r="IB306" i="43"/>
  <c r="IC306" i="43"/>
  <c r="ID306" i="43"/>
  <c r="IE306" i="43"/>
  <c r="IF306" i="43"/>
  <c r="IG306" i="43"/>
  <c r="IH306" i="43"/>
  <c r="II306" i="43"/>
  <c r="IJ306" i="43"/>
  <c r="IK306" i="43"/>
  <c r="IL306" i="43"/>
  <c r="IM306" i="43"/>
  <c r="IN306" i="43"/>
  <c r="IO306" i="43"/>
  <c r="IP306" i="43"/>
  <c r="IQ306" i="43"/>
  <c r="IR306" i="43"/>
  <c r="IS306" i="43"/>
  <c r="IT306" i="43"/>
  <c r="IU306" i="43"/>
  <c r="IV306" i="43"/>
  <c r="A305" i="43"/>
  <c r="B305" i="43"/>
  <c r="C305" i="43"/>
  <c r="D305" i="43"/>
  <c r="E305" i="43"/>
  <c r="F305" i="43"/>
  <c r="G305" i="43"/>
  <c r="H305" i="43"/>
  <c r="I305" i="43"/>
  <c r="J305" i="43"/>
  <c r="K305" i="43"/>
  <c r="L305" i="43"/>
  <c r="M305" i="43"/>
  <c r="N305" i="43"/>
  <c r="O305" i="43"/>
  <c r="P305" i="43"/>
  <c r="Q305" i="43"/>
  <c r="R305" i="43"/>
  <c r="S305" i="43"/>
  <c r="T305" i="43"/>
  <c r="U305" i="43"/>
  <c r="V305" i="43"/>
  <c r="W305" i="43"/>
  <c r="X305" i="43"/>
  <c r="Y305" i="43"/>
  <c r="Z305" i="43"/>
  <c r="AA305" i="43"/>
  <c r="AB305" i="43"/>
  <c r="AC305" i="43"/>
  <c r="AD305" i="43"/>
  <c r="AE305" i="43"/>
  <c r="AF305" i="43"/>
  <c r="AG305" i="43"/>
  <c r="AH305" i="43"/>
  <c r="AI305" i="43"/>
  <c r="AJ305" i="43"/>
  <c r="AK305" i="43"/>
  <c r="AL305" i="43"/>
  <c r="AM305" i="43"/>
  <c r="AN305" i="43"/>
  <c r="AO305" i="43"/>
  <c r="AP305" i="43"/>
  <c r="AQ305" i="43"/>
  <c r="AR305" i="43"/>
  <c r="AS305" i="43"/>
  <c r="AT305" i="43"/>
  <c r="AU305" i="43"/>
  <c r="AV305" i="43"/>
  <c r="AW305" i="43"/>
  <c r="AX305" i="43"/>
  <c r="AY305" i="43"/>
  <c r="AZ305" i="43"/>
  <c r="BA305" i="43"/>
  <c r="BB305" i="43"/>
  <c r="BC305" i="43"/>
  <c r="BD305" i="43"/>
  <c r="BE305" i="43"/>
  <c r="BF305" i="43"/>
  <c r="BG305" i="43"/>
  <c r="BH305" i="43"/>
  <c r="BI305" i="43"/>
  <c r="BJ305" i="43"/>
  <c r="BK305" i="43"/>
  <c r="BL305" i="43"/>
  <c r="BM305" i="43"/>
  <c r="BN305" i="43"/>
  <c r="BO305" i="43"/>
  <c r="BP305" i="43"/>
  <c r="BQ305" i="43"/>
  <c r="BR305" i="43"/>
  <c r="BS305" i="43"/>
  <c r="BT305" i="43"/>
  <c r="BU305" i="43"/>
  <c r="BV305" i="43"/>
  <c r="BW305" i="43"/>
  <c r="BX305" i="43"/>
  <c r="BY305" i="43"/>
  <c r="BZ305" i="43"/>
  <c r="CA305" i="43"/>
  <c r="CB305" i="43"/>
  <c r="CC305" i="43"/>
  <c r="CD305" i="43"/>
  <c r="CE305" i="43"/>
  <c r="CF305" i="43"/>
  <c r="CG305" i="43"/>
  <c r="CH305" i="43"/>
  <c r="CI305" i="43"/>
  <c r="CJ305" i="43"/>
  <c r="CK305" i="43"/>
  <c r="CL305" i="43"/>
  <c r="CM305" i="43"/>
  <c r="CN305" i="43"/>
  <c r="CO305" i="43"/>
  <c r="CP305" i="43"/>
  <c r="CQ305" i="43"/>
  <c r="CR305" i="43"/>
  <c r="CS305" i="43"/>
  <c r="CT305" i="43"/>
  <c r="CU305" i="43"/>
  <c r="CV305" i="43"/>
  <c r="CW305" i="43"/>
  <c r="CX305" i="43"/>
  <c r="CY305" i="43"/>
  <c r="CZ305" i="43"/>
  <c r="DA305" i="43"/>
  <c r="DB305" i="43"/>
  <c r="DC305" i="43"/>
  <c r="DD305" i="43"/>
  <c r="DE305" i="43"/>
  <c r="DF305" i="43"/>
  <c r="DG305" i="43"/>
  <c r="DH305" i="43"/>
  <c r="DI305" i="43"/>
  <c r="DJ305" i="43"/>
  <c r="DK305" i="43"/>
  <c r="DL305" i="43"/>
  <c r="DM305" i="43"/>
  <c r="DN305" i="43"/>
  <c r="DO305" i="43"/>
  <c r="DP305" i="43"/>
  <c r="DQ305" i="43"/>
  <c r="DR305" i="43"/>
  <c r="DS305" i="43"/>
  <c r="DT305" i="43"/>
  <c r="DU305" i="43"/>
  <c r="DV305" i="43"/>
  <c r="DW305" i="43"/>
  <c r="DX305" i="43"/>
  <c r="DY305" i="43"/>
  <c r="DZ305" i="43"/>
  <c r="EA305" i="43"/>
  <c r="EB305" i="43"/>
  <c r="EC305" i="43"/>
  <c r="ED305" i="43"/>
  <c r="EE305" i="43"/>
  <c r="EF305" i="43"/>
  <c r="EG305" i="43"/>
  <c r="EH305" i="43"/>
  <c r="EI305" i="43"/>
  <c r="EJ305" i="43"/>
  <c r="EK305" i="43"/>
  <c r="EL305" i="43"/>
  <c r="EM305" i="43"/>
  <c r="EN305" i="43"/>
  <c r="EO305" i="43"/>
  <c r="EP305" i="43"/>
  <c r="EQ305" i="43"/>
  <c r="ER305" i="43"/>
  <c r="ES305" i="43"/>
  <c r="ET305" i="43"/>
  <c r="EU305" i="43"/>
  <c r="EV305" i="43"/>
  <c r="EW305" i="43"/>
  <c r="EX305" i="43"/>
  <c r="EY305" i="43"/>
  <c r="EZ305" i="43"/>
  <c r="FA305" i="43"/>
  <c r="FB305" i="43"/>
  <c r="FC305" i="43"/>
  <c r="FD305" i="43"/>
  <c r="FE305" i="43"/>
  <c r="FF305" i="43"/>
  <c r="FG305" i="43"/>
  <c r="FH305" i="43"/>
  <c r="FI305" i="43"/>
  <c r="FJ305" i="43"/>
  <c r="FK305" i="43"/>
  <c r="FL305" i="43"/>
  <c r="FM305" i="43"/>
  <c r="FN305" i="43"/>
  <c r="FO305" i="43"/>
  <c r="FP305" i="43"/>
  <c r="FQ305" i="43"/>
  <c r="FR305" i="43"/>
  <c r="FS305" i="43"/>
  <c r="FT305" i="43"/>
  <c r="FU305" i="43"/>
  <c r="FV305" i="43"/>
  <c r="FW305" i="43"/>
  <c r="FX305" i="43"/>
  <c r="FY305" i="43"/>
  <c r="FZ305" i="43"/>
  <c r="GA305" i="43"/>
  <c r="GB305" i="43"/>
  <c r="GC305" i="43"/>
  <c r="GD305" i="43"/>
  <c r="GE305" i="43"/>
  <c r="GF305" i="43"/>
  <c r="GG305" i="43"/>
  <c r="GH305" i="43"/>
  <c r="GI305" i="43"/>
  <c r="GJ305" i="43"/>
  <c r="GK305" i="43"/>
  <c r="GL305" i="43"/>
  <c r="GM305" i="43"/>
  <c r="GN305" i="43"/>
  <c r="GO305" i="43"/>
  <c r="GP305" i="43"/>
  <c r="GQ305" i="43"/>
  <c r="GR305" i="43"/>
  <c r="GS305" i="43"/>
  <c r="GT305" i="43"/>
  <c r="GU305" i="43"/>
  <c r="GV305" i="43"/>
  <c r="GW305" i="43"/>
  <c r="GX305" i="43"/>
  <c r="GY305" i="43"/>
  <c r="GZ305" i="43"/>
  <c r="HA305" i="43"/>
  <c r="HB305" i="43"/>
  <c r="HC305" i="43"/>
  <c r="HD305" i="43"/>
  <c r="HE305" i="43"/>
  <c r="HF305" i="43"/>
  <c r="HG305" i="43"/>
  <c r="HH305" i="43"/>
  <c r="HI305" i="43"/>
  <c r="HJ305" i="43"/>
  <c r="HK305" i="43"/>
  <c r="HL305" i="43"/>
  <c r="HM305" i="43"/>
  <c r="HN305" i="43"/>
  <c r="HO305" i="43"/>
  <c r="HP305" i="43"/>
  <c r="HQ305" i="43"/>
  <c r="HR305" i="43"/>
  <c r="HS305" i="43"/>
  <c r="HT305" i="43"/>
  <c r="HU305" i="43"/>
  <c r="HV305" i="43"/>
  <c r="HW305" i="43"/>
  <c r="HX305" i="43"/>
  <c r="HY305" i="43"/>
  <c r="HZ305" i="43"/>
  <c r="IA305" i="43"/>
  <c r="IB305" i="43"/>
  <c r="IC305" i="43"/>
  <c r="ID305" i="43"/>
  <c r="IE305" i="43"/>
  <c r="IF305" i="43"/>
  <c r="IG305" i="43"/>
  <c r="IH305" i="43"/>
  <c r="II305" i="43"/>
  <c r="IJ305" i="43"/>
  <c r="IK305" i="43"/>
  <c r="IL305" i="43"/>
  <c r="IM305" i="43"/>
  <c r="IN305" i="43"/>
  <c r="IO305" i="43"/>
  <c r="IP305" i="43"/>
  <c r="IQ305" i="43"/>
  <c r="IR305" i="43"/>
  <c r="IS305" i="43"/>
  <c r="IT305" i="43"/>
  <c r="IU305" i="43"/>
  <c r="IV305" i="43"/>
  <c r="A304" i="43"/>
  <c r="B304" i="43"/>
  <c r="C304" i="43"/>
  <c r="D304" i="43"/>
  <c r="E304" i="43"/>
  <c r="F304" i="43"/>
  <c r="G304" i="43"/>
  <c r="H304" i="43"/>
  <c r="I304" i="43"/>
  <c r="J304" i="43"/>
  <c r="K304" i="43"/>
  <c r="L304" i="43"/>
  <c r="M304" i="43"/>
  <c r="N304" i="43"/>
  <c r="O304" i="43"/>
  <c r="P304" i="43"/>
  <c r="Q304" i="43"/>
  <c r="R304" i="43"/>
  <c r="S304" i="43"/>
  <c r="T304" i="43"/>
  <c r="U304" i="43"/>
  <c r="V304" i="43"/>
  <c r="W304" i="43"/>
  <c r="X304" i="43"/>
  <c r="Y304" i="43"/>
  <c r="Z304" i="43"/>
  <c r="AA304" i="43"/>
  <c r="AB304" i="43"/>
  <c r="AC304" i="43"/>
  <c r="AD304" i="43"/>
  <c r="AE304" i="43"/>
  <c r="AF304" i="43"/>
  <c r="AG304" i="43"/>
  <c r="AH304" i="43"/>
  <c r="AI304" i="43"/>
  <c r="AJ304" i="43"/>
  <c r="AK304" i="43"/>
  <c r="AL304" i="43"/>
  <c r="AM304" i="43"/>
  <c r="AN304" i="43"/>
  <c r="AO304" i="43"/>
  <c r="AP304" i="43"/>
  <c r="AQ304" i="43"/>
  <c r="AR304" i="43"/>
  <c r="AS304" i="43"/>
  <c r="AT304" i="43"/>
  <c r="AU304" i="43"/>
  <c r="AV304" i="43"/>
  <c r="AW304" i="43"/>
  <c r="AX304" i="43"/>
  <c r="AY304" i="43"/>
  <c r="AZ304" i="43"/>
  <c r="BA304" i="43"/>
  <c r="BB304" i="43"/>
  <c r="BC304" i="43"/>
  <c r="BD304" i="43"/>
  <c r="BE304" i="43"/>
  <c r="BF304" i="43"/>
  <c r="BG304" i="43"/>
  <c r="BH304" i="43"/>
  <c r="BI304" i="43"/>
  <c r="BJ304" i="43"/>
  <c r="BK304" i="43"/>
  <c r="BL304" i="43"/>
  <c r="BM304" i="43"/>
  <c r="BN304" i="43"/>
  <c r="BO304" i="43"/>
  <c r="BP304" i="43"/>
  <c r="BQ304" i="43"/>
  <c r="BR304" i="43"/>
  <c r="BS304" i="43"/>
  <c r="BT304" i="43"/>
  <c r="BU304" i="43"/>
  <c r="BV304" i="43"/>
  <c r="BW304" i="43"/>
  <c r="BX304" i="43"/>
  <c r="BY304" i="43"/>
  <c r="BZ304" i="43"/>
  <c r="CA304" i="43"/>
  <c r="CB304" i="43"/>
  <c r="CC304" i="43"/>
  <c r="CD304" i="43"/>
  <c r="CE304" i="43"/>
  <c r="CF304" i="43"/>
  <c r="CG304" i="43"/>
  <c r="CH304" i="43"/>
  <c r="CI304" i="43"/>
  <c r="CJ304" i="43"/>
  <c r="CK304" i="43"/>
  <c r="CL304" i="43"/>
  <c r="CM304" i="43"/>
  <c r="CN304" i="43"/>
  <c r="CO304" i="43"/>
  <c r="CP304" i="43"/>
  <c r="CQ304" i="43"/>
  <c r="CR304" i="43"/>
  <c r="CS304" i="43"/>
  <c r="CT304" i="43"/>
  <c r="CU304" i="43"/>
  <c r="CV304" i="43"/>
  <c r="CW304" i="43"/>
  <c r="CX304" i="43"/>
  <c r="CY304" i="43"/>
  <c r="CZ304" i="43"/>
  <c r="DA304" i="43"/>
  <c r="DB304" i="43"/>
  <c r="DC304" i="43"/>
  <c r="DD304" i="43"/>
  <c r="DE304" i="43"/>
  <c r="DF304" i="43"/>
  <c r="DG304" i="43"/>
  <c r="DH304" i="43"/>
  <c r="DI304" i="43"/>
  <c r="DJ304" i="43"/>
  <c r="DK304" i="43"/>
  <c r="DL304" i="43"/>
  <c r="DM304" i="43"/>
  <c r="DN304" i="43"/>
  <c r="DO304" i="43"/>
  <c r="DP304" i="43"/>
  <c r="DQ304" i="43"/>
  <c r="DR304" i="43"/>
  <c r="DS304" i="43"/>
  <c r="DT304" i="43"/>
  <c r="DU304" i="43"/>
  <c r="DV304" i="43"/>
  <c r="DW304" i="43"/>
  <c r="DX304" i="43"/>
  <c r="DY304" i="43"/>
  <c r="DZ304" i="43"/>
  <c r="EA304" i="43"/>
  <c r="EB304" i="43"/>
  <c r="EC304" i="43"/>
  <c r="ED304" i="43"/>
  <c r="EE304" i="43"/>
  <c r="EF304" i="43"/>
  <c r="EG304" i="43"/>
  <c r="EH304" i="43"/>
  <c r="EI304" i="43"/>
  <c r="EJ304" i="43"/>
  <c r="EK304" i="43"/>
  <c r="EL304" i="43"/>
  <c r="EM304" i="43"/>
  <c r="EN304" i="43"/>
  <c r="EO304" i="43"/>
  <c r="EP304" i="43"/>
  <c r="EQ304" i="43"/>
  <c r="ER304" i="43"/>
  <c r="ES304" i="43"/>
  <c r="ET304" i="43"/>
  <c r="EU304" i="43"/>
  <c r="EV304" i="43"/>
  <c r="EW304" i="43"/>
  <c r="EX304" i="43"/>
  <c r="EY304" i="43"/>
  <c r="EZ304" i="43"/>
  <c r="FA304" i="43"/>
  <c r="FB304" i="43"/>
  <c r="FC304" i="43"/>
  <c r="FD304" i="43"/>
  <c r="FE304" i="43"/>
  <c r="FF304" i="43"/>
  <c r="FG304" i="43"/>
  <c r="FH304" i="43"/>
  <c r="FI304" i="43"/>
  <c r="FJ304" i="43"/>
  <c r="FK304" i="43"/>
  <c r="FL304" i="43"/>
  <c r="FM304" i="43"/>
  <c r="FN304" i="43"/>
  <c r="FO304" i="43"/>
  <c r="FP304" i="43"/>
  <c r="FQ304" i="43"/>
  <c r="FR304" i="43"/>
  <c r="FS304" i="43"/>
  <c r="FT304" i="43"/>
  <c r="FU304" i="43"/>
  <c r="FV304" i="43"/>
  <c r="FW304" i="43"/>
  <c r="FX304" i="43"/>
  <c r="FY304" i="43"/>
  <c r="FZ304" i="43"/>
  <c r="GA304" i="43"/>
  <c r="GB304" i="43"/>
  <c r="GC304" i="43"/>
  <c r="GD304" i="43"/>
  <c r="GE304" i="43"/>
  <c r="GF304" i="43"/>
  <c r="GG304" i="43"/>
  <c r="GH304" i="43"/>
  <c r="GI304" i="43"/>
  <c r="GJ304" i="43"/>
  <c r="GK304" i="43"/>
  <c r="GL304" i="43"/>
  <c r="GM304" i="43"/>
  <c r="GN304" i="43"/>
  <c r="GO304" i="43"/>
  <c r="GP304" i="43"/>
  <c r="GQ304" i="43"/>
  <c r="GR304" i="43"/>
  <c r="GS304" i="43"/>
  <c r="GT304" i="43"/>
  <c r="GU304" i="43"/>
  <c r="GV304" i="43"/>
  <c r="GW304" i="43"/>
  <c r="GX304" i="43"/>
  <c r="GY304" i="43"/>
  <c r="GZ304" i="43"/>
  <c r="HA304" i="43"/>
  <c r="HB304" i="43"/>
  <c r="HC304" i="43"/>
  <c r="HD304" i="43"/>
  <c r="HE304" i="43"/>
  <c r="HF304" i="43"/>
  <c r="HG304" i="43"/>
  <c r="HH304" i="43"/>
  <c r="HI304" i="43"/>
  <c r="HJ304" i="43"/>
  <c r="HK304" i="43"/>
  <c r="HL304" i="43"/>
  <c r="HM304" i="43"/>
  <c r="HN304" i="43"/>
  <c r="HO304" i="43"/>
  <c r="HP304" i="43"/>
  <c r="HQ304" i="43"/>
  <c r="HR304" i="43"/>
  <c r="HS304" i="43"/>
  <c r="HT304" i="43"/>
  <c r="HU304" i="43"/>
  <c r="HV304" i="43"/>
  <c r="HW304" i="43"/>
  <c r="HX304" i="43"/>
  <c r="HY304" i="43"/>
  <c r="HZ304" i="43"/>
  <c r="IA304" i="43"/>
  <c r="IB304" i="43"/>
  <c r="IC304" i="43"/>
  <c r="ID304" i="43"/>
  <c r="IE304" i="43"/>
  <c r="IF304" i="43"/>
  <c r="IG304" i="43"/>
  <c r="IH304" i="43"/>
  <c r="II304" i="43"/>
  <c r="IJ304" i="43"/>
  <c r="IK304" i="43"/>
  <c r="IL304" i="43"/>
  <c r="IM304" i="43"/>
  <c r="IN304" i="43"/>
  <c r="IO304" i="43"/>
  <c r="IP304" i="43"/>
  <c r="IQ304" i="43"/>
  <c r="IR304" i="43"/>
  <c r="IS304" i="43"/>
  <c r="IT304" i="43"/>
  <c r="IU304" i="43"/>
  <c r="IV304" i="43"/>
  <c r="A303" i="43"/>
  <c r="B303" i="43"/>
  <c r="C303" i="43"/>
  <c r="D303" i="43"/>
  <c r="E303" i="43"/>
  <c r="F303" i="43"/>
  <c r="G303" i="43"/>
  <c r="H303" i="43"/>
  <c r="I303" i="43"/>
  <c r="J303" i="43"/>
  <c r="K303" i="43"/>
  <c r="L303" i="43"/>
  <c r="M303" i="43"/>
  <c r="N303" i="43"/>
  <c r="O303" i="43"/>
  <c r="P303" i="43"/>
  <c r="Q303" i="43"/>
  <c r="R303" i="43"/>
  <c r="S303" i="43"/>
  <c r="T303" i="43"/>
  <c r="U303" i="43"/>
  <c r="V303" i="43"/>
  <c r="W303" i="43"/>
  <c r="X303" i="43"/>
  <c r="Y303" i="43"/>
  <c r="Z303" i="43"/>
  <c r="AA303" i="43"/>
  <c r="AB303" i="43"/>
  <c r="AC303" i="43"/>
  <c r="AD303" i="43"/>
  <c r="AE303" i="43"/>
  <c r="AF303" i="43"/>
  <c r="AG303" i="43"/>
  <c r="AH303" i="43"/>
  <c r="AI303" i="43"/>
  <c r="AJ303" i="43"/>
  <c r="AK303" i="43"/>
  <c r="AL303" i="43"/>
  <c r="AM303" i="43"/>
  <c r="AN303" i="43"/>
  <c r="AO303" i="43"/>
  <c r="AP303" i="43"/>
  <c r="AQ303" i="43"/>
  <c r="AR303" i="43"/>
  <c r="AS303" i="43"/>
  <c r="AT303" i="43"/>
  <c r="AU303" i="43"/>
  <c r="AV303" i="43"/>
  <c r="AW303" i="43"/>
  <c r="AX303" i="43"/>
  <c r="AY303" i="43"/>
  <c r="AZ303" i="43"/>
  <c r="BA303" i="43"/>
  <c r="BB303" i="43"/>
  <c r="BC303" i="43"/>
  <c r="BD303" i="43"/>
  <c r="BE303" i="43"/>
  <c r="BF303" i="43"/>
  <c r="BG303" i="43"/>
  <c r="BH303" i="43"/>
  <c r="BI303" i="43"/>
  <c r="BJ303" i="43"/>
  <c r="BK303" i="43"/>
  <c r="BL303" i="43"/>
  <c r="BM303" i="43"/>
  <c r="BN303" i="43"/>
  <c r="BO303" i="43"/>
  <c r="BP303" i="43"/>
  <c r="BQ303" i="43"/>
  <c r="BR303" i="43"/>
  <c r="BS303" i="43"/>
  <c r="BT303" i="43"/>
  <c r="BU303" i="43"/>
  <c r="BV303" i="43"/>
  <c r="BW303" i="43"/>
  <c r="BX303" i="43"/>
  <c r="BY303" i="43"/>
  <c r="BZ303" i="43"/>
  <c r="CA303" i="43"/>
  <c r="CB303" i="43"/>
  <c r="CC303" i="43"/>
  <c r="CD303" i="43"/>
  <c r="CE303" i="43"/>
  <c r="CF303" i="43"/>
  <c r="CG303" i="43"/>
  <c r="CH303" i="43"/>
  <c r="CI303" i="43"/>
  <c r="CJ303" i="43"/>
  <c r="CK303" i="43"/>
  <c r="CL303" i="43"/>
  <c r="CM303" i="43"/>
  <c r="CN303" i="43"/>
  <c r="CO303" i="43"/>
  <c r="CP303" i="43"/>
  <c r="CQ303" i="43"/>
  <c r="CR303" i="43"/>
  <c r="CS303" i="43"/>
  <c r="CT303" i="43"/>
  <c r="CU303" i="43"/>
  <c r="CV303" i="43"/>
  <c r="CW303" i="43"/>
  <c r="CX303" i="43"/>
  <c r="CY303" i="43"/>
  <c r="CZ303" i="43"/>
  <c r="DA303" i="43"/>
  <c r="DB303" i="43"/>
  <c r="DC303" i="43"/>
  <c r="DD303" i="43"/>
  <c r="DE303" i="43"/>
  <c r="DF303" i="43"/>
  <c r="DG303" i="43"/>
  <c r="DH303" i="43"/>
  <c r="DI303" i="43"/>
  <c r="DJ303" i="43"/>
  <c r="DK303" i="43"/>
  <c r="DL303" i="43"/>
  <c r="DM303" i="43"/>
  <c r="DN303" i="43"/>
  <c r="DO303" i="43"/>
  <c r="DP303" i="43"/>
  <c r="DQ303" i="43"/>
  <c r="DR303" i="43"/>
  <c r="DS303" i="43"/>
  <c r="DT303" i="43"/>
  <c r="DU303" i="43"/>
  <c r="DV303" i="43"/>
  <c r="DW303" i="43"/>
  <c r="DX303" i="43"/>
  <c r="DY303" i="43"/>
  <c r="DZ303" i="43"/>
  <c r="EA303" i="43"/>
  <c r="EB303" i="43"/>
  <c r="EC303" i="43"/>
  <c r="ED303" i="43"/>
  <c r="EE303" i="43"/>
  <c r="EF303" i="43"/>
  <c r="EG303" i="43"/>
  <c r="EH303" i="43"/>
  <c r="EI303" i="43"/>
  <c r="EJ303" i="43"/>
  <c r="EK303" i="43"/>
  <c r="EL303" i="43"/>
  <c r="EM303" i="43"/>
  <c r="EN303" i="43"/>
  <c r="EO303" i="43"/>
  <c r="EP303" i="43"/>
  <c r="EQ303" i="43"/>
  <c r="ER303" i="43"/>
  <c r="ES303" i="43"/>
  <c r="ET303" i="43"/>
  <c r="EU303" i="43"/>
  <c r="EV303" i="43"/>
  <c r="EW303" i="43"/>
  <c r="EX303" i="43"/>
  <c r="EY303" i="43"/>
  <c r="EZ303" i="43"/>
  <c r="FA303" i="43"/>
  <c r="FB303" i="43"/>
  <c r="FC303" i="43"/>
  <c r="FD303" i="43"/>
  <c r="FE303" i="43"/>
  <c r="FF303" i="43"/>
  <c r="FG303" i="43"/>
  <c r="FH303" i="43"/>
  <c r="FI303" i="43"/>
  <c r="FJ303" i="43"/>
  <c r="FK303" i="43"/>
  <c r="FL303" i="43"/>
  <c r="FM303" i="43"/>
  <c r="FN303" i="43"/>
  <c r="FO303" i="43"/>
  <c r="FP303" i="43"/>
  <c r="FQ303" i="43"/>
  <c r="FR303" i="43"/>
  <c r="FS303" i="43"/>
  <c r="FT303" i="43"/>
  <c r="FU303" i="43"/>
  <c r="FV303" i="43"/>
  <c r="FW303" i="43"/>
  <c r="FX303" i="43"/>
  <c r="FY303" i="43"/>
  <c r="FZ303" i="43"/>
  <c r="GA303" i="43"/>
  <c r="GB303" i="43"/>
  <c r="GC303" i="43"/>
  <c r="GD303" i="43"/>
  <c r="GE303" i="43"/>
  <c r="GF303" i="43"/>
  <c r="GG303" i="43"/>
  <c r="GH303" i="43"/>
  <c r="GI303" i="43"/>
  <c r="GJ303" i="43"/>
  <c r="GK303" i="43"/>
  <c r="GL303" i="43"/>
  <c r="GM303" i="43"/>
  <c r="GN303" i="43"/>
  <c r="GO303" i="43"/>
  <c r="GP303" i="43"/>
  <c r="GQ303" i="43"/>
  <c r="GR303" i="43"/>
  <c r="GS303" i="43"/>
  <c r="GT303" i="43"/>
  <c r="GU303" i="43"/>
  <c r="GV303" i="43"/>
  <c r="GW303" i="43"/>
  <c r="GX303" i="43"/>
  <c r="GY303" i="43"/>
  <c r="GZ303" i="43"/>
  <c r="HA303" i="43"/>
  <c r="HB303" i="43"/>
  <c r="HC303" i="43"/>
  <c r="HD303" i="43"/>
  <c r="HE303" i="43"/>
  <c r="HF303" i="43"/>
  <c r="HG303" i="43"/>
  <c r="HH303" i="43"/>
  <c r="HI303" i="43"/>
  <c r="HJ303" i="43"/>
  <c r="HK303" i="43"/>
  <c r="HL303" i="43"/>
  <c r="HM303" i="43"/>
  <c r="HN303" i="43"/>
  <c r="HO303" i="43"/>
  <c r="HP303" i="43"/>
  <c r="HQ303" i="43"/>
  <c r="HR303" i="43"/>
  <c r="HS303" i="43"/>
  <c r="HT303" i="43"/>
  <c r="HU303" i="43"/>
  <c r="HV303" i="43"/>
  <c r="HW303" i="43"/>
  <c r="HX303" i="43"/>
  <c r="HY303" i="43"/>
  <c r="HZ303" i="43"/>
  <c r="IA303" i="43"/>
  <c r="IB303" i="43"/>
  <c r="IC303" i="43"/>
  <c r="ID303" i="43"/>
  <c r="IE303" i="43"/>
  <c r="IF303" i="43"/>
  <c r="IG303" i="43"/>
  <c r="IH303" i="43"/>
  <c r="II303" i="43"/>
  <c r="IJ303" i="43"/>
  <c r="IK303" i="43"/>
  <c r="IL303" i="43"/>
  <c r="IM303" i="43"/>
  <c r="IN303" i="43"/>
  <c r="IO303" i="43"/>
  <c r="IP303" i="43"/>
  <c r="IQ303" i="43"/>
  <c r="IR303" i="43"/>
  <c r="IS303" i="43"/>
  <c r="IT303" i="43"/>
  <c r="IU303" i="43"/>
  <c r="IV303" i="43"/>
  <c r="A302" i="43"/>
  <c r="B302" i="43"/>
  <c r="C302" i="43"/>
  <c r="D302" i="43"/>
  <c r="E302" i="43"/>
  <c r="F302" i="43"/>
  <c r="G302" i="43"/>
  <c r="H302" i="43"/>
  <c r="I302" i="43"/>
  <c r="J302" i="43"/>
  <c r="K302" i="43"/>
  <c r="L302" i="43"/>
  <c r="M302" i="43"/>
  <c r="N302" i="43"/>
  <c r="O302" i="43"/>
  <c r="P302" i="43"/>
  <c r="Q302" i="43"/>
  <c r="R302" i="43"/>
  <c r="S302" i="43"/>
  <c r="T302" i="43"/>
  <c r="U302" i="43"/>
  <c r="V302" i="43"/>
  <c r="W302" i="43"/>
  <c r="X302" i="43"/>
  <c r="Y302" i="43"/>
  <c r="Z302" i="43"/>
  <c r="AA302" i="43"/>
  <c r="AB302" i="43"/>
  <c r="AC302" i="43"/>
  <c r="AD302" i="43"/>
  <c r="AE302" i="43"/>
  <c r="AF302" i="43"/>
  <c r="AG302" i="43"/>
  <c r="AH302" i="43"/>
  <c r="AI302" i="43"/>
  <c r="AJ302" i="43"/>
  <c r="AK302" i="43"/>
  <c r="AL302" i="43"/>
  <c r="AM302" i="43"/>
  <c r="AN302" i="43"/>
  <c r="AO302" i="43"/>
  <c r="AP302" i="43"/>
  <c r="AQ302" i="43"/>
  <c r="AR302" i="43"/>
  <c r="AS302" i="43"/>
  <c r="AT302" i="43"/>
  <c r="AU302" i="43"/>
  <c r="AV302" i="43"/>
  <c r="AW302" i="43"/>
  <c r="AX302" i="43"/>
  <c r="AY302" i="43"/>
  <c r="AZ302" i="43"/>
  <c r="BA302" i="43"/>
  <c r="BB302" i="43"/>
  <c r="BC302" i="43"/>
  <c r="BD302" i="43"/>
  <c r="BE302" i="43"/>
  <c r="BF302" i="43"/>
  <c r="BG302" i="43"/>
  <c r="BH302" i="43"/>
  <c r="BI302" i="43"/>
  <c r="BJ302" i="43"/>
  <c r="BK302" i="43"/>
  <c r="BL302" i="43"/>
  <c r="BM302" i="43"/>
  <c r="BN302" i="43"/>
  <c r="BO302" i="43"/>
  <c r="BP302" i="43"/>
  <c r="BQ302" i="43"/>
  <c r="BR302" i="43"/>
  <c r="BS302" i="43"/>
  <c r="BT302" i="43"/>
  <c r="BU302" i="43"/>
  <c r="BV302" i="43"/>
  <c r="BW302" i="43"/>
  <c r="BX302" i="43"/>
  <c r="BY302" i="43"/>
  <c r="BZ302" i="43"/>
  <c r="CA302" i="43"/>
  <c r="CB302" i="43"/>
  <c r="CC302" i="43"/>
  <c r="CD302" i="43"/>
  <c r="CE302" i="43"/>
  <c r="CF302" i="43"/>
  <c r="CG302" i="43"/>
  <c r="CH302" i="43"/>
  <c r="CI302" i="43"/>
  <c r="CJ302" i="43"/>
  <c r="CK302" i="43"/>
  <c r="CL302" i="43"/>
  <c r="CM302" i="43"/>
  <c r="CN302" i="43"/>
  <c r="CO302" i="43"/>
  <c r="CP302" i="43"/>
  <c r="CQ302" i="43"/>
  <c r="CR302" i="43"/>
  <c r="CS302" i="43"/>
  <c r="CT302" i="43"/>
  <c r="CU302" i="43"/>
  <c r="CV302" i="43"/>
  <c r="CW302" i="43"/>
  <c r="CX302" i="43"/>
  <c r="CY302" i="43"/>
  <c r="CZ302" i="43"/>
  <c r="DA302" i="43"/>
  <c r="DB302" i="43"/>
  <c r="DC302" i="43"/>
  <c r="DD302" i="43"/>
  <c r="DE302" i="43"/>
  <c r="DF302" i="43"/>
  <c r="DG302" i="43"/>
  <c r="DH302" i="43"/>
  <c r="DI302" i="43"/>
  <c r="DJ302" i="43"/>
  <c r="DK302" i="43"/>
  <c r="DL302" i="43"/>
  <c r="DM302" i="43"/>
  <c r="DN302" i="43"/>
  <c r="DO302" i="43"/>
  <c r="DP302" i="43"/>
  <c r="DQ302" i="43"/>
  <c r="DR302" i="43"/>
  <c r="DS302" i="43"/>
  <c r="DT302" i="43"/>
  <c r="DU302" i="43"/>
  <c r="DV302" i="43"/>
  <c r="DW302" i="43"/>
  <c r="DX302" i="43"/>
  <c r="DY302" i="43"/>
  <c r="DZ302" i="43"/>
  <c r="EA302" i="43"/>
  <c r="EB302" i="43"/>
  <c r="EC302" i="43"/>
  <c r="ED302" i="43"/>
  <c r="EE302" i="43"/>
  <c r="EF302" i="43"/>
  <c r="EG302" i="43"/>
  <c r="EH302" i="43"/>
  <c r="EI302" i="43"/>
  <c r="EJ302" i="43"/>
  <c r="EK302" i="43"/>
  <c r="EL302" i="43"/>
  <c r="EM302" i="43"/>
  <c r="EN302" i="43"/>
  <c r="EO302" i="43"/>
  <c r="EP302" i="43"/>
  <c r="EQ302" i="43"/>
  <c r="ER302" i="43"/>
  <c r="ES302" i="43"/>
  <c r="ET302" i="43"/>
  <c r="EU302" i="43"/>
  <c r="EV302" i="43"/>
  <c r="EW302" i="43"/>
  <c r="EX302" i="43"/>
  <c r="EY302" i="43"/>
  <c r="EZ302" i="43"/>
  <c r="FA302" i="43"/>
  <c r="FB302" i="43"/>
  <c r="FC302" i="43"/>
  <c r="FD302" i="43"/>
  <c r="FE302" i="43"/>
  <c r="FF302" i="43"/>
  <c r="FG302" i="43"/>
  <c r="FH302" i="43"/>
  <c r="FI302" i="43"/>
  <c r="FJ302" i="43"/>
  <c r="FK302" i="43"/>
  <c r="FL302" i="43"/>
  <c r="FM302" i="43"/>
  <c r="FN302" i="43"/>
  <c r="FO302" i="43"/>
  <c r="FP302" i="43"/>
  <c r="FQ302" i="43"/>
  <c r="FR302" i="43"/>
  <c r="FS302" i="43"/>
  <c r="FT302" i="43"/>
  <c r="FU302" i="43"/>
  <c r="FV302" i="43"/>
  <c r="FW302" i="43"/>
  <c r="FX302" i="43"/>
  <c r="FY302" i="43"/>
  <c r="FZ302" i="43"/>
  <c r="GA302" i="43"/>
  <c r="GB302" i="43"/>
  <c r="GC302" i="43"/>
  <c r="GD302" i="43"/>
  <c r="GE302" i="43"/>
  <c r="GF302" i="43"/>
  <c r="GG302" i="43"/>
  <c r="GH302" i="43"/>
  <c r="GI302" i="43"/>
  <c r="GJ302" i="43"/>
  <c r="GK302" i="43"/>
  <c r="GL302" i="43"/>
  <c r="GM302" i="43"/>
  <c r="GN302" i="43"/>
  <c r="GO302" i="43"/>
  <c r="GP302" i="43"/>
  <c r="GQ302" i="43"/>
  <c r="GR302" i="43"/>
  <c r="GS302" i="43"/>
  <c r="GT302" i="43"/>
  <c r="GU302" i="43"/>
  <c r="GV302" i="43"/>
  <c r="GW302" i="43"/>
  <c r="GX302" i="43"/>
  <c r="GY302" i="43"/>
  <c r="GZ302" i="43"/>
  <c r="HA302" i="43"/>
  <c r="HB302" i="43"/>
  <c r="HC302" i="43"/>
  <c r="HD302" i="43"/>
  <c r="HE302" i="43"/>
  <c r="HF302" i="43"/>
  <c r="HG302" i="43"/>
  <c r="HH302" i="43"/>
  <c r="HI302" i="43"/>
  <c r="HJ302" i="43"/>
  <c r="HK302" i="43"/>
  <c r="HL302" i="43"/>
  <c r="HM302" i="43"/>
  <c r="HN302" i="43"/>
  <c r="HO302" i="43"/>
  <c r="HP302" i="43"/>
  <c r="HQ302" i="43"/>
  <c r="HR302" i="43"/>
  <c r="HS302" i="43"/>
  <c r="HT302" i="43"/>
  <c r="HU302" i="43"/>
  <c r="HV302" i="43"/>
  <c r="HW302" i="43"/>
  <c r="HX302" i="43"/>
  <c r="HY302" i="43"/>
  <c r="HZ302" i="43"/>
  <c r="IA302" i="43"/>
  <c r="IB302" i="43"/>
  <c r="IC302" i="43"/>
  <c r="ID302" i="43"/>
  <c r="IE302" i="43"/>
  <c r="IF302" i="43"/>
  <c r="IG302" i="43"/>
  <c r="IH302" i="43"/>
  <c r="II302" i="43"/>
  <c r="IJ302" i="43"/>
  <c r="IK302" i="43"/>
  <c r="IL302" i="43"/>
  <c r="IM302" i="43"/>
  <c r="IN302" i="43"/>
  <c r="IO302" i="43"/>
  <c r="IP302" i="43"/>
  <c r="IQ302" i="43"/>
  <c r="IR302" i="43"/>
  <c r="IS302" i="43"/>
  <c r="IT302" i="43"/>
  <c r="IU302" i="43"/>
  <c r="IV302" i="43"/>
  <c r="A301" i="43"/>
  <c r="B301" i="43"/>
  <c r="C301" i="43"/>
  <c r="D301" i="43"/>
  <c r="E301" i="43"/>
  <c r="F301" i="43"/>
  <c r="G301" i="43"/>
  <c r="H301" i="43"/>
  <c r="I301" i="43"/>
  <c r="J301" i="43"/>
  <c r="K301" i="43"/>
  <c r="L301" i="43"/>
  <c r="M301" i="43"/>
  <c r="N301" i="43"/>
  <c r="O301" i="43"/>
  <c r="P301" i="43"/>
  <c r="Q301" i="43"/>
  <c r="R301" i="43"/>
  <c r="S301" i="43"/>
  <c r="T301" i="43"/>
  <c r="U301" i="43"/>
  <c r="V301" i="43"/>
  <c r="W301" i="43"/>
  <c r="X301" i="43"/>
  <c r="Y301" i="43"/>
  <c r="Z301" i="43"/>
  <c r="AA301" i="43"/>
  <c r="AB301" i="43"/>
  <c r="AC301" i="43"/>
  <c r="AD301" i="43"/>
  <c r="AE301" i="43"/>
  <c r="AF301" i="43"/>
  <c r="AG301" i="43"/>
  <c r="AH301" i="43"/>
  <c r="AI301" i="43"/>
  <c r="AJ301" i="43"/>
  <c r="AK301" i="43"/>
  <c r="AL301" i="43"/>
  <c r="AM301" i="43"/>
  <c r="AN301" i="43"/>
  <c r="AO301" i="43"/>
  <c r="AP301" i="43"/>
  <c r="AQ301" i="43"/>
  <c r="AR301" i="43"/>
  <c r="AS301" i="43"/>
  <c r="AT301" i="43"/>
  <c r="AU301" i="43"/>
  <c r="AV301" i="43"/>
  <c r="AW301" i="43"/>
  <c r="AX301" i="43"/>
  <c r="AY301" i="43"/>
  <c r="AZ301" i="43"/>
  <c r="BA301" i="43"/>
  <c r="BB301" i="43"/>
  <c r="BC301" i="43"/>
  <c r="BD301" i="43"/>
  <c r="BE301" i="43"/>
  <c r="BF301" i="43"/>
  <c r="BG301" i="43"/>
  <c r="BH301" i="43"/>
  <c r="BI301" i="43"/>
  <c r="BJ301" i="43"/>
  <c r="BK301" i="43"/>
  <c r="BL301" i="43"/>
  <c r="BM301" i="43"/>
  <c r="BN301" i="43"/>
  <c r="BO301" i="43"/>
  <c r="BP301" i="43"/>
  <c r="BQ301" i="43"/>
  <c r="BR301" i="43"/>
  <c r="BS301" i="43"/>
  <c r="BT301" i="43"/>
  <c r="BU301" i="43"/>
  <c r="BV301" i="43"/>
  <c r="BW301" i="43"/>
  <c r="BX301" i="43"/>
  <c r="BY301" i="43"/>
  <c r="BZ301" i="43"/>
  <c r="CA301" i="43"/>
  <c r="CB301" i="43"/>
  <c r="CC301" i="43"/>
  <c r="CD301" i="43"/>
  <c r="CE301" i="43"/>
  <c r="CF301" i="43"/>
  <c r="CG301" i="43"/>
  <c r="CH301" i="43"/>
  <c r="CI301" i="43"/>
  <c r="CJ301" i="43"/>
  <c r="CK301" i="43"/>
  <c r="CL301" i="43"/>
  <c r="CM301" i="43"/>
  <c r="CN301" i="43"/>
  <c r="CO301" i="43"/>
  <c r="CP301" i="43"/>
  <c r="CQ301" i="43"/>
  <c r="CR301" i="43"/>
  <c r="CS301" i="43"/>
  <c r="CT301" i="43"/>
  <c r="CU301" i="43"/>
  <c r="CV301" i="43"/>
  <c r="CW301" i="43"/>
  <c r="CX301" i="43"/>
  <c r="CY301" i="43"/>
  <c r="CZ301" i="43"/>
  <c r="DA301" i="43"/>
  <c r="DB301" i="43"/>
  <c r="DC301" i="43"/>
  <c r="DD301" i="43"/>
  <c r="DE301" i="43"/>
  <c r="DF301" i="43"/>
  <c r="DG301" i="43"/>
  <c r="DH301" i="43"/>
  <c r="DI301" i="43"/>
  <c r="DJ301" i="43"/>
  <c r="DK301" i="43"/>
  <c r="DL301" i="43"/>
  <c r="DM301" i="43"/>
  <c r="DN301" i="43"/>
  <c r="DO301" i="43"/>
  <c r="DP301" i="43"/>
  <c r="DQ301" i="43"/>
  <c r="DR301" i="43"/>
  <c r="DS301" i="43"/>
  <c r="DT301" i="43"/>
  <c r="DU301" i="43"/>
  <c r="DV301" i="43"/>
  <c r="DW301" i="43"/>
  <c r="DX301" i="43"/>
  <c r="DY301" i="43"/>
  <c r="DZ301" i="43"/>
  <c r="EA301" i="43"/>
  <c r="EB301" i="43"/>
  <c r="EC301" i="43"/>
  <c r="ED301" i="43"/>
  <c r="EE301" i="43"/>
  <c r="EF301" i="43"/>
  <c r="EG301" i="43"/>
  <c r="EH301" i="43"/>
  <c r="EI301" i="43"/>
  <c r="EJ301" i="43"/>
  <c r="EK301" i="43"/>
  <c r="EL301" i="43"/>
  <c r="EM301" i="43"/>
  <c r="EN301" i="43"/>
  <c r="EO301" i="43"/>
  <c r="EP301" i="43"/>
  <c r="EQ301" i="43"/>
  <c r="ER301" i="43"/>
  <c r="ES301" i="43"/>
  <c r="ET301" i="43"/>
  <c r="EU301" i="43"/>
  <c r="EV301" i="43"/>
  <c r="EW301" i="43"/>
  <c r="EX301" i="43"/>
  <c r="EY301" i="43"/>
  <c r="EZ301" i="43"/>
  <c r="FA301" i="43"/>
  <c r="FB301" i="43"/>
  <c r="FC301" i="43"/>
  <c r="FD301" i="43"/>
  <c r="FE301" i="43"/>
  <c r="FF301" i="43"/>
  <c r="FG301" i="43"/>
  <c r="FH301" i="43"/>
  <c r="FI301" i="43"/>
  <c r="FJ301" i="43"/>
  <c r="FK301" i="43"/>
  <c r="FL301" i="43"/>
  <c r="FM301" i="43"/>
  <c r="FN301" i="43"/>
  <c r="FO301" i="43"/>
  <c r="FP301" i="43"/>
  <c r="FQ301" i="43"/>
  <c r="FR301" i="43"/>
  <c r="FS301" i="43"/>
  <c r="FT301" i="43"/>
  <c r="FU301" i="43"/>
  <c r="FV301" i="43"/>
  <c r="FW301" i="43"/>
  <c r="FX301" i="43"/>
  <c r="FY301" i="43"/>
  <c r="FZ301" i="43"/>
  <c r="GA301" i="43"/>
  <c r="GB301" i="43"/>
  <c r="GC301" i="43"/>
  <c r="GD301" i="43"/>
  <c r="GE301" i="43"/>
  <c r="GF301" i="43"/>
  <c r="GG301" i="43"/>
  <c r="GH301" i="43"/>
  <c r="GI301" i="43"/>
  <c r="GJ301" i="43"/>
  <c r="GK301" i="43"/>
  <c r="GL301" i="43"/>
  <c r="GM301" i="43"/>
  <c r="GN301" i="43"/>
  <c r="GO301" i="43"/>
  <c r="GP301" i="43"/>
  <c r="GQ301" i="43"/>
  <c r="GR301" i="43"/>
  <c r="GS301" i="43"/>
  <c r="GT301" i="43"/>
  <c r="GU301" i="43"/>
  <c r="GV301" i="43"/>
  <c r="GW301" i="43"/>
  <c r="GX301" i="43"/>
  <c r="GY301" i="43"/>
  <c r="GZ301" i="43"/>
  <c r="HA301" i="43"/>
  <c r="HB301" i="43"/>
  <c r="HC301" i="43"/>
  <c r="HD301" i="43"/>
  <c r="HE301" i="43"/>
  <c r="HF301" i="43"/>
  <c r="HG301" i="43"/>
  <c r="HH301" i="43"/>
  <c r="HI301" i="43"/>
  <c r="HJ301" i="43"/>
  <c r="HK301" i="43"/>
  <c r="HL301" i="43"/>
  <c r="HM301" i="43"/>
  <c r="HN301" i="43"/>
  <c r="HO301" i="43"/>
  <c r="HP301" i="43"/>
  <c r="HQ301" i="43"/>
  <c r="HR301" i="43"/>
  <c r="HS301" i="43"/>
  <c r="HT301" i="43"/>
  <c r="HU301" i="43"/>
  <c r="HV301" i="43"/>
  <c r="HW301" i="43"/>
  <c r="HX301" i="43"/>
  <c r="HY301" i="43"/>
  <c r="HZ301" i="43"/>
  <c r="IA301" i="43"/>
  <c r="IB301" i="43"/>
  <c r="IC301" i="43"/>
  <c r="ID301" i="43"/>
  <c r="IE301" i="43"/>
  <c r="IF301" i="43"/>
  <c r="IG301" i="43"/>
  <c r="IH301" i="43"/>
  <c r="II301" i="43"/>
  <c r="IJ301" i="43"/>
  <c r="IK301" i="43"/>
  <c r="IL301" i="43"/>
  <c r="IM301" i="43"/>
  <c r="IN301" i="43"/>
  <c r="IO301" i="43"/>
  <c r="IP301" i="43"/>
  <c r="IQ301" i="43"/>
  <c r="IR301" i="43"/>
  <c r="IS301" i="43"/>
  <c r="IT301" i="43"/>
  <c r="IU301" i="43"/>
  <c r="IV301" i="43"/>
  <c r="A300" i="43"/>
  <c r="B300" i="43"/>
  <c r="C300" i="43"/>
  <c r="D300" i="43"/>
  <c r="E300" i="43"/>
  <c r="F300" i="43"/>
  <c r="G300" i="43"/>
  <c r="H300" i="43"/>
  <c r="I300" i="43"/>
  <c r="J300" i="43"/>
  <c r="K300" i="43"/>
  <c r="L300" i="43"/>
  <c r="M300" i="43"/>
  <c r="N300" i="43"/>
  <c r="O300" i="43"/>
  <c r="P300" i="43"/>
  <c r="Q300" i="43"/>
  <c r="R300" i="43"/>
  <c r="S300" i="43"/>
  <c r="T300" i="43"/>
  <c r="U300" i="43"/>
  <c r="V300" i="43"/>
  <c r="W300" i="43"/>
  <c r="X300" i="43"/>
  <c r="Y300" i="43"/>
  <c r="Z300" i="43"/>
  <c r="AA300" i="43"/>
  <c r="AB300" i="43"/>
  <c r="AC300" i="43"/>
  <c r="AD300" i="43"/>
  <c r="AE300" i="43"/>
  <c r="AF300" i="43"/>
  <c r="AG300" i="43"/>
  <c r="AH300" i="43"/>
  <c r="AI300" i="43"/>
  <c r="AJ300" i="43"/>
  <c r="AK300" i="43"/>
  <c r="AL300" i="43"/>
  <c r="AM300" i="43"/>
  <c r="AN300" i="43"/>
  <c r="AO300" i="43"/>
  <c r="AP300" i="43"/>
  <c r="AQ300" i="43"/>
  <c r="AR300" i="43"/>
  <c r="AS300" i="43"/>
  <c r="AT300" i="43"/>
  <c r="AU300" i="43"/>
  <c r="AV300" i="43"/>
  <c r="AW300" i="43"/>
  <c r="AX300" i="43"/>
  <c r="AY300" i="43"/>
  <c r="AZ300" i="43"/>
  <c r="BA300" i="43"/>
  <c r="BB300" i="43"/>
  <c r="BC300" i="43"/>
  <c r="BD300" i="43"/>
  <c r="BE300" i="43"/>
  <c r="BF300" i="43"/>
  <c r="BG300" i="43"/>
  <c r="BH300" i="43"/>
  <c r="BI300" i="43"/>
  <c r="BJ300" i="43"/>
  <c r="BK300" i="43"/>
  <c r="BL300" i="43"/>
  <c r="BM300" i="43"/>
  <c r="BN300" i="43"/>
  <c r="BO300" i="43"/>
  <c r="BP300" i="43"/>
  <c r="BQ300" i="43"/>
  <c r="BR300" i="43"/>
  <c r="BS300" i="43"/>
  <c r="BT300" i="43"/>
  <c r="BU300" i="43"/>
  <c r="BV300" i="43"/>
  <c r="BW300" i="43"/>
  <c r="BX300" i="43"/>
  <c r="BY300" i="43"/>
  <c r="BZ300" i="43"/>
  <c r="CA300" i="43"/>
  <c r="CB300" i="43"/>
  <c r="CC300" i="43"/>
  <c r="CD300" i="43"/>
  <c r="CE300" i="43"/>
  <c r="CF300" i="43"/>
  <c r="CG300" i="43"/>
  <c r="CH300" i="43"/>
  <c r="CI300" i="43"/>
  <c r="CJ300" i="43"/>
  <c r="CK300" i="43"/>
  <c r="CL300" i="43"/>
  <c r="CM300" i="43"/>
  <c r="CN300" i="43"/>
  <c r="CO300" i="43"/>
  <c r="CP300" i="43"/>
  <c r="CQ300" i="43"/>
  <c r="CR300" i="43"/>
  <c r="CS300" i="43"/>
  <c r="CT300" i="43"/>
  <c r="CU300" i="43"/>
  <c r="CV300" i="43"/>
  <c r="CW300" i="43"/>
  <c r="CX300" i="43"/>
  <c r="CY300" i="43"/>
  <c r="CZ300" i="43"/>
  <c r="DA300" i="43"/>
  <c r="DB300" i="43"/>
  <c r="DC300" i="43"/>
  <c r="DD300" i="43"/>
  <c r="DE300" i="43"/>
  <c r="DF300" i="43"/>
  <c r="DG300" i="43"/>
  <c r="DH300" i="43"/>
  <c r="DI300" i="43"/>
  <c r="DJ300" i="43"/>
  <c r="DK300" i="43"/>
  <c r="DL300" i="43"/>
  <c r="DM300" i="43"/>
  <c r="DN300" i="43"/>
  <c r="DO300" i="43"/>
  <c r="DP300" i="43"/>
  <c r="DQ300" i="43"/>
  <c r="DR300" i="43"/>
  <c r="DS300" i="43"/>
  <c r="DT300" i="43"/>
  <c r="DU300" i="43"/>
  <c r="DV300" i="43"/>
  <c r="DW300" i="43"/>
  <c r="DX300" i="43"/>
  <c r="DY300" i="43"/>
  <c r="DZ300" i="43"/>
  <c r="EA300" i="43"/>
  <c r="EB300" i="43"/>
  <c r="EC300" i="43"/>
  <c r="ED300" i="43"/>
  <c r="EE300" i="43"/>
  <c r="EF300" i="43"/>
  <c r="EG300" i="43"/>
  <c r="EH300" i="43"/>
  <c r="EI300" i="43"/>
  <c r="EJ300" i="43"/>
  <c r="EK300" i="43"/>
  <c r="EL300" i="43"/>
  <c r="EM300" i="43"/>
  <c r="EN300" i="43"/>
  <c r="EO300" i="43"/>
  <c r="EP300" i="43"/>
  <c r="EQ300" i="43"/>
  <c r="ER300" i="43"/>
  <c r="ES300" i="43"/>
  <c r="ET300" i="43"/>
  <c r="EU300" i="43"/>
  <c r="EV300" i="43"/>
  <c r="EW300" i="43"/>
  <c r="EX300" i="43"/>
  <c r="EY300" i="43"/>
  <c r="EZ300" i="43"/>
  <c r="FA300" i="43"/>
  <c r="FB300" i="43"/>
  <c r="FC300" i="43"/>
  <c r="FD300" i="43"/>
  <c r="FE300" i="43"/>
  <c r="FF300" i="43"/>
  <c r="FG300" i="43"/>
  <c r="FH300" i="43"/>
  <c r="FI300" i="43"/>
  <c r="FJ300" i="43"/>
  <c r="FK300" i="43"/>
  <c r="FL300" i="43"/>
  <c r="FM300" i="43"/>
  <c r="FN300" i="43"/>
  <c r="FO300" i="43"/>
  <c r="FP300" i="43"/>
  <c r="FQ300" i="43"/>
  <c r="FR300" i="43"/>
  <c r="FS300" i="43"/>
  <c r="FT300" i="43"/>
  <c r="FU300" i="43"/>
  <c r="FV300" i="43"/>
  <c r="FW300" i="43"/>
  <c r="FX300" i="43"/>
  <c r="FY300" i="43"/>
  <c r="FZ300" i="43"/>
  <c r="GA300" i="43"/>
  <c r="GB300" i="43"/>
  <c r="GC300" i="43"/>
  <c r="GD300" i="43"/>
  <c r="GE300" i="43"/>
  <c r="GF300" i="43"/>
  <c r="GG300" i="43"/>
  <c r="GH300" i="43"/>
  <c r="GI300" i="43"/>
  <c r="GJ300" i="43"/>
  <c r="GK300" i="43"/>
  <c r="GL300" i="43"/>
  <c r="GM300" i="43"/>
  <c r="GN300" i="43"/>
  <c r="GO300" i="43"/>
  <c r="GP300" i="43"/>
  <c r="GQ300" i="43"/>
  <c r="GR300" i="43"/>
  <c r="GS300" i="43"/>
  <c r="GT300" i="43"/>
  <c r="GU300" i="43"/>
  <c r="GV300" i="43"/>
  <c r="GW300" i="43"/>
  <c r="GX300" i="43"/>
  <c r="GY300" i="43"/>
  <c r="GZ300" i="43"/>
  <c r="HA300" i="43"/>
  <c r="HB300" i="43"/>
  <c r="HC300" i="43"/>
  <c r="HD300" i="43"/>
  <c r="HE300" i="43"/>
  <c r="HF300" i="43"/>
  <c r="HG300" i="43"/>
  <c r="HH300" i="43"/>
  <c r="HI300" i="43"/>
  <c r="HJ300" i="43"/>
  <c r="HK300" i="43"/>
  <c r="HL300" i="43"/>
  <c r="HM300" i="43"/>
  <c r="HN300" i="43"/>
  <c r="HO300" i="43"/>
  <c r="HP300" i="43"/>
  <c r="HQ300" i="43"/>
  <c r="HR300" i="43"/>
  <c r="HS300" i="43"/>
  <c r="HT300" i="43"/>
  <c r="HU300" i="43"/>
  <c r="HV300" i="43"/>
  <c r="HW300" i="43"/>
  <c r="HX300" i="43"/>
  <c r="HY300" i="43"/>
  <c r="HZ300" i="43"/>
  <c r="IA300" i="43"/>
  <c r="IB300" i="43"/>
  <c r="IC300" i="43"/>
  <c r="ID300" i="43"/>
  <c r="IE300" i="43"/>
  <c r="IF300" i="43"/>
  <c r="IG300" i="43"/>
  <c r="IH300" i="43"/>
  <c r="II300" i="43"/>
  <c r="IJ300" i="43"/>
  <c r="IK300" i="43"/>
  <c r="IL300" i="43"/>
  <c r="IM300" i="43"/>
  <c r="IN300" i="43"/>
  <c r="IO300" i="43"/>
  <c r="IP300" i="43"/>
  <c r="IQ300" i="43"/>
  <c r="IR300" i="43"/>
  <c r="IS300" i="43"/>
  <c r="IT300" i="43"/>
  <c r="IU300" i="43"/>
  <c r="IV300" i="43"/>
  <c r="A299" i="43"/>
  <c r="B299" i="43"/>
  <c r="C299" i="43"/>
  <c r="D299" i="43"/>
  <c r="E299" i="43"/>
  <c r="F299" i="43"/>
  <c r="G299" i="43"/>
  <c r="H299" i="43"/>
  <c r="I299" i="43"/>
  <c r="J299" i="43"/>
  <c r="K299" i="43"/>
  <c r="L299" i="43"/>
  <c r="M299" i="43"/>
  <c r="N299" i="43"/>
  <c r="O299" i="43"/>
  <c r="P299" i="43"/>
  <c r="Q299" i="43"/>
  <c r="R299" i="43"/>
  <c r="S299" i="43"/>
  <c r="T299" i="43"/>
  <c r="U299" i="43"/>
  <c r="V299" i="43"/>
  <c r="W299" i="43"/>
  <c r="X299" i="43"/>
  <c r="Y299" i="43"/>
  <c r="Z299" i="43"/>
  <c r="AA299" i="43"/>
  <c r="AB299" i="43"/>
  <c r="AC299" i="43"/>
  <c r="AD299" i="43"/>
  <c r="AE299" i="43"/>
  <c r="AF299" i="43"/>
  <c r="AG299" i="43"/>
  <c r="AH299" i="43"/>
  <c r="AI299" i="43"/>
  <c r="AJ299" i="43"/>
  <c r="AK299" i="43"/>
  <c r="AL299" i="43"/>
  <c r="AM299" i="43"/>
  <c r="AN299" i="43"/>
  <c r="AO299" i="43"/>
  <c r="AP299" i="43"/>
  <c r="AQ299" i="43"/>
  <c r="AR299" i="43"/>
  <c r="AS299" i="43"/>
  <c r="AT299" i="43"/>
  <c r="AU299" i="43"/>
  <c r="AV299" i="43"/>
  <c r="AW299" i="43"/>
  <c r="AX299" i="43"/>
  <c r="AY299" i="43"/>
  <c r="AZ299" i="43"/>
  <c r="BA299" i="43"/>
  <c r="BB299" i="43"/>
  <c r="BC299" i="43"/>
  <c r="BD299" i="43"/>
  <c r="BE299" i="43"/>
  <c r="BF299" i="43"/>
  <c r="BG299" i="43"/>
  <c r="BH299" i="43"/>
  <c r="BI299" i="43"/>
  <c r="BJ299" i="43"/>
  <c r="BK299" i="43"/>
  <c r="BL299" i="43"/>
  <c r="BM299" i="43"/>
  <c r="BN299" i="43"/>
  <c r="BO299" i="43"/>
  <c r="BP299" i="43"/>
  <c r="BQ299" i="43"/>
  <c r="BR299" i="43"/>
  <c r="BS299" i="43"/>
  <c r="BT299" i="43"/>
  <c r="BU299" i="43"/>
  <c r="BV299" i="43"/>
  <c r="BW299" i="43"/>
  <c r="BX299" i="43"/>
  <c r="BY299" i="43"/>
  <c r="BZ299" i="43"/>
  <c r="CA299" i="43"/>
  <c r="CB299" i="43"/>
  <c r="CC299" i="43"/>
  <c r="CD299" i="43"/>
  <c r="CE299" i="43"/>
  <c r="CF299" i="43"/>
  <c r="CG299" i="43"/>
  <c r="CH299" i="43"/>
  <c r="CI299" i="43"/>
  <c r="CJ299" i="43"/>
  <c r="CK299" i="43"/>
  <c r="CL299" i="43"/>
  <c r="CM299" i="43"/>
  <c r="CN299" i="43"/>
  <c r="CO299" i="43"/>
  <c r="CP299" i="43"/>
  <c r="CQ299" i="43"/>
  <c r="CR299" i="43"/>
  <c r="CS299" i="43"/>
  <c r="CT299" i="43"/>
  <c r="CU299" i="43"/>
  <c r="CV299" i="43"/>
  <c r="CW299" i="43"/>
  <c r="CX299" i="43"/>
  <c r="CY299" i="43"/>
  <c r="CZ299" i="43"/>
  <c r="DA299" i="43"/>
  <c r="DB299" i="43"/>
  <c r="DC299" i="43"/>
  <c r="DD299" i="43"/>
  <c r="DE299" i="43"/>
  <c r="DF299" i="43"/>
  <c r="DG299" i="43"/>
  <c r="DH299" i="43"/>
  <c r="DI299" i="43"/>
  <c r="DJ299" i="43"/>
  <c r="DK299" i="43"/>
  <c r="DL299" i="43"/>
  <c r="DM299" i="43"/>
  <c r="DN299" i="43"/>
  <c r="DO299" i="43"/>
  <c r="DP299" i="43"/>
  <c r="DQ299" i="43"/>
  <c r="DR299" i="43"/>
  <c r="DS299" i="43"/>
  <c r="DT299" i="43"/>
  <c r="DU299" i="43"/>
  <c r="DV299" i="43"/>
  <c r="DW299" i="43"/>
  <c r="DX299" i="43"/>
  <c r="DY299" i="43"/>
  <c r="DZ299" i="43"/>
  <c r="EA299" i="43"/>
  <c r="EB299" i="43"/>
  <c r="EC299" i="43"/>
  <c r="ED299" i="43"/>
  <c r="EE299" i="43"/>
  <c r="EF299" i="43"/>
  <c r="EG299" i="43"/>
  <c r="EH299" i="43"/>
  <c r="EI299" i="43"/>
  <c r="EJ299" i="43"/>
  <c r="EK299" i="43"/>
  <c r="EL299" i="43"/>
  <c r="EM299" i="43"/>
  <c r="EN299" i="43"/>
  <c r="EO299" i="43"/>
  <c r="EP299" i="43"/>
  <c r="EQ299" i="43"/>
  <c r="ER299" i="43"/>
  <c r="ES299" i="43"/>
  <c r="ET299" i="43"/>
  <c r="EU299" i="43"/>
  <c r="EV299" i="43"/>
  <c r="EW299" i="43"/>
  <c r="EX299" i="43"/>
  <c r="EY299" i="43"/>
  <c r="EZ299" i="43"/>
  <c r="FA299" i="43"/>
  <c r="FB299" i="43"/>
  <c r="FC299" i="43"/>
  <c r="FD299" i="43"/>
  <c r="FE299" i="43"/>
  <c r="FF299" i="43"/>
  <c r="FG299" i="43"/>
  <c r="FH299" i="43"/>
  <c r="FI299" i="43"/>
  <c r="FJ299" i="43"/>
  <c r="FK299" i="43"/>
  <c r="FL299" i="43"/>
  <c r="FM299" i="43"/>
  <c r="FN299" i="43"/>
  <c r="FO299" i="43"/>
  <c r="FP299" i="43"/>
  <c r="FQ299" i="43"/>
  <c r="FR299" i="43"/>
  <c r="FS299" i="43"/>
  <c r="FT299" i="43"/>
  <c r="FU299" i="43"/>
  <c r="FV299" i="43"/>
  <c r="FW299" i="43"/>
  <c r="FX299" i="43"/>
  <c r="FY299" i="43"/>
  <c r="FZ299" i="43"/>
  <c r="GA299" i="43"/>
  <c r="GB299" i="43"/>
  <c r="GC299" i="43"/>
  <c r="GD299" i="43"/>
  <c r="GE299" i="43"/>
  <c r="GF299" i="43"/>
  <c r="GG299" i="43"/>
  <c r="GH299" i="43"/>
  <c r="GI299" i="43"/>
  <c r="GJ299" i="43"/>
  <c r="GK299" i="43"/>
  <c r="GL299" i="43"/>
  <c r="GM299" i="43"/>
  <c r="GN299" i="43"/>
  <c r="GO299" i="43"/>
  <c r="GP299" i="43"/>
  <c r="GQ299" i="43"/>
  <c r="GR299" i="43"/>
  <c r="GS299" i="43"/>
  <c r="GT299" i="43"/>
  <c r="GU299" i="43"/>
  <c r="GV299" i="43"/>
  <c r="GW299" i="43"/>
  <c r="GX299" i="43"/>
  <c r="GY299" i="43"/>
  <c r="GZ299" i="43"/>
  <c r="HA299" i="43"/>
  <c r="HB299" i="43"/>
  <c r="HC299" i="43"/>
  <c r="HD299" i="43"/>
  <c r="HE299" i="43"/>
  <c r="HF299" i="43"/>
  <c r="HG299" i="43"/>
  <c r="HH299" i="43"/>
  <c r="HI299" i="43"/>
  <c r="HJ299" i="43"/>
  <c r="HK299" i="43"/>
  <c r="HL299" i="43"/>
  <c r="HM299" i="43"/>
  <c r="HN299" i="43"/>
  <c r="HO299" i="43"/>
  <c r="HP299" i="43"/>
  <c r="HQ299" i="43"/>
  <c r="HR299" i="43"/>
  <c r="HS299" i="43"/>
  <c r="HT299" i="43"/>
  <c r="HU299" i="43"/>
  <c r="HV299" i="43"/>
  <c r="HW299" i="43"/>
  <c r="HX299" i="43"/>
  <c r="HY299" i="43"/>
  <c r="HZ299" i="43"/>
  <c r="IA299" i="43"/>
  <c r="IB299" i="43"/>
  <c r="IC299" i="43"/>
  <c r="ID299" i="43"/>
  <c r="IE299" i="43"/>
  <c r="IF299" i="43"/>
  <c r="IG299" i="43"/>
  <c r="IH299" i="43"/>
  <c r="II299" i="43"/>
  <c r="IJ299" i="43"/>
  <c r="IK299" i="43"/>
  <c r="IL299" i="43"/>
  <c r="IM299" i="43"/>
  <c r="IN299" i="43"/>
  <c r="IO299" i="43"/>
  <c r="IP299" i="43"/>
  <c r="IQ299" i="43"/>
  <c r="IR299" i="43"/>
  <c r="IS299" i="43"/>
  <c r="IT299" i="43"/>
  <c r="IU299" i="43"/>
  <c r="IV299" i="43"/>
  <c r="A298" i="43"/>
  <c r="B298" i="43"/>
  <c r="C298" i="43"/>
  <c r="D298" i="43"/>
  <c r="E298" i="43"/>
  <c r="F298" i="43"/>
  <c r="G298" i="43"/>
  <c r="H298" i="43"/>
  <c r="I298" i="43"/>
  <c r="J298" i="43"/>
  <c r="K298" i="43"/>
  <c r="L298" i="43"/>
  <c r="M298" i="43"/>
  <c r="N298" i="43"/>
  <c r="O298" i="43"/>
  <c r="P298" i="43"/>
  <c r="Q298" i="43"/>
  <c r="R298" i="43"/>
  <c r="S298" i="43"/>
  <c r="T298" i="43"/>
  <c r="U298" i="43"/>
  <c r="V298" i="43"/>
  <c r="W298" i="43"/>
  <c r="X298" i="43"/>
  <c r="Y298" i="43"/>
  <c r="Z298" i="43"/>
  <c r="AA298" i="43"/>
  <c r="AB298" i="43"/>
  <c r="AC298" i="43"/>
  <c r="AD298" i="43"/>
  <c r="AE298" i="43"/>
  <c r="AF298" i="43"/>
  <c r="AG298" i="43"/>
  <c r="AH298" i="43"/>
  <c r="AI298" i="43"/>
  <c r="AJ298" i="43"/>
  <c r="AK298" i="43"/>
  <c r="AL298" i="43"/>
  <c r="AM298" i="43"/>
  <c r="AN298" i="43"/>
  <c r="AO298" i="43"/>
  <c r="AP298" i="43"/>
  <c r="AQ298" i="43"/>
  <c r="AR298" i="43"/>
  <c r="AS298" i="43"/>
  <c r="AT298" i="43"/>
  <c r="AU298" i="43"/>
  <c r="AV298" i="43"/>
  <c r="AW298" i="43"/>
  <c r="AX298" i="43"/>
  <c r="AY298" i="43"/>
  <c r="AZ298" i="43"/>
  <c r="BA298" i="43"/>
  <c r="BB298" i="43"/>
  <c r="BC298" i="43"/>
  <c r="BD298" i="43"/>
  <c r="BE298" i="43"/>
  <c r="BF298" i="43"/>
  <c r="BG298" i="43"/>
  <c r="BH298" i="43"/>
  <c r="BI298" i="43"/>
  <c r="BJ298" i="43"/>
  <c r="BK298" i="43"/>
  <c r="BL298" i="43"/>
  <c r="BM298" i="43"/>
  <c r="BN298" i="43"/>
  <c r="BO298" i="43"/>
  <c r="BP298" i="43"/>
  <c r="BQ298" i="43"/>
  <c r="BR298" i="43"/>
  <c r="BS298" i="43"/>
  <c r="BT298" i="43"/>
  <c r="BU298" i="43"/>
  <c r="BV298" i="43"/>
  <c r="BW298" i="43"/>
  <c r="BX298" i="43"/>
  <c r="BY298" i="43"/>
  <c r="BZ298" i="43"/>
  <c r="CA298" i="43"/>
  <c r="CB298" i="43"/>
  <c r="CC298" i="43"/>
  <c r="CD298" i="43"/>
  <c r="CE298" i="43"/>
  <c r="CF298" i="43"/>
  <c r="CG298" i="43"/>
  <c r="CH298" i="43"/>
  <c r="CI298" i="43"/>
  <c r="CJ298" i="43"/>
  <c r="CK298" i="43"/>
  <c r="CL298" i="43"/>
  <c r="CM298" i="43"/>
  <c r="CN298" i="43"/>
  <c r="CO298" i="43"/>
  <c r="CP298" i="43"/>
  <c r="CQ298" i="43"/>
  <c r="CR298" i="43"/>
  <c r="CS298" i="43"/>
  <c r="CT298" i="43"/>
  <c r="CU298" i="43"/>
  <c r="CV298" i="43"/>
  <c r="CW298" i="43"/>
  <c r="CX298" i="43"/>
  <c r="CY298" i="43"/>
  <c r="CZ298" i="43"/>
  <c r="DA298" i="43"/>
  <c r="DB298" i="43"/>
  <c r="DC298" i="43"/>
  <c r="DD298" i="43"/>
  <c r="DE298" i="43"/>
  <c r="DF298" i="43"/>
  <c r="DG298" i="43"/>
  <c r="DH298" i="43"/>
  <c r="DI298" i="43"/>
  <c r="DJ298" i="43"/>
  <c r="DK298" i="43"/>
  <c r="DL298" i="43"/>
  <c r="DM298" i="43"/>
  <c r="DN298" i="43"/>
  <c r="DO298" i="43"/>
  <c r="DP298" i="43"/>
  <c r="DQ298" i="43"/>
  <c r="DR298" i="43"/>
  <c r="DS298" i="43"/>
  <c r="DT298" i="43"/>
  <c r="DU298" i="43"/>
  <c r="DV298" i="43"/>
  <c r="DW298" i="43"/>
  <c r="DX298" i="43"/>
  <c r="DY298" i="43"/>
  <c r="DZ298" i="43"/>
  <c r="EA298" i="43"/>
  <c r="EB298" i="43"/>
  <c r="EC298" i="43"/>
  <c r="ED298" i="43"/>
  <c r="EE298" i="43"/>
  <c r="EF298" i="43"/>
  <c r="EG298" i="43"/>
  <c r="EH298" i="43"/>
  <c r="EI298" i="43"/>
  <c r="EJ298" i="43"/>
  <c r="EK298" i="43"/>
  <c r="EL298" i="43"/>
  <c r="EM298" i="43"/>
  <c r="EN298" i="43"/>
  <c r="EO298" i="43"/>
  <c r="EP298" i="43"/>
  <c r="EQ298" i="43"/>
  <c r="ER298" i="43"/>
  <c r="ES298" i="43"/>
  <c r="ET298" i="43"/>
  <c r="EU298" i="43"/>
  <c r="EV298" i="43"/>
  <c r="EW298" i="43"/>
  <c r="EX298" i="43"/>
  <c r="EY298" i="43"/>
  <c r="EZ298" i="43"/>
  <c r="FA298" i="43"/>
  <c r="FB298" i="43"/>
  <c r="FC298" i="43"/>
  <c r="FD298" i="43"/>
  <c r="FE298" i="43"/>
  <c r="FF298" i="43"/>
  <c r="FG298" i="43"/>
  <c r="FH298" i="43"/>
  <c r="FI298" i="43"/>
  <c r="FJ298" i="43"/>
  <c r="FK298" i="43"/>
  <c r="FL298" i="43"/>
  <c r="FM298" i="43"/>
  <c r="FN298" i="43"/>
  <c r="FO298" i="43"/>
  <c r="FP298" i="43"/>
  <c r="FQ298" i="43"/>
  <c r="FR298" i="43"/>
  <c r="FS298" i="43"/>
  <c r="FT298" i="43"/>
  <c r="FU298" i="43"/>
  <c r="FV298" i="43"/>
  <c r="FW298" i="43"/>
  <c r="FX298" i="43"/>
  <c r="FY298" i="43"/>
  <c r="FZ298" i="43"/>
  <c r="GA298" i="43"/>
  <c r="GB298" i="43"/>
  <c r="GC298" i="43"/>
  <c r="GD298" i="43"/>
  <c r="GE298" i="43"/>
  <c r="GF298" i="43"/>
  <c r="GG298" i="43"/>
  <c r="GH298" i="43"/>
  <c r="GI298" i="43"/>
  <c r="GJ298" i="43"/>
  <c r="GK298" i="43"/>
  <c r="GL298" i="43"/>
  <c r="GM298" i="43"/>
  <c r="GN298" i="43"/>
  <c r="GO298" i="43"/>
  <c r="GP298" i="43"/>
  <c r="GQ298" i="43"/>
  <c r="GR298" i="43"/>
  <c r="GS298" i="43"/>
  <c r="GT298" i="43"/>
  <c r="GU298" i="43"/>
  <c r="GV298" i="43"/>
  <c r="GW298" i="43"/>
  <c r="GX298" i="43"/>
  <c r="GY298" i="43"/>
  <c r="GZ298" i="43"/>
  <c r="HA298" i="43"/>
  <c r="HB298" i="43"/>
  <c r="HC298" i="43"/>
  <c r="HD298" i="43"/>
  <c r="HE298" i="43"/>
  <c r="HF298" i="43"/>
  <c r="HG298" i="43"/>
  <c r="HH298" i="43"/>
  <c r="HI298" i="43"/>
  <c r="HJ298" i="43"/>
  <c r="HK298" i="43"/>
  <c r="HL298" i="43"/>
  <c r="HM298" i="43"/>
  <c r="HN298" i="43"/>
  <c r="HO298" i="43"/>
  <c r="HP298" i="43"/>
  <c r="HQ298" i="43"/>
  <c r="HR298" i="43"/>
  <c r="HS298" i="43"/>
  <c r="HT298" i="43"/>
  <c r="HU298" i="43"/>
  <c r="HV298" i="43"/>
  <c r="HW298" i="43"/>
  <c r="HX298" i="43"/>
  <c r="HY298" i="43"/>
  <c r="HZ298" i="43"/>
  <c r="IA298" i="43"/>
  <c r="IB298" i="43"/>
  <c r="IC298" i="43"/>
  <c r="ID298" i="43"/>
  <c r="IE298" i="43"/>
  <c r="IF298" i="43"/>
  <c r="IG298" i="43"/>
  <c r="IH298" i="43"/>
  <c r="II298" i="43"/>
  <c r="IJ298" i="43"/>
  <c r="IK298" i="43"/>
  <c r="IL298" i="43"/>
  <c r="IM298" i="43"/>
  <c r="IN298" i="43"/>
  <c r="IO298" i="43"/>
  <c r="IP298" i="43"/>
  <c r="IQ298" i="43"/>
  <c r="IR298" i="43"/>
  <c r="IS298" i="43"/>
  <c r="IT298" i="43"/>
  <c r="IU298" i="43"/>
  <c r="IV298" i="43"/>
  <c r="A297" i="43"/>
  <c r="B297" i="43"/>
  <c r="C297" i="43"/>
  <c r="D297" i="43"/>
  <c r="E297" i="43"/>
  <c r="F297" i="43"/>
  <c r="G297" i="43"/>
  <c r="H297" i="43"/>
  <c r="I297" i="43"/>
  <c r="J297" i="43"/>
  <c r="K297" i="43"/>
  <c r="L297" i="43"/>
  <c r="M297" i="43"/>
  <c r="N297" i="43"/>
  <c r="O297" i="43"/>
  <c r="P297" i="43"/>
  <c r="Q297" i="43"/>
  <c r="R297" i="43"/>
  <c r="S297" i="43"/>
  <c r="T297" i="43"/>
  <c r="U297" i="43"/>
  <c r="V297" i="43"/>
  <c r="W297" i="43"/>
  <c r="X297" i="43"/>
  <c r="Y297" i="43"/>
  <c r="Z297" i="43"/>
  <c r="AA297" i="43"/>
  <c r="AB297" i="43"/>
  <c r="AC297" i="43"/>
  <c r="AD297" i="43"/>
  <c r="AE297" i="43"/>
  <c r="AF297" i="43"/>
  <c r="AG297" i="43"/>
  <c r="AH297" i="43"/>
  <c r="AI297" i="43"/>
  <c r="AJ297" i="43"/>
  <c r="AK297" i="43"/>
  <c r="AL297" i="43"/>
  <c r="AM297" i="43"/>
  <c r="AN297" i="43"/>
  <c r="AO297" i="43"/>
  <c r="AP297" i="43"/>
  <c r="AQ297" i="43"/>
  <c r="AR297" i="43"/>
  <c r="AS297" i="43"/>
  <c r="AT297" i="43"/>
  <c r="AU297" i="43"/>
  <c r="AV297" i="43"/>
  <c r="AW297" i="43"/>
  <c r="AX297" i="43"/>
  <c r="AY297" i="43"/>
  <c r="AZ297" i="43"/>
  <c r="BA297" i="43"/>
  <c r="BB297" i="43"/>
  <c r="BC297" i="43"/>
  <c r="BD297" i="43"/>
  <c r="BE297" i="43"/>
  <c r="BF297" i="43"/>
  <c r="BG297" i="43"/>
  <c r="BH297" i="43"/>
  <c r="BI297" i="43"/>
  <c r="BJ297" i="43"/>
  <c r="BK297" i="43"/>
  <c r="BL297" i="43"/>
  <c r="BM297" i="43"/>
  <c r="BN297" i="43"/>
  <c r="BO297" i="43"/>
  <c r="BP297" i="43"/>
  <c r="BQ297" i="43"/>
  <c r="BR297" i="43"/>
  <c r="BS297" i="43"/>
  <c r="BT297" i="43"/>
  <c r="BU297" i="43"/>
  <c r="BV297" i="43"/>
  <c r="BW297" i="43"/>
  <c r="BX297" i="43"/>
  <c r="BY297" i="43"/>
  <c r="BZ297" i="43"/>
  <c r="CA297" i="43"/>
  <c r="CB297" i="43"/>
  <c r="CC297" i="43"/>
  <c r="CD297" i="43"/>
  <c r="CE297" i="43"/>
  <c r="CF297" i="43"/>
  <c r="CG297" i="43"/>
  <c r="CH297" i="43"/>
  <c r="CI297" i="43"/>
  <c r="CJ297" i="43"/>
  <c r="CK297" i="43"/>
  <c r="CL297" i="43"/>
  <c r="CM297" i="43"/>
  <c r="CN297" i="43"/>
  <c r="CO297" i="43"/>
  <c r="CP297" i="43"/>
  <c r="CQ297" i="43"/>
  <c r="CR297" i="43"/>
  <c r="CS297" i="43"/>
  <c r="CT297" i="43"/>
  <c r="CU297" i="43"/>
  <c r="CV297" i="43"/>
  <c r="CW297" i="43"/>
  <c r="CX297" i="43"/>
  <c r="CY297" i="43"/>
  <c r="CZ297" i="43"/>
  <c r="DA297" i="43"/>
  <c r="DB297" i="43"/>
  <c r="DC297" i="43"/>
  <c r="DD297" i="43"/>
  <c r="DE297" i="43"/>
  <c r="DF297" i="43"/>
  <c r="DG297" i="43"/>
  <c r="DH297" i="43"/>
  <c r="DI297" i="43"/>
  <c r="DJ297" i="43"/>
  <c r="DK297" i="43"/>
  <c r="DL297" i="43"/>
  <c r="DM297" i="43"/>
  <c r="DN297" i="43"/>
  <c r="DO297" i="43"/>
  <c r="DP297" i="43"/>
  <c r="DQ297" i="43"/>
  <c r="DR297" i="43"/>
  <c r="DS297" i="43"/>
  <c r="DT297" i="43"/>
  <c r="DU297" i="43"/>
  <c r="DV297" i="43"/>
  <c r="DW297" i="43"/>
  <c r="DX297" i="43"/>
  <c r="DY297" i="43"/>
  <c r="DZ297" i="43"/>
  <c r="EA297" i="43"/>
  <c r="EB297" i="43"/>
  <c r="EC297" i="43"/>
  <c r="ED297" i="43"/>
  <c r="EE297" i="43"/>
  <c r="EF297" i="43"/>
  <c r="EG297" i="43"/>
  <c r="EH297" i="43"/>
  <c r="EI297" i="43"/>
  <c r="EJ297" i="43"/>
  <c r="EK297" i="43"/>
  <c r="EL297" i="43"/>
  <c r="EM297" i="43"/>
  <c r="EN297" i="43"/>
  <c r="EO297" i="43"/>
  <c r="EP297" i="43"/>
  <c r="EQ297" i="43"/>
  <c r="ER297" i="43"/>
  <c r="ES297" i="43"/>
  <c r="ET297" i="43"/>
  <c r="EU297" i="43"/>
  <c r="EV297" i="43"/>
  <c r="EW297" i="43"/>
  <c r="EX297" i="43"/>
  <c r="EY297" i="43"/>
  <c r="EZ297" i="43"/>
  <c r="FA297" i="43"/>
  <c r="FB297" i="43"/>
  <c r="FC297" i="43"/>
  <c r="FD297" i="43"/>
  <c r="FE297" i="43"/>
  <c r="FF297" i="43"/>
  <c r="FG297" i="43"/>
  <c r="FH297" i="43"/>
  <c r="FI297" i="43"/>
  <c r="FJ297" i="43"/>
  <c r="FK297" i="43"/>
  <c r="FL297" i="43"/>
  <c r="FM297" i="43"/>
  <c r="FN297" i="43"/>
  <c r="FO297" i="43"/>
  <c r="FP297" i="43"/>
  <c r="FQ297" i="43"/>
  <c r="FR297" i="43"/>
  <c r="FS297" i="43"/>
  <c r="FT297" i="43"/>
  <c r="FU297" i="43"/>
  <c r="FV297" i="43"/>
  <c r="FW297" i="43"/>
  <c r="FX297" i="43"/>
  <c r="FY297" i="43"/>
  <c r="FZ297" i="43"/>
  <c r="GA297" i="43"/>
  <c r="GB297" i="43"/>
  <c r="GC297" i="43"/>
  <c r="GD297" i="43"/>
  <c r="GE297" i="43"/>
  <c r="GF297" i="43"/>
  <c r="GG297" i="43"/>
  <c r="GH297" i="43"/>
  <c r="GI297" i="43"/>
  <c r="GJ297" i="43"/>
  <c r="GK297" i="43"/>
  <c r="GL297" i="43"/>
  <c r="GM297" i="43"/>
  <c r="GN297" i="43"/>
  <c r="GO297" i="43"/>
  <c r="GP297" i="43"/>
  <c r="GQ297" i="43"/>
  <c r="GR297" i="43"/>
  <c r="GS297" i="43"/>
  <c r="GT297" i="43"/>
  <c r="GU297" i="43"/>
  <c r="GV297" i="43"/>
  <c r="GW297" i="43"/>
  <c r="GX297" i="43"/>
  <c r="GY297" i="43"/>
  <c r="GZ297" i="43"/>
  <c r="HA297" i="43"/>
  <c r="HB297" i="43"/>
  <c r="HC297" i="43"/>
  <c r="HD297" i="43"/>
  <c r="HE297" i="43"/>
  <c r="HF297" i="43"/>
  <c r="HG297" i="43"/>
  <c r="HH297" i="43"/>
  <c r="HI297" i="43"/>
  <c r="HJ297" i="43"/>
  <c r="HK297" i="43"/>
  <c r="HL297" i="43"/>
  <c r="HM297" i="43"/>
  <c r="HN297" i="43"/>
  <c r="HO297" i="43"/>
  <c r="HP297" i="43"/>
  <c r="HQ297" i="43"/>
  <c r="HR297" i="43"/>
  <c r="HS297" i="43"/>
  <c r="HT297" i="43"/>
  <c r="HU297" i="43"/>
  <c r="HV297" i="43"/>
  <c r="HW297" i="43"/>
  <c r="HX297" i="43"/>
  <c r="HY297" i="43"/>
  <c r="HZ297" i="43"/>
  <c r="IA297" i="43"/>
  <c r="IB297" i="43"/>
  <c r="IC297" i="43"/>
  <c r="ID297" i="43"/>
  <c r="IE297" i="43"/>
  <c r="IF297" i="43"/>
  <c r="IG297" i="43"/>
  <c r="IH297" i="43"/>
  <c r="II297" i="43"/>
  <c r="IJ297" i="43"/>
  <c r="IK297" i="43"/>
  <c r="IL297" i="43"/>
  <c r="IM297" i="43"/>
  <c r="IN297" i="43"/>
  <c r="IO297" i="43"/>
  <c r="IP297" i="43"/>
  <c r="IQ297" i="43"/>
  <c r="IR297" i="43"/>
  <c r="IS297" i="43"/>
  <c r="IT297" i="43"/>
  <c r="IU297" i="43"/>
  <c r="IV297" i="43"/>
  <c r="A296" i="43"/>
  <c r="B296" i="43"/>
  <c r="C296" i="43"/>
  <c r="D296" i="43"/>
  <c r="E296" i="43"/>
  <c r="F296" i="43"/>
  <c r="G296" i="43"/>
  <c r="H296" i="43"/>
  <c r="I296" i="43"/>
  <c r="J296" i="43"/>
  <c r="K296" i="43"/>
  <c r="L296" i="43"/>
  <c r="M296" i="43"/>
  <c r="N296" i="43"/>
  <c r="O296" i="43"/>
  <c r="P296" i="43"/>
  <c r="Q296" i="43"/>
  <c r="R296" i="43"/>
  <c r="S296" i="43"/>
  <c r="T296" i="43"/>
  <c r="U296" i="43"/>
  <c r="V296" i="43"/>
  <c r="W296" i="43"/>
  <c r="X296" i="43"/>
  <c r="Y296" i="43"/>
  <c r="Z296" i="43"/>
  <c r="AA296" i="43"/>
  <c r="AB296" i="43"/>
  <c r="AC296" i="43"/>
  <c r="AD296" i="43"/>
  <c r="AE296" i="43"/>
  <c r="AF296" i="43"/>
  <c r="AG296" i="43"/>
  <c r="AH296" i="43"/>
  <c r="AI296" i="43"/>
  <c r="AJ296" i="43"/>
  <c r="AK296" i="43"/>
  <c r="AL296" i="43"/>
  <c r="AM296" i="43"/>
  <c r="AN296" i="43"/>
  <c r="AO296" i="43"/>
  <c r="AP296" i="43"/>
  <c r="AQ296" i="43"/>
  <c r="AR296" i="43"/>
  <c r="AS296" i="43"/>
  <c r="AT296" i="43"/>
  <c r="AU296" i="43"/>
  <c r="AV296" i="43"/>
  <c r="AW296" i="43"/>
  <c r="AX296" i="43"/>
  <c r="AY296" i="43"/>
  <c r="AZ296" i="43"/>
  <c r="BA296" i="43"/>
  <c r="BB296" i="43"/>
  <c r="BC296" i="43"/>
  <c r="BD296" i="43"/>
  <c r="BE296" i="43"/>
  <c r="BF296" i="43"/>
  <c r="BG296" i="43"/>
  <c r="BH296" i="43"/>
  <c r="BI296" i="43"/>
  <c r="BJ296" i="43"/>
  <c r="BK296" i="43"/>
  <c r="BL296" i="43"/>
  <c r="BM296" i="43"/>
  <c r="BN296" i="43"/>
  <c r="BO296" i="43"/>
  <c r="BP296" i="43"/>
  <c r="BQ296" i="43"/>
  <c r="BR296" i="43"/>
  <c r="BS296" i="43"/>
  <c r="BT296" i="43"/>
  <c r="BU296" i="43"/>
  <c r="BV296" i="43"/>
  <c r="BW296" i="43"/>
  <c r="BX296" i="43"/>
  <c r="BY296" i="43"/>
  <c r="BZ296" i="43"/>
  <c r="CA296" i="43"/>
  <c r="CB296" i="43"/>
  <c r="CC296" i="43"/>
  <c r="CD296" i="43"/>
  <c r="CE296" i="43"/>
  <c r="CF296" i="43"/>
  <c r="CG296" i="43"/>
  <c r="CH296" i="43"/>
  <c r="CI296" i="43"/>
  <c r="CJ296" i="43"/>
  <c r="CK296" i="43"/>
  <c r="CL296" i="43"/>
  <c r="CM296" i="43"/>
  <c r="CN296" i="43"/>
  <c r="CO296" i="43"/>
  <c r="CP296" i="43"/>
  <c r="CQ296" i="43"/>
  <c r="CR296" i="43"/>
  <c r="CS296" i="43"/>
  <c r="CT296" i="43"/>
  <c r="CU296" i="43"/>
  <c r="CV296" i="43"/>
  <c r="CW296" i="43"/>
  <c r="CX296" i="43"/>
  <c r="CY296" i="43"/>
  <c r="CZ296" i="43"/>
  <c r="DA296" i="43"/>
  <c r="DB296" i="43"/>
  <c r="DC296" i="43"/>
  <c r="DD296" i="43"/>
  <c r="DE296" i="43"/>
  <c r="DF296" i="43"/>
  <c r="DG296" i="43"/>
  <c r="DH296" i="43"/>
  <c r="DI296" i="43"/>
  <c r="DJ296" i="43"/>
  <c r="DK296" i="43"/>
  <c r="DL296" i="43"/>
  <c r="DM296" i="43"/>
  <c r="DN296" i="43"/>
  <c r="DO296" i="43"/>
  <c r="DP296" i="43"/>
  <c r="DQ296" i="43"/>
  <c r="DR296" i="43"/>
  <c r="DS296" i="43"/>
  <c r="DT296" i="43"/>
  <c r="DU296" i="43"/>
  <c r="DV296" i="43"/>
  <c r="DW296" i="43"/>
  <c r="DX296" i="43"/>
  <c r="DY296" i="43"/>
  <c r="DZ296" i="43"/>
  <c r="EA296" i="43"/>
  <c r="EB296" i="43"/>
  <c r="EC296" i="43"/>
  <c r="ED296" i="43"/>
  <c r="EE296" i="43"/>
  <c r="EF296" i="43"/>
  <c r="EG296" i="43"/>
  <c r="EH296" i="43"/>
  <c r="EI296" i="43"/>
  <c r="EJ296" i="43"/>
  <c r="EK296" i="43"/>
  <c r="EL296" i="43"/>
  <c r="EM296" i="43"/>
  <c r="EN296" i="43"/>
  <c r="EO296" i="43"/>
  <c r="EP296" i="43"/>
  <c r="EQ296" i="43"/>
  <c r="ER296" i="43"/>
  <c r="ES296" i="43"/>
  <c r="ET296" i="43"/>
  <c r="EU296" i="43"/>
  <c r="EV296" i="43"/>
  <c r="EW296" i="43"/>
  <c r="EX296" i="43"/>
  <c r="EY296" i="43"/>
  <c r="EZ296" i="43"/>
  <c r="FA296" i="43"/>
  <c r="FB296" i="43"/>
  <c r="FC296" i="43"/>
  <c r="FD296" i="43"/>
  <c r="FE296" i="43"/>
  <c r="FF296" i="43"/>
  <c r="FG296" i="43"/>
  <c r="FH296" i="43"/>
  <c r="FI296" i="43"/>
  <c r="FJ296" i="43"/>
  <c r="FK296" i="43"/>
  <c r="FL296" i="43"/>
  <c r="FM296" i="43"/>
  <c r="FN296" i="43"/>
  <c r="FO296" i="43"/>
  <c r="FP296" i="43"/>
  <c r="FQ296" i="43"/>
  <c r="FR296" i="43"/>
  <c r="FS296" i="43"/>
  <c r="FT296" i="43"/>
  <c r="FU296" i="43"/>
  <c r="FV296" i="43"/>
  <c r="FW296" i="43"/>
  <c r="FX296" i="43"/>
  <c r="FY296" i="43"/>
  <c r="FZ296" i="43"/>
  <c r="GA296" i="43"/>
  <c r="GB296" i="43"/>
  <c r="GC296" i="43"/>
  <c r="GD296" i="43"/>
  <c r="GE296" i="43"/>
  <c r="GF296" i="43"/>
  <c r="GG296" i="43"/>
  <c r="GH296" i="43"/>
  <c r="GI296" i="43"/>
  <c r="GJ296" i="43"/>
  <c r="GK296" i="43"/>
  <c r="GL296" i="43"/>
  <c r="GM296" i="43"/>
  <c r="GN296" i="43"/>
  <c r="GO296" i="43"/>
  <c r="GP296" i="43"/>
  <c r="GQ296" i="43"/>
  <c r="GR296" i="43"/>
  <c r="GS296" i="43"/>
  <c r="GT296" i="43"/>
  <c r="GU296" i="43"/>
  <c r="GV296" i="43"/>
  <c r="GW296" i="43"/>
  <c r="GX296" i="43"/>
  <c r="GY296" i="43"/>
  <c r="GZ296" i="43"/>
  <c r="HA296" i="43"/>
  <c r="HB296" i="43"/>
  <c r="HC296" i="43"/>
  <c r="HD296" i="43"/>
  <c r="HE296" i="43"/>
  <c r="HF296" i="43"/>
  <c r="HG296" i="43"/>
  <c r="HH296" i="43"/>
  <c r="HI296" i="43"/>
  <c r="HJ296" i="43"/>
  <c r="HK296" i="43"/>
  <c r="HL296" i="43"/>
  <c r="HM296" i="43"/>
  <c r="HN296" i="43"/>
  <c r="HO296" i="43"/>
  <c r="HP296" i="43"/>
  <c r="HQ296" i="43"/>
  <c r="HR296" i="43"/>
  <c r="HS296" i="43"/>
  <c r="HT296" i="43"/>
  <c r="HU296" i="43"/>
  <c r="HV296" i="43"/>
  <c r="HW296" i="43"/>
  <c r="HX296" i="43"/>
  <c r="HY296" i="43"/>
  <c r="HZ296" i="43"/>
  <c r="IA296" i="43"/>
  <c r="IB296" i="43"/>
  <c r="IC296" i="43"/>
  <c r="ID296" i="43"/>
  <c r="IE296" i="43"/>
  <c r="IF296" i="43"/>
  <c r="IG296" i="43"/>
  <c r="IH296" i="43"/>
  <c r="II296" i="43"/>
  <c r="IJ296" i="43"/>
  <c r="IK296" i="43"/>
  <c r="IL296" i="43"/>
  <c r="IM296" i="43"/>
  <c r="IN296" i="43"/>
  <c r="IO296" i="43"/>
  <c r="IP296" i="43"/>
  <c r="IQ296" i="43"/>
  <c r="IR296" i="43"/>
  <c r="IS296" i="43"/>
  <c r="IT296" i="43"/>
  <c r="IU296" i="43"/>
  <c r="IV296" i="43"/>
  <c r="A295" i="43"/>
  <c r="B295" i="43"/>
  <c r="C295" i="43"/>
  <c r="D295" i="43"/>
  <c r="E295" i="43"/>
  <c r="F295" i="43"/>
  <c r="G295" i="43"/>
  <c r="H295" i="43"/>
  <c r="I295" i="43"/>
  <c r="J295" i="43"/>
  <c r="K295" i="43"/>
  <c r="L295" i="43"/>
  <c r="M295" i="43"/>
  <c r="N295" i="43"/>
  <c r="O295" i="43"/>
  <c r="P295" i="43"/>
  <c r="Q295" i="43"/>
  <c r="R295" i="43"/>
  <c r="S295" i="43"/>
  <c r="T295" i="43"/>
  <c r="U295" i="43"/>
  <c r="V295" i="43"/>
  <c r="W295" i="43"/>
  <c r="X295" i="43"/>
  <c r="Y295" i="43"/>
  <c r="Z295" i="43"/>
  <c r="AA295" i="43"/>
  <c r="AB295" i="43"/>
  <c r="AC295" i="43"/>
  <c r="AD295" i="43"/>
  <c r="AE295" i="43"/>
  <c r="AF295" i="43"/>
  <c r="AG295" i="43"/>
  <c r="AH295" i="43"/>
  <c r="AI295" i="43"/>
  <c r="AJ295" i="43"/>
  <c r="AK295" i="43"/>
  <c r="AL295" i="43"/>
  <c r="AM295" i="43"/>
  <c r="AN295" i="43"/>
  <c r="AO295" i="43"/>
  <c r="AP295" i="43"/>
  <c r="AQ295" i="43"/>
  <c r="AR295" i="43"/>
  <c r="AS295" i="43"/>
  <c r="AT295" i="43"/>
  <c r="AU295" i="43"/>
  <c r="AV295" i="43"/>
  <c r="AW295" i="43"/>
  <c r="AX295" i="43"/>
  <c r="AY295" i="43"/>
  <c r="AZ295" i="43"/>
  <c r="BA295" i="43"/>
  <c r="BB295" i="43"/>
  <c r="BC295" i="43"/>
  <c r="BD295" i="43"/>
  <c r="BE295" i="43"/>
  <c r="BF295" i="43"/>
  <c r="BG295" i="43"/>
  <c r="BH295" i="43"/>
  <c r="BI295" i="43"/>
  <c r="BJ295" i="43"/>
  <c r="BK295" i="43"/>
  <c r="BL295" i="43"/>
  <c r="BM295" i="43"/>
  <c r="BN295" i="43"/>
  <c r="BO295" i="43"/>
  <c r="BP295" i="43"/>
  <c r="BQ295" i="43"/>
  <c r="BR295" i="43"/>
  <c r="BS295" i="43"/>
  <c r="BT295" i="43"/>
  <c r="BU295" i="43"/>
  <c r="BV295" i="43"/>
  <c r="BW295" i="43"/>
  <c r="BX295" i="43"/>
  <c r="BY295" i="43"/>
  <c r="BZ295" i="43"/>
  <c r="CA295" i="43"/>
  <c r="CB295" i="43"/>
  <c r="CC295" i="43"/>
  <c r="CD295" i="43"/>
  <c r="CE295" i="43"/>
  <c r="CF295" i="43"/>
  <c r="CG295" i="43"/>
  <c r="CH295" i="43"/>
  <c r="CI295" i="43"/>
  <c r="CJ295" i="43"/>
  <c r="CK295" i="43"/>
  <c r="CL295" i="43"/>
  <c r="CM295" i="43"/>
  <c r="CN295" i="43"/>
  <c r="CO295" i="43"/>
  <c r="CP295" i="43"/>
  <c r="CQ295" i="43"/>
  <c r="CR295" i="43"/>
  <c r="CS295" i="43"/>
  <c r="CT295" i="43"/>
  <c r="CU295" i="43"/>
  <c r="CV295" i="43"/>
  <c r="CW295" i="43"/>
  <c r="CX295" i="43"/>
  <c r="CY295" i="43"/>
  <c r="CZ295" i="43"/>
  <c r="DA295" i="43"/>
  <c r="DB295" i="43"/>
  <c r="DC295" i="43"/>
  <c r="DD295" i="43"/>
  <c r="DE295" i="43"/>
  <c r="DF295" i="43"/>
  <c r="DG295" i="43"/>
  <c r="DH295" i="43"/>
  <c r="DI295" i="43"/>
  <c r="DJ295" i="43"/>
  <c r="DK295" i="43"/>
  <c r="DL295" i="43"/>
  <c r="DM295" i="43"/>
  <c r="DN295" i="43"/>
  <c r="DO295" i="43"/>
  <c r="DP295" i="43"/>
  <c r="DQ295" i="43"/>
  <c r="DR295" i="43"/>
  <c r="DS295" i="43"/>
  <c r="DT295" i="43"/>
  <c r="DU295" i="43"/>
  <c r="DV295" i="43"/>
  <c r="DW295" i="43"/>
  <c r="DX295" i="43"/>
  <c r="DY295" i="43"/>
  <c r="DZ295" i="43"/>
  <c r="EA295" i="43"/>
  <c r="EB295" i="43"/>
  <c r="EC295" i="43"/>
  <c r="ED295" i="43"/>
  <c r="EE295" i="43"/>
  <c r="EF295" i="43"/>
  <c r="EG295" i="43"/>
  <c r="EH295" i="43"/>
  <c r="EI295" i="43"/>
  <c r="EJ295" i="43"/>
  <c r="EK295" i="43"/>
  <c r="EL295" i="43"/>
  <c r="EM295" i="43"/>
  <c r="EN295" i="43"/>
  <c r="EO295" i="43"/>
  <c r="EP295" i="43"/>
  <c r="EQ295" i="43"/>
  <c r="ER295" i="43"/>
  <c r="ES295" i="43"/>
  <c r="ET295" i="43"/>
  <c r="EU295" i="43"/>
  <c r="EV295" i="43"/>
  <c r="EW295" i="43"/>
  <c r="EX295" i="43"/>
  <c r="EY295" i="43"/>
  <c r="EZ295" i="43"/>
  <c r="FA295" i="43"/>
  <c r="FB295" i="43"/>
  <c r="FC295" i="43"/>
  <c r="FD295" i="43"/>
  <c r="FE295" i="43"/>
  <c r="FF295" i="43"/>
  <c r="FG295" i="43"/>
  <c r="FH295" i="43"/>
  <c r="FI295" i="43"/>
  <c r="FJ295" i="43"/>
  <c r="FK295" i="43"/>
  <c r="FL295" i="43"/>
  <c r="FM295" i="43"/>
  <c r="FN295" i="43"/>
  <c r="FO295" i="43"/>
  <c r="FP295" i="43"/>
  <c r="FQ295" i="43"/>
  <c r="FR295" i="43"/>
  <c r="FS295" i="43"/>
  <c r="FT295" i="43"/>
  <c r="FU295" i="43"/>
  <c r="FV295" i="43"/>
  <c r="FW295" i="43"/>
  <c r="FX295" i="43"/>
  <c r="FY295" i="43"/>
  <c r="FZ295" i="43"/>
  <c r="GA295" i="43"/>
  <c r="GB295" i="43"/>
  <c r="GC295" i="43"/>
  <c r="GD295" i="43"/>
  <c r="GE295" i="43"/>
  <c r="GF295" i="43"/>
  <c r="GG295" i="43"/>
  <c r="GH295" i="43"/>
  <c r="GI295" i="43"/>
  <c r="GJ295" i="43"/>
  <c r="GK295" i="43"/>
  <c r="GL295" i="43"/>
  <c r="GM295" i="43"/>
  <c r="GN295" i="43"/>
  <c r="GO295" i="43"/>
  <c r="GP295" i="43"/>
  <c r="GQ295" i="43"/>
  <c r="GR295" i="43"/>
  <c r="GS295" i="43"/>
  <c r="GT295" i="43"/>
  <c r="GU295" i="43"/>
  <c r="GV295" i="43"/>
  <c r="GW295" i="43"/>
  <c r="GX295" i="43"/>
  <c r="GY295" i="43"/>
  <c r="GZ295" i="43"/>
  <c r="HA295" i="43"/>
  <c r="HB295" i="43"/>
  <c r="HC295" i="43"/>
  <c r="HD295" i="43"/>
  <c r="HE295" i="43"/>
  <c r="HF295" i="43"/>
  <c r="HG295" i="43"/>
  <c r="HH295" i="43"/>
  <c r="HI295" i="43"/>
  <c r="HJ295" i="43"/>
  <c r="HK295" i="43"/>
  <c r="HL295" i="43"/>
  <c r="HM295" i="43"/>
  <c r="HN295" i="43"/>
  <c r="HO295" i="43"/>
  <c r="HP295" i="43"/>
  <c r="HQ295" i="43"/>
  <c r="HR295" i="43"/>
  <c r="HS295" i="43"/>
  <c r="HT295" i="43"/>
  <c r="HU295" i="43"/>
  <c r="HV295" i="43"/>
  <c r="HW295" i="43"/>
  <c r="HX295" i="43"/>
  <c r="HY295" i="43"/>
  <c r="HZ295" i="43"/>
  <c r="IA295" i="43"/>
  <c r="IB295" i="43"/>
  <c r="IC295" i="43"/>
  <c r="ID295" i="43"/>
  <c r="IE295" i="43"/>
  <c r="IF295" i="43"/>
  <c r="IG295" i="43"/>
  <c r="IH295" i="43"/>
  <c r="II295" i="43"/>
  <c r="IJ295" i="43"/>
  <c r="IK295" i="43"/>
  <c r="IL295" i="43"/>
  <c r="IM295" i="43"/>
  <c r="IN295" i="43"/>
  <c r="IO295" i="43"/>
  <c r="IP295" i="43"/>
  <c r="IQ295" i="43"/>
  <c r="IR295" i="43"/>
  <c r="IS295" i="43"/>
  <c r="IT295" i="43"/>
  <c r="IU295" i="43"/>
  <c r="IV295" i="43"/>
  <c r="A294" i="43"/>
  <c r="B294" i="43"/>
  <c r="C294" i="43"/>
  <c r="D294" i="43"/>
  <c r="E294" i="43"/>
  <c r="F294" i="43"/>
  <c r="G294" i="43"/>
  <c r="H294" i="43"/>
  <c r="I294" i="43"/>
  <c r="J294" i="43"/>
  <c r="K294" i="43"/>
  <c r="L294" i="43"/>
  <c r="M294" i="43"/>
  <c r="N294" i="43"/>
  <c r="O294" i="43"/>
  <c r="P294" i="43"/>
  <c r="Q294" i="43"/>
  <c r="R294" i="43"/>
  <c r="S294" i="43"/>
  <c r="T294" i="43"/>
  <c r="U294" i="43"/>
  <c r="V294" i="43"/>
  <c r="W294" i="43"/>
  <c r="X294" i="43"/>
  <c r="Y294" i="43"/>
  <c r="Z294" i="43"/>
  <c r="AA294" i="43"/>
  <c r="AB294" i="43"/>
  <c r="AC294" i="43"/>
  <c r="AD294" i="43"/>
  <c r="AE294" i="43"/>
  <c r="AF294" i="43"/>
  <c r="AG294" i="43"/>
  <c r="AH294" i="43"/>
  <c r="AI294" i="43"/>
  <c r="AJ294" i="43"/>
  <c r="AK294" i="43"/>
  <c r="AL294" i="43"/>
  <c r="AM294" i="43"/>
  <c r="AN294" i="43"/>
  <c r="AO294" i="43"/>
  <c r="AP294" i="43"/>
  <c r="AQ294" i="43"/>
  <c r="AR294" i="43"/>
  <c r="AS294" i="43"/>
  <c r="AT294" i="43"/>
  <c r="AU294" i="43"/>
  <c r="AV294" i="43"/>
  <c r="AW294" i="43"/>
  <c r="AX294" i="43"/>
  <c r="AY294" i="43"/>
  <c r="AZ294" i="43"/>
  <c r="BA294" i="43"/>
  <c r="BB294" i="43"/>
  <c r="BC294" i="43"/>
  <c r="BD294" i="43"/>
  <c r="BE294" i="43"/>
  <c r="BF294" i="43"/>
  <c r="BG294" i="43"/>
  <c r="BH294" i="43"/>
  <c r="BI294" i="43"/>
  <c r="BJ294" i="43"/>
  <c r="BK294" i="43"/>
  <c r="BL294" i="43"/>
  <c r="BM294" i="43"/>
  <c r="BN294" i="43"/>
  <c r="BO294" i="43"/>
  <c r="BP294" i="43"/>
  <c r="BQ294" i="43"/>
  <c r="BR294" i="43"/>
  <c r="BS294" i="43"/>
  <c r="BT294" i="43"/>
  <c r="BU294" i="43"/>
  <c r="BV294" i="43"/>
  <c r="BW294" i="43"/>
  <c r="BX294" i="43"/>
  <c r="BY294" i="43"/>
  <c r="BZ294" i="43"/>
  <c r="CA294" i="43"/>
  <c r="CB294" i="43"/>
  <c r="CC294" i="43"/>
  <c r="CD294" i="43"/>
  <c r="CE294" i="43"/>
  <c r="CF294" i="43"/>
  <c r="CG294" i="43"/>
  <c r="CH294" i="43"/>
  <c r="CI294" i="43"/>
  <c r="CJ294" i="43"/>
  <c r="CK294" i="43"/>
  <c r="CL294" i="43"/>
  <c r="CM294" i="43"/>
  <c r="CN294" i="43"/>
  <c r="CO294" i="43"/>
  <c r="CP294" i="43"/>
  <c r="CQ294" i="43"/>
  <c r="CR294" i="43"/>
  <c r="CS294" i="43"/>
  <c r="CT294" i="43"/>
  <c r="CU294" i="43"/>
  <c r="CV294" i="43"/>
  <c r="CW294" i="43"/>
  <c r="CX294" i="43"/>
  <c r="CY294" i="43"/>
  <c r="CZ294" i="43"/>
  <c r="DA294" i="43"/>
  <c r="DB294" i="43"/>
  <c r="DC294" i="43"/>
  <c r="DD294" i="43"/>
  <c r="DE294" i="43"/>
  <c r="DF294" i="43"/>
  <c r="DG294" i="43"/>
  <c r="DH294" i="43"/>
  <c r="DI294" i="43"/>
  <c r="DJ294" i="43"/>
  <c r="DK294" i="43"/>
  <c r="DL294" i="43"/>
  <c r="DM294" i="43"/>
  <c r="DN294" i="43"/>
  <c r="DO294" i="43"/>
  <c r="DP294" i="43"/>
  <c r="DQ294" i="43"/>
  <c r="DR294" i="43"/>
  <c r="DS294" i="43"/>
  <c r="DT294" i="43"/>
  <c r="DU294" i="43"/>
  <c r="DV294" i="43"/>
  <c r="DW294" i="43"/>
  <c r="DX294" i="43"/>
  <c r="DY294" i="43"/>
  <c r="DZ294" i="43"/>
  <c r="EA294" i="43"/>
  <c r="EB294" i="43"/>
  <c r="EC294" i="43"/>
  <c r="ED294" i="43"/>
  <c r="EE294" i="43"/>
  <c r="EF294" i="43"/>
  <c r="EG294" i="43"/>
  <c r="EH294" i="43"/>
  <c r="EI294" i="43"/>
  <c r="EJ294" i="43"/>
  <c r="EK294" i="43"/>
  <c r="EL294" i="43"/>
  <c r="EM294" i="43"/>
  <c r="EN294" i="43"/>
  <c r="EO294" i="43"/>
  <c r="EP294" i="43"/>
  <c r="EQ294" i="43"/>
  <c r="ER294" i="43"/>
  <c r="ES294" i="43"/>
  <c r="ET294" i="43"/>
  <c r="EU294" i="43"/>
  <c r="EV294" i="43"/>
  <c r="EW294" i="43"/>
  <c r="EX294" i="43"/>
  <c r="EY294" i="43"/>
  <c r="EZ294" i="43"/>
  <c r="FA294" i="43"/>
  <c r="FB294" i="43"/>
  <c r="FC294" i="43"/>
  <c r="FD294" i="43"/>
  <c r="FE294" i="43"/>
  <c r="FF294" i="43"/>
  <c r="FG294" i="43"/>
  <c r="FH294" i="43"/>
  <c r="FI294" i="43"/>
  <c r="FJ294" i="43"/>
  <c r="FK294" i="43"/>
  <c r="FL294" i="43"/>
  <c r="FM294" i="43"/>
  <c r="FN294" i="43"/>
  <c r="FO294" i="43"/>
  <c r="FP294" i="43"/>
  <c r="FQ294" i="43"/>
  <c r="FR294" i="43"/>
  <c r="FS294" i="43"/>
  <c r="FT294" i="43"/>
  <c r="FU294" i="43"/>
  <c r="FV294" i="43"/>
  <c r="FW294" i="43"/>
  <c r="FX294" i="43"/>
  <c r="FY294" i="43"/>
  <c r="FZ294" i="43"/>
  <c r="GA294" i="43"/>
  <c r="GB294" i="43"/>
  <c r="GC294" i="43"/>
  <c r="GD294" i="43"/>
  <c r="GE294" i="43"/>
  <c r="GF294" i="43"/>
  <c r="GG294" i="43"/>
  <c r="GH294" i="43"/>
  <c r="GI294" i="43"/>
  <c r="GJ294" i="43"/>
  <c r="GK294" i="43"/>
  <c r="GL294" i="43"/>
  <c r="GM294" i="43"/>
  <c r="GN294" i="43"/>
  <c r="GO294" i="43"/>
  <c r="GP294" i="43"/>
  <c r="GQ294" i="43"/>
  <c r="GR294" i="43"/>
  <c r="GS294" i="43"/>
  <c r="GT294" i="43"/>
  <c r="GU294" i="43"/>
  <c r="GV294" i="43"/>
  <c r="GW294" i="43"/>
  <c r="GX294" i="43"/>
  <c r="GY294" i="43"/>
  <c r="GZ294" i="43"/>
  <c r="HA294" i="43"/>
  <c r="HB294" i="43"/>
  <c r="HC294" i="43"/>
  <c r="HD294" i="43"/>
  <c r="HE294" i="43"/>
  <c r="HF294" i="43"/>
  <c r="HG294" i="43"/>
  <c r="HH294" i="43"/>
  <c r="HI294" i="43"/>
  <c r="HJ294" i="43"/>
  <c r="HK294" i="43"/>
  <c r="HL294" i="43"/>
  <c r="HM294" i="43"/>
  <c r="HN294" i="43"/>
  <c r="HO294" i="43"/>
  <c r="HP294" i="43"/>
  <c r="HQ294" i="43"/>
  <c r="HR294" i="43"/>
  <c r="HS294" i="43"/>
  <c r="HT294" i="43"/>
  <c r="HU294" i="43"/>
  <c r="HV294" i="43"/>
  <c r="HW294" i="43"/>
  <c r="HX294" i="43"/>
  <c r="HY294" i="43"/>
  <c r="HZ294" i="43"/>
  <c r="IA294" i="43"/>
  <c r="IB294" i="43"/>
  <c r="IC294" i="43"/>
  <c r="ID294" i="43"/>
  <c r="IE294" i="43"/>
  <c r="IF294" i="43"/>
  <c r="IG294" i="43"/>
  <c r="IH294" i="43"/>
  <c r="II294" i="43"/>
  <c r="IJ294" i="43"/>
  <c r="IK294" i="43"/>
  <c r="IL294" i="43"/>
  <c r="IM294" i="43"/>
  <c r="IN294" i="43"/>
  <c r="IO294" i="43"/>
  <c r="IP294" i="43"/>
  <c r="IQ294" i="43"/>
  <c r="IR294" i="43"/>
  <c r="IS294" i="43"/>
  <c r="IT294" i="43"/>
  <c r="IU294" i="43"/>
  <c r="IV294" i="43"/>
  <c r="A293" i="43"/>
  <c r="B293" i="43"/>
  <c r="C293" i="43"/>
  <c r="D293" i="43"/>
  <c r="E293" i="43"/>
  <c r="F293" i="43"/>
  <c r="G293" i="43"/>
  <c r="H293" i="43"/>
  <c r="I293" i="43"/>
  <c r="J293" i="43"/>
  <c r="K293" i="43"/>
  <c r="L293" i="43"/>
  <c r="M293" i="43"/>
  <c r="N293" i="43"/>
  <c r="O293" i="43"/>
  <c r="P293" i="43"/>
  <c r="Q293" i="43"/>
  <c r="R293" i="43"/>
  <c r="S293" i="43"/>
  <c r="T293" i="43"/>
  <c r="U293" i="43"/>
  <c r="V293" i="43"/>
  <c r="W293" i="43"/>
  <c r="X293" i="43"/>
  <c r="Y293" i="43"/>
  <c r="Z293" i="43"/>
  <c r="AA293" i="43"/>
  <c r="AB293" i="43"/>
  <c r="AC293" i="43"/>
  <c r="AD293" i="43"/>
  <c r="AE293" i="43"/>
  <c r="AF293" i="43"/>
  <c r="AG293" i="43"/>
  <c r="AH293" i="43"/>
  <c r="AI293" i="43"/>
  <c r="AJ293" i="43"/>
  <c r="AK293" i="43"/>
  <c r="AL293" i="43"/>
  <c r="AM293" i="43"/>
  <c r="AN293" i="43"/>
  <c r="AO293" i="43"/>
  <c r="AP293" i="43"/>
  <c r="AQ293" i="43"/>
  <c r="AR293" i="43"/>
  <c r="AS293" i="43"/>
  <c r="AT293" i="43"/>
  <c r="AU293" i="43"/>
  <c r="AV293" i="43"/>
  <c r="AW293" i="43"/>
  <c r="AX293" i="43"/>
  <c r="AY293" i="43"/>
  <c r="AZ293" i="43"/>
  <c r="BA293" i="43"/>
  <c r="BB293" i="43"/>
  <c r="BC293" i="43"/>
  <c r="BD293" i="43"/>
  <c r="BE293" i="43"/>
  <c r="BF293" i="43"/>
  <c r="BG293" i="43"/>
  <c r="BH293" i="43"/>
  <c r="BI293" i="43"/>
  <c r="BJ293" i="43"/>
  <c r="BK293" i="43"/>
  <c r="BL293" i="43"/>
  <c r="BM293" i="43"/>
  <c r="BN293" i="43"/>
  <c r="BO293" i="43"/>
  <c r="BP293" i="43"/>
  <c r="BQ293" i="43"/>
  <c r="BR293" i="43"/>
  <c r="BS293" i="43"/>
  <c r="BT293" i="43"/>
  <c r="BU293" i="43"/>
  <c r="BV293" i="43"/>
  <c r="BW293" i="43"/>
  <c r="BX293" i="43"/>
  <c r="BY293" i="43"/>
  <c r="BZ293" i="43"/>
  <c r="CA293" i="43"/>
  <c r="CB293" i="43"/>
  <c r="CC293" i="43"/>
  <c r="CD293" i="43"/>
  <c r="CE293" i="43"/>
  <c r="CF293" i="43"/>
  <c r="CG293" i="43"/>
  <c r="CH293" i="43"/>
  <c r="CI293" i="43"/>
  <c r="CJ293" i="43"/>
  <c r="CK293" i="43"/>
  <c r="CL293" i="43"/>
  <c r="CM293" i="43"/>
  <c r="CN293" i="43"/>
  <c r="CO293" i="43"/>
  <c r="CP293" i="43"/>
  <c r="CQ293" i="43"/>
  <c r="CR293" i="43"/>
  <c r="CS293" i="43"/>
  <c r="CT293" i="43"/>
  <c r="CU293" i="43"/>
  <c r="CV293" i="43"/>
  <c r="CW293" i="43"/>
  <c r="CX293" i="43"/>
  <c r="CY293" i="43"/>
  <c r="CZ293" i="43"/>
  <c r="DA293" i="43"/>
  <c r="DB293" i="43"/>
  <c r="DC293" i="43"/>
  <c r="DD293" i="43"/>
  <c r="DE293" i="43"/>
  <c r="DF293" i="43"/>
  <c r="DG293" i="43"/>
  <c r="DH293" i="43"/>
  <c r="DI293" i="43"/>
  <c r="DJ293" i="43"/>
  <c r="DK293" i="43"/>
  <c r="DL293" i="43"/>
  <c r="DM293" i="43"/>
  <c r="DN293" i="43"/>
  <c r="DO293" i="43"/>
  <c r="DP293" i="43"/>
  <c r="DQ293" i="43"/>
  <c r="DR293" i="43"/>
  <c r="DS293" i="43"/>
  <c r="DT293" i="43"/>
  <c r="DU293" i="43"/>
  <c r="DV293" i="43"/>
  <c r="DW293" i="43"/>
  <c r="DX293" i="43"/>
  <c r="DY293" i="43"/>
  <c r="DZ293" i="43"/>
  <c r="EA293" i="43"/>
  <c r="EB293" i="43"/>
  <c r="EC293" i="43"/>
  <c r="ED293" i="43"/>
  <c r="EE293" i="43"/>
  <c r="EF293" i="43"/>
  <c r="EG293" i="43"/>
  <c r="EH293" i="43"/>
  <c r="EI293" i="43"/>
  <c r="EJ293" i="43"/>
  <c r="EK293" i="43"/>
  <c r="EL293" i="43"/>
  <c r="EM293" i="43"/>
  <c r="EN293" i="43"/>
  <c r="EO293" i="43"/>
  <c r="EP293" i="43"/>
  <c r="EQ293" i="43"/>
  <c r="ER293" i="43"/>
  <c r="ES293" i="43"/>
  <c r="ET293" i="43"/>
  <c r="EU293" i="43"/>
  <c r="EV293" i="43"/>
  <c r="EW293" i="43"/>
  <c r="EX293" i="43"/>
  <c r="EY293" i="43"/>
  <c r="EZ293" i="43"/>
  <c r="FA293" i="43"/>
  <c r="FB293" i="43"/>
  <c r="FC293" i="43"/>
  <c r="FD293" i="43"/>
  <c r="FE293" i="43"/>
  <c r="FF293" i="43"/>
  <c r="FG293" i="43"/>
  <c r="FH293" i="43"/>
  <c r="FI293" i="43"/>
  <c r="FJ293" i="43"/>
  <c r="FK293" i="43"/>
  <c r="FL293" i="43"/>
  <c r="FM293" i="43"/>
  <c r="FN293" i="43"/>
  <c r="FO293" i="43"/>
  <c r="FP293" i="43"/>
  <c r="FQ293" i="43"/>
  <c r="FR293" i="43"/>
  <c r="FS293" i="43"/>
  <c r="FT293" i="43"/>
  <c r="FU293" i="43"/>
  <c r="FV293" i="43"/>
  <c r="FW293" i="43"/>
  <c r="FX293" i="43"/>
  <c r="FY293" i="43"/>
  <c r="FZ293" i="43"/>
  <c r="GA293" i="43"/>
  <c r="GB293" i="43"/>
  <c r="GC293" i="43"/>
  <c r="GD293" i="43"/>
  <c r="GE293" i="43"/>
  <c r="GF293" i="43"/>
  <c r="GG293" i="43"/>
  <c r="GH293" i="43"/>
  <c r="GI293" i="43"/>
  <c r="GJ293" i="43"/>
  <c r="GK293" i="43"/>
  <c r="GL293" i="43"/>
  <c r="GM293" i="43"/>
  <c r="GN293" i="43"/>
  <c r="GO293" i="43"/>
  <c r="GP293" i="43"/>
  <c r="GQ293" i="43"/>
  <c r="GR293" i="43"/>
  <c r="GS293" i="43"/>
  <c r="GT293" i="43"/>
  <c r="GU293" i="43"/>
  <c r="GV293" i="43"/>
  <c r="GW293" i="43"/>
  <c r="GX293" i="43"/>
  <c r="GY293" i="43"/>
  <c r="GZ293" i="43"/>
  <c r="HA293" i="43"/>
  <c r="HB293" i="43"/>
  <c r="HC293" i="43"/>
  <c r="HD293" i="43"/>
  <c r="HE293" i="43"/>
  <c r="HF293" i="43"/>
  <c r="HG293" i="43"/>
  <c r="HH293" i="43"/>
  <c r="HI293" i="43"/>
  <c r="HJ293" i="43"/>
  <c r="HK293" i="43"/>
  <c r="HL293" i="43"/>
  <c r="HM293" i="43"/>
  <c r="HN293" i="43"/>
  <c r="HO293" i="43"/>
  <c r="HP293" i="43"/>
  <c r="HQ293" i="43"/>
  <c r="HR293" i="43"/>
  <c r="HS293" i="43"/>
  <c r="HT293" i="43"/>
  <c r="HU293" i="43"/>
  <c r="HV293" i="43"/>
  <c r="HW293" i="43"/>
  <c r="HX293" i="43"/>
  <c r="HY293" i="43"/>
  <c r="HZ293" i="43"/>
  <c r="IA293" i="43"/>
  <c r="IB293" i="43"/>
  <c r="IC293" i="43"/>
  <c r="ID293" i="43"/>
  <c r="IE293" i="43"/>
  <c r="IF293" i="43"/>
  <c r="IG293" i="43"/>
  <c r="IH293" i="43"/>
  <c r="II293" i="43"/>
  <c r="IJ293" i="43"/>
  <c r="IK293" i="43"/>
  <c r="IL293" i="43"/>
  <c r="IM293" i="43"/>
  <c r="IN293" i="43"/>
  <c r="IO293" i="43"/>
  <c r="IP293" i="43"/>
  <c r="IQ293" i="43"/>
  <c r="IR293" i="43"/>
  <c r="IS293" i="43"/>
  <c r="IT293" i="43"/>
  <c r="IU293" i="43"/>
  <c r="IV293" i="43"/>
  <c r="A292" i="43"/>
  <c r="B292" i="43"/>
  <c r="C292" i="43"/>
  <c r="D292" i="43"/>
  <c r="E292" i="43"/>
  <c r="F292" i="43"/>
  <c r="G292" i="43"/>
  <c r="H292" i="43"/>
  <c r="I292" i="43"/>
  <c r="J292" i="43"/>
  <c r="K292" i="43"/>
  <c r="L292" i="43"/>
  <c r="M292" i="43"/>
  <c r="N292" i="43"/>
  <c r="O292" i="43"/>
  <c r="P292" i="43"/>
  <c r="Q292" i="43"/>
  <c r="R292" i="43"/>
  <c r="S292" i="43"/>
  <c r="T292" i="43"/>
  <c r="U292" i="43"/>
  <c r="V292" i="43"/>
  <c r="W292" i="43"/>
  <c r="X292" i="43"/>
  <c r="Y292" i="43"/>
  <c r="Z292" i="43"/>
  <c r="AA292" i="43"/>
  <c r="AB292" i="43"/>
  <c r="AC292" i="43"/>
  <c r="AD292" i="43"/>
  <c r="AE292" i="43"/>
  <c r="AF292" i="43"/>
  <c r="AG292" i="43"/>
  <c r="AH292" i="43"/>
  <c r="AI292" i="43"/>
  <c r="AJ292" i="43"/>
  <c r="AK292" i="43"/>
  <c r="AL292" i="43"/>
  <c r="AM292" i="43"/>
  <c r="AN292" i="43"/>
  <c r="AO292" i="43"/>
  <c r="AP292" i="43"/>
  <c r="AQ292" i="43"/>
  <c r="AR292" i="43"/>
  <c r="AS292" i="43"/>
  <c r="AT292" i="43"/>
  <c r="AU292" i="43"/>
  <c r="AV292" i="43"/>
  <c r="AW292" i="43"/>
  <c r="AX292" i="43"/>
  <c r="AY292" i="43"/>
  <c r="AZ292" i="43"/>
  <c r="BA292" i="43"/>
  <c r="BB292" i="43"/>
  <c r="BC292" i="43"/>
  <c r="BD292" i="43"/>
  <c r="BE292" i="43"/>
  <c r="BF292" i="43"/>
  <c r="BG292" i="43"/>
  <c r="BH292" i="43"/>
  <c r="BI292" i="43"/>
  <c r="BJ292" i="43"/>
  <c r="BK292" i="43"/>
  <c r="BL292" i="43"/>
  <c r="BM292" i="43"/>
  <c r="BN292" i="43"/>
  <c r="BO292" i="43"/>
  <c r="BP292" i="43"/>
  <c r="BQ292" i="43"/>
  <c r="BR292" i="43"/>
  <c r="BS292" i="43"/>
  <c r="BT292" i="43"/>
  <c r="BU292" i="43"/>
  <c r="BV292" i="43"/>
  <c r="BW292" i="43"/>
  <c r="BX292" i="43"/>
  <c r="BY292" i="43"/>
  <c r="BZ292" i="43"/>
  <c r="CA292" i="43"/>
  <c r="CB292" i="43"/>
  <c r="CC292" i="43"/>
  <c r="CD292" i="43"/>
  <c r="CE292" i="43"/>
  <c r="CF292" i="43"/>
  <c r="CG292" i="43"/>
  <c r="CH292" i="43"/>
  <c r="CI292" i="43"/>
  <c r="CJ292" i="43"/>
  <c r="CK292" i="43"/>
  <c r="CL292" i="43"/>
  <c r="CM292" i="43"/>
  <c r="CN292" i="43"/>
  <c r="CO292" i="43"/>
  <c r="CP292" i="43"/>
  <c r="CQ292" i="43"/>
  <c r="CR292" i="43"/>
  <c r="CS292" i="43"/>
  <c r="CT292" i="43"/>
  <c r="CU292" i="43"/>
  <c r="CV292" i="43"/>
  <c r="CW292" i="43"/>
  <c r="CX292" i="43"/>
  <c r="CY292" i="43"/>
  <c r="CZ292" i="43"/>
  <c r="DA292" i="43"/>
  <c r="DB292" i="43"/>
  <c r="DC292" i="43"/>
  <c r="DD292" i="43"/>
  <c r="DE292" i="43"/>
  <c r="DF292" i="43"/>
  <c r="DG292" i="43"/>
  <c r="DH292" i="43"/>
  <c r="DI292" i="43"/>
  <c r="DJ292" i="43"/>
  <c r="DK292" i="43"/>
  <c r="DL292" i="43"/>
  <c r="DM292" i="43"/>
  <c r="DN292" i="43"/>
  <c r="DO292" i="43"/>
  <c r="DP292" i="43"/>
  <c r="DQ292" i="43"/>
  <c r="DR292" i="43"/>
  <c r="DS292" i="43"/>
  <c r="DT292" i="43"/>
  <c r="DU292" i="43"/>
  <c r="DV292" i="43"/>
  <c r="DW292" i="43"/>
  <c r="DX292" i="43"/>
  <c r="DY292" i="43"/>
  <c r="DZ292" i="43"/>
  <c r="EA292" i="43"/>
  <c r="EB292" i="43"/>
  <c r="EC292" i="43"/>
  <c r="ED292" i="43"/>
  <c r="EE292" i="43"/>
  <c r="EF292" i="43"/>
  <c r="EG292" i="43"/>
  <c r="EH292" i="43"/>
  <c r="EI292" i="43"/>
  <c r="EJ292" i="43"/>
  <c r="EK292" i="43"/>
  <c r="EL292" i="43"/>
  <c r="EM292" i="43"/>
  <c r="EN292" i="43"/>
  <c r="EO292" i="43"/>
  <c r="EP292" i="43"/>
  <c r="EQ292" i="43"/>
  <c r="ER292" i="43"/>
  <c r="ES292" i="43"/>
  <c r="ET292" i="43"/>
  <c r="EU292" i="43"/>
  <c r="EV292" i="43"/>
  <c r="EW292" i="43"/>
  <c r="EX292" i="43"/>
  <c r="EY292" i="43"/>
  <c r="EZ292" i="43"/>
  <c r="FA292" i="43"/>
  <c r="FB292" i="43"/>
  <c r="FC292" i="43"/>
  <c r="FD292" i="43"/>
  <c r="FE292" i="43"/>
  <c r="FF292" i="43"/>
  <c r="FG292" i="43"/>
  <c r="FH292" i="43"/>
  <c r="FI292" i="43"/>
  <c r="FJ292" i="43"/>
  <c r="FK292" i="43"/>
  <c r="FL292" i="43"/>
  <c r="FM292" i="43"/>
  <c r="FN292" i="43"/>
  <c r="FO292" i="43"/>
  <c r="FP292" i="43"/>
  <c r="FQ292" i="43"/>
  <c r="FR292" i="43"/>
  <c r="FS292" i="43"/>
  <c r="FT292" i="43"/>
  <c r="FU292" i="43"/>
  <c r="FV292" i="43"/>
  <c r="FW292" i="43"/>
  <c r="FX292" i="43"/>
  <c r="FY292" i="43"/>
  <c r="FZ292" i="43"/>
  <c r="GA292" i="43"/>
  <c r="GB292" i="43"/>
  <c r="GC292" i="43"/>
  <c r="GD292" i="43"/>
  <c r="GE292" i="43"/>
  <c r="GF292" i="43"/>
  <c r="GG292" i="43"/>
  <c r="GH292" i="43"/>
  <c r="GI292" i="43"/>
  <c r="GJ292" i="43"/>
  <c r="GK292" i="43"/>
  <c r="GL292" i="43"/>
  <c r="GM292" i="43"/>
  <c r="GN292" i="43"/>
  <c r="GO292" i="43"/>
  <c r="GP292" i="43"/>
  <c r="GQ292" i="43"/>
  <c r="GR292" i="43"/>
  <c r="GS292" i="43"/>
  <c r="GT292" i="43"/>
  <c r="GU292" i="43"/>
  <c r="GV292" i="43"/>
  <c r="GW292" i="43"/>
  <c r="GX292" i="43"/>
  <c r="GY292" i="43"/>
  <c r="GZ292" i="43"/>
  <c r="HA292" i="43"/>
  <c r="HB292" i="43"/>
  <c r="HC292" i="43"/>
  <c r="HD292" i="43"/>
  <c r="HE292" i="43"/>
  <c r="HF292" i="43"/>
  <c r="HG292" i="43"/>
  <c r="HH292" i="43"/>
  <c r="HI292" i="43"/>
  <c r="HJ292" i="43"/>
  <c r="HK292" i="43"/>
  <c r="HL292" i="43"/>
  <c r="HM292" i="43"/>
  <c r="HN292" i="43"/>
  <c r="HO292" i="43"/>
  <c r="HP292" i="43"/>
  <c r="HQ292" i="43"/>
  <c r="HR292" i="43"/>
  <c r="HS292" i="43"/>
  <c r="HT292" i="43"/>
  <c r="HU292" i="43"/>
  <c r="HV292" i="43"/>
  <c r="HW292" i="43"/>
  <c r="HX292" i="43"/>
  <c r="HY292" i="43"/>
  <c r="HZ292" i="43"/>
  <c r="IA292" i="43"/>
  <c r="IB292" i="43"/>
  <c r="IC292" i="43"/>
  <c r="ID292" i="43"/>
  <c r="IE292" i="43"/>
  <c r="IF292" i="43"/>
  <c r="IG292" i="43"/>
  <c r="IH292" i="43"/>
  <c r="II292" i="43"/>
  <c r="IJ292" i="43"/>
  <c r="IK292" i="43"/>
  <c r="IL292" i="43"/>
  <c r="IM292" i="43"/>
  <c r="IN292" i="43"/>
  <c r="IO292" i="43"/>
  <c r="IP292" i="43"/>
  <c r="IQ292" i="43"/>
  <c r="IR292" i="43"/>
  <c r="IS292" i="43"/>
  <c r="IT292" i="43"/>
  <c r="IU292" i="43"/>
  <c r="IV292" i="43"/>
  <c r="A291" i="43"/>
  <c r="B291" i="43"/>
  <c r="C291" i="43"/>
  <c r="D291" i="43"/>
  <c r="E291" i="43"/>
  <c r="F291" i="43"/>
  <c r="G291" i="43"/>
  <c r="H291" i="43"/>
  <c r="I291" i="43"/>
  <c r="J291" i="43"/>
  <c r="K291" i="43"/>
  <c r="L291" i="43"/>
  <c r="M291" i="43"/>
  <c r="N291" i="43"/>
  <c r="O291" i="43"/>
  <c r="P291" i="43"/>
  <c r="Q291" i="43"/>
  <c r="R291" i="43"/>
  <c r="S291" i="43"/>
  <c r="T291" i="43"/>
  <c r="U291" i="43"/>
  <c r="V291" i="43"/>
  <c r="W291" i="43"/>
  <c r="X291" i="43"/>
  <c r="Y291" i="43"/>
  <c r="Z291" i="43"/>
  <c r="AA291" i="43"/>
  <c r="AB291" i="43"/>
  <c r="AC291" i="43"/>
  <c r="AD291" i="43"/>
  <c r="AE291" i="43"/>
  <c r="AF291" i="43"/>
  <c r="AG291" i="43"/>
  <c r="AH291" i="43"/>
  <c r="AI291" i="43"/>
  <c r="AJ291" i="43"/>
  <c r="AK291" i="43"/>
  <c r="AL291" i="43"/>
  <c r="AM291" i="43"/>
  <c r="AN291" i="43"/>
  <c r="AO291" i="43"/>
  <c r="AP291" i="43"/>
  <c r="AQ291" i="43"/>
  <c r="AR291" i="43"/>
  <c r="AS291" i="43"/>
  <c r="AT291" i="43"/>
  <c r="AU291" i="43"/>
  <c r="AV291" i="43"/>
  <c r="AW291" i="43"/>
  <c r="AX291" i="43"/>
  <c r="AY291" i="43"/>
  <c r="AZ291" i="43"/>
  <c r="BA291" i="43"/>
  <c r="BB291" i="43"/>
  <c r="BC291" i="43"/>
  <c r="BD291" i="43"/>
  <c r="BE291" i="43"/>
  <c r="BF291" i="43"/>
  <c r="BG291" i="43"/>
  <c r="BH291" i="43"/>
  <c r="BI291" i="43"/>
  <c r="BJ291" i="43"/>
  <c r="BK291" i="43"/>
  <c r="BL291" i="43"/>
  <c r="BM291" i="43"/>
  <c r="BN291" i="43"/>
  <c r="BO291" i="43"/>
  <c r="BP291" i="43"/>
  <c r="BQ291" i="43"/>
  <c r="BR291" i="43"/>
  <c r="BS291" i="43"/>
  <c r="BT291" i="43"/>
  <c r="BU291" i="43"/>
  <c r="BV291" i="43"/>
  <c r="BW291" i="43"/>
  <c r="BX291" i="43"/>
  <c r="BY291" i="43"/>
  <c r="BZ291" i="43"/>
  <c r="CA291" i="43"/>
  <c r="CB291" i="43"/>
  <c r="CC291" i="43"/>
  <c r="CD291" i="43"/>
  <c r="CE291" i="43"/>
  <c r="CF291" i="43"/>
  <c r="CG291" i="43"/>
  <c r="CH291" i="43"/>
  <c r="CI291" i="43"/>
  <c r="CJ291" i="43"/>
  <c r="CK291" i="43"/>
  <c r="CL291" i="43"/>
  <c r="CM291" i="43"/>
  <c r="CN291" i="43"/>
  <c r="CO291" i="43"/>
  <c r="CP291" i="43"/>
  <c r="CQ291" i="43"/>
  <c r="CR291" i="43"/>
  <c r="CS291" i="43"/>
  <c r="CT291" i="43"/>
  <c r="CU291" i="43"/>
  <c r="CV291" i="43"/>
  <c r="CW291" i="43"/>
  <c r="CX291" i="43"/>
  <c r="CY291" i="43"/>
  <c r="CZ291" i="43"/>
  <c r="DA291" i="43"/>
  <c r="DB291" i="43"/>
  <c r="DC291" i="43"/>
  <c r="DD291" i="43"/>
  <c r="DE291" i="43"/>
  <c r="DF291" i="43"/>
  <c r="DG291" i="43"/>
  <c r="DH291" i="43"/>
  <c r="DI291" i="43"/>
  <c r="DJ291" i="43"/>
  <c r="DK291" i="43"/>
  <c r="DL291" i="43"/>
  <c r="DM291" i="43"/>
  <c r="DN291" i="43"/>
  <c r="DO291" i="43"/>
  <c r="DP291" i="43"/>
  <c r="DQ291" i="43"/>
  <c r="DR291" i="43"/>
  <c r="DS291" i="43"/>
  <c r="DT291" i="43"/>
  <c r="DU291" i="43"/>
  <c r="DV291" i="43"/>
  <c r="DW291" i="43"/>
  <c r="DX291" i="43"/>
  <c r="DY291" i="43"/>
  <c r="DZ291" i="43"/>
  <c r="EA291" i="43"/>
  <c r="EB291" i="43"/>
  <c r="EC291" i="43"/>
  <c r="ED291" i="43"/>
  <c r="EE291" i="43"/>
  <c r="EF291" i="43"/>
  <c r="EG291" i="43"/>
  <c r="EH291" i="43"/>
  <c r="EI291" i="43"/>
  <c r="EJ291" i="43"/>
  <c r="EK291" i="43"/>
  <c r="EL291" i="43"/>
  <c r="EM291" i="43"/>
  <c r="EN291" i="43"/>
  <c r="EO291" i="43"/>
  <c r="EP291" i="43"/>
  <c r="EQ291" i="43"/>
  <c r="ER291" i="43"/>
  <c r="ES291" i="43"/>
  <c r="ET291" i="43"/>
  <c r="EU291" i="43"/>
  <c r="EV291" i="43"/>
  <c r="EW291" i="43"/>
  <c r="EX291" i="43"/>
  <c r="EY291" i="43"/>
  <c r="EZ291" i="43"/>
  <c r="FA291" i="43"/>
  <c r="FB291" i="43"/>
  <c r="FC291" i="43"/>
  <c r="FD291" i="43"/>
  <c r="FE291" i="43"/>
  <c r="FF291" i="43"/>
  <c r="FG291" i="43"/>
  <c r="FH291" i="43"/>
  <c r="FI291" i="43"/>
  <c r="FJ291" i="43"/>
  <c r="FK291" i="43"/>
  <c r="FL291" i="43"/>
  <c r="FM291" i="43"/>
  <c r="FN291" i="43"/>
  <c r="FO291" i="43"/>
  <c r="FP291" i="43"/>
  <c r="FQ291" i="43"/>
  <c r="FR291" i="43"/>
  <c r="FS291" i="43"/>
  <c r="FT291" i="43"/>
  <c r="FU291" i="43"/>
  <c r="FV291" i="43"/>
  <c r="FW291" i="43"/>
  <c r="FX291" i="43"/>
  <c r="FY291" i="43"/>
  <c r="FZ291" i="43"/>
  <c r="GA291" i="43"/>
  <c r="GB291" i="43"/>
  <c r="GC291" i="43"/>
  <c r="GD291" i="43"/>
  <c r="GE291" i="43"/>
  <c r="GF291" i="43"/>
  <c r="GG291" i="43"/>
  <c r="GH291" i="43"/>
  <c r="GI291" i="43"/>
  <c r="GJ291" i="43"/>
  <c r="GK291" i="43"/>
  <c r="GL291" i="43"/>
  <c r="GM291" i="43"/>
  <c r="GN291" i="43"/>
  <c r="GO291" i="43"/>
  <c r="GP291" i="43"/>
  <c r="GQ291" i="43"/>
  <c r="GR291" i="43"/>
  <c r="GS291" i="43"/>
  <c r="GT291" i="43"/>
  <c r="GU291" i="43"/>
  <c r="GV291" i="43"/>
  <c r="GW291" i="43"/>
  <c r="GX291" i="43"/>
  <c r="GY291" i="43"/>
  <c r="GZ291" i="43"/>
  <c r="HA291" i="43"/>
  <c r="HB291" i="43"/>
  <c r="HC291" i="43"/>
  <c r="HD291" i="43"/>
  <c r="HE291" i="43"/>
  <c r="HF291" i="43"/>
  <c r="HG291" i="43"/>
  <c r="HH291" i="43"/>
  <c r="HI291" i="43"/>
  <c r="HJ291" i="43"/>
  <c r="HK291" i="43"/>
  <c r="HL291" i="43"/>
  <c r="HM291" i="43"/>
  <c r="HN291" i="43"/>
  <c r="HO291" i="43"/>
  <c r="HP291" i="43"/>
  <c r="HQ291" i="43"/>
  <c r="HR291" i="43"/>
  <c r="HS291" i="43"/>
  <c r="HT291" i="43"/>
  <c r="HU291" i="43"/>
  <c r="HV291" i="43"/>
  <c r="HW291" i="43"/>
  <c r="HX291" i="43"/>
  <c r="HY291" i="43"/>
  <c r="HZ291" i="43"/>
  <c r="IA291" i="43"/>
  <c r="IB291" i="43"/>
  <c r="IC291" i="43"/>
  <c r="ID291" i="43"/>
  <c r="IE291" i="43"/>
  <c r="IF291" i="43"/>
  <c r="IG291" i="43"/>
  <c r="IH291" i="43"/>
  <c r="II291" i="43"/>
  <c r="IJ291" i="43"/>
  <c r="IK291" i="43"/>
  <c r="IL291" i="43"/>
  <c r="IM291" i="43"/>
  <c r="IN291" i="43"/>
  <c r="IO291" i="43"/>
  <c r="IP291" i="43"/>
  <c r="IQ291" i="43"/>
  <c r="IR291" i="43"/>
  <c r="IS291" i="43"/>
  <c r="IT291" i="43"/>
  <c r="IU291" i="43"/>
  <c r="IV291" i="43"/>
  <c r="A290" i="43"/>
  <c r="B290" i="43"/>
  <c r="C290" i="43"/>
  <c r="D290" i="43"/>
  <c r="E290" i="43"/>
  <c r="F290" i="43"/>
  <c r="G290" i="43"/>
  <c r="H290" i="43"/>
  <c r="I290" i="43"/>
  <c r="J290" i="43"/>
  <c r="K290" i="43"/>
  <c r="L290" i="43"/>
  <c r="M290" i="43"/>
  <c r="N290" i="43"/>
  <c r="O290" i="43"/>
  <c r="P290" i="43"/>
  <c r="Q290" i="43"/>
  <c r="R290" i="43"/>
  <c r="S290" i="43"/>
  <c r="T290" i="43"/>
  <c r="U290" i="43"/>
  <c r="V290" i="43"/>
  <c r="W290" i="43"/>
  <c r="X290" i="43"/>
  <c r="Y290" i="43"/>
  <c r="Z290" i="43"/>
  <c r="AA290" i="43"/>
  <c r="AB290" i="43"/>
  <c r="AC290" i="43"/>
  <c r="AD290" i="43"/>
  <c r="AE290" i="43"/>
  <c r="AF290" i="43"/>
  <c r="AG290" i="43"/>
  <c r="AH290" i="43"/>
  <c r="AI290" i="43"/>
  <c r="AJ290" i="43"/>
  <c r="AK290" i="43"/>
  <c r="AL290" i="43"/>
  <c r="AM290" i="43"/>
  <c r="AN290" i="43"/>
  <c r="AO290" i="43"/>
  <c r="AP290" i="43"/>
  <c r="AQ290" i="43"/>
  <c r="AR290" i="43"/>
  <c r="AS290" i="43"/>
  <c r="AT290" i="43"/>
  <c r="AU290" i="43"/>
  <c r="AV290" i="43"/>
  <c r="AW290" i="43"/>
  <c r="AX290" i="43"/>
  <c r="AY290" i="43"/>
  <c r="AZ290" i="43"/>
  <c r="BA290" i="43"/>
  <c r="BB290" i="43"/>
  <c r="BC290" i="43"/>
  <c r="BD290" i="43"/>
  <c r="BE290" i="43"/>
  <c r="BF290" i="43"/>
  <c r="BG290" i="43"/>
  <c r="BH290" i="43"/>
  <c r="BI290" i="43"/>
  <c r="BJ290" i="43"/>
  <c r="BK290" i="43"/>
  <c r="BL290" i="43"/>
  <c r="BM290" i="43"/>
  <c r="BN290" i="43"/>
  <c r="BO290" i="43"/>
  <c r="BP290" i="43"/>
  <c r="BQ290" i="43"/>
  <c r="BR290" i="43"/>
  <c r="BS290" i="43"/>
  <c r="BT290" i="43"/>
  <c r="BU290" i="43"/>
  <c r="BV290" i="43"/>
  <c r="BW290" i="43"/>
  <c r="BX290" i="43"/>
  <c r="BY290" i="43"/>
  <c r="BZ290" i="43"/>
  <c r="CA290" i="43"/>
  <c r="CB290" i="43"/>
  <c r="CC290" i="43"/>
  <c r="CD290" i="43"/>
  <c r="CE290" i="43"/>
  <c r="CF290" i="43"/>
  <c r="CG290" i="43"/>
  <c r="CH290" i="43"/>
  <c r="CI290" i="43"/>
  <c r="CJ290" i="43"/>
  <c r="CK290" i="43"/>
  <c r="CL290" i="43"/>
  <c r="CM290" i="43"/>
  <c r="CN290" i="43"/>
  <c r="CO290" i="43"/>
  <c r="CP290" i="43"/>
  <c r="CQ290" i="43"/>
  <c r="CR290" i="43"/>
  <c r="CS290" i="43"/>
  <c r="CT290" i="43"/>
  <c r="CU290" i="43"/>
  <c r="CV290" i="43"/>
  <c r="CW290" i="43"/>
  <c r="CX290" i="43"/>
  <c r="CY290" i="43"/>
  <c r="CZ290" i="43"/>
  <c r="DA290" i="43"/>
  <c r="DB290" i="43"/>
  <c r="DC290" i="43"/>
  <c r="DD290" i="43"/>
  <c r="DE290" i="43"/>
  <c r="DF290" i="43"/>
  <c r="DG290" i="43"/>
  <c r="DH290" i="43"/>
  <c r="DI290" i="43"/>
  <c r="DJ290" i="43"/>
  <c r="DK290" i="43"/>
  <c r="DL290" i="43"/>
  <c r="DM290" i="43"/>
  <c r="DN290" i="43"/>
  <c r="DO290" i="43"/>
  <c r="DP290" i="43"/>
  <c r="DQ290" i="43"/>
  <c r="DR290" i="43"/>
  <c r="DS290" i="43"/>
  <c r="DT290" i="43"/>
  <c r="DU290" i="43"/>
  <c r="DV290" i="43"/>
  <c r="DW290" i="43"/>
  <c r="DX290" i="43"/>
  <c r="DY290" i="43"/>
  <c r="DZ290" i="43"/>
  <c r="EA290" i="43"/>
  <c r="EB290" i="43"/>
  <c r="EC290" i="43"/>
  <c r="ED290" i="43"/>
  <c r="EE290" i="43"/>
  <c r="EF290" i="43"/>
  <c r="EG290" i="43"/>
  <c r="EH290" i="43"/>
  <c r="EI290" i="43"/>
  <c r="EJ290" i="43"/>
  <c r="EK290" i="43"/>
  <c r="EL290" i="43"/>
  <c r="EM290" i="43"/>
  <c r="EN290" i="43"/>
  <c r="EO290" i="43"/>
  <c r="EP290" i="43"/>
  <c r="EQ290" i="43"/>
  <c r="ER290" i="43"/>
  <c r="ES290" i="43"/>
  <c r="ET290" i="43"/>
  <c r="EU290" i="43"/>
  <c r="EV290" i="43"/>
  <c r="EW290" i="43"/>
  <c r="EX290" i="43"/>
  <c r="EY290" i="43"/>
  <c r="EZ290" i="43"/>
  <c r="FA290" i="43"/>
  <c r="FB290" i="43"/>
  <c r="FC290" i="43"/>
  <c r="FD290" i="43"/>
  <c r="FE290" i="43"/>
  <c r="FF290" i="43"/>
  <c r="FG290" i="43"/>
  <c r="FH290" i="43"/>
  <c r="FI290" i="43"/>
  <c r="FJ290" i="43"/>
  <c r="FK290" i="43"/>
  <c r="FL290" i="43"/>
  <c r="FM290" i="43"/>
  <c r="FN290" i="43"/>
  <c r="FO290" i="43"/>
  <c r="FP290" i="43"/>
  <c r="FQ290" i="43"/>
  <c r="FR290" i="43"/>
  <c r="FS290" i="43"/>
  <c r="FT290" i="43"/>
  <c r="FU290" i="43"/>
  <c r="FV290" i="43"/>
  <c r="FW290" i="43"/>
  <c r="FX290" i="43"/>
  <c r="FY290" i="43"/>
  <c r="FZ290" i="43"/>
  <c r="GA290" i="43"/>
  <c r="GB290" i="43"/>
  <c r="GC290" i="43"/>
  <c r="GD290" i="43"/>
  <c r="GE290" i="43"/>
  <c r="GF290" i="43"/>
  <c r="GG290" i="43"/>
  <c r="GH290" i="43"/>
  <c r="GI290" i="43"/>
  <c r="GJ290" i="43"/>
  <c r="GK290" i="43"/>
  <c r="GL290" i="43"/>
  <c r="GM290" i="43"/>
  <c r="GN290" i="43"/>
  <c r="GO290" i="43"/>
  <c r="GP290" i="43"/>
  <c r="GQ290" i="43"/>
  <c r="GR290" i="43"/>
  <c r="GS290" i="43"/>
  <c r="GT290" i="43"/>
  <c r="GU290" i="43"/>
  <c r="GV290" i="43"/>
  <c r="GW290" i="43"/>
  <c r="GX290" i="43"/>
  <c r="GY290" i="43"/>
  <c r="GZ290" i="43"/>
  <c r="HA290" i="43"/>
  <c r="HB290" i="43"/>
  <c r="HC290" i="43"/>
  <c r="HD290" i="43"/>
  <c r="HE290" i="43"/>
  <c r="HF290" i="43"/>
  <c r="HG290" i="43"/>
  <c r="HH290" i="43"/>
  <c r="HI290" i="43"/>
  <c r="HJ290" i="43"/>
  <c r="HK290" i="43"/>
  <c r="HL290" i="43"/>
  <c r="HM290" i="43"/>
  <c r="HN290" i="43"/>
  <c r="HO290" i="43"/>
  <c r="HP290" i="43"/>
  <c r="HQ290" i="43"/>
  <c r="HR290" i="43"/>
  <c r="HS290" i="43"/>
  <c r="HT290" i="43"/>
  <c r="HU290" i="43"/>
  <c r="HV290" i="43"/>
  <c r="HW290" i="43"/>
  <c r="HX290" i="43"/>
  <c r="HY290" i="43"/>
  <c r="HZ290" i="43"/>
  <c r="IA290" i="43"/>
  <c r="IB290" i="43"/>
  <c r="IC290" i="43"/>
  <c r="ID290" i="43"/>
  <c r="IE290" i="43"/>
  <c r="IF290" i="43"/>
  <c r="IG290" i="43"/>
  <c r="IH290" i="43"/>
  <c r="II290" i="43"/>
  <c r="IJ290" i="43"/>
  <c r="IK290" i="43"/>
  <c r="IL290" i="43"/>
  <c r="IM290" i="43"/>
  <c r="IN290" i="43"/>
  <c r="IO290" i="43"/>
  <c r="IP290" i="43"/>
  <c r="IQ290" i="43"/>
  <c r="IR290" i="43"/>
  <c r="IS290" i="43"/>
  <c r="IT290" i="43"/>
  <c r="IU290" i="43"/>
  <c r="IV290" i="43"/>
  <c r="A289" i="43"/>
  <c r="B289" i="43"/>
  <c r="C289" i="43"/>
  <c r="D289" i="43"/>
  <c r="E289" i="43"/>
  <c r="F289" i="43"/>
  <c r="G289" i="43"/>
  <c r="H289" i="43"/>
  <c r="I289" i="43"/>
  <c r="J289" i="43"/>
  <c r="K289" i="43"/>
  <c r="L289" i="43"/>
  <c r="M289" i="43"/>
  <c r="N289" i="43"/>
  <c r="O289" i="43"/>
  <c r="P289" i="43"/>
  <c r="Q289" i="43"/>
  <c r="R289" i="43"/>
  <c r="S289" i="43"/>
  <c r="T289" i="43"/>
  <c r="U289" i="43"/>
  <c r="V289" i="43"/>
  <c r="W289" i="43"/>
  <c r="X289" i="43"/>
  <c r="Y289" i="43"/>
  <c r="Z289" i="43"/>
  <c r="AA289" i="43"/>
  <c r="AB289" i="43"/>
  <c r="AC289" i="43"/>
  <c r="AD289" i="43"/>
  <c r="AE289" i="43"/>
  <c r="AF289" i="43"/>
  <c r="AG289" i="43"/>
  <c r="AH289" i="43"/>
  <c r="AI289" i="43"/>
  <c r="AJ289" i="43"/>
  <c r="AK289" i="43"/>
  <c r="AL289" i="43"/>
  <c r="AM289" i="43"/>
  <c r="AN289" i="43"/>
  <c r="AO289" i="43"/>
  <c r="AP289" i="43"/>
  <c r="AQ289" i="43"/>
  <c r="AR289" i="43"/>
  <c r="AS289" i="43"/>
  <c r="AT289" i="43"/>
  <c r="AU289" i="43"/>
  <c r="AV289" i="43"/>
  <c r="AW289" i="43"/>
  <c r="AX289" i="43"/>
  <c r="AY289" i="43"/>
  <c r="AZ289" i="43"/>
  <c r="BA289" i="43"/>
  <c r="BB289" i="43"/>
  <c r="BC289" i="43"/>
  <c r="BD289" i="43"/>
  <c r="BE289" i="43"/>
  <c r="BF289" i="43"/>
  <c r="BG289" i="43"/>
  <c r="BH289" i="43"/>
  <c r="BI289" i="43"/>
  <c r="BJ289" i="43"/>
  <c r="BK289" i="43"/>
  <c r="BL289" i="43"/>
  <c r="BM289" i="43"/>
  <c r="BN289" i="43"/>
  <c r="BO289" i="43"/>
  <c r="BP289" i="43"/>
  <c r="BQ289" i="43"/>
  <c r="BR289" i="43"/>
  <c r="BS289" i="43"/>
  <c r="BT289" i="43"/>
  <c r="BU289" i="43"/>
  <c r="BV289" i="43"/>
  <c r="BW289" i="43"/>
  <c r="BX289" i="43"/>
  <c r="BY289" i="43"/>
  <c r="BZ289" i="43"/>
  <c r="CA289" i="43"/>
  <c r="CB289" i="43"/>
  <c r="CC289" i="43"/>
  <c r="CD289" i="43"/>
  <c r="CE289" i="43"/>
  <c r="CF289" i="43"/>
  <c r="CG289" i="43"/>
  <c r="CH289" i="43"/>
  <c r="CI289" i="43"/>
  <c r="CJ289" i="43"/>
  <c r="CK289" i="43"/>
  <c r="CL289" i="43"/>
  <c r="CM289" i="43"/>
  <c r="CN289" i="43"/>
  <c r="CO289" i="43"/>
  <c r="CP289" i="43"/>
  <c r="CQ289" i="43"/>
  <c r="CR289" i="43"/>
  <c r="CS289" i="43"/>
  <c r="CT289" i="43"/>
  <c r="CU289" i="43"/>
  <c r="CV289" i="43"/>
  <c r="CW289" i="43"/>
  <c r="CX289" i="43"/>
  <c r="CY289" i="43"/>
  <c r="CZ289" i="43"/>
  <c r="DA289" i="43"/>
  <c r="DB289" i="43"/>
  <c r="DC289" i="43"/>
  <c r="DD289" i="43"/>
  <c r="DE289" i="43"/>
  <c r="DF289" i="43"/>
  <c r="DG289" i="43"/>
  <c r="DH289" i="43"/>
  <c r="DI289" i="43"/>
  <c r="DJ289" i="43"/>
  <c r="DK289" i="43"/>
  <c r="DL289" i="43"/>
  <c r="DM289" i="43"/>
  <c r="DN289" i="43"/>
  <c r="DO289" i="43"/>
  <c r="DP289" i="43"/>
  <c r="DQ289" i="43"/>
  <c r="DR289" i="43"/>
  <c r="DS289" i="43"/>
  <c r="DT289" i="43"/>
  <c r="DU289" i="43"/>
  <c r="DV289" i="43"/>
  <c r="DW289" i="43"/>
  <c r="DX289" i="43"/>
  <c r="DY289" i="43"/>
  <c r="DZ289" i="43"/>
  <c r="EA289" i="43"/>
  <c r="EB289" i="43"/>
  <c r="EC289" i="43"/>
  <c r="ED289" i="43"/>
  <c r="EE289" i="43"/>
  <c r="EF289" i="43"/>
  <c r="EG289" i="43"/>
  <c r="EH289" i="43"/>
  <c r="EI289" i="43"/>
  <c r="EJ289" i="43"/>
  <c r="EK289" i="43"/>
  <c r="EL289" i="43"/>
  <c r="EM289" i="43"/>
  <c r="EN289" i="43"/>
  <c r="EO289" i="43"/>
  <c r="EP289" i="43"/>
  <c r="EQ289" i="43"/>
  <c r="ER289" i="43"/>
  <c r="ES289" i="43"/>
  <c r="ET289" i="43"/>
  <c r="EU289" i="43"/>
  <c r="EV289" i="43"/>
  <c r="EW289" i="43"/>
  <c r="EX289" i="43"/>
  <c r="EY289" i="43"/>
  <c r="EZ289" i="43"/>
  <c r="FA289" i="43"/>
  <c r="FB289" i="43"/>
  <c r="FC289" i="43"/>
  <c r="FD289" i="43"/>
  <c r="FE289" i="43"/>
  <c r="FF289" i="43"/>
  <c r="FG289" i="43"/>
  <c r="FH289" i="43"/>
  <c r="FI289" i="43"/>
  <c r="FJ289" i="43"/>
  <c r="FK289" i="43"/>
  <c r="FL289" i="43"/>
  <c r="FM289" i="43"/>
  <c r="FN289" i="43"/>
  <c r="FO289" i="43"/>
  <c r="FP289" i="43"/>
  <c r="FQ289" i="43"/>
  <c r="FR289" i="43"/>
  <c r="FS289" i="43"/>
  <c r="FT289" i="43"/>
  <c r="FU289" i="43"/>
  <c r="FV289" i="43"/>
  <c r="FW289" i="43"/>
  <c r="FX289" i="43"/>
  <c r="FY289" i="43"/>
  <c r="FZ289" i="43"/>
  <c r="GA289" i="43"/>
  <c r="GB289" i="43"/>
  <c r="GC289" i="43"/>
  <c r="GD289" i="43"/>
  <c r="GE289" i="43"/>
  <c r="GF289" i="43"/>
  <c r="GG289" i="43"/>
  <c r="GH289" i="43"/>
  <c r="GI289" i="43"/>
  <c r="GJ289" i="43"/>
  <c r="GK289" i="43"/>
  <c r="GL289" i="43"/>
  <c r="GM289" i="43"/>
  <c r="GN289" i="43"/>
  <c r="GO289" i="43"/>
  <c r="GP289" i="43"/>
  <c r="GQ289" i="43"/>
  <c r="GR289" i="43"/>
  <c r="GS289" i="43"/>
  <c r="GT289" i="43"/>
  <c r="GU289" i="43"/>
  <c r="GV289" i="43"/>
  <c r="GW289" i="43"/>
  <c r="GX289" i="43"/>
  <c r="GY289" i="43"/>
  <c r="GZ289" i="43"/>
  <c r="HA289" i="43"/>
  <c r="HB289" i="43"/>
  <c r="HC289" i="43"/>
  <c r="HD289" i="43"/>
  <c r="HE289" i="43"/>
  <c r="HF289" i="43"/>
  <c r="HG289" i="43"/>
  <c r="HH289" i="43"/>
  <c r="HI289" i="43"/>
  <c r="HJ289" i="43"/>
  <c r="HK289" i="43"/>
  <c r="HL289" i="43"/>
  <c r="HM289" i="43"/>
  <c r="HN289" i="43"/>
  <c r="HO289" i="43"/>
  <c r="HP289" i="43"/>
  <c r="HQ289" i="43"/>
  <c r="HR289" i="43"/>
  <c r="HS289" i="43"/>
  <c r="HT289" i="43"/>
  <c r="HU289" i="43"/>
  <c r="HV289" i="43"/>
  <c r="HW289" i="43"/>
  <c r="HX289" i="43"/>
  <c r="HY289" i="43"/>
  <c r="HZ289" i="43"/>
  <c r="IA289" i="43"/>
  <c r="IB289" i="43"/>
  <c r="IC289" i="43"/>
  <c r="ID289" i="43"/>
  <c r="IE289" i="43"/>
  <c r="IF289" i="43"/>
  <c r="IG289" i="43"/>
  <c r="IH289" i="43"/>
  <c r="II289" i="43"/>
  <c r="IJ289" i="43"/>
  <c r="IK289" i="43"/>
  <c r="IL289" i="43"/>
  <c r="IM289" i="43"/>
  <c r="IN289" i="43"/>
  <c r="IO289" i="43"/>
  <c r="IP289" i="43"/>
  <c r="IQ289" i="43"/>
  <c r="IR289" i="43"/>
  <c r="IS289" i="43"/>
  <c r="IT289" i="43"/>
  <c r="IU289" i="43"/>
  <c r="IV289" i="43"/>
  <c r="A288" i="43"/>
  <c r="B288" i="43"/>
  <c r="C288" i="43"/>
  <c r="D288" i="43"/>
  <c r="E288" i="43"/>
  <c r="F288" i="43"/>
  <c r="G288" i="43"/>
  <c r="H288" i="43"/>
  <c r="I288" i="43"/>
  <c r="J288" i="43"/>
  <c r="K288" i="43"/>
  <c r="L288" i="43"/>
  <c r="M288" i="43"/>
  <c r="N288" i="43"/>
  <c r="O288" i="43"/>
  <c r="P288" i="43"/>
  <c r="Q288" i="43"/>
  <c r="R288" i="43"/>
  <c r="S288" i="43"/>
  <c r="T288" i="43"/>
  <c r="U288" i="43"/>
  <c r="V288" i="43"/>
  <c r="W288" i="43"/>
  <c r="X288" i="43"/>
  <c r="Y288" i="43"/>
  <c r="Z288" i="43"/>
  <c r="AA288" i="43"/>
  <c r="AB288" i="43"/>
  <c r="AC288" i="43"/>
  <c r="AD288" i="43"/>
  <c r="AE288" i="43"/>
  <c r="AF288" i="43"/>
  <c r="AG288" i="43"/>
  <c r="AH288" i="43"/>
  <c r="AI288" i="43"/>
  <c r="AJ288" i="43"/>
  <c r="AK288" i="43"/>
  <c r="AL288" i="43"/>
  <c r="AM288" i="43"/>
  <c r="AN288" i="43"/>
  <c r="AO288" i="43"/>
  <c r="AP288" i="43"/>
  <c r="AQ288" i="43"/>
  <c r="AR288" i="43"/>
  <c r="AS288" i="43"/>
  <c r="AT288" i="43"/>
  <c r="AU288" i="43"/>
  <c r="AV288" i="43"/>
  <c r="AW288" i="43"/>
  <c r="AX288" i="43"/>
  <c r="AY288" i="43"/>
  <c r="AZ288" i="43"/>
  <c r="BA288" i="43"/>
  <c r="BB288" i="43"/>
  <c r="BC288" i="43"/>
  <c r="BD288" i="43"/>
  <c r="BE288" i="43"/>
  <c r="BF288" i="43"/>
  <c r="BG288" i="43"/>
  <c r="BH288" i="43"/>
  <c r="BI288" i="43"/>
  <c r="BJ288" i="43"/>
  <c r="BK288" i="43"/>
  <c r="BL288" i="43"/>
  <c r="BM288" i="43"/>
  <c r="BN288" i="43"/>
  <c r="BO288" i="43"/>
  <c r="BP288" i="43"/>
  <c r="BQ288" i="43"/>
  <c r="BR288" i="43"/>
  <c r="BS288" i="43"/>
  <c r="BT288" i="43"/>
  <c r="BU288" i="43"/>
  <c r="BV288" i="43"/>
  <c r="BW288" i="43"/>
  <c r="BX288" i="43"/>
  <c r="BY288" i="43"/>
  <c r="BZ288" i="43"/>
  <c r="CA288" i="43"/>
  <c r="CB288" i="43"/>
  <c r="CC288" i="43"/>
  <c r="CD288" i="43"/>
  <c r="CE288" i="43"/>
  <c r="CF288" i="43"/>
  <c r="CG288" i="43"/>
  <c r="CH288" i="43"/>
  <c r="CI288" i="43"/>
  <c r="CJ288" i="43"/>
  <c r="CK288" i="43"/>
  <c r="CL288" i="43"/>
  <c r="CM288" i="43"/>
  <c r="CN288" i="43"/>
  <c r="CO288" i="43"/>
  <c r="CP288" i="43"/>
  <c r="CQ288" i="43"/>
  <c r="CR288" i="43"/>
  <c r="CS288" i="43"/>
  <c r="CT288" i="43"/>
  <c r="CU288" i="43"/>
  <c r="CV288" i="43"/>
  <c r="CW288" i="43"/>
  <c r="CX288" i="43"/>
  <c r="CY288" i="43"/>
  <c r="CZ288" i="43"/>
  <c r="DA288" i="43"/>
  <c r="DB288" i="43"/>
  <c r="DC288" i="43"/>
  <c r="DD288" i="43"/>
  <c r="DE288" i="43"/>
  <c r="DF288" i="43"/>
  <c r="DG288" i="43"/>
  <c r="DH288" i="43"/>
  <c r="DI288" i="43"/>
  <c r="DJ288" i="43"/>
  <c r="DK288" i="43"/>
  <c r="DL288" i="43"/>
  <c r="DM288" i="43"/>
  <c r="DN288" i="43"/>
  <c r="DO288" i="43"/>
  <c r="DP288" i="43"/>
  <c r="DQ288" i="43"/>
  <c r="DR288" i="43"/>
  <c r="DS288" i="43"/>
  <c r="DT288" i="43"/>
  <c r="DU288" i="43"/>
  <c r="DV288" i="43"/>
  <c r="DW288" i="43"/>
  <c r="DX288" i="43"/>
  <c r="DY288" i="43"/>
  <c r="DZ288" i="43"/>
  <c r="EA288" i="43"/>
  <c r="EB288" i="43"/>
  <c r="EC288" i="43"/>
  <c r="ED288" i="43"/>
  <c r="EE288" i="43"/>
  <c r="EF288" i="43"/>
  <c r="EG288" i="43"/>
  <c r="EH288" i="43"/>
  <c r="EI288" i="43"/>
  <c r="EJ288" i="43"/>
  <c r="EK288" i="43"/>
  <c r="EL288" i="43"/>
  <c r="EM288" i="43"/>
  <c r="EN288" i="43"/>
  <c r="EO288" i="43"/>
  <c r="EP288" i="43"/>
  <c r="EQ288" i="43"/>
  <c r="ER288" i="43"/>
  <c r="ES288" i="43"/>
  <c r="ET288" i="43"/>
  <c r="EU288" i="43"/>
  <c r="EV288" i="43"/>
  <c r="EW288" i="43"/>
  <c r="EX288" i="43"/>
  <c r="EY288" i="43"/>
  <c r="EZ288" i="43"/>
  <c r="FA288" i="43"/>
  <c r="FB288" i="43"/>
  <c r="FC288" i="43"/>
  <c r="FD288" i="43"/>
  <c r="FE288" i="43"/>
  <c r="FF288" i="43"/>
  <c r="FG288" i="43"/>
  <c r="FH288" i="43"/>
  <c r="FI288" i="43"/>
  <c r="FJ288" i="43"/>
  <c r="FK288" i="43"/>
  <c r="FL288" i="43"/>
  <c r="FM288" i="43"/>
  <c r="FN288" i="43"/>
  <c r="FO288" i="43"/>
  <c r="FP288" i="43"/>
  <c r="FQ288" i="43"/>
  <c r="FR288" i="43"/>
  <c r="FS288" i="43"/>
  <c r="FT288" i="43"/>
  <c r="FU288" i="43"/>
  <c r="FV288" i="43"/>
  <c r="FW288" i="43"/>
  <c r="FX288" i="43"/>
  <c r="FY288" i="43"/>
  <c r="FZ288" i="43"/>
  <c r="GA288" i="43"/>
  <c r="GB288" i="43"/>
  <c r="GC288" i="43"/>
  <c r="GD288" i="43"/>
  <c r="GE288" i="43"/>
  <c r="GF288" i="43"/>
  <c r="GG288" i="43"/>
  <c r="GH288" i="43"/>
  <c r="GI288" i="43"/>
  <c r="GJ288" i="43"/>
  <c r="GK288" i="43"/>
  <c r="GL288" i="43"/>
  <c r="GM288" i="43"/>
  <c r="GN288" i="43"/>
  <c r="GO288" i="43"/>
  <c r="GP288" i="43"/>
  <c r="GQ288" i="43"/>
  <c r="GR288" i="43"/>
  <c r="GS288" i="43"/>
  <c r="GT288" i="43"/>
  <c r="GU288" i="43"/>
  <c r="GV288" i="43"/>
  <c r="GW288" i="43"/>
  <c r="GX288" i="43"/>
  <c r="GY288" i="43"/>
  <c r="GZ288" i="43"/>
  <c r="HA288" i="43"/>
  <c r="HB288" i="43"/>
  <c r="HC288" i="43"/>
  <c r="HD288" i="43"/>
  <c r="HE288" i="43"/>
  <c r="HF288" i="43"/>
  <c r="HG288" i="43"/>
  <c r="HH288" i="43"/>
  <c r="HI288" i="43"/>
  <c r="HJ288" i="43"/>
  <c r="HK288" i="43"/>
  <c r="HL288" i="43"/>
  <c r="HM288" i="43"/>
  <c r="HN288" i="43"/>
  <c r="HO288" i="43"/>
  <c r="HP288" i="43"/>
  <c r="HQ288" i="43"/>
  <c r="HR288" i="43"/>
  <c r="HS288" i="43"/>
  <c r="HT288" i="43"/>
  <c r="HU288" i="43"/>
  <c r="HV288" i="43"/>
  <c r="HW288" i="43"/>
  <c r="HX288" i="43"/>
  <c r="HY288" i="43"/>
  <c r="HZ288" i="43"/>
  <c r="IA288" i="43"/>
  <c r="IB288" i="43"/>
  <c r="IC288" i="43"/>
  <c r="ID288" i="43"/>
  <c r="IE288" i="43"/>
  <c r="IF288" i="43"/>
  <c r="IG288" i="43"/>
  <c r="IH288" i="43"/>
  <c r="II288" i="43"/>
  <c r="IJ288" i="43"/>
  <c r="IK288" i="43"/>
  <c r="IL288" i="43"/>
  <c r="IM288" i="43"/>
  <c r="IN288" i="43"/>
  <c r="IO288" i="43"/>
  <c r="IP288" i="43"/>
  <c r="IQ288" i="43"/>
  <c r="IR288" i="43"/>
  <c r="IS288" i="43"/>
  <c r="IT288" i="43"/>
  <c r="IU288" i="43"/>
  <c r="IV288" i="43"/>
  <c r="A287" i="43"/>
  <c r="B287" i="43"/>
  <c r="C287" i="43"/>
  <c r="D287" i="43"/>
  <c r="E287" i="43"/>
  <c r="F287" i="43"/>
  <c r="G287" i="43"/>
  <c r="H287" i="43"/>
  <c r="I287" i="43"/>
  <c r="J287" i="43"/>
  <c r="K287" i="43"/>
  <c r="L287" i="43"/>
  <c r="M287" i="43"/>
  <c r="N287" i="43"/>
  <c r="O287" i="43"/>
  <c r="P287" i="43"/>
  <c r="Q287" i="43"/>
  <c r="R287" i="43"/>
  <c r="S287" i="43"/>
  <c r="T287" i="43"/>
  <c r="U287" i="43"/>
  <c r="V287" i="43"/>
  <c r="W287" i="43"/>
  <c r="X287" i="43"/>
  <c r="Y287" i="43"/>
  <c r="Z287" i="43"/>
  <c r="AA287" i="43"/>
  <c r="AB287" i="43"/>
  <c r="AC287" i="43"/>
  <c r="AD287" i="43"/>
  <c r="AE287" i="43"/>
  <c r="AF287" i="43"/>
  <c r="AG287" i="43"/>
  <c r="AH287" i="43"/>
  <c r="AI287" i="43"/>
  <c r="AJ287" i="43"/>
  <c r="AK287" i="43"/>
  <c r="AL287" i="43"/>
  <c r="AM287" i="43"/>
  <c r="AN287" i="43"/>
  <c r="AO287" i="43"/>
  <c r="AP287" i="43"/>
  <c r="AQ287" i="43"/>
  <c r="AR287" i="43"/>
  <c r="AS287" i="43"/>
  <c r="AT287" i="43"/>
  <c r="AU287" i="43"/>
  <c r="AV287" i="43"/>
  <c r="AW287" i="43"/>
  <c r="AX287" i="43"/>
  <c r="AY287" i="43"/>
  <c r="AZ287" i="43"/>
  <c r="BA287" i="43"/>
  <c r="BB287" i="43"/>
  <c r="BC287" i="43"/>
  <c r="BD287" i="43"/>
  <c r="BE287" i="43"/>
  <c r="BF287" i="43"/>
  <c r="BG287" i="43"/>
  <c r="BH287" i="43"/>
  <c r="BI287" i="43"/>
  <c r="BJ287" i="43"/>
  <c r="BK287" i="43"/>
  <c r="BL287" i="43"/>
  <c r="BM287" i="43"/>
  <c r="BN287" i="43"/>
  <c r="BO287" i="43"/>
  <c r="BP287" i="43"/>
  <c r="BQ287" i="43"/>
  <c r="BR287" i="43"/>
  <c r="BS287" i="43"/>
  <c r="BT287" i="43"/>
  <c r="BU287" i="43"/>
  <c r="BV287" i="43"/>
  <c r="BW287" i="43"/>
  <c r="BX287" i="43"/>
  <c r="BY287" i="43"/>
  <c r="BZ287" i="43"/>
  <c r="CA287" i="43"/>
  <c r="CB287" i="43"/>
  <c r="CC287" i="43"/>
  <c r="CD287" i="43"/>
  <c r="CE287" i="43"/>
  <c r="CF287" i="43"/>
  <c r="CG287" i="43"/>
  <c r="CH287" i="43"/>
  <c r="CI287" i="43"/>
  <c r="CJ287" i="43"/>
  <c r="CK287" i="43"/>
  <c r="CL287" i="43"/>
  <c r="CM287" i="43"/>
  <c r="CN287" i="43"/>
  <c r="CO287" i="43"/>
  <c r="CP287" i="43"/>
  <c r="CQ287" i="43"/>
  <c r="CR287" i="43"/>
  <c r="CS287" i="43"/>
  <c r="CT287" i="43"/>
  <c r="CU287" i="43"/>
  <c r="CV287" i="43"/>
  <c r="CW287" i="43"/>
  <c r="CX287" i="43"/>
  <c r="CY287" i="43"/>
  <c r="CZ287" i="43"/>
  <c r="DA287" i="43"/>
  <c r="DB287" i="43"/>
  <c r="DC287" i="43"/>
  <c r="DD287" i="43"/>
  <c r="DE287" i="43"/>
  <c r="DF287" i="43"/>
  <c r="DG287" i="43"/>
  <c r="DH287" i="43"/>
  <c r="DI287" i="43"/>
  <c r="DJ287" i="43"/>
  <c r="DK287" i="43"/>
  <c r="DL287" i="43"/>
  <c r="DM287" i="43"/>
  <c r="DN287" i="43"/>
  <c r="DO287" i="43"/>
  <c r="DP287" i="43"/>
  <c r="DQ287" i="43"/>
  <c r="DR287" i="43"/>
  <c r="DS287" i="43"/>
  <c r="DT287" i="43"/>
  <c r="DU287" i="43"/>
  <c r="DV287" i="43"/>
  <c r="DW287" i="43"/>
  <c r="DX287" i="43"/>
  <c r="DY287" i="43"/>
  <c r="DZ287" i="43"/>
  <c r="EA287" i="43"/>
  <c r="EB287" i="43"/>
  <c r="EC287" i="43"/>
  <c r="ED287" i="43"/>
  <c r="EE287" i="43"/>
  <c r="EF287" i="43"/>
  <c r="EG287" i="43"/>
  <c r="EH287" i="43"/>
  <c r="EI287" i="43"/>
  <c r="EJ287" i="43"/>
  <c r="EK287" i="43"/>
  <c r="EL287" i="43"/>
  <c r="EM287" i="43"/>
  <c r="EN287" i="43"/>
  <c r="EO287" i="43"/>
  <c r="EP287" i="43"/>
  <c r="EQ287" i="43"/>
  <c r="ER287" i="43"/>
  <c r="ES287" i="43"/>
  <c r="ET287" i="43"/>
  <c r="EU287" i="43"/>
  <c r="EV287" i="43"/>
  <c r="EW287" i="43"/>
  <c r="EX287" i="43"/>
  <c r="EY287" i="43"/>
  <c r="EZ287" i="43"/>
  <c r="FA287" i="43"/>
  <c r="FB287" i="43"/>
  <c r="FC287" i="43"/>
  <c r="FD287" i="43"/>
  <c r="FE287" i="43"/>
  <c r="FF287" i="43"/>
  <c r="FG287" i="43"/>
  <c r="FH287" i="43"/>
  <c r="FI287" i="43"/>
  <c r="FJ287" i="43"/>
  <c r="FK287" i="43"/>
  <c r="FL287" i="43"/>
  <c r="FM287" i="43"/>
  <c r="FN287" i="43"/>
  <c r="FO287" i="43"/>
  <c r="FP287" i="43"/>
  <c r="FQ287" i="43"/>
  <c r="FR287" i="43"/>
  <c r="FS287" i="43"/>
  <c r="FT287" i="43"/>
  <c r="FU287" i="43"/>
  <c r="FV287" i="43"/>
  <c r="FW287" i="43"/>
  <c r="FX287" i="43"/>
  <c r="FY287" i="43"/>
  <c r="FZ287" i="43"/>
  <c r="GA287" i="43"/>
  <c r="GB287" i="43"/>
  <c r="GC287" i="43"/>
  <c r="GD287" i="43"/>
  <c r="GE287" i="43"/>
  <c r="GF287" i="43"/>
  <c r="GG287" i="43"/>
  <c r="GH287" i="43"/>
  <c r="GI287" i="43"/>
  <c r="GJ287" i="43"/>
  <c r="GK287" i="43"/>
  <c r="GL287" i="43"/>
  <c r="GM287" i="43"/>
  <c r="GN287" i="43"/>
  <c r="GO287" i="43"/>
  <c r="GP287" i="43"/>
  <c r="GQ287" i="43"/>
  <c r="GR287" i="43"/>
  <c r="GS287" i="43"/>
  <c r="GT287" i="43"/>
  <c r="GU287" i="43"/>
  <c r="GV287" i="43"/>
  <c r="GW287" i="43"/>
  <c r="GX287" i="43"/>
  <c r="GY287" i="43"/>
  <c r="GZ287" i="43"/>
  <c r="HA287" i="43"/>
  <c r="HB287" i="43"/>
  <c r="HC287" i="43"/>
  <c r="HD287" i="43"/>
  <c r="HE287" i="43"/>
  <c r="HF287" i="43"/>
  <c r="HG287" i="43"/>
  <c r="HH287" i="43"/>
  <c r="HI287" i="43"/>
  <c r="HJ287" i="43"/>
  <c r="HK287" i="43"/>
  <c r="HL287" i="43"/>
  <c r="HM287" i="43"/>
  <c r="HN287" i="43"/>
  <c r="HO287" i="43"/>
  <c r="HP287" i="43"/>
  <c r="HQ287" i="43"/>
  <c r="HR287" i="43"/>
  <c r="HS287" i="43"/>
  <c r="HT287" i="43"/>
  <c r="HU287" i="43"/>
  <c r="HV287" i="43"/>
  <c r="HW287" i="43"/>
  <c r="HX287" i="43"/>
  <c r="HY287" i="43"/>
  <c r="HZ287" i="43"/>
  <c r="IA287" i="43"/>
  <c r="IB287" i="43"/>
  <c r="IC287" i="43"/>
  <c r="ID287" i="43"/>
  <c r="IE287" i="43"/>
  <c r="IF287" i="43"/>
  <c r="IG287" i="43"/>
  <c r="IH287" i="43"/>
  <c r="II287" i="43"/>
  <c r="IJ287" i="43"/>
  <c r="IK287" i="43"/>
  <c r="IL287" i="43"/>
  <c r="IM287" i="43"/>
  <c r="IN287" i="43"/>
  <c r="IO287" i="43"/>
  <c r="IP287" i="43"/>
  <c r="IQ287" i="43"/>
  <c r="IR287" i="43"/>
  <c r="IS287" i="43"/>
  <c r="IT287" i="43"/>
  <c r="IU287" i="43"/>
  <c r="IV287" i="43"/>
  <c r="A286" i="43"/>
  <c r="B286" i="43"/>
  <c r="C286" i="43"/>
  <c r="D286" i="43"/>
  <c r="E286" i="43"/>
  <c r="F286" i="43"/>
  <c r="G286" i="43"/>
  <c r="H286" i="43"/>
  <c r="I286" i="43"/>
  <c r="J286" i="43"/>
  <c r="K286" i="43"/>
  <c r="L286" i="43"/>
  <c r="M286" i="43"/>
  <c r="N286" i="43"/>
  <c r="O286" i="43"/>
  <c r="P286" i="43"/>
  <c r="Q286" i="43"/>
  <c r="R286" i="43"/>
  <c r="S286" i="43"/>
  <c r="T286" i="43"/>
  <c r="U286" i="43"/>
  <c r="V286" i="43"/>
  <c r="W286" i="43"/>
  <c r="X286" i="43"/>
  <c r="Y286" i="43"/>
  <c r="Z286" i="43"/>
  <c r="AA286" i="43"/>
  <c r="AB286" i="43"/>
  <c r="AC286" i="43"/>
  <c r="AD286" i="43"/>
  <c r="AE286" i="43"/>
  <c r="AF286" i="43"/>
  <c r="AG286" i="43"/>
  <c r="AH286" i="43"/>
  <c r="AI286" i="43"/>
  <c r="AJ286" i="43"/>
  <c r="AK286" i="43"/>
  <c r="AL286" i="43"/>
  <c r="AM286" i="43"/>
  <c r="AN286" i="43"/>
  <c r="AO286" i="43"/>
  <c r="AP286" i="43"/>
  <c r="AQ286" i="43"/>
  <c r="AR286" i="43"/>
  <c r="AS286" i="43"/>
  <c r="AT286" i="43"/>
  <c r="AU286" i="43"/>
  <c r="AV286" i="43"/>
  <c r="AW286" i="43"/>
  <c r="AX286" i="43"/>
  <c r="AY286" i="43"/>
  <c r="AZ286" i="43"/>
  <c r="BA286" i="43"/>
  <c r="BB286" i="43"/>
  <c r="BC286" i="43"/>
  <c r="BD286" i="43"/>
  <c r="BE286" i="43"/>
  <c r="BF286" i="43"/>
  <c r="BG286" i="43"/>
  <c r="BH286" i="43"/>
  <c r="BI286" i="43"/>
  <c r="BJ286" i="43"/>
  <c r="BK286" i="43"/>
  <c r="BL286" i="43"/>
  <c r="BM286" i="43"/>
  <c r="BN286" i="43"/>
  <c r="BO286" i="43"/>
  <c r="BP286" i="43"/>
  <c r="BQ286" i="43"/>
  <c r="BR286" i="43"/>
  <c r="BS286" i="43"/>
  <c r="BT286" i="43"/>
  <c r="BU286" i="43"/>
  <c r="BV286" i="43"/>
  <c r="BW286" i="43"/>
  <c r="BX286" i="43"/>
  <c r="BY286" i="43"/>
  <c r="BZ286" i="43"/>
  <c r="CA286" i="43"/>
  <c r="CB286" i="43"/>
  <c r="CC286" i="43"/>
  <c r="CD286" i="43"/>
  <c r="CE286" i="43"/>
  <c r="CF286" i="43"/>
  <c r="CG286" i="43"/>
  <c r="CH286" i="43"/>
  <c r="CI286" i="43"/>
  <c r="CJ286" i="43"/>
  <c r="CK286" i="43"/>
  <c r="CL286" i="43"/>
  <c r="CM286" i="43"/>
  <c r="CN286" i="43"/>
  <c r="CO286" i="43"/>
  <c r="CP286" i="43"/>
  <c r="CQ286" i="43"/>
  <c r="CR286" i="43"/>
  <c r="CS286" i="43"/>
  <c r="CT286" i="43"/>
  <c r="CU286" i="43"/>
  <c r="CV286" i="43"/>
  <c r="CW286" i="43"/>
  <c r="CX286" i="43"/>
  <c r="CY286" i="43"/>
  <c r="CZ286" i="43"/>
  <c r="DA286" i="43"/>
  <c r="DB286" i="43"/>
  <c r="DC286" i="43"/>
  <c r="DD286" i="43"/>
  <c r="DE286" i="43"/>
  <c r="DF286" i="43"/>
  <c r="DG286" i="43"/>
  <c r="DH286" i="43"/>
  <c r="DI286" i="43"/>
  <c r="DJ286" i="43"/>
  <c r="DK286" i="43"/>
  <c r="DL286" i="43"/>
  <c r="DM286" i="43"/>
  <c r="DN286" i="43"/>
  <c r="DO286" i="43"/>
  <c r="DP286" i="43"/>
  <c r="DQ286" i="43"/>
  <c r="DR286" i="43"/>
  <c r="DS286" i="43"/>
  <c r="DT286" i="43"/>
  <c r="DU286" i="43"/>
  <c r="DV286" i="43"/>
  <c r="DW286" i="43"/>
  <c r="DX286" i="43"/>
  <c r="DY286" i="43"/>
  <c r="DZ286" i="43"/>
  <c r="EA286" i="43"/>
  <c r="EB286" i="43"/>
  <c r="EC286" i="43"/>
  <c r="ED286" i="43"/>
  <c r="EE286" i="43"/>
  <c r="EF286" i="43"/>
  <c r="EG286" i="43"/>
  <c r="EH286" i="43"/>
  <c r="EI286" i="43"/>
  <c r="EJ286" i="43"/>
  <c r="EK286" i="43"/>
  <c r="EL286" i="43"/>
  <c r="EM286" i="43"/>
  <c r="EN286" i="43"/>
  <c r="EO286" i="43"/>
  <c r="EP286" i="43"/>
  <c r="EQ286" i="43"/>
  <c r="ER286" i="43"/>
  <c r="ES286" i="43"/>
  <c r="ET286" i="43"/>
  <c r="EU286" i="43"/>
  <c r="EV286" i="43"/>
  <c r="EW286" i="43"/>
  <c r="EX286" i="43"/>
  <c r="EY286" i="43"/>
  <c r="EZ286" i="43"/>
  <c r="FA286" i="43"/>
  <c r="FB286" i="43"/>
  <c r="FC286" i="43"/>
  <c r="FD286" i="43"/>
  <c r="FE286" i="43"/>
  <c r="FF286" i="43"/>
  <c r="FG286" i="43"/>
  <c r="FH286" i="43"/>
  <c r="FI286" i="43"/>
  <c r="FJ286" i="43"/>
  <c r="FK286" i="43"/>
  <c r="FL286" i="43"/>
  <c r="FM286" i="43"/>
  <c r="FN286" i="43"/>
  <c r="FO286" i="43"/>
  <c r="FP286" i="43"/>
  <c r="FQ286" i="43"/>
  <c r="FR286" i="43"/>
  <c r="FS286" i="43"/>
  <c r="FT286" i="43"/>
  <c r="FU286" i="43"/>
  <c r="FV286" i="43"/>
  <c r="FW286" i="43"/>
  <c r="FX286" i="43"/>
  <c r="FY286" i="43"/>
  <c r="FZ286" i="43"/>
  <c r="GA286" i="43"/>
  <c r="GB286" i="43"/>
  <c r="GC286" i="43"/>
  <c r="GD286" i="43"/>
  <c r="GE286" i="43"/>
  <c r="GF286" i="43"/>
  <c r="GG286" i="43"/>
  <c r="GH286" i="43"/>
  <c r="GI286" i="43"/>
  <c r="GJ286" i="43"/>
  <c r="GK286" i="43"/>
  <c r="GL286" i="43"/>
  <c r="GM286" i="43"/>
  <c r="GN286" i="43"/>
  <c r="GO286" i="43"/>
  <c r="GP286" i="43"/>
  <c r="GQ286" i="43"/>
  <c r="GR286" i="43"/>
  <c r="GS286" i="43"/>
  <c r="GT286" i="43"/>
  <c r="GU286" i="43"/>
  <c r="GV286" i="43"/>
  <c r="GW286" i="43"/>
  <c r="GX286" i="43"/>
  <c r="GY286" i="43"/>
  <c r="GZ286" i="43"/>
  <c r="HA286" i="43"/>
  <c r="HB286" i="43"/>
  <c r="HC286" i="43"/>
  <c r="HD286" i="43"/>
  <c r="HE286" i="43"/>
  <c r="HF286" i="43"/>
  <c r="HG286" i="43"/>
  <c r="HH286" i="43"/>
  <c r="HI286" i="43"/>
  <c r="HJ286" i="43"/>
  <c r="HK286" i="43"/>
  <c r="HL286" i="43"/>
  <c r="HM286" i="43"/>
  <c r="HN286" i="43"/>
  <c r="HO286" i="43"/>
  <c r="HP286" i="43"/>
  <c r="HQ286" i="43"/>
  <c r="HR286" i="43"/>
  <c r="HS286" i="43"/>
  <c r="HT286" i="43"/>
  <c r="HU286" i="43"/>
  <c r="HV286" i="43"/>
  <c r="HW286" i="43"/>
  <c r="HX286" i="43"/>
  <c r="HY286" i="43"/>
  <c r="HZ286" i="43"/>
  <c r="IA286" i="43"/>
  <c r="IB286" i="43"/>
  <c r="IC286" i="43"/>
  <c r="ID286" i="43"/>
  <c r="IE286" i="43"/>
  <c r="IF286" i="43"/>
  <c r="IG286" i="43"/>
  <c r="IH286" i="43"/>
  <c r="II286" i="43"/>
  <c r="IJ286" i="43"/>
  <c r="IK286" i="43"/>
  <c r="IL286" i="43"/>
  <c r="IM286" i="43"/>
  <c r="IN286" i="43"/>
  <c r="IO286" i="43"/>
  <c r="IP286" i="43"/>
  <c r="IQ286" i="43"/>
  <c r="IR286" i="43"/>
  <c r="IS286" i="43"/>
  <c r="IT286" i="43"/>
  <c r="IU286" i="43"/>
  <c r="IV286" i="43"/>
  <c r="A285" i="43"/>
  <c r="B285" i="43"/>
  <c r="C285" i="43"/>
  <c r="D285" i="43"/>
  <c r="E285" i="43"/>
  <c r="F285" i="43"/>
  <c r="G285" i="43"/>
  <c r="H285" i="43"/>
  <c r="I285" i="43"/>
  <c r="J285" i="43"/>
  <c r="K285" i="43"/>
  <c r="L285" i="43"/>
  <c r="M285" i="43"/>
  <c r="N285" i="43"/>
  <c r="O285" i="43"/>
  <c r="P285" i="43"/>
  <c r="Q285" i="43"/>
  <c r="R285" i="43"/>
  <c r="S285" i="43"/>
  <c r="T285" i="43"/>
  <c r="U285" i="43"/>
  <c r="V285" i="43"/>
  <c r="W285" i="43"/>
  <c r="X285" i="43"/>
  <c r="Y285" i="43"/>
  <c r="Z285" i="43"/>
  <c r="AA285" i="43"/>
  <c r="AB285" i="43"/>
  <c r="AC285" i="43"/>
  <c r="AD285" i="43"/>
  <c r="AE285" i="43"/>
  <c r="AF285" i="43"/>
  <c r="AG285" i="43"/>
  <c r="AH285" i="43"/>
  <c r="AI285" i="43"/>
  <c r="AJ285" i="43"/>
  <c r="AK285" i="43"/>
  <c r="AL285" i="43"/>
  <c r="AM285" i="43"/>
  <c r="AN285" i="43"/>
  <c r="AO285" i="43"/>
  <c r="AP285" i="43"/>
  <c r="AQ285" i="43"/>
  <c r="AR285" i="43"/>
  <c r="AS285" i="43"/>
  <c r="AT285" i="43"/>
  <c r="AU285" i="43"/>
  <c r="AV285" i="43"/>
  <c r="AW285" i="43"/>
  <c r="AX285" i="43"/>
  <c r="AY285" i="43"/>
  <c r="AZ285" i="43"/>
  <c r="BA285" i="43"/>
  <c r="BB285" i="43"/>
  <c r="BC285" i="43"/>
  <c r="BD285" i="43"/>
  <c r="BE285" i="43"/>
  <c r="BF285" i="43"/>
  <c r="BG285" i="43"/>
  <c r="BH285" i="43"/>
  <c r="BI285" i="43"/>
  <c r="BJ285" i="43"/>
  <c r="BK285" i="43"/>
  <c r="BL285" i="43"/>
  <c r="BM285" i="43"/>
  <c r="BN285" i="43"/>
  <c r="BO285" i="43"/>
  <c r="BP285" i="43"/>
  <c r="BQ285" i="43"/>
  <c r="BR285" i="43"/>
  <c r="BS285" i="43"/>
  <c r="BT285" i="43"/>
  <c r="BU285" i="43"/>
  <c r="BV285" i="43"/>
  <c r="BW285" i="43"/>
  <c r="BX285" i="43"/>
  <c r="BY285" i="43"/>
  <c r="BZ285" i="43"/>
  <c r="CA285" i="43"/>
  <c r="CB285" i="43"/>
  <c r="CC285" i="43"/>
  <c r="CD285" i="43"/>
  <c r="CE285" i="43"/>
  <c r="CF285" i="43"/>
  <c r="CG285" i="43"/>
  <c r="CH285" i="43"/>
  <c r="CI285" i="43"/>
  <c r="CJ285" i="43"/>
  <c r="CK285" i="43"/>
  <c r="CL285" i="43"/>
  <c r="CM285" i="43"/>
  <c r="CN285" i="43"/>
  <c r="CO285" i="43"/>
  <c r="CP285" i="43"/>
  <c r="CQ285" i="43"/>
  <c r="CR285" i="43"/>
  <c r="CS285" i="43"/>
  <c r="CT285" i="43"/>
  <c r="CU285" i="43"/>
  <c r="CV285" i="43"/>
  <c r="CW285" i="43"/>
  <c r="CX285" i="43"/>
  <c r="CY285" i="43"/>
  <c r="CZ285" i="43"/>
  <c r="DA285" i="43"/>
  <c r="DB285" i="43"/>
  <c r="DC285" i="43"/>
  <c r="DD285" i="43"/>
  <c r="DE285" i="43"/>
  <c r="DF285" i="43"/>
  <c r="DG285" i="43"/>
  <c r="DH285" i="43"/>
  <c r="DI285" i="43"/>
  <c r="DJ285" i="43"/>
  <c r="DK285" i="43"/>
  <c r="DL285" i="43"/>
  <c r="DM285" i="43"/>
  <c r="DN285" i="43"/>
  <c r="DO285" i="43"/>
  <c r="DP285" i="43"/>
  <c r="DQ285" i="43"/>
  <c r="DR285" i="43"/>
  <c r="DS285" i="43"/>
  <c r="DT285" i="43"/>
  <c r="DU285" i="43"/>
  <c r="DV285" i="43"/>
  <c r="DW285" i="43"/>
  <c r="DX285" i="43"/>
  <c r="DY285" i="43"/>
  <c r="DZ285" i="43"/>
  <c r="EA285" i="43"/>
  <c r="EB285" i="43"/>
  <c r="EC285" i="43"/>
  <c r="ED285" i="43"/>
  <c r="EE285" i="43"/>
  <c r="EF285" i="43"/>
  <c r="EG285" i="43"/>
  <c r="EH285" i="43"/>
  <c r="EI285" i="43"/>
  <c r="EJ285" i="43"/>
  <c r="EK285" i="43"/>
  <c r="EL285" i="43"/>
  <c r="EM285" i="43"/>
  <c r="EN285" i="43"/>
  <c r="EO285" i="43"/>
  <c r="EP285" i="43"/>
  <c r="EQ285" i="43"/>
  <c r="ER285" i="43"/>
  <c r="ES285" i="43"/>
  <c r="ET285" i="43"/>
  <c r="EU285" i="43"/>
  <c r="EV285" i="43"/>
  <c r="EW285" i="43"/>
  <c r="EX285" i="43"/>
  <c r="EY285" i="43"/>
  <c r="EZ285" i="43"/>
  <c r="FA285" i="43"/>
  <c r="FB285" i="43"/>
  <c r="FC285" i="43"/>
  <c r="FD285" i="43"/>
  <c r="FE285" i="43"/>
  <c r="FF285" i="43"/>
  <c r="FG285" i="43"/>
  <c r="FH285" i="43"/>
  <c r="FI285" i="43"/>
  <c r="FJ285" i="43"/>
  <c r="FK285" i="43"/>
  <c r="FL285" i="43"/>
  <c r="FM285" i="43"/>
  <c r="FN285" i="43"/>
  <c r="FO285" i="43"/>
  <c r="FP285" i="43"/>
  <c r="FQ285" i="43"/>
  <c r="FR285" i="43"/>
  <c r="FS285" i="43"/>
  <c r="FT285" i="43"/>
  <c r="FU285" i="43"/>
  <c r="FV285" i="43"/>
  <c r="FW285" i="43"/>
  <c r="FX285" i="43"/>
  <c r="FY285" i="43"/>
  <c r="FZ285" i="43"/>
  <c r="GA285" i="43"/>
  <c r="GB285" i="43"/>
  <c r="GC285" i="43"/>
  <c r="GD285" i="43"/>
  <c r="GE285" i="43"/>
  <c r="GF285" i="43"/>
  <c r="GG285" i="43"/>
  <c r="GH285" i="43"/>
  <c r="GI285" i="43"/>
  <c r="GJ285" i="43"/>
  <c r="GK285" i="43"/>
  <c r="GL285" i="43"/>
  <c r="GM285" i="43"/>
  <c r="GN285" i="43"/>
  <c r="GO285" i="43"/>
  <c r="GP285" i="43"/>
  <c r="GQ285" i="43"/>
  <c r="GR285" i="43"/>
  <c r="GS285" i="43"/>
  <c r="GT285" i="43"/>
  <c r="GU285" i="43"/>
  <c r="GV285" i="43"/>
  <c r="GW285" i="43"/>
  <c r="GX285" i="43"/>
  <c r="GY285" i="43"/>
  <c r="GZ285" i="43"/>
  <c r="HA285" i="43"/>
  <c r="HB285" i="43"/>
  <c r="HC285" i="43"/>
  <c r="HD285" i="43"/>
  <c r="HE285" i="43"/>
  <c r="HF285" i="43"/>
  <c r="HG285" i="43"/>
  <c r="HH285" i="43"/>
  <c r="HI285" i="43"/>
  <c r="HJ285" i="43"/>
  <c r="HK285" i="43"/>
  <c r="HL285" i="43"/>
  <c r="HM285" i="43"/>
  <c r="HN285" i="43"/>
  <c r="HO285" i="43"/>
  <c r="HP285" i="43"/>
  <c r="HQ285" i="43"/>
  <c r="HR285" i="43"/>
  <c r="HS285" i="43"/>
  <c r="HT285" i="43"/>
  <c r="HU285" i="43"/>
  <c r="HV285" i="43"/>
  <c r="HW285" i="43"/>
  <c r="HX285" i="43"/>
  <c r="HY285" i="43"/>
  <c r="HZ285" i="43"/>
  <c r="IA285" i="43"/>
  <c r="IB285" i="43"/>
  <c r="IC285" i="43"/>
  <c r="ID285" i="43"/>
  <c r="IE285" i="43"/>
  <c r="IF285" i="43"/>
  <c r="IG285" i="43"/>
  <c r="IH285" i="43"/>
  <c r="II285" i="43"/>
  <c r="IJ285" i="43"/>
  <c r="IK285" i="43"/>
  <c r="IL285" i="43"/>
  <c r="IM285" i="43"/>
  <c r="IN285" i="43"/>
  <c r="IO285" i="43"/>
  <c r="IP285" i="43"/>
  <c r="IQ285" i="43"/>
  <c r="IR285" i="43"/>
  <c r="IS285" i="43"/>
  <c r="IT285" i="43"/>
  <c r="IU285" i="43"/>
  <c r="IV285" i="43"/>
  <c r="A284" i="43"/>
  <c r="B284" i="43"/>
  <c r="C284" i="43"/>
  <c r="D284" i="43"/>
  <c r="E284" i="43"/>
  <c r="F284" i="43"/>
  <c r="G284" i="43"/>
  <c r="H284" i="43"/>
  <c r="I284" i="43"/>
  <c r="J284" i="43"/>
  <c r="K284" i="43"/>
  <c r="L284" i="43"/>
  <c r="M284" i="43"/>
  <c r="N284" i="43"/>
  <c r="O284" i="43"/>
  <c r="P284" i="43"/>
  <c r="Q284" i="43"/>
  <c r="R284" i="43"/>
  <c r="S284" i="43"/>
  <c r="T284" i="43"/>
  <c r="U284" i="43"/>
  <c r="V284" i="43"/>
  <c r="W284" i="43"/>
  <c r="X284" i="43"/>
  <c r="Y284" i="43"/>
  <c r="Z284" i="43"/>
  <c r="AA284" i="43"/>
  <c r="AB284" i="43"/>
  <c r="AC284" i="43"/>
  <c r="AD284" i="43"/>
  <c r="AE284" i="43"/>
  <c r="AF284" i="43"/>
  <c r="AG284" i="43"/>
  <c r="AH284" i="43"/>
  <c r="AI284" i="43"/>
  <c r="AJ284" i="43"/>
  <c r="AK284" i="43"/>
  <c r="AL284" i="43"/>
  <c r="AM284" i="43"/>
  <c r="AN284" i="43"/>
  <c r="AO284" i="43"/>
  <c r="AP284" i="43"/>
  <c r="AQ284" i="43"/>
  <c r="AR284" i="43"/>
  <c r="AS284" i="43"/>
  <c r="AT284" i="43"/>
  <c r="AU284" i="43"/>
  <c r="AV284" i="43"/>
  <c r="AW284" i="43"/>
  <c r="AX284" i="43"/>
  <c r="AY284" i="43"/>
  <c r="AZ284" i="43"/>
  <c r="BA284" i="43"/>
  <c r="BB284" i="43"/>
  <c r="BC284" i="43"/>
  <c r="BD284" i="43"/>
  <c r="BE284" i="43"/>
  <c r="BF284" i="43"/>
  <c r="BG284" i="43"/>
  <c r="BH284" i="43"/>
  <c r="BI284" i="43"/>
  <c r="BJ284" i="43"/>
  <c r="BK284" i="43"/>
  <c r="BL284" i="43"/>
  <c r="BM284" i="43"/>
  <c r="BN284" i="43"/>
  <c r="BO284" i="43"/>
  <c r="BP284" i="43"/>
  <c r="BQ284" i="43"/>
  <c r="BR284" i="43"/>
  <c r="BS284" i="43"/>
  <c r="BT284" i="43"/>
  <c r="BU284" i="43"/>
  <c r="BV284" i="43"/>
  <c r="BW284" i="43"/>
  <c r="BX284" i="43"/>
  <c r="BY284" i="43"/>
  <c r="BZ284" i="43"/>
  <c r="CA284" i="43"/>
  <c r="CB284" i="43"/>
  <c r="CC284" i="43"/>
  <c r="CD284" i="43"/>
  <c r="CE284" i="43"/>
  <c r="CF284" i="43"/>
  <c r="CG284" i="43"/>
  <c r="CH284" i="43"/>
  <c r="CI284" i="43"/>
  <c r="CJ284" i="43"/>
  <c r="CK284" i="43"/>
  <c r="CL284" i="43"/>
  <c r="CM284" i="43"/>
  <c r="CN284" i="43"/>
  <c r="CO284" i="43"/>
  <c r="CP284" i="43"/>
  <c r="CQ284" i="43"/>
  <c r="CR284" i="43"/>
  <c r="CS284" i="43"/>
  <c r="CT284" i="43"/>
  <c r="CU284" i="43"/>
  <c r="CV284" i="43"/>
  <c r="CW284" i="43"/>
  <c r="CX284" i="43"/>
  <c r="CY284" i="43"/>
  <c r="CZ284" i="43"/>
  <c r="DA284" i="43"/>
  <c r="DB284" i="43"/>
  <c r="DC284" i="43"/>
  <c r="DD284" i="43"/>
  <c r="DE284" i="43"/>
  <c r="DF284" i="43"/>
  <c r="DG284" i="43"/>
  <c r="DH284" i="43"/>
  <c r="DI284" i="43"/>
  <c r="DJ284" i="43"/>
  <c r="DK284" i="43"/>
  <c r="DL284" i="43"/>
  <c r="DM284" i="43"/>
  <c r="DN284" i="43"/>
  <c r="DO284" i="43"/>
  <c r="DP284" i="43"/>
  <c r="DQ284" i="43"/>
  <c r="DR284" i="43"/>
  <c r="DS284" i="43"/>
  <c r="DT284" i="43"/>
  <c r="DU284" i="43"/>
  <c r="DV284" i="43"/>
  <c r="DW284" i="43"/>
  <c r="DX284" i="43"/>
  <c r="DY284" i="43"/>
  <c r="DZ284" i="43"/>
  <c r="EA284" i="43"/>
  <c r="EB284" i="43"/>
  <c r="EC284" i="43"/>
  <c r="ED284" i="43"/>
  <c r="EE284" i="43"/>
  <c r="EF284" i="43"/>
  <c r="EG284" i="43"/>
  <c r="EH284" i="43"/>
  <c r="EI284" i="43"/>
  <c r="EJ284" i="43"/>
  <c r="EK284" i="43"/>
  <c r="EL284" i="43"/>
  <c r="EM284" i="43"/>
  <c r="EN284" i="43"/>
  <c r="EO284" i="43"/>
  <c r="EP284" i="43"/>
  <c r="EQ284" i="43"/>
  <c r="ER284" i="43"/>
  <c r="ES284" i="43"/>
  <c r="ET284" i="43"/>
  <c r="EU284" i="43"/>
  <c r="EV284" i="43"/>
  <c r="EW284" i="43"/>
  <c r="EX284" i="43"/>
  <c r="EY284" i="43"/>
  <c r="EZ284" i="43"/>
  <c r="FA284" i="43"/>
  <c r="FB284" i="43"/>
  <c r="FC284" i="43"/>
  <c r="FD284" i="43"/>
  <c r="FE284" i="43"/>
  <c r="FF284" i="43"/>
  <c r="FG284" i="43"/>
  <c r="FH284" i="43"/>
  <c r="FI284" i="43"/>
  <c r="FJ284" i="43"/>
  <c r="FK284" i="43"/>
  <c r="FL284" i="43"/>
  <c r="FM284" i="43"/>
  <c r="FN284" i="43"/>
  <c r="FO284" i="43"/>
  <c r="FP284" i="43"/>
  <c r="FQ284" i="43"/>
  <c r="FR284" i="43"/>
  <c r="FS284" i="43"/>
  <c r="FT284" i="43"/>
  <c r="FU284" i="43"/>
  <c r="FV284" i="43"/>
  <c r="FW284" i="43"/>
  <c r="FX284" i="43"/>
  <c r="FY284" i="43"/>
  <c r="FZ284" i="43"/>
  <c r="GA284" i="43"/>
  <c r="GB284" i="43"/>
  <c r="GC284" i="43"/>
  <c r="GD284" i="43"/>
  <c r="GE284" i="43"/>
  <c r="GF284" i="43"/>
  <c r="GG284" i="43"/>
  <c r="GH284" i="43"/>
  <c r="GI284" i="43"/>
  <c r="GJ284" i="43"/>
  <c r="GK284" i="43"/>
  <c r="GL284" i="43"/>
  <c r="GM284" i="43"/>
  <c r="GN284" i="43"/>
  <c r="GO284" i="43"/>
  <c r="GP284" i="43"/>
  <c r="GQ284" i="43"/>
  <c r="GR284" i="43"/>
  <c r="GS284" i="43"/>
  <c r="GT284" i="43"/>
  <c r="GU284" i="43"/>
  <c r="GV284" i="43"/>
  <c r="GW284" i="43"/>
  <c r="GX284" i="43"/>
  <c r="GY284" i="43"/>
  <c r="GZ284" i="43"/>
  <c r="HA284" i="43"/>
  <c r="HB284" i="43"/>
  <c r="HC284" i="43"/>
  <c r="HD284" i="43"/>
  <c r="HE284" i="43"/>
  <c r="HF284" i="43"/>
  <c r="HG284" i="43"/>
  <c r="HH284" i="43"/>
  <c r="HI284" i="43"/>
  <c r="HJ284" i="43"/>
  <c r="HK284" i="43"/>
  <c r="HL284" i="43"/>
  <c r="HM284" i="43"/>
  <c r="HN284" i="43"/>
  <c r="HO284" i="43"/>
  <c r="HP284" i="43"/>
  <c r="HQ284" i="43"/>
  <c r="HR284" i="43"/>
  <c r="HS284" i="43"/>
  <c r="HT284" i="43"/>
  <c r="HU284" i="43"/>
  <c r="HV284" i="43"/>
  <c r="HW284" i="43"/>
  <c r="HX284" i="43"/>
  <c r="HY284" i="43"/>
  <c r="HZ284" i="43"/>
  <c r="IA284" i="43"/>
  <c r="IB284" i="43"/>
  <c r="IC284" i="43"/>
  <c r="ID284" i="43"/>
  <c r="IE284" i="43"/>
  <c r="IF284" i="43"/>
  <c r="IG284" i="43"/>
  <c r="IH284" i="43"/>
  <c r="II284" i="43"/>
  <c r="IJ284" i="43"/>
  <c r="IK284" i="43"/>
  <c r="IL284" i="43"/>
  <c r="IM284" i="43"/>
  <c r="IN284" i="43"/>
  <c r="IO284" i="43"/>
  <c r="IP284" i="43"/>
  <c r="IQ284" i="43"/>
  <c r="IR284" i="43"/>
  <c r="IS284" i="43"/>
  <c r="IT284" i="43"/>
  <c r="IU284" i="43"/>
  <c r="IV284" i="43"/>
  <c r="A283" i="43"/>
  <c r="B283" i="43"/>
  <c r="C283" i="43"/>
  <c r="D283" i="43"/>
  <c r="E283" i="43"/>
  <c r="F283" i="43"/>
  <c r="G283" i="43"/>
  <c r="H283" i="43"/>
  <c r="I283" i="43"/>
  <c r="J283" i="43"/>
  <c r="K283" i="43"/>
  <c r="L283" i="43"/>
  <c r="M283" i="43"/>
  <c r="N283" i="43"/>
  <c r="O283" i="43"/>
  <c r="P283" i="43"/>
  <c r="Q283" i="43"/>
  <c r="R283" i="43"/>
  <c r="S283" i="43"/>
  <c r="T283" i="43"/>
  <c r="U283" i="43"/>
  <c r="V283" i="43"/>
  <c r="W283" i="43"/>
  <c r="X283" i="43"/>
  <c r="Y283" i="43"/>
  <c r="Z283" i="43"/>
  <c r="AA283" i="43"/>
  <c r="AB283" i="43"/>
  <c r="AC283" i="43"/>
  <c r="AD283" i="43"/>
  <c r="AE283" i="43"/>
  <c r="AF283" i="43"/>
  <c r="AG283" i="43"/>
  <c r="AH283" i="43"/>
  <c r="AI283" i="43"/>
  <c r="AJ283" i="43"/>
  <c r="AK283" i="43"/>
  <c r="AL283" i="43"/>
  <c r="AM283" i="43"/>
  <c r="AN283" i="43"/>
  <c r="AO283" i="43"/>
  <c r="AP283" i="43"/>
  <c r="AQ283" i="43"/>
  <c r="AR283" i="43"/>
  <c r="AS283" i="43"/>
  <c r="AT283" i="43"/>
  <c r="AU283" i="43"/>
  <c r="AV283" i="43"/>
  <c r="AW283" i="43"/>
  <c r="AX283" i="43"/>
  <c r="AY283" i="43"/>
  <c r="AZ283" i="43"/>
  <c r="BA283" i="43"/>
  <c r="BB283" i="43"/>
  <c r="BC283" i="43"/>
  <c r="BD283" i="43"/>
  <c r="BE283" i="43"/>
  <c r="BF283" i="43"/>
  <c r="BG283" i="43"/>
  <c r="BH283" i="43"/>
  <c r="BI283" i="43"/>
  <c r="BJ283" i="43"/>
  <c r="BK283" i="43"/>
  <c r="BL283" i="43"/>
  <c r="BM283" i="43"/>
  <c r="BN283" i="43"/>
  <c r="BO283" i="43"/>
  <c r="BP283" i="43"/>
  <c r="BQ283" i="43"/>
  <c r="BR283" i="43"/>
  <c r="BS283" i="43"/>
  <c r="BT283" i="43"/>
  <c r="BU283" i="43"/>
  <c r="BV283" i="43"/>
  <c r="BW283" i="43"/>
  <c r="BX283" i="43"/>
  <c r="BY283" i="43"/>
  <c r="BZ283" i="43"/>
  <c r="CA283" i="43"/>
  <c r="CB283" i="43"/>
  <c r="CC283" i="43"/>
  <c r="CD283" i="43"/>
  <c r="CE283" i="43"/>
  <c r="CF283" i="43"/>
  <c r="CG283" i="43"/>
  <c r="CH283" i="43"/>
  <c r="CI283" i="43"/>
  <c r="CJ283" i="43"/>
  <c r="CK283" i="43"/>
  <c r="CL283" i="43"/>
  <c r="CM283" i="43"/>
  <c r="CN283" i="43"/>
  <c r="CO283" i="43"/>
  <c r="CP283" i="43"/>
  <c r="CQ283" i="43"/>
  <c r="CR283" i="43"/>
  <c r="CS283" i="43"/>
  <c r="CT283" i="43"/>
  <c r="CU283" i="43"/>
  <c r="CV283" i="43"/>
  <c r="CW283" i="43"/>
  <c r="CX283" i="43"/>
  <c r="CY283" i="43"/>
  <c r="CZ283" i="43"/>
  <c r="DA283" i="43"/>
  <c r="DB283" i="43"/>
  <c r="DC283" i="43"/>
  <c r="DD283" i="43"/>
  <c r="DE283" i="43"/>
  <c r="DF283" i="43"/>
  <c r="DG283" i="43"/>
  <c r="DH283" i="43"/>
  <c r="DI283" i="43"/>
  <c r="DJ283" i="43"/>
  <c r="DK283" i="43"/>
  <c r="DL283" i="43"/>
  <c r="DM283" i="43"/>
  <c r="DN283" i="43"/>
  <c r="DO283" i="43"/>
  <c r="DP283" i="43"/>
  <c r="DQ283" i="43"/>
  <c r="DR283" i="43"/>
  <c r="DS283" i="43"/>
  <c r="DT283" i="43"/>
  <c r="DU283" i="43"/>
  <c r="DV283" i="43"/>
  <c r="DW283" i="43"/>
  <c r="DX283" i="43"/>
  <c r="DY283" i="43"/>
  <c r="DZ283" i="43"/>
  <c r="EA283" i="43"/>
  <c r="EB283" i="43"/>
  <c r="EC283" i="43"/>
  <c r="ED283" i="43"/>
  <c r="EE283" i="43"/>
  <c r="EF283" i="43"/>
  <c r="EG283" i="43"/>
  <c r="EH283" i="43"/>
  <c r="EI283" i="43"/>
  <c r="EJ283" i="43"/>
  <c r="EK283" i="43"/>
  <c r="EL283" i="43"/>
  <c r="EM283" i="43"/>
  <c r="EN283" i="43"/>
  <c r="EO283" i="43"/>
  <c r="EP283" i="43"/>
  <c r="EQ283" i="43"/>
  <c r="ER283" i="43"/>
  <c r="ES283" i="43"/>
  <c r="ET283" i="43"/>
  <c r="EU283" i="43"/>
  <c r="EV283" i="43"/>
  <c r="EW283" i="43"/>
  <c r="EX283" i="43"/>
  <c r="EY283" i="43"/>
  <c r="EZ283" i="43"/>
  <c r="FA283" i="43"/>
  <c r="FB283" i="43"/>
  <c r="FC283" i="43"/>
  <c r="FD283" i="43"/>
  <c r="FE283" i="43"/>
  <c r="FF283" i="43"/>
  <c r="FG283" i="43"/>
  <c r="FH283" i="43"/>
  <c r="FI283" i="43"/>
  <c r="FJ283" i="43"/>
  <c r="FK283" i="43"/>
  <c r="FL283" i="43"/>
  <c r="FM283" i="43"/>
  <c r="FN283" i="43"/>
  <c r="FO283" i="43"/>
  <c r="FP283" i="43"/>
  <c r="FQ283" i="43"/>
  <c r="FR283" i="43"/>
  <c r="FS283" i="43"/>
  <c r="FT283" i="43"/>
  <c r="FU283" i="43"/>
  <c r="FV283" i="43"/>
  <c r="FW283" i="43"/>
  <c r="FX283" i="43"/>
  <c r="FY283" i="43"/>
  <c r="FZ283" i="43"/>
  <c r="GA283" i="43"/>
  <c r="GB283" i="43"/>
  <c r="GC283" i="43"/>
  <c r="GD283" i="43"/>
  <c r="GE283" i="43"/>
  <c r="GF283" i="43"/>
  <c r="GG283" i="43"/>
  <c r="GH283" i="43"/>
  <c r="GI283" i="43"/>
  <c r="GJ283" i="43"/>
  <c r="GK283" i="43"/>
  <c r="GL283" i="43"/>
  <c r="GM283" i="43"/>
  <c r="GN283" i="43"/>
  <c r="GO283" i="43"/>
  <c r="GP283" i="43"/>
  <c r="GQ283" i="43"/>
  <c r="GR283" i="43"/>
  <c r="GS283" i="43"/>
  <c r="GT283" i="43"/>
  <c r="GU283" i="43"/>
  <c r="GV283" i="43"/>
  <c r="GW283" i="43"/>
  <c r="GX283" i="43"/>
  <c r="GY283" i="43"/>
  <c r="GZ283" i="43"/>
  <c r="HA283" i="43"/>
  <c r="HB283" i="43"/>
  <c r="HC283" i="43"/>
  <c r="HD283" i="43"/>
  <c r="HE283" i="43"/>
  <c r="HF283" i="43"/>
  <c r="HG283" i="43"/>
  <c r="HH283" i="43"/>
  <c r="HI283" i="43"/>
  <c r="HJ283" i="43"/>
  <c r="HK283" i="43"/>
  <c r="HL283" i="43"/>
  <c r="HM283" i="43"/>
  <c r="HN283" i="43"/>
  <c r="HO283" i="43"/>
  <c r="HP283" i="43"/>
  <c r="HQ283" i="43"/>
  <c r="HR283" i="43"/>
  <c r="HS283" i="43"/>
  <c r="HT283" i="43"/>
  <c r="HU283" i="43"/>
  <c r="HV283" i="43"/>
  <c r="HW283" i="43"/>
  <c r="HX283" i="43"/>
  <c r="HY283" i="43"/>
  <c r="HZ283" i="43"/>
  <c r="IA283" i="43"/>
  <c r="IB283" i="43"/>
  <c r="IC283" i="43"/>
  <c r="ID283" i="43"/>
  <c r="IE283" i="43"/>
  <c r="IF283" i="43"/>
  <c r="IG283" i="43"/>
  <c r="IH283" i="43"/>
  <c r="II283" i="43"/>
  <c r="IJ283" i="43"/>
  <c r="IK283" i="43"/>
  <c r="IL283" i="43"/>
  <c r="IM283" i="43"/>
  <c r="IN283" i="43"/>
  <c r="IO283" i="43"/>
  <c r="IP283" i="43"/>
  <c r="IQ283" i="43"/>
  <c r="IR283" i="43"/>
  <c r="IS283" i="43"/>
  <c r="IT283" i="43"/>
  <c r="IU283" i="43"/>
  <c r="IV283" i="43"/>
  <c r="A282" i="43"/>
  <c r="B282" i="43"/>
  <c r="C282" i="43"/>
  <c r="D282" i="43"/>
  <c r="E282" i="43"/>
  <c r="F282" i="43"/>
  <c r="G282" i="43"/>
  <c r="H282" i="43"/>
  <c r="I282" i="43"/>
  <c r="J282" i="43"/>
  <c r="K282" i="43"/>
  <c r="L282" i="43"/>
  <c r="M282" i="43"/>
  <c r="N282" i="43"/>
  <c r="O282" i="43"/>
  <c r="P282" i="43"/>
  <c r="Q282" i="43"/>
  <c r="R282" i="43"/>
  <c r="S282" i="43"/>
  <c r="T282" i="43"/>
  <c r="U282" i="43"/>
  <c r="V282" i="43"/>
  <c r="W282" i="43"/>
  <c r="X282" i="43"/>
  <c r="Y282" i="43"/>
  <c r="Z282" i="43"/>
  <c r="AA282" i="43"/>
  <c r="AB282" i="43"/>
  <c r="AC282" i="43"/>
  <c r="AD282" i="43"/>
  <c r="AE282" i="43"/>
  <c r="AF282" i="43"/>
  <c r="AG282" i="43"/>
  <c r="AH282" i="43"/>
  <c r="AI282" i="43"/>
  <c r="AJ282" i="43"/>
  <c r="AK282" i="43"/>
  <c r="AL282" i="43"/>
  <c r="AM282" i="43"/>
  <c r="AN282" i="43"/>
  <c r="AO282" i="43"/>
  <c r="AP282" i="43"/>
  <c r="AQ282" i="43"/>
  <c r="AR282" i="43"/>
  <c r="AS282" i="43"/>
  <c r="AT282" i="43"/>
  <c r="AU282" i="43"/>
  <c r="AV282" i="43"/>
  <c r="AW282" i="43"/>
  <c r="AX282" i="43"/>
  <c r="AY282" i="43"/>
  <c r="AZ282" i="43"/>
  <c r="BA282" i="43"/>
  <c r="BB282" i="43"/>
  <c r="BC282" i="43"/>
  <c r="BD282" i="43"/>
  <c r="BE282" i="43"/>
  <c r="BF282" i="43"/>
  <c r="BG282" i="43"/>
  <c r="BH282" i="43"/>
  <c r="BI282" i="43"/>
  <c r="BJ282" i="43"/>
  <c r="BK282" i="43"/>
  <c r="BL282" i="43"/>
  <c r="BM282" i="43"/>
  <c r="BN282" i="43"/>
  <c r="BO282" i="43"/>
  <c r="BP282" i="43"/>
  <c r="BQ282" i="43"/>
  <c r="BR282" i="43"/>
  <c r="BS282" i="43"/>
  <c r="BT282" i="43"/>
  <c r="BU282" i="43"/>
  <c r="BV282" i="43"/>
  <c r="BW282" i="43"/>
  <c r="BX282" i="43"/>
  <c r="BY282" i="43"/>
  <c r="BZ282" i="43"/>
  <c r="CA282" i="43"/>
  <c r="CB282" i="43"/>
  <c r="CC282" i="43"/>
  <c r="CD282" i="43"/>
  <c r="CE282" i="43"/>
  <c r="CF282" i="43"/>
  <c r="CG282" i="43"/>
  <c r="CH282" i="43"/>
  <c r="CI282" i="43"/>
  <c r="CJ282" i="43"/>
  <c r="CK282" i="43"/>
  <c r="CL282" i="43"/>
  <c r="CM282" i="43"/>
  <c r="CN282" i="43"/>
  <c r="CO282" i="43"/>
  <c r="CP282" i="43"/>
  <c r="CQ282" i="43"/>
  <c r="CR282" i="43"/>
  <c r="CS282" i="43"/>
  <c r="CT282" i="43"/>
  <c r="CU282" i="43"/>
  <c r="CV282" i="43"/>
  <c r="CW282" i="43"/>
  <c r="CX282" i="43"/>
  <c r="CY282" i="43"/>
  <c r="CZ282" i="43"/>
  <c r="DA282" i="43"/>
  <c r="DB282" i="43"/>
  <c r="DC282" i="43"/>
  <c r="DD282" i="43"/>
  <c r="DE282" i="43"/>
  <c r="DF282" i="43"/>
  <c r="DG282" i="43"/>
  <c r="DH282" i="43"/>
  <c r="DI282" i="43"/>
  <c r="DJ282" i="43"/>
  <c r="DK282" i="43"/>
  <c r="DL282" i="43"/>
  <c r="DM282" i="43"/>
  <c r="DN282" i="43"/>
  <c r="DO282" i="43"/>
  <c r="DP282" i="43"/>
  <c r="DQ282" i="43"/>
  <c r="DR282" i="43"/>
  <c r="DS282" i="43"/>
  <c r="DT282" i="43"/>
  <c r="DU282" i="43"/>
  <c r="DV282" i="43"/>
  <c r="DW282" i="43"/>
  <c r="DX282" i="43"/>
  <c r="DY282" i="43"/>
  <c r="DZ282" i="43"/>
  <c r="EA282" i="43"/>
  <c r="EB282" i="43"/>
  <c r="EC282" i="43"/>
  <c r="ED282" i="43"/>
  <c r="EE282" i="43"/>
  <c r="EF282" i="43"/>
  <c r="EG282" i="43"/>
  <c r="EH282" i="43"/>
  <c r="EI282" i="43"/>
  <c r="EJ282" i="43"/>
  <c r="EK282" i="43"/>
  <c r="EL282" i="43"/>
  <c r="EM282" i="43"/>
  <c r="EN282" i="43"/>
  <c r="EO282" i="43"/>
  <c r="EP282" i="43"/>
  <c r="EQ282" i="43"/>
  <c r="ER282" i="43"/>
  <c r="ES282" i="43"/>
  <c r="ET282" i="43"/>
  <c r="EU282" i="43"/>
  <c r="EV282" i="43"/>
  <c r="EW282" i="43"/>
  <c r="EX282" i="43"/>
  <c r="EY282" i="43"/>
  <c r="EZ282" i="43"/>
  <c r="FA282" i="43"/>
  <c r="FB282" i="43"/>
  <c r="FC282" i="43"/>
  <c r="FD282" i="43"/>
  <c r="FE282" i="43"/>
  <c r="FF282" i="43"/>
  <c r="FG282" i="43"/>
  <c r="FH282" i="43"/>
  <c r="FI282" i="43"/>
  <c r="FJ282" i="43"/>
  <c r="FK282" i="43"/>
  <c r="FL282" i="43"/>
  <c r="FM282" i="43"/>
  <c r="FN282" i="43"/>
  <c r="FO282" i="43"/>
  <c r="FP282" i="43"/>
  <c r="FQ282" i="43"/>
  <c r="FR282" i="43"/>
  <c r="FS282" i="43"/>
  <c r="FT282" i="43"/>
  <c r="FU282" i="43"/>
  <c r="FV282" i="43"/>
  <c r="FW282" i="43"/>
  <c r="FX282" i="43"/>
  <c r="FY282" i="43"/>
  <c r="FZ282" i="43"/>
  <c r="GA282" i="43"/>
  <c r="GB282" i="43"/>
  <c r="GC282" i="43"/>
  <c r="GD282" i="43"/>
  <c r="GE282" i="43"/>
  <c r="GF282" i="43"/>
  <c r="GG282" i="43"/>
  <c r="GH282" i="43"/>
  <c r="GI282" i="43"/>
  <c r="GJ282" i="43"/>
  <c r="GK282" i="43"/>
  <c r="GL282" i="43"/>
  <c r="GM282" i="43"/>
  <c r="GN282" i="43"/>
  <c r="GO282" i="43"/>
  <c r="GP282" i="43"/>
  <c r="GQ282" i="43"/>
  <c r="GR282" i="43"/>
  <c r="GS282" i="43"/>
  <c r="GT282" i="43"/>
  <c r="GU282" i="43"/>
  <c r="GV282" i="43"/>
  <c r="GW282" i="43"/>
  <c r="GX282" i="43"/>
  <c r="GY282" i="43"/>
  <c r="GZ282" i="43"/>
  <c r="HA282" i="43"/>
  <c r="HB282" i="43"/>
  <c r="HC282" i="43"/>
  <c r="HD282" i="43"/>
  <c r="HE282" i="43"/>
  <c r="HF282" i="43"/>
  <c r="HG282" i="43"/>
  <c r="HH282" i="43"/>
  <c r="HI282" i="43"/>
  <c r="HJ282" i="43"/>
  <c r="HK282" i="43"/>
  <c r="HL282" i="43"/>
  <c r="HM282" i="43"/>
  <c r="HN282" i="43"/>
  <c r="HO282" i="43"/>
  <c r="HP282" i="43"/>
  <c r="HQ282" i="43"/>
  <c r="HR282" i="43"/>
  <c r="HS282" i="43"/>
  <c r="HT282" i="43"/>
  <c r="HU282" i="43"/>
  <c r="HV282" i="43"/>
  <c r="HW282" i="43"/>
  <c r="HX282" i="43"/>
  <c r="HY282" i="43"/>
  <c r="HZ282" i="43"/>
  <c r="IA282" i="43"/>
  <c r="IB282" i="43"/>
  <c r="IC282" i="43"/>
  <c r="ID282" i="43"/>
  <c r="IE282" i="43"/>
  <c r="IF282" i="43"/>
  <c r="IG282" i="43"/>
  <c r="IH282" i="43"/>
  <c r="II282" i="43"/>
  <c r="IJ282" i="43"/>
  <c r="IK282" i="43"/>
  <c r="IL282" i="43"/>
  <c r="IM282" i="43"/>
  <c r="IN282" i="43"/>
  <c r="IO282" i="43"/>
  <c r="IP282" i="43"/>
  <c r="IQ282" i="43"/>
  <c r="IR282" i="43"/>
  <c r="IS282" i="43"/>
  <c r="IT282" i="43"/>
  <c r="IU282" i="43"/>
  <c r="IV282" i="43"/>
  <c r="A281" i="43"/>
  <c r="B281" i="43"/>
  <c r="C281" i="43"/>
  <c r="D281" i="43"/>
  <c r="E281" i="43"/>
  <c r="F281" i="43"/>
  <c r="G281" i="43"/>
  <c r="H281" i="43"/>
  <c r="I281" i="43"/>
  <c r="J281" i="43"/>
  <c r="K281" i="43"/>
  <c r="L281" i="43"/>
  <c r="M281" i="43"/>
  <c r="N281" i="43"/>
  <c r="O281" i="43"/>
  <c r="P281" i="43"/>
  <c r="Q281" i="43"/>
  <c r="R281" i="43"/>
  <c r="S281" i="43"/>
  <c r="T281" i="43"/>
  <c r="U281" i="43"/>
  <c r="V281" i="43"/>
  <c r="W281" i="43"/>
  <c r="X281" i="43"/>
  <c r="Y281" i="43"/>
  <c r="Z281" i="43"/>
  <c r="AA281" i="43"/>
  <c r="AB281" i="43"/>
  <c r="AC281" i="43"/>
  <c r="AD281" i="43"/>
  <c r="AE281" i="43"/>
  <c r="AF281" i="43"/>
  <c r="AG281" i="43"/>
  <c r="AH281" i="43"/>
  <c r="AI281" i="43"/>
  <c r="AJ281" i="43"/>
  <c r="AK281" i="43"/>
  <c r="AL281" i="43"/>
  <c r="AM281" i="43"/>
  <c r="AN281" i="43"/>
  <c r="AO281" i="43"/>
  <c r="AP281" i="43"/>
  <c r="AQ281" i="43"/>
  <c r="AR281" i="43"/>
  <c r="AS281" i="43"/>
  <c r="AT281" i="43"/>
  <c r="AU281" i="43"/>
  <c r="AV281" i="43"/>
  <c r="AW281" i="43"/>
  <c r="AX281" i="43"/>
  <c r="AY281" i="43"/>
  <c r="AZ281" i="43"/>
  <c r="BA281" i="43"/>
  <c r="BB281" i="43"/>
  <c r="BC281" i="43"/>
  <c r="BD281" i="43"/>
  <c r="BE281" i="43"/>
  <c r="BF281" i="43"/>
  <c r="BG281" i="43"/>
  <c r="BH281" i="43"/>
  <c r="BI281" i="43"/>
  <c r="BJ281" i="43"/>
  <c r="BK281" i="43"/>
  <c r="BL281" i="43"/>
  <c r="BM281" i="43"/>
  <c r="BN281" i="43"/>
  <c r="BO281" i="43"/>
  <c r="BP281" i="43"/>
  <c r="BQ281" i="43"/>
  <c r="BR281" i="43"/>
  <c r="BS281" i="43"/>
  <c r="BT281" i="43"/>
  <c r="BU281" i="43"/>
  <c r="BV281" i="43"/>
  <c r="BW281" i="43"/>
  <c r="BX281" i="43"/>
  <c r="BY281" i="43"/>
  <c r="BZ281" i="43"/>
  <c r="CA281" i="43"/>
  <c r="CB281" i="43"/>
  <c r="CC281" i="43"/>
  <c r="CD281" i="43"/>
  <c r="CE281" i="43"/>
  <c r="CF281" i="43"/>
  <c r="CG281" i="43"/>
  <c r="CH281" i="43"/>
  <c r="CI281" i="43"/>
  <c r="CJ281" i="43"/>
  <c r="CK281" i="43"/>
  <c r="CL281" i="43"/>
  <c r="CM281" i="43"/>
  <c r="CN281" i="43"/>
  <c r="CO281" i="43"/>
  <c r="CP281" i="43"/>
  <c r="CQ281" i="43"/>
  <c r="CR281" i="43"/>
  <c r="CS281" i="43"/>
  <c r="CT281" i="43"/>
  <c r="CU281" i="43"/>
  <c r="CV281" i="43"/>
  <c r="CW281" i="43"/>
  <c r="CX281" i="43"/>
  <c r="CY281" i="43"/>
  <c r="CZ281" i="43"/>
  <c r="DA281" i="43"/>
  <c r="DB281" i="43"/>
  <c r="DC281" i="43"/>
  <c r="DD281" i="43"/>
  <c r="DE281" i="43"/>
  <c r="DF281" i="43"/>
  <c r="DG281" i="43"/>
  <c r="DH281" i="43"/>
  <c r="DI281" i="43"/>
  <c r="DJ281" i="43"/>
  <c r="DK281" i="43"/>
  <c r="DL281" i="43"/>
  <c r="DM281" i="43"/>
  <c r="DN281" i="43"/>
  <c r="DO281" i="43"/>
  <c r="DP281" i="43"/>
  <c r="DQ281" i="43"/>
  <c r="DR281" i="43"/>
  <c r="DS281" i="43"/>
  <c r="DT281" i="43"/>
  <c r="DU281" i="43"/>
  <c r="DV281" i="43"/>
  <c r="DW281" i="43"/>
  <c r="DX281" i="43"/>
  <c r="DY281" i="43"/>
  <c r="DZ281" i="43"/>
  <c r="EA281" i="43"/>
  <c r="EB281" i="43"/>
  <c r="EC281" i="43"/>
  <c r="ED281" i="43"/>
  <c r="EE281" i="43"/>
  <c r="EF281" i="43"/>
  <c r="EG281" i="43"/>
  <c r="EH281" i="43"/>
  <c r="EI281" i="43"/>
  <c r="EJ281" i="43"/>
  <c r="EK281" i="43"/>
  <c r="EL281" i="43"/>
  <c r="EM281" i="43"/>
  <c r="EN281" i="43"/>
  <c r="EO281" i="43"/>
  <c r="EP281" i="43"/>
  <c r="EQ281" i="43"/>
  <c r="ER281" i="43"/>
  <c r="ES281" i="43"/>
  <c r="ET281" i="43"/>
  <c r="EU281" i="43"/>
  <c r="EV281" i="43"/>
  <c r="EW281" i="43"/>
  <c r="EX281" i="43"/>
  <c r="EY281" i="43"/>
  <c r="EZ281" i="43"/>
  <c r="FA281" i="43"/>
  <c r="FB281" i="43"/>
  <c r="FC281" i="43"/>
  <c r="FD281" i="43"/>
  <c r="FE281" i="43"/>
  <c r="FF281" i="43"/>
  <c r="FG281" i="43"/>
  <c r="FH281" i="43"/>
  <c r="FI281" i="43"/>
  <c r="FJ281" i="43"/>
  <c r="FK281" i="43"/>
  <c r="FL281" i="43"/>
  <c r="FM281" i="43"/>
  <c r="FN281" i="43"/>
  <c r="FO281" i="43"/>
  <c r="FP281" i="43"/>
  <c r="FQ281" i="43"/>
  <c r="FR281" i="43"/>
  <c r="FS281" i="43"/>
  <c r="FT281" i="43"/>
  <c r="FU281" i="43"/>
  <c r="FV281" i="43"/>
  <c r="FW281" i="43"/>
  <c r="FX281" i="43"/>
  <c r="FY281" i="43"/>
  <c r="FZ281" i="43"/>
  <c r="GA281" i="43"/>
  <c r="GB281" i="43"/>
  <c r="GC281" i="43"/>
  <c r="GD281" i="43"/>
  <c r="GE281" i="43"/>
  <c r="GF281" i="43"/>
  <c r="GG281" i="43"/>
  <c r="GH281" i="43"/>
  <c r="GI281" i="43"/>
  <c r="GJ281" i="43"/>
  <c r="GK281" i="43"/>
  <c r="GL281" i="43"/>
  <c r="GM281" i="43"/>
  <c r="GN281" i="43"/>
  <c r="GO281" i="43"/>
  <c r="GP281" i="43"/>
  <c r="GQ281" i="43"/>
  <c r="GR281" i="43"/>
  <c r="GS281" i="43"/>
  <c r="GT281" i="43"/>
  <c r="GU281" i="43"/>
  <c r="GV281" i="43"/>
  <c r="GW281" i="43"/>
  <c r="GX281" i="43"/>
  <c r="GY281" i="43"/>
  <c r="GZ281" i="43"/>
  <c r="HA281" i="43"/>
  <c r="HB281" i="43"/>
  <c r="HC281" i="43"/>
  <c r="HD281" i="43"/>
  <c r="HE281" i="43"/>
  <c r="HF281" i="43"/>
  <c r="HG281" i="43"/>
  <c r="HH281" i="43"/>
  <c r="HI281" i="43"/>
  <c r="HJ281" i="43"/>
  <c r="HK281" i="43"/>
  <c r="HL281" i="43"/>
  <c r="HM281" i="43"/>
  <c r="HN281" i="43"/>
  <c r="HO281" i="43"/>
  <c r="HP281" i="43"/>
  <c r="HQ281" i="43"/>
  <c r="HR281" i="43"/>
  <c r="HS281" i="43"/>
  <c r="HT281" i="43"/>
  <c r="HU281" i="43"/>
  <c r="HV281" i="43"/>
  <c r="HW281" i="43"/>
  <c r="HX281" i="43"/>
  <c r="HY281" i="43"/>
  <c r="HZ281" i="43"/>
  <c r="IA281" i="43"/>
  <c r="IB281" i="43"/>
  <c r="IC281" i="43"/>
  <c r="ID281" i="43"/>
  <c r="IE281" i="43"/>
  <c r="IF281" i="43"/>
  <c r="IG281" i="43"/>
  <c r="IH281" i="43"/>
  <c r="II281" i="43"/>
  <c r="IJ281" i="43"/>
  <c r="IK281" i="43"/>
  <c r="IL281" i="43"/>
  <c r="IM281" i="43"/>
  <c r="IN281" i="43"/>
  <c r="IO281" i="43"/>
  <c r="IP281" i="43"/>
  <c r="IQ281" i="43"/>
  <c r="IR281" i="43"/>
  <c r="IS281" i="43"/>
  <c r="IT281" i="43"/>
  <c r="IU281" i="43"/>
  <c r="IV281" i="43"/>
  <c r="A280" i="43"/>
  <c r="B280" i="43"/>
  <c r="C280" i="43"/>
  <c r="D280" i="43"/>
  <c r="E280" i="43"/>
  <c r="F280" i="43"/>
  <c r="G280" i="43"/>
  <c r="H280" i="43"/>
  <c r="I280" i="43"/>
  <c r="J280" i="43"/>
  <c r="K280" i="43"/>
  <c r="L280" i="43"/>
  <c r="M280" i="43"/>
  <c r="N280" i="43"/>
  <c r="O280" i="43"/>
  <c r="P280" i="43"/>
  <c r="Q280" i="43"/>
  <c r="R280" i="43"/>
  <c r="S280" i="43"/>
  <c r="T280" i="43"/>
  <c r="U280" i="43"/>
  <c r="V280" i="43"/>
  <c r="W280" i="43"/>
  <c r="X280" i="43"/>
  <c r="Y280" i="43"/>
  <c r="Z280" i="43"/>
  <c r="AA280" i="43"/>
  <c r="AB280" i="43"/>
  <c r="AC280" i="43"/>
  <c r="AD280" i="43"/>
  <c r="AE280" i="43"/>
  <c r="AF280" i="43"/>
  <c r="AG280" i="43"/>
  <c r="AH280" i="43"/>
  <c r="AI280" i="43"/>
  <c r="AJ280" i="43"/>
  <c r="AK280" i="43"/>
  <c r="AL280" i="43"/>
  <c r="AM280" i="43"/>
  <c r="AN280" i="43"/>
  <c r="AO280" i="43"/>
  <c r="AP280" i="43"/>
  <c r="AQ280" i="43"/>
  <c r="AR280" i="43"/>
  <c r="AS280" i="43"/>
  <c r="AT280" i="43"/>
  <c r="AU280" i="43"/>
  <c r="AV280" i="43"/>
  <c r="AW280" i="43"/>
  <c r="AX280" i="43"/>
  <c r="AY280" i="43"/>
  <c r="AZ280" i="43"/>
  <c r="BA280" i="43"/>
  <c r="BB280" i="43"/>
  <c r="BC280" i="43"/>
  <c r="BD280" i="43"/>
  <c r="BE280" i="43"/>
  <c r="BF280" i="43"/>
  <c r="BG280" i="43"/>
  <c r="BH280" i="43"/>
  <c r="BI280" i="43"/>
  <c r="BJ280" i="43"/>
  <c r="BK280" i="43"/>
  <c r="BL280" i="43"/>
  <c r="BM280" i="43"/>
  <c r="BN280" i="43"/>
  <c r="BO280" i="43"/>
  <c r="BP280" i="43"/>
  <c r="BQ280" i="43"/>
  <c r="BR280" i="43"/>
  <c r="BS280" i="43"/>
  <c r="BT280" i="43"/>
  <c r="BU280" i="43"/>
  <c r="BV280" i="43"/>
  <c r="BW280" i="43"/>
  <c r="BX280" i="43"/>
  <c r="BY280" i="43"/>
  <c r="BZ280" i="43"/>
  <c r="CA280" i="43"/>
  <c r="CB280" i="43"/>
  <c r="CC280" i="43"/>
  <c r="CD280" i="43"/>
  <c r="CE280" i="43"/>
  <c r="CF280" i="43"/>
  <c r="CG280" i="43"/>
  <c r="CH280" i="43"/>
  <c r="CI280" i="43"/>
  <c r="CJ280" i="43"/>
  <c r="CK280" i="43"/>
  <c r="CL280" i="43"/>
  <c r="CM280" i="43"/>
  <c r="CN280" i="43"/>
  <c r="CO280" i="43"/>
  <c r="CP280" i="43"/>
  <c r="CQ280" i="43"/>
  <c r="CR280" i="43"/>
  <c r="CS280" i="43"/>
  <c r="CT280" i="43"/>
  <c r="CU280" i="43"/>
  <c r="CV280" i="43"/>
  <c r="CW280" i="43"/>
  <c r="CX280" i="43"/>
  <c r="CY280" i="43"/>
  <c r="CZ280" i="43"/>
  <c r="DA280" i="43"/>
  <c r="DB280" i="43"/>
  <c r="DC280" i="43"/>
  <c r="DD280" i="43"/>
  <c r="DE280" i="43"/>
  <c r="DF280" i="43"/>
  <c r="DG280" i="43"/>
  <c r="DH280" i="43"/>
  <c r="DI280" i="43"/>
  <c r="DJ280" i="43"/>
  <c r="DK280" i="43"/>
  <c r="DL280" i="43"/>
  <c r="DM280" i="43"/>
  <c r="DN280" i="43"/>
  <c r="DO280" i="43"/>
  <c r="DP280" i="43"/>
  <c r="DQ280" i="43"/>
  <c r="DR280" i="43"/>
  <c r="DS280" i="43"/>
  <c r="DT280" i="43"/>
  <c r="DU280" i="43"/>
  <c r="DV280" i="43"/>
  <c r="DW280" i="43"/>
  <c r="DX280" i="43"/>
  <c r="DY280" i="43"/>
  <c r="DZ280" i="43"/>
  <c r="EA280" i="43"/>
  <c r="EB280" i="43"/>
  <c r="EC280" i="43"/>
  <c r="ED280" i="43"/>
  <c r="EE280" i="43"/>
  <c r="EF280" i="43"/>
  <c r="EG280" i="43"/>
  <c r="EH280" i="43"/>
  <c r="EI280" i="43"/>
  <c r="EJ280" i="43"/>
  <c r="EK280" i="43"/>
  <c r="EL280" i="43"/>
  <c r="EM280" i="43"/>
  <c r="EN280" i="43"/>
  <c r="EO280" i="43"/>
  <c r="EP280" i="43"/>
  <c r="EQ280" i="43"/>
  <c r="ER280" i="43"/>
  <c r="ES280" i="43"/>
  <c r="ET280" i="43"/>
  <c r="EU280" i="43"/>
  <c r="EV280" i="43"/>
  <c r="EW280" i="43"/>
  <c r="EX280" i="43"/>
  <c r="EY280" i="43"/>
  <c r="EZ280" i="43"/>
  <c r="FA280" i="43"/>
  <c r="FB280" i="43"/>
  <c r="FC280" i="43"/>
  <c r="FD280" i="43"/>
  <c r="FE280" i="43"/>
  <c r="FF280" i="43"/>
  <c r="FG280" i="43"/>
  <c r="FH280" i="43"/>
  <c r="FI280" i="43"/>
  <c r="FJ280" i="43"/>
  <c r="FK280" i="43"/>
  <c r="FL280" i="43"/>
  <c r="FM280" i="43"/>
  <c r="FN280" i="43"/>
  <c r="FO280" i="43"/>
  <c r="FP280" i="43"/>
  <c r="FQ280" i="43"/>
  <c r="FR280" i="43"/>
  <c r="FS280" i="43"/>
  <c r="FT280" i="43"/>
  <c r="FU280" i="43"/>
  <c r="FV280" i="43"/>
  <c r="FW280" i="43"/>
  <c r="FX280" i="43"/>
  <c r="FY280" i="43"/>
  <c r="FZ280" i="43"/>
  <c r="GA280" i="43"/>
  <c r="GB280" i="43"/>
  <c r="GC280" i="43"/>
  <c r="GD280" i="43"/>
  <c r="GE280" i="43"/>
  <c r="GF280" i="43"/>
  <c r="GG280" i="43"/>
  <c r="GH280" i="43"/>
  <c r="GI280" i="43"/>
  <c r="GJ280" i="43"/>
  <c r="GK280" i="43"/>
  <c r="GL280" i="43"/>
  <c r="GM280" i="43"/>
  <c r="GN280" i="43"/>
  <c r="GO280" i="43"/>
  <c r="GP280" i="43"/>
  <c r="GQ280" i="43"/>
  <c r="GR280" i="43"/>
  <c r="GS280" i="43"/>
  <c r="GT280" i="43"/>
  <c r="GU280" i="43"/>
  <c r="GV280" i="43"/>
  <c r="GW280" i="43"/>
  <c r="GX280" i="43"/>
  <c r="GY280" i="43"/>
  <c r="GZ280" i="43"/>
  <c r="HA280" i="43"/>
  <c r="HB280" i="43"/>
  <c r="HC280" i="43"/>
  <c r="HD280" i="43"/>
  <c r="HE280" i="43"/>
  <c r="HF280" i="43"/>
  <c r="HG280" i="43"/>
  <c r="HH280" i="43"/>
  <c r="HI280" i="43"/>
  <c r="HJ280" i="43"/>
  <c r="HK280" i="43"/>
  <c r="HL280" i="43"/>
  <c r="HM280" i="43"/>
  <c r="HN280" i="43"/>
  <c r="HO280" i="43"/>
  <c r="HP280" i="43"/>
  <c r="HQ280" i="43"/>
  <c r="HR280" i="43"/>
  <c r="HS280" i="43"/>
  <c r="HT280" i="43"/>
  <c r="HU280" i="43"/>
  <c r="HV280" i="43"/>
  <c r="HW280" i="43"/>
  <c r="HX280" i="43"/>
  <c r="HY280" i="43"/>
  <c r="HZ280" i="43"/>
  <c r="IA280" i="43"/>
  <c r="IB280" i="43"/>
  <c r="IC280" i="43"/>
  <c r="ID280" i="43"/>
  <c r="IE280" i="43"/>
  <c r="IF280" i="43"/>
  <c r="IG280" i="43"/>
  <c r="IH280" i="43"/>
  <c r="II280" i="43"/>
  <c r="IJ280" i="43"/>
  <c r="IK280" i="43"/>
  <c r="IL280" i="43"/>
  <c r="IM280" i="43"/>
  <c r="IN280" i="43"/>
  <c r="IO280" i="43"/>
  <c r="IP280" i="43"/>
  <c r="IQ280" i="43"/>
  <c r="IR280" i="43"/>
  <c r="IS280" i="43"/>
  <c r="IT280" i="43"/>
  <c r="IU280" i="43"/>
  <c r="IV280" i="43"/>
  <c r="A279" i="43"/>
  <c r="B279" i="43"/>
  <c r="C279" i="43"/>
  <c r="D279" i="43"/>
  <c r="E279" i="43"/>
  <c r="F279" i="43"/>
  <c r="G279" i="43"/>
  <c r="H279" i="43"/>
  <c r="I279" i="43"/>
  <c r="J279" i="43"/>
  <c r="K279" i="43"/>
  <c r="L279" i="43"/>
  <c r="M279" i="43"/>
  <c r="N279" i="43"/>
  <c r="O279" i="43"/>
  <c r="P279" i="43"/>
  <c r="Q279" i="43"/>
  <c r="R279" i="43"/>
  <c r="S279" i="43"/>
  <c r="T279" i="43"/>
  <c r="U279" i="43"/>
  <c r="V279" i="43"/>
  <c r="W279" i="43"/>
  <c r="X279" i="43"/>
  <c r="Y279" i="43"/>
  <c r="Z279" i="43"/>
  <c r="AA279" i="43"/>
  <c r="AB279" i="43"/>
  <c r="AC279" i="43"/>
  <c r="AD279" i="43"/>
  <c r="AE279" i="43"/>
  <c r="AF279" i="43"/>
  <c r="AG279" i="43"/>
  <c r="AH279" i="43"/>
  <c r="AI279" i="43"/>
  <c r="AJ279" i="43"/>
  <c r="AK279" i="43"/>
  <c r="AL279" i="43"/>
  <c r="AM279" i="43"/>
  <c r="AN279" i="43"/>
  <c r="AO279" i="43"/>
  <c r="AP279" i="43"/>
  <c r="AQ279" i="43"/>
  <c r="AR279" i="43"/>
  <c r="AS279" i="43"/>
  <c r="AT279" i="43"/>
  <c r="AU279" i="43"/>
  <c r="AV279" i="43"/>
  <c r="AW279" i="43"/>
  <c r="AX279" i="43"/>
  <c r="AY279" i="43"/>
  <c r="AZ279" i="43"/>
  <c r="BA279" i="43"/>
  <c r="BB279" i="43"/>
  <c r="BC279" i="43"/>
  <c r="BD279" i="43"/>
  <c r="BE279" i="43"/>
  <c r="BF279" i="43"/>
  <c r="BG279" i="43"/>
  <c r="BH279" i="43"/>
  <c r="BI279" i="43"/>
  <c r="BJ279" i="43"/>
  <c r="BK279" i="43"/>
  <c r="BL279" i="43"/>
  <c r="BM279" i="43"/>
  <c r="BN279" i="43"/>
  <c r="BO279" i="43"/>
  <c r="BP279" i="43"/>
  <c r="BQ279" i="43"/>
  <c r="BR279" i="43"/>
  <c r="BS279" i="43"/>
  <c r="BT279" i="43"/>
  <c r="BU279" i="43"/>
  <c r="BV279" i="43"/>
  <c r="BW279" i="43"/>
  <c r="BX279" i="43"/>
  <c r="BY279" i="43"/>
  <c r="BZ279" i="43"/>
  <c r="CA279" i="43"/>
  <c r="CB279" i="43"/>
  <c r="CC279" i="43"/>
  <c r="CD279" i="43"/>
  <c r="CE279" i="43"/>
  <c r="CF279" i="43"/>
  <c r="CG279" i="43"/>
  <c r="CH279" i="43"/>
  <c r="CI279" i="43"/>
  <c r="CJ279" i="43"/>
  <c r="CK279" i="43"/>
  <c r="CL279" i="43"/>
  <c r="CM279" i="43"/>
  <c r="CN279" i="43"/>
  <c r="CO279" i="43"/>
  <c r="CP279" i="43"/>
  <c r="CQ279" i="43"/>
  <c r="CR279" i="43"/>
  <c r="CS279" i="43"/>
  <c r="CT279" i="43"/>
  <c r="CU279" i="43"/>
  <c r="CV279" i="43"/>
  <c r="CW279" i="43"/>
  <c r="CX279" i="43"/>
  <c r="CY279" i="43"/>
  <c r="CZ279" i="43"/>
  <c r="DA279" i="43"/>
  <c r="DB279" i="43"/>
  <c r="DC279" i="43"/>
  <c r="DD279" i="43"/>
  <c r="DE279" i="43"/>
  <c r="DF279" i="43"/>
  <c r="DG279" i="43"/>
  <c r="DH279" i="43"/>
  <c r="DI279" i="43"/>
  <c r="DJ279" i="43"/>
  <c r="DK279" i="43"/>
  <c r="DL279" i="43"/>
  <c r="DM279" i="43"/>
  <c r="DN279" i="43"/>
  <c r="DO279" i="43"/>
  <c r="DP279" i="43"/>
  <c r="DQ279" i="43"/>
  <c r="DR279" i="43"/>
  <c r="DS279" i="43"/>
  <c r="DT279" i="43"/>
  <c r="DU279" i="43"/>
  <c r="DV279" i="43"/>
  <c r="DW279" i="43"/>
  <c r="DX279" i="43"/>
  <c r="DY279" i="43"/>
  <c r="DZ279" i="43"/>
  <c r="EA279" i="43"/>
  <c r="EB279" i="43"/>
  <c r="EC279" i="43"/>
  <c r="ED279" i="43"/>
  <c r="EE279" i="43"/>
  <c r="EF279" i="43"/>
  <c r="EG279" i="43"/>
  <c r="EH279" i="43"/>
  <c r="EI279" i="43"/>
  <c r="EJ279" i="43"/>
  <c r="EK279" i="43"/>
  <c r="EL279" i="43"/>
  <c r="EM279" i="43"/>
  <c r="EN279" i="43"/>
  <c r="EO279" i="43"/>
  <c r="EP279" i="43"/>
  <c r="EQ279" i="43"/>
  <c r="ER279" i="43"/>
  <c r="ES279" i="43"/>
  <c r="ET279" i="43"/>
  <c r="EU279" i="43"/>
  <c r="EV279" i="43"/>
  <c r="EW279" i="43"/>
  <c r="EX279" i="43"/>
  <c r="EY279" i="43"/>
  <c r="EZ279" i="43"/>
  <c r="FA279" i="43"/>
  <c r="FB279" i="43"/>
  <c r="FC279" i="43"/>
  <c r="FD279" i="43"/>
  <c r="FE279" i="43"/>
  <c r="FF279" i="43"/>
  <c r="FG279" i="43"/>
  <c r="FH279" i="43"/>
  <c r="FI279" i="43"/>
  <c r="FJ279" i="43"/>
  <c r="FK279" i="43"/>
  <c r="FL279" i="43"/>
  <c r="FM279" i="43"/>
  <c r="FN279" i="43"/>
  <c r="FO279" i="43"/>
  <c r="FP279" i="43"/>
  <c r="FQ279" i="43"/>
  <c r="FR279" i="43"/>
  <c r="FS279" i="43"/>
  <c r="FT279" i="43"/>
  <c r="FU279" i="43"/>
  <c r="FV279" i="43"/>
  <c r="FW279" i="43"/>
  <c r="FX279" i="43"/>
  <c r="FY279" i="43"/>
  <c r="FZ279" i="43"/>
  <c r="GA279" i="43"/>
  <c r="GB279" i="43"/>
  <c r="GC279" i="43"/>
  <c r="GD279" i="43"/>
  <c r="GE279" i="43"/>
  <c r="GF279" i="43"/>
  <c r="GG279" i="43"/>
  <c r="GH279" i="43"/>
  <c r="GI279" i="43"/>
  <c r="GJ279" i="43"/>
  <c r="GK279" i="43"/>
  <c r="GL279" i="43"/>
  <c r="GM279" i="43"/>
  <c r="GN279" i="43"/>
  <c r="GO279" i="43"/>
  <c r="GP279" i="43"/>
  <c r="GQ279" i="43"/>
  <c r="GR279" i="43"/>
  <c r="GS279" i="43"/>
  <c r="GT279" i="43"/>
  <c r="GU279" i="43"/>
  <c r="GV279" i="43"/>
  <c r="GW279" i="43"/>
  <c r="GX279" i="43"/>
  <c r="GY279" i="43"/>
  <c r="GZ279" i="43"/>
  <c r="HA279" i="43"/>
  <c r="HB279" i="43"/>
  <c r="HC279" i="43"/>
  <c r="HD279" i="43"/>
  <c r="HE279" i="43"/>
  <c r="HF279" i="43"/>
  <c r="HG279" i="43"/>
  <c r="HH279" i="43"/>
  <c r="HI279" i="43"/>
  <c r="HJ279" i="43"/>
  <c r="HK279" i="43"/>
  <c r="HL279" i="43"/>
  <c r="HM279" i="43"/>
  <c r="HN279" i="43"/>
  <c r="HO279" i="43"/>
  <c r="HP279" i="43"/>
  <c r="HQ279" i="43"/>
  <c r="HR279" i="43"/>
  <c r="HS279" i="43"/>
  <c r="HT279" i="43"/>
  <c r="HU279" i="43"/>
  <c r="HV279" i="43"/>
  <c r="HW279" i="43"/>
  <c r="HX279" i="43"/>
  <c r="HY279" i="43"/>
  <c r="HZ279" i="43"/>
  <c r="IA279" i="43"/>
  <c r="IB279" i="43"/>
  <c r="IC279" i="43"/>
  <c r="ID279" i="43"/>
  <c r="IE279" i="43"/>
  <c r="IF279" i="43"/>
  <c r="IG279" i="43"/>
  <c r="IH279" i="43"/>
  <c r="II279" i="43"/>
  <c r="IJ279" i="43"/>
  <c r="IK279" i="43"/>
  <c r="IL279" i="43"/>
  <c r="IM279" i="43"/>
  <c r="IN279" i="43"/>
  <c r="IO279" i="43"/>
  <c r="IP279" i="43"/>
  <c r="IQ279" i="43"/>
  <c r="IR279" i="43"/>
  <c r="IS279" i="43"/>
  <c r="IT279" i="43"/>
  <c r="IU279" i="43"/>
  <c r="IV279" i="43"/>
  <c r="A278" i="43"/>
  <c r="B278" i="43"/>
  <c r="C278" i="43"/>
  <c r="D278" i="43"/>
  <c r="E278" i="43"/>
  <c r="F278" i="43"/>
  <c r="G278" i="43"/>
  <c r="H278" i="43"/>
  <c r="I278" i="43"/>
  <c r="J278" i="43"/>
  <c r="K278" i="43"/>
  <c r="L278" i="43"/>
  <c r="M278" i="43"/>
  <c r="N278" i="43"/>
  <c r="O278" i="43"/>
  <c r="P278" i="43"/>
  <c r="Q278" i="43"/>
  <c r="R278" i="43"/>
  <c r="S278" i="43"/>
  <c r="T278" i="43"/>
  <c r="U278" i="43"/>
  <c r="V278" i="43"/>
  <c r="W278" i="43"/>
  <c r="X278" i="43"/>
  <c r="Y278" i="43"/>
  <c r="Z278" i="43"/>
  <c r="AA278" i="43"/>
  <c r="AB278" i="43"/>
  <c r="AC278" i="43"/>
  <c r="AD278" i="43"/>
  <c r="AE278" i="43"/>
  <c r="AF278" i="43"/>
  <c r="AG278" i="43"/>
  <c r="AH278" i="43"/>
  <c r="AI278" i="43"/>
  <c r="AJ278" i="43"/>
  <c r="AK278" i="43"/>
  <c r="AL278" i="43"/>
  <c r="AM278" i="43"/>
  <c r="AN278" i="43"/>
  <c r="AO278" i="43"/>
  <c r="AP278" i="43"/>
  <c r="AQ278" i="43"/>
  <c r="AR278" i="43"/>
  <c r="AS278" i="43"/>
  <c r="AT278" i="43"/>
  <c r="AU278" i="43"/>
  <c r="AV278" i="43"/>
  <c r="AW278" i="43"/>
  <c r="AX278" i="43"/>
  <c r="AY278" i="43"/>
  <c r="AZ278" i="43"/>
  <c r="BA278" i="43"/>
  <c r="BB278" i="43"/>
  <c r="BC278" i="43"/>
  <c r="BD278" i="43"/>
  <c r="BE278" i="43"/>
  <c r="BF278" i="43"/>
  <c r="BG278" i="43"/>
  <c r="BH278" i="43"/>
  <c r="BI278" i="43"/>
  <c r="BJ278" i="43"/>
  <c r="BK278" i="43"/>
  <c r="BL278" i="43"/>
  <c r="BM278" i="43"/>
  <c r="BN278" i="43"/>
  <c r="BO278" i="43"/>
  <c r="BP278" i="43"/>
  <c r="BQ278" i="43"/>
  <c r="BR278" i="43"/>
  <c r="BS278" i="43"/>
  <c r="BT278" i="43"/>
  <c r="BU278" i="43"/>
  <c r="BV278" i="43"/>
  <c r="BW278" i="43"/>
  <c r="BX278" i="43"/>
  <c r="BY278" i="43"/>
  <c r="BZ278" i="43"/>
  <c r="CA278" i="43"/>
  <c r="CB278" i="43"/>
  <c r="CC278" i="43"/>
  <c r="CD278" i="43"/>
  <c r="CE278" i="43"/>
  <c r="CF278" i="43"/>
  <c r="CG278" i="43"/>
  <c r="CH278" i="43"/>
  <c r="CI278" i="43"/>
  <c r="CJ278" i="43"/>
  <c r="CK278" i="43"/>
  <c r="CL278" i="43"/>
  <c r="CM278" i="43"/>
  <c r="CN278" i="43"/>
  <c r="CO278" i="43"/>
  <c r="CP278" i="43"/>
  <c r="CQ278" i="43"/>
  <c r="CR278" i="43"/>
  <c r="CS278" i="43"/>
  <c r="CT278" i="43"/>
  <c r="CU278" i="43"/>
  <c r="CV278" i="43"/>
  <c r="CW278" i="43"/>
  <c r="CX278" i="43"/>
  <c r="CY278" i="43"/>
  <c r="CZ278" i="43"/>
  <c r="DA278" i="43"/>
  <c r="DB278" i="43"/>
  <c r="DC278" i="43"/>
  <c r="DD278" i="43"/>
  <c r="DE278" i="43"/>
  <c r="DF278" i="43"/>
  <c r="DG278" i="43"/>
  <c r="DH278" i="43"/>
  <c r="DI278" i="43"/>
  <c r="DJ278" i="43"/>
  <c r="DK278" i="43"/>
  <c r="DL278" i="43"/>
  <c r="DM278" i="43"/>
  <c r="DN278" i="43"/>
  <c r="DO278" i="43"/>
  <c r="DP278" i="43"/>
  <c r="DQ278" i="43"/>
  <c r="DR278" i="43"/>
  <c r="DS278" i="43"/>
  <c r="DT278" i="43"/>
  <c r="DU278" i="43"/>
  <c r="DV278" i="43"/>
  <c r="DW278" i="43"/>
  <c r="DX278" i="43"/>
  <c r="DY278" i="43"/>
  <c r="DZ278" i="43"/>
  <c r="EA278" i="43"/>
  <c r="EB278" i="43"/>
  <c r="EC278" i="43"/>
  <c r="ED278" i="43"/>
  <c r="EE278" i="43"/>
  <c r="EF278" i="43"/>
  <c r="EG278" i="43"/>
  <c r="EH278" i="43"/>
  <c r="EI278" i="43"/>
  <c r="EJ278" i="43"/>
  <c r="EK278" i="43"/>
  <c r="EL278" i="43"/>
  <c r="EM278" i="43"/>
  <c r="EN278" i="43"/>
  <c r="EO278" i="43"/>
  <c r="EP278" i="43"/>
  <c r="EQ278" i="43"/>
  <c r="ER278" i="43"/>
  <c r="ES278" i="43"/>
  <c r="ET278" i="43"/>
  <c r="EU278" i="43"/>
  <c r="EV278" i="43"/>
  <c r="EW278" i="43"/>
  <c r="EX278" i="43"/>
  <c r="EY278" i="43"/>
  <c r="EZ278" i="43"/>
  <c r="FA278" i="43"/>
  <c r="FB278" i="43"/>
  <c r="FC278" i="43"/>
  <c r="FD278" i="43"/>
  <c r="FE278" i="43"/>
  <c r="FF278" i="43"/>
  <c r="FG278" i="43"/>
  <c r="FH278" i="43"/>
  <c r="FI278" i="43"/>
  <c r="FJ278" i="43"/>
  <c r="FK278" i="43"/>
  <c r="FL278" i="43"/>
  <c r="FM278" i="43"/>
  <c r="FN278" i="43"/>
  <c r="FO278" i="43"/>
  <c r="FP278" i="43"/>
  <c r="FQ278" i="43"/>
  <c r="FR278" i="43"/>
  <c r="FS278" i="43"/>
  <c r="FT278" i="43"/>
  <c r="FU278" i="43"/>
  <c r="FV278" i="43"/>
  <c r="FW278" i="43"/>
  <c r="FX278" i="43"/>
  <c r="FY278" i="43"/>
  <c r="FZ278" i="43"/>
  <c r="GA278" i="43"/>
  <c r="GB278" i="43"/>
  <c r="GC278" i="43"/>
  <c r="GD278" i="43"/>
  <c r="GE278" i="43"/>
  <c r="GF278" i="43"/>
  <c r="GG278" i="43"/>
  <c r="GH278" i="43"/>
  <c r="GI278" i="43"/>
  <c r="GJ278" i="43"/>
  <c r="GK278" i="43"/>
  <c r="GL278" i="43"/>
  <c r="GM278" i="43"/>
  <c r="GN278" i="43"/>
  <c r="GO278" i="43"/>
  <c r="GP278" i="43"/>
  <c r="GQ278" i="43"/>
  <c r="GR278" i="43"/>
  <c r="GS278" i="43"/>
  <c r="GT278" i="43"/>
  <c r="GU278" i="43"/>
  <c r="GV278" i="43"/>
  <c r="GW278" i="43"/>
  <c r="GX278" i="43"/>
  <c r="GY278" i="43"/>
  <c r="GZ278" i="43"/>
  <c r="HA278" i="43"/>
  <c r="HB278" i="43"/>
  <c r="HC278" i="43"/>
  <c r="HD278" i="43"/>
  <c r="HE278" i="43"/>
  <c r="HF278" i="43"/>
  <c r="HG278" i="43"/>
  <c r="HH278" i="43"/>
  <c r="HI278" i="43"/>
  <c r="HJ278" i="43"/>
  <c r="HK278" i="43"/>
  <c r="HL278" i="43"/>
  <c r="HM278" i="43"/>
  <c r="HN278" i="43"/>
  <c r="HO278" i="43"/>
  <c r="HP278" i="43"/>
  <c r="HQ278" i="43"/>
  <c r="HR278" i="43"/>
  <c r="HS278" i="43"/>
  <c r="HT278" i="43"/>
  <c r="HU278" i="43"/>
  <c r="HV278" i="43"/>
  <c r="HW278" i="43"/>
  <c r="HX278" i="43"/>
  <c r="HY278" i="43"/>
  <c r="HZ278" i="43"/>
  <c r="IA278" i="43"/>
  <c r="IB278" i="43"/>
  <c r="IC278" i="43"/>
  <c r="ID278" i="43"/>
  <c r="IE278" i="43"/>
  <c r="IF278" i="43"/>
  <c r="IG278" i="43"/>
  <c r="IH278" i="43"/>
  <c r="II278" i="43"/>
  <c r="IJ278" i="43"/>
  <c r="IK278" i="43"/>
  <c r="IL278" i="43"/>
  <c r="IM278" i="43"/>
  <c r="IN278" i="43"/>
  <c r="IO278" i="43"/>
  <c r="IP278" i="43"/>
  <c r="IQ278" i="43"/>
  <c r="IR278" i="43"/>
  <c r="IS278" i="43"/>
  <c r="IT278" i="43"/>
  <c r="IU278" i="43"/>
  <c r="IV278" i="43"/>
  <c r="A277" i="43"/>
  <c r="B277" i="43"/>
  <c r="C277" i="43"/>
  <c r="D277" i="43"/>
  <c r="E277" i="43"/>
  <c r="F277" i="43"/>
  <c r="G277" i="43"/>
  <c r="H277" i="43"/>
  <c r="I277" i="43"/>
  <c r="J277" i="43"/>
  <c r="K277" i="43"/>
  <c r="L277" i="43"/>
  <c r="M277" i="43"/>
  <c r="N277" i="43"/>
  <c r="O277" i="43"/>
  <c r="P277" i="43"/>
  <c r="Q277" i="43"/>
  <c r="R277" i="43"/>
  <c r="S277" i="43"/>
  <c r="T277" i="43"/>
  <c r="U277" i="43"/>
  <c r="V277" i="43"/>
  <c r="W277" i="43"/>
  <c r="X277" i="43"/>
  <c r="Y277" i="43"/>
  <c r="Z277" i="43"/>
  <c r="AA277" i="43"/>
  <c r="AB277" i="43"/>
  <c r="AC277" i="43"/>
  <c r="AD277" i="43"/>
  <c r="AE277" i="43"/>
  <c r="AF277" i="43"/>
  <c r="AG277" i="43"/>
  <c r="AH277" i="43"/>
  <c r="AI277" i="43"/>
  <c r="AJ277" i="43"/>
  <c r="AK277" i="43"/>
  <c r="AL277" i="43"/>
  <c r="AM277" i="43"/>
  <c r="AN277" i="43"/>
  <c r="AO277" i="43"/>
  <c r="AP277" i="43"/>
  <c r="AQ277" i="43"/>
  <c r="AR277" i="43"/>
  <c r="AS277" i="43"/>
  <c r="AT277" i="43"/>
  <c r="AU277" i="43"/>
  <c r="AV277" i="43"/>
  <c r="AW277" i="43"/>
  <c r="AX277" i="43"/>
  <c r="AY277" i="43"/>
  <c r="AZ277" i="43"/>
  <c r="BA277" i="43"/>
  <c r="BB277" i="43"/>
  <c r="BC277" i="43"/>
  <c r="BD277" i="43"/>
  <c r="BE277" i="43"/>
  <c r="BF277" i="43"/>
  <c r="BG277" i="43"/>
  <c r="BH277" i="43"/>
  <c r="BI277" i="43"/>
  <c r="BJ277" i="43"/>
  <c r="BK277" i="43"/>
  <c r="BL277" i="43"/>
  <c r="BM277" i="43"/>
  <c r="BN277" i="43"/>
  <c r="BO277" i="43"/>
  <c r="BP277" i="43"/>
  <c r="BQ277" i="43"/>
  <c r="BR277" i="43"/>
  <c r="BS277" i="43"/>
  <c r="BT277" i="43"/>
  <c r="BU277" i="43"/>
  <c r="BV277" i="43"/>
  <c r="BW277" i="43"/>
  <c r="BX277" i="43"/>
  <c r="BY277" i="43"/>
  <c r="BZ277" i="43"/>
  <c r="CA277" i="43"/>
  <c r="CB277" i="43"/>
  <c r="CC277" i="43"/>
  <c r="CD277" i="43"/>
  <c r="CE277" i="43"/>
  <c r="CF277" i="43"/>
  <c r="CG277" i="43"/>
  <c r="CH277" i="43"/>
  <c r="CI277" i="43"/>
  <c r="CJ277" i="43"/>
  <c r="CK277" i="43"/>
  <c r="CL277" i="43"/>
  <c r="CM277" i="43"/>
  <c r="CN277" i="43"/>
  <c r="CO277" i="43"/>
  <c r="CP277" i="43"/>
  <c r="CQ277" i="43"/>
  <c r="CR277" i="43"/>
  <c r="CS277" i="43"/>
  <c r="CT277" i="43"/>
  <c r="CU277" i="43"/>
  <c r="CV277" i="43"/>
  <c r="CW277" i="43"/>
  <c r="CX277" i="43"/>
  <c r="CY277" i="43"/>
  <c r="CZ277" i="43"/>
  <c r="DA277" i="43"/>
  <c r="DB277" i="43"/>
  <c r="DC277" i="43"/>
  <c r="DD277" i="43"/>
  <c r="DE277" i="43"/>
  <c r="DF277" i="43"/>
  <c r="DG277" i="43"/>
  <c r="DH277" i="43"/>
  <c r="DI277" i="43"/>
  <c r="DJ277" i="43"/>
  <c r="DK277" i="43"/>
  <c r="DL277" i="43"/>
  <c r="DM277" i="43"/>
  <c r="DN277" i="43"/>
  <c r="DO277" i="43"/>
  <c r="DP277" i="43"/>
  <c r="DQ277" i="43"/>
  <c r="DR277" i="43"/>
  <c r="DS277" i="43"/>
  <c r="DT277" i="43"/>
  <c r="DU277" i="43"/>
  <c r="DV277" i="43"/>
  <c r="DW277" i="43"/>
  <c r="DX277" i="43"/>
  <c r="DY277" i="43"/>
  <c r="DZ277" i="43"/>
  <c r="EA277" i="43"/>
  <c r="EB277" i="43"/>
  <c r="EC277" i="43"/>
  <c r="ED277" i="43"/>
  <c r="EE277" i="43"/>
  <c r="EF277" i="43"/>
  <c r="EG277" i="43"/>
  <c r="EH277" i="43"/>
  <c r="EI277" i="43"/>
  <c r="EJ277" i="43"/>
  <c r="EK277" i="43"/>
  <c r="EL277" i="43"/>
  <c r="EM277" i="43"/>
  <c r="EN277" i="43"/>
  <c r="EO277" i="43"/>
  <c r="EP277" i="43"/>
  <c r="EQ277" i="43"/>
  <c r="ER277" i="43"/>
  <c r="ES277" i="43"/>
  <c r="ET277" i="43"/>
  <c r="EU277" i="43"/>
  <c r="EV277" i="43"/>
  <c r="EW277" i="43"/>
  <c r="EX277" i="43"/>
  <c r="EY277" i="43"/>
  <c r="EZ277" i="43"/>
  <c r="FA277" i="43"/>
  <c r="FB277" i="43"/>
  <c r="FC277" i="43"/>
  <c r="FD277" i="43"/>
  <c r="FE277" i="43"/>
  <c r="FF277" i="43"/>
  <c r="FG277" i="43"/>
  <c r="FH277" i="43"/>
  <c r="FI277" i="43"/>
  <c r="FJ277" i="43"/>
  <c r="FK277" i="43"/>
  <c r="FL277" i="43"/>
  <c r="FM277" i="43"/>
  <c r="FN277" i="43"/>
  <c r="FO277" i="43"/>
  <c r="FP277" i="43"/>
  <c r="FQ277" i="43"/>
  <c r="FR277" i="43"/>
  <c r="FS277" i="43"/>
  <c r="FT277" i="43"/>
  <c r="FU277" i="43"/>
  <c r="FV277" i="43"/>
  <c r="FW277" i="43"/>
  <c r="FX277" i="43"/>
  <c r="FY277" i="43"/>
  <c r="FZ277" i="43"/>
  <c r="GA277" i="43"/>
  <c r="GB277" i="43"/>
  <c r="GC277" i="43"/>
  <c r="GD277" i="43"/>
  <c r="GE277" i="43"/>
  <c r="GF277" i="43"/>
  <c r="GG277" i="43"/>
  <c r="GH277" i="43"/>
  <c r="GI277" i="43"/>
  <c r="GJ277" i="43"/>
  <c r="GK277" i="43"/>
  <c r="GL277" i="43"/>
  <c r="GM277" i="43"/>
  <c r="GN277" i="43"/>
  <c r="GO277" i="43"/>
  <c r="GP277" i="43"/>
  <c r="GQ277" i="43"/>
  <c r="GR277" i="43"/>
  <c r="GS277" i="43"/>
  <c r="GT277" i="43"/>
  <c r="GU277" i="43"/>
  <c r="GV277" i="43"/>
  <c r="GW277" i="43"/>
  <c r="GX277" i="43"/>
  <c r="GY277" i="43"/>
  <c r="GZ277" i="43"/>
  <c r="HA277" i="43"/>
  <c r="HB277" i="43"/>
  <c r="HC277" i="43"/>
  <c r="HD277" i="43"/>
  <c r="HE277" i="43"/>
  <c r="HF277" i="43"/>
  <c r="HG277" i="43"/>
  <c r="HH277" i="43"/>
  <c r="HI277" i="43"/>
  <c r="HJ277" i="43"/>
  <c r="HK277" i="43"/>
  <c r="HL277" i="43"/>
  <c r="HM277" i="43"/>
  <c r="HN277" i="43"/>
  <c r="HO277" i="43"/>
  <c r="HP277" i="43"/>
  <c r="HQ277" i="43"/>
  <c r="HR277" i="43"/>
  <c r="HS277" i="43"/>
  <c r="HT277" i="43"/>
  <c r="HU277" i="43"/>
  <c r="HV277" i="43"/>
  <c r="HW277" i="43"/>
  <c r="HX277" i="43"/>
  <c r="HY277" i="43"/>
  <c r="HZ277" i="43"/>
  <c r="IA277" i="43"/>
  <c r="IB277" i="43"/>
  <c r="IC277" i="43"/>
  <c r="ID277" i="43"/>
  <c r="IE277" i="43"/>
  <c r="IF277" i="43"/>
  <c r="IG277" i="43"/>
  <c r="IH277" i="43"/>
  <c r="II277" i="43"/>
  <c r="IJ277" i="43"/>
  <c r="IK277" i="43"/>
  <c r="IL277" i="43"/>
  <c r="IM277" i="43"/>
  <c r="IN277" i="43"/>
  <c r="IO277" i="43"/>
  <c r="IP277" i="43"/>
  <c r="IQ277" i="43"/>
  <c r="IR277" i="43"/>
  <c r="IS277" i="43"/>
  <c r="IT277" i="43"/>
  <c r="IU277" i="43"/>
  <c r="IV277" i="43"/>
  <c r="A276" i="43"/>
  <c r="B276" i="43"/>
  <c r="C276" i="43"/>
  <c r="D276" i="43"/>
  <c r="E276" i="43"/>
  <c r="F276" i="43"/>
  <c r="G276" i="43"/>
  <c r="H276" i="43"/>
  <c r="I276" i="43"/>
  <c r="J276" i="43"/>
  <c r="K276" i="43"/>
  <c r="L276" i="43"/>
  <c r="M276" i="43"/>
  <c r="N276" i="43"/>
  <c r="O276" i="43"/>
  <c r="P276" i="43"/>
  <c r="Q276" i="43"/>
  <c r="R276" i="43"/>
  <c r="S276" i="43"/>
  <c r="T276" i="43"/>
  <c r="U276" i="43"/>
  <c r="V276" i="43"/>
  <c r="W276" i="43"/>
  <c r="X276" i="43"/>
  <c r="Y276" i="43"/>
  <c r="Z276" i="43"/>
  <c r="AA276" i="43"/>
  <c r="AB276" i="43"/>
  <c r="AC276" i="43"/>
  <c r="AD276" i="43"/>
  <c r="AE276" i="43"/>
  <c r="AF276" i="43"/>
  <c r="AG276" i="43"/>
  <c r="AH276" i="43"/>
  <c r="AI276" i="43"/>
  <c r="AJ276" i="43"/>
  <c r="AK276" i="43"/>
  <c r="AL276" i="43"/>
  <c r="AM276" i="43"/>
  <c r="AN276" i="43"/>
  <c r="AO276" i="43"/>
  <c r="AP276" i="43"/>
  <c r="AQ276" i="43"/>
  <c r="AR276" i="43"/>
  <c r="AS276" i="43"/>
  <c r="AT276" i="43"/>
  <c r="AU276" i="43"/>
  <c r="AV276" i="43"/>
  <c r="AW276" i="43"/>
  <c r="AX276" i="43"/>
  <c r="AY276" i="43"/>
  <c r="AZ276" i="43"/>
  <c r="BA276" i="43"/>
  <c r="BB276" i="43"/>
  <c r="BC276" i="43"/>
  <c r="BD276" i="43"/>
  <c r="BE276" i="43"/>
  <c r="BF276" i="43"/>
  <c r="BG276" i="43"/>
  <c r="BH276" i="43"/>
  <c r="BI276" i="43"/>
  <c r="BJ276" i="43"/>
  <c r="BK276" i="43"/>
  <c r="BL276" i="43"/>
  <c r="BM276" i="43"/>
  <c r="BN276" i="43"/>
  <c r="BO276" i="43"/>
  <c r="BP276" i="43"/>
  <c r="BQ276" i="43"/>
  <c r="BR276" i="43"/>
  <c r="BS276" i="43"/>
  <c r="BT276" i="43"/>
  <c r="BU276" i="43"/>
  <c r="BV276" i="43"/>
  <c r="BW276" i="43"/>
  <c r="BX276" i="43"/>
  <c r="BY276" i="43"/>
  <c r="BZ276" i="43"/>
  <c r="CA276" i="43"/>
  <c r="CB276" i="43"/>
  <c r="CC276" i="43"/>
  <c r="CD276" i="43"/>
  <c r="CE276" i="43"/>
  <c r="CF276" i="43"/>
  <c r="CG276" i="43"/>
  <c r="CH276" i="43"/>
  <c r="CI276" i="43"/>
  <c r="CJ276" i="43"/>
  <c r="CK276" i="43"/>
  <c r="CL276" i="43"/>
  <c r="CM276" i="43"/>
  <c r="CN276" i="43"/>
  <c r="CO276" i="43"/>
  <c r="CP276" i="43"/>
  <c r="CQ276" i="43"/>
  <c r="CR276" i="43"/>
  <c r="CS276" i="43"/>
  <c r="CT276" i="43"/>
  <c r="CU276" i="43"/>
  <c r="CV276" i="43"/>
  <c r="CW276" i="43"/>
  <c r="CX276" i="43"/>
  <c r="CY276" i="43"/>
  <c r="CZ276" i="43"/>
  <c r="DA276" i="43"/>
  <c r="DB276" i="43"/>
  <c r="DC276" i="43"/>
  <c r="DD276" i="43"/>
  <c r="DE276" i="43"/>
  <c r="DF276" i="43"/>
  <c r="DG276" i="43"/>
  <c r="DH276" i="43"/>
  <c r="DI276" i="43"/>
  <c r="DJ276" i="43"/>
  <c r="DK276" i="43"/>
  <c r="DL276" i="43"/>
  <c r="DM276" i="43"/>
  <c r="DN276" i="43"/>
  <c r="DO276" i="43"/>
  <c r="DP276" i="43"/>
  <c r="DQ276" i="43"/>
  <c r="DR276" i="43"/>
  <c r="DS276" i="43"/>
  <c r="DT276" i="43"/>
  <c r="DU276" i="43"/>
  <c r="DV276" i="43"/>
  <c r="DW276" i="43"/>
  <c r="DX276" i="43"/>
  <c r="DY276" i="43"/>
  <c r="DZ276" i="43"/>
  <c r="EA276" i="43"/>
  <c r="EB276" i="43"/>
  <c r="EC276" i="43"/>
  <c r="ED276" i="43"/>
  <c r="EE276" i="43"/>
  <c r="EF276" i="43"/>
  <c r="EG276" i="43"/>
  <c r="EH276" i="43"/>
  <c r="EI276" i="43"/>
  <c r="EJ276" i="43"/>
  <c r="EK276" i="43"/>
  <c r="EL276" i="43"/>
  <c r="EM276" i="43"/>
  <c r="EN276" i="43"/>
  <c r="EO276" i="43"/>
  <c r="EP276" i="43"/>
  <c r="EQ276" i="43"/>
  <c r="ER276" i="43"/>
  <c r="ES276" i="43"/>
  <c r="ET276" i="43"/>
  <c r="EU276" i="43"/>
  <c r="EV276" i="43"/>
  <c r="EW276" i="43"/>
  <c r="EX276" i="43"/>
  <c r="EY276" i="43"/>
  <c r="EZ276" i="43"/>
  <c r="FA276" i="43"/>
  <c r="FB276" i="43"/>
  <c r="FC276" i="43"/>
  <c r="FD276" i="43"/>
  <c r="FE276" i="43"/>
  <c r="FF276" i="43"/>
  <c r="FG276" i="43"/>
  <c r="FH276" i="43"/>
  <c r="FI276" i="43"/>
  <c r="FJ276" i="43"/>
  <c r="FK276" i="43"/>
  <c r="FL276" i="43"/>
  <c r="FM276" i="43"/>
  <c r="FN276" i="43"/>
  <c r="FO276" i="43"/>
  <c r="FP276" i="43"/>
  <c r="FQ276" i="43"/>
  <c r="FR276" i="43"/>
  <c r="FS276" i="43"/>
  <c r="FT276" i="43"/>
  <c r="FU276" i="43"/>
  <c r="FV276" i="43"/>
  <c r="FW276" i="43"/>
  <c r="FX276" i="43"/>
  <c r="FY276" i="43"/>
  <c r="FZ276" i="43"/>
  <c r="GA276" i="43"/>
  <c r="GB276" i="43"/>
  <c r="GC276" i="43"/>
  <c r="GD276" i="43"/>
  <c r="GE276" i="43"/>
  <c r="GF276" i="43"/>
  <c r="GG276" i="43"/>
  <c r="GH276" i="43"/>
  <c r="GI276" i="43"/>
  <c r="GJ276" i="43"/>
  <c r="GK276" i="43"/>
  <c r="GL276" i="43"/>
  <c r="GM276" i="43"/>
  <c r="GN276" i="43"/>
  <c r="GO276" i="43"/>
  <c r="GP276" i="43"/>
  <c r="GQ276" i="43"/>
  <c r="GR276" i="43"/>
  <c r="GS276" i="43"/>
  <c r="GT276" i="43"/>
  <c r="GU276" i="43"/>
  <c r="GV276" i="43"/>
  <c r="GW276" i="43"/>
  <c r="GX276" i="43"/>
  <c r="GY276" i="43"/>
  <c r="GZ276" i="43"/>
  <c r="HA276" i="43"/>
  <c r="HB276" i="43"/>
  <c r="HC276" i="43"/>
  <c r="HD276" i="43"/>
  <c r="HE276" i="43"/>
  <c r="HF276" i="43"/>
  <c r="HG276" i="43"/>
  <c r="HH276" i="43"/>
  <c r="HI276" i="43"/>
  <c r="HJ276" i="43"/>
  <c r="HK276" i="43"/>
  <c r="HL276" i="43"/>
  <c r="HM276" i="43"/>
  <c r="HN276" i="43"/>
  <c r="HO276" i="43"/>
  <c r="HP276" i="43"/>
  <c r="HQ276" i="43"/>
  <c r="HR276" i="43"/>
  <c r="HS276" i="43"/>
  <c r="HT276" i="43"/>
  <c r="HU276" i="43"/>
  <c r="HV276" i="43"/>
  <c r="HW276" i="43"/>
  <c r="HX276" i="43"/>
  <c r="HY276" i="43"/>
  <c r="HZ276" i="43"/>
  <c r="IA276" i="43"/>
  <c r="IB276" i="43"/>
  <c r="IC276" i="43"/>
  <c r="ID276" i="43"/>
  <c r="IE276" i="43"/>
  <c r="IF276" i="43"/>
  <c r="IG276" i="43"/>
  <c r="IH276" i="43"/>
  <c r="II276" i="43"/>
  <c r="IJ276" i="43"/>
  <c r="IK276" i="43"/>
  <c r="IL276" i="43"/>
  <c r="IM276" i="43"/>
  <c r="IN276" i="43"/>
  <c r="IO276" i="43"/>
  <c r="IP276" i="43"/>
  <c r="IQ276" i="43"/>
  <c r="IR276" i="43"/>
  <c r="IS276" i="43"/>
  <c r="IT276" i="43"/>
  <c r="IU276" i="43"/>
  <c r="IV276" i="43"/>
  <c r="A275" i="43"/>
  <c r="B275" i="43"/>
  <c r="C275" i="43"/>
  <c r="D275" i="43"/>
  <c r="E275" i="43"/>
  <c r="F275" i="43"/>
  <c r="G275" i="43"/>
  <c r="H275" i="43"/>
  <c r="I275" i="43"/>
  <c r="J275" i="43"/>
  <c r="K275" i="43"/>
  <c r="L275" i="43"/>
  <c r="M275" i="43"/>
  <c r="N275" i="43"/>
  <c r="O275" i="43"/>
  <c r="P275" i="43"/>
  <c r="Q275" i="43"/>
  <c r="R275" i="43"/>
  <c r="S275" i="43"/>
  <c r="T275" i="43"/>
  <c r="U275" i="43"/>
  <c r="V275" i="43"/>
  <c r="W275" i="43"/>
  <c r="X275" i="43"/>
  <c r="Y275" i="43"/>
  <c r="Z275" i="43"/>
  <c r="AA275" i="43"/>
  <c r="AB275" i="43"/>
  <c r="AC275" i="43"/>
  <c r="AD275" i="43"/>
  <c r="AE275" i="43"/>
  <c r="AF275" i="43"/>
  <c r="AG275" i="43"/>
  <c r="AH275" i="43"/>
  <c r="AI275" i="43"/>
  <c r="AJ275" i="43"/>
  <c r="AK275" i="43"/>
  <c r="AL275" i="43"/>
  <c r="AM275" i="43"/>
  <c r="AN275" i="43"/>
  <c r="AO275" i="43"/>
  <c r="AP275" i="43"/>
  <c r="AQ275" i="43"/>
  <c r="AR275" i="43"/>
  <c r="AS275" i="43"/>
  <c r="AT275" i="43"/>
  <c r="AU275" i="43"/>
  <c r="AV275" i="43"/>
  <c r="AW275" i="43"/>
  <c r="AX275" i="43"/>
  <c r="AY275" i="43"/>
  <c r="AZ275" i="43"/>
  <c r="BA275" i="43"/>
  <c r="BB275" i="43"/>
  <c r="BC275" i="43"/>
  <c r="BD275" i="43"/>
  <c r="BE275" i="43"/>
  <c r="BF275" i="43"/>
  <c r="BG275" i="43"/>
  <c r="BH275" i="43"/>
  <c r="BI275" i="43"/>
  <c r="BJ275" i="43"/>
  <c r="BK275" i="43"/>
  <c r="BL275" i="43"/>
  <c r="BM275" i="43"/>
  <c r="BN275" i="43"/>
  <c r="BO275" i="43"/>
  <c r="BP275" i="43"/>
  <c r="BQ275" i="43"/>
  <c r="BR275" i="43"/>
  <c r="BS275" i="43"/>
  <c r="BT275" i="43"/>
  <c r="BU275" i="43"/>
  <c r="BV275" i="43"/>
  <c r="BW275" i="43"/>
  <c r="BX275" i="43"/>
  <c r="BY275" i="43"/>
  <c r="BZ275" i="43"/>
  <c r="CA275" i="43"/>
  <c r="CB275" i="43"/>
  <c r="CC275" i="43"/>
  <c r="CD275" i="43"/>
  <c r="CE275" i="43"/>
  <c r="CF275" i="43"/>
  <c r="CG275" i="43"/>
  <c r="CH275" i="43"/>
  <c r="CI275" i="43"/>
  <c r="CJ275" i="43"/>
  <c r="CK275" i="43"/>
  <c r="CL275" i="43"/>
  <c r="CM275" i="43"/>
  <c r="CN275" i="43"/>
  <c r="CO275" i="43"/>
  <c r="CP275" i="43"/>
  <c r="CQ275" i="43"/>
  <c r="CR275" i="43"/>
  <c r="CS275" i="43"/>
  <c r="CT275" i="43"/>
  <c r="CU275" i="43"/>
  <c r="CV275" i="43"/>
  <c r="CW275" i="43"/>
  <c r="CX275" i="43"/>
  <c r="CY275" i="43"/>
  <c r="CZ275" i="43"/>
  <c r="DA275" i="43"/>
  <c r="DB275" i="43"/>
  <c r="DC275" i="43"/>
  <c r="DD275" i="43"/>
  <c r="DE275" i="43"/>
  <c r="DF275" i="43"/>
  <c r="DG275" i="43"/>
  <c r="DH275" i="43"/>
  <c r="DI275" i="43"/>
  <c r="DJ275" i="43"/>
  <c r="DK275" i="43"/>
  <c r="DL275" i="43"/>
  <c r="DM275" i="43"/>
  <c r="DN275" i="43"/>
  <c r="DO275" i="43"/>
  <c r="DP275" i="43"/>
  <c r="DQ275" i="43"/>
  <c r="DR275" i="43"/>
  <c r="DS275" i="43"/>
  <c r="DT275" i="43"/>
  <c r="DU275" i="43"/>
  <c r="DV275" i="43"/>
  <c r="DW275" i="43"/>
  <c r="DX275" i="43"/>
  <c r="DY275" i="43"/>
  <c r="DZ275" i="43"/>
  <c r="EA275" i="43"/>
  <c r="EB275" i="43"/>
  <c r="EC275" i="43"/>
  <c r="ED275" i="43"/>
  <c r="EE275" i="43"/>
  <c r="EF275" i="43"/>
  <c r="EG275" i="43"/>
  <c r="EH275" i="43"/>
  <c r="EI275" i="43"/>
  <c r="EJ275" i="43"/>
  <c r="EK275" i="43"/>
  <c r="EL275" i="43"/>
  <c r="EM275" i="43"/>
  <c r="EN275" i="43"/>
  <c r="EO275" i="43"/>
  <c r="EP275" i="43"/>
  <c r="EQ275" i="43"/>
  <c r="ER275" i="43"/>
  <c r="ES275" i="43"/>
  <c r="ET275" i="43"/>
  <c r="EU275" i="43"/>
  <c r="EV275" i="43"/>
  <c r="EW275" i="43"/>
  <c r="EX275" i="43"/>
  <c r="EY275" i="43"/>
  <c r="EZ275" i="43"/>
  <c r="FA275" i="43"/>
  <c r="FB275" i="43"/>
  <c r="FC275" i="43"/>
  <c r="FD275" i="43"/>
  <c r="FE275" i="43"/>
  <c r="FF275" i="43"/>
  <c r="FG275" i="43"/>
  <c r="FH275" i="43"/>
  <c r="FI275" i="43"/>
  <c r="FJ275" i="43"/>
  <c r="FK275" i="43"/>
  <c r="FL275" i="43"/>
  <c r="FM275" i="43"/>
  <c r="FN275" i="43"/>
  <c r="FO275" i="43"/>
  <c r="FP275" i="43"/>
  <c r="FQ275" i="43"/>
  <c r="FR275" i="43"/>
  <c r="FS275" i="43"/>
  <c r="FT275" i="43"/>
  <c r="FU275" i="43"/>
  <c r="FV275" i="43"/>
  <c r="FW275" i="43"/>
  <c r="FX275" i="43"/>
  <c r="FY275" i="43"/>
  <c r="FZ275" i="43"/>
  <c r="GA275" i="43"/>
  <c r="GB275" i="43"/>
  <c r="GC275" i="43"/>
  <c r="GD275" i="43"/>
  <c r="GE275" i="43"/>
  <c r="GF275" i="43"/>
  <c r="GG275" i="43"/>
  <c r="GH275" i="43"/>
  <c r="GI275" i="43"/>
  <c r="GJ275" i="43"/>
  <c r="GK275" i="43"/>
  <c r="GL275" i="43"/>
  <c r="GM275" i="43"/>
  <c r="GN275" i="43"/>
  <c r="GO275" i="43"/>
  <c r="GP275" i="43"/>
  <c r="GQ275" i="43"/>
  <c r="GR275" i="43"/>
  <c r="GS275" i="43"/>
  <c r="GT275" i="43"/>
  <c r="GU275" i="43"/>
  <c r="GV275" i="43"/>
  <c r="GW275" i="43"/>
  <c r="GX275" i="43"/>
  <c r="GY275" i="43"/>
  <c r="GZ275" i="43"/>
  <c r="HA275" i="43"/>
  <c r="HB275" i="43"/>
  <c r="HC275" i="43"/>
  <c r="HD275" i="43"/>
  <c r="HE275" i="43"/>
  <c r="HF275" i="43"/>
  <c r="HG275" i="43"/>
  <c r="HH275" i="43"/>
  <c r="HI275" i="43"/>
  <c r="HJ275" i="43"/>
  <c r="HK275" i="43"/>
  <c r="HL275" i="43"/>
  <c r="HM275" i="43"/>
  <c r="HN275" i="43"/>
  <c r="HO275" i="43"/>
  <c r="HP275" i="43"/>
  <c r="HQ275" i="43"/>
  <c r="HR275" i="43"/>
  <c r="HS275" i="43"/>
  <c r="HT275" i="43"/>
  <c r="HU275" i="43"/>
  <c r="HV275" i="43"/>
  <c r="HW275" i="43"/>
  <c r="HX275" i="43"/>
  <c r="HY275" i="43"/>
  <c r="HZ275" i="43"/>
  <c r="IA275" i="43"/>
  <c r="IB275" i="43"/>
  <c r="IC275" i="43"/>
  <c r="ID275" i="43"/>
  <c r="IE275" i="43"/>
  <c r="IF275" i="43"/>
  <c r="IG275" i="43"/>
  <c r="IH275" i="43"/>
  <c r="II275" i="43"/>
  <c r="IJ275" i="43"/>
  <c r="IK275" i="43"/>
  <c r="IL275" i="43"/>
  <c r="IM275" i="43"/>
  <c r="IN275" i="43"/>
  <c r="IO275" i="43"/>
  <c r="IP275" i="43"/>
  <c r="IQ275" i="43"/>
  <c r="IR275" i="43"/>
  <c r="IS275" i="43"/>
  <c r="IT275" i="43"/>
  <c r="IU275" i="43"/>
  <c r="IV275" i="43"/>
  <c r="A274" i="43"/>
  <c r="B274" i="43"/>
  <c r="C274" i="43"/>
  <c r="D274" i="43"/>
  <c r="E274" i="43"/>
  <c r="F274" i="43"/>
  <c r="G274" i="43"/>
  <c r="H274" i="43"/>
  <c r="I274" i="43"/>
  <c r="J274" i="43"/>
  <c r="K274" i="43"/>
  <c r="L274" i="43"/>
  <c r="M274" i="43"/>
  <c r="N274" i="43"/>
  <c r="O274" i="43"/>
  <c r="P274" i="43"/>
  <c r="Q274" i="43"/>
  <c r="R274" i="43"/>
  <c r="S274" i="43"/>
  <c r="T274" i="43"/>
  <c r="U274" i="43"/>
  <c r="V274" i="43"/>
  <c r="W274" i="43"/>
  <c r="X274" i="43"/>
  <c r="Y274" i="43"/>
  <c r="Z274" i="43"/>
  <c r="AA274" i="43"/>
  <c r="AB274" i="43"/>
  <c r="AC274" i="43"/>
  <c r="AD274" i="43"/>
  <c r="AE274" i="43"/>
  <c r="AF274" i="43"/>
  <c r="AG274" i="43"/>
  <c r="AH274" i="43"/>
  <c r="AI274" i="43"/>
  <c r="AJ274" i="43"/>
  <c r="AK274" i="43"/>
  <c r="AL274" i="43"/>
  <c r="AM274" i="43"/>
  <c r="AN274" i="43"/>
  <c r="AO274" i="43"/>
  <c r="AP274" i="43"/>
  <c r="AQ274" i="43"/>
  <c r="AR274" i="43"/>
  <c r="AS274" i="43"/>
  <c r="AT274" i="43"/>
  <c r="AU274" i="43"/>
  <c r="AV274" i="43"/>
  <c r="AW274" i="43"/>
  <c r="AX274" i="43"/>
  <c r="AY274" i="43"/>
  <c r="AZ274" i="43"/>
  <c r="BA274" i="43"/>
  <c r="BB274" i="43"/>
  <c r="BC274" i="43"/>
  <c r="BD274" i="43"/>
  <c r="BE274" i="43"/>
  <c r="BF274" i="43"/>
  <c r="BG274" i="43"/>
  <c r="BH274" i="43"/>
  <c r="BI274" i="43"/>
  <c r="BJ274" i="43"/>
  <c r="BK274" i="43"/>
  <c r="BL274" i="43"/>
  <c r="BM274" i="43"/>
  <c r="BN274" i="43"/>
  <c r="BO274" i="43"/>
  <c r="BP274" i="43"/>
  <c r="BQ274" i="43"/>
  <c r="BR274" i="43"/>
  <c r="BS274" i="43"/>
  <c r="BT274" i="43"/>
  <c r="BU274" i="43"/>
  <c r="BV274" i="43"/>
  <c r="BW274" i="43"/>
  <c r="BX274" i="43"/>
  <c r="BY274" i="43"/>
  <c r="BZ274" i="43"/>
  <c r="CA274" i="43"/>
  <c r="CB274" i="43"/>
  <c r="CC274" i="43"/>
  <c r="CD274" i="43"/>
  <c r="CE274" i="43"/>
  <c r="CF274" i="43"/>
  <c r="CG274" i="43"/>
  <c r="CH274" i="43"/>
  <c r="CI274" i="43"/>
  <c r="CJ274" i="43"/>
  <c r="CK274" i="43"/>
  <c r="CL274" i="43"/>
  <c r="CM274" i="43"/>
  <c r="CN274" i="43"/>
  <c r="CO274" i="43"/>
  <c r="CP274" i="43"/>
  <c r="CQ274" i="43"/>
  <c r="CR274" i="43"/>
  <c r="CS274" i="43"/>
  <c r="CT274" i="43"/>
  <c r="CU274" i="43"/>
  <c r="CV274" i="43"/>
  <c r="CW274" i="43"/>
  <c r="CX274" i="43"/>
  <c r="CY274" i="43"/>
  <c r="CZ274" i="43"/>
  <c r="DA274" i="43"/>
  <c r="DB274" i="43"/>
  <c r="DC274" i="43"/>
  <c r="DD274" i="43"/>
  <c r="DE274" i="43"/>
  <c r="DF274" i="43"/>
  <c r="DG274" i="43"/>
  <c r="DH274" i="43"/>
  <c r="DI274" i="43"/>
  <c r="DJ274" i="43"/>
  <c r="DK274" i="43"/>
  <c r="DL274" i="43"/>
  <c r="DM274" i="43"/>
  <c r="DN274" i="43"/>
  <c r="DO274" i="43"/>
  <c r="DP274" i="43"/>
  <c r="DQ274" i="43"/>
  <c r="DR274" i="43"/>
  <c r="DS274" i="43"/>
  <c r="DT274" i="43"/>
  <c r="DU274" i="43"/>
  <c r="DV274" i="43"/>
  <c r="DW274" i="43"/>
  <c r="DX274" i="43"/>
  <c r="DY274" i="43"/>
  <c r="DZ274" i="43"/>
  <c r="EA274" i="43"/>
  <c r="EB274" i="43"/>
  <c r="EC274" i="43"/>
  <c r="ED274" i="43"/>
  <c r="EE274" i="43"/>
  <c r="EF274" i="43"/>
  <c r="EG274" i="43"/>
  <c r="EH274" i="43"/>
  <c r="EI274" i="43"/>
  <c r="EJ274" i="43"/>
  <c r="EK274" i="43"/>
  <c r="EL274" i="43"/>
  <c r="EM274" i="43"/>
  <c r="EN274" i="43"/>
  <c r="EO274" i="43"/>
  <c r="EP274" i="43"/>
  <c r="EQ274" i="43"/>
  <c r="ER274" i="43"/>
  <c r="ES274" i="43"/>
  <c r="ET274" i="43"/>
  <c r="EU274" i="43"/>
  <c r="EV274" i="43"/>
  <c r="EW274" i="43"/>
  <c r="EX274" i="43"/>
  <c r="EY274" i="43"/>
  <c r="EZ274" i="43"/>
  <c r="FA274" i="43"/>
  <c r="FB274" i="43"/>
  <c r="FC274" i="43"/>
  <c r="FD274" i="43"/>
  <c r="FE274" i="43"/>
  <c r="FF274" i="43"/>
  <c r="FG274" i="43"/>
  <c r="FH274" i="43"/>
  <c r="FI274" i="43"/>
  <c r="FJ274" i="43"/>
  <c r="FK274" i="43"/>
  <c r="FL274" i="43"/>
  <c r="FM274" i="43"/>
  <c r="FN274" i="43"/>
  <c r="FO274" i="43"/>
  <c r="FP274" i="43"/>
  <c r="FQ274" i="43"/>
  <c r="FR274" i="43"/>
  <c r="FS274" i="43"/>
  <c r="FT274" i="43"/>
  <c r="FU274" i="43"/>
  <c r="FV274" i="43"/>
  <c r="FW274" i="43"/>
  <c r="FX274" i="43"/>
  <c r="FY274" i="43"/>
  <c r="FZ274" i="43"/>
  <c r="GA274" i="43"/>
  <c r="GB274" i="43"/>
  <c r="GC274" i="43"/>
  <c r="GD274" i="43"/>
  <c r="GE274" i="43"/>
  <c r="GF274" i="43"/>
  <c r="GG274" i="43"/>
  <c r="GH274" i="43"/>
  <c r="GI274" i="43"/>
  <c r="GJ274" i="43"/>
  <c r="GK274" i="43"/>
  <c r="GL274" i="43"/>
  <c r="GM274" i="43"/>
  <c r="GN274" i="43"/>
  <c r="GO274" i="43"/>
  <c r="GP274" i="43"/>
  <c r="GQ274" i="43"/>
  <c r="GR274" i="43"/>
  <c r="GS274" i="43"/>
  <c r="GT274" i="43"/>
  <c r="GU274" i="43"/>
  <c r="GV274" i="43"/>
  <c r="GW274" i="43"/>
  <c r="GX274" i="43"/>
  <c r="GY274" i="43"/>
  <c r="GZ274" i="43"/>
  <c r="HA274" i="43"/>
  <c r="HB274" i="43"/>
  <c r="HC274" i="43"/>
  <c r="HD274" i="43"/>
  <c r="HE274" i="43"/>
  <c r="HF274" i="43"/>
  <c r="HG274" i="43"/>
  <c r="HH274" i="43"/>
  <c r="HI274" i="43"/>
  <c r="HJ274" i="43"/>
  <c r="HK274" i="43"/>
  <c r="HL274" i="43"/>
  <c r="HM274" i="43"/>
  <c r="HN274" i="43"/>
  <c r="HO274" i="43"/>
  <c r="HP274" i="43"/>
  <c r="HQ274" i="43"/>
  <c r="HR274" i="43"/>
  <c r="HS274" i="43"/>
  <c r="HT274" i="43"/>
  <c r="HU274" i="43"/>
  <c r="HV274" i="43"/>
  <c r="HW274" i="43"/>
  <c r="HX274" i="43"/>
  <c r="HY274" i="43"/>
  <c r="HZ274" i="43"/>
  <c r="IA274" i="43"/>
  <c r="IB274" i="43"/>
  <c r="IC274" i="43"/>
  <c r="ID274" i="43"/>
  <c r="IE274" i="43"/>
  <c r="IF274" i="43"/>
  <c r="IG274" i="43"/>
  <c r="IH274" i="43"/>
  <c r="II274" i="43"/>
  <c r="IJ274" i="43"/>
  <c r="IK274" i="43"/>
  <c r="IL274" i="43"/>
  <c r="IM274" i="43"/>
  <c r="IN274" i="43"/>
  <c r="IO274" i="43"/>
  <c r="IP274" i="43"/>
  <c r="IQ274" i="43"/>
  <c r="IR274" i="43"/>
  <c r="IS274" i="43"/>
  <c r="IT274" i="43"/>
  <c r="IU274" i="43"/>
  <c r="IV274" i="43"/>
  <c r="A273" i="43"/>
  <c r="B273" i="43"/>
  <c r="C273" i="43"/>
  <c r="D273" i="43"/>
  <c r="E273" i="43"/>
  <c r="F273" i="43"/>
  <c r="G273" i="43"/>
  <c r="H273" i="43"/>
  <c r="I273" i="43"/>
  <c r="J273" i="43"/>
  <c r="K273" i="43"/>
  <c r="L273" i="43"/>
  <c r="M273" i="43"/>
  <c r="N273" i="43"/>
  <c r="O273" i="43"/>
  <c r="P273" i="43"/>
  <c r="Q273" i="43"/>
  <c r="R273" i="43"/>
  <c r="S273" i="43"/>
  <c r="T273" i="43"/>
  <c r="U273" i="43"/>
  <c r="V273" i="43"/>
  <c r="W273" i="43"/>
  <c r="X273" i="43"/>
  <c r="Y273" i="43"/>
  <c r="Z273" i="43"/>
  <c r="AA273" i="43"/>
  <c r="AB273" i="43"/>
  <c r="AC273" i="43"/>
  <c r="AD273" i="43"/>
  <c r="AE273" i="43"/>
  <c r="AF273" i="43"/>
  <c r="AG273" i="43"/>
  <c r="AH273" i="43"/>
  <c r="AI273" i="43"/>
  <c r="AJ273" i="43"/>
  <c r="AK273" i="43"/>
  <c r="AL273" i="43"/>
  <c r="AM273" i="43"/>
  <c r="AN273" i="43"/>
  <c r="AO273" i="43"/>
  <c r="AP273" i="43"/>
  <c r="AQ273" i="43"/>
  <c r="AR273" i="43"/>
  <c r="AS273" i="43"/>
  <c r="AT273" i="43"/>
  <c r="AU273" i="43"/>
  <c r="AV273" i="43"/>
  <c r="AW273" i="43"/>
  <c r="AX273" i="43"/>
  <c r="AY273" i="43"/>
  <c r="AZ273" i="43"/>
  <c r="BA273" i="43"/>
  <c r="BB273" i="43"/>
  <c r="BC273" i="43"/>
  <c r="BD273" i="43"/>
  <c r="BE273" i="43"/>
  <c r="BF273" i="43"/>
  <c r="BG273" i="43"/>
  <c r="BH273" i="43"/>
  <c r="BI273" i="43"/>
  <c r="BJ273" i="43"/>
  <c r="BK273" i="43"/>
  <c r="BL273" i="43"/>
  <c r="BM273" i="43"/>
  <c r="BN273" i="43"/>
  <c r="BO273" i="43"/>
  <c r="BP273" i="43"/>
  <c r="BQ273" i="43"/>
  <c r="BR273" i="43"/>
  <c r="BS273" i="43"/>
  <c r="BT273" i="43"/>
  <c r="BU273" i="43"/>
  <c r="BV273" i="43"/>
  <c r="BW273" i="43"/>
  <c r="BX273" i="43"/>
  <c r="BY273" i="43"/>
  <c r="BZ273" i="43"/>
  <c r="CA273" i="43"/>
  <c r="CB273" i="43"/>
  <c r="CC273" i="43"/>
  <c r="CD273" i="43"/>
  <c r="CE273" i="43"/>
  <c r="CF273" i="43"/>
  <c r="CG273" i="43"/>
  <c r="CH273" i="43"/>
  <c r="CI273" i="43"/>
  <c r="CJ273" i="43"/>
  <c r="CK273" i="43"/>
  <c r="CL273" i="43"/>
  <c r="CM273" i="43"/>
  <c r="CN273" i="43"/>
  <c r="CO273" i="43"/>
  <c r="CP273" i="43"/>
  <c r="CQ273" i="43"/>
  <c r="CR273" i="43"/>
  <c r="CS273" i="43"/>
  <c r="CT273" i="43"/>
  <c r="CU273" i="43"/>
  <c r="CV273" i="43"/>
  <c r="CW273" i="43"/>
  <c r="CX273" i="43"/>
  <c r="CY273" i="43"/>
  <c r="CZ273" i="43"/>
  <c r="DA273" i="43"/>
  <c r="DB273" i="43"/>
  <c r="DC273" i="43"/>
  <c r="DD273" i="43"/>
  <c r="DE273" i="43"/>
  <c r="DF273" i="43"/>
  <c r="DG273" i="43"/>
  <c r="DH273" i="43"/>
  <c r="DI273" i="43"/>
  <c r="DJ273" i="43"/>
  <c r="DK273" i="43"/>
  <c r="DL273" i="43"/>
  <c r="DM273" i="43"/>
  <c r="DN273" i="43"/>
  <c r="DO273" i="43"/>
  <c r="DP273" i="43"/>
  <c r="DQ273" i="43"/>
  <c r="DR273" i="43"/>
  <c r="DS273" i="43"/>
  <c r="DT273" i="43"/>
  <c r="DU273" i="43"/>
  <c r="DV273" i="43"/>
  <c r="DW273" i="43"/>
  <c r="DX273" i="43"/>
  <c r="DY273" i="43"/>
  <c r="DZ273" i="43"/>
  <c r="EA273" i="43"/>
  <c r="EB273" i="43"/>
  <c r="EC273" i="43"/>
  <c r="ED273" i="43"/>
  <c r="EE273" i="43"/>
  <c r="EF273" i="43"/>
  <c r="EG273" i="43"/>
  <c r="EH273" i="43"/>
  <c r="EI273" i="43"/>
  <c r="EJ273" i="43"/>
  <c r="EK273" i="43"/>
  <c r="EL273" i="43"/>
  <c r="EM273" i="43"/>
  <c r="EN273" i="43"/>
  <c r="EO273" i="43"/>
  <c r="EP273" i="43"/>
  <c r="EQ273" i="43"/>
  <c r="ER273" i="43"/>
  <c r="ES273" i="43"/>
  <c r="ET273" i="43"/>
  <c r="EU273" i="43"/>
  <c r="EV273" i="43"/>
  <c r="EW273" i="43"/>
  <c r="EX273" i="43"/>
  <c r="EY273" i="43"/>
  <c r="EZ273" i="43"/>
  <c r="FA273" i="43"/>
  <c r="FB273" i="43"/>
  <c r="FC273" i="43"/>
  <c r="FD273" i="43"/>
  <c r="FE273" i="43"/>
  <c r="FF273" i="43"/>
  <c r="FG273" i="43"/>
  <c r="FH273" i="43"/>
  <c r="FI273" i="43"/>
  <c r="FJ273" i="43"/>
  <c r="FK273" i="43"/>
  <c r="FL273" i="43"/>
  <c r="FM273" i="43"/>
  <c r="FN273" i="43"/>
  <c r="FO273" i="43"/>
  <c r="FP273" i="43"/>
  <c r="FQ273" i="43"/>
  <c r="FR273" i="43"/>
  <c r="FS273" i="43"/>
  <c r="FT273" i="43"/>
  <c r="FU273" i="43"/>
  <c r="FV273" i="43"/>
  <c r="FW273" i="43"/>
  <c r="FX273" i="43"/>
  <c r="FY273" i="43"/>
  <c r="FZ273" i="43"/>
  <c r="GA273" i="43"/>
  <c r="GB273" i="43"/>
  <c r="GC273" i="43"/>
  <c r="GD273" i="43"/>
  <c r="GE273" i="43"/>
  <c r="GF273" i="43"/>
  <c r="GG273" i="43"/>
  <c r="GH273" i="43"/>
  <c r="GI273" i="43"/>
  <c r="GJ273" i="43"/>
  <c r="GK273" i="43"/>
  <c r="GL273" i="43"/>
  <c r="GM273" i="43"/>
  <c r="GN273" i="43"/>
  <c r="GO273" i="43"/>
  <c r="GP273" i="43"/>
  <c r="GQ273" i="43"/>
  <c r="GR273" i="43"/>
  <c r="GS273" i="43"/>
  <c r="GT273" i="43"/>
  <c r="GU273" i="43"/>
  <c r="GV273" i="43"/>
  <c r="GW273" i="43"/>
  <c r="GX273" i="43"/>
  <c r="GY273" i="43"/>
  <c r="GZ273" i="43"/>
  <c r="HA273" i="43"/>
  <c r="HB273" i="43"/>
  <c r="HC273" i="43"/>
  <c r="HD273" i="43"/>
  <c r="HE273" i="43"/>
  <c r="HF273" i="43"/>
  <c r="HG273" i="43"/>
  <c r="HH273" i="43"/>
  <c r="HI273" i="43"/>
  <c r="HJ273" i="43"/>
  <c r="HK273" i="43"/>
  <c r="HL273" i="43"/>
  <c r="HM273" i="43"/>
  <c r="HN273" i="43"/>
  <c r="HO273" i="43"/>
  <c r="HP273" i="43"/>
  <c r="HQ273" i="43"/>
  <c r="HR273" i="43"/>
  <c r="HS273" i="43"/>
  <c r="HT273" i="43"/>
  <c r="HU273" i="43"/>
  <c r="HV273" i="43"/>
  <c r="HW273" i="43"/>
  <c r="HX273" i="43"/>
  <c r="HY273" i="43"/>
  <c r="HZ273" i="43"/>
  <c r="IA273" i="43"/>
  <c r="IB273" i="43"/>
  <c r="IC273" i="43"/>
  <c r="ID273" i="43"/>
  <c r="IE273" i="43"/>
  <c r="IF273" i="43"/>
  <c r="IG273" i="43"/>
  <c r="IH273" i="43"/>
  <c r="II273" i="43"/>
  <c r="IJ273" i="43"/>
  <c r="IK273" i="43"/>
  <c r="IL273" i="43"/>
  <c r="IM273" i="43"/>
  <c r="IN273" i="43"/>
  <c r="IO273" i="43"/>
  <c r="IP273" i="43"/>
  <c r="IQ273" i="43"/>
  <c r="IR273" i="43"/>
  <c r="IS273" i="43"/>
  <c r="IT273" i="43"/>
  <c r="IU273" i="43"/>
  <c r="IV273" i="43"/>
  <c r="A272" i="43"/>
  <c r="B272" i="43"/>
  <c r="C272" i="43"/>
  <c r="D272" i="43"/>
  <c r="E272" i="43"/>
  <c r="F272" i="43"/>
  <c r="G272" i="43"/>
  <c r="H272" i="43"/>
  <c r="I272" i="43"/>
  <c r="J272" i="43"/>
  <c r="K272" i="43"/>
  <c r="L272" i="43"/>
  <c r="M272" i="43"/>
  <c r="N272" i="43"/>
  <c r="O272" i="43"/>
  <c r="P272" i="43"/>
  <c r="Q272" i="43"/>
  <c r="R272" i="43"/>
  <c r="S272" i="43"/>
  <c r="T272" i="43"/>
  <c r="U272" i="43"/>
  <c r="V272" i="43"/>
  <c r="W272" i="43"/>
  <c r="X272" i="43"/>
  <c r="Y272" i="43"/>
  <c r="Z272" i="43"/>
  <c r="AA272" i="43"/>
  <c r="AB272" i="43"/>
  <c r="AC272" i="43"/>
  <c r="AD272" i="43"/>
  <c r="AE272" i="43"/>
  <c r="AF272" i="43"/>
  <c r="AG272" i="43"/>
  <c r="AH272" i="43"/>
  <c r="AI272" i="43"/>
  <c r="AJ272" i="43"/>
  <c r="AK272" i="43"/>
  <c r="AL272" i="43"/>
  <c r="AM272" i="43"/>
  <c r="AN272" i="43"/>
  <c r="AO272" i="43"/>
  <c r="AP272" i="43"/>
  <c r="AQ272" i="43"/>
  <c r="AR272" i="43"/>
  <c r="AS272" i="43"/>
  <c r="AT272" i="43"/>
  <c r="AU272" i="43"/>
  <c r="AV272" i="43"/>
  <c r="AW272" i="43"/>
  <c r="AX272" i="43"/>
  <c r="AY272" i="43"/>
  <c r="AZ272" i="43"/>
  <c r="BA272" i="43"/>
  <c r="BB272" i="43"/>
  <c r="BC272" i="43"/>
  <c r="BD272" i="43"/>
  <c r="BE272" i="43"/>
  <c r="BF272" i="43"/>
  <c r="BG272" i="43"/>
  <c r="BH272" i="43"/>
  <c r="BI272" i="43"/>
  <c r="BJ272" i="43"/>
  <c r="BK272" i="43"/>
  <c r="BL272" i="43"/>
  <c r="BM272" i="43"/>
  <c r="BN272" i="43"/>
  <c r="BO272" i="43"/>
  <c r="BP272" i="43"/>
  <c r="BQ272" i="43"/>
  <c r="BR272" i="43"/>
  <c r="BS272" i="43"/>
  <c r="BT272" i="43"/>
  <c r="BU272" i="43"/>
  <c r="BV272" i="43"/>
  <c r="BW272" i="43"/>
  <c r="BX272" i="43"/>
  <c r="BY272" i="43"/>
  <c r="BZ272" i="43"/>
  <c r="CA272" i="43"/>
  <c r="CB272" i="43"/>
  <c r="CC272" i="43"/>
  <c r="CD272" i="43"/>
  <c r="CE272" i="43"/>
  <c r="CF272" i="43"/>
  <c r="CG272" i="43"/>
  <c r="CH272" i="43"/>
  <c r="CI272" i="43"/>
  <c r="CJ272" i="43"/>
  <c r="CK272" i="43"/>
  <c r="CL272" i="43"/>
  <c r="CM272" i="43"/>
  <c r="CN272" i="43"/>
  <c r="CO272" i="43"/>
  <c r="CP272" i="43"/>
  <c r="CQ272" i="43"/>
  <c r="CR272" i="43"/>
  <c r="CS272" i="43"/>
  <c r="CT272" i="43"/>
  <c r="CU272" i="43"/>
  <c r="CV272" i="43"/>
  <c r="CW272" i="43"/>
  <c r="CX272" i="43"/>
  <c r="CY272" i="43"/>
  <c r="CZ272" i="43"/>
  <c r="DA272" i="43"/>
  <c r="DB272" i="43"/>
  <c r="DC272" i="43"/>
  <c r="DD272" i="43"/>
  <c r="DE272" i="43"/>
  <c r="DF272" i="43"/>
  <c r="DG272" i="43"/>
  <c r="DH272" i="43"/>
  <c r="DI272" i="43"/>
  <c r="DJ272" i="43"/>
  <c r="DK272" i="43"/>
  <c r="DL272" i="43"/>
  <c r="DM272" i="43"/>
  <c r="DN272" i="43"/>
  <c r="DO272" i="43"/>
  <c r="DP272" i="43"/>
  <c r="DQ272" i="43"/>
  <c r="DR272" i="43"/>
  <c r="DS272" i="43"/>
  <c r="DT272" i="43"/>
  <c r="DU272" i="43"/>
  <c r="DV272" i="43"/>
  <c r="DW272" i="43"/>
  <c r="DX272" i="43"/>
  <c r="DY272" i="43"/>
  <c r="DZ272" i="43"/>
  <c r="EA272" i="43"/>
  <c r="EB272" i="43"/>
  <c r="EC272" i="43"/>
  <c r="ED272" i="43"/>
  <c r="EE272" i="43"/>
  <c r="EF272" i="43"/>
  <c r="EG272" i="43"/>
  <c r="EH272" i="43"/>
  <c r="EI272" i="43"/>
  <c r="EJ272" i="43"/>
  <c r="EK272" i="43"/>
  <c r="EL272" i="43"/>
  <c r="EM272" i="43"/>
  <c r="EN272" i="43"/>
  <c r="EO272" i="43"/>
  <c r="EP272" i="43"/>
  <c r="EQ272" i="43"/>
  <c r="ER272" i="43"/>
  <c r="ES272" i="43"/>
  <c r="ET272" i="43"/>
  <c r="EU272" i="43"/>
  <c r="EV272" i="43"/>
  <c r="EW272" i="43"/>
  <c r="EX272" i="43"/>
  <c r="EY272" i="43"/>
  <c r="EZ272" i="43"/>
  <c r="FA272" i="43"/>
  <c r="FB272" i="43"/>
  <c r="FC272" i="43"/>
  <c r="FD272" i="43"/>
  <c r="FE272" i="43"/>
  <c r="FF272" i="43"/>
  <c r="FG272" i="43"/>
  <c r="FH272" i="43"/>
  <c r="FI272" i="43"/>
  <c r="FJ272" i="43"/>
  <c r="FK272" i="43"/>
  <c r="FL272" i="43"/>
  <c r="FM272" i="43"/>
  <c r="FN272" i="43"/>
  <c r="FO272" i="43"/>
  <c r="FP272" i="43"/>
  <c r="FQ272" i="43"/>
  <c r="FR272" i="43"/>
  <c r="FS272" i="43"/>
  <c r="FT272" i="43"/>
  <c r="FU272" i="43"/>
  <c r="FV272" i="43"/>
  <c r="FW272" i="43"/>
  <c r="FX272" i="43"/>
  <c r="FY272" i="43"/>
  <c r="FZ272" i="43"/>
  <c r="GA272" i="43"/>
  <c r="GB272" i="43"/>
  <c r="GC272" i="43"/>
  <c r="GD272" i="43"/>
  <c r="GE272" i="43"/>
  <c r="GF272" i="43"/>
  <c r="GG272" i="43"/>
  <c r="GH272" i="43"/>
  <c r="GI272" i="43"/>
  <c r="GJ272" i="43"/>
  <c r="GK272" i="43"/>
  <c r="GL272" i="43"/>
  <c r="GM272" i="43"/>
  <c r="GN272" i="43"/>
  <c r="GO272" i="43"/>
  <c r="GP272" i="43"/>
  <c r="GQ272" i="43"/>
  <c r="GR272" i="43"/>
  <c r="GS272" i="43"/>
  <c r="GT272" i="43"/>
  <c r="GU272" i="43"/>
  <c r="GV272" i="43"/>
  <c r="GW272" i="43"/>
  <c r="GX272" i="43"/>
  <c r="GY272" i="43"/>
  <c r="GZ272" i="43"/>
  <c r="HA272" i="43"/>
  <c r="HB272" i="43"/>
  <c r="HC272" i="43"/>
  <c r="HD272" i="43"/>
  <c r="HE272" i="43"/>
  <c r="HF272" i="43"/>
  <c r="HG272" i="43"/>
  <c r="HH272" i="43"/>
  <c r="HI272" i="43"/>
  <c r="HJ272" i="43"/>
  <c r="HK272" i="43"/>
  <c r="HL272" i="43"/>
  <c r="HM272" i="43"/>
  <c r="HN272" i="43"/>
  <c r="HO272" i="43"/>
  <c r="HP272" i="43"/>
  <c r="HQ272" i="43"/>
  <c r="HR272" i="43"/>
  <c r="HS272" i="43"/>
  <c r="HT272" i="43"/>
  <c r="HU272" i="43"/>
  <c r="HV272" i="43"/>
  <c r="HW272" i="43"/>
  <c r="HX272" i="43"/>
  <c r="HY272" i="43"/>
  <c r="HZ272" i="43"/>
  <c r="IA272" i="43"/>
  <c r="IB272" i="43"/>
  <c r="IC272" i="43"/>
  <c r="ID272" i="43"/>
  <c r="IE272" i="43"/>
  <c r="IF272" i="43"/>
  <c r="IG272" i="43"/>
  <c r="IH272" i="43"/>
  <c r="II272" i="43"/>
  <c r="IJ272" i="43"/>
  <c r="IK272" i="43"/>
  <c r="IL272" i="43"/>
  <c r="IM272" i="43"/>
  <c r="IN272" i="43"/>
  <c r="IO272" i="43"/>
  <c r="IP272" i="43"/>
  <c r="IQ272" i="43"/>
  <c r="IR272" i="43"/>
  <c r="IS272" i="43"/>
  <c r="IT272" i="43"/>
  <c r="IU272" i="43"/>
  <c r="IV272" i="43"/>
  <c r="A271" i="43"/>
  <c r="B271" i="43"/>
  <c r="C271" i="43"/>
  <c r="D271" i="43"/>
  <c r="E271" i="43"/>
  <c r="F271" i="43"/>
  <c r="G271" i="43"/>
  <c r="H271" i="43"/>
  <c r="I271" i="43"/>
  <c r="J271" i="43"/>
  <c r="K271" i="43"/>
  <c r="L271" i="43"/>
  <c r="M271" i="43"/>
  <c r="N271" i="43"/>
  <c r="O271" i="43"/>
  <c r="P271" i="43"/>
  <c r="Q271" i="43"/>
  <c r="R271" i="43"/>
  <c r="S271" i="43"/>
  <c r="T271" i="43"/>
  <c r="U271" i="43"/>
  <c r="V271" i="43"/>
  <c r="W271" i="43"/>
  <c r="X271" i="43"/>
  <c r="Y271" i="43"/>
  <c r="Z271" i="43"/>
  <c r="AA271" i="43"/>
  <c r="AB271" i="43"/>
  <c r="AC271" i="43"/>
  <c r="AD271" i="43"/>
  <c r="AE271" i="43"/>
  <c r="AF271" i="43"/>
  <c r="AG271" i="43"/>
  <c r="AH271" i="43"/>
  <c r="AI271" i="43"/>
  <c r="AJ271" i="43"/>
  <c r="AK271" i="43"/>
  <c r="AL271" i="43"/>
  <c r="AM271" i="43"/>
  <c r="AN271" i="43"/>
  <c r="AO271" i="43"/>
  <c r="AP271" i="43"/>
  <c r="AQ271" i="43"/>
  <c r="AR271" i="43"/>
  <c r="AS271" i="43"/>
  <c r="AT271" i="43"/>
  <c r="AU271" i="43"/>
  <c r="AV271" i="43"/>
  <c r="AW271" i="43"/>
  <c r="AX271" i="43"/>
  <c r="AY271" i="43"/>
  <c r="AZ271" i="43"/>
  <c r="BA271" i="43"/>
  <c r="BB271" i="43"/>
  <c r="BC271" i="43"/>
  <c r="BD271" i="43"/>
  <c r="BE271" i="43"/>
  <c r="BF271" i="43"/>
  <c r="BG271" i="43"/>
  <c r="BH271" i="43"/>
  <c r="BI271" i="43"/>
  <c r="BJ271" i="43"/>
  <c r="BK271" i="43"/>
  <c r="BL271" i="43"/>
  <c r="BM271" i="43"/>
  <c r="BN271" i="43"/>
  <c r="BO271" i="43"/>
  <c r="BP271" i="43"/>
  <c r="BQ271" i="43"/>
  <c r="BR271" i="43"/>
  <c r="BS271" i="43"/>
  <c r="BT271" i="43"/>
  <c r="BU271" i="43"/>
  <c r="BV271" i="43"/>
  <c r="BW271" i="43"/>
  <c r="BX271" i="43"/>
  <c r="BY271" i="43"/>
  <c r="BZ271" i="43"/>
  <c r="CA271" i="43"/>
  <c r="CB271" i="43"/>
  <c r="CC271" i="43"/>
  <c r="CD271" i="43"/>
  <c r="CE271" i="43"/>
  <c r="CF271" i="43"/>
  <c r="CG271" i="43"/>
  <c r="CH271" i="43"/>
  <c r="CI271" i="43"/>
  <c r="CJ271" i="43"/>
  <c r="CK271" i="43"/>
  <c r="CL271" i="43"/>
  <c r="CM271" i="43"/>
  <c r="CN271" i="43"/>
  <c r="CO271" i="43"/>
  <c r="CP271" i="43"/>
  <c r="CQ271" i="43"/>
  <c r="CR271" i="43"/>
  <c r="CS271" i="43"/>
  <c r="CT271" i="43"/>
  <c r="CU271" i="43"/>
  <c r="CV271" i="43"/>
  <c r="CW271" i="43"/>
  <c r="CX271" i="43"/>
  <c r="CY271" i="43"/>
  <c r="CZ271" i="43"/>
  <c r="DA271" i="43"/>
  <c r="DB271" i="43"/>
  <c r="DC271" i="43"/>
  <c r="DD271" i="43"/>
  <c r="DE271" i="43"/>
  <c r="DF271" i="43"/>
  <c r="DG271" i="43"/>
  <c r="DH271" i="43"/>
  <c r="DI271" i="43"/>
  <c r="DJ271" i="43"/>
  <c r="DK271" i="43"/>
  <c r="DL271" i="43"/>
  <c r="DM271" i="43"/>
  <c r="DN271" i="43"/>
  <c r="DO271" i="43"/>
  <c r="DP271" i="43"/>
  <c r="DQ271" i="43"/>
  <c r="DR271" i="43"/>
  <c r="DS271" i="43"/>
  <c r="DT271" i="43"/>
  <c r="DU271" i="43"/>
  <c r="DV271" i="43"/>
  <c r="DW271" i="43"/>
  <c r="DX271" i="43"/>
  <c r="DY271" i="43"/>
  <c r="DZ271" i="43"/>
  <c r="EA271" i="43"/>
  <c r="EB271" i="43"/>
  <c r="EC271" i="43"/>
  <c r="ED271" i="43"/>
  <c r="EE271" i="43"/>
  <c r="EF271" i="43"/>
  <c r="EG271" i="43"/>
  <c r="EH271" i="43"/>
  <c r="EI271" i="43"/>
  <c r="EJ271" i="43"/>
  <c r="EK271" i="43"/>
  <c r="EL271" i="43"/>
  <c r="EM271" i="43"/>
  <c r="EN271" i="43"/>
  <c r="EO271" i="43"/>
  <c r="EP271" i="43"/>
  <c r="EQ271" i="43"/>
  <c r="ER271" i="43"/>
  <c r="ES271" i="43"/>
  <c r="ET271" i="43"/>
  <c r="EU271" i="43"/>
  <c r="EV271" i="43"/>
  <c r="EW271" i="43"/>
  <c r="EX271" i="43"/>
  <c r="EY271" i="43"/>
  <c r="EZ271" i="43"/>
  <c r="FA271" i="43"/>
  <c r="FB271" i="43"/>
  <c r="FC271" i="43"/>
  <c r="FD271" i="43"/>
  <c r="FE271" i="43"/>
  <c r="FF271" i="43"/>
  <c r="FG271" i="43"/>
  <c r="FH271" i="43"/>
  <c r="FI271" i="43"/>
  <c r="FJ271" i="43"/>
  <c r="FK271" i="43"/>
  <c r="FL271" i="43"/>
  <c r="FM271" i="43"/>
  <c r="FN271" i="43"/>
  <c r="FO271" i="43"/>
  <c r="FP271" i="43"/>
  <c r="FQ271" i="43"/>
  <c r="FR271" i="43"/>
  <c r="FS271" i="43"/>
  <c r="FT271" i="43"/>
  <c r="FU271" i="43"/>
  <c r="FV271" i="43"/>
  <c r="FW271" i="43"/>
  <c r="FX271" i="43"/>
  <c r="FY271" i="43"/>
  <c r="FZ271" i="43"/>
  <c r="GA271" i="43"/>
  <c r="GB271" i="43"/>
  <c r="GC271" i="43"/>
  <c r="GD271" i="43"/>
  <c r="GE271" i="43"/>
  <c r="GF271" i="43"/>
  <c r="GG271" i="43"/>
  <c r="GH271" i="43"/>
  <c r="GI271" i="43"/>
  <c r="GJ271" i="43"/>
  <c r="GK271" i="43"/>
  <c r="GL271" i="43"/>
  <c r="GM271" i="43"/>
  <c r="GN271" i="43"/>
  <c r="GO271" i="43"/>
  <c r="GP271" i="43"/>
  <c r="GQ271" i="43"/>
  <c r="GR271" i="43"/>
  <c r="GS271" i="43"/>
  <c r="GT271" i="43"/>
  <c r="GU271" i="43"/>
  <c r="GV271" i="43"/>
  <c r="GW271" i="43"/>
  <c r="GX271" i="43"/>
  <c r="GY271" i="43"/>
  <c r="GZ271" i="43"/>
  <c r="HA271" i="43"/>
  <c r="HB271" i="43"/>
  <c r="HC271" i="43"/>
  <c r="HD271" i="43"/>
  <c r="HE271" i="43"/>
  <c r="HF271" i="43"/>
  <c r="HG271" i="43"/>
  <c r="HH271" i="43"/>
  <c r="HI271" i="43"/>
  <c r="HJ271" i="43"/>
  <c r="HK271" i="43"/>
  <c r="HL271" i="43"/>
  <c r="HM271" i="43"/>
  <c r="HN271" i="43"/>
  <c r="HO271" i="43"/>
  <c r="HP271" i="43"/>
  <c r="HQ271" i="43"/>
  <c r="HR271" i="43"/>
  <c r="HS271" i="43"/>
  <c r="HT271" i="43"/>
  <c r="HU271" i="43"/>
  <c r="HV271" i="43"/>
  <c r="HW271" i="43"/>
  <c r="HX271" i="43"/>
  <c r="HY271" i="43"/>
  <c r="HZ271" i="43"/>
  <c r="IA271" i="43"/>
  <c r="IB271" i="43"/>
  <c r="IC271" i="43"/>
  <c r="ID271" i="43"/>
  <c r="IE271" i="43"/>
  <c r="IF271" i="43"/>
  <c r="IG271" i="43"/>
  <c r="IH271" i="43"/>
  <c r="II271" i="43"/>
  <c r="IJ271" i="43"/>
  <c r="IK271" i="43"/>
  <c r="IL271" i="43"/>
  <c r="IM271" i="43"/>
  <c r="IN271" i="43"/>
  <c r="IO271" i="43"/>
  <c r="IP271" i="43"/>
  <c r="IQ271" i="43"/>
  <c r="IR271" i="43"/>
  <c r="IS271" i="43"/>
  <c r="IT271" i="43"/>
  <c r="IU271" i="43"/>
  <c r="IV271" i="43"/>
  <c r="A270" i="43"/>
  <c r="B270" i="43"/>
  <c r="C270" i="43"/>
  <c r="D270" i="43"/>
  <c r="E270" i="43"/>
  <c r="F270" i="43"/>
  <c r="G270" i="43"/>
  <c r="H270" i="43"/>
  <c r="I270" i="43"/>
  <c r="J270" i="43"/>
  <c r="K270" i="43"/>
  <c r="L270" i="43"/>
  <c r="M270" i="43"/>
  <c r="N270" i="43"/>
  <c r="O270" i="43"/>
  <c r="P270" i="43"/>
  <c r="Q270" i="43"/>
  <c r="R270" i="43"/>
  <c r="S270" i="43"/>
  <c r="T270" i="43"/>
  <c r="U270" i="43"/>
  <c r="V270" i="43"/>
  <c r="W270" i="43"/>
  <c r="X270" i="43"/>
  <c r="Y270" i="43"/>
  <c r="Z270" i="43"/>
  <c r="AA270" i="43"/>
  <c r="AB270" i="43"/>
  <c r="AC270" i="43"/>
  <c r="AD270" i="43"/>
  <c r="AE270" i="43"/>
  <c r="AF270" i="43"/>
  <c r="AG270" i="43"/>
  <c r="AH270" i="43"/>
  <c r="AI270" i="43"/>
  <c r="AJ270" i="43"/>
  <c r="AK270" i="43"/>
  <c r="AL270" i="43"/>
  <c r="AM270" i="43"/>
  <c r="AN270" i="43"/>
  <c r="AO270" i="43"/>
  <c r="AP270" i="43"/>
  <c r="AQ270" i="43"/>
  <c r="AR270" i="43"/>
  <c r="AS270" i="43"/>
  <c r="AT270" i="43"/>
  <c r="AU270" i="43"/>
  <c r="AV270" i="43"/>
  <c r="AW270" i="43"/>
  <c r="AX270" i="43"/>
  <c r="AY270" i="43"/>
  <c r="AZ270" i="43"/>
  <c r="BA270" i="43"/>
  <c r="BB270" i="43"/>
  <c r="BC270" i="43"/>
  <c r="BD270" i="43"/>
  <c r="BE270" i="43"/>
  <c r="BF270" i="43"/>
  <c r="BG270" i="43"/>
  <c r="BH270" i="43"/>
  <c r="BI270" i="43"/>
  <c r="BJ270" i="43"/>
  <c r="BK270" i="43"/>
  <c r="BL270" i="43"/>
  <c r="BM270" i="43"/>
  <c r="BN270" i="43"/>
  <c r="BO270" i="43"/>
  <c r="BP270" i="43"/>
  <c r="BQ270" i="43"/>
  <c r="BR270" i="43"/>
  <c r="BS270" i="43"/>
  <c r="BT270" i="43"/>
  <c r="BU270" i="43"/>
  <c r="BV270" i="43"/>
  <c r="BW270" i="43"/>
  <c r="BX270" i="43"/>
  <c r="BY270" i="43"/>
  <c r="BZ270" i="43"/>
  <c r="CA270" i="43"/>
  <c r="CB270" i="43"/>
  <c r="CC270" i="43"/>
  <c r="CD270" i="43"/>
  <c r="CE270" i="43"/>
  <c r="CF270" i="43"/>
  <c r="CG270" i="43"/>
  <c r="CH270" i="43"/>
  <c r="CI270" i="43"/>
  <c r="CJ270" i="43"/>
  <c r="CK270" i="43"/>
  <c r="CL270" i="43"/>
  <c r="CM270" i="43"/>
  <c r="CN270" i="43"/>
  <c r="CO270" i="43"/>
  <c r="CP270" i="43"/>
  <c r="CQ270" i="43"/>
  <c r="CR270" i="43"/>
  <c r="CS270" i="43"/>
  <c r="CT270" i="43"/>
  <c r="CU270" i="43"/>
  <c r="CV270" i="43"/>
  <c r="CW270" i="43"/>
  <c r="CX270" i="43"/>
  <c r="CY270" i="43"/>
  <c r="CZ270" i="43"/>
  <c r="DA270" i="43"/>
  <c r="DB270" i="43"/>
  <c r="DC270" i="43"/>
  <c r="DD270" i="43"/>
  <c r="DE270" i="43"/>
  <c r="DF270" i="43"/>
  <c r="DG270" i="43"/>
  <c r="DH270" i="43"/>
  <c r="DI270" i="43"/>
  <c r="DJ270" i="43"/>
  <c r="DK270" i="43"/>
  <c r="DL270" i="43"/>
  <c r="DM270" i="43"/>
  <c r="DN270" i="43"/>
  <c r="DO270" i="43"/>
  <c r="DP270" i="43"/>
  <c r="DQ270" i="43"/>
  <c r="DR270" i="43"/>
  <c r="DS270" i="43"/>
  <c r="DT270" i="43"/>
  <c r="DU270" i="43"/>
  <c r="DV270" i="43"/>
  <c r="DW270" i="43"/>
  <c r="DX270" i="43"/>
  <c r="DY270" i="43"/>
  <c r="DZ270" i="43"/>
  <c r="EA270" i="43"/>
  <c r="EB270" i="43"/>
  <c r="EC270" i="43"/>
  <c r="ED270" i="43"/>
  <c r="EE270" i="43"/>
  <c r="EF270" i="43"/>
  <c r="EG270" i="43"/>
  <c r="EH270" i="43"/>
  <c r="EI270" i="43"/>
  <c r="EJ270" i="43"/>
  <c r="EK270" i="43"/>
  <c r="EL270" i="43"/>
  <c r="EM270" i="43"/>
  <c r="EN270" i="43"/>
  <c r="EO270" i="43"/>
  <c r="EP270" i="43"/>
  <c r="EQ270" i="43"/>
  <c r="ER270" i="43"/>
  <c r="ES270" i="43"/>
  <c r="ET270" i="43"/>
  <c r="EU270" i="43"/>
  <c r="EV270" i="43"/>
  <c r="EW270" i="43"/>
  <c r="EX270" i="43"/>
  <c r="EY270" i="43"/>
  <c r="EZ270" i="43"/>
  <c r="FA270" i="43"/>
  <c r="FB270" i="43"/>
  <c r="FC270" i="43"/>
  <c r="FD270" i="43"/>
  <c r="FE270" i="43"/>
  <c r="FF270" i="43"/>
  <c r="FG270" i="43"/>
  <c r="FH270" i="43"/>
  <c r="FI270" i="43"/>
  <c r="FJ270" i="43"/>
  <c r="FK270" i="43"/>
  <c r="FL270" i="43"/>
  <c r="FM270" i="43"/>
  <c r="FN270" i="43"/>
  <c r="FO270" i="43"/>
  <c r="FP270" i="43"/>
  <c r="FQ270" i="43"/>
  <c r="FR270" i="43"/>
  <c r="FS270" i="43"/>
  <c r="FT270" i="43"/>
  <c r="FU270" i="43"/>
  <c r="FV270" i="43"/>
  <c r="FW270" i="43"/>
  <c r="FX270" i="43"/>
  <c r="FY270" i="43"/>
  <c r="FZ270" i="43"/>
  <c r="GA270" i="43"/>
  <c r="GB270" i="43"/>
  <c r="GC270" i="43"/>
  <c r="GD270" i="43"/>
  <c r="GE270" i="43"/>
  <c r="GF270" i="43"/>
  <c r="GG270" i="43"/>
  <c r="GH270" i="43"/>
  <c r="GI270" i="43"/>
  <c r="GJ270" i="43"/>
  <c r="GK270" i="43"/>
  <c r="GL270" i="43"/>
  <c r="GM270" i="43"/>
  <c r="GN270" i="43"/>
  <c r="GO270" i="43"/>
  <c r="GP270" i="43"/>
  <c r="GQ270" i="43"/>
  <c r="GR270" i="43"/>
  <c r="GS270" i="43"/>
  <c r="GT270" i="43"/>
  <c r="GU270" i="43"/>
  <c r="GV270" i="43"/>
  <c r="GW270" i="43"/>
  <c r="GX270" i="43"/>
  <c r="GY270" i="43"/>
  <c r="GZ270" i="43"/>
  <c r="HA270" i="43"/>
  <c r="HB270" i="43"/>
  <c r="HC270" i="43"/>
  <c r="HD270" i="43"/>
  <c r="HE270" i="43"/>
  <c r="HF270" i="43"/>
  <c r="HG270" i="43"/>
  <c r="HH270" i="43"/>
  <c r="HI270" i="43"/>
  <c r="HJ270" i="43"/>
  <c r="HK270" i="43"/>
  <c r="HL270" i="43"/>
  <c r="HM270" i="43"/>
  <c r="HN270" i="43"/>
  <c r="HO270" i="43"/>
  <c r="HP270" i="43"/>
  <c r="HQ270" i="43"/>
  <c r="HR270" i="43"/>
  <c r="HS270" i="43"/>
  <c r="HT270" i="43"/>
  <c r="HU270" i="43"/>
  <c r="HV270" i="43"/>
  <c r="HW270" i="43"/>
  <c r="HX270" i="43"/>
  <c r="HY270" i="43"/>
  <c r="HZ270" i="43"/>
  <c r="IA270" i="43"/>
  <c r="IB270" i="43"/>
  <c r="IC270" i="43"/>
  <c r="ID270" i="43"/>
  <c r="IE270" i="43"/>
  <c r="IF270" i="43"/>
  <c r="IG270" i="43"/>
  <c r="IH270" i="43"/>
  <c r="II270" i="43"/>
  <c r="IJ270" i="43"/>
  <c r="IK270" i="43"/>
  <c r="IL270" i="43"/>
  <c r="IM270" i="43"/>
  <c r="IN270" i="43"/>
  <c r="IO270" i="43"/>
  <c r="IP270" i="43"/>
  <c r="IQ270" i="43"/>
  <c r="IR270" i="43"/>
  <c r="IS270" i="43"/>
  <c r="IT270" i="43"/>
  <c r="IU270" i="43"/>
  <c r="IV270" i="43"/>
  <c r="A269" i="43"/>
  <c r="B269" i="43"/>
  <c r="C269" i="43"/>
  <c r="D269" i="43"/>
  <c r="E269" i="43"/>
  <c r="F269" i="43"/>
  <c r="G269" i="43"/>
  <c r="H269" i="43"/>
  <c r="I269" i="43"/>
  <c r="J269" i="43"/>
  <c r="K269" i="43"/>
  <c r="L269" i="43"/>
  <c r="M269" i="43"/>
  <c r="N269" i="43"/>
  <c r="O269" i="43"/>
  <c r="P269" i="43"/>
  <c r="Q269" i="43"/>
  <c r="R269" i="43"/>
  <c r="S269" i="43"/>
  <c r="T269" i="43"/>
  <c r="U269" i="43"/>
  <c r="V269" i="43"/>
  <c r="W269" i="43"/>
  <c r="X269" i="43"/>
  <c r="Y269" i="43"/>
  <c r="Z269" i="43"/>
  <c r="AA269" i="43"/>
  <c r="AB269" i="43"/>
  <c r="AC269" i="43"/>
  <c r="AD269" i="43"/>
  <c r="AE269" i="43"/>
  <c r="AF269" i="43"/>
  <c r="AG269" i="43"/>
  <c r="AH269" i="43"/>
  <c r="AI269" i="43"/>
  <c r="AJ269" i="43"/>
  <c r="AK269" i="43"/>
  <c r="AL269" i="43"/>
  <c r="AM269" i="43"/>
  <c r="AN269" i="43"/>
  <c r="AO269" i="43"/>
  <c r="AP269" i="43"/>
  <c r="AQ269" i="43"/>
  <c r="AR269" i="43"/>
  <c r="AS269" i="43"/>
  <c r="AT269" i="43"/>
  <c r="AU269" i="43"/>
  <c r="AV269" i="43"/>
  <c r="AW269" i="43"/>
  <c r="AX269" i="43"/>
  <c r="AY269" i="43"/>
  <c r="AZ269" i="43"/>
  <c r="BA269" i="43"/>
  <c r="BB269" i="43"/>
  <c r="BC269" i="43"/>
  <c r="BD269" i="43"/>
  <c r="BE269" i="43"/>
  <c r="BF269" i="43"/>
  <c r="BG269" i="43"/>
  <c r="BH269" i="43"/>
  <c r="BI269" i="43"/>
  <c r="BJ269" i="43"/>
  <c r="BK269" i="43"/>
  <c r="BL269" i="43"/>
  <c r="BM269" i="43"/>
  <c r="BN269" i="43"/>
  <c r="BO269" i="43"/>
  <c r="BP269" i="43"/>
  <c r="BQ269" i="43"/>
  <c r="BR269" i="43"/>
  <c r="BS269" i="43"/>
  <c r="BT269" i="43"/>
  <c r="BU269" i="43"/>
  <c r="BV269" i="43"/>
  <c r="BW269" i="43"/>
  <c r="BX269" i="43"/>
  <c r="BY269" i="43"/>
  <c r="BZ269" i="43"/>
  <c r="CA269" i="43"/>
  <c r="CB269" i="43"/>
  <c r="CC269" i="43"/>
  <c r="CD269" i="43"/>
  <c r="CE269" i="43"/>
  <c r="CF269" i="43"/>
  <c r="CG269" i="43"/>
  <c r="CH269" i="43"/>
  <c r="CI269" i="43"/>
  <c r="CJ269" i="43"/>
  <c r="CK269" i="43"/>
  <c r="CL269" i="43"/>
  <c r="CM269" i="43"/>
  <c r="CN269" i="43"/>
  <c r="CO269" i="43"/>
  <c r="CP269" i="43"/>
  <c r="CQ269" i="43"/>
  <c r="CR269" i="43"/>
  <c r="CS269" i="43"/>
  <c r="CT269" i="43"/>
  <c r="CU269" i="43"/>
  <c r="CV269" i="43"/>
  <c r="CW269" i="43"/>
  <c r="CX269" i="43"/>
  <c r="CY269" i="43"/>
  <c r="CZ269" i="43"/>
  <c r="DA269" i="43"/>
  <c r="DB269" i="43"/>
  <c r="DC269" i="43"/>
  <c r="DD269" i="43"/>
  <c r="DE269" i="43"/>
  <c r="DF269" i="43"/>
  <c r="DG269" i="43"/>
  <c r="DH269" i="43"/>
  <c r="DI269" i="43"/>
  <c r="DJ269" i="43"/>
  <c r="DK269" i="43"/>
  <c r="DL269" i="43"/>
  <c r="DM269" i="43"/>
  <c r="DN269" i="43"/>
  <c r="DO269" i="43"/>
  <c r="DP269" i="43"/>
  <c r="DQ269" i="43"/>
  <c r="DR269" i="43"/>
  <c r="DS269" i="43"/>
  <c r="DT269" i="43"/>
  <c r="DU269" i="43"/>
  <c r="DV269" i="43"/>
  <c r="DW269" i="43"/>
  <c r="DX269" i="43"/>
  <c r="DY269" i="43"/>
  <c r="DZ269" i="43"/>
  <c r="EA269" i="43"/>
  <c r="EB269" i="43"/>
  <c r="EC269" i="43"/>
  <c r="ED269" i="43"/>
  <c r="EE269" i="43"/>
  <c r="EF269" i="43"/>
  <c r="EG269" i="43"/>
  <c r="EH269" i="43"/>
  <c r="EI269" i="43"/>
  <c r="EJ269" i="43"/>
  <c r="EK269" i="43"/>
  <c r="EL269" i="43"/>
  <c r="EM269" i="43"/>
  <c r="EN269" i="43"/>
  <c r="EO269" i="43"/>
  <c r="EP269" i="43"/>
  <c r="EQ269" i="43"/>
  <c r="ER269" i="43"/>
  <c r="ES269" i="43"/>
  <c r="ET269" i="43"/>
  <c r="EU269" i="43"/>
  <c r="EV269" i="43"/>
  <c r="EW269" i="43"/>
  <c r="EX269" i="43"/>
  <c r="EY269" i="43"/>
  <c r="EZ269" i="43"/>
  <c r="FA269" i="43"/>
  <c r="FB269" i="43"/>
  <c r="FC269" i="43"/>
  <c r="FD269" i="43"/>
  <c r="FE269" i="43"/>
  <c r="FF269" i="43"/>
  <c r="FG269" i="43"/>
  <c r="FH269" i="43"/>
  <c r="FI269" i="43"/>
  <c r="FJ269" i="43"/>
  <c r="FK269" i="43"/>
  <c r="FL269" i="43"/>
  <c r="FM269" i="43"/>
  <c r="FN269" i="43"/>
  <c r="FO269" i="43"/>
  <c r="FP269" i="43"/>
  <c r="FQ269" i="43"/>
  <c r="FR269" i="43"/>
  <c r="FS269" i="43"/>
  <c r="FT269" i="43"/>
  <c r="FU269" i="43"/>
  <c r="FV269" i="43"/>
  <c r="FW269" i="43"/>
  <c r="FX269" i="43"/>
  <c r="FY269" i="43"/>
  <c r="FZ269" i="43"/>
  <c r="GA269" i="43"/>
  <c r="GB269" i="43"/>
  <c r="GC269" i="43"/>
  <c r="GD269" i="43"/>
  <c r="GE269" i="43"/>
  <c r="GF269" i="43"/>
  <c r="GG269" i="43"/>
  <c r="GH269" i="43"/>
  <c r="GI269" i="43"/>
  <c r="GJ269" i="43"/>
  <c r="GK269" i="43"/>
  <c r="GL269" i="43"/>
  <c r="GM269" i="43"/>
  <c r="GN269" i="43"/>
  <c r="GO269" i="43"/>
  <c r="GP269" i="43"/>
  <c r="GQ269" i="43"/>
  <c r="GR269" i="43"/>
  <c r="GS269" i="43"/>
  <c r="GT269" i="43"/>
  <c r="GU269" i="43"/>
  <c r="GV269" i="43"/>
  <c r="GW269" i="43"/>
  <c r="GX269" i="43"/>
  <c r="GY269" i="43"/>
  <c r="GZ269" i="43"/>
  <c r="HA269" i="43"/>
  <c r="HB269" i="43"/>
  <c r="HC269" i="43"/>
  <c r="HD269" i="43"/>
  <c r="HE269" i="43"/>
  <c r="HF269" i="43"/>
  <c r="HG269" i="43"/>
  <c r="HH269" i="43"/>
  <c r="HI269" i="43"/>
  <c r="HJ269" i="43"/>
  <c r="HK269" i="43"/>
  <c r="HL269" i="43"/>
  <c r="HM269" i="43"/>
  <c r="HN269" i="43"/>
  <c r="HO269" i="43"/>
  <c r="HP269" i="43"/>
  <c r="HQ269" i="43"/>
  <c r="HR269" i="43"/>
  <c r="HS269" i="43"/>
  <c r="HT269" i="43"/>
  <c r="HU269" i="43"/>
  <c r="HV269" i="43"/>
  <c r="HW269" i="43"/>
  <c r="HX269" i="43"/>
  <c r="HY269" i="43"/>
  <c r="HZ269" i="43"/>
  <c r="IA269" i="43"/>
  <c r="IB269" i="43"/>
  <c r="IC269" i="43"/>
  <c r="ID269" i="43"/>
  <c r="IE269" i="43"/>
  <c r="IF269" i="43"/>
  <c r="IG269" i="43"/>
  <c r="IH269" i="43"/>
  <c r="II269" i="43"/>
  <c r="IJ269" i="43"/>
  <c r="IK269" i="43"/>
  <c r="IL269" i="43"/>
  <c r="IM269" i="43"/>
  <c r="IN269" i="43"/>
  <c r="IO269" i="43"/>
  <c r="IP269" i="43"/>
  <c r="IQ269" i="43"/>
  <c r="IR269" i="43"/>
  <c r="IS269" i="43"/>
  <c r="IT269" i="43"/>
  <c r="IU269" i="43"/>
  <c r="IV269" i="43"/>
  <c r="A268" i="43"/>
  <c r="B268" i="43"/>
  <c r="C268" i="43"/>
  <c r="D268" i="43"/>
  <c r="E268" i="43"/>
  <c r="F268" i="43"/>
  <c r="G268" i="43"/>
  <c r="H268" i="43"/>
  <c r="I268" i="43"/>
  <c r="J268" i="43"/>
  <c r="K268" i="43"/>
  <c r="L268" i="43"/>
  <c r="M268" i="43"/>
  <c r="N268" i="43"/>
  <c r="O268" i="43"/>
  <c r="P268" i="43"/>
  <c r="Q268" i="43"/>
  <c r="R268" i="43"/>
  <c r="S268" i="43"/>
  <c r="T268" i="43"/>
  <c r="U268" i="43"/>
  <c r="V268" i="43"/>
  <c r="W268" i="43"/>
  <c r="X268" i="43"/>
  <c r="Y268" i="43"/>
  <c r="Z268" i="43"/>
  <c r="AA268" i="43"/>
  <c r="AB268" i="43"/>
  <c r="AC268" i="43"/>
  <c r="AD268" i="43"/>
  <c r="AE268" i="43"/>
  <c r="AF268" i="43"/>
  <c r="AG268" i="43"/>
  <c r="AH268" i="43"/>
  <c r="AI268" i="43"/>
  <c r="AJ268" i="43"/>
  <c r="AK268" i="43"/>
  <c r="AL268" i="43"/>
  <c r="AM268" i="43"/>
  <c r="AN268" i="43"/>
  <c r="AO268" i="43"/>
  <c r="AP268" i="43"/>
  <c r="AQ268" i="43"/>
  <c r="AR268" i="43"/>
  <c r="AS268" i="43"/>
  <c r="AT268" i="43"/>
  <c r="AU268" i="43"/>
  <c r="AV268" i="43"/>
  <c r="AW268" i="43"/>
  <c r="AX268" i="43"/>
  <c r="AY268" i="43"/>
  <c r="AZ268" i="43"/>
  <c r="BA268" i="43"/>
  <c r="BB268" i="43"/>
  <c r="BC268" i="43"/>
  <c r="BD268" i="43"/>
  <c r="BE268" i="43"/>
  <c r="BF268" i="43"/>
  <c r="BG268" i="43"/>
  <c r="BH268" i="43"/>
  <c r="BI268" i="43"/>
  <c r="BJ268" i="43"/>
  <c r="BK268" i="43"/>
  <c r="BL268" i="43"/>
  <c r="BM268" i="43"/>
  <c r="BN268" i="43"/>
  <c r="BO268" i="43"/>
  <c r="BP268" i="43"/>
  <c r="BQ268" i="43"/>
  <c r="BR268" i="43"/>
  <c r="BS268" i="43"/>
  <c r="BT268" i="43"/>
  <c r="BU268" i="43"/>
  <c r="BV268" i="43"/>
  <c r="BW268" i="43"/>
  <c r="BX268" i="43"/>
  <c r="BY268" i="43"/>
  <c r="BZ268" i="43"/>
  <c r="CA268" i="43"/>
  <c r="CB268" i="43"/>
  <c r="CC268" i="43"/>
  <c r="CD268" i="43"/>
  <c r="CE268" i="43"/>
  <c r="CF268" i="43"/>
  <c r="CG268" i="43"/>
  <c r="CH268" i="43"/>
  <c r="CI268" i="43"/>
  <c r="CJ268" i="43"/>
  <c r="CK268" i="43"/>
  <c r="CL268" i="43"/>
  <c r="CM268" i="43"/>
  <c r="CN268" i="43"/>
  <c r="CO268" i="43"/>
  <c r="CP268" i="43"/>
  <c r="CQ268" i="43"/>
  <c r="CR268" i="43"/>
  <c r="CS268" i="43"/>
  <c r="CT268" i="43"/>
  <c r="CU268" i="43"/>
  <c r="CV268" i="43"/>
  <c r="CW268" i="43"/>
  <c r="CX268" i="43"/>
  <c r="CY268" i="43"/>
  <c r="CZ268" i="43"/>
  <c r="DA268" i="43"/>
  <c r="DB268" i="43"/>
  <c r="DC268" i="43"/>
  <c r="DD268" i="43"/>
  <c r="DE268" i="43"/>
  <c r="DF268" i="43"/>
  <c r="DG268" i="43"/>
  <c r="DH268" i="43"/>
  <c r="DI268" i="43"/>
  <c r="DJ268" i="43"/>
  <c r="DK268" i="43"/>
  <c r="DL268" i="43"/>
  <c r="DM268" i="43"/>
  <c r="DN268" i="43"/>
  <c r="DO268" i="43"/>
  <c r="DP268" i="43"/>
  <c r="DQ268" i="43"/>
  <c r="DR268" i="43"/>
  <c r="DS268" i="43"/>
  <c r="DT268" i="43"/>
  <c r="DU268" i="43"/>
  <c r="DV268" i="43"/>
  <c r="DW268" i="43"/>
  <c r="DX268" i="43"/>
  <c r="DY268" i="43"/>
  <c r="DZ268" i="43"/>
  <c r="EA268" i="43"/>
  <c r="EB268" i="43"/>
  <c r="EC268" i="43"/>
  <c r="ED268" i="43"/>
  <c r="EE268" i="43"/>
  <c r="EF268" i="43"/>
  <c r="EG268" i="43"/>
  <c r="EH268" i="43"/>
  <c r="EI268" i="43"/>
  <c r="EJ268" i="43"/>
  <c r="EK268" i="43"/>
  <c r="EL268" i="43"/>
  <c r="EM268" i="43"/>
  <c r="EN268" i="43"/>
  <c r="EO268" i="43"/>
  <c r="EP268" i="43"/>
  <c r="EQ268" i="43"/>
  <c r="ER268" i="43"/>
  <c r="ES268" i="43"/>
  <c r="ET268" i="43"/>
  <c r="EU268" i="43"/>
  <c r="EV268" i="43"/>
  <c r="EW268" i="43"/>
  <c r="EX268" i="43"/>
  <c r="EY268" i="43"/>
  <c r="EZ268" i="43"/>
  <c r="FA268" i="43"/>
  <c r="FB268" i="43"/>
  <c r="FC268" i="43"/>
  <c r="FD268" i="43"/>
  <c r="FE268" i="43"/>
  <c r="FF268" i="43"/>
  <c r="FG268" i="43"/>
  <c r="FH268" i="43"/>
  <c r="FI268" i="43"/>
  <c r="FJ268" i="43"/>
  <c r="FK268" i="43"/>
  <c r="FL268" i="43"/>
  <c r="FM268" i="43"/>
  <c r="FN268" i="43"/>
  <c r="FO268" i="43"/>
  <c r="FP268" i="43"/>
  <c r="FQ268" i="43"/>
  <c r="FR268" i="43"/>
  <c r="FS268" i="43"/>
  <c r="FT268" i="43"/>
  <c r="FU268" i="43"/>
  <c r="FV268" i="43"/>
  <c r="FW268" i="43"/>
  <c r="FX268" i="43"/>
  <c r="FY268" i="43"/>
  <c r="FZ268" i="43"/>
  <c r="GA268" i="43"/>
  <c r="GB268" i="43"/>
  <c r="GC268" i="43"/>
  <c r="GD268" i="43"/>
  <c r="GE268" i="43"/>
  <c r="GF268" i="43"/>
  <c r="GG268" i="43"/>
  <c r="GH268" i="43"/>
  <c r="GI268" i="43"/>
  <c r="GJ268" i="43"/>
  <c r="GK268" i="43"/>
  <c r="GL268" i="43"/>
  <c r="GM268" i="43"/>
  <c r="GN268" i="43"/>
  <c r="GO268" i="43"/>
  <c r="GP268" i="43"/>
  <c r="GQ268" i="43"/>
  <c r="GR268" i="43"/>
  <c r="GS268" i="43"/>
  <c r="GT268" i="43"/>
  <c r="GU268" i="43"/>
  <c r="GV268" i="43"/>
  <c r="GW268" i="43"/>
  <c r="GX268" i="43"/>
  <c r="GY268" i="43"/>
  <c r="GZ268" i="43"/>
  <c r="HA268" i="43"/>
  <c r="HB268" i="43"/>
  <c r="HC268" i="43"/>
  <c r="HD268" i="43"/>
  <c r="HE268" i="43"/>
  <c r="HF268" i="43"/>
  <c r="HG268" i="43"/>
  <c r="HH268" i="43"/>
  <c r="HI268" i="43"/>
  <c r="HJ268" i="43"/>
  <c r="HK268" i="43"/>
  <c r="HL268" i="43"/>
  <c r="HM268" i="43"/>
  <c r="HN268" i="43"/>
  <c r="HO268" i="43"/>
  <c r="HP268" i="43"/>
  <c r="HQ268" i="43"/>
  <c r="HR268" i="43"/>
  <c r="HS268" i="43"/>
  <c r="HT268" i="43"/>
  <c r="HU268" i="43"/>
  <c r="HV268" i="43"/>
  <c r="HW268" i="43"/>
  <c r="HX268" i="43"/>
  <c r="HY268" i="43"/>
  <c r="HZ268" i="43"/>
  <c r="IA268" i="43"/>
  <c r="IB268" i="43"/>
  <c r="IC268" i="43"/>
  <c r="ID268" i="43"/>
  <c r="IE268" i="43"/>
  <c r="IF268" i="43"/>
  <c r="IG268" i="43"/>
  <c r="IH268" i="43"/>
  <c r="II268" i="43"/>
  <c r="IJ268" i="43"/>
  <c r="IK268" i="43"/>
  <c r="IL268" i="43"/>
  <c r="IM268" i="43"/>
  <c r="IN268" i="43"/>
  <c r="IO268" i="43"/>
  <c r="IP268" i="43"/>
  <c r="IQ268" i="43"/>
  <c r="IR268" i="43"/>
  <c r="IS268" i="43"/>
  <c r="IT268" i="43"/>
  <c r="IU268" i="43"/>
  <c r="IV268" i="43"/>
  <c r="A267" i="43"/>
  <c r="B267" i="43"/>
  <c r="C267" i="43"/>
  <c r="D267" i="43"/>
  <c r="E267" i="43"/>
  <c r="F267" i="43"/>
  <c r="G267" i="43"/>
  <c r="H267" i="43"/>
  <c r="I267" i="43"/>
  <c r="J267" i="43"/>
  <c r="K267" i="43"/>
  <c r="L267" i="43"/>
  <c r="M267" i="43"/>
  <c r="N267" i="43"/>
  <c r="O267" i="43"/>
  <c r="P267" i="43"/>
  <c r="Q267" i="43"/>
  <c r="R267" i="43"/>
  <c r="S267" i="43"/>
  <c r="T267" i="43"/>
  <c r="U267" i="43"/>
  <c r="V267" i="43"/>
  <c r="W267" i="43"/>
  <c r="X267" i="43"/>
  <c r="Y267" i="43"/>
  <c r="Z267" i="43"/>
  <c r="AA267" i="43"/>
  <c r="AB267" i="43"/>
  <c r="AC267" i="43"/>
  <c r="AD267" i="43"/>
  <c r="AE267" i="43"/>
  <c r="AF267" i="43"/>
  <c r="AG267" i="43"/>
  <c r="AH267" i="43"/>
  <c r="AI267" i="43"/>
  <c r="AJ267" i="43"/>
  <c r="AK267" i="43"/>
  <c r="AL267" i="43"/>
  <c r="AM267" i="43"/>
  <c r="AN267" i="43"/>
  <c r="AO267" i="43"/>
  <c r="AP267" i="43"/>
  <c r="AQ267" i="43"/>
  <c r="AR267" i="43"/>
  <c r="AS267" i="43"/>
  <c r="AT267" i="43"/>
  <c r="AU267" i="43"/>
  <c r="AV267" i="43"/>
  <c r="AW267" i="43"/>
  <c r="AX267" i="43"/>
  <c r="AY267" i="43"/>
  <c r="AZ267" i="43"/>
  <c r="BA267" i="43"/>
  <c r="BB267" i="43"/>
  <c r="BC267" i="43"/>
  <c r="BD267" i="43"/>
  <c r="BE267" i="43"/>
  <c r="BF267" i="43"/>
  <c r="BG267" i="43"/>
  <c r="BH267" i="43"/>
  <c r="BI267" i="43"/>
  <c r="BJ267" i="43"/>
  <c r="BK267" i="43"/>
  <c r="BL267" i="43"/>
  <c r="BM267" i="43"/>
  <c r="BN267" i="43"/>
  <c r="BO267" i="43"/>
  <c r="BP267" i="43"/>
  <c r="BQ267" i="43"/>
  <c r="BR267" i="43"/>
  <c r="BS267" i="43"/>
  <c r="BT267" i="43"/>
  <c r="BU267" i="43"/>
  <c r="BV267" i="43"/>
  <c r="BW267" i="43"/>
  <c r="BX267" i="43"/>
  <c r="BY267" i="43"/>
  <c r="BZ267" i="43"/>
  <c r="CA267" i="43"/>
  <c r="CB267" i="43"/>
  <c r="CC267" i="43"/>
  <c r="CD267" i="43"/>
  <c r="CE267" i="43"/>
  <c r="CF267" i="43"/>
  <c r="CG267" i="43"/>
  <c r="CH267" i="43"/>
  <c r="CI267" i="43"/>
  <c r="CJ267" i="43"/>
  <c r="CK267" i="43"/>
  <c r="CL267" i="43"/>
  <c r="CM267" i="43"/>
  <c r="CN267" i="43"/>
  <c r="CO267" i="43"/>
  <c r="CP267" i="43"/>
  <c r="CQ267" i="43"/>
  <c r="CR267" i="43"/>
  <c r="CS267" i="43"/>
  <c r="CT267" i="43"/>
  <c r="CU267" i="43"/>
  <c r="CV267" i="43"/>
  <c r="CW267" i="43"/>
  <c r="CX267" i="43"/>
  <c r="CY267" i="43"/>
  <c r="CZ267" i="43"/>
  <c r="DA267" i="43"/>
  <c r="DB267" i="43"/>
  <c r="DC267" i="43"/>
  <c r="DD267" i="43"/>
  <c r="DE267" i="43"/>
  <c r="DF267" i="43"/>
  <c r="DG267" i="43"/>
  <c r="DH267" i="43"/>
  <c r="DI267" i="43"/>
  <c r="DJ267" i="43"/>
  <c r="DK267" i="43"/>
  <c r="DL267" i="43"/>
  <c r="DM267" i="43"/>
  <c r="DN267" i="43"/>
  <c r="DO267" i="43"/>
  <c r="DP267" i="43"/>
  <c r="DQ267" i="43"/>
  <c r="DR267" i="43"/>
  <c r="DS267" i="43"/>
  <c r="DT267" i="43"/>
  <c r="DU267" i="43"/>
  <c r="DV267" i="43"/>
  <c r="DW267" i="43"/>
  <c r="DX267" i="43"/>
  <c r="DY267" i="43"/>
  <c r="DZ267" i="43"/>
  <c r="EA267" i="43"/>
  <c r="EB267" i="43"/>
  <c r="EC267" i="43"/>
  <c r="ED267" i="43"/>
  <c r="EE267" i="43"/>
  <c r="EF267" i="43"/>
  <c r="EG267" i="43"/>
  <c r="EH267" i="43"/>
  <c r="EI267" i="43"/>
  <c r="EJ267" i="43"/>
  <c r="EK267" i="43"/>
  <c r="EL267" i="43"/>
  <c r="EM267" i="43"/>
  <c r="EN267" i="43"/>
  <c r="EO267" i="43"/>
  <c r="EP267" i="43"/>
  <c r="EQ267" i="43"/>
  <c r="ER267" i="43"/>
  <c r="ES267" i="43"/>
  <c r="ET267" i="43"/>
  <c r="EU267" i="43"/>
  <c r="EV267" i="43"/>
  <c r="EW267" i="43"/>
  <c r="EX267" i="43"/>
  <c r="EY267" i="43"/>
  <c r="EZ267" i="43"/>
  <c r="FA267" i="43"/>
  <c r="FB267" i="43"/>
  <c r="FC267" i="43"/>
  <c r="FD267" i="43"/>
  <c r="FE267" i="43"/>
  <c r="FF267" i="43"/>
  <c r="FG267" i="43"/>
  <c r="FH267" i="43"/>
  <c r="FI267" i="43"/>
  <c r="FJ267" i="43"/>
  <c r="FK267" i="43"/>
  <c r="FL267" i="43"/>
  <c r="FM267" i="43"/>
  <c r="FN267" i="43"/>
  <c r="FO267" i="43"/>
  <c r="FP267" i="43"/>
  <c r="FQ267" i="43"/>
  <c r="FR267" i="43"/>
  <c r="FS267" i="43"/>
  <c r="FT267" i="43"/>
  <c r="FU267" i="43"/>
  <c r="FV267" i="43"/>
  <c r="FW267" i="43"/>
  <c r="FX267" i="43"/>
  <c r="FY267" i="43"/>
  <c r="FZ267" i="43"/>
  <c r="GA267" i="43"/>
  <c r="GB267" i="43"/>
  <c r="GC267" i="43"/>
  <c r="GD267" i="43"/>
  <c r="GE267" i="43"/>
  <c r="GF267" i="43"/>
  <c r="GG267" i="43"/>
  <c r="GH267" i="43"/>
  <c r="GI267" i="43"/>
  <c r="GJ267" i="43"/>
  <c r="GK267" i="43"/>
  <c r="GL267" i="43"/>
  <c r="GM267" i="43"/>
  <c r="GN267" i="43"/>
  <c r="GO267" i="43"/>
  <c r="GP267" i="43"/>
  <c r="GQ267" i="43"/>
  <c r="GR267" i="43"/>
  <c r="GS267" i="43"/>
  <c r="GT267" i="43"/>
  <c r="GU267" i="43"/>
  <c r="GV267" i="43"/>
  <c r="GW267" i="43"/>
  <c r="GX267" i="43"/>
  <c r="GY267" i="43"/>
  <c r="GZ267" i="43"/>
  <c r="HA267" i="43"/>
  <c r="HB267" i="43"/>
  <c r="HC267" i="43"/>
  <c r="HD267" i="43"/>
  <c r="HE267" i="43"/>
  <c r="HF267" i="43"/>
  <c r="HG267" i="43"/>
  <c r="HH267" i="43"/>
  <c r="HI267" i="43"/>
  <c r="HJ267" i="43"/>
  <c r="HK267" i="43"/>
  <c r="HL267" i="43"/>
  <c r="HM267" i="43"/>
  <c r="HN267" i="43"/>
  <c r="HO267" i="43"/>
  <c r="HP267" i="43"/>
  <c r="HQ267" i="43"/>
  <c r="HR267" i="43"/>
  <c r="HS267" i="43"/>
  <c r="HT267" i="43"/>
  <c r="HU267" i="43"/>
  <c r="HV267" i="43"/>
  <c r="HW267" i="43"/>
  <c r="HX267" i="43"/>
  <c r="HY267" i="43"/>
  <c r="HZ267" i="43"/>
  <c r="IA267" i="43"/>
  <c r="IB267" i="43"/>
  <c r="IC267" i="43"/>
  <c r="ID267" i="43"/>
  <c r="IE267" i="43"/>
  <c r="IF267" i="43"/>
  <c r="IG267" i="43"/>
  <c r="IH267" i="43"/>
  <c r="II267" i="43"/>
  <c r="IJ267" i="43"/>
  <c r="IK267" i="43"/>
  <c r="IL267" i="43"/>
  <c r="IM267" i="43"/>
  <c r="IN267" i="43"/>
  <c r="IO267" i="43"/>
  <c r="IP267" i="43"/>
  <c r="IQ267" i="43"/>
  <c r="IR267" i="43"/>
  <c r="IS267" i="43"/>
  <c r="IT267" i="43"/>
  <c r="IU267" i="43"/>
  <c r="IV267" i="43"/>
  <c r="A266" i="43"/>
  <c r="B266" i="43"/>
  <c r="C266" i="43"/>
  <c r="D266" i="43"/>
  <c r="E266" i="43"/>
  <c r="F266" i="43"/>
  <c r="G266" i="43"/>
  <c r="H266" i="43"/>
  <c r="I266" i="43"/>
  <c r="J266" i="43"/>
  <c r="K266" i="43"/>
  <c r="L266" i="43"/>
  <c r="M266" i="43"/>
  <c r="N266" i="43"/>
  <c r="O266" i="43"/>
  <c r="P266" i="43"/>
  <c r="Q266" i="43"/>
  <c r="R266" i="43"/>
  <c r="S266" i="43"/>
  <c r="T266" i="43"/>
  <c r="U266" i="43"/>
  <c r="V266" i="43"/>
  <c r="W266" i="43"/>
  <c r="X266" i="43"/>
  <c r="Y266" i="43"/>
  <c r="Z266" i="43"/>
  <c r="AA266" i="43"/>
  <c r="AB266" i="43"/>
  <c r="AC266" i="43"/>
  <c r="AD266" i="43"/>
  <c r="AE266" i="43"/>
  <c r="AF266" i="43"/>
  <c r="AG266" i="43"/>
  <c r="AH266" i="43"/>
  <c r="AI266" i="43"/>
  <c r="AJ266" i="43"/>
  <c r="AK266" i="43"/>
  <c r="AL266" i="43"/>
  <c r="AM266" i="43"/>
  <c r="AN266" i="43"/>
  <c r="AO266" i="43"/>
  <c r="AP266" i="43"/>
  <c r="AQ266" i="43"/>
  <c r="AR266" i="43"/>
  <c r="AS266" i="43"/>
  <c r="AT266" i="43"/>
  <c r="AU266" i="43"/>
  <c r="AV266" i="43"/>
  <c r="AW266" i="43"/>
  <c r="AX266" i="43"/>
  <c r="AY266" i="43"/>
  <c r="AZ266" i="43"/>
  <c r="BA266" i="43"/>
  <c r="BB266" i="43"/>
  <c r="BC266" i="43"/>
  <c r="BD266" i="43"/>
  <c r="BE266" i="43"/>
  <c r="BF266" i="43"/>
  <c r="BG266" i="43"/>
  <c r="BH266" i="43"/>
  <c r="BI266" i="43"/>
  <c r="BJ266" i="43"/>
  <c r="BK266" i="43"/>
  <c r="BL266" i="43"/>
  <c r="BM266" i="43"/>
  <c r="BN266" i="43"/>
  <c r="BO266" i="43"/>
  <c r="BP266" i="43"/>
  <c r="BQ266" i="43"/>
  <c r="BR266" i="43"/>
  <c r="BS266" i="43"/>
  <c r="BT266" i="43"/>
  <c r="BU266" i="43"/>
  <c r="BV266" i="43"/>
  <c r="BW266" i="43"/>
  <c r="BX266" i="43"/>
  <c r="BY266" i="43"/>
  <c r="BZ266" i="43"/>
  <c r="CA266" i="43"/>
  <c r="CB266" i="43"/>
  <c r="CC266" i="43"/>
  <c r="CD266" i="43"/>
  <c r="CE266" i="43"/>
  <c r="CF266" i="43"/>
  <c r="CG266" i="43"/>
  <c r="CH266" i="43"/>
  <c r="CI266" i="43"/>
  <c r="CJ266" i="43"/>
  <c r="CK266" i="43"/>
  <c r="CL266" i="43"/>
  <c r="CM266" i="43"/>
  <c r="CN266" i="43"/>
  <c r="CO266" i="43"/>
  <c r="CP266" i="43"/>
  <c r="CQ266" i="43"/>
  <c r="CR266" i="43"/>
  <c r="CS266" i="43"/>
  <c r="CT266" i="43"/>
  <c r="CU266" i="43"/>
  <c r="CV266" i="43"/>
  <c r="CW266" i="43"/>
  <c r="CX266" i="43"/>
  <c r="CY266" i="43"/>
  <c r="CZ266" i="43"/>
  <c r="DA266" i="43"/>
  <c r="DB266" i="43"/>
  <c r="DC266" i="43"/>
  <c r="DD266" i="43"/>
  <c r="DE266" i="43"/>
  <c r="DF266" i="43"/>
  <c r="DG266" i="43"/>
  <c r="DH266" i="43"/>
  <c r="DI266" i="43"/>
  <c r="DJ266" i="43"/>
  <c r="DK266" i="43"/>
  <c r="DL266" i="43"/>
  <c r="DM266" i="43"/>
  <c r="DN266" i="43"/>
  <c r="DO266" i="43"/>
  <c r="DP266" i="43"/>
  <c r="DQ266" i="43"/>
  <c r="DR266" i="43"/>
  <c r="DS266" i="43"/>
  <c r="DT266" i="43"/>
  <c r="DU266" i="43"/>
  <c r="DV266" i="43"/>
  <c r="DW266" i="43"/>
  <c r="DX266" i="43"/>
  <c r="DY266" i="43"/>
  <c r="DZ266" i="43"/>
  <c r="EA266" i="43"/>
  <c r="EB266" i="43"/>
  <c r="EC266" i="43"/>
  <c r="ED266" i="43"/>
  <c r="EE266" i="43"/>
  <c r="EF266" i="43"/>
  <c r="EG266" i="43"/>
  <c r="EH266" i="43"/>
  <c r="EI266" i="43"/>
  <c r="EJ266" i="43"/>
  <c r="EK266" i="43"/>
  <c r="EL266" i="43"/>
  <c r="EM266" i="43"/>
  <c r="EN266" i="43"/>
  <c r="EO266" i="43"/>
  <c r="EP266" i="43"/>
  <c r="EQ266" i="43"/>
  <c r="ER266" i="43"/>
  <c r="ES266" i="43"/>
  <c r="ET266" i="43"/>
  <c r="EU266" i="43"/>
  <c r="EV266" i="43"/>
  <c r="EW266" i="43"/>
  <c r="EX266" i="43"/>
  <c r="EY266" i="43"/>
  <c r="EZ266" i="43"/>
  <c r="FA266" i="43"/>
  <c r="FB266" i="43"/>
  <c r="FC266" i="43"/>
  <c r="FD266" i="43"/>
  <c r="FE266" i="43"/>
  <c r="FF266" i="43"/>
  <c r="FG266" i="43"/>
  <c r="FH266" i="43"/>
  <c r="FI266" i="43"/>
  <c r="FJ266" i="43"/>
  <c r="FK266" i="43"/>
  <c r="FL266" i="43"/>
  <c r="FM266" i="43"/>
  <c r="FN266" i="43"/>
  <c r="FO266" i="43"/>
  <c r="FP266" i="43"/>
  <c r="FQ266" i="43"/>
  <c r="FR266" i="43"/>
  <c r="FS266" i="43"/>
  <c r="FT266" i="43"/>
  <c r="FU266" i="43"/>
  <c r="FV266" i="43"/>
  <c r="FW266" i="43"/>
  <c r="FX266" i="43"/>
  <c r="FY266" i="43"/>
  <c r="FZ266" i="43"/>
  <c r="GA266" i="43"/>
  <c r="GB266" i="43"/>
  <c r="GC266" i="43"/>
  <c r="GD266" i="43"/>
  <c r="GE266" i="43"/>
  <c r="GF266" i="43"/>
  <c r="GG266" i="43"/>
  <c r="GH266" i="43"/>
  <c r="GI266" i="43"/>
  <c r="GJ266" i="43"/>
  <c r="GK266" i="43"/>
  <c r="GL266" i="43"/>
  <c r="GM266" i="43"/>
  <c r="GN266" i="43"/>
  <c r="GO266" i="43"/>
  <c r="GP266" i="43"/>
  <c r="GQ266" i="43"/>
  <c r="GR266" i="43"/>
  <c r="GS266" i="43"/>
  <c r="GT266" i="43"/>
  <c r="GU266" i="43"/>
  <c r="GV266" i="43"/>
  <c r="GW266" i="43"/>
  <c r="GX266" i="43"/>
  <c r="GY266" i="43"/>
  <c r="GZ266" i="43"/>
  <c r="HA266" i="43"/>
  <c r="HB266" i="43"/>
  <c r="HC266" i="43"/>
  <c r="HD266" i="43"/>
  <c r="HE266" i="43"/>
  <c r="HF266" i="43"/>
  <c r="HG266" i="43"/>
  <c r="HH266" i="43"/>
  <c r="HI266" i="43"/>
  <c r="HJ266" i="43"/>
  <c r="HK266" i="43"/>
  <c r="HL266" i="43"/>
  <c r="HM266" i="43"/>
  <c r="HN266" i="43"/>
  <c r="HO266" i="43"/>
  <c r="HP266" i="43"/>
  <c r="HQ266" i="43"/>
  <c r="HR266" i="43"/>
  <c r="HS266" i="43"/>
  <c r="HT266" i="43"/>
  <c r="HU266" i="43"/>
  <c r="HV266" i="43"/>
  <c r="HW266" i="43"/>
  <c r="HX266" i="43"/>
  <c r="HY266" i="43"/>
  <c r="HZ266" i="43"/>
  <c r="IA266" i="43"/>
  <c r="IB266" i="43"/>
  <c r="IC266" i="43"/>
  <c r="ID266" i="43"/>
  <c r="IE266" i="43"/>
  <c r="IF266" i="43"/>
  <c r="IG266" i="43"/>
  <c r="IH266" i="43"/>
  <c r="II266" i="43"/>
  <c r="IJ266" i="43"/>
  <c r="IK266" i="43"/>
  <c r="IL266" i="43"/>
  <c r="IM266" i="43"/>
  <c r="IN266" i="43"/>
  <c r="IO266" i="43"/>
  <c r="IP266" i="43"/>
  <c r="IQ266" i="43"/>
  <c r="IR266" i="43"/>
  <c r="IS266" i="43"/>
  <c r="IT266" i="43"/>
  <c r="IU266" i="43"/>
  <c r="IV266" i="43"/>
  <c r="A265" i="43"/>
  <c r="B265" i="43"/>
  <c r="C265" i="43"/>
  <c r="D265" i="43"/>
  <c r="E265" i="43"/>
  <c r="F265" i="43"/>
  <c r="G265" i="43"/>
  <c r="H265" i="43"/>
  <c r="I265" i="43"/>
  <c r="J265" i="43"/>
  <c r="K265" i="43"/>
  <c r="L265" i="43"/>
  <c r="M265" i="43"/>
  <c r="N265" i="43"/>
  <c r="O265" i="43"/>
  <c r="P265" i="43"/>
  <c r="Q265" i="43"/>
  <c r="R265" i="43"/>
  <c r="S265" i="43"/>
  <c r="T265" i="43"/>
  <c r="U265" i="43"/>
  <c r="V265" i="43"/>
  <c r="W265" i="43"/>
  <c r="X265" i="43"/>
  <c r="Y265" i="43"/>
  <c r="Z265" i="43"/>
  <c r="AA265" i="43"/>
  <c r="AB265" i="43"/>
  <c r="AC265" i="43"/>
  <c r="AD265" i="43"/>
  <c r="AE265" i="43"/>
  <c r="AF265" i="43"/>
  <c r="AG265" i="43"/>
  <c r="AH265" i="43"/>
  <c r="AI265" i="43"/>
  <c r="AJ265" i="43"/>
  <c r="AK265" i="43"/>
  <c r="AL265" i="43"/>
  <c r="AM265" i="43"/>
  <c r="AN265" i="43"/>
  <c r="AO265" i="43"/>
  <c r="AP265" i="43"/>
  <c r="AQ265" i="43"/>
  <c r="AR265" i="43"/>
  <c r="AS265" i="43"/>
  <c r="AT265" i="43"/>
  <c r="AU265" i="43"/>
  <c r="AV265" i="43"/>
  <c r="AW265" i="43"/>
  <c r="AX265" i="43"/>
  <c r="AY265" i="43"/>
  <c r="AZ265" i="43"/>
  <c r="BA265" i="43"/>
  <c r="BB265" i="43"/>
  <c r="BC265" i="43"/>
  <c r="BD265" i="43"/>
  <c r="BE265" i="43"/>
  <c r="BF265" i="43"/>
  <c r="BG265" i="43"/>
  <c r="BH265" i="43"/>
  <c r="BI265" i="43"/>
  <c r="BJ265" i="43"/>
  <c r="BK265" i="43"/>
  <c r="BL265" i="43"/>
  <c r="BM265" i="43"/>
  <c r="BN265" i="43"/>
  <c r="BO265" i="43"/>
  <c r="BP265" i="43"/>
  <c r="BQ265" i="43"/>
  <c r="BR265" i="43"/>
  <c r="BS265" i="43"/>
  <c r="BT265" i="43"/>
  <c r="BU265" i="43"/>
  <c r="BV265" i="43"/>
  <c r="BW265" i="43"/>
  <c r="BX265" i="43"/>
  <c r="BY265" i="43"/>
  <c r="BZ265" i="43"/>
  <c r="CA265" i="43"/>
  <c r="CB265" i="43"/>
  <c r="CC265" i="43"/>
  <c r="CD265" i="43"/>
  <c r="CE265" i="43"/>
  <c r="CF265" i="43"/>
  <c r="CG265" i="43"/>
  <c r="CH265" i="43"/>
  <c r="CI265" i="43"/>
  <c r="CJ265" i="43"/>
  <c r="CK265" i="43"/>
  <c r="CL265" i="43"/>
  <c r="CM265" i="43"/>
  <c r="CN265" i="43"/>
  <c r="CO265" i="43"/>
  <c r="CP265" i="43"/>
  <c r="CQ265" i="43"/>
  <c r="CR265" i="43"/>
  <c r="CS265" i="43"/>
  <c r="CT265" i="43"/>
  <c r="CU265" i="43"/>
  <c r="CV265" i="43"/>
  <c r="CW265" i="43"/>
  <c r="CX265" i="43"/>
  <c r="CY265" i="43"/>
  <c r="CZ265" i="43"/>
  <c r="DA265" i="43"/>
  <c r="DB265" i="43"/>
  <c r="DC265" i="43"/>
  <c r="DD265" i="43"/>
  <c r="DE265" i="43"/>
  <c r="DF265" i="43"/>
  <c r="DG265" i="43"/>
  <c r="DH265" i="43"/>
  <c r="DI265" i="43"/>
  <c r="DJ265" i="43"/>
  <c r="DK265" i="43"/>
  <c r="DL265" i="43"/>
  <c r="DM265" i="43"/>
  <c r="DN265" i="43"/>
  <c r="DO265" i="43"/>
  <c r="DP265" i="43"/>
  <c r="DQ265" i="43"/>
  <c r="DR265" i="43"/>
  <c r="DS265" i="43"/>
  <c r="DT265" i="43"/>
  <c r="DU265" i="43"/>
  <c r="DV265" i="43"/>
  <c r="DW265" i="43"/>
  <c r="DX265" i="43"/>
  <c r="DY265" i="43"/>
  <c r="DZ265" i="43"/>
  <c r="EA265" i="43"/>
  <c r="EB265" i="43"/>
  <c r="EC265" i="43"/>
  <c r="ED265" i="43"/>
  <c r="EE265" i="43"/>
  <c r="EF265" i="43"/>
  <c r="EG265" i="43"/>
  <c r="EH265" i="43"/>
  <c r="EI265" i="43"/>
  <c r="EJ265" i="43"/>
  <c r="EK265" i="43"/>
  <c r="EL265" i="43"/>
  <c r="EM265" i="43"/>
  <c r="EN265" i="43"/>
  <c r="EO265" i="43"/>
  <c r="EP265" i="43"/>
  <c r="EQ265" i="43"/>
  <c r="ER265" i="43"/>
  <c r="ES265" i="43"/>
  <c r="ET265" i="43"/>
  <c r="EU265" i="43"/>
  <c r="EV265" i="43"/>
  <c r="EW265" i="43"/>
  <c r="EX265" i="43"/>
  <c r="EY265" i="43"/>
  <c r="EZ265" i="43"/>
  <c r="FA265" i="43"/>
  <c r="FB265" i="43"/>
  <c r="FC265" i="43"/>
  <c r="FD265" i="43"/>
  <c r="FE265" i="43"/>
  <c r="FF265" i="43"/>
  <c r="FG265" i="43"/>
  <c r="FH265" i="43"/>
  <c r="FI265" i="43"/>
  <c r="FJ265" i="43"/>
  <c r="FK265" i="43"/>
  <c r="FL265" i="43"/>
  <c r="FM265" i="43"/>
  <c r="FN265" i="43"/>
  <c r="FO265" i="43"/>
  <c r="FP265" i="43"/>
  <c r="FQ265" i="43"/>
  <c r="FR265" i="43"/>
  <c r="FS265" i="43"/>
  <c r="FT265" i="43"/>
  <c r="FU265" i="43"/>
  <c r="FV265" i="43"/>
  <c r="FW265" i="43"/>
  <c r="FX265" i="43"/>
  <c r="FY265" i="43"/>
  <c r="FZ265" i="43"/>
  <c r="GA265" i="43"/>
  <c r="GB265" i="43"/>
  <c r="GC265" i="43"/>
  <c r="GD265" i="43"/>
  <c r="GE265" i="43"/>
  <c r="GF265" i="43"/>
  <c r="GG265" i="43"/>
  <c r="GH265" i="43"/>
  <c r="GI265" i="43"/>
  <c r="GJ265" i="43"/>
  <c r="GK265" i="43"/>
  <c r="GL265" i="43"/>
  <c r="GM265" i="43"/>
  <c r="GN265" i="43"/>
  <c r="GO265" i="43"/>
  <c r="GP265" i="43"/>
  <c r="GQ265" i="43"/>
  <c r="GR265" i="43"/>
  <c r="GS265" i="43"/>
  <c r="GT265" i="43"/>
  <c r="GU265" i="43"/>
  <c r="GV265" i="43"/>
  <c r="GW265" i="43"/>
  <c r="GX265" i="43"/>
  <c r="GY265" i="43"/>
  <c r="GZ265" i="43"/>
  <c r="HA265" i="43"/>
  <c r="HB265" i="43"/>
  <c r="HC265" i="43"/>
  <c r="HD265" i="43"/>
  <c r="HE265" i="43"/>
  <c r="HF265" i="43"/>
  <c r="HG265" i="43"/>
  <c r="HH265" i="43"/>
  <c r="HI265" i="43"/>
  <c r="HJ265" i="43"/>
  <c r="HK265" i="43"/>
  <c r="HL265" i="43"/>
  <c r="HM265" i="43"/>
  <c r="HN265" i="43"/>
  <c r="HO265" i="43"/>
  <c r="HP265" i="43"/>
  <c r="HQ265" i="43"/>
  <c r="HR265" i="43"/>
  <c r="HS265" i="43"/>
  <c r="HT265" i="43"/>
  <c r="HU265" i="43"/>
  <c r="HV265" i="43"/>
  <c r="HW265" i="43"/>
  <c r="HX265" i="43"/>
  <c r="HY265" i="43"/>
  <c r="HZ265" i="43"/>
  <c r="IA265" i="43"/>
  <c r="IB265" i="43"/>
  <c r="IC265" i="43"/>
  <c r="ID265" i="43"/>
  <c r="IE265" i="43"/>
  <c r="IF265" i="43"/>
  <c r="IG265" i="43"/>
  <c r="IH265" i="43"/>
  <c r="II265" i="43"/>
  <c r="IJ265" i="43"/>
  <c r="IK265" i="43"/>
  <c r="IL265" i="43"/>
  <c r="IM265" i="43"/>
  <c r="IN265" i="43"/>
  <c r="IO265" i="43"/>
  <c r="IP265" i="43"/>
  <c r="IQ265" i="43"/>
  <c r="IR265" i="43"/>
  <c r="IS265" i="43"/>
  <c r="IT265" i="43"/>
  <c r="IU265" i="43"/>
  <c r="IV265" i="43"/>
  <c r="A264" i="43"/>
  <c r="B264" i="43"/>
  <c r="C264" i="43"/>
  <c r="D264" i="43"/>
  <c r="E264" i="43"/>
  <c r="F264" i="43"/>
  <c r="G264" i="43"/>
  <c r="H264" i="43"/>
  <c r="I264" i="43"/>
  <c r="J264" i="43"/>
  <c r="K264" i="43"/>
  <c r="L264" i="43"/>
  <c r="M264" i="43"/>
  <c r="N264" i="43"/>
  <c r="O264" i="43"/>
  <c r="P264" i="43"/>
  <c r="Q264" i="43"/>
  <c r="R264" i="43"/>
  <c r="S264" i="43"/>
  <c r="T264" i="43"/>
  <c r="U264" i="43"/>
  <c r="V264" i="43"/>
  <c r="W264" i="43"/>
  <c r="X264" i="43"/>
  <c r="Y264" i="43"/>
  <c r="Z264" i="43"/>
  <c r="AA264" i="43"/>
  <c r="AB264" i="43"/>
  <c r="AC264" i="43"/>
  <c r="AD264" i="43"/>
  <c r="AE264" i="43"/>
  <c r="AF264" i="43"/>
  <c r="AG264" i="43"/>
  <c r="AH264" i="43"/>
  <c r="AI264" i="43"/>
  <c r="AJ264" i="43"/>
  <c r="AK264" i="43"/>
  <c r="AL264" i="43"/>
  <c r="AM264" i="43"/>
  <c r="AN264" i="43"/>
  <c r="AO264" i="43"/>
  <c r="AP264" i="43"/>
  <c r="AQ264" i="43"/>
  <c r="AR264" i="43"/>
  <c r="AS264" i="43"/>
  <c r="AT264" i="43"/>
  <c r="AU264" i="43"/>
  <c r="AV264" i="43"/>
  <c r="AW264" i="43"/>
  <c r="AX264" i="43"/>
  <c r="AY264" i="43"/>
  <c r="AZ264" i="43"/>
  <c r="BA264" i="43"/>
  <c r="BB264" i="43"/>
  <c r="BC264" i="43"/>
  <c r="BD264" i="43"/>
  <c r="BE264" i="43"/>
  <c r="BF264" i="43"/>
  <c r="BG264" i="43"/>
  <c r="BH264" i="43"/>
  <c r="BI264" i="43"/>
  <c r="BJ264" i="43"/>
  <c r="BK264" i="43"/>
  <c r="BL264" i="43"/>
  <c r="BM264" i="43"/>
  <c r="BN264" i="43"/>
  <c r="BO264" i="43"/>
  <c r="BP264" i="43"/>
  <c r="BQ264" i="43"/>
  <c r="BR264" i="43"/>
  <c r="BS264" i="43"/>
  <c r="BT264" i="43"/>
  <c r="BU264" i="43"/>
  <c r="BV264" i="43"/>
  <c r="BW264" i="43"/>
  <c r="BX264" i="43"/>
  <c r="BY264" i="43"/>
  <c r="BZ264" i="43"/>
  <c r="CA264" i="43"/>
  <c r="CB264" i="43"/>
  <c r="CC264" i="43"/>
  <c r="CD264" i="43"/>
  <c r="CE264" i="43"/>
  <c r="CF264" i="43"/>
  <c r="CG264" i="43"/>
  <c r="CH264" i="43"/>
  <c r="CI264" i="43"/>
  <c r="CJ264" i="43"/>
  <c r="CK264" i="43"/>
  <c r="CL264" i="43"/>
  <c r="CM264" i="43"/>
  <c r="CN264" i="43"/>
  <c r="CO264" i="43"/>
  <c r="CP264" i="43"/>
  <c r="CQ264" i="43"/>
  <c r="CR264" i="43"/>
  <c r="CS264" i="43"/>
  <c r="CT264" i="43"/>
  <c r="CU264" i="43"/>
  <c r="CV264" i="43"/>
  <c r="CW264" i="43"/>
  <c r="CX264" i="43"/>
  <c r="CY264" i="43"/>
  <c r="CZ264" i="43"/>
  <c r="DA264" i="43"/>
  <c r="DB264" i="43"/>
  <c r="DC264" i="43"/>
  <c r="DD264" i="43"/>
  <c r="DE264" i="43"/>
  <c r="DF264" i="43"/>
  <c r="DG264" i="43"/>
  <c r="DH264" i="43"/>
  <c r="DI264" i="43"/>
  <c r="DJ264" i="43"/>
  <c r="DK264" i="43"/>
  <c r="DL264" i="43"/>
  <c r="DM264" i="43"/>
  <c r="DN264" i="43"/>
  <c r="DO264" i="43"/>
  <c r="DP264" i="43"/>
  <c r="DQ264" i="43"/>
  <c r="DR264" i="43"/>
  <c r="DS264" i="43"/>
  <c r="DT264" i="43"/>
  <c r="DU264" i="43"/>
  <c r="DV264" i="43"/>
  <c r="DW264" i="43"/>
  <c r="DX264" i="43"/>
  <c r="DY264" i="43"/>
  <c r="DZ264" i="43"/>
  <c r="EA264" i="43"/>
  <c r="EB264" i="43"/>
  <c r="EC264" i="43"/>
  <c r="ED264" i="43"/>
  <c r="EE264" i="43"/>
  <c r="EF264" i="43"/>
  <c r="EG264" i="43"/>
  <c r="EH264" i="43"/>
  <c r="EI264" i="43"/>
  <c r="EJ264" i="43"/>
  <c r="EK264" i="43"/>
  <c r="EL264" i="43"/>
  <c r="EM264" i="43"/>
  <c r="EN264" i="43"/>
  <c r="EO264" i="43"/>
  <c r="EP264" i="43"/>
  <c r="EQ264" i="43"/>
  <c r="ER264" i="43"/>
  <c r="ES264" i="43"/>
  <c r="ET264" i="43"/>
  <c r="EU264" i="43"/>
  <c r="EV264" i="43"/>
  <c r="EW264" i="43"/>
  <c r="EX264" i="43"/>
  <c r="EY264" i="43"/>
  <c r="EZ264" i="43"/>
  <c r="FA264" i="43"/>
  <c r="FB264" i="43"/>
  <c r="FC264" i="43"/>
  <c r="FD264" i="43"/>
  <c r="FE264" i="43"/>
  <c r="FF264" i="43"/>
  <c r="FG264" i="43"/>
  <c r="FH264" i="43"/>
  <c r="FI264" i="43"/>
  <c r="FJ264" i="43"/>
  <c r="FK264" i="43"/>
  <c r="FL264" i="43"/>
  <c r="FM264" i="43"/>
  <c r="FN264" i="43"/>
  <c r="FO264" i="43"/>
  <c r="FP264" i="43"/>
  <c r="FQ264" i="43"/>
  <c r="FR264" i="43"/>
  <c r="FS264" i="43"/>
  <c r="FT264" i="43"/>
  <c r="FU264" i="43"/>
  <c r="FV264" i="43"/>
  <c r="FW264" i="43"/>
  <c r="FX264" i="43"/>
  <c r="FY264" i="43"/>
  <c r="FZ264" i="43"/>
  <c r="GA264" i="43"/>
  <c r="GB264" i="43"/>
  <c r="GC264" i="43"/>
  <c r="GD264" i="43"/>
  <c r="GE264" i="43"/>
  <c r="GF264" i="43"/>
  <c r="GG264" i="43"/>
  <c r="GH264" i="43"/>
  <c r="GI264" i="43"/>
  <c r="GJ264" i="43"/>
  <c r="GK264" i="43"/>
  <c r="GL264" i="43"/>
  <c r="GM264" i="43"/>
  <c r="GN264" i="43"/>
  <c r="GO264" i="43"/>
  <c r="GP264" i="43"/>
  <c r="GQ264" i="43"/>
  <c r="GR264" i="43"/>
  <c r="GS264" i="43"/>
  <c r="GT264" i="43"/>
  <c r="GU264" i="43"/>
  <c r="GV264" i="43"/>
  <c r="GW264" i="43"/>
  <c r="GX264" i="43"/>
  <c r="GY264" i="43"/>
  <c r="GZ264" i="43"/>
  <c r="HA264" i="43"/>
  <c r="HB264" i="43"/>
  <c r="HC264" i="43"/>
  <c r="HD264" i="43"/>
  <c r="HE264" i="43"/>
  <c r="HF264" i="43"/>
  <c r="HG264" i="43"/>
  <c r="HH264" i="43"/>
  <c r="HI264" i="43"/>
  <c r="HJ264" i="43"/>
  <c r="HK264" i="43"/>
  <c r="HL264" i="43"/>
  <c r="HM264" i="43"/>
  <c r="HN264" i="43"/>
  <c r="HO264" i="43"/>
  <c r="HP264" i="43"/>
  <c r="HQ264" i="43"/>
  <c r="HR264" i="43"/>
  <c r="HS264" i="43"/>
  <c r="HT264" i="43"/>
  <c r="HU264" i="43"/>
  <c r="HV264" i="43"/>
  <c r="HW264" i="43"/>
  <c r="HX264" i="43"/>
  <c r="HY264" i="43"/>
  <c r="HZ264" i="43"/>
  <c r="IA264" i="43"/>
  <c r="IB264" i="43"/>
  <c r="IC264" i="43"/>
  <c r="ID264" i="43"/>
  <c r="IE264" i="43"/>
  <c r="IF264" i="43"/>
  <c r="IG264" i="43"/>
  <c r="IH264" i="43"/>
  <c r="II264" i="43"/>
  <c r="IJ264" i="43"/>
  <c r="IK264" i="43"/>
  <c r="IL264" i="43"/>
  <c r="IM264" i="43"/>
  <c r="IN264" i="43"/>
  <c r="IO264" i="43"/>
  <c r="IP264" i="43"/>
  <c r="IQ264" i="43"/>
  <c r="IR264" i="43"/>
  <c r="IS264" i="43"/>
  <c r="IT264" i="43"/>
  <c r="IU264" i="43"/>
  <c r="IV264" i="43"/>
  <c r="A263" i="43"/>
  <c r="B263" i="43"/>
  <c r="C263" i="43"/>
  <c r="D263" i="43"/>
  <c r="E263" i="43"/>
  <c r="F263" i="43"/>
  <c r="G263" i="43"/>
  <c r="H263" i="43"/>
  <c r="I263" i="43"/>
  <c r="J263" i="43"/>
  <c r="K263" i="43"/>
  <c r="L263" i="43"/>
  <c r="M263" i="43"/>
  <c r="N263" i="43"/>
  <c r="O263" i="43"/>
  <c r="P263" i="43"/>
  <c r="Q263" i="43"/>
  <c r="R263" i="43"/>
  <c r="S263" i="43"/>
  <c r="T263" i="43"/>
  <c r="U263" i="43"/>
  <c r="V263" i="43"/>
  <c r="W263" i="43"/>
  <c r="X263" i="43"/>
  <c r="Y263" i="43"/>
  <c r="Z263" i="43"/>
  <c r="AA263" i="43"/>
  <c r="AB263" i="43"/>
  <c r="AC263" i="43"/>
  <c r="AD263" i="43"/>
  <c r="AE263" i="43"/>
  <c r="AF263" i="43"/>
  <c r="AG263" i="43"/>
  <c r="AH263" i="43"/>
  <c r="AI263" i="43"/>
  <c r="AJ263" i="43"/>
  <c r="AK263" i="43"/>
  <c r="AL263" i="43"/>
  <c r="AM263" i="43"/>
  <c r="AN263" i="43"/>
  <c r="AO263" i="43"/>
  <c r="AP263" i="43"/>
  <c r="AQ263" i="43"/>
  <c r="AR263" i="43"/>
  <c r="AS263" i="43"/>
  <c r="AT263" i="43"/>
  <c r="AU263" i="43"/>
  <c r="AV263" i="43"/>
  <c r="AW263" i="43"/>
  <c r="AX263" i="43"/>
  <c r="AY263" i="43"/>
  <c r="AZ263" i="43"/>
  <c r="BA263" i="43"/>
  <c r="BB263" i="43"/>
  <c r="BC263" i="43"/>
  <c r="BD263" i="43"/>
  <c r="BE263" i="43"/>
  <c r="BF263" i="43"/>
  <c r="BG263" i="43"/>
  <c r="BH263" i="43"/>
  <c r="BI263" i="43"/>
  <c r="BJ263" i="43"/>
  <c r="BK263" i="43"/>
  <c r="BL263" i="43"/>
  <c r="BM263" i="43"/>
  <c r="BN263" i="43"/>
  <c r="BO263" i="43"/>
  <c r="BP263" i="43"/>
  <c r="BQ263" i="43"/>
  <c r="BR263" i="43"/>
  <c r="BS263" i="43"/>
  <c r="BT263" i="43"/>
  <c r="BU263" i="43"/>
  <c r="BV263" i="43"/>
  <c r="BW263" i="43"/>
  <c r="BX263" i="43"/>
  <c r="BY263" i="43"/>
  <c r="BZ263" i="43"/>
  <c r="CA263" i="43"/>
  <c r="CB263" i="43"/>
  <c r="CC263" i="43"/>
  <c r="CD263" i="43"/>
  <c r="CE263" i="43"/>
  <c r="CF263" i="43"/>
  <c r="CG263" i="43"/>
  <c r="CH263" i="43"/>
  <c r="CI263" i="43"/>
  <c r="CJ263" i="43"/>
  <c r="CK263" i="43"/>
  <c r="CL263" i="43"/>
  <c r="CM263" i="43"/>
  <c r="CN263" i="43"/>
  <c r="CO263" i="43"/>
  <c r="CP263" i="43"/>
  <c r="CQ263" i="43"/>
  <c r="CR263" i="43"/>
  <c r="CS263" i="43"/>
  <c r="CT263" i="43"/>
  <c r="CU263" i="43"/>
  <c r="CV263" i="43"/>
  <c r="CW263" i="43"/>
  <c r="CX263" i="43"/>
  <c r="CY263" i="43"/>
  <c r="CZ263" i="43"/>
  <c r="DA263" i="43"/>
  <c r="DB263" i="43"/>
  <c r="DC263" i="43"/>
  <c r="DD263" i="43"/>
  <c r="DE263" i="43"/>
  <c r="DF263" i="43"/>
  <c r="DG263" i="43"/>
  <c r="DH263" i="43"/>
  <c r="DI263" i="43"/>
  <c r="DJ263" i="43"/>
  <c r="DK263" i="43"/>
  <c r="DL263" i="43"/>
  <c r="DM263" i="43"/>
  <c r="DN263" i="43"/>
  <c r="DO263" i="43"/>
  <c r="DP263" i="43"/>
  <c r="DQ263" i="43"/>
  <c r="DR263" i="43"/>
  <c r="DS263" i="43"/>
  <c r="DT263" i="43"/>
  <c r="DU263" i="43"/>
  <c r="DV263" i="43"/>
  <c r="DW263" i="43"/>
  <c r="DX263" i="43"/>
  <c r="DY263" i="43"/>
  <c r="DZ263" i="43"/>
  <c r="EA263" i="43"/>
  <c r="EB263" i="43"/>
  <c r="EC263" i="43"/>
  <c r="ED263" i="43"/>
  <c r="EE263" i="43"/>
  <c r="EF263" i="43"/>
  <c r="EG263" i="43"/>
  <c r="EH263" i="43"/>
  <c r="EI263" i="43"/>
  <c r="EJ263" i="43"/>
  <c r="EK263" i="43"/>
  <c r="EL263" i="43"/>
  <c r="EM263" i="43"/>
  <c r="EN263" i="43"/>
  <c r="EO263" i="43"/>
  <c r="EP263" i="43"/>
  <c r="EQ263" i="43"/>
  <c r="ER263" i="43"/>
  <c r="ES263" i="43"/>
  <c r="ET263" i="43"/>
  <c r="EU263" i="43"/>
  <c r="EV263" i="43"/>
  <c r="EW263" i="43"/>
  <c r="EX263" i="43"/>
  <c r="EY263" i="43"/>
  <c r="EZ263" i="43"/>
  <c r="FA263" i="43"/>
  <c r="FB263" i="43"/>
  <c r="FC263" i="43"/>
  <c r="FD263" i="43"/>
  <c r="FE263" i="43"/>
  <c r="FF263" i="43"/>
  <c r="FG263" i="43"/>
  <c r="FH263" i="43"/>
  <c r="FI263" i="43"/>
  <c r="FJ263" i="43"/>
  <c r="FK263" i="43"/>
  <c r="FL263" i="43"/>
  <c r="FM263" i="43"/>
  <c r="FN263" i="43"/>
  <c r="FO263" i="43"/>
  <c r="FP263" i="43"/>
  <c r="FQ263" i="43"/>
  <c r="FR263" i="43"/>
  <c r="FS263" i="43"/>
  <c r="FT263" i="43"/>
  <c r="FU263" i="43"/>
  <c r="FV263" i="43"/>
  <c r="FW263" i="43"/>
  <c r="FX263" i="43"/>
  <c r="FY263" i="43"/>
  <c r="FZ263" i="43"/>
  <c r="GA263" i="43"/>
  <c r="GB263" i="43"/>
  <c r="GC263" i="43"/>
  <c r="GD263" i="43"/>
  <c r="GE263" i="43"/>
  <c r="GF263" i="43"/>
  <c r="GG263" i="43"/>
  <c r="GH263" i="43"/>
  <c r="GI263" i="43"/>
  <c r="GJ263" i="43"/>
  <c r="GK263" i="43"/>
  <c r="GL263" i="43"/>
  <c r="GM263" i="43"/>
  <c r="GN263" i="43"/>
  <c r="GO263" i="43"/>
  <c r="GP263" i="43"/>
  <c r="GQ263" i="43"/>
  <c r="GR263" i="43"/>
  <c r="GS263" i="43"/>
  <c r="GT263" i="43"/>
  <c r="GU263" i="43"/>
  <c r="GV263" i="43"/>
  <c r="GW263" i="43"/>
  <c r="GX263" i="43"/>
  <c r="GY263" i="43"/>
  <c r="GZ263" i="43"/>
  <c r="HA263" i="43"/>
  <c r="HB263" i="43"/>
  <c r="HC263" i="43"/>
  <c r="HD263" i="43"/>
  <c r="HE263" i="43"/>
  <c r="HF263" i="43"/>
  <c r="HG263" i="43"/>
  <c r="HH263" i="43"/>
  <c r="HI263" i="43"/>
  <c r="HJ263" i="43"/>
  <c r="HK263" i="43"/>
  <c r="HL263" i="43"/>
  <c r="HM263" i="43"/>
  <c r="HN263" i="43"/>
  <c r="HO263" i="43"/>
  <c r="HP263" i="43"/>
  <c r="HQ263" i="43"/>
  <c r="HR263" i="43"/>
  <c r="HS263" i="43"/>
  <c r="HT263" i="43"/>
  <c r="HU263" i="43"/>
  <c r="HV263" i="43"/>
  <c r="HW263" i="43"/>
  <c r="HX263" i="43"/>
  <c r="HY263" i="43"/>
  <c r="HZ263" i="43"/>
  <c r="IA263" i="43"/>
  <c r="IB263" i="43"/>
  <c r="IC263" i="43"/>
  <c r="ID263" i="43"/>
  <c r="IE263" i="43"/>
  <c r="IF263" i="43"/>
  <c r="IG263" i="43"/>
  <c r="IH263" i="43"/>
  <c r="II263" i="43"/>
  <c r="IJ263" i="43"/>
  <c r="IK263" i="43"/>
  <c r="IL263" i="43"/>
  <c r="IM263" i="43"/>
  <c r="IN263" i="43"/>
  <c r="IO263" i="43"/>
  <c r="IP263" i="43"/>
  <c r="IQ263" i="43"/>
  <c r="IR263" i="43"/>
  <c r="IS263" i="43"/>
  <c r="IT263" i="43"/>
  <c r="IU263" i="43"/>
  <c r="IV263" i="43"/>
  <c r="A262" i="43"/>
  <c r="B262" i="43"/>
  <c r="C262" i="43"/>
  <c r="D262" i="43"/>
  <c r="E262" i="43"/>
  <c r="F262" i="43"/>
  <c r="G262" i="43"/>
  <c r="H262" i="43"/>
  <c r="I262" i="43"/>
  <c r="J262" i="43"/>
  <c r="K262" i="43"/>
  <c r="L262" i="43"/>
  <c r="M262" i="43"/>
  <c r="N262" i="43"/>
  <c r="O262" i="43"/>
  <c r="P262" i="43"/>
  <c r="Q262" i="43"/>
  <c r="R262" i="43"/>
  <c r="S262" i="43"/>
  <c r="T262" i="43"/>
  <c r="U262" i="43"/>
  <c r="V262" i="43"/>
  <c r="W262" i="43"/>
  <c r="X262" i="43"/>
  <c r="Y262" i="43"/>
  <c r="Z262" i="43"/>
  <c r="AA262" i="43"/>
  <c r="AB262" i="43"/>
  <c r="AC262" i="43"/>
  <c r="AD262" i="43"/>
  <c r="AE262" i="43"/>
  <c r="AF262" i="43"/>
  <c r="AG262" i="43"/>
  <c r="AH262" i="43"/>
  <c r="AI262" i="43"/>
  <c r="AJ262" i="43"/>
  <c r="AK262" i="43"/>
  <c r="AL262" i="43"/>
  <c r="AM262" i="43"/>
  <c r="AN262" i="43"/>
  <c r="AO262" i="43"/>
  <c r="AP262" i="43"/>
  <c r="AQ262" i="43"/>
  <c r="AR262" i="43"/>
  <c r="AS262" i="43"/>
  <c r="AT262" i="43"/>
  <c r="AU262" i="43"/>
  <c r="AV262" i="43"/>
  <c r="AW262" i="43"/>
  <c r="AX262" i="43"/>
  <c r="AY262" i="43"/>
  <c r="AZ262" i="43"/>
  <c r="BA262" i="43"/>
  <c r="BB262" i="43"/>
  <c r="BC262" i="43"/>
  <c r="BD262" i="43"/>
  <c r="BE262" i="43"/>
  <c r="BF262" i="43"/>
  <c r="BG262" i="43"/>
  <c r="BH262" i="43"/>
  <c r="BI262" i="43"/>
  <c r="BJ262" i="43"/>
  <c r="BK262" i="43"/>
  <c r="BL262" i="43"/>
  <c r="BM262" i="43"/>
  <c r="BN262" i="43"/>
  <c r="BO262" i="43"/>
  <c r="BP262" i="43"/>
  <c r="BQ262" i="43"/>
  <c r="BR262" i="43"/>
  <c r="BS262" i="43"/>
  <c r="BT262" i="43"/>
  <c r="BU262" i="43"/>
  <c r="BV262" i="43"/>
  <c r="BW262" i="43"/>
  <c r="BX262" i="43"/>
  <c r="BY262" i="43"/>
  <c r="BZ262" i="43"/>
  <c r="CA262" i="43"/>
  <c r="CB262" i="43"/>
  <c r="CC262" i="43"/>
  <c r="CD262" i="43"/>
  <c r="CE262" i="43"/>
  <c r="CF262" i="43"/>
  <c r="CG262" i="43"/>
  <c r="CH262" i="43"/>
  <c r="CI262" i="43"/>
  <c r="CJ262" i="43"/>
  <c r="CK262" i="43"/>
  <c r="CL262" i="43"/>
  <c r="CM262" i="43"/>
  <c r="CN262" i="43"/>
  <c r="CO262" i="43"/>
  <c r="CP262" i="43"/>
  <c r="CQ262" i="43"/>
  <c r="CR262" i="43"/>
  <c r="CS262" i="43"/>
  <c r="CT262" i="43"/>
  <c r="CU262" i="43"/>
  <c r="CV262" i="43"/>
  <c r="CW262" i="43"/>
  <c r="CX262" i="43"/>
  <c r="CY262" i="43"/>
  <c r="CZ262" i="43"/>
  <c r="DA262" i="43"/>
  <c r="DB262" i="43"/>
  <c r="DC262" i="43"/>
  <c r="DD262" i="43"/>
  <c r="DE262" i="43"/>
  <c r="DF262" i="43"/>
  <c r="DG262" i="43"/>
  <c r="DH262" i="43"/>
  <c r="DI262" i="43"/>
  <c r="DJ262" i="43"/>
  <c r="DK262" i="43"/>
  <c r="DL262" i="43"/>
  <c r="DM262" i="43"/>
  <c r="DN262" i="43"/>
  <c r="DO262" i="43"/>
  <c r="DP262" i="43"/>
  <c r="DQ262" i="43"/>
  <c r="DR262" i="43"/>
  <c r="DS262" i="43"/>
  <c r="DT262" i="43"/>
  <c r="DU262" i="43"/>
  <c r="DV262" i="43"/>
  <c r="DW262" i="43"/>
  <c r="DX262" i="43"/>
  <c r="DY262" i="43"/>
  <c r="DZ262" i="43"/>
  <c r="EA262" i="43"/>
  <c r="EB262" i="43"/>
  <c r="EC262" i="43"/>
  <c r="ED262" i="43"/>
  <c r="EE262" i="43"/>
  <c r="EF262" i="43"/>
  <c r="EG262" i="43"/>
  <c r="EH262" i="43"/>
  <c r="EI262" i="43"/>
  <c r="EJ262" i="43"/>
  <c r="EK262" i="43"/>
  <c r="EL262" i="43"/>
  <c r="EM262" i="43"/>
  <c r="EN262" i="43"/>
  <c r="EO262" i="43"/>
  <c r="EP262" i="43"/>
  <c r="EQ262" i="43"/>
  <c r="ER262" i="43"/>
  <c r="ES262" i="43"/>
  <c r="ET262" i="43"/>
  <c r="EU262" i="43"/>
  <c r="EV262" i="43"/>
  <c r="EW262" i="43"/>
  <c r="EX262" i="43"/>
  <c r="EY262" i="43"/>
  <c r="EZ262" i="43"/>
  <c r="FA262" i="43"/>
  <c r="FB262" i="43"/>
  <c r="FC262" i="43"/>
  <c r="FD262" i="43"/>
  <c r="FE262" i="43"/>
  <c r="FF262" i="43"/>
  <c r="FG262" i="43"/>
  <c r="FH262" i="43"/>
  <c r="FI262" i="43"/>
  <c r="FJ262" i="43"/>
  <c r="FK262" i="43"/>
  <c r="FL262" i="43"/>
  <c r="FM262" i="43"/>
  <c r="FN262" i="43"/>
  <c r="FO262" i="43"/>
  <c r="FP262" i="43"/>
  <c r="FQ262" i="43"/>
  <c r="FR262" i="43"/>
  <c r="FS262" i="43"/>
  <c r="FT262" i="43"/>
  <c r="FU262" i="43"/>
  <c r="FV262" i="43"/>
  <c r="FW262" i="43"/>
  <c r="FX262" i="43"/>
  <c r="FY262" i="43"/>
  <c r="FZ262" i="43"/>
  <c r="GA262" i="43"/>
  <c r="GB262" i="43"/>
  <c r="GC262" i="43"/>
  <c r="GD262" i="43"/>
  <c r="GE262" i="43"/>
  <c r="GF262" i="43"/>
  <c r="GG262" i="43"/>
  <c r="GH262" i="43"/>
  <c r="GI262" i="43"/>
  <c r="GJ262" i="43"/>
  <c r="GK262" i="43"/>
  <c r="GL262" i="43"/>
  <c r="GM262" i="43"/>
  <c r="GN262" i="43"/>
  <c r="GO262" i="43"/>
  <c r="GP262" i="43"/>
  <c r="GQ262" i="43"/>
  <c r="GR262" i="43"/>
  <c r="GS262" i="43"/>
  <c r="GT262" i="43"/>
  <c r="GU262" i="43"/>
  <c r="GV262" i="43"/>
  <c r="GW262" i="43"/>
  <c r="GX262" i="43"/>
  <c r="GY262" i="43"/>
  <c r="GZ262" i="43"/>
  <c r="HA262" i="43"/>
  <c r="HB262" i="43"/>
  <c r="HC262" i="43"/>
  <c r="HD262" i="43"/>
  <c r="HE262" i="43"/>
  <c r="HF262" i="43"/>
  <c r="HG262" i="43"/>
  <c r="HH262" i="43"/>
  <c r="HI262" i="43"/>
  <c r="HJ262" i="43"/>
  <c r="HK262" i="43"/>
  <c r="HL262" i="43"/>
  <c r="HM262" i="43"/>
  <c r="HN262" i="43"/>
  <c r="HO262" i="43"/>
  <c r="HP262" i="43"/>
  <c r="HQ262" i="43"/>
  <c r="HR262" i="43"/>
  <c r="HS262" i="43"/>
  <c r="HT262" i="43"/>
  <c r="HU262" i="43"/>
  <c r="HV262" i="43"/>
  <c r="HW262" i="43"/>
  <c r="HX262" i="43"/>
  <c r="HY262" i="43"/>
  <c r="HZ262" i="43"/>
  <c r="IA262" i="43"/>
  <c r="IB262" i="43"/>
  <c r="IC262" i="43"/>
  <c r="ID262" i="43"/>
  <c r="IE262" i="43"/>
  <c r="IF262" i="43"/>
  <c r="IG262" i="43"/>
  <c r="IH262" i="43"/>
  <c r="II262" i="43"/>
  <c r="IJ262" i="43"/>
  <c r="IK262" i="43"/>
  <c r="IL262" i="43"/>
  <c r="IM262" i="43"/>
  <c r="IN262" i="43"/>
  <c r="IO262" i="43"/>
  <c r="IP262" i="43"/>
  <c r="IQ262" i="43"/>
  <c r="IR262" i="43"/>
  <c r="IS262" i="43"/>
  <c r="IT262" i="43"/>
  <c r="IU262" i="43"/>
  <c r="IV262" i="43"/>
  <c r="A261" i="43"/>
  <c r="B261" i="43"/>
  <c r="C261" i="43"/>
  <c r="D261" i="43"/>
  <c r="E261" i="43"/>
  <c r="F261" i="43"/>
  <c r="G261" i="43"/>
  <c r="H261" i="43"/>
  <c r="I261" i="43"/>
  <c r="J261" i="43"/>
  <c r="K261" i="43"/>
  <c r="L261" i="43"/>
  <c r="M261" i="43"/>
  <c r="N261" i="43"/>
  <c r="O261" i="43"/>
  <c r="P261" i="43"/>
  <c r="Q261" i="43"/>
  <c r="R261" i="43"/>
  <c r="S261" i="43"/>
  <c r="T261" i="43"/>
  <c r="U261" i="43"/>
  <c r="V261" i="43"/>
  <c r="W261" i="43"/>
  <c r="X261" i="43"/>
  <c r="Y261" i="43"/>
  <c r="Z261" i="43"/>
  <c r="AA261" i="43"/>
  <c r="AB261" i="43"/>
  <c r="AC261" i="43"/>
  <c r="AD261" i="43"/>
  <c r="AE261" i="43"/>
  <c r="AF261" i="43"/>
  <c r="AG261" i="43"/>
  <c r="AH261" i="43"/>
  <c r="AI261" i="43"/>
  <c r="AJ261" i="43"/>
  <c r="AK261" i="43"/>
  <c r="AL261" i="43"/>
  <c r="AM261" i="43"/>
  <c r="AN261" i="43"/>
  <c r="AO261" i="43"/>
  <c r="AP261" i="43"/>
  <c r="AQ261" i="43"/>
  <c r="AR261" i="43"/>
  <c r="AS261" i="43"/>
  <c r="AT261" i="43"/>
  <c r="AU261" i="43"/>
  <c r="AV261" i="43"/>
  <c r="AW261" i="43"/>
  <c r="AX261" i="43"/>
  <c r="AY261" i="43"/>
  <c r="AZ261" i="43"/>
  <c r="BA261" i="43"/>
  <c r="BB261" i="43"/>
  <c r="BC261" i="43"/>
  <c r="BD261" i="43"/>
  <c r="BE261" i="43"/>
  <c r="BF261" i="43"/>
  <c r="BG261" i="43"/>
  <c r="BH261" i="43"/>
  <c r="BI261" i="43"/>
  <c r="BJ261" i="43"/>
  <c r="BK261" i="43"/>
  <c r="BL261" i="43"/>
  <c r="BM261" i="43"/>
  <c r="BN261" i="43"/>
  <c r="BO261" i="43"/>
  <c r="BP261" i="43"/>
  <c r="BQ261" i="43"/>
  <c r="BR261" i="43"/>
  <c r="BS261" i="43"/>
  <c r="BT261" i="43"/>
  <c r="BU261" i="43"/>
  <c r="BV261" i="43"/>
  <c r="BW261" i="43"/>
  <c r="BX261" i="43"/>
  <c r="BY261" i="43"/>
  <c r="BZ261" i="43"/>
  <c r="CA261" i="43"/>
  <c r="CB261" i="43"/>
  <c r="CC261" i="43"/>
  <c r="CD261" i="43"/>
  <c r="CE261" i="43"/>
  <c r="CF261" i="43"/>
  <c r="CG261" i="43"/>
  <c r="CH261" i="43"/>
  <c r="CI261" i="43"/>
  <c r="CJ261" i="43"/>
  <c r="CK261" i="43"/>
  <c r="CL261" i="43"/>
  <c r="CM261" i="43"/>
  <c r="CN261" i="43"/>
  <c r="CO261" i="43"/>
  <c r="CP261" i="43"/>
  <c r="CQ261" i="43"/>
  <c r="CR261" i="43"/>
  <c r="CS261" i="43"/>
  <c r="CT261" i="43"/>
  <c r="CU261" i="43"/>
  <c r="CV261" i="43"/>
  <c r="CW261" i="43"/>
  <c r="CX261" i="43"/>
  <c r="CY261" i="43"/>
  <c r="CZ261" i="43"/>
  <c r="DA261" i="43"/>
  <c r="DB261" i="43"/>
  <c r="DC261" i="43"/>
  <c r="DD261" i="43"/>
  <c r="DE261" i="43"/>
  <c r="DF261" i="43"/>
  <c r="DG261" i="43"/>
  <c r="DH261" i="43"/>
  <c r="DI261" i="43"/>
  <c r="DJ261" i="43"/>
  <c r="DK261" i="43"/>
  <c r="DL261" i="43"/>
  <c r="DM261" i="43"/>
  <c r="DN261" i="43"/>
  <c r="DO261" i="43"/>
  <c r="DP261" i="43"/>
  <c r="DQ261" i="43"/>
  <c r="DR261" i="43"/>
  <c r="DS261" i="43"/>
  <c r="DT261" i="43"/>
  <c r="DU261" i="43"/>
  <c r="DV261" i="43"/>
  <c r="DW261" i="43"/>
  <c r="DX261" i="43"/>
  <c r="DY261" i="43"/>
  <c r="DZ261" i="43"/>
  <c r="EA261" i="43"/>
  <c r="EB261" i="43"/>
  <c r="EC261" i="43"/>
  <c r="ED261" i="43"/>
  <c r="EE261" i="43"/>
  <c r="EF261" i="43"/>
  <c r="EG261" i="43"/>
  <c r="EH261" i="43"/>
  <c r="EI261" i="43"/>
  <c r="EJ261" i="43"/>
  <c r="EK261" i="43"/>
  <c r="EL261" i="43"/>
  <c r="EM261" i="43"/>
  <c r="EN261" i="43"/>
  <c r="EO261" i="43"/>
  <c r="EP261" i="43"/>
  <c r="EQ261" i="43"/>
  <c r="ER261" i="43"/>
  <c r="ES261" i="43"/>
  <c r="ET261" i="43"/>
  <c r="EU261" i="43"/>
  <c r="EV261" i="43"/>
  <c r="EW261" i="43"/>
  <c r="EX261" i="43"/>
  <c r="EY261" i="43"/>
  <c r="EZ261" i="43"/>
  <c r="FA261" i="43"/>
  <c r="FB261" i="43"/>
  <c r="FC261" i="43"/>
  <c r="FD261" i="43"/>
  <c r="FE261" i="43"/>
  <c r="FF261" i="43"/>
  <c r="FG261" i="43"/>
  <c r="FH261" i="43"/>
  <c r="FI261" i="43"/>
  <c r="FJ261" i="43"/>
  <c r="FK261" i="43"/>
  <c r="FL261" i="43"/>
  <c r="FM261" i="43"/>
  <c r="FN261" i="43"/>
  <c r="FO261" i="43"/>
  <c r="FP261" i="43"/>
  <c r="FQ261" i="43"/>
  <c r="FR261" i="43"/>
  <c r="FS261" i="43"/>
  <c r="FT261" i="43"/>
  <c r="FU261" i="43"/>
  <c r="FV261" i="43"/>
  <c r="FW261" i="43"/>
  <c r="FX261" i="43"/>
  <c r="FY261" i="43"/>
  <c r="FZ261" i="43"/>
  <c r="GA261" i="43"/>
  <c r="GB261" i="43"/>
  <c r="GC261" i="43"/>
  <c r="GD261" i="43"/>
  <c r="GE261" i="43"/>
  <c r="GF261" i="43"/>
  <c r="GG261" i="43"/>
  <c r="GH261" i="43"/>
  <c r="GI261" i="43"/>
  <c r="GJ261" i="43"/>
  <c r="GK261" i="43"/>
  <c r="GL261" i="43"/>
  <c r="GM261" i="43"/>
  <c r="GN261" i="43"/>
  <c r="GO261" i="43"/>
  <c r="GP261" i="43"/>
  <c r="GQ261" i="43"/>
  <c r="GR261" i="43"/>
  <c r="GS261" i="43"/>
  <c r="GT261" i="43"/>
  <c r="GU261" i="43"/>
  <c r="GV261" i="43"/>
  <c r="GW261" i="43"/>
  <c r="GX261" i="43"/>
  <c r="GY261" i="43"/>
  <c r="GZ261" i="43"/>
  <c r="HA261" i="43"/>
  <c r="HB261" i="43"/>
  <c r="HC261" i="43"/>
  <c r="HD261" i="43"/>
  <c r="HE261" i="43"/>
  <c r="HF261" i="43"/>
  <c r="HG261" i="43"/>
  <c r="HH261" i="43"/>
  <c r="HI261" i="43"/>
  <c r="HJ261" i="43"/>
  <c r="HK261" i="43"/>
  <c r="HL261" i="43"/>
  <c r="HM261" i="43"/>
  <c r="HN261" i="43"/>
  <c r="HO261" i="43"/>
  <c r="HP261" i="43"/>
  <c r="HQ261" i="43"/>
  <c r="HR261" i="43"/>
  <c r="HS261" i="43"/>
  <c r="HT261" i="43"/>
  <c r="HU261" i="43"/>
  <c r="HV261" i="43"/>
  <c r="HW261" i="43"/>
  <c r="HX261" i="43"/>
  <c r="HY261" i="43"/>
  <c r="HZ261" i="43"/>
  <c r="IA261" i="43"/>
  <c r="IB261" i="43"/>
  <c r="IC261" i="43"/>
  <c r="ID261" i="43"/>
  <c r="IE261" i="43"/>
  <c r="IF261" i="43"/>
  <c r="IG261" i="43"/>
  <c r="IH261" i="43"/>
  <c r="II261" i="43"/>
  <c r="IJ261" i="43"/>
  <c r="IK261" i="43"/>
  <c r="IL261" i="43"/>
  <c r="IM261" i="43"/>
  <c r="IN261" i="43"/>
  <c r="IO261" i="43"/>
  <c r="IP261" i="43"/>
  <c r="IQ261" i="43"/>
  <c r="IR261" i="43"/>
  <c r="IS261" i="43"/>
  <c r="IT261" i="43"/>
  <c r="IU261" i="43"/>
  <c r="IV261" i="43"/>
  <c r="A260" i="43"/>
  <c r="B260" i="43"/>
  <c r="C260" i="43"/>
  <c r="D260" i="43"/>
  <c r="E260" i="43"/>
  <c r="F260" i="43"/>
  <c r="G260" i="43"/>
  <c r="H260" i="43"/>
  <c r="I260" i="43"/>
  <c r="J260" i="43"/>
  <c r="K260" i="43"/>
  <c r="L260" i="43"/>
  <c r="M260" i="43"/>
  <c r="N260" i="43"/>
  <c r="O260" i="43"/>
  <c r="P260" i="43"/>
  <c r="Q260" i="43"/>
  <c r="R260" i="43"/>
  <c r="S260" i="43"/>
  <c r="T260" i="43"/>
  <c r="U260" i="43"/>
  <c r="V260" i="43"/>
  <c r="W260" i="43"/>
  <c r="X260" i="43"/>
  <c r="Y260" i="43"/>
  <c r="Z260" i="43"/>
  <c r="AA260" i="43"/>
  <c r="AB260" i="43"/>
  <c r="AC260" i="43"/>
  <c r="AD260" i="43"/>
  <c r="AE260" i="43"/>
  <c r="AF260" i="43"/>
  <c r="AG260" i="43"/>
  <c r="AH260" i="43"/>
  <c r="AI260" i="43"/>
  <c r="AJ260" i="43"/>
  <c r="AK260" i="43"/>
  <c r="AL260" i="43"/>
  <c r="AM260" i="43"/>
  <c r="AN260" i="43"/>
  <c r="AO260" i="43"/>
  <c r="AP260" i="43"/>
  <c r="AQ260" i="43"/>
  <c r="AR260" i="43"/>
  <c r="AS260" i="43"/>
  <c r="AT260" i="43"/>
  <c r="AU260" i="43"/>
  <c r="AV260" i="43"/>
  <c r="AW260" i="43"/>
  <c r="AX260" i="43"/>
  <c r="AY260" i="43"/>
  <c r="AZ260" i="43"/>
  <c r="BA260" i="43"/>
  <c r="BB260" i="43"/>
  <c r="BC260" i="43"/>
  <c r="BD260" i="43"/>
  <c r="BE260" i="43"/>
  <c r="BF260" i="43"/>
  <c r="BG260" i="43"/>
  <c r="BH260" i="43"/>
  <c r="BI260" i="43"/>
  <c r="BJ260" i="43"/>
  <c r="BK260" i="43"/>
  <c r="BL260" i="43"/>
  <c r="BM260" i="43"/>
  <c r="BN260" i="43"/>
  <c r="BO260" i="43"/>
  <c r="BP260" i="43"/>
  <c r="BQ260" i="43"/>
  <c r="BR260" i="43"/>
  <c r="BS260" i="43"/>
  <c r="BT260" i="43"/>
  <c r="BU260" i="43"/>
  <c r="BV260" i="43"/>
  <c r="BW260" i="43"/>
  <c r="BX260" i="43"/>
  <c r="BY260" i="43"/>
  <c r="BZ260" i="43"/>
  <c r="CA260" i="43"/>
  <c r="CB260" i="43"/>
  <c r="CC260" i="43"/>
  <c r="CD260" i="43"/>
  <c r="CE260" i="43"/>
  <c r="CF260" i="43"/>
  <c r="CG260" i="43"/>
  <c r="CH260" i="43"/>
  <c r="CI260" i="43"/>
  <c r="CJ260" i="43"/>
  <c r="CK260" i="43"/>
  <c r="CL260" i="43"/>
  <c r="CM260" i="43"/>
  <c r="CN260" i="43"/>
  <c r="CO260" i="43"/>
  <c r="CP260" i="43"/>
  <c r="CQ260" i="43"/>
  <c r="CR260" i="43"/>
  <c r="CS260" i="43"/>
  <c r="CT260" i="43"/>
  <c r="CU260" i="43"/>
  <c r="CV260" i="43"/>
  <c r="CW260" i="43"/>
  <c r="CX260" i="43"/>
  <c r="CY260" i="43"/>
  <c r="CZ260" i="43"/>
  <c r="DA260" i="43"/>
  <c r="DB260" i="43"/>
  <c r="DC260" i="43"/>
  <c r="DD260" i="43"/>
  <c r="DE260" i="43"/>
  <c r="DF260" i="43"/>
  <c r="DG260" i="43"/>
  <c r="DH260" i="43"/>
  <c r="DI260" i="43"/>
  <c r="DJ260" i="43"/>
  <c r="DK260" i="43"/>
  <c r="DL260" i="43"/>
  <c r="DM260" i="43"/>
  <c r="DN260" i="43"/>
  <c r="DO260" i="43"/>
  <c r="DP260" i="43"/>
  <c r="DQ260" i="43"/>
  <c r="DR260" i="43"/>
  <c r="DS260" i="43"/>
  <c r="DT260" i="43"/>
  <c r="DU260" i="43"/>
  <c r="DV260" i="43"/>
  <c r="DW260" i="43"/>
  <c r="DX260" i="43"/>
  <c r="DY260" i="43"/>
  <c r="DZ260" i="43"/>
  <c r="EA260" i="43"/>
  <c r="EB260" i="43"/>
  <c r="EC260" i="43"/>
  <c r="ED260" i="43"/>
  <c r="EE260" i="43"/>
  <c r="EF260" i="43"/>
  <c r="EG260" i="43"/>
  <c r="EH260" i="43"/>
  <c r="EI260" i="43"/>
  <c r="EJ260" i="43"/>
  <c r="EK260" i="43"/>
  <c r="EL260" i="43"/>
  <c r="EM260" i="43"/>
  <c r="EN260" i="43"/>
  <c r="EO260" i="43"/>
  <c r="EP260" i="43"/>
  <c r="EQ260" i="43"/>
  <c r="ER260" i="43"/>
  <c r="ES260" i="43"/>
  <c r="ET260" i="43"/>
  <c r="EU260" i="43"/>
  <c r="EV260" i="43"/>
  <c r="EW260" i="43"/>
  <c r="EX260" i="43"/>
  <c r="EY260" i="43"/>
  <c r="EZ260" i="43"/>
  <c r="FA260" i="43"/>
  <c r="FB260" i="43"/>
  <c r="FC260" i="43"/>
  <c r="FD260" i="43"/>
  <c r="FE260" i="43"/>
  <c r="FF260" i="43"/>
  <c r="FG260" i="43"/>
  <c r="FH260" i="43"/>
  <c r="FI260" i="43"/>
  <c r="FJ260" i="43"/>
  <c r="FK260" i="43"/>
  <c r="FL260" i="43"/>
  <c r="FM260" i="43"/>
  <c r="FN260" i="43"/>
  <c r="FO260" i="43"/>
  <c r="FP260" i="43"/>
  <c r="FQ260" i="43"/>
  <c r="FR260" i="43"/>
  <c r="FS260" i="43"/>
  <c r="FT260" i="43"/>
  <c r="FU260" i="43"/>
  <c r="FV260" i="43"/>
  <c r="FW260" i="43"/>
  <c r="FX260" i="43"/>
  <c r="FY260" i="43"/>
  <c r="FZ260" i="43"/>
  <c r="GA260" i="43"/>
  <c r="GB260" i="43"/>
  <c r="GC260" i="43"/>
  <c r="GD260" i="43"/>
  <c r="GE260" i="43"/>
  <c r="GF260" i="43"/>
  <c r="GG260" i="43"/>
  <c r="GH260" i="43"/>
  <c r="GI260" i="43"/>
  <c r="GJ260" i="43"/>
  <c r="GK260" i="43"/>
  <c r="GL260" i="43"/>
  <c r="GM260" i="43"/>
  <c r="GN260" i="43"/>
  <c r="GO260" i="43"/>
  <c r="GP260" i="43"/>
  <c r="GQ260" i="43"/>
  <c r="GR260" i="43"/>
  <c r="GS260" i="43"/>
  <c r="GT260" i="43"/>
  <c r="GU260" i="43"/>
  <c r="GV260" i="43"/>
  <c r="GW260" i="43"/>
  <c r="GX260" i="43"/>
  <c r="GY260" i="43"/>
  <c r="GZ260" i="43"/>
  <c r="HA260" i="43"/>
  <c r="HB260" i="43"/>
  <c r="HC260" i="43"/>
  <c r="HD260" i="43"/>
  <c r="HE260" i="43"/>
  <c r="HF260" i="43"/>
  <c r="HG260" i="43"/>
  <c r="HH260" i="43"/>
  <c r="HI260" i="43"/>
  <c r="HJ260" i="43"/>
  <c r="HK260" i="43"/>
  <c r="HL260" i="43"/>
  <c r="HM260" i="43"/>
  <c r="HN260" i="43"/>
  <c r="HO260" i="43"/>
  <c r="HP260" i="43"/>
  <c r="HQ260" i="43"/>
  <c r="HR260" i="43"/>
  <c r="HS260" i="43"/>
  <c r="HT260" i="43"/>
  <c r="HU260" i="43"/>
  <c r="HV260" i="43"/>
  <c r="HW260" i="43"/>
  <c r="HX260" i="43"/>
  <c r="HY260" i="43"/>
  <c r="HZ260" i="43"/>
  <c r="IA260" i="43"/>
  <c r="IB260" i="43"/>
  <c r="IC260" i="43"/>
  <c r="ID260" i="43"/>
  <c r="IE260" i="43"/>
  <c r="IF260" i="43"/>
  <c r="IG260" i="43"/>
  <c r="IH260" i="43"/>
  <c r="II260" i="43"/>
  <c r="IJ260" i="43"/>
  <c r="IK260" i="43"/>
  <c r="IL260" i="43"/>
  <c r="IM260" i="43"/>
  <c r="IN260" i="43"/>
  <c r="IO260" i="43"/>
  <c r="IP260" i="43"/>
  <c r="IQ260" i="43"/>
  <c r="IR260" i="43"/>
  <c r="IS260" i="43"/>
  <c r="IT260" i="43"/>
  <c r="IU260" i="43"/>
  <c r="IV260" i="43"/>
  <c r="A259" i="43"/>
  <c r="B259" i="43"/>
  <c r="C259" i="43"/>
  <c r="D259" i="43"/>
  <c r="E259" i="43"/>
  <c r="F259" i="43"/>
  <c r="G259" i="43"/>
  <c r="H259" i="43"/>
  <c r="I259" i="43"/>
  <c r="J259" i="43"/>
  <c r="K259" i="43"/>
  <c r="L259" i="43"/>
  <c r="M259" i="43"/>
  <c r="N259" i="43"/>
  <c r="O259" i="43"/>
  <c r="P259" i="43"/>
  <c r="Q259" i="43"/>
  <c r="R259" i="43"/>
  <c r="S259" i="43"/>
  <c r="T259" i="43"/>
  <c r="U259" i="43"/>
  <c r="V259" i="43"/>
  <c r="W259" i="43"/>
  <c r="X259" i="43"/>
  <c r="Y259" i="43"/>
  <c r="Z259" i="43"/>
  <c r="AA259" i="43"/>
  <c r="AB259" i="43"/>
  <c r="AC259" i="43"/>
  <c r="AD259" i="43"/>
  <c r="AE259" i="43"/>
  <c r="AF259" i="43"/>
  <c r="AG259" i="43"/>
  <c r="AH259" i="43"/>
  <c r="AI259" i="43"/>
  <c r="AJ259" i="43"/>
  <c r="AK259" i="43"/>
  <c r="AL259" i="43"/>
  <c r="AM259" i="43"/>
  <c r="AN259" i="43"/>
  <c r="AO259" i="43"/>
  <c r="AP259" i="43"/>
  <c r="AQ259" i="43"/>
  <c r="AR259" i="43"/>
  <c r="AS259" i="43"/>
  <c r="AT259" i="43"/>
  <c r="AU259" i="43"/>
  <c r="AV259" i="43"/>
  <c r="AW259" i="43"/>
  <c r="AX259" i="43"/>
  <c r="AY259" i="43"/>
  <c r="AZ259" i="43"/>
  <c r="BA259" i="43"/>
  <c r="BB259" i="43"/>
  <c r="BC259" i="43"/>
  <c r="BD259" i="43"/>
  <c r="BE259" i="43"/>
  <c r="BF259" i="43"/>
  <c r="BG259" i="43"/>
  <c r="BH259" i="43"/>
  <c r="BI259" i="43"/>
  <c r="BJ259" i="43"/>
  <c r="BK259" i="43"/>
  <c r="BL259" i="43"/>
  <c r="BM259" i="43"/>
  <c r="BN259" i="43"/>
  <c r="BO259" i="43"/>
  <c r="BP259" i="43"/>
  <c r="BQ259" i="43"/>
  <c r="BR259" i="43"/>
  <c r="BS259" i="43"/>
  <c r="BT259" i="43"/>
  <c r="BU259" i="43"/>
  <c r="BV259" i="43"/>
  <c r="BW259" i="43"/>
  <c r="BX259" i="43"/>
  <c r="BY259" i="43"/>
  <c r="BZ259" i="43"/>
  <c r="CA259" i="43"/>
  <c r="CB259" i="43"/>
  <c r="CC259" i="43"/>
  <c r="CD259" i="43"/>
  <c r="CE259" i="43"/>
  <c r="CF259" i="43"/>
  <c r="CG259" i="43"/>
  <c r="CH259" i="43"/>
  <c r="CI259" i="43"/>
  <c r="CJ259" i="43"/>
  <c r="CK259" i="43"/>
  <c r="CL259" i="43"/>
  <c r="CM259" i="43"/>
  <c r="CN259" i="43"/>
  <c r="CO259" i="43"/>
  <c r="CP259" i="43"/>
  <c r="CQ259" i="43"/>
  <c r="CR259" i="43"/>
  <c r="CS259" i="43"/>
  <c r="CT259" i="43"/>
  <c r="CU259" i="43"/>
  <c r="CV259" i="43"/>
  <c r="CW259" i="43"/>
  <c r="CX259" i="43"/>
  <c r="CY259" i="43"/>
  <c r="CZ259" i="43"/>
  <c r="DA259" i="43"/>
  <c r="DB259" i="43"/>
  <c r="DC259" i="43"/>
  <c r="DD259" i="43"/>
  <c r="DE259" i="43"/>
  <c r="DF259" i="43"/>
  <c r="DG259" i="43"/>
  <c r="DH259" i="43"/>
  <c r="DI259" i="43"/>
  <c r="DJ259" i="43"/>
  <c r="DK259" i="43"/>
  <c r="DL259" i="43"/>
  <c r="DM259" i="43"/>
  <c r="DN259" i="43"/>
  <c r="DO259" i="43"/>
  <c r="DP259" i="43"/>
  <c r="DQ259" i="43"/>
  <c r="DR259" i="43"/>
  <c r="DS259" i="43"/>
  <c r="DT259" i="43"/>
  <c r="DU259" i="43"/>
  <c r="DV259" i="43"/>
  <c r="DW259" i="43"/>
  <c r="DX259" i="43"/>
  <c r="DY259" i="43"/>
  <c r="DZ259" i="43"/>
  <c r="EA259" i="43"/>
  <c r="EB259" i="43"/>
  <c r="EC259" i="43"/>
  <c r="ED259" i="43"/>
  <c r="EE259" i="43"/>
  <c r="EF259" i="43"/>
  <c r="EG259" i="43"/>
  <c r="EH259" i="43"/>
  <c r="EI259" i="43"/>
  <c r="EJ259" i="43"/>
  <c r="EK259" i="43"/>
  <c r="EL259" i="43"/>
  <c r="EM259" i="43"/>
  <c r="EN259" i="43"/>
  <c r="EO259" i="43"/>
  <c r="EP259" i="43"/>
  <c r="EQ259" i="43"/>
  <c r="ER259" i="43"/>
  <c r="ES259" i="43"/>
  <c r="ET259" i="43"/>
  <c r="EU259" i="43"/>
  <c r="EV259" i="43"/>
  <c r="EW259" i="43"/>
  <c r="EX259" i="43"/>
  <c r="EY259" i="43"/>
  <c r="EZ259" i="43"/>
  <c r="FA259" i="43"/>
  <c r="FB259" i="43"/>
  <c r="FC259" i="43"/>
  <c r="FD259" i="43"/>
  <c r="FE259" i="43"/>
  <c r="FF259" i="43"/>
  <c r="FG259" i="43"/>
  <c r="FH259" i="43"/>
  <c r="FI259" i="43"/>
  <c r="FJ259" i="43"/>
  <c r="FK259" i="43"/>
  <c r="FL259" i="43"/>
  <c r="FM259" i="43"/>
  <c r="FN259" i="43"/>
  <c r="FO259" i="43"/>
  <c r="FP259" i="43"/>
  <c r="FQ259" i="43"/>
  <c r="FR259" i="43"/>
  <c r="FS259" i="43"/>
  <c r="FT259" i="43"/>
  <c r="FU259" i="43"/>
  <c r="FV259" i="43"/>
  <c r="FW259" i="43"/>
  <c r="FX259" i="43"/>
  <c r="FY259" i="43"/>
  <c r="FZ259" i="43"/>
  <c r="GA259" i="43"/>
  <c r="GB259" i="43"/>
  <c r="GC259" i="43"/>
  <c r="GD259" i="43"/>
  <c r="GE259" i="43"/>
  <c r="GF259" i="43"/>
  <c r="GG259" i="43"/>
  <c r="GH259" i="43"/>
  <c r="GI259" i="43"/>
  <c r="GJ259" i="43"/>
  <c r="GK259" i="43"/>
  <c r="GL259" i="43"/>
  <c r="GM259" i="43"/>
  <c r="GN259" i="43"/>
  <c r="GO259" i="43"/>
  <c r="GP259" i="43"/>
  <c r="GQ259" i="43"/>
  <c r="GR259" i="43"/>
  <c r="GS259" i="43"/>
  <c r="GT259" i="43"/>
  <c r="GU259" i="43"/>
  <c r="GV259" i="43"/>
  <c r="GW259" i="43"/>
  <c r="GX259" i="43"/>
  <c r="GY259" i="43"/>
  <c r="GZ259" i="43"/>
  <c r="HA259" i="43"/>
  <c r="HB259" i="43"/>
  <c r="HC259" i="43"/>
  <c r="HD259" i="43"/>
  <c r="HE259" i="43"/>
  <c r="HF259" i="43"/>
  <c r="HG259" i="43"/>
  <c r="HH259" i="43"/>
  <c r="HI259" i="43"/>
  <c r="HJ259" i="43"/>
  <c r="HK259" i="43"/>
  <c r="HL259" i="43"/>
  <c r="HM259" i="43"/>
  <c r="HN259" i="43"/>
  <c r="HO259" i="43"/>
  <c r="HP259" i="43"/>
  <c r="HQ259" i="43"/>
  <c r="HR259" i="43"/>
  <c r="HS259" i="43"/>
  <c r="HT259" i="43"/>
  <c r="HU259" i="43"/>
  <c r="HV259" i="43"/>
  <c r="HW259" i="43"/>
  <c r="HX259" i="43"/>
  <c r="HY259" i="43"/>
  <c r="HZ259" i="43"/>
  <c r="IA259" i="43"/>
  <c r="IB259" i="43"/>
  <c r="IC259" i="43"/>
  <c r="ID259" i="43"/>
  <c r="IE259" i="43"/>
  <c r="IF259" i="43"/>
  <c r="IG259" i="43"/>
  <c r="IH259" i="43"/>
  <c r="II259" i="43"/>
  <c r="IJ259" i="43"/>
  <c r="IK259" i="43"/>
  <c r="IL259" i="43"/>
  <c r="IM259" i="43"/>
  <c r="IN259" i="43"/>
  <c r="IO259" i="43"/>
  <c r="IP259" i="43"/>
  <c r="IQ259" i="43"/>
  <c r="IR259" i="43"/>
  <c r="IS259" i="43"/>
  <c r="IT259" i="43"/>
  <c r="IU259" i="43"/>
  <c r="IV259" i="43"/>
  <c r="A258" i="43"/>
  <c r="B258" i="43"/>
  <c r="C258" i="43"/>
  <c r="D258" i="43"/>
  <c r="E258" i="43"/>
  <c r="F258" i="43"/>
  <c r="G258" i="43"/>
  <c r="H258" i="43"/>
  <c r="I258" i="43"/>
  <c r="J258" i="43"/>
  <c r="K258" i="43"/>
  <c r="L258" i="43"/>
  <c r="M258" i="43"/>
  <c r="N258" i="43"/>
  <c r="O258" i="43"/>
  <c r="P258" i="43"/>
  <c r="Q258" i="43"/>
  <c r="R258" i="43"/>
  <c r="S258" i="43"/>
  <c r="T258" i="43"/>
  <c r="U258" i="43"/>
  <c r="V258" i="43"/>
  <c r="W258" i="43"/>
  <c r="X258" i="43"/>
  <c r="Y258" i="43"/>
  <c r="Z258" i="43"/>
  <c r="AA258" i="43"/>
  <c r="AB258" i="43"/>
  <c r="AC258" i="43"/>
  <c r="AD258" i="43"/>
  <c r="AE258" i="43"/>
  <c r="AF258" i="43"/>
  <c r="AG258" i="43"/>
  <c r="AH258" i="43"/>
  <c r="AI258" i="43"/>
  <c r="AJ258" i="43"/>
  <c r="AK258" i="43"/>
  <c r="AL258" i="43"/>
  <c r="AM258" i="43"/>
  <c r="AN258" i="43"/>
  <c r="AO258" i="43"/>
  <c r="AP258" i="43"/>
  <c r="AQ258" i="43"/>
  <c r="AR258" i="43"/>
  <c r="AS258" i="43"/>
  <c r="AT258" i="43"/>
  <c r="AU258" i="43"/>
  <c r="AV258" i="43"/>
  <c r="AW258" i="43"/>
  <c r="AX258" i="43"/>
  <c r="AY258" i="43"/>
  <c r="AZ258" i="43"/>
  <c r="BA258" i="43"/>
  <c r="BB258" i="43"/>
  <c r="BC258" i="43"/>
  <c r="BD258" i="43"/>
  <c r="BE258" i="43"/>
  <c r="BF258" i="43"/>
  <c r="BG258" i="43"/>
  <c r="BH258" i="43"/>
  <c r="BI258" i="43"/>
  <c r="BJ258" i="43"/>
  <c r="BK258" i="43"/>
  <c r="BL258" i="43"/>
  <c r="BM258" i="43"/>
  <c r="BN258" i="43"/>
  <c r="BO258" i="43"/>
  <c r="BP258" i="43"/>
  <c r="BQ258" i="43"/>
  <c r="BR258" i="43"/>
  <c r="BS258" i="43"/>
  <c r="BT258" i="43"/>
  <c r="BU258" i="43"/>
  <c r="BV258" i="43"/>
  <c r="BW258" i="43"/>
  <c r="BX258" i="43"/>
  <c r="BY258" i="43"/>
  <c r="BZ258" i="43"/>
  <c r="CA258" i="43"/>
  <c r="CB258" i="43"/>
  <c r="CC258" i="43"/>
  <c r="CD258" i="43"/>
  <c r="CE258" i="43"/>
  <c r="CF258" i="43"/>
  <c r="CG258" i="43"/>
  <c r="CH258" i="43"/>
  <c r="CI258" i="43"/>
  <c r="CJ258" i="43"/>
  <c r="CK258" i="43"/>
  <c r="CL258" i="43"/>
  <c r="CM258" i="43"/>
  <c r="CN258" i="43"/>
  <c r="CO258" i="43"/>
  <c r="CP258" i="43"/>
  <c r="CQ258" i="43"/>
  <c r="CR258" i="43"/>
  <c r="CS258" i="43"/>
  <c r="CT258" i="43"/>
  <c r="CU258" i="43"/>
  <c r="CV258" i="43"/>
  <c r="CW258" i="43"/>
  <c r="CX258" i="43"/>
  <c r="CY258" i="43"/>
  <c r="CZ258" i="43"/>
  <c r="DA258" i="43"/>
  <c r="DB258" i="43"/>
  <c r="DC258" i="43"/>
  <c r="DD258" i="43"/>
  <c r="DE258" i="43"/>
  <c r="DF258" i="43"/>
  <c r="DG258" i="43"/>
  <c r="DH258" i="43"/>
  <c r="DI258" i="43"/>
  <c r="DJ258" i="43"/>
  <c r="DK258" i="43"/>
  <c r="DL258" i="43"/>
  <c r="DM258" i="43"/>
  <c r="DN258" i="43"/>
  <c r="DO258" i="43"/>
  <c r="DP258" i="43"/>
  <c r="DQ258" i="43"/>
  <c r="DR258" i="43"/>
  <c r="DS258" i="43"/>
  <c r="DT258" i="43"/>
  <c r="DU258" i="43"/>
  <c r="DV258" i="43"/>
  <c r="DW258" i="43"/>
  <c r="DX258" i="43"/>
  <c r="DY258" i="43"/>
  <c r="DZ258" i="43"/>
  <c r="EA258" i="43"/>
  <c r="EB258" i="43"/>
  <c r="EC258" i="43"/>
  <c r="ED258" i="43"/>
  <c r="EE258" i="43"/>
  <c r="EF258" i="43"/>
  <c r="EG258" i="43"/>
  <c r="EH258" i="43"/>
  <c r="EI258" i="43"/>
  <c r="EJ258" i="43"/>
  <c r="EK258" i="43"/>
  <c r="EL258" i="43"/>
  <c r="EM258" i="43"/>
  <c r="EN258" i="43"/>
  <c r="EO258" i="43"/>
  <c r="EP258" i="43"/>
  <c r="EQ258" i="43"/>
  <c r="ER258" i="43"/>
  <c r="ES258" i="43"/>
  <c r="ET258" i="43"/>
  <c r="EU258" i="43"/>
  <c r="EV258" i="43"/>
  <c r="EW258" i="43"/>
  <c r="EX258" i="43"/>
  <c r="EY258" i="43"/>
  <c r="EZ258" i="43"/>
  <c r="FA258" i="43"/>
  <c r="FB258" i="43"/>
  <c r="FC258" i="43"/>
  <c r="FD258" i="43"/>
  <c r="FE258" i="43"/>
  <c r="FF258" i="43"/>
  <c r="FG258" i="43"/>
  <c r="FH258" i="43"/>
  <c r="FI258" i="43"/>
  <c r="FJ258" i="43"/>
  <c r="FK258" i="43"/>
  <c r="FL258" i="43"/>
  <c r="FM258" i="43"/>
  <c r="FN258" i="43"/>
  <c r="FO258" i="43"/>
  <c r="FP258" i="43"/>
  <c r="FQ258" i="43"/>
  <c r="FR258" i="43"/>
  <c r="FS258" i="43"/>
  <c r="FT258" i="43"/>
  <c r="FU258" i="43"/>
  <c r="FV258" i="43"/>
  <c r="FW258" i="43"/>
  <c r="FX258" i="43"/>
  <c r="FY258" i="43"/>
  <c r="FZ258" i="43"/>
  <c r="GA258" i="43"/>
  <c r="GB258" i="43"/>
  <c r="GC258" i="43"/>
  <c r="GD258" i="43"/>
  <c r="GE258" i="43"/>
  <c r="GF258" i="43"/>
  <c r="GG258" i="43"/>
  <c r="GH258" i="43"/>
  <c r="GI258" i="43"/>
  <c r="GJ258" i="43"/>
  <c r="GK258" i="43"/>
  <c r="GL258" i="43"/>
  <c r="GM258" i="43"/>
  <c r="GN258" i="43"/>
  <c r="GO258" i="43"/>
  <c r="GP258" i="43"/>
  <c r="GQ258" i="43"/>
  <c r="GR258" i="43"/>
  <c r="GS258" i="43"/>
  <c r="GT258" i="43"/>
  <c r="GU258" i="43"/>
  <c r="GV258" i="43"/>
  <c r="GW258" i="43"/>
  <c r="GX258" i="43"/>
  <c r="GY258" i="43"/>
  <c r="GZ258" i="43"/>
  <c r="HA258" i="43"/>
  <c r="HB258" i="43"/>
  <c r="HC258" i="43"/>
  <c r="HD258" i="43"/>
  <c r="HE258" i="43"/>
  <c r="HF258" i="43"/>
  <c r="HG258" i="43"/>
  <c r="HH258" i="43"/>
  <c r="HI258" i="43"/>
  <c r="HJ258" i="43"/>
  <c r="HK258" i="43"/>
  <c r="HL258" i="43"/>
  <c r="HM258" i="43"/>
  <c r="HN258" i="43"/>
  <c r="HO258" i="43"/>
  <c r="HP258" i="43"/>
  <c r="HQ258" i="43"/>
  <c r="HR258" i="43"/>
  <c r="HS258" i="43"/>
  <c r="HT258" i="43"/>
  <c r="HU258" i="43"/>
  <c r="HV258" i="43"/>
  <c r="HW258" i="43"/>
  <c r="HX258" i="43"/>
  <c r="HY258" i="43"/>
  <c r="HZ258" i="43"/>
  <c r="IA258" i="43"/>
  <c r="IB258" i="43"/>
  <c r="IC258" i="43"/>
  <c r="ID258" i="43"/>
  <c r="IE258" i="43"/>
  <c r="IF258" i="43"/>
  <c r="IG258" i="43"/>
  <c r="IH258" i="43"/>
  <c r="II258" i="43"/>
  <c r="IJ258" i="43"/>
  <c r="IK258" i="43"/>
  <c r="IL258" i="43"/>
  <c r="IM258" i="43"/>
  <c r="IN258" i="43"/>
  <c r="IO258" i="43"/>
  <c r="IP258" i="43"/>
  <c r="IQ258" i="43"/>
  <c r="IR258" i="43"/>
  <c r="IS258" i="43"/>
  <c r="IT258" i="43"/>
  <c r="IU258" i="43"/>
  <c r="IV258" i="43"/>
  <c r="A257" i="43"/>
  <c r="B257" i="43"/>
  <c r="C257" i="43"/>
  <c r="D257" i="43"/>
  <c r="E257" i="43"/>
  <c r="F257" i="43"/>
  <c r="G257" i="43"/>
  <c r="H257" i="43"/>
  <c r="I257" i="43"/>
  <c r="J257" i="43"/>
  <c r="K257" i="43"/>
  <c r="L257" i="43"/>
  <c r="M257" i="43"/>
  <c r="N257" i="43"/>
  <c r="O257" i="43"/>
  <c r="P257" i="43"/>
  <c r="Q257" i="43"/>
  <c r="R257" i="43"/>
  <c r="S257" i="43"/>
  <c r="T257" i="43"/>
  <c r="U257" i="43"/>
  <c r="V257" i="43"/>
  <c r="W257" i="43"/>
  <c r="X257" i="43"/>
  <c r="Y257" i="43"/>
  <c r="Z257" i="43"/>
  <c r="AA257" i="43"/>
  <c r="AB257" i="43"/>
  <c r="AC257" i="43"/>
  <c r="AD257" i="43"/>
  <c r="AE257" i="43"/>
  <c r="AF257" i="43"/>
  <c r="AG257" i="43"/>
  <c r="AH257" i="43"/>
  <c r="AI257" i="43"/>
  <c r="AJ257" i="43"/>
  <c r="AK257" i="43"/>
  <c r="AL257" i="43"/>
  <c r="AM257" i="43"/>
  <c r="AN257" i="43"/>
  <c r="AO257" i="43"/>
  <c r="AP257" i="43"/>
  <c r="AQ257" i="43"/>
  <c r="AR257" i="43"/>
  <c r="AS257" i="43"/>
  <c r="AT257" i="43"/>
  <c r="AU257" i="43"/>
  <c r="AV257" i="43"/>
  <c r="AW257" i="43"/>
  <c r="AX257" i="43"/>
  <c r="AY257" i="43"/>
  <c r="AZ257" i="43"/>
  <c r="BA257" i="43"/>
  <c r="BB257" i="43"/>
  <c r="BC257" i="43"/>
  <c r="BD257" i="43"/>
  <c r="BE257" i="43"/>
  <c r="BF257" i="43"/>
  <c r="BG257" i="43"/>
  <c r="BH257" i="43"/>
  <c r="BI257" i="43"/>
  <c r="BJ257" i="43"/>
  <c r="BK257" i="43"/>
  <c r="BL257" i="43"/>
  <c r="BM257" i="43"/>
  <c r="BN257" i="43"/>
  <c r="BO257" i="43"/>
  <c r="BP257" i="43"/>
  <c r="BQ257" i="43"/>
  <c r="BR257" i="43"/>
  <c r="BS257" i="43"/>
  <c r="BT257" i="43"/>
  <c r="BU257" i="43"/>
  <c r="BV257" i="43"/>
  <c r="BW257" i="43"/>
  <c r="BX257" i="43"/>
  <c r="BY257" i="43"/>
  <c r="BZ257" i="43"/>
  <c r="CA257" i="43"/>
  <c r="CB257" i="43"/>
  <c r="CC257" i="43"/>
  <c r="CD257" i="43"/>
  <c r="CE257" i="43"/>
  <c r="CF257" i="43"/>
  <c r="CG257" i="43"/>
  <c r="CH257" i="43"/>
  <c r="CI257" i="43"/>
  <c r="CJ257" i="43"/>
  <c r="CK257" i="43"/>
  <c r="CL257" i="43"/>
  <c r="CM257" i="43"/>
  <c r="CN257" i="43"/>
  <c r="CO257" i="43"/>
  <c r="CP257" i="43"/>
  <c r="CQ257" i="43"/>
  <c r="CR257" i="43"/>
  <c r="CS257" i="43"/>
  <c r="CT257" i="43"/>
  <c r="CU257" i="43"/>
  <c r="CV257" i="43"/>
  <c r="CW257" i="43"/>
  <c r="CX257" i="43"/>
  <c r="CY257" i="43"/>
  <c r="CZ257" i="43"/>
  <c r="DA257" i="43"/>
  <c r="DB257" i="43"/>
  <c r="DC257" i="43"/>
  <c r="DD257" i="43"/>
  <c r="DE257" i="43"/>
  <c r="DF257" i="43"/>
  <c r="DG257" i="43"/>
  <c r="DH257" i="43"/>
  <c r="DI257" i="43"/>
  <c r="DJ257" i="43"/>
  <c r="DK257" i="43"/>
  <c r="DL257" i="43"/>
  <c r="DM257" i="43"/>
  <c r="DN257" i="43"/>
  <c r="DO257" i="43"/>
  <c r="DP257" i="43"/>
  <c r="DQ257" i="43"/>
  <c r="DR257" i="43"/>
  <c r="DS257" i="43"/>
  <c r="DT257" i="43"/>
  <c r="DU257" i="43"/>
  <c r="DV257" i="43"/>
  <c r="DW257" i="43"/>
  <c r="DX257" i="43"/>
  <c r="DY257" i="43"/>
  <c r="DZ257" i="43"/>
  <c r="EA257" i="43"/>
  <c r="EB257" i="43"/>
  <c r="EC257" i="43"/>
  <c r="ED257" i="43"/>
  <c r="EE257" i="43"/>
  <c r="EF257" i="43"/>
  <c r="EG257" i="43"/>
  <c r="EH257" i="43"/>
  <c r="EI257" i="43"/>
  <c r="EJ257" i="43"/>
  <c r="EK257" i="43"/>
  <c r="EL257" i="43"/>
  <c r="EM257" i="43"/>
  <c r="EN257" i="43"/>
  <c r="EO257" i="43"/>
  <c r="EP257" i="43"/>
  <c r="EQ257" i="43"/>
  <c r="ER257" i="43"/>
  <c r="ES257" i="43"/>
  <c r="ET257" i="43"/>
  <c r="EU257" i="43"/>
  <c r="EV257" i="43"/>
  <c r="EW257" i="43"/>
  <c r="EX257" i="43"/>
  <c r="EY257" i="43"/>
  <c r="EZ257" i="43"/>
  <c r="FA257" i="43"/>
  <c r="FB257" i="43"/>
  <c r="FC257" i="43"/>
  <c r="FD257" i="43"/>
  <c r="FE257" i="43"/>
  <c r="FF257" i="43"/>
  <c r="FG257" i="43"/>
  <c r="FH257" i="43"/>
  <c r="FI257" i="43"/>
  <c r="FJ257" i="43"/>
  <c r="FK257" i="43"/>
  <c r="FL257" i="43"/>
  <c r="FM257" i="43"/>
  <c r="FN257" i="43"/>
  <c r="FO257" i="43"/>
  <c r="FP257" i="43"/>
  <c r="FQ257" i="43"/>
  <c r="FR257" i="43"/>
  <c r="FS257" i="43"/>
  <c r="FT257" i="43"/>
  <c r="FU257" i="43"/>
  <c r="FV257" i="43"/>
  <c r="FW257" i="43"/>
  <c r="FX257" i="43"/>
  <c r="FY257" i="43"/>
  <c r="FZ257" i="43"/>
  <c r="GA257" i="43"/>
  <c r="GB257" i="43"/>
  <c r="GC257" i="43"/>
  <c r="GD257" i="43"/>
  <c r="GE257" i="43"/>
  <c r="GF257" i="43"/>
  <c r="GG257" i="43"/>
  <c r="GH257" i="43"/>
  <c r="GI257" i="43"/>
  <c r="GJ257" i="43"/>
  <c r="GK257" i="43"/>
  <c r="GL257" i="43"/>
  <c r="GM257" i="43"/>
  <c r="GN257" i="43"/>
  <c r="GO257" i="43"/>
  <c r="GP257" i="43"/>
  <c r="GQ257" i="43"/>
  <c r="GR257" i="43"/>
  <c r="GS257" i="43"/>
  <c r="GT257" i="43"/>
  <c r="GU257" i="43"/>
  <c r="GV257" i="43"/>
  <c r="GW257" i="43"/>
  <c r="GX257" i="43"/>
  <c r="GY257" i="43"/>
  <c r="GZ257" i="43"/>
  <c r="HA257" i="43"/>
  <c r="HB257" i="43"/>
  <c r="HC257" i="43"/>
  <c r="HD257" i="43"/>
  <c r="HE257" i="43"/>
  <c r="HF257" i="43"/>
  <c r="HG257" i="43"/>
  <c r="HH257" i="43"/>
  <c r="HI257" i="43"/>
  <c r="HJ257" i="43"/>
  <c r="HK257" i="43"/>
  <c r="HL257" i="43"/>
  <c r="HM257" i="43"/>
  <c r="HN257" i="43"/>
  <c r="HO257" i="43"/>
  <c r="HP257" i="43"/>
  <c r="HQ257" i="43"/>
  <c r="HR257" i="43"/>
  <c r="HS257" i="43"/>
  <c r="HT257" i="43"/>
  <c r="HU257" i="43"/>
  <c r="HV257" i="43"/>
  <c r="HW257" i="43"/>
  <c r="HX257" i="43"/>
  <c r="HY257" i="43"/>
  <c r="HZ257" i="43"/>
  <c r="IA257" i="43"/>
  <c r="IB257" i="43"/>
  <c r="IC257" i="43"/>
  <c r="ID257" i="43"/>
  <c r="IE257" i="43"/>
  <c r="IF257" i="43"/>
  <c r="IG257" i="43"/>
  <c r="IH257" i="43"/>
  <c r="II257" i="43"/>
  <c r="IJ257" i="43"/>
  <c r="IK257" i="43"/>
  <c r="IL257" i="43"/>
  <c r="IM257" i="43"/>
  <c r="IN257" i="43"/>
  <c r="IO257" i="43"/>
  <c r="IP257" i="43"/>
  <c r="IQ257" i="43"/>
  <c r="IR257" i="43"/>
  <c r="IS257" i="43"/>
  <c r="IT257" i="43"/>
  <c r="IU257" i="43"/>
  <c r="IV257" i="43"/>
  <c r="A256" i="43"/>
  <c r="B256" i="43"/>
  <c r="C256" i="43"/>
  <c r="D256" i="43"/>
  <c r="E256" i="43"/>
  <c r="F256" i="43"/>
  <c r="G256" i="43"/>
  <c r="H256" i="43"/>
  <c r="I256" i="43"/>
  <c r="J256" i="43"/>
  <c r="K256" i="43"/>
  <c r="L256" i="43"/>
  <c r="M256" i="43"/>
  <c r="N256" i="43"/>
  <c r="O256" i="43"/>
  <c r="P256" i="43"/>
  <c r="Q256" i="43"/>
  <c r="R256" i="43"/>
  <c r="S256" i="43"/>
  <c r="T256" i="43"/>
  <c r="U256" i="43"/>
  <c r="V256" i="43"/>
  <c r="W256" i="43"/>
  <c r="X256" i="43"/>
  <c r="Y256" i="43"/>
  <c r="Z256" i="43"/>
  <c r="AA256" i="43"/>
  <c r="AB256" i="43"/>
  <c r="AC256" i="43"/>
  <c r="AD256" i="43"/>
  <c r="AE256" i="43"/>
  <c r="AF256" i="43"/>
  <c r="AG256" i="43"/>
  <c r="AH256" i="43"/>
  <c r="AI256" i="43"/>
  <c r="AJ256" i="43"/>
  <c r="AK256" i="43"/>
  <c r="AL256" i="43"/>
  <c r="AM256" i="43"/>
  <c r="AN256" i="43"/>
  <c r="AO256" i="43"/>
  <c r="AP256" i="43"/>
  <c r="AQ256" i="43"/>
  <c r="AR256" i="43"/>
  <c r="AS256" i="43"/>
  <c r="AT256" i="43"/>
  <c r="AU256" i="43"/>
  <c r="AV256" i="43"/>
  <c r="AW256" i="43"/>
  <c r="AX256" i="43"/>
  <c r="AY256" i="43"/>
  <c r="AZ256" i="43"/>
  <c r="BA256" i="43"/>
  <c r="BB256" i="43"/>
  <c r="BC256" i="43"/>
  <c r="BD256" i="43"/>
  <c r="BE256" i="43"/>
  <c r="BF256" i="43"/>
  <c r="BG256" i="43"/>
  <c r="BH256" i="43"/>
  <c r="BI256" i="43"/>
  <c r="BJ256" i="43"/>
  <c r="BK256" i="43"/>
  <c r="BL256" i="43"/>
  <c r="BM256" i="43"/>
  <c r="BN256" i="43"/>
  <c r="BO256" i="43"/>
  <c r="BP256" i="43"/>
  <c r="BQ256" i="43"/>
  <c r="BR256" i="43"/>
  <c r="BS256" i="43"/>
  <c r="BT256" i="43"/>
  <c r="BU256" i="43"/>
  <c r="BV256" i="43"/>
  <c r="BW256" i="43"/>
  <c r="BX256" i="43"/>
  <c r="BY256" i="43"/>
  <c r="BZ256" i="43"/>
  <c r="CA256" i="43"/>
  <c r="CB256" i="43"/>
  <c r="CC256" i="43"/>
  <c r="CD256" i="43"/>
  <c r="CE256" i="43"/>
  <c r="CF256" i="43"/>
  <c r="CG256" i="43"/>
  <c r="CH256" i="43"/>
  <c r="CI256" i="43"/>
  <c r="CJ256" i="43"/>
  <c r="CK256" i="43"/>
  <c r="CL256" i="43"/>
  <c r="CM256" i="43"/>
  <c r="CN256" i="43"/>
  <c r="CO256" i="43"/>
  <c r="CP256" i="43"/>
  <c r="CQ256" i="43"/>
  <c r="CR256" i="43"/>
  <c r="CS256" i="43"/>
  <c r="CT256" i="43"/>
  <c r="CU256" i="43"/>
  <c r="CV256" i="43"/>
  <c r="CW256" i="43"/>
  <c r="CX256" i="43"/>
  <c r="CY256" i="43"/>
  <c r="CZ256" i="43"/>
  <c r="DA256" i="43"/>
  <c r="DB256" i="43"/>
  <c r="DC256" i="43"/>
  <c r="DD256" i="43"/>
  <c r="DE256" i="43"/>
  <c r="DF256" i="43"/>
  <c r="DG256" i="43"/>
  <c r="DH256" i="43"/>
  <c r="DI256" i="43"/>
  <c r="DJ256" i="43"/>
  <c r="DK256" i="43"/>
  <c r="DL256" i="43"/>
  <c r="DM256" i="43"/>
  <c r="DN256" i="43"/>
  <c r="DO256" i="43"/>
  <c r="DP256" i="43"/>
  <c r="DQ256" i="43"/>
  <c r="DR256" i="43"/>
  <c r="DS256" i="43"/>
  <c r="DT256" i="43"/>
  <c r="DU256" i="43"/>
  <c r="DV256" i="43"/>
  <c r="DW256" i="43"/>
  <c r="DX256" i="43"/>
  <c r="DY256" i="43"/>
  <c r="DZ256" i="43"/>
  <c r="EA256" i="43"/>
  <c r="EB256" i="43"/>
  <c r="EC256" i="43"/>
  <c r="ED256" i="43"/>
  <c r="EE256" i="43"/>
  <c r="EF256" i="43"/>
  <c r="EG256" i="43"/>
  <c r="EH256" i="43"/>
  <c r="EI256" i="43"/>
  <c r="EJ256" i="43"/>
  <c r="EK256" i="43"/>
  <c r="EL256" i="43"/>
  <c r="EM256" i="43"/>
  <c r="EN256" i="43"/>
  <c r="EO256" i="43"/>
  <c r="EP256" i="43"/>
  <c r="EQ256" i="43"/>
  <c r="ER256" i="43"/>
  <c r="ES256" i="43"/>
  <c r="ET256" i="43"/>
  <c r="EU256" i="43"/>
  <c r="EV256" i="43"/>
  <c r="EW256" i="43"/>
  <c r="EX256" i="43"/>
  <c r="EY256" i="43"/>
  <c r="EZ256" i="43"/>
  <c r="FA256" i="43"/>
  <c r="FB256" i="43"/>
  <c r="FC256" i="43"/>
  <c r="FD256" i="43"/>
  <c r="FE256" i="43"/>
  <c r="FF256" i="43"/>
  <c r="FG256" i="43"/>
  <c r="FH256" i="43"/>
  <c r="FI256" i="43"/>
  <c r="FJ256" i="43"/>
  <c r="FK256" i="43"/>
  <c r="FL256" i="43"/>
  <c r="FM256" i="43"/>
  <c r="FN256" i="43"/>
  <c r="FO256" i="43"/>
  <c r="FP256" i="43"/>
  <c r="FQ256" i="43"/>
  <c r="FR256" i="43"/>
  <c r="FS256" i="43"/>
  <c r="FT256" i="43"/>
  <c r="FU256" i="43"/>
  <c r="FV256" i="43"/>
  <c r="FW256" i="43"/>
  <c r="FX256" i="43"/>
  <c r="FY256" i="43"/>
  <c r="FZ256" i="43"/>
  <c r="GA256" i="43"/>
  <c r="GB256" i="43"/>
  <c r="GC256" i="43"/>
  <c r="GD256" i="43"/>
  <c r="GE256" i="43"/>
  <c r="GF256" i="43"/>
  <c r="GG256" i="43"/>
  <c r="GH256" i="43"/>
  <c r="GI256" i="43"/>
  <c r="GJ256" i="43"/>
  <c r="GK256" i="43"/>
  <c r="GL256" i="43"/>
  <c r="GM256" i="43"/>
  <c r="GN256" i="43"/>
  <c r="GO256" i="43"/>
  <c r="GP256" i="43"/>
  <c r="GQ256" i="43"/>
  <c r="GR256" i="43"/>
  <c r="GS256" i="43"/>
  <c r="GT256" i="43"/>
  <c r="GU256" i="43"/>
  <c r="GV256" i="43"/>
  <c r="GW256" i="43"/>
  <c r="GX256" i="43"/>
  <c r="GY256" i="43"/>
  <c r="GZ256" i="43"/>
  <c r="HA256" i="43"/>
  <c r="HB256" i="43"/>
  <c r="HC256" i="43"/>
  <c r="HD256" i="43"/>
  <c r="HE256" i="43"/>
  <c r="HF256" i="43"/>
  <c r="HG256" i="43"/>
  <c r="HH256" i="43"/>
  <c r="HI256" i="43"/>
  <c r="HJ256" i="43"/>
  <c r="HK256" i="43"/>
  <c r="HL256" i="43"/>
  <c r="HM256" i="43"/>
  <c r="HN256" i="43"/>
  <c r="HO256" i="43"/>
  <c r="HP256" i="43"/>
  <c r="HQ256" i="43"/>
  <c r="HR256" i="43"/>
  <c r="HS256" i="43"/>
  <c r="HT256" i="43"/>
  <c r="HU256" i="43"/>
  <c r="HV256" i="43"/>
  <c r="HW256" i="43"/>
  <c r="HX256" i="43"/>
  <c r="HY256" i="43"/>
  <c r="HZ256" i="43"/>
  <c r="IA256" i="43"/>
  <c r="IB256" i="43"/>
  <c r="IC256" i="43"/>
  <c r="ID256" i="43"/>
  <c r="IE256" i="43"/>
  <c r="IF256" i="43"/>
  <c r="IG256" i="43"/>
  <c r="IH256" i="43"/>
  <c r="II256" i="43"/>
  <c r="IJ256" i="43"/>
  <c r="IK256" i="43"/>
  <c r="IL256" i="43"/>
  <c r="IM256" i="43"/>
  <c r="IN256" i="43"/>
  <c r="IO256" i="43"/>
  <c r="IP256" i="43"/>
  <c r="IQ256" i="43"/>
  <c r="IR256" i="43"/>
  <c r="IS256" i="43"/>
  <c r="IT256" i="43"/>
  <c r="IU256" i="43"/>
  <c r="IV256" i="43"/>
  <c r="A255" i="43"/>
  <c r="B255" i="43"/>
  <c r="C255" i="43"/>
  <c r="D255" i="43"/>
  <c r="E255" i="43"/>
  <c r="F255" i="43"/>
  <c r="G255" i="43"/>
  <c r="H255" i="43"/>
  <c r="I255" i="43"/>
  <c r="J255" i="43"/>
  <c r="K255" i="43"/>
  <c r="L255" i="43"/>
  <c r="M255" i="43"/>
  <c r="N255" i="43"/>
  <c r="O255" i="43"/>
  <c r="P255" i="43"/>
  <c r="Q255" i="43"/>
  <c r="R255" i="43"/>
  <c r="S255" i="43"/>
  <c r="T255" i="43"/>
  <c r="U255" i="43"/>
  <c r="V255" i="43"/>
  <c r="W255" i="43"/>
  <c r="X255" i="43"/>
  <c r="Y255" i="43"/>
  <c r="Z255" i="43"/>
  <c r="AA255" i="43"/>
  <c r="AB255" i="43"/>
  <c r="AC255" i="43"/>
  <c r="AD255" i="43"/>
  <c r="AE255" i="43"/>
  <c r="AF255" i="43"/>
  <c r="AG255" i="43"/>
  <c r="AH255" i="43"/>
  <c r="AI255" i="43"/>
  <c r="AJ255" i="43"/>
  <c r="AK255" i="43"/>
  <c r="AL255" i="43"/>
  <c r="AM255" i="43"/>
  <c r="AN255" i="43"/>
  <c r="AO255" i="43"/>
  <c r="AP255" i="43"/>
  <c r="AQ255" i="43"/>
  <c r="AR255" i="43"/>
  <c r="AS255" i="43"/>
  <c r="AT255" i="43"/>
  <c r="AU255" i="43"/>
  <c r="AV255" i="43"/>
  <c r="AW255" i="43"/>
  <c r="AX255" i="43"/>
  <c r="AY255" i="43"/>
  <c r="AZ255" i="43"/>
  <c r="BA255" i="43"/>
  <c r="BB255" i="43"/>
  <c r="BC255" i="43"/>
  <c r="BD255" i="43"/>
  <c r="BE255" i="43"/>
  <c r="BF255" i="43"/>
  <c r="BG255" i="43"/>
  <c r="BH255" i="43"/>
  <c r="BI255" i="43"/>
  <c r="BJ255" i="43"/>
  <c r="BK255" i="43"/>
  <c r="BL255" i="43"/>
  <c r="BM255" i="43"/>
  <c r="BN255" i="43"/>
  <c r="BO255" i="43"/>
  <c r="BP255" i="43"/>
  <c r="BQ255" i="43"/>
  <c r="BR255" i="43"/>
  <c r="BS255" i="43"/>
  <c r="BT255" i="43"/>
  <c r="BU255" i="43"/>
  <c r="BV255" i="43"/>
  <c r="BW255" i="43"/>
  <c r="BX255" i="43"/>
  <c r="BY255" i="43"/>
  <c r="BZ255" i="43"/>
  <c r="CA255" i="43"/>
  <c r="CB255" i="43"/>
  <c r="CC255" i="43"/>
  <c r="CD255" i="43"/>
  <c r="CE255" i="43"/>
  <c r="CF255" i="43"/>
  <c r="CG255" i="43"/>
  <c r="CH255" i="43"/>
  <c r="CI255" i="43"/>
  <c r="CJ255" i="43"/>
  <c r="CK255" i="43"/>
  <c r="CL255" i="43"/>
  <c r="CM255" i="43"/>
  <c r="CN255" i="43"/>
  <c r="CO255" i="43"/>
  <c r="CP255" i="43"/>
  <c r="CQ255" i="43"/>
  <c r="CR255" i="43"/>
  <c r="CS255" i="43"/>
  <c r="CT255" i="43"/>
  <c r="CU255" i="43"/>
  <c r="CV255" i="43"/>
  <c r="CW255" i="43"/>
  <c r="CX255" i="43"/>
  <c r="CY255" i="43"/>
  <c r="CZ255" i="43"/>
  <c r="DA255" i="43"/>
  <c r="DB255" i="43"/>
  <c r="DC255" i="43"/>
  <c r="DD255" i="43"/>
  <c r="DE255" i="43"/>
  <c r="DF255" i="43"/>
  <c r="DG255" i="43"/>
  <c r="DH255" i="43"/>
  <c r="DI255" i="43"/>
  <c r="DJ255" i="43"/>
  <c r="DK255" i="43"/>
  <c r="DL255" i="43"/>
  <c r="DM255" i="43"/>
  <c r="DN255" i="43"/>
  <c r="DO255" i="43"/>
  <c r="DP255" i="43"/>
  <c r="DQ255" i="43"/>
  <c r="DR255" i="43"/>
  <c r="DS255" i="43"/>
  <c r="DT255" i="43"/>
  <c r="DU255" i="43"/>
  <c r="DV255" i="43"/>
  <c r="DW255" i="43"/>
  <c r="DX255" i="43"/>
  <c r="DY255" i="43"/>
  <c r="DZ255" i="43"/>
  <c r="EA255" i="43"/>
  <c r="EB255" i="43"/>
  <c r="EC255" i="43"/>
  <c r="ED255" i="43"/>
  <c r="EE255" i="43"/>
  <c r="EF255" i="43"/>
  <c r="EG255" i="43"/>
  <c r="EH255" i="43"/>
  <c r="EI255" i="43"/>
  <c r="EJ255" i="43"/>
  <c r="EK255" i="43"/>
  <c r="EL255" i="43"/>
  <c r="EM255" i="43"/>
  <c r="EN255" i="43"/>
  <c r="EO255" i="43"/>
  <c r="EP255" i="43"/>
  <c r="EQ255" i="43"/>
  <c r="ER255" i="43"/>
  <c r="ES255" i="43"/>
  <c r="ET255" i="43"/>
  <c r="EU255" i="43"/>
  <c r="EV255" i="43"/>
  <c r="EW255" i="43"/>
  <c r="EX255" i="43"/>
  <c r="EY255" i="43"/>
  <c r="EZ255" i="43"/>
  <c r="FA255" i="43"/>
  <c r="FB255" i="43"/>
  <c r="FC255" i="43"/>
  <c r="FD255" i="43"/>
  <c r="FE255" i="43"/>
  <c r="FF255" i="43"/>
  <c r="FG255" i="43"/>
  <c r="FH255" i="43"/>
  <c r="FI255" i="43"/>
  <c r="FJ255" i="43"/>
  <c r="FK255" i="43"/>
  <c r="FL255" i="43"/>
  <c r="FM255" i="43"/>
  <c r="FN255" i="43"/>
  <c r="FO255" i="43"/>
  <c r="FP255" i="43"/>
  <c r="FQ255" i="43"/>
  <c r="FR255" i="43"/>
  <c r="FS255" i="43"/>
  <c r="FT255" i="43"/>
  <c r="FU255" i="43"/>
  <c r="FV255" i="43"/>
  <c r="FW255" i="43"/>
  <c r="FX255" i="43"/>
  <c r="FY255" i="43"/>
  <c r="FZ255" i="43"/>
  <c r="GA255" i="43"/>
  <c r="GB255" i="43"/>
  <c r="GC255" i="43"/>
  <c r="GD255" i="43"/>
  <c r="GE255" i="43"/>
  <c r="GF255" i="43"/>
  <c r="GG255" i="43"/>
  <c r="GH255" i="43"/>
  <c r="GI255" i="43"/>
  <c r="GJ255" i="43"/>
  <c r="GK255" i="43"/>
  <c r="GL255" i="43"/>
  <c r="GM255" i="43"/>
  <c r="GN255" i="43"/>
  <c r="GO255" i="43"/>
  <c r="GP255" i="43"/>
  <c r="GQ255" i="43"/>
  <c r="GR255" i="43"/>
  <c r="GS255" i="43"/>
  <c r="GT255" i="43"/>
  <c r="GU255" i="43"/>
  <c r="GV255" i="43"/>
  <c r="GW255" i="43"/>
  <c r="GX255" i="43"/>
  <c r="GY255" i="43"/>
  <c r="GZ255" i="43"/>
  <c r="HA255" i="43"/>
  <c r="HB255" i="43"/>
  <c r="HC255" i="43"/>
  <c r="HD255" i="43"/>
  <c r="HE255" i="43"/>
  <c r="HF255" i="43"/>
  <c r="HG255" i="43"/>
  <c r="HH255" i="43"/>
  <c r="HI255" i="43"/>
  <c r="HJ255" i="43"/>
  <c r="HK255" i="43"/>
  <c r="HL255" i="43"/>
  <c r="HM255" i="43"/>
  <c r="HN255" i="43"/>
  <c r="HO255" i="43"/>
  <c r="HP255" i="43"/>
  <c r="HQ255" i="43"/>
  <c r="HR255" i="43"/>
  <c r="HS255" i="43"/>
  <c r="HT255" i="43"/>
  <c r="HU255" i="43"/>
  <c r="HV255" i="43"/>
  <c r="HW255" i="43"/>
  <c r="HX255" i="43"/>
  <c r="HY255" i="43"/>
  <c r="HZ255" i="43"/>
  <c r="IA255" i="43"/>
  <c r="IB255" i="43"/>
  <c r="IC255" i="43"/>
  <c r="ID255" i="43"/>
  <c r="IE255" i="43"/>
  <c r="IF255" i="43"/>
  <c r="IG255" i="43"/>
  <c r="IH255" i="43"/>
  <c r="II255" i="43"/>
  <c r="IJ255" i="43"/>
  <c r="IK255" i="43"/>
  <c r="IL255" i="43"/>
  <c r="IM255" i="43"/>
  <c r="IN255" i="43"/>
  <c r="IO255" i="43"/>
  <c r="IP255" i="43"/>
  <c r="IQ255" i="43"/>
  <c r="IR255" i="43"/>
  <c r="IS255" i="43"/>
  <c r="IT255" i="43"/>
  <c r="IU255" i="43"/>
  <c r="IV255" i="43"/>
  <c r="A254" i="43"/>
  <c r="B254" i="43"/>
  <c r="C254" i="43"/>
  <c r="D254" i="43"/>
  <c r="E254" i="43"/>
  <c r="F254" i="43"/>
  <c r="G254" i="43"/>
  <c r="H254" i="43"/>
  <c r="I254" i="43"/>
  <c r="J254" i="43"/>
  <c r="K254" i="43"/>
  <c r="L254" i="43"/>
  <c r="M254" i="43"/>
  <c r="N254" i="43"/>
  <c r="O254" i="43"/>
  <c r="P254" i="43"/>
  <c r="Q254" i="43"/>
  <c r="R254" i="43"/>
  <c r="S254" i="43"/>
  <c r="T254" i="43"/>
  <c r="U254" i="43"/>
  <c r="V254" i="43"/>
  <c r="W254" i="43"/>
  <c r="X254" i="43"/>
  <c r="Y254" i="43"/>
  <c r="Z254" i="43"/>
  <c r="AA254" i="43"/>
  <c r="AB254" i="43"/>
  <c r="AC254" i="43"/>
  <c r="AD254" i="43"/>
  <c r="AE254" i="43"/>
  <c r="AF254" i="43"/>
  <c r="AG254" i="43"/>
  <c r="AH254" i="43"/>
  <c r="AI254" i="43"/>
  <c r="AJ254" i="43"/>
  <c r="AK254" i="43"/>
  <c r="AL254" i="43"/>
  <c r="AM254" i="43"/>
  <c r="AN254" i="43"/>
  <c r="AO254" i="43"/>
  <c r="AP254" i="43"/>
  <c r="AQ254" i="43"/>
  <c r="AR254" i="43"/>
  <c r="AS254" i="43"/>
  <c r="AT254" i="43"/>
  <c r="AU254" i="43"/>
  <c r="AV254" i="43"/>
  <c r="AW254" i="43"/>
  <c r="AX254" i="43"/>
  <c r="AY254" i="43"/>
  <c r="AZ254" i="43"/>
  <c r="BA254" i="43"/>
  <c r="BB254" i="43"/>
  <c r="BC254" i="43"/>
  <c r="BD254" i="43"/>
  <c r="BE254" i="43"/>
  <c r="BF254" i="43"/>
  <c r="BG254" i="43"/>
  <c r="BH254" i="43"/>
  <c r="BI254" i="43"/>
  <c r="BJ254" i="43"/>
  <c r="BK254" i="43"/>
  <c r="BL254" i="43"/>
  <c r="BM254" i="43"/>
  <c r="BN254" i="43"/>
  <c r="BO254" i="43"/>
  <c r="BP254" i="43"/>
  <c r="BQ254" i="43"/>
  <c r="BR254" i="43"/>
  <c r="BS254" i="43"/>
  <c r="BT254" i="43"/>
  <c r="BU254" i="43"/>
  <c r="BV254" i="43"/>
  <c r="BW254" i="43"/>
  <c r="BX254" i="43"/>
  <c r="BY254" i="43"/>
  <c r="BZ254" i="43"/>
  <c r="CA254" i="43"/>
  <c r="CB254" i="43"/>
  <c r="CC254" i="43"/>
  <c r="CD254" i="43"/>
  <c r="CE254" i="43"/>
  <c r="CF254" i="43"/>
  <c r="CG254" i="43"/>
  <c r="CH254" i="43"/>
  <c r="CI254" i="43"/>
  <c r="CJ254" i="43"/>
  <c r="CK254" i="43"/>
  <c r="CL254" i="43"/>
  <c r="CM254" i="43"/>
  <c r="CN254" i="43"/>
  <c r="CO254" i="43"/>
  <c r="CP254" i="43"/>
  <c r="CQ254" i="43"/>
  <c r="CR254" i="43"/>
  <c r="CS254" i="43"/>
  <c r="CT254" i="43"/>
  <c r="CU254" i="43"/>
  <c r="CV254" i="43"/>
  <c r="CW254" i="43"/>
  <c r="CX254" i="43"/>
  <c r="CY254" i="43"/>
  <c r="CZ254" i="43"/>
  <c r="DA254" i="43"/>
  <c r="DB254" i="43"/>
  <c r="DC254" i="43"/>
  <c r="DD254" i="43"/>
  <c r="DE254" i="43"/>
  <c r="DF254" i="43"/>
  <c r="DG254" i="43"/>
  <c r="DH254" i="43"/>
  <c r="DI254" i="43"/>
  <c r="DJ254" i="43"/>
  <c r="DK254" i="43"/>
  <c r="DL254" i="43"/>
  <c r="DM254" i="43"/>
  <c r="DN254" i="43"/>
  <c r="DO254" i="43"/>
  <c r="DP254" i="43"/>
  <c r="DQ254" i="43"/>
  <c r="DR254" i="43"/>
  <c r="DS254" i="43"/>
  <c r="DT254" i="43"/>
  <c r="DU254" i="43"/>
  <c r="DV254" i="43"/>
  <c r="DW254" i="43"/>
  <c r="DX254" i="43"/>
  <c r="DY254" i="43"/>
  <c r="DZ254" i="43"/>
  <c r="EA254" i="43"/>
  <c r="EB254" i="43"/>
  <c r="EC254" i="43"/>
  <c r="ED254" i="43"/>
  <c r="EE254" i="43"/>
  <c r="EF254" i="43"/>
  <c r="EG254" i="43"/>
  <c r="EH254" i="43"/>
  <c r="EI254" i="43"/>
  <c r="EJ254" i="43"/>
  <c r="EK254" i="43"/>
  <c r="EL254" i="43"/>
  <c r="EM254" i="43"/>
  <c r="EN254" i="43"/>
  <c r="EO254" i="43"/>
  <c r="EP254" i="43"/>
  <c r="EQ254" i="43"/>
  <c r="ER254" i="43"/>
  <c r="ES254" i="43"/>
  <c r="ET254" i="43"/>
  <c r="EU254" i="43"/>
  <c r="EV254" i="43"/>
  <c r="EW254" i="43"/>
  <c r="EX254" i="43"/>
  <c r="EY254" i="43"/>
  <c r="EZ254" i="43"/>
  <c r="FA254" i="43"/>
  <c r="FB254" i="43"/>
  <c r="FC254" i="43"/>
  <c r="FD254" i="43"/>
  <c r="FE254" i="43"/>
  <c r="FF254" i="43"/>
  <c r="FG254" i="43"/>
  <c r="FH254" i="43"/>
  <c r="FI254" i="43"/>
  <c r="FJ254" i="43"/>
  <c r="FK254" i="43"/>
  <c r="FL254" i="43"/>
  <c r="FM254" i="43"/>
  <c r="FN254" i="43"/>
  <c r="FO254" i="43"/>
  <c r="FP254" i="43"/>
  <c r="FQ254" i="43"/>
  <c r="FR254" i="43"/>
  <c r="FS254" i="43"/>
  <c r="FT254" i="43"/>
  <c r="FU254" i="43"/>
  <c r="FV254" i="43"/>
  <c r="FW254" i="43"/>
  <c r="FX254" i="43"/>
  <c r="FY254" i="43"/>
  <c r="FZ254" i="43"/>
  <c r="GA254" i="43"/>
  <c r="GB254" i="43"/>
  <c r="GC254" i="43"/>
  <c r="GD254" i="43"/>
  <c r="GE254" i="43"/>
  <c r="GF254" i="43"/>
  <c r="GG254" i="43"/>
  <c r="GH254" i="43"/>
  <c r="GI254" i="43"/>
  <c r="GJ254" i="43"/>
  <c r="GK254" i="43"/>
  <c r="GL254" i="43"/>
  <c r="GM254" i="43"/>
  <c r="GN254" i="43"/>
  <c r="GO254" i="43"/>
  <c r="GP254" i="43"/>
  <c r="GQ254" i="43"/>
  <c r="GR254" i="43"/>
  <c r="GS254" i="43"/>
  <c r="GT254" i="43"/>
  <c r="GU254" i="43"/>
  <c r="GV254" i="43"/>
  <c r="GW254" i="43"/>
  <c r="GX254" i="43"/>
  <c r="GY254" i="43"/>
  <c r="GZ254" i="43"/>
  <c r="HA254" i="43"/>
  <c r="HB254" i="43"/>
  <c r="HC254" i="43"/>
  <c r="HD254" i="43"/>
  <c r="HE254" i="43"/>
  <c r="HF254" i="43"/>
  <c r="HG254" i="43"/>
  <c r="HH254" i="43"/>
  <c r="HI254" i="43"/>
  <c r="HJ254" i="43"/>
  <c r="HK254" i="43"/>
  <c r="HL254" i="43"/>
  <c r="HM254" i="43"/>
  <c r="HN254" i="43"/>
  <c r="HO254" i="43"/>
  <c r="HP254" i="43"/>
  <c r="HQ254" i="43"/>
  <c r="HR254" i="43"/>
  <c r="HS254" i="43"/>
  <c r="HT254" i="43"/>
  <c r="HU254" i="43"/>
  <c r="HV254" i="43"/>
  <c r="HW254" i="43"/>
  <c r="HX254" i="43"/>
  <c r="HY254" i="43"/>
  <c r="HZ254" i="43"/>
  <c r="IA254" i="43"/>
  <c r="IB254" i="43"/>
  <c r="IC254" i="43"/>
  <c r="ID254" i="43"/>
  <c r="IE254" i="43"/>
  <c r="IF254" i="43"/>
  <c r="IG254" i="43"/>
  <c r="IH254" i="43"/>
  <c r="II254" i="43"/>
  <c r="IJ254" i="43"/>
  <c r="IK254" i="43"/>
  <c r="IL254" i="43"/>
  <c r="IM254" i="43"/>
  <c r="IN254" i="43"/>
  <c r="IO254" i="43"/>
  <c r="IP254" i="43"/>
  <c r="IQ254" i="43"/>
  <c r="IR254" i="43"/>
  <c r="IS254" i="43"/>
  <c r="IT254" i="43"/>
  <c r="IU254" i="43"/>
  <c r="IV254" i="43"/>
  <c r="A253" i="43"/>
  <c r="B253" i="43"/>
  <c r="C253" i="43"/>
  <c r="D253" i="43"/>
  <c r="E253" i="43"/>
  <c r="F253" i="43"/>
  <c r="G253" i="43"/>
  <c r="H253" i="43"/>
  <c r="I253" i="43"/>
  <c r="J253" i="43"/>
  <c r="K253" i="43"/>
  <c r="L253" i="43"/>
  <c r="M253" i="43"/>
  <c r="N253" i="43"/>
  <c r="O253" i="43"/>
  <c r="P253" i="43"/>
  <c r="Q253" i="43"/>
  <c r="R253" i="43"/>
  <c r="S253" i="43"/>
  <c r="T253" i="43"/>
  <c r="U253" i="43"/>
  <c r="V253" i="43"/>
  <c r="W253" i="43"/>
  <c r="X253" i="43"/>
  <c r="Y253" i="43"/>
  <c r="Z253" i="43"/>
  <c r="AA253" i="43"/>
  <c r="AB253" i="43"/>
  <c r="AC253" i="43"/>
  <c r="AD253" i="43"/>
  <c r="AE253" i="43"/>
  <c r="AF253" i="43"/>
  <c r="AG253" i="43"/>
  <c r="AH253" i="43"/>
  <c r="AI253" i="43"/>
  <c r="AJ253" i="43"/>
  <c r="AK253" i="43"/>
  <c r="AL253" i="43"/>
  <c r="AM253" i="43"/>
  <c r="AN253" i="43"/>
  <c r="AO253" i="43"/>
  <c r="AP253" i="43"/>
  <c r="AQ253" i="43"/>
  <c r="AR253" i="43"/>
  <c r="AS253" i="43"/>
  <c r="AT253" i="43"/>
  <c r="AU253" i="43"/>
  <c r="AV253" i="43"/>
  <c r="AW253" i="43"/>
  <c r="AX253" i="43"/>
  <c r="AY253" i="43"/>
  <c r="AZ253" i="43"/>
  <c r="BA253" i="43"/>
  <c r="BB253" i="43"/>
  <c r="BC253" i="43"/>
  <c r="BD253" i="43"/>
  <c r="BE253" i="43"/>
  <c r="BF253" i="43"/>
  <c r="BG253" i="43"/>
  <c r="BH253" i="43"/>
  <c r="BI253" i="43"/>
  <c r="BJ253" i="43"/>
  <c r="BK253" i="43"/>
  <c r="BL253" i="43"/>
  <c r="BM253" i="43"/>
  <c r="BN253" i="43"/>
  <c r="BO253" i="43"/>
  <c r="BP253" i="43"/>
  <c r="BQ253" i="43"/>
  <c r="BR253" i="43"/>
  <c r="BS253" i="43"/>
  <c r="BT253" i="43"/>
  <c r="BU253" i="43"/>
  <c r="BV253" i="43"/>
  <c r="BW253" i="43"/>
  <c r="BX253" i="43"/>
  <c r="BY253" i="43"/>
  <c r="BZ253" i="43"/>
  <c r="CA253" i="43"/>
  <c r="CB253" i="43"/>
  <c r="CC253" i="43"/>
  <c r="CD253" i="43"/>
  <c r="CE253" i="43"/>
  <c r="CF253" i="43"/>
  <c r="CG253" i="43"/>
  <c r="CH253" i="43"/>
  <c r="CI253" i="43"/>
  <c r="CJ253" i="43"/>
  <c r="CK253" i="43"/>
  <c r="CL253" i="43"/>
  <c r="CM253" i="43"/>
  <c r="CN253" i="43"/>
  <c r="CO253" i="43"/>
  <c r="CP253" i="43"/>
  <c r="CQ253" i="43"/>
  <c r="CR253" i="43"/>
  <c r="CS253" i="43"/>
  <c r="CT253" i="43"/>
  <c r="CU253" i="43"/>
  <c r="CV253" i="43"/>
  <c r="CW253" i="43"/>
  <c r="CX253" i="43"/>
  <c r="CY253" i="43"/>
  <c r="CZ253" i="43"/>
  <c r="DA253" i="43"/>
  <c r="DB253" i="43"/>
  <c r="DC253" i="43"/>
  <c r="DD253" i="43"/>
  <c r="DE253" i="43"/>
  <c r="DF253" i="43"/>
  <c r="DG253" i="43"/>
  <c r="DH253" i="43"/>
  <c r="DI253" i="43"/>
  <c r="DJ253" i="43"/>
  <c r="DK253" i="43"/>
  <c r="DL253" i="43"/>
  <c r="DM253" i="43"/>
  <c r="DN253" i="43"/>
  <c r="DO253" i="43"/>
  <c r="DP253" i="43"/>
  <c r="DQ253" i="43"/>
  <c r="DR253" i="43"/>
  <c r="DS253" i="43"/>
  <c r="DT253" i="43"/>
  <c r="DU253" i="43"/>
  <c r="DV253" i="43"/>
  <c r="DW253" i="43"/>
  <c r="DX253" i="43"/>
  <c r="DY253" i="43"/>
  <c r="DZ253" i="43"/>
  <c r="EA253" i="43"/>
  <c r="EB253" i="43"/>
  <c r="EC253" i="43"/>
  <c r="ED253" i="43"/>
  <c r="EE253" i="43"/>
  <c r="EF253" i="43"/>
  <c r="EG253" i="43"/>
  <c r="EH253" i="43"/>
  <c r="EI253" i="43"/>
  <c r="EJ253" i="43"/>
  <c r="EK253" i="43"/>
  <c r="EL253" i="43"/>
  <c r="EM253" i="43"/>
  <c r="EN253" i="43"/>
  <c r="EO253" i="43"/>
  <c r="EP253" i="43"/>
  <c r="EQ253" i="43"/>
  <c r="ER253" i="43"/>
  <c r="ES253" i="43"/>
  <c r="ET253" i="43"/>
  <c r="EU253" i="43"/>
  <c r="EV253" i="43"/>
  <c r="EW253" i="43"/>
  <c r="EX253" i="43"/>
  <c r="EY253" i="43"/>
  <c r="EZ253" i="43"/>
  <c r="FA253" i="43"/>
  <c r="FB253" i="43"/>
  <c r="FC253" i="43"/>
  <c r="FD253" i="43"/>
  <c r="FE253" i="43"/>
  <c r="FF253" i="43"/>
  <c r="FG253" i="43"/>
  <c r="FH253" i="43"/>
  <c r="FI253" i="43"/>
  <c r="FJ253" i="43"/>
  <c r="FK253" i="43"/>
  <c r="FL253" i="43"/>
  <c r="FM253" i="43"/>
  <c r="FN253" i="43"/>
  <c r="FO253" i="43"/>
  <c r="FP253" i="43"/>
  <c r="FQ253" i="43"/>
  <c r="FR253" i="43"/>
  <c r="FS253" i="43"/>
  <c r="FT253" i="43"/>
  <c r="FU253" i="43"/>
  <c r="FV253" i="43"/>
  <c r="FW253" i="43"/>
  <c r="FX253" i="43"/>
  <c r="FY253" i="43"/>
  <c r="FZ253" i="43"/>
  <c r="GA253" i="43"/>
  <c r="GB253" i="43"/>
  <c r="GC253" i="43"/>
  <c r="GD253" i="43"/>
  <c r="GE253" i="43"/>
  <c r="GF253" i="43"/>
  <c r="GG253" i="43"/>
  <c r="GH253" i="43"/>
  <c r="GI253" i="43"/>
  <c r="GJ253" i="43"/>
  <c r="GK253" i="43"/>
  <c r="GL253" i="43"/>
  <c r="GM253" i="43"/>
  <c r="GN253" i="43"/>
  <c r="GO253" i="43"/>
  <c r="GP253" i="43"/>
  <c r="GQ253" i="43"/>
  <c r="GR253" i="43"/>
  <c r="GS253" i="43"/>
  <c r="GT253" i="43"/>
  <c r="GU253" i="43"/>
  <c r="GV253" i="43"/>
  <c r="GW253" i="43"/>
  <c r="GX253" i="43"/>
  <c r="GY253" i="43"/>
  <c r="GZ253" i="43"/>
  <c r="HA253" i="43"/>
  <c r="HB253" i="43"/>
  <c r="HC253" i="43"/>
  <c r="HD253" i="43"/>
  <c r="HE253" i="43"/>
  <c r="HF253" i="43"/>
  <c r="HG253" i="43"/>
  <c r="HH253" i="43"/>
  <c r="HI253" i="43"/>
  <c r="HJ253" i="43"/>
  <c r="HK253" i="43"/>
  <c r="HL253" i="43"/>
  <c r="HM253" i="43"/>
  <c r="HN253" i="43"/>
  <c r="HO253" i="43"/>
  <c r="HP253" i="43"/>
  <c r="HQ253" i="43"/>
  <c r="HR253" i="43"/>
  <c r="HS253" i="43"/>
  <c r="HT253" i="43"/>
  <c r="HU253" i="43"/>
  <c r="HV253" i="43"/>
  <c r="HW253" i="43"/>
  <c r="HX253" i="43"/>
  <c r="HY253" i="43"/>
  <c r="HZ253" i="43"/>
  <c r="IA253" i="43"/>
  <c r="IB253" i="43"/>
  <c r="IC253" i="43"/>
  <c r="ID253" i="43"/>
  <c r="IE253" i="43"/>
  <c r="IF253" i="43"/>
  <c r="IG253" i="43"/>
  <c r="IH253" i="43"/>
  <c r="II253" i="43"/>
  <c r="IJ253" i="43"/>
  <c r="IK253" i="43"/>
  <c r="IL253" i="43"/>
  <c r="IM253" i="43"/>
  <c r="IN253" i="43"/>
  <c r="IO253" i="43"/>
  <c r="IP253" i="43"/>
  <c r="IQ253" i="43"/>
  <c r="IR253" i="43"/>
  <c r="IS253" i="43"/>
  <c r="IT253" i="43"/>
  <c r="IU253" i="43"/>
  <c r="IV253" i="43"/>
  <c r="A252" i="43"/>
  <c r="B252" i="43"/>
  <c r="C252" i="43"/>
  <c r="D252" i="43"/>
  <c r="E252" i="43"/>
  <c r="F252" i="43"/>
  <c r="G252" i="43"/>
  <c r="H252" i="43"/>
  <c r="I252" i="43"/>
  <c r="J252" i="43"/>
  <c r="K252" i="43"/>
  <c r="L252" i="43"/>
  <c r="M252" i="43"/>
  <c r="N252" i="43"/>
  <c r="O252" i="43"/>
  <c r="P252" i="43"/>
  <c r="Q252" i="43"/>
  <c r="R252" i="43"/>
  <c r="S252" i="43"/>
  <c r="T252" i="43"/>
  <c r="U252" i="43"/>
  <c r="V252" i="43"/>
  <c r="W252" i="43"/>
  <c r="X252" i="43"/>
  <c r="Y252" i="43"/>
  <c r="Z252" i="43"/>
  <c r="AA252" i="43"/>
  <c r="AB252" i="43"/>
  <c r="AC252" i="43"/>
  <c r="AD252" i="43"/>
  <c r="AE252" i="43"/>
  <c r="AF252" i="43"/>
  <c r="AG252" i="43"/>
  <c r="AH252" i="43"/>
  <c r="AI252" i="43"/>
  <c r="AJ252" i="43"/>
  <c r="AK252" i="43"/>
  <c r="AL252" i="43"/>
  <c r="AM252" i="43"/>
  <c r="AN252" i="43"/>
  <c r="AO252" i="43"/>
  <c r="AP252" i="43"/>
  <c r="AQ252" i="43"/>
  <c r="AR252" i="43"/>
  <c r="AS252" i="43"/>
  <c r="AT252" i="43"/>
  <c r="AU252" i="43"/>
  <c r="AV252" i="43"/>
  <c r="AW252" i="43"/>
  <c r="AX252" i="43"/>
  <c r="AY252" i="43"/>
  <c r="AZ252" i="43"/>
  <c r="BA252" i="43"/>
  <c r="BB252" i="43"/>
  <c r="BC252" i="43"/>
  <c r="BD252" i="43"/>
  <c r="BE252" i="43"/>
  <c r="BF252" i="43"/>
  <c r="BG252" i="43"/>
  <c r="BH252" i="43"/>
  <c r="BI252" i="43"/>
  <c r="BJ252" i="43"/>
  <c r="BK252" i="43"/>
  <c r="BL252" i="43"/>
  <c r="BM252" i="43"/>
  <c r="BN252" i="43"/>
  <c r="BO252" i="43"/>
  <c r="BP252" i="43"/>
  <c r="BQ252" i="43"/>
  <c r="BR252" i="43"/>
  <c r="BS252" i="43"/>
  <c r="BT252" i="43"/>
  <c r="BU252" i="43"/>
  <c r="BV252" i="43"/>
  <c r="BW252" i="43"/>
  <c r="BX252" i="43"/>
  <c r="BY252" i="43"/>
  <c r="BZ252" i="43"/>
  <c r="CA252" i="43"/>
  <c r="CB252" i="43"/>
  <c r="CC252" i="43"/>
  <c r="CD252" i="43"/>
  <c r="CE252" i="43"/>
  <c r="CF252" i="43"/>
  <c r="CG252" i="43"/>
  <c r="CH252" i="43"/>
  <c r="CI252" i="43"/>
  <c r="CJ252" i="43"/>
  <c r="CK252" i="43"/>
  <c r="CL252" i="43"/>
  <c r="CM252" i="43"/>
  <c r="CN252" i="43"/>
  <c r="CO252" i="43"/>
  <c r="CP252" i="43"/>
  <c r="CQ252" i="43"/>
  <c r="CR252" i="43"/>
  <c r="CS252" i="43"/>
  <c r="CT252" i="43"/>
  <c r="CU252" i="43"/>
  <c r="CV252" i="43"/>
  <c r="CW252" i="43"/>
  <c r="CX252" i="43"/>
  <c r="CY252" i="43"/>
  <c r="CZ252" i="43"/>
  <c r="DA252" i="43"/>
  <c r="DB252" i="43"/>
  <c r="DC252" i="43"/>
  <c r="DD252" i="43"/>
  <c r="DE252" i="43"/>
  <c r="DF252" i="43"/>
  <c r="DG252" i="43"/>
  <c r="DH252" i="43"/>
  <c r="DI252" i="43"/>
  <c r="DJ252" i="43"/>
  <c r="DK252" i="43"/>
  <c r="DL252" i="43"/>
  <c r="DM252" i="43"/>
  <c r="DN252" i="43"/>
  <c r="DO252" i="43"/>
  <c r="DP252" i="43"/>
  <c r="DQ252" i="43"/>
  <c r="DR252" i="43"/>
  <c r="DS252" i="43"/>
  <c r="DT252" i="43"/>
  <c r="DU252" i="43"/>
  <c r="DV252" i="43"/>
  <c r="DW252" i="43"/>
  <c r="DX252" i="43"/>
  <c r="DY252" i="43"/>
  <c r="DZ252" i="43"/>
  <c r="EA252" i="43"/>
  <c r="EB252" i="43"/>
  <c r="EC252" i="43"/>
  <c r="ED252" i="43"/>
  <c r="EE252" i="43"/>
  <c r="EF252" i="43"/>
  <c r="EG252" i="43"/>
  <c r="EH252" i="43"/>
  <c r="EI252" i="43"/>
  <c r="EJ252" i="43"/>
  <c r="EK252" i="43"/>
  <c r="EL252" i="43"/>
  <c r="EM252" i="43"/>
  <c r="EN252" i="43"/>
  <c r="EO252" i="43"/>
  <c r="EP252" i="43"/>
  <c r="EQ252" i="43"/>
  <c r="ER252" i="43"/>
  <c r="ES252" i="43"/>
  <c r="ET252" i="43"/>
  <c r="EU252" i="43"/>
  <c r="EV252" i="43"/>
  <c r="EW252" i="43"/>
  <c r="EX252" i="43"/>
  <c r="EY252" i="43"/>
  <c r="EZ252" i="43"/>
  <c r="FA252" i="43"/>
  <c r="FB252" i="43"/>
  <c r="FC252" i="43"/>
  <c r="FD252" i="43"/>
  <c r="FE252" i="43"/>
  <c r="FF252" i="43"/>
  <c r="FG252" i="43"/>
  <c r="FH252" i="43"/>
  <c r="FI252" i="43"/>
  <c r="FJ252" i="43"/>
  <c r="FK252" i="43"/>
  <c r="FL252" i="43"/>
  <c r="FM252" i="43"/>
  <c r="FN252" i="43"/>
  <c r="FO252" i="43"/>
  <c r="FP252" i="43"/>
  <c r="FQ252" i="43"/>
  <c r="FR252" i="43"/>
  <c r="FS252" i="43"/>
  <c r="FT252" i="43"/>
  <c r="FU252" i="43"/>
  <c r="FV252" i="43"/>
  <c r="FW252" i="43"/>
  <c r="FX252" i="43"/>
  <c r="FY252" i="43"/>
  <c r="FZ252" i="43"/>
  <c r="GA252" i="43"/>
  <c r="GB252" i="43"/>
  <c r="GC252" i="43"/>
  <c r="GD252" i="43"/>
  <c r="GE252" i="43"/>
  <c r="GF252" i="43"/>
  <c r="GG252" i="43"/>
  <c r="GH252" i="43"/>
  <c r="GI252" i="43"/>
  <c r="GJ252" i="43"/>
  <c r="GK252" i="43"/>
  <c r="GL252" i="43"/>
  <c r="GM252" i="43"/>
  <c r="GN252" i="43"/>
  <c r="GO252" i="43"/>
  <c r="GP252" i="43"/>
  <c r="GQ252" i="43"/>
  <c r="GR252" i="43"/>
  <c r="GS252" i="43"/>
  <c r="GT252" i="43"/>
  <c r="GU252" i="43"/>
  <c r="GV252" i="43"/>
  <c r="GW252" i="43"/>
  <c r="GX252" i="43"/>
  <c r="GY252" i="43"/>
  <c r="GZ252" i="43"/>
  <c r="HA252" i="43"/>
  <c r="HB252" i="43"/>
  <c r="HC252" i="43"/>
  <c r="HD252" i="43"/>
  <c r="HE252" i="43"/>
  <c r="HF252" i="43"/>
  <c r="HG252" i="43"/>
  <c r="HH252" i="43"/>
  <c r="HI252" i="43"/>
  <c r="HJ252" i="43"/>
  <c r="HK252" i="43"/>
  <c r="HL252" i="43"/>
  <c r="HM252" i="43"/>
  <c r="HN252" i="43"/>
  <c r="HO252" i="43"/>
  <c r="HP252" i="43"/>
  <c r="HQ252" i="43"/>
  <c r="HR252" i="43"/>
  <c r="HS252" i="43"/>
  <c r="HT252" i="43"/>
  <c r="HU252" i="43"/>
  <c r="HV252" i="43"/>
  <c r="HW252" i="43"/>
  <c r="HX252" i="43"/>
  <c r="HY252" i="43"/>
  <c r="HZ252" i="43"/>
  <c r="IA252" i="43"/>
  <c r="IB252" i="43"/>
  <c r="IC252" i="43"/>
  <c r="ID252" i="43"/>
  <c r="IE252" i="43"/>
  <c r="IF252" i="43"/>
  <c r="IG252" i="43"/>
  <c r="IH252" i="43"/>
  <c r="II252" i="43"/>
  <c r="IJ252" i="43"/>
  <c r="IK252" i="43"/>
  <c r="IL252" i="43"/>
  <c r="IM252" i="43"/>
  <c r="IN252" i="43"/>
  <c r="IO252" i="43"/>
  <c r="IP252" i="43"/>
  <c r="IQ252" i="43"/>
  <c r="IR252" i="43"/>
  <c r="IS252" i="43"/>
  <c r="IT252" i="43"/>
  <c r="IU252" i="43"/>
  <c r="IV252" i="43"/>
  <c r="A251" i="43"/>
  <c r="B251" i="43"/>
  <c r="C251" i="43"/>
  <c r="D251" i="43"/>
  <c r="E251" i="43"/>
  <c r="F251" i="43"/>
  <c r="G251" i="43"/>
  <c r="H251" i="43"/>
  <c r="I251" i="43"/>
  <c r="J251" i="43"/>
  <c r="K251" i="43"/>
  <c r="L251" i="43"/>
  <c r="M251" i="43"/>
  <c r="N251" i="43"/>
  <c r="O251" i="43"/>
  <c r="P251" i="43"/>
  <c r="Q251" i="43"/>
  <c r="R251" i="43"/>
  <c r="S251" i="43"/>
  <c r="T251" i="43"/>
  <c r="U251" i="43"/>
  <c r="V251" i="43"/>
  <c r="W251" i="43"/>
  <c r="X251" i="43"/>
  <c r="Y251" i="43"/>
  <c r="Z251" i="43"/>
  <c r="AA251" i="43"/>
  <c r="AB251" i="43"/>
  <c r="AC251" i="43"/>
  <c r="AD251" i="43"/>
  <c r="AE251" i="43"/>
  <c r="AF251" i="43"/>
  <c r="AG251" i="43"/>
  <c r="AH251" i="43"/>
  <c r="AI251" i="43"/>
  <c r="AJ251" i="43"/>
  <c r="AK251" i="43"/>
  <c r="AL251" i="43"/>
  <c r="AM251" i="43"/>
  <c r="AN251" i="43"/>
  <c r="AO251" i="43"/>
  <c r="AP251" i="43"/>
  <c r="AQ251" i="43"/>
  <c r="AR251" i="43"/>
  <c r="AS251" i="43"/>
  <c r="AT251" i="43"/>
  <c r="AU251" i="43"/>
  <c r="AV251" i="43"/>
  <c r="AW251" i="43"/>
  <c r="AX251" i="43"/>
  <c r="AY251" i="43"/>
  <c r="AZ251" i="43"/>
  <c r="BA251" i="43"/>
  <c r="BB251" i="43"/>
  <c r="BC251" i="43"/>
  <c r="BD251" i="43"/>
  <c r="BE251" i="43"/>
  <c r="BF251" i="43"/>
  <c r="BG251" i="43"/>
  <c r="BH251" i="43"/>
  <c r="BI251" i="43"/>
  <c r="BJ251" i="43"/>
  <c r="BK251" i="43"/>
  <c r="BL251" i="43"/>
  <c r="BM251" i="43"/>
  <c r="BN251" i="43"/>
  <c r="BO251" i="43"/>
  <c r="BP251" i="43"/>
  <c r="BQ251" i="43"/>
  <c r="BR251" i="43"/>
  <c r="BS251" i="43"/>
  <c r="BT251" i="43"/>
  <c r="BU251" i="43"/>
  <c r="BV251" i="43"/>
  <c r="BW251" i="43"/>
  <c r="BX251" i="43"/>
  <c r="BY251" i="43"/>
  <c r="BZ251" i="43"/>
  <c r="CA251" i="43"/>
  <c r="CB251" i="43"/>
  <c r="CC251" i="43"/>
  <c r="CD251" i="43"/>
  <c r="CE251" i="43"/>
  <c r="CF251" i="43"/>
  <c r="CG251" i="43"/>
  <c r="CH251" i="43"/>
  <c r="CI251" i="43"/>
  <c r="CJ251" i="43"/>
  <c r="CK251" i="43"/>
  <c r="CL251" i="43"/>
  <c r="CM251" i="43"/>
  <c r="CN251" i="43"/>
  <c r="CO251" i="43"/>
  <c r="CP251" i="43"/>
  <c r="CQ251" i="43"/>
  <c r="CR251" i="43"/>
  <c r="CS251" i="43"/>
  <c r="CT251" i="43"/>
  <c r="CU251" i="43"/>
  <c r="CV251" i="43"/>
  <c r="CW251" i="43"/>
  <c r="CX251" i="43"/>
  <c r="CY251" i="43"/>
  <c r="CZ251" i="43"/>
  <c r="DA251" i="43"/>
  <c r="DB251" i="43"/>
  <c r="DC251" i="43"/>
  <c r="DD251" i="43"/>
  <c r="DE251" i="43"/>
  <c r="DF251" i="43"/>
  <c r="DG251" i="43"/>
  <c r="DH251" i="43"/>
  <c r="DI251" i="43"/>
  <c r="DJ251" i="43"/>
  <c r="DK251" i="43"/>
  <c r="DL251" i="43"/>
  <c r="DM251" i="43"/>
  <c r="DN251" i="43"/>
  <c r="DO251" i="43"/>
  <c r="DP251" i="43"/>
  <c r="DQ251" i="43"/>
  <c r="DR251" i="43"/>
  <c r="DS251" i="43"/>
  <c r="DT251" i="43"/>
  <c r="DU251" i="43"/>
  <c r="DV251" i="43"/>
  <c r="DW251" i="43"/>
  <c r="DX251" i="43"/>
  <c r="DY251" i="43"/>
  <c r="DZ251" i="43"/>
  <c r="EA251" i="43"/>
  <c r="EB251" i="43"/>
  <c r="EC251" i="43"/>
  <c r="ED251" i="43"/>
  <c r="EE251" i="43"/>
  <c r="EF251" i="43"/>
  <c r="EG251" i="43"/>
  <c r="EH251" i="43"/>
  <c r="EI251" i="43"/>
  <c r="EJ251" i="43"/>
  <c r="EK251" i="43"/>
  <c r="EL251" i="43"/>
  <c r="EM251" i="43"/>
  <c r="EN251" i="43"/>
  <c r="EO251" i="43"/>
  <c r="EP251" i="43"/>
  <c r="EQ251" i="43"/>
  <c r="ER251" i="43"/>
  <c r="ES251" i="43"/>
  <c r="ET251" i="43"/>
  <c r="EU251" i="43"/>
  <c r="EV251" i="43"/>
  <c r="EW251" i="43"/>
  <c r="EX251" i="43"/>
  <c r="EY251" i="43"/>
  <c r="EZ251" i="43"/>
  <c r="FA251" i="43"/>
  <c r="FB251" i="43"/>
  <c r="FC251" i="43"/>
  <c r="FD251" i="43"/>
  <c r="FE251" i="43"/>
  <c r="FF251" i="43"/>
  <c r="FG251" i="43"/>
  <c r="FH251" i="43"/>
  <c r="FI251" i="43"/>
  <c r="FJ251" i="43"/>
  <c r="FK251" i="43"/>
  <c r="FL251" i="43"/>
  <c r="FM251" i="43"/>
  <c r="FN251" i="43"/>
  <c r="FO251" i="43"/>
  <c r="FP251" i="43"/>
  <c r="FQ251" i="43"/>
  <c r="FR251" i="43"/>
  <c r="FS251" i="43"/>
  <c r="FT251" i="43"/>
  <c r="FU251" i="43"/>
  <c r="FV251" i="43"/>
  <c r="FW251" i="43"/>
  <c r="FX251" i="43"/>
  <c r="FY251" i="43"/>
  <c r="FZ251" i="43"/>
  <c r="GA251" i="43"/>
  <c r="GB251" i="43"/>
  <c r="GC251" i="43"/>
  <c r="GD251" i="43"/>
  <c r="GE251" i="43"/>
  <c r="GF251" i="43"/>
  <c r="GG251" i="43"/>
  <c r="GH251" i="43"/>
  <c r="GI251" i="43"/>
  <c r="GJ251" i="43"/>
  <c r="GK251" i="43"/>
  <c r="GL251" i="43"/>
  <c r="GM251" i="43"/>
  <c r="GN251" i="43"/>
  <c r="GO251" i="43"/>
  <c r="GP251" i="43"/>
  <c r="GQ251" i="43"/>
  <c r="GR251" i="43"/>
  <c r="GS251" i="43"/>
  <c r="GT251" i="43"/>
  <c r="GU251" i="43"/>
  <c r="GV251" i="43"/>
  <c r="GW251" i="43"/>
  <c r="GX251" i="43"/>
  <c r="GY251" i="43"/>
  <c r="GZ251" i="43"/>
  <c r="HA251" i="43"/>
  <c r="HB251" i="43"/>
  <c r="HC251" i="43"/>
  <c r="HD251" i="43"/>
  <c r="HE251" i="43"/>
  <c r="HF251" i="43"/>
  <c r="HG251" i="43"/>
  <c r="HH251" i="43"/>
  <c r="HI251" i="43"/>
  <c r="HJ251" i="43"/>
  <c r="HK251" i="43"/>
  <c r="HL251" i="43"/>
  <c r="HM251" i="43"/>
  <c r="HN251" i="43"/>
  <c r="HO251" i="43"/>
  <c r="HP251" i="43"/>
  <c r="HQ251" i="43"/>
  <c r="HR251" i="43"/>
  <c r="HS251" i="43"/>
  <c r="HT251" i="43"/>
  <c r="HU251" i="43"/>
  <c r="HV251" i="43"/>
  <c r="HW251" i="43"/>
  <c r="HX251" i="43"/>
  <c r="HY251" i="43"/>
  <c r="HZ251" i="43"/>
  <c r="IA251" i="43"/>
  <c r="IB251" i="43"/>
  <c r="IC251" i="43"/>
  <c r="ID251" i="43"/>
  <c r="IE251" i="43"/>
  <c r="IF251" i="43"/>
  <c r="IG251" i="43"/>
  <c r="IH251" i="43"/>
  <c r="II251" i="43"/>
  <c r="IJ251" i="43"/>
  <c r="IK251" i="43"/>
  <c r="IL251" i="43"/>
  <c r="IM251" i="43"/>
  <c r="IN251" i="43"/>
  <c r="IO251" i="43"/>
  <c r="IP251" i="43"/>
  <c r="IQ251" i="43"/>
  <c r="IR251" i="43"/>
  <c r="IS251" i="43"/>
  <c r="IT251" i="43"/>
  <c r="IU251" i="43"/>
  <c r="IV251" i="43"/>
  <c r="A250" i="43"/>
  <c r="B250" i="43"/>
  <c r="C250" i="43"/>
  <c r="D250" i="43"/>
  <c r="E250" i="43"/>
  <c r="F250" i="43"/>
  <c r="G250" i="43"/>
  <c r="H250" i="43"/>
  <c r="I250" i="43"/>
  <c r="J250" i="43"/>
  <c r="K250" i="43"/>
  <c r="L250" i="43"/>
  <c r="M250" i="43"/>
  <c r="N250" i="43"/>
  <c r="O250" i="43"/>
  <c r="P250" i="43"/>
  <c r="Q250" i="43"/>
  <c r="R250" i="43"/>
  <c r="S250" i="43"/>
  <c r="T250" i="43"/>
  <c r="U250" i="43"/>
  <c r="V250" i="43"/>
  <c r="W250" i="43"/>
  <c r="X250" i="43"/>
  <c r="Y250" i="43"/>
  <c r="Z250" i="43"/>
  <c r="AA250" i="43"/>
  <c r="AB250" i="43"/>
  <c r="AC250" i="43"/>
  <c r="AD250" i="43"/>
  <c r="AE250" i="43"/>
  <c r="AF250" i="43"/>
  <c r="AG250" i="43"/>
  <c r="AH250" i="43"/>
  <c r="AI250" i="43"/>
  <c r="AJ250" i="43"/>
  <c r="AK250" i="43"/>
  <c r="AL250" i="43"/>
  <c r="AM250" i="43"/>
  <c r="AN250" i="43"/>
  <c r="AO250" i="43"/>
  <c r="AP250" i="43"/>
  <c r="AQ250" i="43"/>
  <c r="AR250" i="43"/>
  <c r="AS250" i="43"/>
  <c r="AT250" i="43"/>
  <c r="AU250" i="43"/>
  <c r="AV250" i="43"/>
  <c r="AW250" i="43"/>
  <c r="AX250" i="43"/>
  <c r="AY250" i="43"/>
  <c r="AZ250" i="43"/>
  <c r="BA250" i="43"/>
  <c r="BB250" i="43"/>
  <c r="BC250" i="43"/>
  <c r="BD250" i="43"/>
  <c r="BE250" i="43"/>
  <c r="BF250" i="43"/>
  <c r="BG250" i="43"/>
  <c r="BH250" i="43"/>
  <c r="BI250" i="43"/>
  <c r="BJ250" i="43"/>
  <c r="BK250" i="43"/>
  <c r="BL250" i="43"/>
  <c r="BM250" i="43"/>
  <c r="BN250" i="43"/>
  <c r="BO250" i="43"/>
  <c r="BP250" i="43"/>
  <c r="BQ250" i="43"/>
  <c r="BR250" i="43"/>
  <c r="BS250" i="43"/>
  <c r="BT250" i="43"/>
  <c r="BU250" i="43"/>
  <c r="BV250" i="43"/>
  <c r="BW250" i="43"/>
  <c r="BX250" i="43"/>
  <c r="BY250" i="43"/>
  <c r="BZ250" i="43"/>
  <c r="CA250" i="43"/>
  <c r="CB250" i="43"/>
  <c r="CC250" i="43"/>
  <c r="CD250" i="43"/>
  <c r="CE250" i="43"/>
  <c r="CF250" i="43"/>
  <c r="CG250" i="43"/>
  <c r="CH250" i="43"/>
  <c r="CI250" i="43"/>
  <c r="CJ250" i="43"/>
  <c r="CK250" i="43"/>
  <c r="CL250" i="43"/>
  <c r="CM250" i="43"/>
  <c r="CN250" i="43"/>
  <c r="CO250" i="43"/>
  <c r="CP250" i="43"/>
  <c r="CQ250" i="43"/>
  <c r="CR250" i="43"/>
  <c r="CS250" i="43"/>
  <c r="CT250" i="43"/>
  <c r="CU250" i="43"/>
  <c r="CV250" i="43"/>
  <c r="CW250" i="43"/>
  <c r="CX250" i="43"/>
  <c r="CY250" i="43"/>
  <c r="CZ250" i="43"/>
  <c r="DA250" i="43"/>
  <c r="DB250" i="43"/>
  <c r="DC250" i="43"/>
  <c r="DD250" i="43"/>
  <c r="DE250" i="43"/>
  <c r="DF250" i="43"/>
  <c r="DG250" i="43"/>
  <c r="DH250" i="43"/>
  <c r="DI250" i="43"/>
  <c r="DJ250" i="43"/>
  <c r="DK250" i="43"/>
  <c r="DL250" i="43"/>
  <c r="DM250" i="43"/>
  <c r="DN250" i="43"/>
  <c r="DO250" i="43"/>
  <c r="DP250" i="43"/>
  <c r="DQ250" i="43"/>
  <c r="DR250" i="43"/>
  <c r="DS250" i="43"/>
  <c r="DT250" i="43"/>
  <c r="DU250" i="43"/>
  <c r="DV250" i="43"/>
  <c r="DW250" i="43"/>
  <c r="DX250" i="43"/>
  <c r="DY250" i="43"/>
  <c r="DZ250" i="43"/>
  <c r="EA250" i="43"/>
  <c r="EB250" i="43"/>
  <c r="EC250" i="43"/>
  <c r="ED250" i="43"/>
  <c r="EE250" i="43"/>
  <c r="EF250" i="43"/>
  <c r="EG250" i="43"/>
  <c r="EH250" i="43"/>
  <c r="EI250" i="43"/>
  <c r="EJ250" i="43"/>
  <c r="EK250" i="43"/>
  <c r="EL250" i="43"/>
  <c r="EM250" i="43"/>
  <c r="EN250" i="43"/>
  <c r="EO250" i="43"/>
  <c r="EP250" i="43"/>
  <c r="EQ250" i="43"/>
  <c r="ER250" i="43"/>
  <c r="ES250" i="43"/>
  <c r="ET250" i="43"/>
  <c r="EU250" i="43"/>
  <c r="EV250" i="43"/>
  <c r="EW250" i="43"/>
  <c r="EX250" i="43"/>
  <c r="EY250" i="43"/>
  <c r="EZ250" i="43"/>
  <c r="FA250" i="43"/>
  <c r="FB250" i="43"/>
  <c r="FC250" i="43"/>
  <c r="FD250" i="43"/>
  <c r="FE250" i="43"/>
  <c r="FF250" i="43"/>
  <c r="FG250" i="43"/>
  <c r="FH250" i="43"/>
  <c r="FI250" i="43"/>
  <c r="FJ250" i="43"/>
  <c r="FK250" i="43"/>
  <c r="FL250" i="43"/>
  <c r="FM250" i="43"/>
  <c r="FN250" i="43"/>
  <c r="FO250" i="43"/>
  <c r="FP250" i="43"/>
  <c r="FQ250" i="43"/>
  <c r="FR250" i="43"/>
  <c r="FS250" i="43"/>
  <c r="FT250" i="43"/>
  <c r="FU250" i="43"/>
  <c r="FV250" i="43"/>
  <c r="FW250" i="43"/>
  <c r="FX250" i="43"/>
  <c r="FY250" i="43"/>
  <c r="FZ250" i="43"/>
  <c r="GA250" i="43"/>
  <c r="GB250" i="43"/>
  <c r="GC250" i="43"/>
  <c r="GD250" i="43"/>
  <c r="GE250" i="43"/>
  <c r="GF250" i="43"/>
  <c r="GG250" i="43"/>
  <c r="GH250" i="43"/>
  <c r="GI250" i="43"/>
  <c r="GJ250" i="43"/>
  <c r="GK250" i="43"/>
  <c r="GL250" i="43"/>
  <c r="GM250" i="43"/>
  <c r="GN250" i="43"/>
  <c r="GO250" i="43"/>
  <c r="GP250" i="43"/>
  <c r="GQ250" i="43"/>
  <c r="GR250" i="43"/>
  <c r="GS250" i="43"/>
  <c r="GT250" i="43"/>
  <c r="GU250" i="43"/>
  <c r="GV250" i="43"/>
  <c r="GW250" i="43"/>
  <c r="GX250" i="43"/>
  <c r="GY250" i="43"/>
  <c r="GZ250" i="43"/>
  <c r="HA250" i="43"/>
  <c r="HB250" i="43"/>
  <c r="HC250" i="43"/>
  <c r="HD250" i="43"/>
  <c r="HE250" i="43"/>
  <c r="HF250" i="43"/>
  <c r="HG250" i="43"/>
  <c r="HH250" i="43"/>
  <c r="HI250" i="43"/>
  <c r="HJ250" i="43"/>
  <c r="HK250" i="43"/>
  <c r="HL250" i="43"/>
  <c r="HM250" i="43"/>
  <c r="HN250" i="43"/>
  <c r="HO250" i="43"/>
  <c r="HP250" i="43"/>
  <c r="HQ250" i="43"/>
  <c r="HR250" i="43"/>
  <c r="HS250" i="43"/>
  <c r="HT250" i="43"/>
  <c r="HU250" i="43"/>
  <c r="HV250" i="43"/>
  <c r="HW250" i="43"/>
  <c r="HX250" i="43"/>
  <c r="HY250" i="43"/>
  <c r="HZ250" i="43"/>
  <c r="IA250" i="43"/>
  <c r="IB250" i="43"/>
  <c r="IC250" i="43"/>
  <c r="ID250" i="43"/>
  <c r="IE250" i="43"/>
  <c r="IF250" i="43"/>
  <c r="IG250" i="43"/>
  <c r="IH250" i="43"/>
  <c r="II250" i="43"/>
  <c r="IJ250" i="43"/>
  <c r="IK250" i="43"/>
  <c r="IL250" i="43"/>
  <c r="IM250" i="43"/>
  <c r="IN250" i="43"/>
  <c r="IO250" i="43"/>
  <c r="IP250" i="43"/>
  <c r="IQ250" i="43"/>
  <c r="IR250" i="43"/>
  <c r="IS250" i="43"/>
  <c r="IT250" i="43"/>
  <c r="IU250" i="43"/>
  <c r="IV250" i="43"/>
  <c r="A249" i="43"/>
  <c r="B249" i="43"/>
  <c r="C249" i="43"/>
  <c r="D249" i="43"/>
  <c r="E249" i="43"/>
  <c r="F249" i="43"/>
  <c r="G249" i="43"/>
  <c r="H249" i="43"/>
  <c r="I249" i="43"/>
  <c r="J249" i="43"/>
  <c r="K249" i="43"/>
  <c r="L249" i="43"/>
  <c r="M249" i="43"/>
  <c r="N249" i="43"/>
  <c r="O249" i="43"/>
  <c r="P249" i="43"/>
  <c r="Q249" i="43"/>
  <c r="R249" i="43"/>
  <c r="S249" i="43"/>
  <c r="T249" i="43"/>
  <c r="U249" i="43"/>
  <c r="V249" i="43"/>
  <c r="W249" i="43"/>
  <c r="X249" i="43"/>
  <c r="Y249" i="43"/>
  <c r="Z249" i="43"/>
  <c r="AA249" i="43"/>
  <c r="AB249" i="43"/>
  <c r="AC249" i="43"/>
  <c r="AD249" i="43"/>
  <c r="AE249" i="43"/>
  <c r="AF249" i="43"/>
  <c r="AG249" i="43"/>
  <c r="AH249" i="43"/>
  <c r="AI249" i="43"/>
  <c r="AJ249" i="43"/>
  <c r="AK249" i="43"/>
  <c r="AL249" i="43"/>
  <c r="AM249" i="43"/>
  <c r="AN249" i="43"/>
  <c r="AO249" i="43"/>
  <c r="AP249" i="43"/>
  <c r="AQ249" i="43"/>
  <c r="AR249" i="43"/>
  <c r="AS249" i="43"/>
  <c r="AT249" i="43"/>
  <c r="AU249" i="43"/>
  <c r="AV249" i="43"/>
  <c r="AW249" i="43"/>
  <c r="AX249" i="43"/>
  <c r="AY249" i="43"/>
  <c r="AZ249" i="43"/>
  <c r="BA249" i="43"/>
  <c r="BB249" i="43"/>
  <c r="BC249" i="43"/>
  <c r="BD249" i="43"/>
  <c r="BE249" i="43"/>
  <c r="BF249" i="43"/>
  <c r="BG249" i="43"/>
  <c r="BH249" i="43"/>
  <c r="BI249" i="43"/>
  <c r="BJ249" i="43"/>
  <c r="BK249" i="43"/>
  <c r="BL249" i="43"/>
  <c r="BM249" i="43"/>
  <c r="BN249" i="43"/>
  <c r="BO249" i="43"/>
  <c r="BP249" i="43"/>
  <c r="BQ249" i="43"/>
  <c r="BR249" i="43"/>
  <c r="BS249" i="43"/>
  <c r="BT249" i="43"/>
  <c r="BU249" i="43"/>
  <c r="BV249" i="43"/>
  <c r="BW249" i="43"/>
  <c r="BX249" i="43"/>
  <c r="BY249" i="43"/>
  <c r="BZ249" i="43"/>
  <c r="CA249" i="43"/>
  <c r="CB249" i="43"/>
  <c r="CC249" i="43"/>
  <c r="CD249" i="43"/>
  <c r="CE249" i="43"/>
  <c r="CF249" i="43"/>
  <c r="CG249" i="43"/>
  <c r="CH249" i="43"/>
  <c r="CI249" i="43"/>
  <c r="CJ249" i="43"/>
  <c r="CK249" i="43"/>
  <c r="CL249" i="43"/>
  <c r="CM249" i="43"/>
  <c r="CN249" i="43"/>
  <c r="CO249" i="43"/>
  <c r="CP249" i="43"/>
  <c r="CQ249" i="43"/>
  <c r="CR249" i="43"/>
  <c r="CS249" i="43"/>
  <c r="CT249" i="43"/>
  <c r="CU249" i="43"/>
  <c r="CV249" i="43"/>
  <c r="CW249" i="43"/>
  <c r="CX249" i="43"/>
  <c r="CY249" i="43"/>
  <c r="CZ249" i="43"/>
  <c r="DA249" i="43"/>
  <c r="DB249" i="43"/>
  <c r="DC249" i="43"/>
  <c r="DD249" i="43"/>
  <c r="DE249" i="43"/>
  <c r="DF249" i="43"/>
  <c r="DG249" i="43"/>
  <c r="DH249" i="43"/>
  <c r="DI249" i="43"/>
  <c r="DJ249" i="43"/>
  <c r="DK249" i="43"/>
  <c r="DL249" i="43"/>
  <c r="DM249" i="43"/>
  <c r="DN249" i="43"/>
  <c r="DO249" i="43"/>
  <c r="DP249" i="43"/>
  <c r="DQ249" i="43"/>
  <c r="DR249" i="43"/>
  <c r="DS249" i="43"/>
  <c r="DT249" i="43"/>
  <c r="DU249" i="43"/>
  <c r="DV249" i="43"/>
  <c r="DW249" i="43"/>
  <c r="DX249" i="43"/>
  <c r="DY249" i="43"/>
  <c r="DZ249" i="43"/>
  <c r="EA249" i="43"/>
  <c r="EB249" i="43"/>
  <c r="EC249" i="43"/>
  <c r="ED249" i="43"/>
  <c r="EE249" i="43"/>
  <c r="EF249" i="43"/>
  <c r="EG249" i="43"/>
  <c r="EH249" i="43"/>
  <c r="EI249" i="43"/>
  <c r="EJ249" i="43"/>
  <c r="EK249" i="43"/>
  <c r="EL249" i="43"/>
  <c r="EM249" i="43"/>
  <c r="EN249" i="43"/>
  <c r="EO249" i="43"/>
  <c r="EP249" i="43"/>
  <c r="EQ249" i="43"/>
  <c r="ER249" i="43"/>
  <c r="ES249" i="43"/>
  <c r="ET249" i="43"/>
  <c r="EU249" i="43"/>
  <c r="EV249" i="43"/>
  <c r="EW249" i="43"/>
  <c r="EX249" i="43"/>
  <c r="EY249" i="43"/>
  <c r="EZ249" i="43"/>
  <c r="FA249" i="43"/>
  <c r="FB249" i="43"/>
  <c r="FC249" i="43"/>
  <c r="FD249" i="43"/>
  <c r="FE249" i="43"/>
  <c r="FF249" i="43"/>
  <c r="FG249" i="43"/>
  <c r="FH249" i="43"/>
  <c r="FI249" i="43"/>
  <c r="FJ249" i="43"/>
  <c r="FK249" i="43"/>
  <c r="FL249" i="43"/>
  <c r="FM249" i="43"/>
  <c r="FN249" i="43"/>
  <c r="FO249" i="43"/>
  <c r="FP249" i="43"/>
  <c r="FQ249" i="43"/>
  <c r="FR249" i="43"/>
  <c r="FS249" i="43"/>
  <c r="FT249" i="43"/>
  <c r="FU249" i="43"/>
  <c r="FV249" i="43"/>
  <c r="FW249" i="43"/>
  <c r="FX249" i="43"/>
  <c r="FY249" i="43"/>
  <c r="FZ249" i="43"/>
  <c r="GA249" i="43"/>
  <c r="GB249" i="43"/>
  <c r="GC249" i="43"/>
  <c r="GD249" i="43"/>
  <c r="GE249" i="43"/>
  <c r="GF249" i="43"/>
  <c r="GG249" i="43"/>
  <c r="GH249" i="43"/>
  <c r="GI249" i="43"/>
  <c r="GJ249" i="43"/>
  <c r="GK249" i="43"/>
  <c r="GL249" i="43"/>
  <c r="GM249" i="43"/>
  <c r="GN249" i="43"/>
  <c r="GO249" i="43"/>
  <c r="GP249" i="43"/>
  <c r="GQ249" i="43"/>
  <c r="GR249" i="43"/>
  <c r="GS249" i="43"/>
  <c r="GT249" i="43"/>
  <c r="GU249" i="43"/>
  <c r="GV249" i="43"/>
  <c r="GW249" i="43"/>
  <c r="GX249" i="43"/>
  <c r="GY249" i="43"/>
  <c r="GZ249" i="43"/>
  <c r="HA249" i="43"/>
  <c r="HB249" i="43"/>
  <c r="HC249" i="43"/>
  <c r="HD249" i="43"/>
  <c r="HE249" i="43"/>
  <c r="HF249" i="43"/>
  <c r="HG249" i="43"/>
  <c r="HH249" i="43"/>
  <c r="HI249" i="43"/>
  <c r="HJ249" i="43"/>
  <c r="HK249" i="43"/>
  <c r="HL249" i="43"/>
  <c r="HM249" i="43"/>
  <c r="HN249" i="43"/>
  <c r="HO249" i="43"/>
  <c r="HP249" i="43"/>
  <c r="HQ249" i="43"/>
  <c r="HR249" i="43"/>
  <c r="HS249" i="43"/>
  <c r="HT249" i="43"/>
  <c r="HU249" i="43"/>
  <c r="HV249" i="43"/>
  <c r="HW249" i="43"/>
  <c r="HX249" i="43"/>
  <c r="HY249" i="43"/>
  <c r="HZ249" i="43"/>
  <c r="IA249" i="43"/>
  <c r="IB249" i="43"/>
  <c r="IC249" i="43"/>
  <c r="ID249" i="43"/>
  <c r="IE249" i="43"/>
  <c r="IF249" i="43"/>
  <c r="IG249" i="43"/>
  <c r="IH249" i="43"/>
  <c r="II249" i="43"/>
  <c r="IJ249" i="43"/>
  <c r="IK249" i="43"/>
  <c r="IL249" i="43"/>
  <c r="IM249" i="43"/>
  <c r="IN249" i="43"/>
  <c r="IO249" i="43"/>
  <c r="IP249" i="43"/>
  <c r="IQ249" i="43"/>
  <c r="IR249" i="43"/>
  <c r="IS249" i="43"/>
  <c r="IT249" i="43"/>
  <c r="IU249" i="43"/>
  <c r="IV249" i="43"/>
  <c r="A248" i="43"/>
  <c r="B248" i="43"/>
  <c r="C248" i="43"/>
  <c r="D248" i="43"/>
  <c r="E248" i="43"/>
  <c r="F248" i="43"/>
  <c r="G248" i="43"/>
  <c r="H248" i="43"/>
  <c r="I248" i="43"/>
  <c r="J248" i="43"/>
  <c r="K248" i="43"/>
  <c r="L248" i="43"/>
  <c r="M248" i="43"/>
  <c r="N248" i="43"/>
  <c r="O248" i="43"/>
  <c r="P248" i="43"/>
  <c r="Q248" i="43"/>
  <c r="R248" i="43"/>
  <c r="S248" i="43"/>
  <c r="T248" i="43"/>
  <c r="U248" i="43"/>
  <c r="V248" i="43"/>
  <c r="W248" i="43"/>
  <c r="X248" i="43"/>
  <c r="Y248" i="43"/>
  <c r="Z248" i="43"/>
  <c r="AA248" i="43"/>
  <c r="AB248" i="43"/>
  <c r="AC248" i="43"/>
  <c r="AD248" i="43"/>
  <c r="AE248" i="43"/>
  <c r="AF248" i="43"/>
  <c r="AG248" i="43"/>
  <c r="AH248" i="43"/>
  <c r="AI248" i="43"/>
  <c r="AJ248" i="43"/>
  <c r="AK248" i="43"/>
  <c r="AL248" i="43"/>
  <c r="AM248" i="43"/>
  <c r="AN248" i="43"/>
  <c r="AO248" i="43"/>
  <c r="AP248" i="43"/>
  <c r="AQ248" i="43"/>
  <c r="AR248" i="43"/>
  <c r="AS248" i="43"/>
  <c r="AT248" i="43"/>
  <c r="AU248" i="43"/>
  <c r="AV248" i="43"/>
  <c r="AW248" i="43"/>
  <c r="AX248" i="43"/>
  <c r="AY248" i="43"/>
  <c r="AZ248" i="43"/>
  <c r="BA248" i="43"/>
  <c r="BB248" i="43"/>
  <c r="BC248" i="43"/>
  <c r="BD248" i="43"/>
  <c r="BE248" i="43"/>
  <c r="BF248" i="43"/>
  <c r="BG248" i="43"/>
  <c r="BH248" i="43"/>
  <c r="BI248" i="43"/>
  <c r="BJ248" i="43"/>
  <c r="BK248" i="43"/>
  <c r="BL248" i="43"/>
  <c r="BM248" i="43"/>
  <c r="BN248" i="43"/>
  <c r="BO248" i="43"/>
  <c r="BP248" i="43"/>
  <c r="BQ248" i="43"/>
  <c r="BR248" i="43"/>
  <c r="BS248" i="43"/>
  <c r="BT248" i="43"/>
  <c r="BU248" i="43"/>
  <c r="BV248" i="43"/>
  <c r="BW248" i="43"/>
  <c r="BX248" i="43"/>
  <c r="BY248" i="43"/>
  <c r="BZ248" i="43"/>
  <c r="CA248" i="43"/>
  <c r="CB248" i="43"/>
  <c r="CC248" i="43"/>
  <c r="CD248" i="43"/>
  <c r="CE248" i="43"/>
  <c r="CF248" i="43"/>
  <c r="CG248" i="43"/>
  <c r="CH248" i="43"/>
  <c r="CI248" i="43"/>
  <c r="CJ248" i="43"/>
  <c r="CK248" i="43"/>
  <c r="CL248" i="43"/>
  <c r="CM248" i="43"/>
  <c r="CN248" i="43"/>
  <c r="CO248" i="43"/>
  <c r="CP248" i="43"/>
  <c r="CQ248" i="43"/>
  <c r="CR248" i="43"/>
  <c r="CS248" i="43"/>
  <c r="CT248" i="43"/>
  <c r="CU248" i="43"/>
  <c r="CV248" i="43"/>
  <c r="CW248" i="43"/>
  <c r="CX248" i="43"/>
  <c r="CY248" i="43"/>
  <c r="CZ248" i="43"/>
  <c r="DA248" i="43"/>
  <c r="DB248" i="43"/>
  <c r="DC248" i="43"/>
  <c r="DD248" i="43"/>
  <c r="DE248" i="43"/>
  <c r="DF248" i="43"/>
  <c r="DG248" i="43"/>
  <c r="DH248" i="43"/>
  <c r="DI248" i="43"/>
  <c r="DJ248" i="43"/>
  <c r="DK248" i="43"/>
  <c r="DL248" i="43"/>
  <c r="DM248" i="43"/>
  <c r="DN248" i="43"/>
  <c r="DO248" i="43"/>
  <c r="DP248" i="43"/>
  <c r="DQ248" i="43"/>
  <c r="DR248" i="43"/>
  <c r="DS248" i="43"/>
  <c r="DT248" i="43"/>
  <c r="DU248" i="43"/>
  <c r="DV248" i="43"/>
  <c r="DW248" i="43"/>
  <c r="DX248" i="43"/>
  <c r="DY248" i="43"/>
  <c r="DZ248" i="43"/>
  <c r="EA248" i="43"/>
  <c r="EB248" i="43"/>
  <c r="EC248" i="43"/>
  <c r="ED248" i="43"/>
  <c r="EE248" i="43"/>
  <c r="EF248" i="43"/>
  <c r="EG248" i="43"/>
  <c r="EH248" i="43"/>
  <c r="EI248" i="43"/>
  <c r="EJ248" i="43"/>
  <c r="EK248" i="43"/>
  <c r="EL248" i="43"/>
  <c r="EM248" i="43"/>
  <c r="EN248" i="43"/>
  <c r="EO248" i="43"/>
  <c r="EP248" i="43"/>
  <c r="EQ248" i="43"/>
  <c r="ER248" i="43"/>
  <c r="ES248" i="43"/>
  <c r="ET248" i="43"/>
  <c r="EU248" i="43"/>
  <c r="EV248" i="43"/>
  <c r="EW248" i="43"/>
  <c r="EX248" i="43"/>
  <c r="EY248" i="43"/>
  <c r="EZ248" i="43"/>
  <c r="FA248" i="43"/>
  <c r="FB248" i="43"/>
  <c r="FC248" i="43"/>
  <c r="FD248" i="43"/>
  <c r="FE248" i="43"/>
  <c r="FF248" i="43"/>
  <c r="FG248" i="43"/>
  <c r="FH248" i="43"/>
  <c r="FI248" i="43"/>
  <c r="FJ248" i="43"/>
  <c r="FK248" i="43"/>
  <c r="FL248" i="43"/>
  <c r="FM248" i="43"/>
  <c r="FN248" i="43"/>
  <c r="FO248" i="43"/>
  <c r="FP248" i="43"/>
  <c r="FQ248" i="43"/>
  <c r="FR248" i="43"/>
  <c r="FS248" i="43"/>
  <c r="FT248" i="43"/>
  <c r="FU248" i="43"/>
  <c r="FV248" i="43"/>
  <c r="FW248" i="43"/>
  <c r="FX248" i="43"/>
  <c r="FY248" i="43"/>
  <c r="FZ248" i="43"/>
  <c r="GA248" i="43"/>
  <c r="GB248" i="43"/>
  <c r="GC248" i="43"/>
  <c r="GD248" i="43"/>
  <c r="GE248" i="43"/>
  <c r="GF248" i="43"/>
  <c r="GG248" i="43"/>
  <c r="GH248" i="43"/>
  <c r="GI248" i="43"/>
  <c r="GJ248" i="43"/>
  <c r="GK248" i="43"/>
  <c r="GL248" i="43"/>
  <c r="GM248" i="43"/>
  <c r="GN248" i="43"/>
  <c r="GO248" i="43"/>
  <c r="GP248" i="43"/>
  <c r="GQ248" i="43"/>
  <c r="GR248" i="43"/>
  <c r="GS248" i="43"/>
  <c r="GT248" i="43"/>
  <c r="GU248" i="43"/>
  <c r="GV248" i="43"/>
  <c r="GW248" i="43"/>
  <c r="GX248" i="43"/>
  <c r="GY248" i="43"/>
  <c r="GZ248" i="43"/>
  <c r="HA248" i="43"/>
  <c r="HB248" i="43"/>
  <c r="HC248" i="43"/>
  <c r="HD248" i="43"/>
  <c r="HE248" i="43"/>
  <c r="HF248" i="43"/>
  <c r="HG248" i="43"/>
  <c r="HH248" i="43"/>
  <c r="HI248" i="43"/>
  <c r="HJ248" i="43"/>
  <c r="HK248" i="43"/>
  <c r="HL248" i="43"/>
  <c r="HM248" i="43"/>
  <c r="HN248" i="43"/>
  <c r="HO248" i="43"/>
  <c r="HP248" i="43"/>
  <c r="HQ248" i="43"/>
  <c r="HR248" i="43"/>
  <c r="HS248" i="43"/>
  <c r="HT248" i="43"/>
  <c r="HU248" i="43"/>
  <c r="HV248" i="43"/>
  <c r="HW248" i="43"/>
  <c r="HX248" i="43"/>
  <c r="HY248" i="43"/>
  <c r="HZ248" i="43"/>
  <c r="IA248" i="43"/>
  <c r="IB248" i="43"/>
  <c r="IC248" i="43"/>
  <c r="ID248" i="43"/>
  <c r="IE248" i="43"/>
  <c r="IF248" i="43"/>
  <c r="IG248" i="43"/>
  <c r="IH248" i="43"/>
  <c r="II248" i="43"/>
  <c r="IJ248" i="43"/>
  <c r="IK248" i="43"/>
  <c r="IL248" i="43"/>
  <c r="IM248" i="43"/>
  <c r="IN248" i="43"/>
  <c r="IO248" i="43"/>
  <c r="IP248" i="43"/>
  <c r="IQ248" i="43"/>
  <c r="IR248" i="43"/>
  <c r="IS248" i="43"/>
  <c r="IT248" i="43"/>
  <c r="IU248" i="43"/>
  <c r="IV248" i="43"/>
  <c r="A247" i="43"/>
  <c r="B247" i="43"/>
  <c r="C247" i="43"/>
  <c r="D247" i="43"/>
  <c r="E247" i="43"/>
  <c r="F247" i="43"/>
  <c r="G247" i="43"/>
  <c r="H247" i="43"/>
  <c r="I247" i="43"/>
  <c r="J247" i="43"/>
  <c r="K247" i="43"/>
  <c r="L247" i="43"/>
  <c r="M247" i="43"/>
  <c r="N247" i="43"/>
  <c r="O247" i="43"/>
  <c r="P247" i="43"/>
  <c r="Q247" i="43"/>
  <c r="R247" i="43"/>
  <c r="S247" i="43"/>
  <c r="T247" i="43"/>
  <c r="U247" i="43"/>
  <c r="V247" i="43"/>
  <c r="W247" i="43"/>
  <c r="X247" i="43"/>
  <c r="Y247" i="43"/>
  <c r="Z247" i="43"/>
  <c r="AA247" i="43"/>
  <c r="AB247" i="43"/>
  <c r="AC247" i="43"/>
  <c r="AD247" i="43"/>
  <c r="AE247" i="43"/>
  <c r="AF247" i="43"/>
  <c r="AG247" i="43"/>
  <c r="AH247" i="43"/>
  <c r="AI247" i="43"/>
  <c r="AJ247" i="43"/>
  <c r="AK247" i="43"/>
  <c r="AL247" i="43"/>
  <c r="AM247" i="43"/>
  <c r="AN247" i="43"/>
  <c r="AO247" i="43"/>
  <c r="AP247" i="43"/>
  <c r="AQ247" i="43"/>
  <c r="AR247" i="43"/>
  <c r="AS247" i="43"/>
  <c r="AT247" i="43"/>
  <c r="AU247" i="43"/>
  <c r="AV247" i="43"/>
  <c r="AW247" i="43"/>
  <c r="AX247" i="43"/>
  <c r="AY247" i="43"/>
  <c r="AZ247" i="43"/>
  <c r="BA247" i="43"/>
  <c r="BB247" i="43"/>
  <c r="BC247" i="43"/>
  <c r="BD247" i="43"/>
  <c r="BE247" i="43"/>
  <c r="BF247" i="43"/>
  <c r="BG247" i="43"/>
  <c r="BH247" i="43"/>
  <c r="BI247" i="43"/>
  <c r="BJ247" i="43"/>
  <c r="BK247" i="43"/>
  <c r="BL247" i="43"/>
  <c r="BM247" i="43"/>
  <c r="BN247" i="43"/>
  <c r="BO247" i="43"/>
  <c r="BP247" i="43"/>
  <c r="BQ247" i="43"/>
  <c r="BR247" i="43"/>
  <c r="BS247" i="43"/>
  <c r="BT247" i="43"/>
  <c r="BU247" i="43"/>
  <c r="BV247" i="43"/>
  <c r="BW247" i="43"/>
  <c r="BX247" i="43"/>
  <c r="BY247" i="43"/>
  <c r="BZ247" i="43"/>
  <c r="CA247" i="43"/>
  <c r="CB247" i="43"/>
  <c r="CC247" i="43"/>
  <c r="CD247" i="43"/>
  <c r="CE247" i="43"/>
  <c r="CF247" i="43"/>
  <c r="CG247" i="43"/>
  <c r="CH247" i="43"/>
  <c r="CI247" i="43"/>
  <c r="CJ247" i="43"/>
  <c r="CK247" i="43"/>
  <c r="CL247" i="43"/>
  <c r="CM247" i="43"/>
  <c r="CN247" i="43"/>
  <c r="CO247" i="43"/>
  <c r="CP247" i="43"/>
  <c r="CQ247" i="43"/>
  <c r="CR247" i="43"/>
  <c r="CS247" i="43"/>
  <c r="CT247" i="43"/>
  <c r="CU247" i="43"/>
  <c r="CV247" i="43"/>
  <c r="CW247" i="43"/>
  <c r="CX247" i="43"/>
  <c r="CY247" i="43"/>
  <c r="CZ247" i="43"/>
  <c r="DA247" i="43"/>
  <c r="DB247" i="43"/>
  <c r="DC247" i="43"/>
  <c r="DD247" i="43"/>
  <c r="DE247" i="43"/>
  <c r="DF247" i="43"/>
  <c r="DG247" i="43"/>
  <c r="DH247" i="43"/>
  <c r="DI247" i="43"/>
  <c r="DJ247" i="43"/>
  <c r="DK247" i="43"/>
  <c r="DL247" i="43"/>
  <c r="DM247" i="43"/>
  <c r="DN247" i="43"/>
  <c r="DO247" i="43"/>
  <c r="DP247" i="43"/>
  <c r="DQ247" i="43"/>
  <c r="DR247" i="43"/>
  <c r="DS247" i="43"/>
  <c r="DT247" i="43"/>
  <c r="DU247" i="43"/>
  <c r="DV247" i="43"/>
  <c r="DW247" i="43"/>
  <c r="DX247" i="43"/>
  <c r="DY247" i="43"/>
  <c r="DZ247" i="43"/>
  <c r="EA247" i="43"/>
  <c r="EB247" i="43"/>
  <c r="EC247" i="43"/>
  <c r="ED247" i="43"/>
  <c r="EE247" i="43"/>
  <c r="EF247" i="43"/>
  <c r="EG247" i="43"/>
  <c r="EH247" i="43"/>
  <c r="EI247" i="43"/>
  <c r="EJ247" i="43"/>
  <c r="EK247" i="43"/>
  <c r="EL247" i="43"/>
  <c r="EM247" i="43"/>
  <c r="EN247" i="43"/>
  <c r="EO247" i="43"/>
  <c r="EP247" i="43"/>
  <c r="EQ247" i="43"/>
  <c r="ER247" i="43"/>
  <c r="ES247" i="43"/>
  <c r="ET247" i="43"/>
  <c r="EU247" i="43"/>
  <c r="EV247" i="43"/>
  <c r="EW247" i="43"/>
  <c r="EX247" i="43"/>
  <c r="EY247" i="43"/>
  <c r="EZ247" i="43"/>
  <c r="FA247" i="43"/>
  <c r="FB247" i="43"/>
  <c r="FC247" i="43"/>
  <c r="FD247" i="43"/>
  <c r="FE247" i="43"/>
  <c r="FF247" i="43"/>
  <c r="FG247" i="43"/>
  <c r="FH247" i="43"/>
  <c r="FI247" i="43"/>
  <c r="FJ247" i="43"/>
  <c r="FK247" i="43"/>
  <c r="FL247" i="43"/>
  <c r="FM247" i="43"/>
  <c r="FN247" i="43"/>
  <c r="FO247" i="43"/>
  <c r="FP247" i="43"/>
  <c r="FQ247" i="43"/>
  <c r="FR247" i="43"/>
  <c r="FS247" i="43"/>
  <c r="FT247" i="43"/>
  <c r="FU247" i="43"/>
  <c r="FV247" i="43"/>
  <c r="FW247" i="43"/>
  <c r="FX247" i="43"/>
  <c r="FY247" i="43"/>
  <c r="FZ247" i="43"/>
  <c r="GA247" i="43"/>
  <c r="GB247" i="43"/>
  <c r="GC247" i="43"/>
  <c r="GD247" i="43"/>
  <c r="GE247" i="43"/>
  <c r="GF247" i="43"/>
  <c r="GG247" i="43"/>
  <c r="GH247" i="43"/>
  <c r="GI247" i="43"/>
  <c r="GJ247" i="43"/>
  <c r="GK247" i="43"/>
  <c r="GL247" i="43"/>
  <c r="GM247" i="43"/>
  <c r="GN247" i="43"/>
  <c r="GO247" i="43"/>
  <c r="GP247" i="43"/>
  <c r="GQ247" i="43"/>
  <c r="GR247" i="43"/>
  <c r="GS247" i="43"/>
  <c r="GT247" i="43"/>
  <c r="GU247" i="43"/>
  <c r="GV247" i="43"/>
  <c r="GW247" i="43"/>
  <c r="GX247" i="43"/>
  <c r="GY247" i="43"/>
  <c r="GZ247" i="43"/>
  <c r="HA247" i="43"/>
  <c r="HB247" i="43"/>
  <c r="HC247" i="43"/>
  <c r="HD247" i="43"/>
  <c r="HE247" i="43"/>
  <c r="HF247" i="43"/>
  <c r="HG247" i="43"/>
  <c r="HH247" i="43"/>
  <c r="HI247" i="43"/>
  <c r="HJ247" i="43"/>
  <c r="HK247" i="43"/>
  <c r="HL247" i="43"/>
  <c r="HM247" i="43"/>
  <c r="HN247" i="43"/>
  <c r="HO247" i="43"/>
  <c r="HP247" i="43"/>
  <c r="HQ247" i="43"/>
  <c r="HR247" i="43"/>
  <c r="HS247" i="43"/>
  <c r="HT247" i="43"/>
  <c r="HU247" i="43"/>
  <c r="HV247" i="43"/>
  <c r="HW247" i="43"/>
  <c r="HX247" i="43"/>
  <c r="HY247" i="43"/>
  <c r="HZ247" i="43"/>
  <c r="IA247" i="43"/>
  <c r="IB247" i="43"/>
  <c r="IC247" i="43"/>
  <c r="ID247" i="43"/>
  <c r="IE247" i="43"/>
  <c r="IF247" i="43"/>
  <c r="IG247" i="43"/>
  <c r="IH247" i="43"/>
  <c r="II247" i="43"/>
  <c r="IJ247" i="43"/>
  <c r="IK247" i="43"/>
  <c r="IL247" i="43"/>
  <c r="IM247" i="43"/>
  <c r="IN247" i="43"/>
  <c r="IO247" i="43"/>
  <c r="IP247" i="43"/>
  <c r="IQ247" i="43"/>
  <c r="IR247" i="43"/>
  <c r="IS247" i="43"/>
  <c r="IT247" i="43"/>
  <c r="IU247" i="43"/>
  <c r="IV247" i="43"/>
  <c r="A246" i="43"/>
  <c r="B246" i="43"/>
  <c r="C246" i="43"/>
  <c r="D246" i="43"/>
  <c r="E246" i="43"/>
  <c r="F246" i="43"/>
  <c r="G246" i="43"/>
  <c r="H246" i="43"/>
  <c r="I246" i="43"/>
  <c r="J246" i="43"/>
  <c r="K246" i="43"/>
  <c r="L246" i="43"/>
  <c r="M246" i="43"/>
  <c r="N246" i="43"/>
  <c r="O246" i="43"/>
  <c r="P246" i="43"/>
  <c r="Q246" i="43"/>
  <c r="R246" i="43"/>
  <c r="S246" i="43"/>
  <c r="T246" i="43"/>
  <c r="U246" i="43"/>
  <c r="V246" i="43"/>
  <c r="W246" i="43"/>
  <c r="X246" i="43"/>
  <c r="Y246" i="43"/>
  <c r="Z246" i="43"/>
  <c r="AA246" i="43"/>
  <c r="AB246" i="43"/>
  <c r="AC246" i="43"/>
  <c r="AD246" i="43"/>
  <c r="AE246" i="43"/>
  <c r="AF246" i="43"/>
  <c r="AG246" i="43"/>
  <c r="AH246" i="43"/>
  <c r="AI246" i="43"/>
  <c r="AJ246" i="43"/>
  <c r="AK246" i="43"/>
  <c r="AL246" i="43"/>
  <c r="AM246" i="43"/>
  <c r="AN246" i="43"/>
  <c r="AO246" i="43"/>
  <c r="AP246" i="43"/>
  <c r="AQ246" i="43"/>
  <c r="AR246" i="43"/>
  <c r="AS246" i="43"/>
  <c r="AT246" i="43"/>
  <c r="AU246" i="43"/>
  <c r="AV246" i="43"/>
  <c r="AW246" i="43"/>
  <c r="AX246" i="43"/>
  <c r="AY246" i="43"/>
  <c r="AZ246" i="43"/>
  <c r="BA246" i="43"/>
  <c r="BB246" i="43"/>
  <c r="BC246" i="43"/>
  <c r="BD246" i="43"/>
  <c r="BE246" i="43"/>
  <c r="BF246" i="43"/>
  <c r="BG246" i="43"/>
  <c r="BH246" i="43"/>
  <c r="BI246" i="43"/>
  <c r="BJ246" i="43"/>
  <c r="BK246" i="43"/>
  <c r="BL246" i="43"/>
  <c r="BM246" i="43"/>
  <c r="BN246" i="43"/>
  <c r="BO246" i="43"/>
  <c r="BP246" i="43"/>
  <c r="BQ246" i="43"/>
  <c r="BR246" i="43"/>
  <c r="BS246" i="43"/>
  <c r="BT246" i="43"/>
  <c r="BU246" i="43"/>
  <c r="BV246" i="43"/>
  <c r="BW246" i="43"/>
  <c r="BX246" i="43"/>
  <c r="BY246" i="43"/>
  <c r="BZ246" i="43"/>
  <c r="CA246" i="43"/>
  <c r="CB246" i="43"/>
  <c r="CC246" i="43"/>
  <c r="CD246" i="43"/>
  <c r="CE246" i="43"/>
  <c r="CF246" i="43"/>
  <c r="CG246" i="43"/>
  <c r="CH246" i="43"/>
  <c r="CI246" i="43"/>
  <c r="CJ246" i="43"/>
  <c r="CK246" i="43"/>
  <c r="CL246" i="43"/>
  <c r="CM246" i="43"/>
  <c r="CN246" i="43"/>
  <c r="CO246" i="43"/>
  <c r="CP246" i="43"/>
  <c r="CQ246" i="43"/>
  <c r="CR246" i="43"/>
  <c r="CS246" i="43"/>
  <c r="CT246" i="43"/>
  <c r="CU246" i="43"/>
  <c r="CV246" i="43"/>
  <c r="CW246" i="43"/>
  <c r="CX246" i="43"/>
  <c r="CY246" i="43"/>
  <c r="CZ246" i="43"/>
  <c r="DA246" i="43"/>
  <c r="DB246" i="43"/>
  <c r="DC246" i="43"/>
  <c r="DD246" i="43"/>
  <c r="DE246" i="43"/>
  <c r="DF246" i="43"/>
  <c r="DG246" i="43"/>
  <c r="DH246" i="43"/>
  <c r="DI246" i="43"/>
  <c r="DJ246" i="43"/>
  <c r="DK246" i="43"/>
  <c r="DL246" i="43"/>
  <c r="DM246" i="43"/>
  <c r="DN246" i="43"/>
  <c r="DO246" i="43"/>
  <c r="DP246" i="43"/>
  <c r="DQ246" i="43"/>
  <c r="DR246" i="43"/>
  <c r="DS246" i="43"/>
  <c r="DT246" i="43"/>
  <c r="DU246" i="43"/>
  <c r="DV246" i="43"/>
  <c r="DW246" i="43"/>
  <c r="DX246" i="43"/>
  <c r="DY246" i="43"/>
  <c r="DZ246" i="43"/>
  <c r="EA246" i="43"/>
  <c r="EB246" i="43"/>
  <c r="EC246" i="43"/>
  <c r="ED246" i="43"/>
  <c r="EE246" i="43"/>
  <c r="EF246" i="43"/>
  <c r="EG246" i="43"/>
  <c r="EH246" i="43"/>
  <c r="EI246" i="43"/>
  <c r="EJ246" i="43"/>
  <c r="EK246" i="43"/>
  <c r="EL246" i="43"/>
  <c r="EM246" i="43"/>
  <c r="EN246" i="43"/>
  <c r="EO246" i="43"/>
  <c r="EP246" i="43"/>
  <c r="EQ246" i="43"/>
  <c r="ER246" i="43"/>
  <c r="ES246" i="43"/>
  <c r="ET246" i="43"/>
  <c r="EU246" i="43"/>
  <c r="EV246" i="43"/>
  <c r="EW246" i="43"/>
  <c r="EX246" i="43"/>
  <c r="EY246" i="43"/>
  <c r="EZ246" i="43"/>
  <c r="FA246" i="43"/>
  <c r="FB246" i="43"/>
  <c r="FC246" i="43"/>
  <c r="FD246" i="43"/>
  <c r="FE246" i="43"/>
  <c r="FF246" i="43"/>
  <c r="FG246" i="43"/>
  <c r="FH246" i="43"/>
  <c r="FI246" i="43"/>
  <c r="FJ246" i="43"/>
  <c r="FK246" i="43"/>
  <c r="FL246" i="43"/>
  <c r="FM246" i="43"/>
  <c r="FN246" i="43"/>
  <c r="FO246" i="43"/>
  <c r="FP246" i="43"/>
  <c r="FQ246" i="43"/>
  <c r="FR246" i="43"/>
  <c r="FS246" i="43"/>
  <c r="FT246" i="43"/>
  <c r="FU246" i="43"/>
  <c r="FV246" i="43"/>
  <c r="FW246" i="43"/>
  <c r="FX246" i="43"/>
  <c r="FY246" i="43"/>
  <c r="FZ246" i="43"/>
  <c r="GA246" i="43"/>
  <c r="GB246" i="43"/>
  <c r="GC246" i="43"/>
  <c r="GD246" i="43"/>
  <c r="GE246" i="43"/>
  <c r="GF246" i="43"/>
  <c r="GG246" i="43"/>
  <c r="GH246" i="43"/>
  <c r="GI246" i="43"/>
  <c r="GJ246" i="43"/>
  <c r="GK246" i="43"/>
  <c r="GL246" i="43"/>
  <c r="GM246" i="43"/>
  <c r="GN246" i="43"/>
  <c r="GO246" i="43"/>
  <c r="GP246" i="43"/>
  <c r="GQ246" i="43"/>
  <c r="GR246" i="43"/>
  <c r="GS246" i="43"/>
  <c r="GT246" i="43"/>
  <c r="GU246" i="43"/>
  <c r="GV246" i="43"/>
  <c r="GW246" i="43"/>
  <c r="GX246" i="43"/>
  <c r="GY246" i="43"/>
  <c r="GZ246" i="43"/>
  <c r="HA246" i="43"/>
  <c r="HB246" i="43"/>
  <c r="HC246" i="43"/>
  <c r="HD246" i="43"/>
  <c r="HE246" i="43"/>
  <c r="HF246" i="43"/>
  <c r="HG246" i="43"/>
  <c r="HH246" i="43"/>
  <c r="HI246" i="43"/>
  <c r="HJ246" i="43"/>
  <c r="HK246" i="43"/>
  <c r="HL246" i="43"/>
  <c r="HM246" i="43"/>
  <c r="HN246" i="43"/>
  <c r="HO246" i="43"/>
  <c r="HP246" i="43"/>
  <c r="HQ246" i="43"/>
  <c r="HR246" i="43"/>
  <c r="HS246" i="43"/>
  <c r="HT246" i="43"/>
  <c r="HU246" i="43"/>
  <c r="HV246" i="43"/>
  <c r="HW246" i="43"/>
  <c r="HX246" i="43"/>
  <c r="HY246" i="43"/>
  <c r="HZ246" i="43"/>
  <c r="IA246" i="43"/>
  <c r="IB246" i="43"/>
  <c r="IC246" i="43"/>
  <c r="ID246" i="43"/>
  <c r="IE246" i="43"/>
  <c r="IF246" i="43"/>
  <c r="IG246" i="43"/>
  <c r="IH246" i="43"/>
  <c r="II246" i="43"/>
  <c r="IJ246" i="43"/>
  <c r="IK246" i="43"/>
  <c r="IL246" i="43"/>
  <c r="IM246" i="43"/>
  <c r="IN246" i="43"/>
  <c r="IO246" i="43"/>
  <c r="IP246" i="43"/>
  <c r="IQ246" i="43"/>
  <c r="IR246" i="43"/>
  <c r="IS246" i="43"/>
  <c r="IT246" i="43"/>
  <c r="IU246" i="43"/>
  <c r="IV246" i="43"/>
  <c r="A245" i="43"/>
  <c r="B245" i="43"/>
  <c r="C245" i="43"/>
  <c r="D245" i="43"/>
  <c r="E245" i="43"/>
  <c r="F245" i="43"/>
  <c r="G245" i="43"/>
  <c r="H245" i="43"/>
  <c r="I245" i="43"/>
  <c r="J245" i="43"/>
  <c r="K245" i="43"/>
  <c r="L245" i="43"/>
  <c r="M245" i="43"/>
  <c r="N245" i="43"/>
  <c r="O245" i="43"/>
  <c r="P245" i="43"/>
  <c r="Q245" i="43"/>
  <c r="R245" i="43"/>
  <c r="S245" i="43"/>
  <c r="T245" i="43"/>
  <c r="U245" i="43"/>
  <c r="V245" i="43"/>
  <c r="W245" i="43"/>
  <c r="X245" i="43"/>
  <c r="Y245" i="43"/>
  <c r="Z245" i="43"/>
  <c r="AA245" i="43"/>
  <c r="AB245" i="43"/>
  <c r="AC245" i="43"/>
  <c r="AD245" i="43"/>
  <c r="AE245" i="43"/>
  <c r="AF245" i="43"/>
  <c r="AG245" i="43"/>
  <c r="AH245" i="43"/>
  <c r="AI245" i="43"/>
  <c r="AJ245" i="43"/>
  <c r="AK245" i="43"/>
  <c r="AL245" i="43"/>
  <c r="AM245" i="43"/>
  <c r="AN245" i="43"/>
  <c r="AO245" i="43"/>
  <c r="AP245" i="43"/>
  <c r="AQ245" i="43"/>
  <c r="AR245" i="43"/>
  <c r="AS245" i="43"/>
  <c r="AT245" i="43"/>
  <c r="AU245" i="43"/>
  <c r="AV245" i="43"/>
  <c r="AW245" i="43"/>
  <c r="AX245" i="43"/>
  <c r="AY245" i="43"/>
  <c r="AZ245" i="43"/>
  <c r="BA245" i="43"/>
  <c r="BB245" i="43"/>
  <c r="BC245" i="43"/>
  <c r="BD245" i="43"/>
  <c r="BE245" i="43"/>
  <c r="BF245" i="43"/>
  <c r="BG245" i="43"/>
  <c r="BH245" i="43"/>
  <c r="BI245" i="43"/>
  <c r="BJ245" i="43"/>
  <c r="BK245" i="43"/>
  <c r="BL245" i="43"/>
  <c r="BM245" i="43"/>
  <c r="BN245" i="43"/>
  <c r="BO245" i="43"/>
  <c r="BP245" i="43"/>
  <c r="BQ245" i="43"/>
  <c r="BR245" i="43"/>
  <c r="BS245" i="43"/>
  <c r="BT245" i="43"/>
  <c r="BU245" i="43"/>
  <c r="BV245" i="43"/>
  <c r="BW245" i="43"/>
  <c r="BX245" i="43"/>
  <c r="BY245" i="43"/>
  <c r="BZ245" i="43"/>
  <c r="CA245" i="43"/>
  <c r="CB245" i="43"/>
  <c r="CC245" i="43"/>
  <c r="CD245" i="43"/>
  <c r="CE245" i="43"/>
  <c r="CF245" i="43"/>
  <c r="CG245" i="43"/>
  <c r="CH245" i="43"/>
  <c r="CI245" i="43"/>
  <c r="CJ245" i="43"/>
  <c r="CK245" i="43"/>
  <c r="CL245" i="43"/>
  <c r="CM245" i="43"/>
  <c r="CN245" i="43"/>
  <c r="CO245" i="43"/>
  <c r="CP245" i="43"/>
  <c r="CQ245" i="43"/>
  <c r="CR245" i="43"/>
  <c r="CS245" i="43"/>
  <c r="CT245" i="43"/>
  <c r="CU245" i="43"/>
  <c r="CV245" i="43"/>
  <c r="CW245" i="43"/>
  <c r="CX245" i="43"/>
  <c r="CY245" i="43"/>
  <c r="CZ245" i="43"/>
  <c r="DA245" i="43"/>
  <c r="DB245" i="43"/>
  <c r="DC245" i="43"/>
  <c r="DD245" i="43"/>
  <c r="DE245" i="43"/>
  <c r="DF245" i="43"/>
  <c r="DG245" i="43"/>
  <c r="DH245" i="43"/>
  <c r="DI245" i="43"/>
  <c r="DJ245" i="43"/>
  <c r="DK245" i="43"/>
  <c r="DL245" i="43"/>
  <c r="DM245" i="43"/>
  <c r="DN245" i="43"/>
  <c r="DO245" i="43"/>
  <c r="DP245" i="43"/>
  <c r="DQ245" i="43"/>
  <c r="DR245" i="43"/>
  <c r="DS245" i="43"/>
  <c r="DT245" i="43"/>
  <c r="DU245" i="43"/>
  <c r="DV245" i="43"/>
  <c r="DW245" i="43"/>
  <c r="DX245" i="43"/>
  <c r="DY245" i="43"/>
  <c r="DZ245" i="43"/>
  <c r="EA245" i="43"/>
  <c r="EB245" i="43"/>
  <c r="EC245" i="43"/>
  <c r="ED245" i="43"/>
  <c r="EE245" i="43"/>
  <c r="EF245" i="43"/>
  <c r="EG245" i="43"/>
  <c r="EH245" i="43"/>
  <c r="EI245" i="43"/>
  <c r="EJ245" i="43"/>
  <c r="EK245" i="43"/>
  <c r="EL245" i="43"/>
  <c r="EM245" i="43"/>
  <c r="EN245" i="43"/>
  <c r="EO245" i="43"/>
  <c r="EP245" i="43"/>
  <c r="EQ245" i="43"/>
  <c r="ER245" i="43"/>
  <c r="ES245" i="43"/>
  <c r="ET245" i="43"/>
  <c r="EU245" i="43"/>
  <c r="EV245" i="43"/>
  <c r="EW245" i="43"/>
  <c r="EX245" i="43"/>
  <c r="EY245" i="43"/>
  <c r="EZ245" i="43"/>
  <c r="FA245" i="43"/>
  <c r="FB245" i="43"/>
  <c r="FC245" i="43"/>
  <c r="FD245" i="43"/>
  <c r="FE245" i="43"/>
  <c r="FF245" i="43"/>
  <c r="FG245" i="43"/>
  <c r="FH245" i="43"/>
  <c r="FI245" i="43"/>
  <c r="FJ245" i="43"/>
  <c r="FK245" i="43"/>
  <c r="FL245" i="43"/>
  <c r="FM245" i="43"/>
  <c r="FN245" i="43"/>
  <c r="FO245" i="43"/>
  <c r="FP245" i="43"/>
  <c r="FQ245" i="43"/>
  <c r="FR245" i="43"/>
  <c r="FS245" i="43"/>
  <c r="FT245" i="43"/>
  <c r="FU245" i="43"/>
  <c r="FV245" i="43"/>
  <c r="FW245" i="43"/>
  <c r="FX245" i="43"/>
  <c r="FY245" i="43"/>
  <c r="FZ245" i="43"/>
  <c r="GA245" i="43"/>
  <c r="GB245" i="43"/>
  <c r="GC245" i="43"/>
  <c r="GD245" i="43"/>
  <c r="GE245" i="43"/>
  <c r="GF245" i="43"/>
  <c r="GG245" i="43"/>
  <c r="GH245" i="43"/>
  <c r="GI245" i="43"/>
  <c r="GJ245" i="43"/>
  <c r="GK245" i="43"/>
  <c r="GL245" i="43"/>
  <c r="GM245" i="43"/>
  <c r="GN245" i="43"/>
  <c r="GO245" i="43"/>
  <c r="GP245" i="43"/>
  <c r="GQ245" i="43"/>
  <c r="GR245" i="43"/>
  <c r="GS245" i="43"/>
  <c r="GT245" i="43"/>
  <c r="GU245" i="43"/>
  <c r="GV245" i="43"/>
  <c r="GW245" i="43"/>
  <c r="GX245" i="43"/>
  <c r="GY245" i="43"/>
  <c r="GZ245" i="43"/>
  <c r="HA245" i="43"/>
  <c r="HB245" i="43"/>
  <c r="HC245" i="43"/>
  <c r="HD245" i="43"/>
  <c r="HE245" i="43"/>
  <c r="HF245" i="43"/>
  <c r="HG245" i="43"/>
  <c r="HH245" i="43"/>
  <c r="HI245" i="43"/>
  <c r="HJ245" i="43"/>
  <c r="HK245" i="43"/>
  <c r="HL245" i="43"/>
  <c r="HM245" i="43"/>
  <c r="HN245" i="43"/>
  <c r="HO245" i="43"/>
  <c r="HP245" i="43"/>
  <c r="HQ245" i="43"/>
  <c r="HR245" i="43"/>
  <c r="HS245" i="43"/>
  <c r="HT245" i="43"/>
  <c r="HU245" i="43"/>
  <c r="HV245" i="43"/>
  <c r="HW245" i="43"/>
  <c r="HX245" i="43"/>
  <c r="HY245" i="43"/>
  <c r="HZ245" i="43"/>
  <c r="IA245" i="43"/>
  <c r="IB245" i="43"/>
  <c r="IC245" i="43"/>
  <c r="ID245" i="43"/>
  <c r="IE245" i="43"/>
  <c r="IF245" i="43"/>
  <c r="IG245" i="43"/>
  <c r="IH245" i="43"/>
  <c r="II245" i="43"/>
  <c r="IJ245" i="43"/>
  <c r="IK245" i="43"/>
  <c r="IL245" i="43"/>
  <c r="IM245" i="43"/>
  <c r="IN245" i="43"/>
  <c r="IO245" i="43"/>
  <c r="IP245" i="43"/>
  <c r="IQ245" i="43"/>
  <c r="IR245" i="43"/>
  <c r="IS245" i="43"/>
  <c r="IT245" i="43"/>
  <c r="IU245" i="43"/>
  <c r="IV245" i="43"/>
  <c r="A244" i="43"/>
  <c r="B244" i="43"/>
  <c r="C244" i="43"/>
  <c r="D244" i="43"/>
  <c r="E244" i="43"/>
  <c r="F244" i="43"/>
  <c r="G244" i="43"/>
  <c r="H244" i="43"/>
  <c r="I244" i="43"/>
  <c r="J244" i="43"/>
  <c r="K244" i="43"/>
  <c r="L244" i="43"/>
  <c r="M244" i="43"/>
  <c r="N244" i="43"/>
  <c r="O244" i="43"/>
  <c r="P244" i="43"/>
  <c r="Q244" i="43"/>
  <c r="R244" i="43"/>
  <c r="S244" i="43"/>
  <c r="T244" i="43"/>
  <c r="U244" i="43"/>
  <c r="V244" i="43"/>
  <c r="W244" i="43"/>
  <c r="X244" i="43"/>
  <c r="Y244" i="43"/>
  <c r="Z244" i="43"/>
  <c r="AA244" i="43"/>
  <c r="AB244" i="43"/>
  <c r="AC244" i="43"/>
  <c r="AD244" i="43"/>
  <c r="AE244" i="43"/>
  <c r="AF244" i="43"/>
  <c r="AG244" i="43"/>
  <c r="AH244" i="43"/>
  <c r="AI244" i="43"/>
  <c r="AJ244" i="43"/>
  <c r="AK244" i="43"/>
  <c r="AL244" i="43"/>
  <c r="AM244" i="43"/>
  <c r="AN244" i="43"/>
  <c r="AO244" i="43"/>
  <c r="AP244" i="43"/>
  <c r="AQ244" i="43"/>
  <c r="AR244" i="43"/>
  <c r="AS244" i="43"/>
  <c r="AT244" i="43"/>
  <c r="AU244" i="43"/>
  <c r="AV244" i="43"/>
  <c r="AW244" i="43"/>
  <c r="AX244" i="43"/>
  <c r="AY244" i="43"/>
  <c r="AZ244" i="43"/>
  <c r="BA244" i="43"/>
  <c r="BB244" i="43"/>
  <c r="BC244" i="43"/>
  <c r="BD244" i="43"/>
  <c r="BE244" i="43"/>
  <c r="BF244" i="43"/>
  <c r="BG244" i="43"/>
  <c r="BH244" i="43"/>
  <c r="BI244" i="43"/>
  <c r="BJ244" i="43"/>
  <c r="BK244" i="43"/>
  <c r="BL244" i="43"/>
  <c r="BM244" i="43"/>
  <c r="BN244" i="43"/>
  <c r="BO244" i="43"/>
  <c r="BP244" i="43"/>
  <c r="BQ244" i="43"/>
  <c r="BR244" i="43"/>
  <c r="BS244" i="43"/>
  <c r="BT244" i="43"/>
  <c r="BU244" i="43"/>
  <c r="BV244" i="43"/>
  <c r="BW244" i="43"/>
  <c r="BX244" i="43"/>
  <c r="BY244" i="43"/>
  <c r="BZ244" i="43"/>
  <c r="CA244" i="43"/>
  <c r="CB244" i="43"/>
  <c r="CC244" i="43"/>
  <c r="CD244" i="43"/>
  <c r="CE244" i="43"/>
  <c r="CF244" i="43"/>
  <c r="CG244" i="43"/>
  <c r="CH244" i="43"/>
  <c r="CI244" i="43"/>
  <c r="CJ244" i="43"/>
  <c r="CK244" i="43"/>
  <c r="CL244" i="43"/>
  <c r="CM244" i="43"/>
  <c r="CN244" i="43"/>
  <c r="CO244" i="43"/>
  <c r="CP244" i="43"/>
  <c r="CQ244" i="43"/>
  <c r="CR244" i="43"/>
  <c r="CS244" i="43"/>
  <c r="CT244" i="43"/>
  <c r="CU244" i="43"/>
  <c r="CV244" i="43"/>
  <c r="CW244" i="43"/>
  <c r="CX244" i="43"/>
  <c r="CY244" i="43"/>
  <c r="CZ244" i="43"/>
  <c r="DA244" i="43"/>
  <c r="DB244" i="43"/>
  <c r="DC244" i="43"/>
  <c r="DD244" i="43"/>
  <c r="DE244" i="43"/>
  <c r="DF244" i="43"/>
  <c r="DG244" i="43"/>
  <c r="DH244" i="43"/>
  <c r="DI244" i="43"/>
  <c r="DJ244" i="43"/>
  <c r="DK244" i="43"/>
  <c r="DL244" i="43"/>
  <c r="DM244" i="43"/>
  <c r="DN244" i="43"/>
  <c r="DO244" i="43"/>
  <c r="DP244" i="43"/>
  <c r="DQ244" i="43"/>
  <c r="DR244" i="43"/>
  <c r="DS244" i="43"/>
  <c r="DT244" i="43"/>
  <c r="DU244" i="43"/>
  <c r="DV244" i="43"/>
  <c r="DW244" i="43"/>
  <c r="DX244" i="43"/>
  <c r="DY244" i="43"/>
  <c r="DZ244" i="43"/>
  <c r="EA244" i="43"/>
  <c r="EB244" i="43"/>
  <c r="EC244" i="43"/>
  <c r="ED244" i="43"/>
  <c r="EE244" i="43"/>
  <c r="EF244" i="43"/>
  <c r="EG244" i="43"/>
  <c r="EH244" i="43"/>
  <c r="EI244" i="43"/>
  <c r="EJ244" i="43"/>
  <c r="EK244" i="43"/>
  <c r="EL244" i="43"/>
  <c r="EM244" i="43"/>
  <c r="EN244" i="43"/>
  <c r="EO244" i="43"/>
  <c r="EP244" i="43"/>
  <c r="EQ244" i="43"/>
  <c r="ER244" i="43"/>
  <c r="ES244" i="43"/>
  <c r="ET244" i="43"/>
  <c r="EU244" i="43"/>
  <c r="EV244" i="43"/>
  <c r="EW244" i="43"/>
  <c r="EX244" i="43"/>
  <c r="EY244" i="43"/>
  <c r="EZ244" i="43"/>
  <c r="FA244" i="43"/>
  <c r="FB244" i="43"/>
  <c r="FC244" i="43"/>
  <c r="FD244" i="43"/>
  <c r="FE244" i="43"/>
  <c r="FF244" i="43"/>
  <c r="FG244" i="43"/>
  <c r="FH244" i="43"/>
  <c r="FI244" i="43"/>
  <c r="FJ244" i="43"/>
  <c r="FK244" i="43"/>
  <c r="FL244" i="43"/>
  <c r="FM244" i="43"/>
  <c r="FN244" i="43"/>
  <c r="FO244" i="43"/>
  <c r="FP244" i="43"/>
  <c r="FQ244" i="43"/>
  <c r="FR244" i="43"/>
  <c r="FS244" i="43"/>
  <c r="FT244" i="43"/>
  <c r="FU244" i="43"/>
  <c r="FV244" i="43"/>
  <c r="FW244" i="43"/>
  <c r="FX244" i="43"/>
  <c r="FY244" i="43"/>
  <c r="FZ244" i="43"/>
  <c r="GA244" i="43"/>
  <c r="GB244" i="43"/>
  <c r="GC244" i="43"/>
  <c r="GD244" i="43"/>
  <c r="GE244" i="43"/>
  <c r="GF244" i="43"/>
  <c r="GG244" i="43"/>
  <c r="GH244" i="43"/>
  <c r="GI244" i="43"/>
  <c r="GJ244" i="43"/>
  <c r="GK244" i="43"/>
  <c r="GL244" i="43"/>
  <c r="GM244" i="43"/>
  <c r="GN244" i="43"/>
  <c r="GO244" i="43"/>
  <c r="GP244" i="43"/>
  <c r="GQ244" i="43"/>
  <c r="GR244" i="43"/>
  <c r="GS244" i="43"/>
  <c r="GT244" i="43"/>
  <c r="GU244" i="43"/>
  <c r="GV244" i="43"/>
  <c r="GW244" i="43"/>
  <c r="GX244" i="43"/>
  <c r="GY244" i="43"/>
  <c r="GZ244" i="43"/>
  <c r="HA244" i="43"/>
  <c r="HB244" i="43"/>
  <c r="HC244" i="43"/>
  <c r="HD244" i="43"/>
  <c r="HE244" i="43"/>
  <c r="HF244" i="43"/>
  <c r="HG244" i="43"/>
  <c r="HH244" i="43"/>
  <c r="HI244" i="43"/>
  <c r="HJ244" i="43"/>
  <c r="HK244" i="43"/>
  <c r="HL244" i="43"/>
  <c r="HM244" i="43"/>
  <c r="HN244" i="43"/>
  <c r="HO244" i="43"/>
  <c r="HP244" i="43"/>
  <c r="HQ244" i="43"/>
  <c r="HR244" i="43"/>
  <c r="HS244" i="43"/>
  <c r="HT244" i="43"/>
  <c r="HU244" i="43"/>
  <c r="HV244" i="43"/>
  <c r="HW244" i="43"/>
  <c r="HX244" i="43"/>
  <c r="HY244" i="43"/>
  <c r="HZ244" i="43"/>
  <c r="IA244" i="43"/>
  <c r="IB244" i="43"/>
  <c r="IC244" i="43"/>
  <c r="ID244" i="43"/>
  <c r="IE244" i="43"/>
  <c r="IF244" i="43"/>
  <c r="IG244" i="43"/>
  <c r="IH244" i="43"/>
  <c r="II244" i="43"/>
  <c r="IJ244" i="43"/>
  <c r="IK244" i="43"/>
  <c r="IL244" i="43"/>
  <c r="IM244" i="43"/>
  <c r="IN244" i="43"/>
  <c r="IO244" i="43"/>
  <c r="IP244" i="43"/>
  <c r="IQ244" i="43"/>
  <c r="IR244" i="43"/>
  <c r="IS244" i="43"/>
  <c r="IT244" i="43"/>
  <c r="IU244" i="43"/>
  <c r="IV244" i="43"/>
  <c r="A243" i="43"/>
  <c r="B243" i="43"/>
  <c r="C243" i="43"/>
  <c r="D243" i="43"/>
  <c r="E243" i="43"/>
  <c r="F243" i="43"/>
  <c r="G243" i="43"/>
  <c r="H243" i="43"/>
  <c r="I243" i="43"/>
  <c r="J243" i="43"/>
  <c r="K243" i="43"/>
  <c r="L243" i="43"/>
  <c r="M243" i="43"/>
  <c r="N243" i="43"/>
  <c r="O243" i="43"/>
  <c r="P243" i="43"/>
  <c r="Q243" i="43"/>
  <c r="R243" i="43"/>
  <c r="S243" i="43"/>
  <c r="T243" i="43"/>
  <c r="U243" i="43"/>
  <c r="V243" i="43"/>
  <c r="W243" i="43"/>
  <c r="X243" i="43"/>
  <c r="Y243" i="43"/>
  <c r="Z243" i="43"/>
  <c r="AA243" i="43"/>
  <c r="AB243" i="43"/>
  <c r="AC243" i="43"/>
  <c r="AD243" i="43"/>
  <c r="AE243" i="43"/>
  <c r="AF243" i="43"/>
  <c r="AG243" i="43"/>
  <c r="AH243" i="43"/>
  <c r="AI243" i="43"/>
  <c r="AJ243" i="43"/>
  <c r="AK243" i="43"/>
  <c r="AL243" i="43"/>
  <c r="AM243" i="43"/>
  <c r="AN243" i="43"/>
  <c r="AO243" i="43"/>
  <c r="AP243" i="43"/>
  <c r="AQ243" i="43"/>
  <c r="AR243" i="43"/>
  <c r="AS243" i="43"/>
  <c r="AT243" i="43"/>
  <c r="AU243" i="43"/>
  <c r="AV243" i="43"/>
  <c r="AW243" i="43"/>
  <c r="AX243" i="43"/>
  <c r="AY243" i="43"/>
  <c r="AZ243" i="43"/>
  <c r="BA243" i="43"/>
  <c r="BB243" i="43"/>
  <c r="BC243" i="43"/>
  <c r="BD243" i="43"/>
  <c r="BE243" i="43"/>
  <c r="BF243" i="43"/>
  <c r="BG243" i="43"/>
  <c r="BH243" i="43"/>
  <c r="BI243" i="43"/>
  <c r="BJ243" i="43"/>
  <c r="BK243" i="43"/>
  <c r="BL243" i="43"/>
  <c r="BM243" i="43"/>
  <c r="BN243" i="43"/>
  <c r="BO243" i="43"/>
  <c r="BP243" i="43"/>
  <c r="BQ243" i="43"/>
  <c r="BR243" i="43"/>
  <c r="BS243" i="43"/>
  <c r="BT243" i="43"/>
  <c r="BU243" i="43"/>
  <c r="BV243" i="43"/>
  <c r="BW243" i="43"/>
  <c r="BX243" i="43"/>
  <c r="BY243" i="43"/>
  <c r="BZ243" i="43"/>
  <c r="CA243" i="43"/>
  <c r="CB243" i="43"/>
  <c r="CC243" i="43"/>
  <c r="CD243" i="43"/>
  <c r="CE243" i="43"/>
  <c r="CF243" i="43"/>
  <c r="CG243" i="43"/>
  <c r="CH243" i="43"/>
  <c r="CI243" i="43"/>
  <c r="CJ243" i="43"/>
  <c r="CK243" i="43"/>
  <c r="CL243" i="43"/>
  <c r="CM243" i="43"/>
  <c r="CN243" i="43"/>
  <c r="CO243" i="43"/>
  <c r="CP243" i="43"/>
  <c r="CQ243" i="43"/>
  <c r="CR243" i="43"/>
  <c r="CS243" i="43"/>
  <c r="CT243" i="43"/>
  <c r="CU243" i="43"/>
  <c r="CV243" i="43"/>
  <c r="CW243" i="43"/>
  <c r="CX243" i="43"/>
  <c r="CY243" i="43"/>
  <c r="CZ243" i="43"/>
  <c r="DA243" i="43"/>
  <c r="DB243" i="43"/>
  <c r="DC243" i="43"/>
  <c r="DD243" i="43"/>
  <c r="DE243" i="43"/>
  <c r="DF243" i="43"/>
  <c r="DG243" i="43"/>
  <c r="DH243" i="43"/>
  <c r="DI243" i="43"/>
  <c r="DJ243" i="43"/>
  <c r="DK243" i="43"/>
  <c r="DL243" i="43"/>
  <c r="DM243" i="43"/>
  <c r="DN243" i="43"/>
  <c r="DO243" i="43"/>
  <c r="DP243" i="43"/>
  <c r="DQ243" i="43"/>
  <c r="DR243" i="43"/>
  <c r="DS243" i="43"/>
  <c r="DT243" i="43"/>
  <c r="DU243" i="43"/>
  <c r="DV243" i="43"/>
  <c r="DW243" i="43"/>
  <c r="DX243" i="43"/>
  <c r="DY243" i="43"/>
  <c r="DZ243" i="43"/>
  <c r="EA243" i="43"/>
  <c r="EB243" i="43"/>
  <c r="EC243" i="43"/>
  <c r="ED243" i="43"/>
  <c r="EE243" i="43"/>
  <c r="EF243" i="43"/>
  <c r="EG243" i="43"/>
  <c r="EH243" i="43"/>
  <c r="EI243" i="43"/>
  <c r="EJ243" i="43"/>
  <c r="EK243" i="43"/>
  <c r="EL243" i="43"/>
  <c r="EM243" i="43"/>
  <c r="EN243" i="43"/>
  <c r="EO243" i="43"/>
  <c r="EP243" i="43"/>
  <c r="EQ243" i="43"/>
  <c r="ER243" i="43"/>
  <c r="ES243" i="43"/>
  <c r="ET243" i="43"/>
  <c r="EU243" i="43"/>
  <c r="EV243" i="43"/>
  <c r="EW243" i="43"/>
  <c r="EX243" i="43"/>
  <c r="EY243" i="43"/>
  <c r="EZ243" i="43"/>
  <c r="FA243" i="43"/>
  <c r="FB243" i="43"/>
  <c r="FC243" i="43"/>
  <c r="FD243" i="43"/>
  <c r="FE243" i="43"/>
  <c r="FF243" i="43"/>
  <c r="FG243" i="43"/>
  <c r="FH243" i="43"/>
  <c r="FI243" i="43"/>
  <c r="FJ243" i="43"/>
  <c r="FK243" i="43"/>
  <c r="FL243" i="43"/>
  <c r="FM243" i="43"/>
  <c r="FN243" i="43"/>
  <c r="FO243" i="43"/>
  <c r="FP243" i="43"/>
  <c r="FQ243" i="43"/>
  <c r="FR243" i="43"/>
  <c r="FS243" i="43"/>
  <c r="FT243" i="43"/>
  <c r="FU243" i="43"/>
  <c r="FV243" i="43"/>
  <c r="FW243" i="43"/>
  <c r="FX243" i="43"/>
  <c r="FY243" i="43"/>
  <c r="FZ243" i="43"/>
  <c r="GA243" i="43"/>
  <c r="GB243" i="43"/>
  <c r="GC243" i="43"/>
  <c r="GD243" i="43"/>
  <c r="GE243" i="43"/>
  <c r="GF243" i="43"/>
  <c r="GG243" i="43"/>
  <c r="GH243" i="43"/>
  <c r="GI243" i="43"/>
  <c r="GJ243" i="43"/>
  <c r="GK243" i="43"/>
  <c r="GL243" i="43"/>
  <c r="GM243" i="43"/>
  <c r="GN243" i="43"/>
  <c r="GO243" i="43"/>
  <c r="GP243" i="43"/>
  <c r="GQ243" i="43"/>
  <c r="GR243" i="43"/>
  <c r="GS243" i="43"/>
  <c r="GT243" i="43"/>
  <c r="GU243" i="43"/>
  <c r="GV243" i="43"/>
  <c r="GW243" i="43"/>
  <c r="GX243" i="43"/>
  <c r="GY243" i="43"/>
  <c r="GZ243" i="43"/>
  <c r="HA243" i="43"/>
  <c r="HB243" i="43"/>
  <c r="HC243" i="43"/>
  <c r="HD243" i="43"/>
  <c r="HE243" i="43"/>
  <c r="HF243" i="43"/>
  <c r="HG243" i="43"/>
  <c r="HH243" i="43"/>
  <c r="HI243" i="43"/>
  <c r="HJ243" i="43"/>
  <c r="HK243" i="43"/>
  <c r="HL243" i="43"/>
  <c r="HM243" i="43"/>
  <c r="HN243" i="43"/>
  <c r="HO243" i="43"/>
  <c r="HP243" i="43"/>
  <c r="HQ243" i="43"/>
  <c r="HR243" i="43"/>
  <c r="HS243" i="43"/>
  <c r="HT243" i="43"/>
  <c r="HU243" i="43"/>
  <c r="HV243" i="43"/>
  <c r="HW243" i="43"/>
  <c r="HX243" i="43"/>
  <c r="HY243" i="43"/>
  <c r="HZ243" i="43"/>
  <c r="IA243" i="43"/>
  <c r="IB243" i="43"/>
  <c r="IC243" i="43"/>
  <c r="ID243" i="43"/>
  <c r="IE243" i="43"/>
  <c r="IF243" i="43"/>
  <c r="IG243" i="43"/>
  <c r="IH243" i="43"/>
  <c r="II243" i="43"/>
  <c r="IJ243" i="43"/>
  <c r="IK243" i="43"/>
  <c r="IL243" i="43"/>
  <c r="IM243" i="43"/>
  <c r="IN243" i="43"/>
  <c r="IO243" i="43"/>
  <c r="IP243" i="43"/>
  <c r="IQ243" i="43"/>
  <c r="IR243" i="43"/>
  <c r="IS243" i="43"/>
  <c r="IT243" i="43"/>
  <c r="IU243" i="43"/>
  <c r="IV243" i="43"/>
  <c r="A242" i="43"/>
  <c r="B242" i="43"/>
  <c r="C242" i="43"/>
  <c r="D242" i="43"/>
  <c r="E242" i="43"/>
  <c r="F242" i="43"/>
  <c r="G242" i="43"/>
  <c r="H242" i="43"/>
  <c r="I242" i="43"/>
  <c r="J242" i="43"/>
  <c r="K242" i="43"/>
  <c r="L242" i="43"/>
  <c r="M242" i="43"/>
  <c r="N242" i="43"/>
  <c r="O242" i="43"/>
  <c r="P242" i="43"/>
  <c r="Q242" i="43"/>
  <c r="R242" i="43"/>
  <c r="S242" i="43"/>
  <c r="T242" i="43"/>
  <c r="U242" i="43"/>
  <c r="V242" i="43"/>
  <c r="W242" i="43"/>
  <c r="X242" i="43"/>
  <c r="Y242" i="43"/>
  <c r="Z242" i="43"/>
  <c r="AA242" i="43"/>
  <c r="AB242" i="43"/>
  <c r="AC242" i="43"/>
  <c r="AD242" i="43"/>
  <c r="AE242" i="43"/>
  <c r="AF242" i="43"/>
  <c r="AG242" i="43"/>
  <c r="AH242" i="43"/>
  <c r="AI242" i="43"/>
  <c r="AJ242" i="43"/>
  <c r="AK242" i="43"/>
  <c r="AL242" i="43"/>
  <c r="AM242" i="43"/>
  <c r="AN242" i="43"/>
  <c r="AO242" i="43"/>
  <c r="AP242" i="43"/>
  <c r="AQ242" i="43"/>
  <c r="AR242" i="43"/>
  <c r="AS242" i="43"/>
  <c r="AT242" i="43"/>
  <c r="AU242" i="43"/>
  <c r="AV242" i="43"/>
  <c r="AW242" i="43"/>
  <c r="AX242" i="43"/>
  <c r="AY242" i="43"/>
  <c r="AZ242" i="43"/>
  <c r="BA242" i="43"/>
  <c r="BB242" i="43"/>
  <c r="BC242" i="43"/>
  <c r="BD242" i="43"/>
  <c r="BE242" i="43"/>
  <c r="BF242" i="43"/>
  <c r="BG242" i="43"/>
  <c r="BH242" i="43"/>
  <c r="BI242" i="43"/>
  <c r="BJ242" i="43"/>
  <c r="BK242" i="43"/>
  <c r="BL242" i="43"/>
  <c r="BM242" i="43"/>
  <c r="BN242" i="43"/>
  <c r="BO242" i="43"/>
  <c r="BP242" i="43"/>
  <c r="BQ242" i="43"/>
  <c r="BR242" i="43"/>
  <c r="BS242" i="43"/>
  <c r="BT242" i="43"/>
  <c r="BU242" i="43"/>
  <c r="BV242" i="43"/>
  <c r="BW242" i="43"/>
  <c r="BX242" i="43"/>
  <c r="BY242" i="43"/>
  <c r="BZ242" i="43"/>
  <c r="CA242" i="43"/>
  <c r="CB242" i="43"/>
  <c r="CC242" i="43"/>
  <c r="CD242" i="43"/>
  <c r="CE242" i="43"/>
  <c r="CF242" i="43"/>
  <c r="CG242" i="43"/>
  <c r="CH242" i="43"/>
  <c r="CI242" i="43"/>
  <c r="CJ242" i="43"/>
  <c r="CK242" i="43"/>
  <c r="CL242" i="43"/>
  <c r="CM242" i="43"/>
  <c r="CN242" i="43"/>
  <c r="CO242" i="43"/>
  <c r="CP242" i="43"/>
  <c r="CQ242" i="43"/>
  <c r="CR242" i="43"/>
  <c r="CS242" i="43"/>
  <c r="CT242" i="43"/>
  <c r="CU242" i="43"/>
  <c r="CV242" i="43"/>
  <c r="CW242" i="43"/>
  <c r="CX242" i="43"/>
  <c r="CY242" i="43"/>
  <c r="CZ242" i="43"/>
  <c r="DA242" i="43"/>
  <c r="DB242" i="43"/>
  <c r="DC242" i="43"/>
  <c r="DD242" i="43"/>
  <c r="DE242" i="43"/>
  <c r="DF242" i="43"/>
  <c r="DG242" i="43"/>
  <c r="DH242" i="43"/>
  <c r="DI242" i="43"/>
  <c r="DJ242" i="43"/>
  <c r="DK242" i="43"/>
  <c r="DL242" i="43"/>
  <c r="DM242" i="43"/>
  <c r="DN242" i="43"/>
  <c r="DO242" i="43"/>
  <c r="DP242" i="43"/>
  <c r="DQ242" i="43"/>
  <c r="DR242" i="43"/>
  <c r="DS242" i="43"/>
  <c r="DT242" i="43"/>
  <c r="DU242" i="43"/>
  <c r="DV242" i="43"/>
  <c r="DW242" i="43"/>
  <c r="DX242" i="43"/>
  <c r="DY242" i="43"/>
  <c r="DZ242" i="43"/>
  <c r="EA242" i="43"/>
  <c r="EB242" i="43"/>
  <c r="EC242" i="43"/>
  <c r="ED242" i="43"/>
  <c r="EE242" i="43"/>
  <c r="EF242" i="43"/>
  <c r="EG242" i="43"/>
  <c r="EH242" i="43"/>
  <c r="EI242" i="43"/>
  <c r="EJ242" i="43"/>
  <c r="EK242" i="43"/>
  <c r="EL242" i="43"/>
  <c r="EM242" i="43"/>
  <c r="EN242" i="43"/>
  <c r="EO242" i="43"/>
  <c r="EP242" i="43"/>
  <c r="EQ242" i="43"/>
  <c r="ER242" i="43"/>
  <c r="ES242" i="43"/>
  <c r="ET242" i="43"/>
  <c r="EU242" i="43"/>
  <c r="EV242" i="43"/>
  <c r="EW242" i="43"/>
  <c r="EX242" i="43"/>
  <c r="EY242" i="43"/>
  <c r="EZ242" i="43"/>
  <c r="FA242" i="43"/>
  <c r="FB242" i="43"/>
  <c r="FC242" i="43"/>
  <c r="FD242" i="43"/>
  <c r="FE242" i="43"/>
  <c r="FF242" i="43"/>
  <c r="FG242" i="43"/>
  <c r="FH242" i="43"/>
  <c r="FI242" i="43"/>
  <c r="FJ242" i="43"/>
  <c r="FK242" i="43"/>
  <c r="FL242" i="43"/>
  <c r="FM242" i="43"/>
  <c r="FN242" i="43"/>
  <c r="FO242" i="43"/>
  <c r="FP242" i="43"/>
  <c r="FQ242" i="43"/>
  <c r="FR242" i="43"/>
  <c r="FS242" i="43"/>
  <c r="FT242" i="43"/>
  <c r="FU242" i="43"/>
  <c r="FV242" i="43"/>
  <c r="FW242" i="43"/>
  <c r="FX242" i="43"/>
  <c r="FY242" i="43"/>
  <c r="FZ242" i="43"/>
  <c r="GA242" i="43"/>
  <c r="GB242" i="43"/>
  <c r="GC242" i="43"/>
  <c r="GD242" i="43"/>
  <c r="GE242" i="43"/>
  <c r="GF242" i="43"/>
  <c r="GG242" i="43"/>
  <c r="GH242" i="43"/>
  <c r="GI242" i="43"/>
  <c r="GJ242" i="43"/>
  <c r="GK242" i="43"/>
  <c r="GL242" i="43"/>
  <c r="GM242" i="43"/>
  <c r="GN242" i="43"/>
  <c r="GO242" i="43"/>
  <c r="GP242" i="43"/>
  <c r="GQ242" i="43"/>
  <c r="GR242" i="43"/>
  <c r="GS242" i="43"/>
  <c r="GT242" i="43"/>
  <c r="GU242" i="43"/>
  <c r="GV242" i="43"/>
  <c r="GW242" i="43"/>
  <c r="GX242" i="43"/>
  <c r="GY242" i="43"/>
  <c r="GZ242" i="43"/>
  <c r="HA242" i="43"/>
  <c r="HB242" i="43"/>
  <c r="HC242" i="43"/>
  <c r="HD242" i="43"/>
  <c r="HE242" i="43"/>
  <c r="HF242" i="43"/>
  <c r="HG242" i="43"/>
  <c r="HH242" i="43"/>
  <c r="HI242" i="43"/>
  <c r="HJ242" i="43"/>
  <c r="HK242" i="43"/>
  <c r="HL242" i="43"/>
  <c r="HM242" i="43"/>
  <c r="HN242" i="43"/>
  <c r="HO242" i="43"/>
  <c r="HP242" i="43"/>
  <c r="HQ242" i="43"/>
  <c r="HR242" i="43"/>
  <c r="HS242" i="43"/>
  <c r="HT242" i="43"/>
  <c r="HU242" i="43"/>
  <c r="HV242" i="43"/>
  <c r="HW242" i="43"/>
  <c r="HX242" i="43"/>
  <c r="HY242" i="43"/>
  <c r="HZ242" i="43"/>
  <c r="IA242" i="43"/>
  <c r="IB242" i="43"/>
  <c r="IC242" i="43"/>
  <c r="ID242" i="43"/>
  <c r="IE242" i="43"/>
  <c r="IF242" i="43"/>
  <c r="IG242" i="43"/>
  <c r="IH242" i="43"/>
  <c r="II242" i="43"/>
  <c r="IJ242" i="43"/>
  <c r="IK242" i="43"/>
  <c r="IL242" i="43"/>
  <c r="IM242" i="43"/>
  <c r="IN242" i="43"/>
  <c r="IO242" i="43"/>
  <c r="IP242" i="43"/>
  <c r="IQ242" i="43"/>
  <c r="IR242" i="43"/>
  <c r="IS242" i="43"/>
  <c r="IT242" i="43"/>
  <c r="IU242" i="43"/>
  <c r="IV242" i="43"/>
  <c r="A241" i="43"/>
  <c r="B241" i="43"/>
  <c r="C241" i="43"/>
  <c r="D241" i="43"/>
  <c r="E241" i="43"/>
  <c r="F241" i="43"/>
  <c r="G241" i="43"/>
  <c r="H241" i="43"/>
  <c r="I241" i="43"/>
  <c r="J241" i="43"/>
  <c r="K241" i="43"/>
  <c r="L241" i="43"/>
  <c r="M241" i="43"/>
  <c r="N241" i="43"/>
  <c r="O241" i="43"/>
  <c r="P241" i="43"/>
  <c r="Q241" i="43"/>
  <c r="R241" i="43"/>
  <c r="S241" i="43"/>
  <c r="T241" i="43"/>
  <c r="U241" i="43"/>
  <c r="V241" i="43"/>
  <c r="W241" i="43"/>
  <c r="X241" i="43"/>
  <c r="Y241" i="43"/>
  <c r="Z241" i="43"/>
  <c r="AA241" i="43"/>
  <c r="AB241" i="43"/>
  <c r="AC241" i="43"/>
  <c r="AD241" i="43"/>
  <c r="AE241" i="43"/>
  <c r="AF241" i="43"/>
  <c r="AG241" i="43"/>
  <c r="AH241" i="43"/>
  <c r="AI241" i="43"/>
  <c r="AJ241" i="43"/>
  <c r="AK241" i="43"/>
  <c r="AL241" i="43"/>
  <c r="AM241" i="43"/>
  <c r="AN241" i="43"/>
  <c r="AO241" i="43"/>
  <c r="AP241" i="43"/>
  <c r="AQ241" i="43"/>
  <c r="AR241" i="43"/>
  <c r="AS241" i="43"/>
  <c r="AT241" i="43"/>
  <c r="AU241" i="43"/>
  <c r="AV241" i="43"/>
  <c r="AW241" i="43"/>
  <c r="AX241" i="43"/>
  <c r="AY241" i="43"/>
  <c r="AZ241" i="43"/>
  <c r="BA241" i="43"/>
  <c r="BB241" i="43"/>
  <c r="BC241" i="43"/>
  <c r="BD241" i="43"/>
  <c r="BE241" i="43"/>
  <c r="BF241" i="43"/>
  <c r="BG241" i="43"/>
  <c r="BH241" i="43"/>
  <c r="BI241" i="43"/>
  <c r="BJ241" i="43"/>
  <c r="BK241" i="43"/>
  <c r="BL241" i="43"/>
  <c r="BM241" i="43"/>
  <c r="BN241" i="43"/>
  <c r="BO241" i="43"/>
  <c r="BP241" i="43"/>
  <c r="BQ241" i="43"/>
  <c r="BR241" i="43"/>
  <c r="BS241" i="43"/>
  <c r="BT241" i="43"/>
  <c r="BU241" i="43"/>
  <c r="BV241" i="43"/>
  <c r="BW241" i="43"/>
  <c r="BX241" i="43"/>
  <c r="BY241" i="43"/>
  <c r="BZ241" i="43"/>
  <c r="CA241" i="43"/>
  <c r="CB241" i="43"/>
  <c r="CC241" i="43"/>
  <c r="CD241" i="43"/>
  <c r="CE241" i="43"/>
  <c r="CF241" i="43"/>
  <c r="CG241" i="43"/>
  <c r="CH241" i="43"/>
  <c r="CI241" i="43"/>
  <c r="CJ241" i="43"/>
  <c r="CK241" i="43"/>
  <c r="CL241" i="43"/>
  <c r="CM241" i="43"/>
  <c r="CN241" i="43"/>
  <c r="CO241" i="43"/>
  <c r="CP241" i="43"/>
  <c r="CQ241" i="43"/>
  <c r="CR241" i="43"/>
  <c r="CS241" i="43"/>
  <c r="CT241" i="43"/>
  <c r="CU241" i="43"/>
  <c r="CV241" i="43"/>
  <c r="CW241" i="43"/>
  <c r="CX241" i="43"/>
  <c r="CY241" i="43"/>
  <c r="CZ241" i="43"/>
  <c r="DA241" i="43"/>
  <c r="DB241" i="43"/>
  <c r="DC241" i="43"/>
  <c r="DD241" i="43"/>
  <c r="DE241" i="43"/>
  <c r="DF241" i="43"/>
  <c r="DG241" i="43"/>
  <c r="DH241" i="43"/>
  <c r="DI241" i="43"/>
  <c r="DJ241" i="43"/>
  <c r="DK241" i="43"/>
  <c r="DL241" i="43"/>
  <c r="DM241" i="43"/>
  <c r="DN241" i="43"/>
  <c r="DO241" i="43"/>
  <c r="DP241" i="43"/>
  <c r="DQ241" i="43"/>
  <c r="DR241" i="43"/>
  <c r="DS241" i="43"/>
  <c r="DT241" i="43"/>
  <c r="DU241" i="43"/>
  <c r="DV241" i="43"/>
  <c r="DW241" i="43"/>
  <c r="DX241" i="43"/>
  <c r="DY241" i="43"/>
  <c r="DZ241" i="43"/>
  <c r="EA241" i="43"/>
  <c r="EB241" i="43"/>
  <c r="EC241" i="43"/>
  <c r="ED241" i="43"/>
  <c r="EE241" i="43"/>
  <c r="EF241" i="43"/>
  <c r="EG241" i="43"/>
  <c r="EH241" i="43"/>
  <c r="EI241" i="43"/>
  <c r="EJ241" i="43"/>
  <c r="EK241" i="43"/>
  <c r="EL241" i="43"/>
  <c r="EM241" i="43"/>
  <c r="EN241" i="43"/>
  <c r="EO241" i="43"/>
  <c r="EP241" i="43"/>
  <c r="EQ241" i="43"/>
  <c r="ER241" i="43"/>
  <c r="ES241" i="43"/>
  <c r="ET241" i="43"/>
  <c r="EU241" i="43"/>
  <c r="EV241" i="43"/>
  <c r="EW241" i="43"/>
  <c r="EX241" i="43"/>
  <c r="EY241" i="43"/>
  <c r="EZ241" i="43"/>
  <c r="FA241" i="43"/>
  <c r="FB241" i="43"/>
  <c r="FC241" i="43"/>
  <c r="FD241" i="43"/>
  <c r="FE241" i="43"/>
  <c r="FF241" i="43"/>
  <c r="FG241" i="43"/>
  <c r="FH241" i="43"/>
  <c r="FI241" i="43"/>
  <c r="FJ241" i="43"/>
  <c r="FK241" i="43"/>
  <c r="FL241" i="43"/>
  <c r="FM241" i="43"/>
  <c r="FN241" i="43"/>
  <c r="FO241" i="43"/>
  <c r="FP241" i="43"/>
  <c r="FQ241" i="43"/>
  <c r="FR241" i="43"/>
  <c r="FS241" i="43"/>
  <c r="FT241" i="43"/>
  <c r="FU241" i="43"/>
  <c r="FV241" i="43"/>
  <c r="FW241" i="43"/>
  <c r="FX241" i="43"/>
  <c r="FY241" i="43"/>
  <c r="FZ241" i="43"/>
  <c r="GA241" i="43"/>
  <c r="GB241" i="43"/>
  <c r="GC241" i="43"/>
  <c r="GD241" i="43"/>
  <c r="GE241" i="43"/>
  <c r="GF241" i="43"/>
  <c r="GG241" i="43"/>
  <c r="GH241" i="43"/>
  <c r="GI241" i="43"/>
  <c r="GJ241" i="43"/>
  <c r="GK241" i="43"/>
  <c r="GL241" i="43"/>
  <c r="GM241" i="43"/>
  <c r="GN241" i="43"/>
  <c r="GO241" i="43"/>
  <c r="GP241" i="43"/>
  <c r="GQ241" i="43"/>
  <c r="GR241" i="43"/>
  <c r="GS241" i="43"/>
  <c r="GT241" i="43"/>
  <c r="GU241" i="43"/>
  <c r="GV241" i="43"/>
  <c r="GW241" i="43"/>
  <c r="GX241" i="43"/>
  <c r="GY241" i="43"/>
  <c r="GZ241" i="43"/>
  <c r="HA241" i="43"/>
  <c r="HB241" i="43"/>
  <c r="HC241" i="43"/>
  <c r="HD241" i="43"/>
  <c r="HE241" i="43"/>
  <c r="HF241" i="43"/>
  <c r="HG241" i="43"/>
  <c r="HH241" i="43"/>
  <c r="HI241" i="43"/>
  <c r="HJ241" i="43"/>
  <c r="HK241" i="43"/>
  <c r="HL241" i="43"/>
  <c r="HM241" i="43"/>
  <c r="HN241" i="43"/>
  <c r="HO241" i="43"/>
  <c r="HP241" i="43"/>
  <c r="HQ241" i="43"/>
  <c r="HR241" i="43"/>
  <c r="HS241" i="43"/>
  <c r="HT241" i="43"/>
  <c r="HU241" i="43"/>
  <c r="HV241" i="43"/>
  <c r="HW241" i="43"/>
  <c r="HX241" i="43"/>
  <c r="HY241" i="43"/>
  <c r="HZ241" i="43"/>
  <c r="IA241" i="43"/>
  <c r="IB241" i="43"/>
  <c r="IC241" i="43"/>
  <c r="ID241" i="43"/>
  <c r="IE241" i="43"/>
  <c r="IF241" i="43"/>
  <c r="IG241" i="43"/>
  <c r="IH241" i="43"/>
  <c r="II241" i="43"/>
  <c r="IJ241" i="43"/>
  <c r="IK241" i="43"/>
  <c r="IL241" i="43"/>
  <c r="IM241" i="43"/>
  <c r="IN241" i="43"/>
  <c r="IO241" i="43"/>
  <c r="IP241" i="43"/>
  <c r="IQ241" i="43"/>
  <c r="IR241" i="43"/>
  <c r="IS241" i="43"/>
  <c r="IT241" i="43"/>
  <c r="IU241" i="43"/>
  <c r="IV241" i="43"/>
  <c r="A240" i="43"/>
  <c r="B240" i="43"/>
  <c r="C240" i="43"/>
  <c r="D240" i="43"/>
  <c r="E240" i="43"/>
  <c r="F240" i="43"/>
  <c r="G240" i="43"/>
  <c r="H240" i="43"/>
  <c r="I240" i="43"/>
  <c r="J240" i="43"/>
  <c r="K240" i="43"/>
  <c r="L240" i="43"/>
  <c r="M240" i="43"/>
  <c r="N240" i="43"/>
  <c r="O240" i="43"/>
  <c r="P240" i="43"/>
  <c r="Q240" i="43"/>
  <c r="R240" i="43"/>
  <c r="S240" i="43"/>
  <c r="T240" i="43"/>
  <c r="U240" i="43"/>
  <c r="V240" i="43"/>
  <c r="W240" i="43"/>
  <c r="X240" i="43"/>
  <c r="Y240" i="43"/>
  <c r="Z240" i="43"/>
  <c r="AA240" i="43"/>
  <c r="AB240" i="43"/>
  <c r="AC240" i="43"/>
  <c r="AD240" i="43"/>
  <c r="AE240" i="43"/>
  <c r="AF240" i="43"/>
  <c r="AG240" i="43"/>
  <c r="AH240" i="43"/>
  <c r="AI240" i="43"/>
  <c r="AJ240" i="43"/>
  <c r="AK240" i="43"/>
  <c r="AL240" i="43"/>
  <c r="AM240" i="43"/>
  <c r="AN240" i="43"/>
  <c r="AO240" i="43"/>
  <c r="AP240" i="43"/>
  <c r="AQ240" i="43"/>
  <c r="AR240" i="43"/>
  <c r="AS240" i="43"/>
  <c r="AT240" i="43"/>
  <c r="AU240" i="43"/>
  <c r="AV240" i="43"/>
  <c r="AW240" i="43"/>
  <c r="AX240" i="43"/>
  <c r="AY240" i="43"/>
  <c r="AZ240" i="43"/>
  <c r="BA240" i="43"/>
  <c r="BB240" i="43"/>
  <c r="BC240" i="43"/>
  <c r="BD240" i="43"/>
  <c r="BE240" i="43"/>
  <c r="BF240" i="43"/>
  <c r="BG240" i="43"/>
  <c r="BH240" i="43"/>
  <c r="BI240" i="43"/>
  <c r="BJ240" i="43"/>
  <c r="BK240" i="43"/>
  <c r="BL240" i="43"/>
  <c r="BM240" i="43"/>
  <c r="BN240" i="43"/>
  <c r="BO240" i="43"/>
  <c r="BP240" i="43"/>
  <c r="BQ240" i="43"/>
  <c r="BR240" i="43"/>
  <c r="BS240" i="43"/>
  <c r="BT240" i="43"/>
  <c r="BU240" i="43"/>
  <c r="BV240" i="43"/>
  <c r="BW240" i="43"/>
  <c r="BX240" i="43"/>
  <c r="BY240" i="43"/>
  <c r="BZ240" i="43"/>
  <c r="CA240" i="43"/>
  <c r="CB240" i="43"/>
  <c r="CC240" i="43"/>
  <c r="CD240" i="43"/>
  <c r="CE240" i="43"/>
  <c r="CF240" i="43"/>
  <c r="CG240" i="43"/>
  <c r="CH240" i="43"/>
  <c r="CI240" i="43"/>
  <c r="CJ240" i="43"/>
  <c r="CK240" i="43"/>
  <c r="CL240" i="43"/>
  <c r="CM240" i="43"/>
  <c r="CN240" i="43"/>
  <c r="CO240" i="43"/>
  <c r="CP240" i="43"/>
  <c r="CQ240" i="43"/>
  <c r="CR240" i="43"/>
  <c r="CS240" i="43"/>
  <c r="CT240" i="43"/>
  <c r="CU240" i="43"/>
  <c r="CV240" i="43"/>
  <c r="CW240" i="43"/>
  <c r="CX240" i="43"/>
  <c r="CY240" i="43"/>
  <c r="CZ240" i="43"/>
  <c r="DA240" i="43"/>
  <c r="DB240" i="43"/>
  <c r="DC240" i="43"/>
  <c r="DD240" i="43"/>
  <c r="DE240" i="43"/>
  <c r="DF240" i="43"/>
  <c r="DG240" i="43"/>
  <c r="DH240" i="43"/>
  <c r="DI240" i="43"/>
  <c r="DJ240" i="43"/>
  <c r="DK240" i="43"/>
  <c r="DL240" i="43"/>
  <c r="DM240" i="43"/>
  <c r="DN240" i="43"/>
  <c r="DO240" i="43"/>
  <c r="DP240" i="43"/>
  <c r="DQ240" i="43"/>
  <c r="DR240" i="43"/>
  <c r="DS240" i="43"/>
  <c r="DT240" i="43"/>
  <c r="DU240" i="43"/>
  <c r="DV240" i="43"/>
  <c r="DW240" i="43"/>
  <c r="DX240" i="43"/>
  <c r="DY240" i="43"/>
  <c r="DZ240" i="43"/>
  <c r="EA240" i="43"/>
  <c r="EB240" i="43"/>
  <c r="EC240" i="43"/>
  <c r="ED240" i="43"/>
  <c r="EE240" i="43"/>
  <c r="EF240" i="43"/>
  <c r="EG240" i="43"/>
  <c r="EH240" i="43"/>
  <c r="EI240" i="43"/>
  <c r="EJ240" i="43"/>
  <c r="EK240" i="43"/>
  <c r="EL240" i="43"/>
  <c r="EM240" i="43"/>
  <c r="EN240" i="43"/>
  <c r="EO240" i="43"/>
  <c r="EP240" i="43"/>
  <c r="EQ240" i="43"/>
  <c r="ER240" i="43"/>
  <c r="ES240" i="43"/>
  <c r="ET240" i="43"/>
  <c r="EU240" i="43"/>
  <c r="EV240" i="43"/>
  <c r="EW240" i="43"/>
  <c r="EX240" i="43"/>
  <c r="EY240" i="43"/>
  <c r="EZ240" i="43"/>
  <c r="FA240" i="43"/>
  <c r="FB240" i="43"/>
  <c r="FC240" i="43"/>
  <c r="FD240" i="43"/>
  <c r="FE240" i="43"/>
  <c r="FF240" i="43"/>
  <c r="FG240" i="43"/>
  <c r="FH240" i="43"/>
  <c r="FI240" i="43"/>
  <c r="FJ240" i="43"/>
  <c r="FK240" i="43"/>
  <c r="FL240" i="43"/>
  <c r="FM240" i="43"/>
  <c r="FN240" i="43"/>
  <c r="FO240" i="43"/>
  <c r="FP240" i="43"/>
  <c r="FQ240" i="43"/>
  <c r="FR240" i="43"/>
  <c r="FS240" i="43"/>
  <c r="FT240" i="43"/>
  <c r="FU240" i="43"/>
  <c r="FV240" i="43"/>
  <c r="FW240" i="43"/>
  <c r="FX240" i="43"/>
  <c r="FY240" i="43"/>
  <c r="FZ240" i="43"/>
  <c r="GA240" i="43"/>
  <c r="GB240" i="43"/>
  <c r="GC240" i="43"/>
  <c r="GD240" i="43"/>
  <c r="GE240" i="43"/>
  <c r="GF240" i="43"/>
  <c r="GG240" i="43"/>
  <c r="GH240" i="43"/>
  <c r="GI240" i="43"/>
  <c r="GJ240" i="43"/>
  <c r="GK240" i="43"/>
  <c r="GL240" i="43"/>
  <c r="GM240" i="43"/>
  <c r="GN240" i="43"/>
  <c r="GO240" i="43"/>
  <c r="GP240" i="43"/>
  <c r="GQ240" i="43"/>
  <c r="GR240" i="43"/>
  <c r="GS240" i="43"/>
  <c r="GT240" i="43"/>
  <c r="GU240" i="43"/>
  <c r="GV240" i="43"/>
  <c r="GW240" i="43"/>
  <c r="GX240" i="43"/>
  <c r="GY240" i="43"/>
  <c r="GZ240" i="43"/>
  <c r="HA240" i="43"/>
  <c r="HB240" i="43"/>
  <c r="HC240" i="43"/>
  <c r="HD240" i="43"/>
  <c r="HE240" i="43"/>
  <c r="HF240" i="43"/>
  <c r="HG240" i="43"/>
  <c r="HH240" i="43"/>
  <c r="HI240" i="43"/>
  <c r="HJ240" i="43"/>
  <c r="HK240" i="43"/>
  <c r="HL240" i="43"/>
  <c r="HM240" i="43"/>
  <c r="HN240" i="43"/>
  <c r="HO240" i="43"/>
  <c r="HP240" i="43"/>
  <c r="HQ240" i="43"/>
  <c r="HR240" i="43"/>
  <c r="HS240" i="43"/>
  <c r="HT240" i="43"/>
  <c r="HU240" i="43"/>
  <c r="HV240" i="43"/>
  <c r="HW240" i="43"/>
  <c r="HX240" i="43"/>
  <c r="HY240" i="43"/>
  <c r="HZ240" i="43"/>
  <c r="IA240" i="43"/>
  <c r="IB240" i="43"/>
  <c r="IC240" i="43"/>
  <c r="ID240" i="43"/>
  <c r="IE240" i="43"/>
  <c r="IF240" i="43"/>
  <c r="IG240" i="43"/>
  <c r="IH240" i="43"/>
  <c r="II240" i="43"/>
  <c r="IJ240" i="43"/>
  <c r="IK240" i="43"/>
  <c r="IL240" i="43"/>
  <c r="IM240" i="43"/>
  <c r="IN240" i="43"/>
  <c r="IO240" i="43"/>
  <c r="IP240" i="43"/>
  <c r="IQ240" i="43"/>
  <c r="IR240" i="43"/>
  <c r="IS240" i="43"/>
  <c r="IT240" i="43"/>
  <c r="IU240" i="43"/>
  <c r="IV240" i="43"/>
  <c r="A239" i="43"/>
  <c r="B239" i="43"/>
  <c r="C239" i="43"/>
  <c r="D239" i="43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39" i="43"/>
  <c r="V239" i="43"/>
  <c r="W239" i="43"/>
  <c r="X239" i="43"/>
  <c r="Y239" i="43"/>
  <c r="Z239" i="43"/>
  <c r="AA239" i="43"/>
  <c r="AB239" i="43"/>
  <c r="AC239" i="43"/>
  <c r="AD239" i="43"/>
  <c r="AE239" i="43"/>
  <c r="AF239" i="43"/>
  <c r="AG239" i="43"/>
  <c r="AH239" i="43"/>
  <c r="AI239" i="43"/>
  <c r="AJ239" i="43"/>
  <c r="AK239" i="43"/>
  <c r="AL239" i="43"/>
  <c r="AM239" i="43"/>
  <c r="AN239" i="43"/>
  <c r="AO239" i="43"/>
  <c r="AP239" i="43"/>
  <c r="AQ239" i="43"/>
  <c r="AR239" i="43"/>
  <c r="AS239" i="43"/>
  <c r="AT239" i="43"/>
  <c r="AU239" i="43"/>
  <c r="AV239" i="43"/>
  <c r="AW239" i="43"/>
  <c r="AX239" i="43"/>
  <c r="AY239" i="43"/>
  <c r="AZ239" i="43"/>
  <c r="BA239" i="43"/>
  <c r="BB239" i="43"/>
  <c r="BC239" i="43"/>
  <c r="BD239" i="43"/>
  <c r="BE239" i="43"/>
  <c r="BF239" i="43"/>
  <c r="BG239" i="43"/>
  <c r="BH239" i="43"/>
  <c r="BI239" i="43"/>
  <c r="BJ239" i="43"/>
  <c r="BK239" i="43"/>
  <c r="BL239" i="43"/>
  <c r="BM239" i="43"/>
  <c r="BN239" i="43"/>
  <c r="BO239" i="43"/>
  <c r="BP239" i="43"/>
  <c r="BQ239" i="43"/>
  <c r="BR239" i="43"/>
  <c r="BS239" i="43"/>
  <c r="BT239" i="43"/>
  <c r="BU239" i="43"/>
  <c r="BV239" i="43"/>
  <c r="BW239" i="43"/>
  <c r="BX239" i="43"/>
  <c r="BY239" i="43"/>
  <c r="BZ239" i="43"/>
  <c r="CA239" i="43"/>
  <c r="CB239" i="43"/>
  <c r="CC239" i="43"/>
  <c r="CD239" i="43"/>
  <c r="CE239" i="43"/>
  <c r="CF239" i="43"/>
  <c r="CG239" i="43"/>
  <c r="CH239" i="43"/>
  <c r="CI239" i="43"/>
  <c r="CJ239" i="43"/>
  <c r="CK239" i="43"/>
  <c r="CL239" i="43"/>
  <c r="CM239" i="43"/>
  <c r="CN239" i="43"/>
  <c r="CO239" i="43"/>
  <c r="CP239" i="43"/>
  <c r="CQ239" i="43"/>
  <c r="CR239" i="43"/>
  <c r="CS239" i="43"/>
  <c r="CT239" i="43"/>
  <c r="CU239" i="43"/>
  <c r="CV239" i="43"/>
  <c r="CW239" i="43"/>
  <c r="CX239" i="43"/>
  <c r="CY239" i="43"/>
  <c r="CZ239" i="43"/>
  <c r="DA239" i="43"/>
  <c r="DB239" i="43"/>
  <c r="DC239" i="43"/>
  <c r="DD239" i="43"/>
  <c r="DE239" i="43"/>
  <c r="DF239" i="43"/>
  <c r="DG239" i="43"/>
  <c r="DH239" i="43"/>
  <c r="DI239" i="43"/>
  <c r="DJ239" i="43"/>
  <c r="DK239" i="43"/>
  <c r="DL239" i="43"/>
  <c r="DM239" i="43"/>
  <c r="DN239" i="43"/>
  <c r="DO239" i="43"/>
  <c r="DP239" i="43"/>
  <c r="DQ239" i="43"/>
  <c r="DR239" i="43"/>
  <c r="DS239" i="43"/>
  <c r="DT239" i="43"/>
  <c r="DU239" i="43"/>
  <c r="DV239" i="43"/>
  <c r="DW239" i="43"/>
  <c r="DX239" i="43"/>
  <c r="DY239" i="43"/>
  <c r="DZ239" i="43"/>
  <c r="EA239" i="43"/>
  <c r="EB239" i="43"/>
  <c r="EC239" i="43"/>
  <c r="ED239" i="43"/>
  <c r="EE239" i="43"/>
  <c r="EF239" i="43"/>
  <c r="EG239" i="43"/>
  <c r="EH239" i="43"/>
  <c r="EI239" i="43"/>
  <c r="EJ239" i="43"/>
  <c r="EK239" i="43"/>
  <c r="EL239" i="43"/>
  <c r="EM239" i="43"/>
  <c r="EN239" i="43"/>
  <c r="EO239" i="43"/>
  <c r="EP239" i="43"/>
  <c r="EQ239" i="43"/>
  <c r="ER239" i="43"/>
  <c r="ES239" i="43"/>
  <c r="ET239" i="43"/>
  <c r="EU239" i="43"/>
  <c r="EV239" i="43"/>
  <c r="EW239" i="43"/>
  <c r="EX239" i="43"/>
  <c r="EY239" i="43"/>
  <c r="EZ239" i="43"/>
  <c r="FA239" i="43"/>
  <c r="FB239" i="43"/>
  <c r="FC239" i="43"/>
  <c r="FD239" i="43"/>
  <c r="FE239" i="43"/>
  <c r="FF239" i="43"/>
  <c r="FG239" i="43"/>
  <c r="FH239" i="43"/>
  <c r="FI239" i="43"/>
  <c r="FJ239" i="43"/>
  <c r="FK239" i="43"/>
  <c r="FL239" i="43"/>
  <c r="FM239" i="43"/>
  <c r="FN239" i="43"/>
  <c r="FO239" i="43"/>
  <c r="FP239" i="43"/>
  <c r="FQ239" i="43"/>
  <c r="FR239" i="43"/>
  <c r="FS239" i="43"/>
  <c r="FT239" i="43"/>
  <c r="FU239" i="43"/>
  <c r="FV239" i="43"/>
  <c r="FW239" i="43"/>
  <c r="FX239" i="43"/>
  <c r="FY239" i="43"/>
  <c r="FZ239" i="43"/>
  <c r="GA239" i="43"/>
  <c r="GB239" i="43"/>
  <c r="GC239" i="43"/>
  <c r="GD239" i="43"/>
  <c r="GE239" i="43"/>
  <c r="GF239" i="43"/>
  <c r="GG239" i="43"/>
  <c r="GH239" i="43"/>
  <c r="GI239" i="43"/>
  <c r="GJ239" i="43"/>
  <c r="GK239" i="43"/>
  <c r="GL239" i="43"/>
  <c r="GM239" i="43"/>
  <c r="GN239" i="43"/>
  <c r="GO239" i="43"/>
  <c r="GP239" i="43"/>
  <c r="GQ239" i="43"/>
  <c r="GR239" i="43"/>
  <c r="GS239" i="43"/>
  <c r="GT239" i="43"/>
  <c r="GU239" i="43"/>
  <c r="GV239" i="43"/>
  <c r="GW239" i="43"/>
  <c r="GX239" i="43"/>
  <c r="GY239" i="43"/>
  <c r="GZ239" i="43"/>
  <c r="HA239" i="43"/>
  <c r="HB239" i="43"/>
  <c r="HC239" i="43"/>
  <c r="HD239" i="43"/>
  <c r="HE239" i="43"/>
  <c r="HF239" i="43"/>
  <c r="HG239" i="43"/>
  <c r="HH239" i="43"/>
  <c r="HI239" i="43"/>
  <c r="HJ239" i="43"/>
  <c r="HK239" i="43"/>
  <c r="HL239" i="43"/>
  <c r="HM239" i="43"/>
  <c r="HN239" i="43"/>
  <c r="HO239" i="43"/>
  <c r="HP239" i="43"/>
  <c r="HQ239" i="43"/>
  <c r="HR239" i="43"/>
  <c r="HS239" i="43"/>
  <c r="HT239" i="43"/>
  <c r="HU239" i="43"/>
  <c r="HV239" i="43"/>
  <c r="HW239" i="43"/>
  <c r="HX239" i="43"/>
  <c r="HY239" i="43"/>
  <c r="HZ239" i="43"/>
  <c r="IA239" i="43"/>
  <c r="IB239" i="43"/>
  <c r="IC239" i="43"/>
  <c r="ID239" i="43"/>
  <c r="IE239" i="43"/>
  <c r="IF239" i="43"/>
  <c r="IG239" i="43"/>
  <c r="IH239" i="43"/>
  <c r="II239" i="43"/>
  <c r="IJ239" i="43"/>
  <c r="IK239" i="43"/>
  <c r="IL239" i="43"/>
  <c r="IM239" i="43"/>
  <c r="IN239" i="43"/>
  <c r="IO239" i="43"/>
  <c r="IP239" i="43"/>
  <c r="IQ239" i="43"/>
  <c r="IR239" i="43"/>
  <c r="IS239" i="43"/>
  <c r="IT239" i="43"/>
  <c r="IU239" i="43"/>
  <c r="IV239" i="43"/>
  <c r="A238" i="43"/>
  <c r="B238" i="43"/>
  <c r="C238" i="43"/>
  <c r="D238" i="43"/>
  <c r="E238" i="43"/>
  <c r="F238" i="43"/>
  <c r="G238" i="43"/>
  <c r="H238" i="43"/>
  <c r="I238" i="43"/>
  <c r="J238" i="43"/>
  <c r="K238" i="43"/>
  <c r="L238" i="43"/>
  <c r="M238" i="43"/>
  <c r="N238" i="43"/>
  <c r="O238" i="43"/>
  <c r="P238" i="43"/>
  <c r="Q238" i="43"/>
  <c r="R238" i="43"/>
  <c r="S238" i="43"/>
  <c r="T238" i="43"/>
  <c r="U238" i="43"/>
  <c r="V238" i="43"/>
  <c r="W238" i="43"/>
  <c r="X238" i="43"/>
  <c r="Y238" i="43"/>
  <c r="Z238" i="43"/>
  <c r="AA238" i="43"/>
  <c r="AB238" i="43"/>
  <c r="AC238" i="43"/>
  <c r="AD238" i="43"/>
  <c r="AE238" i="43"/>
  <c r="AF238" i="43"/>
  <c r="AG238" i="43"/>
  <c r="AH238" i="43"/>
  <c r="AI238" i="43"/>
  <c r="AJ238" i="43"/>
  <c r="AK238" i="43"/>
  <c r="AL238" i="43"/>
  <c r="AM238" i="43"/>
  <c r="AN238" i="43"/>
  <c r="AO238" i="43"/>
  <c r="AP238" i="43"/>
  <c r="AQ238" i="43"/>
  <c r="AR238" i="43"/>
  <c r="AS238" i="43"/>
  <c r="AT238" i="43"/>
  <c r="AU238" i="43"/>
  <c r="AV238" i="43"/>
  <c r="AW238" i="43"/>
  <c r="AX238" i="43"/>
  <c r="AY238" i="43"/>
  <c r="AZ238" i="43"/>
  <c r="BA238" i="43"/>
  <c r="BB238" i="43"/>
  <c r="BC238" i="43"/>
  <c r="BD238" i="43"/>
  <c r="BE238" i="43"/>
  <c r="BF238" i="43"/>
  <c r="BG238" i="43"/>
  <c r="BH238" i="43"/>
  <c r="BI238" i="43"/>
  <c r="BJ238" i="43"/>
  <c r="BK238" i="43"/>
  <c r="BL238" i="43"/>
  <c r="BM238" i="43"/>
  <c r="BN238" i="43"/>
  <c r="BO238" i="43"/>
  <c r="BP238" i="43"/>
  <c r="BQ238" i="43"/>
  <c r="BR238" i="43"/>
  <c r="BS238" i="43"/>
  <c r="BT238" i="43"/>
  <c r="BU238" i="43"/>
  <c r="BV238" i="43"/>
  <c r="BW238" i="43"/>
  <c r="BX238" i="43"/>
  <c r="BY238" i="43"/>
  <c r="BZ238" i="43"/>
  <c r="CA238" i="43"/>
  <c r="CB238" i="43"/>
  <c r="CC238" i="43"/>
  <c r="CD238" i="43"/>
  <c r="CE238" i="43"/>
  <c r="CF238" i="43"/>
  <c r="CG238" i="43"/>
  <c r="CH238" i="43"/>
  <c r="CI238" i="43"/>
  <c r="CJ238" i="43"/>
  <c r="CK238" i="43"/>
  <c r="CL238" i="43"/>
  <c r="CM238" i="43"/>
  <c r="CN238" i="43"/>
  <c r="CO238" i="43"/>
  <c r="CP238" i="43"/>
  <c r="CQ238" i="43"/>
  <c r="CR238" i="43"/>
  <c r="CS238" i="43"/>
  <c r="CT238" i="43"/>
  <c r="CU238" i="43"/>
  <c r="CV238" i="43"/>
  <c r="CW238" i="43"/>
  <c r="CX238" i="43"/>
  <c r="CY238" i="43"/>
  <c r="CZ238" i="43"/>
  <c r="DA238" i="43"/>
  <c r="DB238" i="43"/>
  <c r="DC238" i="43"/>
  <c r="DD238" i="43"/>
  <c r="DE238" i="43"/>
  <c r="DF238" i="43"/>
  <c r="DG238" i="43"/>
  <c r="DH238" i="43"/>
  <c r="DI238" i="43"/>
  <c r="DJ238" i="43"/>
  <c r="DK238" i="43"/>
  <c r="DL238" i="43"/>
  <c r="DM238" i="43"/>
  <c r="DN238" i="43"/>
  <c r="DO238" i="43"/>
  <c r="DP238" i="43"/>
  <c r="DQ238" i="43"/>
  <c r="DR238" i="43"/>
  <c r="DS238" i="43"/>
  <c r="DT238" i="43"/>
  <c r="DU238" i="43"/>
  <c r="DV238" i="43"/>
  <c r="DW238" i="43"/>
  <c r="DX238" i="43"/>
  <c r="DY238" i="43"/>
  <c r="DZ238" i="43"/>
  <c r="EA238" i="43"/>
  <c r="EB238" i="43"/>
  <c r="EC238" i="43"/>
  <c r="ED238" i="43"/>
  <c r="EE238" i="43"/>
  <c r="EF238" i="43"/>
  <c r="EG238" i="43"/>
  <c r="EH238" i="43"/>
  <c r="EI238" i="43"/>
  <c r="EJ238" i="43"/>
  <c r="EK238" i="43"/>
  <c r="EL238" i="43"/>
  <c r="EM238" i="43"/>
  <c r="EN238" i="43"/>
  <c r="EO238" i="43"/>
  <c r="EP238" i="43"/>
  <c r="EQ238" i="43"/>
  <c r="ER238" i="43"/>
  <c r="ES238" i="43"/>
  <c r="ET238" i="43"/>
  <c r="EU238" i="43"/>
  <c r="EV238" i="43"/>
  <c r="EW238" i="43"/>
  <c r="EX238" i="43"/>
  <c r="EY238" i="43"/>
  <c r="EZ238" i="43"/>
  <c r="FA238" i="43"/>
  <c r="FB238" i="43"/>
  <c r="FC238" i="43"/>
  <c r="FD238" i="43"/>
  <c r="FE238" i="43"/>
  <c r="FF238" i="43"/>
  <c r="FG238" i="43"/>
  <c r="FH238" i="43"/>
  <c r="FI238" i="43"/>
  <c r="FJ238" i="43"/>
  <c r="FK238" i="43"/>
  <c r="FL238" i="43"/>
  <c r="FM238" i="43"/>
  <c r="FN238" i="43"/>
  <c r="FO238" i="43"/>
  <c r="FP238" i="43"/>
  <c r="FQ238" i="43"/>
  <c r="FR238" i="43"/>
  <c r="FS238" i="43"/>
  <c r="FT238" i="43"/>
  <c r="FU238" i="43"/>
  <c r="FV238" i="43"/>
  <c r="FW238" i="43"/>
  <c r="FX238" i="43"/>
  <c r="FY238" i="43"/>
  <c r="FZ238" i="43"/>
  <c r="GA238" i="43"/>
  <c r="GB238" i="43"/>
  <c r="GC238" i="43"/>
  <c r="GD238" i="43"/>
  <c r="GE238" i="43"/>
  <c r="GF238" i="43"/>
  <c r="GG238" i="43"/>
  <c r="GH238" i="43"/>
  <c r="GI238" i="43"/>
  <c r="GJ238" i="43"/>
  <c r="GK238" i="43"/>
  <c r="GL238" i="43"/>
  <c r="GM238" i="43"/>
  <c r="GN238" i="43"/>
  <c r="GO238" i="43"/>
  <c r="GP238" i="43"/>
  <c r="GQ238" i="43"/>
  <c r="GR238" i="43"/>
  <c r="GS238" i="43"/>
  <c r="GT238" i="43"/>
  <c r="GU238" i="43"/>
  <c r="GV238" i="43"/>
  <c r="GW238" i="43"/>
  <c r="GX238" i="43"/>
  <c r="GY238" i="43"/>
  <c r="GZ238" i="43"/>
  <c r="HA238" i="43"/>
  <c r="HB238" i="43"/>
  <c r="HC238" i="43"/>
  <c r="HD238" i="43"/>
  <c r="HE238" i="43"/>
  <c r="HF238" i="43"/>
  <c r="HG238" i="43"/>
  <c r="HH238" i="43"/>
  <c r="HI238" i="43"/>
  <c r="HJ238" i="43"/>
  <c r="HK238" i="43"/>
  <c r="HL238" i="43"/>
  <c r="HM238" i="43"/>
  <c r="HN238" i="43"/>
  <c r="HO238" i="43"/>
  <c r="HP238" i="43"/>
  <c r="HQ238" i="43"/>
  <c r="HR238" i="43"/>
  <c r="HS238" i="43"/>
  <c r="HT238" i="43"/>
  <c r="HU238" i="43"/>
  <c r="HV238" i="43"/>
  <c r="HW238" i="43"/>
  <c r="HX238" i="43"/>
  <c r="HY238" i="43"/>
  <c r="HZ238" i="43"/>
  <c r="IA238" i="43"/>
  <c r="IB238" i="43"/>
  <c r="IC238" i="43"/>
  <c r="ID238" i="43"/>
  <c r="IE238" i="43"/>
  <c r="IF238" i="43"/>
  <c r="IG238" i="43"/>
  <c r="IH238" i="43"/>
  <c r="II238" i="43"/>
  <c r="IJ238" i="43"/>
  <c r="IK238" i="43"/>
  <c r="IL238" i="43"/>
  <c r="IM238" i="43"/>
  <c r="IN238" i="43"/>
  <c r="IO238" i="43"/>
  <c r="IP238" i="43"/>
  <c r="IQ238" i="43"/>
  <c r="IR238" i="43"/>
  <c r="IS238" i="43"/>
  <c r="IT238" i="43"/>
  <c r="IU238" i="43"/>
  <c r="IV238" i="43"/>
  <c r="A237" i="43"/>
  <c r="B237" i="43"/>
  <c r="C237" i="43"/>
  <c r="D237" i="43"/>
  <c r="E237" i="43"/>
  <c r="F237" i="43"/>
  <c r="G237" i="43"/>
  <c r="H23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U237" i="43"/>
  <c r="V237" i="43"/>
  <c r="W237" i="43"/>
  <c r="X237" i="43"/>
  <c r="Y237" i="43"/>
  <c r="Z237" i="43"/>
  <c r="AA237" i="43"/>
  <c r="AB237" i="43"/>
  <c r="AC237" i="43"/>
  <c r="AD237" i="43"/>
  <c r="AE237" i="43"/>
  <c r="AF237" i="43"/>
  <c r="AG237" i="43"/>
  <c r="AH237" i="43"/>
  <c r="AI237" i="43"/>
  <c r="AJ237" i="43"/>
  <c r="AK237" i="43"/>
  <c r="AL237" i="43"/>
  <c r="AM237" i="43"/>
  <c r="AN237" i="43"/>
  <c r="AO237" i="43"/>
  <c r="AP237" i="43"/>
  <c r="AQ237" i="43"/>
  <c r="AR237" i="43"/>
  <c r="AS237" i="43"/>
  <c r="AT237" i="43"/>
  <c r="AU237" i="43"/>
  <c r="AV237" i="43"/>
  <c r="AW237" i="43"/>
  <c r="AX237" i="43"/>
  <c r="AY237" i="43"/>
  <c r="AZ237" i="43"/>
  <c r="BA237" i="43"/>
  <c r="BB237" i="43"/>
  <c r="BC237" i="43"/>
  <c r="BD237" i="43"/>
  <c r="BE237" i="43"/>
  <c r="BF237" i="43"/>
  <c r="BG237" i="43"/>
  <c r="BH237" i="43"/>
  <c r="BI237" i="43"/>
  <c r="BJ237" i="43"/>
  <c r="BK237" i="43"/>
  <c r="BL237" i="43"/>
  <c r="BM237" i="43"/>
  <c r="BN237" i="43"/>
  <c r="BO237" i="43"/>
  <c r="BP237" i="43"/>
  <c r="BQ237" i="43"/>
  <c r="BR237" i="43"/>
  <c r="BS237" i="43"/>
  <c r="BT237" i="43"/>
  <c r="BU237" i="43"/>
  <c r="BV237" i="43"/>
  <c r="BW237" i="43"/>
  <c r="BX237" i="43"/>
  <c r="BY237" i="43"/>
  <c r="BZ237" i="43"/>
  <c r="CA237" i="43"/>
  <c r="CB237" i="43"/>
  <c r="CC237" i="43"/>
  <c r="CD237" i="43"/>
  <c r="CE237" i="43"/>
  <c r="CF237" i="43"/>
  <c r="CG237" i="43"/>
  <c r="CH237" i="43"/>
  <c r="CI237" i="43"/>
  <c r="CJ237" i="43"/>
  <c r="CK237" i="43"/>
  <c r="CL237" i="43"/>
  <c r="CM237" i="43"/>
  <c r="CN237" i="43"/>
  <c r="CO237" i="43"/>
  <c r="CP237" i="43"/>
  <c r="CQ237" i="43"/>
  <c r="CR237" i="43"/>
  <c r="CS237" i="43"/>
  <c r="CT237" i="43"/>
  <c r="CU237" i="43"/>
  <c r="CV237" i="43"/>
  <c r="CW237" i="43"/>
  <c r="CX237" i="43"/>
  <c r="CY237" i="43"/>
  <c r="CZ237" i="43"/>
  <c r="DA237" i="43"/>
  <c r="DB237" i="43"/>
  <c r="DC237" i="43"/>
  <c r="DD237" i="43"/>
  <c r="DE237" i="43"/>
  <c r="DF237" i="43"/>
  <c r="DG237" i="43"/>
  <c r="DH237" i="43"/>
  <c r="DI237" i="43"/>
  <c r="DJ237" i="43"/>
  <c r="DK237" i="43"/>
  <c r="DL237" i="43"/>
  <c r="DM237" i="43"/>
  <c r="DN237" i="43"/>
  <c r="DO237" i="43"/>
  <c r="DP237" i="43"/>
  <c r="DQ237" i="43"/>
  <c r="DR237" i="43"/>
  <c r="DS237" i="43"/>
  <c r="DT237" i="43"/>
  <c r="DU237" i="43"/>
  <c r="DV237" i="43"/>
  <c r="DW237" i="43"/>
  <c r="DX237" i="43"/>
  <c r="DY237" i="43"/>
  <c r="DZ237" i="43"/>
  <c r="EA237" i="43"/>
  <c r="EB237" i="43"/>
  <c r="EC237" i="43"/>
  <c r="ED237" i="43"/>
  <c r="EE237" i="43"/>
  <c r="EF237" i="43"/>
  <c r="EG237" i="43"/>
  <c r="EH237" i="43"/>
  <c r="EI237" i="43"/>
  <c r="EJ237" i="43"/>
  <c r="EK237" i="43"/>
  <c r="EL237" i="43"/>
  <c r="EM237" i="43"/>
  <c r="EN237" i="43"/>
  <c r="EO237" i="43"/>
  <c r="EP237" i="43"/>
  <c r="EQ237" i="43"/>
  <c r="ER237" i="43"/>
  <c r="ES237" i="43"/>
  <c r="ET237" i="43"/>
  <c r="EU237" i="43"/>
  <c r="EV237" i="43"/>
  <c r="EW237" i="43"/>
  <c r="EX237" i="43"/>
  <c r="EY237" i="43"/>
  <c r="EZ237" i="43"/>
  <c r="FA237" i="43"/>
  <c r="FB237" i="43"/>
  <c r="FC237" i="43"/>
  <c r="FD237" i="43"/>
  <c r="FE237" i="43"/>
  <c r="FF237" i="43"/>
  <c r="FG237" i="43"/>
  <c r="FH237" i="43"/>
  <c r="FI237" i="43"/>
  <c r="FJ237" i="43"/>
  <c r="FK237" i="43"/>
  <c r="FL237" i="43"/>
  <c r="FM237" i="43"/>
  <c r="FN237" i="43"/>
  <c r="FO237" i="43"/>
  <c r="FP237" i="43"/>
  <c r="FQ237" i="43"/>
  <c r="FR237" i="43"/>
  <c r="FS237" i="43"/>
  <c r="FT237" i="43"/>
  <c r="FU237" i="43"/>
  <c r="FV237" i="43"/>
  <c r="FW237" i="43"/>
  <c r="FX237" i="43"/>
  <c r="FY237" i="43"/>
  <c r="FZ237" i="43"/>
  <c r="GA237" i="43"/>
  <c r="GB237" i="43"/>
  <c r="GC237" i="43"/>
  <c r="GD237" i="43"/>
  <c r="GE237" i="43"/>
  <c r="GF237" i="43"/>
  <c r="GG237" i="43"/>
  <c r="GH237" i="43"/>
  <c r="GI237" i="43"/>
  <c r="GJ237" i="43"/>
  <c r="GK237" i="43"/>
  <c r="GL237" i="43"/>
  <c r="GM237" i="43"/>
  <c r="GN237" i="43"/>
  <c r="GO237" i="43"/>
  <c r="GP237" i="43"/>
  <c r="GQ237" i="43"/>
  <c r="GR237" i="43"/>
  <c r="GS237" i="43"/>
  <c r="GT237" i="43"/>
  <c r="GU237" i="43"/>
  <c r="GV237" i="43"/>
  <c r="GW237" i="43"/>
  <c r="GX237" i="43"/>
  <c r="GY237" i="43"/>
  <c r="GZ237" i="43"/>
  <c r="HA237" i="43"/>
  <c r="HB237" i="43"/>
  <c r="HC237" i="43"/>
  <c r="HD237" i="43"/>
  <c r="HE237" i="43"/>
  <c r="HF237" i="43"/>
  <c r="HG237" i="43"/>
  <c r="HH237" i="43"/>
  <c r="HI237" i="43"/>
  <c r="HJ237" i="43"/>
  <c r="HK237" i="43"/>
  <c r="HL237" i="43"/>
  <c r="HM237" i="43"/>
  <c r="HN237" i="43"/>
  <c r="HO237" i="43"/>
  <c r="HP237" i="43"/>
  <c r="HQ237" i="43"/>
  <c r="HR237" i="43"/>
  <c r="HS237" i="43"/>
  <c r="HT237" i="43"/>
  <c r="HU237" i="43"/>
  <c r="HV237" i="43"/>
  <c r="HW237" i="43"/>
  <c r="HX237" i="43"/>
  <c r="HY237" i="43"/>
  <c r="HZ237" i="43"/>
  <c r="IA237" i="43"/>
  <c r="IB237" i="43"/>
  <c r="IC237" i="43"/>
  <c r="ID237" i="43"/>
  <c r="IE237" i="43"/>
  <c r="IF237" i="43"/>
  <c r="IG237" i="43"/>
  <c r="IH237" i="43"/>
  <c r="II237" i="43"/>
  <c r="IJ237" i="43"/>
  <c r="IK237" i="43"/>
  <c r="IL237" i="43"/>
  <c r="IM237" i="43"/>
  <c r="IN237" i="43"/>
  <c r="IO237" i="43"/>
  <c r="IP237" i="43"/>
  <c r="IQ237" i="43"/>
  <c r="IR237" i="43"/>
  <c r="IS237" i="43"/>
  <c r="IT237" i="43"/>
  <c r="IU237" i="43"/>
  <c r="IV237" i="43"/>
  <c r="A236" i="43"/>
  <c r="B236" i="43"/>
  <c r="C236" i="43"/>
  <c r="D236" i="43"/>
  <c r="E236" i="43"/>
  <c r="F236" i="43"/>
  <c r="G236" i="43"/>
  <c r="H236" i="43"/>
  <c r="I236" i="43"/>
  <c r="J236" i="43"/>
  <c r="K236" i="43"/>
  <c r="L236" i="43"/>
  <c r="M236" i="43"/>
  <c r="N236" i="43"/>
  <c r="O236" i="43"/>
  <c r="P236" i="43"/>
  <c r="Q236" i="43"/>
  <c r="R236" i="43"/>
  <c r="S236" i="43"/>
  <c r="T236" i="43"/>
  <c r="U236" i="43"/>
  <c r="V236" i="43"/>
  <c r="W236" i="43"/>
  <c r="X236" i="43"/>
  <c r="Y236" i="43"/>
  <c r="Z236" i="43"/>
  <c r="AA236" i="43"/>
  <c r="AB236" i="43"/>
  <c r="AC236" i="43"/>
  <c r="AD236" i="43"/>
  <c r="AE236" i="43"/>
  <c r="AF236" i="43"/>
  <c r="AG236" i="43"/>
  <c r="AH236" i="43"/>
  <c r="AI236" i="43"/>
  <c r="AJ236" i="43"/>
  <c r="AK236" i="43"/>
  <c r="AL236" i="43"/>
  <c r="AM236" i="43"/>
  <c r="AN236" i="43"/>
  <c r="AO236" i="43"/>
  <c r="AP236" i="43"/>
  <c r="AQ236" i="43"/>
  <c r="AR236" i="43"/>
  <c r="AS236" i="43"/>
  <c r="AT236" i="43"/>
  <c r="AU236" i="43"/>
  <c r="AV236" i="43"/>
  <c r="AW236" i="43"/>
  <c r="AX236" i="43"/>
  <c r="AY236" i="43"/>
  <c r="AZ236" i="43"/>
  <c r="BA236" i="43"/>
  <c r="BB236" i="43"/>
  <c r="BC236" i="43"/>
  <c r="BD236" i="43"/>
  <c r="BE236" i="43"/>
  <c r="BF236" i="43"/>
  <c r="BG236" i="43"/>
  <c r="BH236" i="43"/>
  <c r="BI236" i="43"/>
  <c r="BJ236" i="43"/>
  <c r="BK236" i="43"/>
  <c r="BL236" i="43"/>
  <c r="BM236" i="43"/>
  <c r="BN236" i="43"/>
  <c r="BO236" i="43"/>
  <c r="BP236" i="43"/>
  <c r="BQ236" i="43"/>
  <c r="BR236" i="43"/>
  <c r="BS236" i="43"/>
  <c r="BT236" i="43"/>
  <c r="BU236" i="43"/>
  <c r="BV236" i="43"/>
  <c r="BW236" i="43"/>
  <c r="BX236" i="43"/>
  <c r="BY236" i="43"/>
  <c r="BZ236" i="43"/>
  <c r="CA236" i="43"/>
  <c r="CB236" i="43"/>
  <c r="CC236" i="43"/>
  <c r="CD236" i="43"/>
  <c r="CE236" i="43"/>
  <c r="CF236" i="43"/>
  <c r="CG236" i="43"/>
  <c r="CH236" i="43"/>
  <c r="CI236" i="43"/>
  <c r="CJ236" i="43"/>
  <c r="CK236" i="43"/>
  <c r="CL236" i="43"/>
  <c r="CM236" i="43"/>
  <c r="CN236" i="43"/>
  <c r="CO236" i="43"/>
  <c r="CP236" i="43"/>
  <c r="CQ236" i="43"/>
  <c r="CR236" i="43"/>
  <c r="CS236" i="43"/>
  <c r="CT236" i="43"/>
  <c r="CU236" i="43"/>
  <c r="CV236" i="43"/>
  <c r="CW236" i="43"/>
  <c r="CX236" i="43"/>
  <c r="CY236" i="43"/>
  <c r="CZ236" i="43"/>
  <c r="DA236" i="43"/>
  <c r="DB236" i="43"/>
  <c r="DC236" i="43"/>
  <c r="DD236" i="43"/>
  <c r="DE236" i="43"/>
  <c r="DF236" i="43"/>
  <c r="DG236" i="43"/>
  <c r="DH236" i="43"/>
  <c r="DI236" i="43"/>
  <c r="DJ236" i="43"/>
  <c r="DK236" i="43"/>
  <c r="DL236" i="43"/>
  <c r="DM236" i="43"/>
  <c r="DN236" i="43"/>
  <c r="DO236" i="43"/>
  <c r="DP236" i="43"/>
  <c r="DQ236" i="43"/>
  <c r="DR236" i="43"/>
  <c r="DS236" i="43"/>
  <c r="DT236" i="43"/>
  <c r="DU236" i="43"/>
  <c r="DV236" i="43"/>
  <c r="DW236" i="43"/>
  <c r="DX236" i="43"/>
  <c r="DY236" i="43"/>
  <c r="DZ236" i="43"/>
  <c r="EA236" i="43"/>
  <c r="EB236" i="43"/>
  <c r="EC236" i="43"/>
  <c r="ED236" i="43"/>
  <c r="EE236" i="43"/>
  <c r="EF236" i="43"/>
  <c r="EG236" i="43"/>
  <c r="EH236" i="43"/>
  <c r="EI236" i="43"/>
  <c r="EJ236" i="43"/>
  <c r="EK236" i="43"/>
  <c r="EL236" i="43"/>
  <c r="EM236" i="43"/>
  <c r="EN236" i="43"/>
  <c r="EO236" i="43"/>
  <c r="EP236" i="43"/>
  <c r="EQ236" i="43"/>
  <c r="ER236" i="43"/>
  <c r="ES236" i="43"/>
  <c r="ET236" i="43"/>
  <c r="EU236" i="43"/>
  <c r="EV236" i="43"/>
  <c r="EW236" i="43"/>
  <c r="EX236" i="43"/>
  <c r="EY236" i="43"/>
  <c r="EZ236" i="43"/>
  <c r="FA236" i="43"/>
  <c r="FB236" i="43"/>
  <c r="FC236" i="43"/>
  <c r="FD236" i="43"/>
  <c r="FE236" i="43"/>
  <c r="FF236" i="43"/>
  <c r="FG236" i="43"/>
  <c r="FH236" i="43"/>
  <c r="FI236" i="43"/>
  <c r="FJ236" i="43"/>
  <c r="FK236" i="43"/>
  <c r="FL236" i="43"/>
  <c r="FM236" i="43"/>
  <c r="FN236" i="43"/>
  <c r="FO236" i="43"/>
  <c r="FP236" i="43"/>
  <c r="FQ236" i="43"/>
  <c r="FR236" i="43"/>
  <c r="FS236" i="43"/>
  <c r="FT236" i="43"/>
  <c r="FU236" i="43"/>
  <c r="FV236" i="43"/>
  <c r="FW236" i="43"/>
  <c r="FX236" i="43"/>
  <c r="FY236" i="43"/>
  <c r="FZ236" i="43"/>
  <c r="GA236" i="43"/>
  <c r="GB236" i="43"/>
  <c r="GC236" i="43"/>
  <c r="GD236" i="43"/>
  <c r="GE236" i="43"/>
  <c r="GF236" i="43"/>
  <c r="GG236" i="43"/>
  <c r="GH236" i="43"/>
  <c r="GI236" i="43"/>
  <c r="GJ236" i="43"/>
  <c r="GK236" i="43"/>
  <c r="GL236" i="43"/>
  <c r="GM236" i="43"/>
  <c r="GN236" i="43"/>
  <c r="GO236" i="43"/>
  <c r="GP236" i="43"/>
  <c r="GQ236" i="43"/>
  <c r="GR236" i="43"/>
  <c r="GS236" i="43"/>
  <c r="GT236" i="43"/>
  <c r="GU236" i="43"/>
  <c r="GV236" i="43"/>
  <c r="GW236" i="43"/>
  <c r="GX236" i="43"/>
  <c r="GY236" i="43"/>
  <c r="GZ236" i="43"/>
  <c r="HA236" i="43"/>
  <c r="HB236" i="43"/>
  <c r="HC236" i="43"/>
  <c r="HD236" i="43"/>
  <c r="HE236" i="43"/>
  <c r="HF236" i="43"/>
  <c r="HG236" i="43"/>
  <c r="HH236" i="43"/>
  <c r="HI236" i="43"/>
  <c r="HJ236" i="43"/>
  <c r="HK236" i="43"/>
  <c r="HL236" i="43"/>
  <c r="HM236" i="43"/>
  <c r="HN236" i="43"/>
  <c r="HO236" i="43"/>
  <c r="HP236" i="43"/>
  <c r="HQ236" i="43"/>
  <c r="HR236" i="43"/>
  <c r="HS236" i="43"/>
  <c r="HT236" i="43"/>
  <c r="HU236" i="43"/>
  <c r="HV236" i="43"/>
  <c r="HW236" i="43"/>
  <c r="HX236" i="43"/>
  <c r="HY236" i="43"/>
  <c r="HZ236" i="43"/>
  <c r="IA236" i="43"/>
  <c r="IB236" i="43"/>
  <c r="IC236" i="43"/>
  <c r="ID236" i="43"/>
  <c r="IE236" i="43"/>
  <c r="IF236" i="43"/>
  <c r="IG236" i="43"/>
  <c r="IH236" i="43"/>
  <c r="II236" i="43"/>
  <c r="IJ236" i="43"/>
  <c r="IK236" i="43"/>
  <c r="IL236" i="43"/>
  <c r="IM236" i="43"/>
  <c r="IN236" i="43"/>
  <c r="IO236" i="43"/>
  <c r="IP236" i="43"/>
  <c r="IQ236" i="43"/>
  <c r="IR236" i="43"/>
  <c r="IS236" i="43"/>
  <c r="IT236" i="43"/>
  <c r="IU236" i="43"/>
  <c r="IV236" i="43"/>
  <c r="A235" i="43"/>
  <c r="B235" i="43"/>
  <c r="C235" i="43"/>
  <c r="D235" i="43"/>
  <c r="E235" i="43"/>
  <c r="F235" i="43"/>
  <c r="G235" i="43"/>
  <c r="H235" i="43"/>
  <c r="I235" i="43"/>
  <c r="J235" i="43"/>
  <c r="K235" i="43"/>
  <c r="L235" i="43"/>
  <c r="M235" i="43"/>
  <c r="N235" i="43"/>
  <c r="O235" i="43"/>
  <c r="P235" i="43"/>
  <c r="Q235" i="43"/>
  <c r="R235" i="43"/>
  <c r="S235" i="43"/>
  <c r="T235" i="43"/>
  <c r="U235" i="43"/>
  <c r="V235" i="43"/>
  <c r="W235" i="43"/>
  <c r="X235" i="43"/>
  <c r="Y235" i="43"/>
  <c r="Z235" i="43"/>
  <c r="AA235" i="43"/>
  <c r="AB235" i="43"/>
  <c r="AC235" i="43"/>
  <c r="AD235" i="43"/>
  <c r="AE235" i="43"/>
  <c r="AF235" i="43"/>
  <c r="AG235" i="43"/>
  <c r="AH235" i="43"/>
  <c r="AI235" i="43"/>
  <c r="AJ235" i="43"/>
  <c r="AK235" i="43"/>
  <c r="AL235" i="43"/>
  <c r="AM235" i="43"/>
  <c r="AN235" i="43"/>
  <c r="AO235" i="43"/>
  <c r="AP235" i="43"/>
  <c r="AQ235" i="43"/>
  <c r="AR235" i="43"/>
  <c r="AS235" i="43"/>
  <c r="AT235" i="43"/>
  <c r="AU235" i="43"/>
  <c r="AV235" i="43"/>
  <c r="AW235" i="43"/>
  <c r="AX235" i="43"/>
  <c r="AY235" i="43"/>
  <c r="AZ235" i="43"/>
  <c r="BA235" i="43"/>
  <c r="BB235" i="43"/>
  <c r="BC235" i="43"/>
  <c r="BD235" i="43"/>
  <c r="BE235" i="43"/>
  <c r="BF235" i="43"/>
  <c r="BG235" i="43"/>
  <c r="BH235" i="43"/>
  <c r="BI235" i="43"/>
  <c r="BJ235" i="43"/>
  <c r="BK235" i="43"/>
  <c r="BL235" i="43"/>
  <c r="BM235" i="43"/>
  <c r="BN235" i="43"/>
  <c r="BO235" i="43"/>
  <c r="BP235" i="43"/>
  <c r="BQ235" i="43"/>
  <c r="BR235" i="43"/>
  <c r="BS235" i="43"/>
  <c r="BT235" i="43"/>
  <c r="BU235" i="43"/>
  <c r="BV235" i="43"/>
  <c r="BW235" i="43"/>
  <c r="BX235" i="43"/>
  <c r="BY235" i="43"/>
  <c r="BZ235" i="43"/>
  <c r="CA235" i="43"/>
  <c r="CB235" i="43"/>
  <c r="CC235" i="43"/>
  <c r="CD235" i="43"/>
  <c r="CE235" i="43"/>
  <c r="CF235" i="43"/>
  <c r="CG235" i="43"/>
  <c r="CH235" i="43"/>
  <c r="CI235" i="43"/>
  <c r="CJ235" i="43"/>
  <c r="CK235" i="43"/>
  <c r="CL235" i="43"/>
  <c r="CM235" i="43"/>
  <c r="CN235" i="43"/>
  <c r="CO235" i="43"/>
  <c r="CP235" i="43"/>
  <c r="CQ235" i="43"/>
  <c r="CR235" i="43"/>
  <c r="CS235" i="43"/>
  <c r="CT235" i="43"/>
  <c r="CU235" i="43"/>
  <c r="CV235" i="43"/>
  <c r="CW235" i="43"/>
  <c r="CX235" i="43"/>
  <c r="CY235" i="43"/>
  <c r="CZ235" i="43"/>
  <c r="DA235" i="43"/>
  <c r="DB235" i="43"/>
  <c r="DC235" i="43"/>
  <c r="DD235" i="43"/>
  <c r="DE235" i="43"/>
  <c r="DF235" i="43"/>
  <c r="DG235" i="43"/>
  <c r="DH235" i="43"/>
  <c r="DI235" i="43"/>
  <c r="DJ235" i="43"/>
  <c r="DK235" i="43"/>
  <c r="DL235" i="43"/>
  <c r="DM235" i="43"/>
  <c r="DN235" i="43"/>
  <c r="DO235" i="43"/>
  <c r="DP235" i="43"/>
  <c r="DQ235" i="43"/>
  <c r="DR235" i="43"/>
  <c r="DS235" i="43"/>
  <c r="DT235" i="43"/>
  <c r="DU235" i="43"/>
  <c r="DV235" i="43"/>
  <c r="DW235" i="43"/>
  <c r="DX235" i="43"/>
  <c r="DY235" i="43"/>
  <c r="DZ235" i="43"/>
  <c r="EA235" i="43"/>
  <c r="EB235" i="43"/>
  <c r="EC235" i="43"/>
  <c r="ED235" i="43"/>
  <c r="EE235" i="43"/>
  <c r="EF235" i="43"/>
  <c r="EG235" i="43"/>
  <c r="EH235" i="43"/>
  <c r="EI235" i="43"/>
  <c r="EJ235" i="43"/>
  <c r="EK235" i="43"/>
  <c r="EL235" i="43"/>
  <c r="EM235" i="43"/>
  <c r="EN235" i="43"/>
  <c r="EO235" i="43"/>
  <c r="EP235" i="43"/>
  <c r="EQ235" i="43"/>
  <c r="ER235" i="43"/>
  <c r="ES235" i="43"/>
  <c r="ET235" i="43"/>
  <c r="EU235" i="43"/>
  <c r="EV235" i="43"/>
  <c r="EW235" i="43"/>
  <c r="EX235" i="43"/>
  <c r="EY235" i="43"/>
  <c r="EZ235" i="43"/>
  <c r="FA235" i="43"/>
  <c r="FB235" i="43"/>
  <c r="FC235" i="43"/>
  <c r="FD235" i="43"/>
  <c r="FE235" i="43"/>
  <c r="FF235" i="43"/>
  <c r="FG235" i="43"/>
  <c r="FH235" i="43"/>
  <c r="FI235" i="43"/>
  <c r="FJ235" i="43"/>
  <c r="FK235" i="43"/>
  <c r="FL235" i="43"/>
  <c r="FM235" i="43"/>
  <c r="FN235" i="43"/>
  <c r="FO235" i="43"/>
  <c r="FP235" i="43"/>
  <c r="FQ235" i="43"/>
  <c r="FR235" i="43"/>
  <c r="FS235" i="43"/>
  <c r="FT235" i="43"/>
  <c r="FU235" i="43"/>
  <c r="FV235" i="43"/>
  <c r="FW235" i="43"/>
  <c r="FX235" i="43"/>
  <c r="FY235" i="43"/>
  <c r="FZ235" i="43"/>
  <c r="GA235" i="43"/>
  <c r="GB235" i="43"/>
  <c r="GC235" i="43"/>
  <c r="GD235" i="43"/>
  <c r="GE235" i="43"/>
  <c r="GF235" i="43"/>
  <c r="GG235" i="43"/>
  <c r="GH235" i="43"/>
  <c r="GI235" i="43"/>
  <c r="GJ235" i="43"/>
  <c r="GK235" i="43"/>
  <c r="GL235" i="43"/>
  <c r="GM235" i="43"/>
  <c r="GN235" i="43"/>
  <c r="GO235" i="43"/>
  <c r="GP235" i="43"/>
  <c r="GQ235" i="43"/>
  <c r="GR235" i="43"/>
  <c r="GS235" i="43"/>
  <c r="GT235" i="43"/>
  <c r="GU235" i="43"/>
  <c r="GV235" i="43"/>
  <c r="GW235" i="43"/>
  <c r="GX235" i="43"/>
  <c r="GY235" i="43"/>
  <c r="GZ235" i="43"/>
  <c r="HA235" i="43"/>
  <c r="HB235" i="43"/>
  <c r="HC235" i="43"/>
  <c r="HD235" i="43"/>
  <c r="HE235" i="43"/>
  <c r="HF235" i="43"/>
  <c r="HG235" i="43"/>
  <c r="HH235" i="43"/>
  <c r="HI235" i="43"/>
  <c r="HJ235" i="43"/>
  <c r="HK235" i="43"/>
  <c r="HL235" i="43"/>
  <c r="HM235" i="43"/>
  <c r="HN235" i="43"/>
  <c r="HO235" i="43"/>
  <c r="HP235" i="43"/>
  <c r="HQ235" i="43"/>
  <c r="HR235" i="43"/>
  <c r="HS235" i="43"/>
  <c r="HT235" i="43"/>
  <c r="HU235" i="43"/>
  <c r="HV235" i="43"/>
  <c r="HW235" i="43"/>
  <c r="HX235" i="43"/>
  <c r="HY235" i="43"/>
  <c r="HZ235" i="43"/>
  <c r="IA235" i="43"/>
  <c r="IB235" i="43"/>
  <c r="IC235" i="43"/>
  <c r="ID235" i="43"/>
  <c r="IE235" i="43"/>
  <c r="IF235" i="43"/>
  <c r="IG235" i="43"/>
  <c r="IH235" i="43"/>
  <c r="II235" i="43"/>
  <c r="IJ235" i="43"/>
  <c r="IK235" i="43"/>
  <c r="IL235" i="43"/>
  <c r="IM235" i="43"/>
  <c r="IN235" i="43"/>
  <c r="IO235" i="43"/>
  <c r="IP235" i="43"/>
  <c r="IQ235" i="43"/>
  <c r="IR235" i="43"/>
  <c r="IS235" i="43"/>
  <c r="IT235" i="43"/>
  <c r="IU235" i="43"/>
  <c r="IV235" i="43"/>
  <c r="A234" i="43"/>
  <c r="B234" i="43"/>
  <c r="C234" i="43"/>
  <c r="D234" i="43"/>
  <c r="E234" i="43"/>
  <c r="F234" i="43"/>
  <c r="G234" i="43"/>
  <c r="H234" i="43"/>
  <c r="I234" i="43"/>
  <c r="J234" i="43"/>
  <c r="K234" i="43"/>
  <c r="L234" i="43"/>
  <c r="M234" i="43"/>
  <c r="N234" i="43"/>
  <c r="O234" i="43"/>
  <c r="P234" i="43"/>
  <c r="Q234" i="43"/>
  <c r="R234" i="43"/>
  <c r="S234" i="43"/>
  <c r="T234" i="43"/>
  <c r="U234" i="43"/>
  <c r="V234" i="43"/>
  <c r="W234" i="43"/>
  <c r="X234" i="43"/>
  <c r="Y234" i="43"/>
  <c r="Z234" i="43"/>
  <c r="AA234" i="43"/>
  <c r="AB234" i="43"/>
  <c r="AC234" i="43"/>
  <c r="AD234" i="43"/>
  <c r="AE234" i="43"/>
  <c r="AF234" i="43"/>
  <c r="AG234" i="43"/>
  <c r="AH234" i="43"/>
  <c r="AI234" i="43"/>
  <c r="AJ234" i="43"/>
  <c r="AK234" i="43"/>
  <c r="AL234" i="43"/>
  <c r="AM234" i="43"/>
  <c r="AN234" i="43"/>
  <c r="AO234" i="43"/>
  <c r="AP234" i="43"/>
  <c r="AQ234" i="43"/>
  <c r="AR234" i="43"/>
  <c r="AS234" i="43"/>
  <c r="AT234" i="43"/>
  <c r="AU234" i="43"/>
  <c r="AV234" i="43"/>
  <c r="AW234" i="43"/>
  <c r="AX234" i="43"/>
  <c r="AY234" i="43"/>
  <c r="AZ234" i="43"/>
  <c r="BA234" i="43"/>
  <c r="BB234" i="43"/>
  <c r="BC234" i="43"/>
  <c r="BD234" i="43"/>
  <c r="BE234" i="43"/>
  <c r="BF234" i="43"/>
  <c r="BG234" i="43"/>
  <c r="BH234" i="43"/>
  <c r="BI234" i="43"/>
  <c r="BJ234" i="43"/>
  <c r="BK234" i="43"/>
  <c r="BL234" i="43"/>
  <c r="BM234" i="43"/>
  <c r="BN234" i="43"/>
  <c r="BO234" i="43"/>
  <c r="BP234" i="43"/>
  <c r="BQ234" i="43"/>
  <c r="BR234" i="43"/>
  <c r="BS234" i="43"/>
  <c r="BT234" i="43"/>
  <c r="BU234" i="43"/>
  <c r="BV234" i="43"/>
  <c r="BW234" i="43"/>
  <c r="BX234" i="43"/>
  <c r="BY234" i="43"/>
  <c r="BZ234" i="43"/>
  <c r="CA234" i="43"/>
  <c r="CB234" i="43"/>
  <c r="CC234" i="43"/>
  <c r="CD234" i="43"/>
  <c r="CE234" i="43"/>
  <c r="CF234" i="43"/>
  <c r="CG234" i="43"/>
  <c r="CH234" i="43"/>
  <c r="CI234" i="43"/>
  <c r="CJ234" i="43"/>
  <c r="CK234" i="43"/>
  <c r="CL234" i="43"/>
  <c r="CM234" i="43"/>
  <c r="CN234" i="43"/>
  <c r="CO234" i="43"/>
  <c r="CP234" i="43"/>
  <c r="CQ234" i="43"/>
  <c r="CR234" i="43"/>
  <c r="CS234" i="43"/>
  <c r="CT234" i="43"/>
  <c r="CU234" i="43"/>
  <c r="CV234" i="43"/>
  <c r="CW234" i="43"/>
  <c r="CX234" i="43"/>
  <c r="CY234" i="43"/>
  <c r="CZ234" i="43"/>
  <c r="DA234" i="43"/>
  <c r="DB234" i="43"/>
  <c r="DC234" i="43"/>
  <c r="DD234" i="43"/>
  <c r="DE234" i="43"/>
  <c r="DF234" i="43"/>
  <c r="DG234" i="43"/>
  <c r="DH234" i="43"/>
  <c r="DI234" i="43"/>
  <c r="DJ234" i="43"/>
  <c r="DK234" i="43"/>
  <c r="DL234" i="43"/>
  <c r="DM234" i="43"/>
  <c r="DN234" i="43"/>
  <c r="DO234" i="43"/>
  <c r="DP234" i="43"/>
  <c r="DQ234" i="43"/>
  <c r="DR234" i="43"/>
  <c r="DS234" i="43"/>
  <c r="DT234" i="43"/>
  <c r="DU234" i="43"/>
  <c r="DV234" i="43"/>
  <c r="DW234" i="43"/>
  <c r="DX234" i="43"/>
  <c r="DY234" i="43"/>
  <c r="DZ234" i="43"/>
  <c r="EA234" i="43"/>
  <c r="EB234" i="43"/>
  <c r="EC234" i="43"/>
  <c r="ED234" i="43"/>
  <c r="EE234" i="43"/>
  <c r="EF234" i="43"/>
  <c r="EG234" i="43"/>
  <c r="EH234" i="43"/>
  <c r="EI234" i="43"/>
  <c r="EJ234" i="43"/>
  <c r="EK234" i="43"/>
  <c r="EL234" i="43"/>
  <c r="EM234" i="43"/>
  <c r="EN234" i="43"/>
  <c r="EO234" i="43"/>
  <c r="EP234" i="43"/>
  <c r="EQ234" i="43"/>
  <c r="ER234" i="43"/>
  <c r="ES234" i="43"/>
  <c r="ET234" i="43"/>
  <c r="EU234" i="43"/>
  <c r="EV234" i="43"/>
  <c r="EW234" i="43"/>
  <c r="EX234" i="43"/>
  <c r="EY234" i="43"/>
  <c r="EZ234" i="43"/>
  <c r="FA234" i="43"/>
  <c r="FB234" i="43"/>
  <c r="FC234" i="43"/>
  <c r="FD234" i="43"/>
  <c r="FE234" i="43"/>
  <c r="FF234" i="43"/>
  <c r="FG234" i="43"/>
  <c r="FH234" i="43"/>
  <c r="FI234" i="43"/>
  <c r="FJ234" i="43"/>
  <c r="FK234" i="43"/>
  <c r="FL234" i="43"/>
  <c r="FM234" i="43"/>
  <c r="FN234" i="43"/>
  <c r="FO234" i="43"/>
  <c r="FP234" i="43"/>
  <c r="FQ234" i="43"/>
  <c r="FR234" i="43"/>
  <c r="FS234" i="43"/>
  <c r="FT234" i="43"/>
  <c r="FU234" i="43"/>
  <c r="FV234" i="43"/>
  <c r="FW234" i="43"/>
  <c r="FX234" i="43"/>
  <c r="FY234" i="43"/>
  <c r="FZ234" i="43"/>
  <c r="GA234" i="43"/>
  <c r="GB234" i="43"/>
  <c r="GC234" i="43"/>
  <c r="GD234" i="43"/>
  <c r="GE234" i="43"/>
  <c r="GF234" i="43"/>
  <c r="GG234" i="43"/>
  <c r="GH234" i="43"/>
  <c r="GI234" i="43"/>
  <c r="GJ234" i="43"/>
  <c r="GK234" i="43"/>
  <c r="GL234" i="43"/>
  <c r="GM234" i="43"/>
  <c r="GN234" i="43"/>
  <c r="GO234" i="43"/>
  <c r="GP234" i="43"/>
  <c r="GQ234" i="43"/>
  <c r="GR234" i="43"/>
  <c r="GS234" i="43"/>
  <c r="GT234" i="43"/>
  <c r="GU234" i="43"/>
  <c r="GV234" i="43"/>
  <c r="GW234" i="43"/>
  <c r="GX234" i="43"/>
  <c r="GY234" i="43"/>
  <c r="GZ234" i="43"/>
  <c r="HA234" i="43"/>
  <c r="HB234" i="43"/>
  <c r="HC234" i="43"/>
  <c r="HD234" i="43"/>
  <c r="HE234" i="43"/>
  <c r="HF234" i="43"/>
  <c r="HG234" i="43"/>
  <c r="HH234" i="43"/>
  <c r="HI234" i="43"/>
  <c r="HJ234" i="43"/>
  <c r="HK234" i="43"/>
  <c r="HL234" i="43"/>
  <c r="HM234" i="43"/>
  <c r="HN234" i="43"/>
  <c r="HO234" i="43"/>
  <c r="HP234" i="43"/>
  <c r="HQ234" i="43"/>
  <c r="HR234" i="43"/>
  <c r="HS234" i="43"/>
  <c r="HT234" i="43"/>
  <c r="HU234" i="43"/>
  <c r="HV234" i="43"/>
  <c r="HW234" i="43"/>
  <c r="HX234" i="43"/>
  <c r="HY234" i="43"/>
  <c r="HZ234" i="43"/>
  <c r="IA234" i="43"/>
  <c r="IB234" i="43"/>
  <c r="IC234" i="43"/>
  <c r="ID234" i="43"/>
  <c r="IE234" i="43"/>
  <c r="IF234" i="43"/>
  <c r="IG234" i="43"/>
  <c r="IH234" i="43"/>
  <c r="II234" i="43"/>
  <c r="IJ234" i="43"/>
  <c r="IK234" i="43"/>
  <c r="IL234" i="43"/>
  <c r="IM234" i="43"/>
  <c r="IN234" i="43"/>
  <c r="IO234" i="43"/>
  <c r="IP234" i="43"/>
  <c r="IQ234" i="43"/>
  <c r="IR234" i="43"/>
  <c r="IS234" i="43"/>
  <c r="IT234" i="43"/>
  <c r="IU234" i="43"/>
  <c r="IV234" i="43"/>
  <c r="A233" i="43"/>
  <c r="B233" i="43"/>
  <c r="C233" i="43"/>
  <c r="D233" i="43"/>
  <c r="E233" i="43"/>
  <c r="F233" i="43"/>
  <c r="G233" i="43"/>
  <c r="H233" i="43"/>
  <c r="I233" i="43"/>
  <c r="J233" i="43"/>
  <c r="K233" i="43"/>
  <c r="L233" i="43"/>
  <c r="M233" i="43"/>
  <c r="N233" i="43"/>
  <c r="O233" i="43"/>
  <c r="P233" i="43"/>
  <c r="Q233" i="43"/>
  <c r="R233" i="43"/>
  <c r="S233" i="43"/>
  <c r="T233" i="43"/>
  <c r="U233" i="43"/>
  <c r="V233" i="43"/>
  <c r="W233" i="43"/>
  <c r="X233" i="43"/>
  <c r="Y233" i="43"/>
  <c r="Z233" i="43"/>
  <c r="AA233" i="43"/>
  <c r="AB233" i="43"/>
  <c r="AC233" i="43"/>
  <c r="AD233" i="43"/>
  <c r="AE233" i="43"/>
  <c r="AF233" i="43"/>
  <c r="AG233" i="43"/>
  <c r="AH233" i="43"/>
  <c r="AI233" i="43"/>
  <c r="AJ233" i="43"/>
  <c r="AK233" i="43"/>
  <c r="AL233" i="43"/>
  <c r="AM233" i="43"/>
  <c r="AN233" i="43"/>
  <c r="AO233" i="43"/>
  <c r="AP233" i="43"/>
  <c r="AQ233" i="43"/>
  <c r="AR233" i="43"/>
  <c r="AS233" i="43"/>
  <c r="AT233" i="43"/>
  <c r="AU233" i="43"/>
  <c r="AV233" i="43"/>
  <c r="AW233" i="43"/>
  <c r="AX233" i="43"/>
  <c r="AY233" i="43"/>
  <c r="AZ233" i="43"/>
  <c r="BA233" i="43"/>
  <c r="BB233" i="43"/>
  <c r="BC233" i="43"/>
  <c r="BD233" i="43"/>
  <c r="BE233" i="43"/>
  <c r="BF233" i="43"/>
  <c r="BG233" i="43"/>
  <c r="BH233" i="43"/>
  <c r="BI233" i="43"/>
  <c r="BJ233" i="43"/>
  <c r="BK233" i="43"/>
  <c r="BL233" i="43"/>
  <c r="BM233" i="43"/>
  <c r="BN233" i="43"/>
  <c r="BO233" i="43"/>
  <c r="BP233" i="43"/>
  <c r="BQ233" i="43"/>
  <c r="BR233" i="43"/>
  <c r="BS233" i="43"/>
  <c r="BT233" i="43"/>
  <c r="BU233" i="43"/>
  <c r="BV233" i="43"/>
  <c r="BW233" i="43"/>
  <c r="BX233" i="43"/>
  <c r="BY233" i="43"/>
  <c r="BZ233" i="43"/>
  <c r="CA233" i="43"/>
  <c r="CB233" i="43"/>
  <c r="CC233" i="43"/>
  <c r="CD233" i="43"/>
  <c r="CE233" i="43"/>
  <c r="CF233" i="43"/>
  <c r="CG233" i="43"/>
  <c r="CH233" i="43"/>
  <c r="CI233" i="43"/>
  <c r="CJ233" i="43"/>
  <c r="CK233" i="43"/>
  <c r="CL233" i="43"/>
  <c r="CM233" i="43"/>
  <c r="CN233" i="43"/>
  <c r="CO233" i="43"/>
  <c r="CP233" i="43"/>
  <c r="CQ233" i="43"/>
  <c r="CR233" i="43"/>
  <c r="CS233" i="43"/>
  <c r="CT233" i="43"/>
  <c r="CU233" i="43"/>
  <c r="CV233" i="43"/>
  <c r="CW233" i="43"/>
  <c r="CX233" i="43"/>
  <c r="CY233" i="43"/>
  <c r="CZ233" i="43"/>
  <c r="DA233" i="43"/>
  <c r="DB233" i="43"/>
  <c r="DC233" i="43"/>
  <c r="DD233" i="43"/>
  <c r="DE233" i="43"/>
  <c r="DF233" i="43"/>
  <c r="DG233" i="43"/>
  <c r="DH233" i="43"/>
  <c r="DI233" i="43"/>
  <c r="DJ233" i="43"/>
  <c r="DK233" i="43"/>
  <c r="DL233" i="43"/>
  <c r="DM233" i="43"/>
  <c r="DN233" i="43"/>
  <c r="DO233" i="43"/>
  <c r="DP233" i="43"/>
  <c r="DQ233" i="43"/>
  <c r="DR233" i="43"/>
  <c r="DS233" i="43"/>
  <c r="DT233" i="43"/>
  <c r="DU233" i="43"/>
  <c r="DV233" i="43"/>
  <c r="DW233" i="43"/>
  <c r="DX233" i="43"/>
  <c r="DY233" i="43"/>
  <c r="DZ233" i="43"/>
  <c r="EA233" i="43"/>
  <c r="EB233" i="43"/>
  <c r="EC233" i="43"/>
  <c r="ED233" i="43"/>
  <c r="EE233" i="43"/>
  <c r="EF233" i="43"/>
  <c r="EG233" i="43"/>
  <c r="EH233" i="43"/>
  <c r="EI233" i="43"/>
  <c r="EJ233" i="43"/>
  <c r="EK233" i="43"/>
  <c r="EL233" i="43"/>
  <c r="EM233" i="43"/>
  <c r="EN233" i="43"/>
  <c r="EO233" i="43"/>
  <c r="EP233" i="43"/>
  <c r="EQ233" i="43"/>
  <c r="ER233" i="43"/>
  <c r="ES233" i="43"/>
  <c r="ET233" i="43"/>
  <c r="EU233" i="43"/>
  <c r="EV233" i="43"/>
  <c r="EW233" i="43"/>
  <c r="EX233" i="43"/>
  <c r="EY233" i="43"/>
  <c r="EZ233" i="43"/>
  <c r="FA233" i="43"/>
  <c r="FB233" i="43"/>
  <c r="FC233" i="43"/>
  <c r="FD233" i="43"/>
  <c r="FE233" i="43"/>
  <c r="FF233" i="43"/>
  <c r="FG233" i="43"/>
  <c r="FH233" i="43"/>
  <c r="FI233" i="43"/>
  <c r="FJ233" i="43"/>
  <c r="FK233" i="43"/>
  <c r="FL233" i="43"/>
  <c r="FM233" i="43"/>
  <c r="FN233" i="43"/>
  <c r="FO233" i="43"/>
  <c r="FP233" i="43"/>
  <c r="FQ233" i="43"/>
  <c r="FR233" i="43"/>
  <c r="FS233" i="43"/>
  <c r="FT233" i="43"/>
  <c r="FU233" i="43"/>
  <c r="FV233" i="43"/>
  <c r="FW233" i="43"/>
  <c r="FX233" i="43"/>
  <c r="FY233" i="43"/>
  <c r="FZ233" i="43"/>
  <c r="GA233" i="43"/>
  <c r="GB233" i="43"/>
  <c r="GC233" i="43"/>
  <c r="GD233" i="43"/>
  <c r="GE233" i="43"/>
  <c r="GF233" i="43"/>
  <c r="GG233" i="43"/>
  <c r="GH233" i="43"/>
  <c r="GI233" i="43"/>
  <c r="GJ233" i="43"/>
  <c r="GK233" i="43"/>
  <c r="GL233" i="43"/>
  <c r="GM233" i="43"/>
  <c r="GN233" i="43"/>
  <c r="GO233" i="43"/>
  <c r="GP233" i="43"/>
  <c r="GQ233" i="43"/>
  <c r="GR233" i="43"/>
  <c r="GS233" i="43"/>
  <c r="GT233" i="43"/>
  <c r="GU233" i="43"/>
  <c r="GV233" i="43"/>
  <c r="GW233" i="43"/>
  <c r="GX233" i="43"/>
  <c r="GY233" i="43"/>
  <c r="GZ233" i="43"/>
  <c r="HA233" i="43"/>
  <c r="HB233" i="43"/>
  <c r="HC233" i="43"/>
  <c r="HD233" i="43"/>
  <c r="HE233" i="43"/>
  <c r="HF233" i="43"/>
  <c r="HG233" i="43"/>
  <c r="HH233" i="43"/>
  <c r="HI233" i="43"/>
  <c r="HJ233" i="43"/>
  <c r="HK233" i="43"/>
  <c r="HL233" i="43"/>
  <c r="HM233" i="43"/>
  <c r="HN233" i="43"/>
  <c r="HO233" i="43"/>
  <c r="HP233" i="43"/>
  <c r="HQ233" i="43"/>
  <c r="HR233" i="43"/>
  <c r="HS233" i="43"/>
  <c r="HT233" i="43"/>
  <c r="HU233" i="43"/>
  <c r="HV233" i="43"/>
  <c r="HW233" i="43"/>
  <c r="HX233" i="43"/>
  <c r="HY233" i="43"/>
  <c r="HZ233" i="43"/>
  <c r="IA233" i="43"/>
  <c r="IB233" i="43"/>
  <c r="IC233" i="43"/>
  <c r="ID233" i="43"/>
  <c r="IE233" i="43"/>
  <c r="IF233" i="43"/>
  <c r="IG233" i="43"/>
  <c r="IH233" i="43"/>
  <c r="II233" i="43"/>
  <c r="IJ233" i="43"/>
  <c r="IK233" i="43"/>
  <c r="IL233" i="43"/>
  <c r="IM233" i="43"/>
  <c r="IN233" i="43"/>
  <c r="IO233" i="43"/>
  <c r="IP233" i="43"/>
  <c r="IQ233" i="43"/>
  <c r="IR233" i="43"/>
  <c r="IS233" i="43"/>
  <c r="IT233" i="43"/>
  <c r="IU233" i="43"/>
  <c r="IV233" i="43"/>
  <c r="A232" i="43"/>
  <c r="B232" i="43"/>
  <c r="C232" i="43"/>
  <c r="D232" i="43"/>
  <c r="E232" i="43"/>
  <c r="F232" i="43"/>
  <c r="G232" i="43"/>
  <c r="H232" i="43"/>
  <c r="I232" i="43"/>
  <c r="J232" i="43"/>
  <c r="K232" i="43"/>
  <c r="L232" i="43"/>
  <c r="M232" i="43"/>
  <c r="N232" i="43"/>
  <c r="O232" i="43"/>
  <c r="P232" i="43"/>
  <c r="Q232" i="43"/>
  <c r="R232" i="43"/>
  <c r="S232" i="43"/>
  <c r="T232" i="43"/>
  <c r="U232" i="43"/>
  <c r="V232" i="43"/>
  <c r="W232" i="43"/>
  <c r="X232" i="43"/>
  <c r="Y232" i="43"/>
  <c r="Z232" i="43"/>
  <c r="AA232" i="43"/>
  <c r="AB232" i="43"/>
  <c r="AC232" i="43"/>
  <c r="AD232" i="43"/>
  <c r="AE232" i="43"/>
  <c r="AF232" i="43"/>
  <c r="AG232" i="43"/>
  <c r="AH232" i="43"/>
  <c r="AI232" i="43"/>
  <c r="AJ232" i="43"/>
  <c r="AK232" i="43"/>
  <c r="AL232" i="43"/>
  <c r="AM232" i="43"/>
  <c r="AN232" i="43"/>
  <c r="AO232" i="43"/>
  <c r="AP232" i="43"/>
  <c r="AQ232" i="43"/>
  <c r="AR232" i="43"/>
  <c r="AS232" i="43"/>
  <c r="AT232" i="43"/>
  <c r="AU232" i="43"/>
  <c r="AV232" i="43"/>
  <c r="AW232" i="43"/>
  <c r="AX232" i="43"/>
  <c r="AY232" i="43"/>
  <c r="AZ232" i="43"/>
  <c r="BA232" i="43"/>
  <c r="BB232" i="43"/>
  <c r="BC232" i="43"/>
  <c r="BD232" i="43"/>
  <c r="BE232" i="43"/>
  <c r="BF232" i="43"/>
  <c r="BG232" i="43"/>
  <c r="BH232" i="43"/>
  <c r="BI232" i="43"/>
  <c r="BJ232" i="43"/>
  <c r="BK232" i="43"/>
  <c r="BL232" i="43"/>
  <c r="BM232" i="43"/>
  <c r="BN232" i="43"/>
  <c r="BO232" i="43"/>
  <c r="BP232" i="43"/>
  <c r="BQ232" i="43"/>
  <c r="BR232" i="43"/>
  <c r="BS232" i="43"/>
  <c r="BT232" i="43"/>
  <c r="BU232" i="43"/>
  <c r="BV232" i="43"/>
  <c r="BW232" i="43"/>
  <c r="BX232" i="43"/>
  <c r="BY232" i="43"/>
  <c r="BZ232" i="43"/>
  <c r="CA232" i="43"/>
  <c r="CB232" i="43"/>
  <c r="CC232" i="43"/>
  <c r="CD232" i="43"/>
  <c r="CE232" i="43"/>
  <c r="CF232" i="43"/>
  <c r="CG232" i="43"/>
  <c r="CH232" i="43"/>
  <c r="CI232" i="43"/>
  <c r="CJ232" i="43"/>
  <c r="CK232" i="43"/>
  <c r="CL232" i="43"/>
  <c r="CM232" i="43"/>
  <c r="CN232" i="43"/>
  <c r="CO232" i="43"/>
  <c r="CP232" i="43"/>
  <c r="CQ232" i="43"/>
  <c r="CR232" i="43"/>
  <c r="CS232" i="43"/>
  <c r="CT232" i="43"/>
  <c r="CU232" i="43"/>
  <c r="CV232" i="43"/>
  <c r="CW232" i="43"/>
  <c r="CX232" i="43"/>
  <c r="CY232" i="43"/>
  <c r="CZ232" i="43"/>
  <c r="DA232" i="43"/>
  <c r="DB232" i="43"/>
  <c r="DC232" i="43"/>
  <c r="DD232" i="43"/>
  <c r="DE232" i="43"/>
  <c r="DF232" i="43"/>
  <c r="DG232" i="43"/>
  <c r="DH232" i="43"/>
  <c r="DI232" i="43"/>
  <c r="DJ232" i="43"/>
  <c r="DK232" i="43"/>
  <c r="DL232" i="43"/>
  <c r="DM232" i="43"/>
  <c r="DN232" i="43"/>
  <c r="DO232" i="43"/>
  <c r="DP232" i="43"/>
  <c r="DQ232" i="43"/>
  <c r="DR232" i="43"/>
  <c r="DS232" i="43"/>
  <c r="DT232" i="43"/>
  <c r="DU232" i="43"/>
  <c r="DV232" i="43"/>
  <c r="DW232" i="43"/>
  <c r="DX232" i="43"/>
  <c r="DY232" i="43"/>
  <c r="DZ232" i="43"/>
  <c r="EA232" i="43"/>
  <c r="EB232" i="43"/>
  <c r="EC232" i="43"/>
  <c r="ED232" i="43"/>
  <c r="EE232" i="43"/>
  <c r="EF232" i="43"/>
  <c r="EG232" i="43"/>
  <c r="EH232" i="43"/>
  <c r="EI232" i="43"/>
  <c r="EJ232" i="43"/>
  <c r="EK232" i="43"/>
  <c r="EL232" i="43"/>
  <c r="EM232" i="43"/>
  <c r="EN232" i="43"/>
  <c r="EO232" i="43"/>
  <c r="EP232" i="43"/>
  <c r="EQ232" i="43"/>
  <c r="ER232" i="43"/>
  <c r="ES232" i="43"/>
  <c r="ET232" i="43"/>
  <c r="EU232" i="43"/>
  <c r="EV232" i="43"/>
  <c r="EW232" i="43"/>
  <c r="EX232" i="43"/>
  <c r="EY232" i="43"/>
  <c r="EZ232" i="43"/>
  <c r="FA232" i="43"/>
  <c r="FB232" i="43"/>
  <c r="FC232" i="43"/>
  <c r="FD232" i="43"/>
  <c r="FE232" i="43"/>
  <c r="FF232" i="43"/>
  <c r="FG232" i="43"/>
  <c r="FH232" i="43"/>
  <c r="FI232" i="43"/>
  <c r="FJ232" i="43"/>
  <c r="FK232" i="43"/>
  <c r="FL232" i="43"/>
  <c r="FM232" i="43"/>
  <c r="FN232" i="43"/>
  <c r="FO232" i="43"/>
  <c r="FP232" i="43"/>
  <c r="FQ232" i="43"/>
  <c r="FR232" i="43"/>
  <c r="FS232" i="43"/>
  <c r="FT232" i="43"/>
  <c r="FU232" i="43"/>
  <c r="FV232" i="43"/>
  <c r="FW232" i="43"/>
  <c r="FX232" i="43"/>
  <c r="FY232" i="43"/>
  <c r="FZ232" i="43"/>
  <c r="GA232" i="43"/>
  <c r="GB232" i="43"/>
  <c r="GC232" i="43"/>
  <c r="GD232" i="43"/>
  <c r="GE232" i="43"/>
  <c r="GF232" i="43"/>
  <c r="GG232" i="43"/>
  <c r="GH232" i="43"/>
  <c r="GI232" i="43"/>
  <c r="GJ232" i="43"/>
  <c r="GK232" i="43"/>
  <c r="GL232" i="43"/>
  <c r="GM232" i="43"/>
  <c r="GN232" i="43"/>
  <c r="GO232" i="43"/>
  <c r="GP232" i="43"/>
  <c r="GQ232" i="43"/>
  <c r="GR232" i="43"/>
  <c r="GS232" i="43"/>
  <c r="GT232" i="43"/>
  <c r="GU232" i="43"/>
  <c r="GV232" i="43"/>
  <c r="GW232" i="43"/>
  <c r="GX232" i="43"/>
  <c r="GY232" i="43"/>
  <c r="GZ232" i="43"/>
  <c r="HA232" i="43"/>
  <c r="HB232" i="43"/>
  <c r="HC232" i="43"/>
  <c r="HD232" i="43"/>
  <c r="HE232" i="43"/>
  <c r="HF232" i="43"/>
  <c r="HG232" i="43"/>
  <c r="HH232" i="43"/>
  <c r="HI232" i="43"/>
  <c r="HJ232" i="43"/>
  <c r="HK232" i="43"/>
  <c r="HL232" i="43"/>
  <c r="HM232" i="43"/>
  <c r="HN232" i="43"/>
  <c r="HO232" i="43"/>
  <c r="HP232" i="43"/>
  <c r="HQ232" i="43"/>
  <c r="HR232" i="43"/>
  <c r="HS232" i="43"/>
  <c r="HT232" i="43"/>
  <c r="HU232" i="43"/>
  <c r="HV232" i="43"/>
  <c r="HW232" i="43"/>
  <c r="HX232" i="43"/>
  <c r="HY232" i="43"/>
  <c r="HZ232" i="43"/>
  <c r="IA232" i="43"/>
  <c r="IB232" i="43"/>
  <c r="IC232" i="43"/>
  <c r="ID232" i="43"/>
  <c r="IE232" i="43"/>
  <c r="IF232" i="43"/>
  <c r="IG232" i="43"/>
  <c r="IH232" i="43"/>
  <c r="II232" i="43"/>
  <c r="IJ232" i="43"/>
  <c r="IK232" i="43"/>
  <c r="IL232" i="43"/>
  <c r="IM232" i="43"/>
  <c r="IN232" i="43"/>
  <c r="IO232" i="43"/>
  <c r="IP232" i="43"/>
  <c r="IQ232" i="43"/>
  <c r="IR232" i="43"/>
  <c r="IS232" i="43"/>
  <c r="IT232" i="43"/>
  <c r="IU232" i="43"/>
  <c r="IV232" i="43"/>
  <c r="A231" i="43"/>
  <c r="B231" i="43"/>
  <c r="C231" i="43"/>
  <c r="D231" i="43"/>
  <c r="E231" i="43"/>
  <c r="F231" i="43"/>
  <c r="G231" i="43"/>
  <c r="H231" i="43"/>
  <c r="I231" i="43"/>
  <c r="J231" i="43"/>
  <c r="K231" i="43"/>
  <c r="L231" i="43"/>
  <c r="M231" i="43"/>
  <c r="N231" i="43"/>
  <c r="O231" i="43"/>
  <c r="P231" i="43"/>
  <c r="Q231" i="43"/>
  <c r="R231" i="43"/>
  <c r="S231" i="43"/>
  <c r="T231" i="43"/>
  <c r="U231" i="43"/>
  <c r="V231" i="43"/>
  <c r="W231" i="43"/>
  <c r="X231" i="43"/>
  <c r="Y231" i="43"/>
  <c r="Z231" i="43"/>
  <c r="AA231" i="43"/>
  <c r="AB231" i="43"/>
  <c r="AC231" i="43"/>
  <c r="AD231" i="43"/>
  <c r="AE231" i="43"/>
  <c r="AF231" i="43"/>
  <c r="AG231" i="43"/>
  <c r="AH231" i="43"/>
  <c r="AI231" i="43"/>
  <c r="AJ231" i="43"/>
  <c r="AK231" i="43"/>
  <c r="AL231" i="43"/>
  <c r="AM231" i="43"/>
  <c r="AN231" i="43"/>
  <c r="AO231" i="43"/>
  <c r="AP231" i="43"/>
  <c r="AQ231" i="43"/>
  <c r="AR231" i="43"/>
  <c r="AS231" i="43"/>
  <c r="AT231" i="43"/>
  <c r="AU231" i="43"/>
  <c r="AV231" i="43"/>
  <c r="AW231" i="43"/>
  <c r="AX231" i="43"/>
  <c r="AY231" i="43"/>
  <c r="AZ231" i="43"/>
  <c r="BA231" i="43"/>
  <c r="BB231" i="43"/>
  <c r="BC231" i="43"/>
  <c r="BD231" i="43"/>
  <c r="BE231" i="43"/>
  <c r="BF231" i="43"/>
  <c r="BG231" i="43"/>
  <c r="BH231" i="43"/>
  <c r="BI231" i="43"/>
  <c r="BJ231" i="43"/>
  <c r="BK231" i="43"/>
  <c r="BL231" i="43"/>
  <c r="BM231" i="43"/>
  <c r="BN231" i="43"/>
  <c r="BO231" i="43"/>
  <c r="BP231" i="43"/>
  <c r="BQ231" i="43"/>
  <c r="BR231" i="43"/>
  <c r="BS231" i="43"/>
  <c r="BT231" i="43"/>
  <c r="BU231" i="43"/>
  <c r="BV231" i="43"/>
  <c r="BW231" i="43"/>
  <c r="BX231" i="43"/>
  <c r="BY231" i="43"/>
  <c r="BZ231" i="43"/>
  <c r="CA231" i="43"/>
  <c r="CB231" i="43"/>
  <c r="CC231" i="43"/>
  <c r="CD231" i="43"/>
  <c r="CE231" i="43"/>
  <c r="CF231" i="43"/>
  <c r="CG231" i="43"/>
  <c r="CH231" i="43"/>
  <c r="CI231" i="43"/>
  <c r="CJ231" i="43"/>
  <c r="CK231" i="43"/>
  <c r="CL231" i="43"/>
  <c r="CM231" i="43"/>
  <c r="CN231" i="43"/>
  <c r="CO231" i="43"/>
  <c r="CP231" i="43"/>
  <c r="CQ231" i="43"/>
  <c r="CR231" i="43"/>
  <c r="CS231" i="43"/>
  <c r="CT231" i="43"/>
  <c r="CU231" i="43"/>
  <c r="CV231" i="43"/>
  <c r="CW231" i="43"/>
  <c r="CX231" i="43"/>
  <c r="CY231" i="43"/>
  <c r="CZ231" i="43"/>
  <c r="DA231" i="43"/>
  <c r="DB231" i="43"/>
  <c r="DC231" i="43"/>
  <c r="DD231" i="43"/>
  <c r="DE231" i="43"/>
  <c r="DF231" i="43"/>
  <c r="DG231" i="43"/>
  <c r="DH231" i="43"/>
  <c r="DI231" i="43"/>
  <c r="DJ231" i="43"/>
  <c r="DK231" i="43"/>
  <c r="DL231" i="43"/>
  <c r="DM231" i="43"/>
  <c r="DN231" i="43"/>
  <c r="DO231" i="43"/>
  <c r="DP231" i="43"/>
  <c r="DQ231" i="43"/>
  <c r="DR231" i="43"/>
  <c r="DS231" i="43"/>
  <c r="DT231" i="43"/>
  <c r="DU231" i="43"/>
  <c r="DV231" i="43"/>
  <c r="DW231" i="43"/>
  <c r="DX231" i="43"/>
  <c r="DY231" i="43"/>
  <c r="DZ231" i="43"/>
  <c r="EA231" i="43"/>
  <c r="EB231" i="43"/>
  <c r="EC231" i="43"/>
  <c r="ED231" i="43"/>
  <c r="EE231" i="43"/>
  <c r="EF231" i="43"/>
  <c r="EG231" i="43"/>
  <c r="EH231" i="43"/>
  <c r="EI231" i="43"/>
  <c r="EJ231" i="43"/>
  <c r="EK231" i="43"/>
  <c r="EL231" i="43"/>
  <c r="EM231" i="43"/>
  <c r="EN231" i="43"/>
  <c r="EO231" i="43"/>
  <c r="EP231" i="43"/>
  <c r="EQ231" i="43"/>
  <c r="ER231" i="43"/>
  <c r="ES231" i="43"/>
  <c r="ET231" i="43"/>
  <c r="EU231" i="43"/>
  <c r="EV231" i="43"/>
  <c r="EW231" i="43"/>
  <c r="EX231" i="43"/>
  <c r="EY231" i="43"/>
  <c r="EZ231" i="43"/>
  <c r="FA231" i="43"/>
  <c r="FB231" i="43"/>
  <c r="FC231" i="43"/>
  <c r="FD231" i="43"/>
  <c r="FE231" i="43"/>
  <c r="FF231" i="43"/>
  <c r="FG231" i="43"/>
  <c r="FH231" i="43"/>
  <c r="FI231" i="43"/>
  <c r="FJ231" i="43"/>
  <c r="FK231" i="43"/>
  <c r="FL231" i="43"/>
  <c r="FM231" i="43"/>
  <c r="FN231" i="43"/>
  <c r="FO231" i="43"/>
  <c r="FP231" i="43"/>
  <c r="FQ231" i="43"/>
  <c r="FR231" i="43"/>
  <c r="FS231" i="43"/>
  <c r="FT231" i="43"/>
  <c r="FU231" i="43"/>
  <c r="FV231" i="43"/>
  <c r="FW231" i="43"/>
  <c r="FX231" i="43"/>
  <c r="FY231" i="43"/>
  <c r="FZ231" i="43"/>
  <c r="GA231" i="43"/>
  <c r="GB231" i="43"/>
  <c r="GC231" i="43"/>
  <c r="GD231" i="43"/>
  <c r="GE231" i="43"/>
  <c r="GF231" i="43"/>
  <c r="GG231" i="43"/>
  <c r="GH231" i="43"/>
  <c r="GI231" i="43"/>
  <c r="GJ231" i="43"/>
  <c r="GK231" i="43"/>
  <c r="GL231" i="43"/>
  <c r="GM231" i="43"/>
  <c r="GN231" i="43"/>
  <c r="GO231" i="43"/>
  <c r="GP231" i="43"/>
  <c r="GQ231" i="43"/>
  <c r="GR231" i="43"/>
  <c r="GS231" i="43"/>
  <c r="GT231" i="43"/>
  <c r="GU231" i="43"/>
  <c r="GV231" i="43"/>
  <c r="GW231" i="43"/>
  <c r="GX231" i="43"/>
  <c r="GY231" i="43"/>
  <c r="GZ231" i="43"/>
  <c r="HA231" i="43"/>
  <c r="HB231" i="43"/>
  <c r="HC231" i="43"/>
  <c r="HD231" i="43"/>
  <c r="HE231" i="43"/>
  <c r="HF231" i="43"/>
  <c r="HG231" i="43"/>
  <c r="HH231" i="43"/>
  <c r="HI231" i="43"/>
  <c r="HJ231" i="43"/>
  <c r="HK231" i="43"/>
  <c r="HL231" i="43"/>
  <c r="HM231" i="43"/>
  <c r="HN231" i="43"/>
  <c r="HO231" i="43"/>
  <c r="HP231" i="43"/>
  <c r="HQ231" i="43"/>
  <c r="HR231" i="43"/>
  <c r="HS231" i="43"/>
  <c r="HT231" i="43"/>
  <c r="HU231" i="43"/>
  <c r="HV231" i="43"/>
  <c r="HW231" i="43"/>
  <c r="HX231" i="43"/>
  <c r="HY231" i="43"/>
  <c r="HZ231" i="43"/>
  <c r="IA231" i="43"/>
  <c r="IB231" i="43"/>
  <c r="IC231" i="43"/>
  <c r="ID231" i="43"/>
  <c r="IE231" i="43"/>
  <c r="IF231" i="43"/>
  <c r="IG231" i="43"/>
  <c r="IH231" i="43"/>
  <c r="II231" i="43"/>
  <c r="IJ231" i="43"/>
  <c r="IK231" i="43"/>
  <c r="IL231" i="43"/>
  <c r="IM231" i="43"/>
  <c r="IN231" i="43"/>
  <c r="IO231" i="43"/>
  <c r="IP231" i="43"/>
  <c r="IQ231" i="43"/>
  <c r="IR231" i="43"/>
  <c r="IS231" i="43"/>
  <c r="IT231" i="43"/>
  <c r="IU231" i="43"/>
  <c r="IV231" i="43"/>
  <c r="A230" i="43"/>
  <c r="B230" i="43"/>
  <c r="C230" i="43"/>
  <c r="D230" i="43"/>
  <c r="E230" i="43"/>
  <c r="F230" i="43"/>
  <c r="G230" i="43"/>
  <c r="H230" i="43"/>
  <c r="I230" i="43"/>
  <c r="J230" i="43"/>
  <c r="K230" i="43"/>
  <c r="L230" i="43"/>
  <c r="M230" i="43"/>
  <c r="N230" i="43"/>
  <c r="O230" i="43"/>
  <c r="P230" i="43"/>
  <c r="Q230" i="43"/>
  <c r="R230" i="43"/>
  <c r="S230" i="43"/>
  <c r="T230" i="43"/>
  <c r="U230" i="43"/>
  <c r="V230" i="43"/>
  <c r="W230" i="43"/>
  <c r="X230" i="43"/>
  <c r="Y230" i="43"/>
  <c r="Z230" i="43"/>
  <c r="AA230" i="43"/>
  <c r="AB230" i="43"/>
  <c r="AC230" i="43"/>
  <c r="AD230" i="43"/>
  <c r="AE230" i="43"/>
  <c r="AF230" i="43"/>
  <c r="AG230" i="43"/>
  <c r="AH230" i="43"/>
  <c r="AI230" i="43"/>
  <c r="AJ230" i="43"/>
  <c r="AK230" i="43"/>
  <c r="AL230" i="43"/>
  <c r="AM230" i="43"/>
  <c r="AN230" i="43"/>
  <c r="AO230" i="43"/>
  <c r="AP230" i="43"/>
  <c r="AQ230" i="43"/>
  <c r="AR230" i="43"/>
  <c r="AS230" i="43"/>
  <c r="AT230" i="43"/>
  <c r="AU230" i="43"/>
  <c r="AV230" i="43"/>
  <c r="AW230" i="43"/>
  <c r="AX230" i="43"/>
  <c r="AY230" i="43"/>
  <c r="AZ230" i="43"/>
  <c r="BA230" i="43"/>
  <c r="BB230" i="43"/>
  <c r="BC230" i="43"/>
  <c r="BD230" i="43"/>
  <c r="BE230" i="43"/>
  <c r="BF230" i="43"/>
  <c r="BG230" i="43"/>
  <c r="BH230" i="43"/>
  <c r="BI230" i="43"/>
  <c r="BJ230" i="43"/>
  <c r="BK230" i="43"/>
  <c r="BL230" i="43"/>
  <c r="BM230" i="43"/>
  <c r="BN230" i="43"/>
  <c r="BO230" i="43"/>
  <c r="BP230" i="43"/>
  <c r="BQ230" i="43"/>
  <c r="BR230" i="43"/>
  <c r="BS230" i="43"/>
  <c r="BT230" i="43"/>
  <c r="BU230" i="43"/>
  <c r="BV230" i="43"/>
  <c r="BW230" i="43"/>
  <c r="BX230" i="43"/>
  <c r="BY230" i="43"/>
  <c r="BZ230" i="43"/>
  <c r="CA230" i="43"/>
  <c r="CB230" i="43"/>
  <c r="CC230" i="43"/>
  <c r="CD230" i="43"/>
  <c r="CE230" i="43"/>
  <c r="CF230" i="43"/>
  <c r="CG230" i="43"/>
  <c r="CH230" i="43"/>
  <c r="CI230" i="43"/>
  <c r="CJ230" i="43"/>
  <c r="CK230" i="43"/>
  <c r="CL230" i="43"/>
  <c r="CM230" i="43"/>
  <c r="CN230" i="43"/>
  <c r="CO230" i="43"/>
  <c r="CP230" i="43"/>
  <c r="CQ230" i="43"/>
  <c r="CR230" i="43"/>
  <c r="CS230" i="43"/>
  <c r="CT230" i="43"/>
  <c r="CU230" i="43"/>
  <c r="CV230" i="43"/>
  <c r="CW230" i="43"/>
  <c r="CX230" i="43"/>
  <c r="CY230" i="43"/>
  <c r="CZ230" i="43"/>
  <c r="DA230" i="43"/>
  <c r="DB230" i="43"/>
  <c r="DC230" i="43"/>
  <c r="DD230" i="43"/>
  <c r="DE230" i="43"/>
  <c r="DF230" i="43"/>
  <c r="DG230" i="43"/>
  <c r="DH230" i="43"/>
  <c r="DI230" i="43"/>
  <c r="DJ230" i="43"/>
  <c r="DK230" i="43"/>
  <c r="DL230" i="43"/>
  <c r="DM230" i="43"/>
  <c r="DN230" i="43"/>
  <c r="DO230" i="43"/>
  <c r="DP230" i="43"/>
  <c r="DQ230" i="43"/>
  <c r="DR230" i="43"/>
  <c r="DS230" i="43"/>
  <c r="DT230" i="43"/>
  <c r="DU230" i="43"/>
  <c r="DV230" i="43"/>
  <c r="DW230" i="43"/>
  <c r="DX230" i="43"/>
  <c r="DY230" i="43"/>
  <c r="DZ230" i="43"/>
  <c r="EA230" i="43"/>
  <c r="EB230" i="43"/>
  <c r="EC230" i="43"/>
  <c r="ED230" i="43"/>
  <c r="EE230" i="43"/>
  <c r="EF230" i="43"/>
  <c r="EG230" i="43"/>
  <c r="EH230" i="43"/>
  <c r="EI230" i="43"/>
  <c r="EJ230" i="43"/>
  <c r="EK230" i="43"/>
  <c r="EL230" i="43"/>
  <c r="EM230" i="43"/>
  <c r="EN230" i="43"/>
  <c r="EO230" i="43"/>
  <c r="EP230" i="43"/>
  <c r="EQ230" i="43"/>
  <c r="ER230" i="43"/>
  <c r="ES230" i="43"/>
  <c r="ET230" i="43"/>
  <c r="EU230" i="43"/>
  <c r="EV230" i="43"/>
  <c r="EW230" i="43"/>
  <c r="EX230" i="43"/>
  <c r="EY230" i="43"/>
  <c r="EZ230" i="43"/>
  <c r="FA230" i="43"/>
  <c r="FB230" i="43"/>
  <c r="FC230" i="43"/>
  <c r="FD230" i="43"/>
  <c r="FE230" i="43"/>
  <c r="FF230" i="43"/>
  <c r="FG230" i="43"/>
  <c r="FH230" i="43"/>
  <c r="FI230" i="43"/>
  <c r="FJ230" i="43"/>
  <c r="FK230" i="43"/>
  <c r="FL230" i="43"/>
  <c r="FM230" i="43"/>
  <c r="FN230" i="43"/>
  <c r="FO230" i="43"/>
  <c r="FP230" i="43"/>
  <c r="FQ230" i="43"/>
  <c r="FR230" i="43"/>
  <c r="FS230" i="43"/>
  <c r="FT230" i="43"/>
  <c r="FU230" i="43"/>
  <c r="FV230" i="43"/>
  <c r="FW230" i="43"/>
  <c r="FX230" i="43"/>
  <c r="FY230" i="43"/>
  <c r="FZ230" i="43"/>
  <c r="GA230" i="43"/>
  <c r="GB230" i="43"/>
  <c r="GC230" i="43"/>
  <c r="GD230" i="43"/>
  <c r="GE230" i="43"/>
  <c r="GF230" i="43"/>
  <c r="GG230" i="43"/>
  <c r="GH230" i="43"/>
  <c r="GI230" i="43"/>
  <c r="GJ230" i="43"/>
  <c r="GK230" i="43"/>
  <c r="GL230" i="43"/>
  <c r="GM230" i="43"/>
  <c r="GN230" i="43"/>
  <c r="GO230" i="43"/>
  <c r="GP230" i="43"/>
  <c r="GQ230" i="43"/>
  <c r="GR230" i="43"/>
  <c r="GS230" i="43"/>
  <c r="GT230" i="43"/>
  <c r="GU230" i="43"/>
  <c r="GV230" i="43"/>
  <c r="GW230" i="43"/>
  <c r="GX230" i="43"/>
  <c r="GY230" i="43"/>
  <c r="GZ230" i="43"/>
  <c r="HA230" i="43"/>
  <c r="HB230" i="43"/>
  <c r="HC230" i="43"/>
  <c r="HD230" i="43"/>
  <c r="HE230" i="43"/>
  <c r="HF230" i="43"/>
  <c r="HG230" i="43"/>
  <c r="HH230" i="43"/>
  <c r="HI230" i="43"/>
  <c r="HJ230" i="43"/>
  <c r="HK230" i="43"/>
  <c r="HL230" i="43"/>
  <c r="HM230" i="43"/>
  <c r="HN230" i="43"/>
  <c r="HO230" i="43"/>
  <c r="HP230" i="43"/>
  <c r="HQ230" i="43"/>
  <c r="HR230" i="43"/>
  <c r="HS230" i="43"/>
  <c r="HT230" i="43"/>
  <c r="HU230" i="43"/>
  <c r="HV230" i="43"/>
  <c r="HW230" i="43"/>
  <c r="HX230" i="43"/>
  <c r="HY230" i="43"/>
  <c r="HZ230" i="43"/>
  <c r="IA230" i="43"/>
  <c r="IB230" i="43"/>
  <c r="IC230" i="43"/>
  <c r="ID230" i="43"/>
  <c r="IE230" i="43"/>
  <c r="IF230" i="43"/>
  <c r="IG230" i="43"/>
  <c r="IH230" i="43"/>
  <c r="II230" i="43"/>
  <c r="IJ230" i="43"/>
  <c r="IK230" i="43"/>
  <c r="IL230" i="43"/>
  <c r="IM230" i="43"/>
  <c r="IN230" i="43"/>
  <c r="IO230" i="43"/>
  <c r="IP230" i="43"/>
  <c r="IQ230" i="43"/>
  <c r="IR230" i="43"/>
  <c r="IS230" i="43"/>
  <c r="IT230" i="43"/>
  <c r="IU230" i="43"/>
  <c r="IV230" i="43"/>
  <c r="A229" i="43"/>
  <c r="B229" i="43"/>
  <c r="C229" i="43"/>
  <c r="D229" i="43"/>
  <c r="E229" i="43"/>
  <c r="F229" i="43"/>
  <c r="G229" i="43"/>
  <c r="H229" i="43"/>
  <c r="I229" i="43"/>
  <c r="J229" i="43"/>
  <c r="K229" i="43"/>
  <c r="L229" i="43"/>
  <c r="M229" i="43"/>
  <c r="N229" i="43"/>
  <c r="O229" i="43"/>
  <c r="P229" i="43"/>
  <c r="Q229" i="43"/>
  <c r="R229" i="43"/>
  <c r="S229" i="43"/>
  <c r="T229" i="43"/>
  <c r="U229" i="43"/>
  <c r="V229" i="43"/>
  <c r="W229" i="43"/>
  <c r="X229" i="43"/>
  <c r="Y229" i="43"/>
  <c r="Z229" i="43"/>
  <c r="AA229" i="43"/>
  <c r="AB229" i="43"/>
  <c r="AC229" i="43"/>
  <c r="AD229" i="43"/>
  <c r="AE229" i="43"/>
  <c r="AF229" i="43"/>
  <c r="AG229" i="43"/>
  <c r="AH229" i="43"/>
  <c r="AI229" i="43"/>
  <c r="AJ229" i="43"/>
  <c r="AK229" i="43"/>
  <c r="AL229" i="43"/>
  <c r="AM229" i="43"/>
  <c r="AN229" i="43"/>
  <c r="AO229" i="43"/>
  <c r="AP229" i="43"/>
  <c r="AQ229" i="43"/>
  <c r="AR229" i="43"/>
  <c r="AS229" i="43"/>
  <c r="AT229" i="43"/>
  <c r="AU229" i="43"/>
  <c r="AV229" i="43"/>
  <c r="AW229" i="43"/>
  <c r="AX229" i="43"/>
  <c r="AY229" i="43"/>
  <c r="AZ229" i="43"/>
  <c r="BA229" i="43"/>
  <c r="BB229" i="43"/>
  <c r="BC229" i="43"/>
  <c r="BD229" i="43"/>
  <c r="BE229" i="43"/>
  <c r="BF229" i="43"/>
  <c r="BG229" i="43"/>
  <c r="BH229" i="43"/>
  <c r="BI229" i="43"/>
  <c r="BJ229" i="43"/>
  <c r="BK229" i="43"/>
  <c r="BL229" i="43"/>
  <c r="BM229" i="43"/>
  <c r="BN229" i="43"/>
  <c r="BO229" i="43"/>
  <c r="BP229" i="43"/>
  <c r="BQ229" i="43"/>
  <c r="BR229" i="43"/>
  <c r="BS229" i="43"/>
  <c r="BT229" i="43"/>
  <c r="BU229" i="43"/>
  <c r="BV229" i="43"/>
  <c r="BW229" i="43"/>
  <c r="BX229" i="43"/>
  <c r="BY229" i="43"/>
  <c r="BZ229" i="43"/>
  <c r="CA229" i="43"/>
  <c r="CB229" i="43"/>
  <c r="CC229" i="43"/>
  <c r="CD229" i="43"/>
  <c r="CE229" i="43"/>
  <c r="CF229" i="43"/>
  <c r="CG229" i="43"/>
  <c r="CH229" i="43"/>
  <c r="CI229" i="43"/>
  <c r="CJ229" i="43"/>
  <c r="CK229" i="43"/>
  <c r="CL229" i="43"/>
  <c r="CM229" i="43"/>
  <c r="CN229" i="43"/>
  <c r="CO229" i="43"/>
  <c r="CP229" i="43"/>
  <c r="CQ229" i="43"/>
  <c r="CR229" i="43"/>
  <c r="CS229" i="43"/>
  <c r="CT229" i="43"/>
  <c r="CU229" i="43"/>
  <c r="CV229" i="43"/>
  <c r="CW229" i="43"/>
  <c r="CX229" i="43"/>
  <c r="CY229" i="43"/>
  <c r="CZ229" i="43"/>
  <c r="DA229" i="43"/>
  <c r="DB229" i="43"/>
  <c r="DC229" i="43"/>
  <c r="DD229" i="43"/>
  <c r="DE229" i="43"/>
  <c r="DF229" i="43"/>
  <c r="DG229" i="43"/>
  <c r="DH229" i="43"/>
  <c r="DI229" i="43"/>
  <c r="DJ229" i="43"/>
  <c r="DK229" i="43"/>
  <c r="DL229" i="43"/>
  <c r="DM229" i="43"/>
  <c r="DN229" i="43"/>
  <c r="DO229" i="43"/>
  <c r="DP229" i="43"/>
  <c r="DQ229" i="43"/>
  <c r="DR229" i="43"/>
  <c r="DS229" i="43"/>
  <c r="DT229" i="43"/>
  <c r="DU229" i="43"/>
  <c r="DV229" i="43"/>
  <c r="DW229" i="43"/>
  <c r="DX229" i="43"/>
  <c r="DY229" i="43"/>
  <c r="DZ229" i="43"/>
  <c r="EA229" i="43"/>
  <c r="EB229" i="43"/>
  <c r="EC229" i="43"/>
  <c r="ED229" i="43"/>
  <c r="EE229" i="43"/>
  <c r="EF229" i="43"/>
  <c r="EG229" i="43"/>
  <c r="EH229" i="43"/>
  <c r="EI229" i="43"/>
  <c r="EJ229" i="43"/>
  <c r="EK229" i="43"/>
  <c r="EL229" i="43"/>
  <c r="EM229" i="43"/>
  <c r="EN229" i="43"/>
  <c r="EO229" i="43"/>
  <c r="EP229" i="43"/>
  <c r="EQ229" i="43"/>
  <c r="ER229" i="43"/>
  <c r="ES229" i="43"/>
  <c r="ET229" i="43"/>
  <c r="EU229" i="43"/>
  <c r="EV229" i="43"/>
  <c r="EW229" i="43"/>
  <c r="EX229" i="43"/>
  <c r="EY229" i="43"/>
  <c r="EZ229" i="43"/>
  <c r="FA229" i="43"/>
  <c r="FB229" i="43"/>
  <c r="FC229" i="43"/>
  <c r="FD229" i="43"/>
  <c r="FE229" i="43"/>
  <c r="FF229" i="43"/>
  <c r="FG229" i="43"/>
  <c r="FH229" i="43"/>
  <c r="FI229" i="43"/>
  <c r="FJ229" i="43"/>
  <c r="FK229" i="43"/>
  <c r="FL229" i="43"/>
  <c r="FM229" i="43"/>
  <c r="FN229" i="43"/>
  <c r="FO229" i="43"/>
  <c r="FP229" i="43"/>
  <c r="FQ229" i="43"/>
  <c r="FR229" i="43"/>
  <c r="FS229" i="43"/>
  <c r="FT229" i="43"/>
  <c r="FU229" i="43"/>
  <c r="FV229" i="43"/>
  <c r="FW229" i="43"/>
  <c r="FX229" i="43"/>
  <c r="FY229" i="43"/>
  <c r="FZ229" i="43"/>
  <c r="GA229" i="43"/>
  <c r="GB229" i="43"/>
  <c r="GC229" i="43"/>
  <c r="GD229" i="43"/>
  <c r="GE229" i="43"/>
  <c r="GF229" i="43"/>
  <c r="GG229" i="43"/>
  <c r="GH229" i="43"/>
  <c r="GI229" i="43"/>
  <c r="GJ229" i="43"/>
  <c r="GK229" i="43"/>
  <c r="GL229" i="43"/>
  <c r="GM229" i="43"/>
  <c r="GN229" i="43"/>
  <c r="GO229" i="43"/>
  <c r="GP229" i="43"/>
  <c r="GQ229" i="43"/>
  <c r="GR229" i="43"/>
  <c r="GS229" i="43"/>
  <c r="GT229" i="43"/>
  <c r="GU229" i="43"/>
  <c r="GV229" i="43"/>
  <c r="GW229" i="43"/>
  <c r="GX229" i="43"/>
  <c r="GY229" i="43"/>
  <c r="GZ229" i="43"/>
  <c r="HA229" i="43"/>
  <c r="HB229" i="43"/>
  <c r="HC229" i="43"/>
  <c r="HD229" i="43"/>
  <c r="HE229" i="43"/>
  <c r="HF229" i="43"/>
  <c r="HG229" i="43"/>
  <c r="HH229" i="43"/>
  <c r="HI229" i="43"/>
  <c r="HJ229" i="43"/>
  <c r="HK229" i="43"/>
  <c r="HL229" i="43"/>
  <c r="HM229" i="43"/>
  <c r="HN229" i="43"/>
  <c r="HO229" i="43"/>
  <c r="HP229" i="43"/>
  <c r="HQ229" i="43"/>
  <c r="HR229" i="43"/>
  <c r="HS229" i="43"/>
  <c r="HT229" i="43"/>
  <c r="HU229" i="43"/>
  <c r="HV229" i="43"/>
  <c r="HW229" i="43"/>
  <c r="HX229" i="43"/>
  <c r="HY229" i="43"/>
  <c r="HZ229" i="43"/>
  <c r="IA229" i="43"/>
  <c r="IB229" i="43"/>
  <c r="IC229" i="43"/>
  <c r="ID229" i="43"/>
  <c r="IE229" i="43"/>
  <c r="IF229" i="43"/>
  <c r="IG229" i="43"/>
  <c r="IH229" i="43"/>
  <c r="II229" i="43"/>
  <c r="IJ229" i="43"/>
  <c r="IK229" i="43"/>
  <c r="IL229" i="43"/>
  <c r="IM229" i="43"/>
  <c r="IN229" i="43"/>
  <c r="IO229" i="43"/>
  <c r="IP229" i="43"/>
  <c r="IQ229" i="43"/>
  <c r="IR229" i="43"/>
  <c r="IS229" i="43"/>
  <c r="IT229" i="43"/>
  <c r="IU229" i="43"/>
  <c r="IV229" i="43"/>
  <c r="A228" i="43"/>
  <c r="B228" i="43"/>
  <c r="C228" i="43"/>
  <c r="D228" i="43"/>
  <c r="E228" i="43"/>
  <c r="F228" i="43"/>
  <c r="G228" i="43"/>
  <c r="H228" i="43"/>
  <c r="I228" i="43"/>
  <c r="J228" i="43"/>
  <c r="K228" i="43"/>
  <c r="L228" i="43"/>
  <c r="M228" i="43"/>
  <c r="N228" i="43"/>
  <c r="O228" i="43"/>
  <c r="P228" i="43"/>
  <c r="Q228" i="43"/>
  <c r="R228" i="43"/>
  <c r="S228" i="43"/>
  <c r="T228" i="43"/>
  <c r="U228" i="43"/>
  <c r="V228" i="43"/>
  <c r="W228" i="43"/>
  <c r="X228" i="43"/>
  <c r="Y228" i="43"/>
  <c r="Z228" i="43"/>
  <c r="AA228" i="43"/>
  <c r="AB228" i="43"/>
  <c r="AC228" i="43"/>
  <c r="AD228" i="43"/>
  <c r="AE228" i="43"/>
  <c r="AF228" i="43"/>
  <c r="AG228" i="43"/>
  <c r="AH228" i="43"/>
  <c r="AI228" i="43"/>
  <c r="AJ228" i="43"/>
  <c r="AK228" i="43"/>
  <c r="AL228" i="43"/>
  <c r="AM228" i="43"/>
  <c r="AN228" i="43"/>
  <c r="AO228" i="43"/>
  <c r="AP228" i="43"/>
  <c r="AQ228" i="43"/>
  <c r="AR228" i="43"/>
  <c r="AS228" i="43"/>
  <c r="AT228" i="43"/>
  <c r="AU228" i="43"/>
  <c r="AV228" i="43"/>
  <c r="AW228" i="43"/>
  <c r="AX228" i="43"/>
  <c r="AY228" i="43"/>
  <c r="AZ228" i="43"/>
  <c r="BA228" i="43"/>
  <c r="BB228" i="43"/>
  <c r="BC228" i="43"/>
  <c r="BD228" i="43"/>
  <c r="BE228" i="43"/>
  <c r="BF228" i="43"/>
  <c r="BG228" i="43"/>
  <c r="BH228" i="43"/>
  <c r="BI228" i="43"/>
  <c r="BJ228" i="43"/>
  <c r="BK228" i="43"/>
  <c r="BL228" i="43"/>
  <c r="BM228" i="43"/>
  <c r="BN228" i="43"/>
  <c r="BO228" i="43"/>
  <c r="BP228" i="43"/>
  <c r="BQ228" i="43"/>
  <c r="BR228" i="43"/>
  <c r="BS228" i="43"/>
  <c r="BT228" i="43"/>
  <c r="BU228" i="43"/>
  <c r="BV228" i="43"/>
  <c r="BW228" i="43"/>
  <c r="BX228" i="43"/>
  <c r="BY228" i="43"/>
  <c r="BZ228" i="43"/>
  <c r="CA228" i="43"/>
  <c r="CB228" i="43"/>
  <c r="CC228" i="43"/>
  <c r="CD228" i="43"/>
  <c r="CE228" i="43"/>
  <c r="CF228" i="43"/>
  <c r="CG228" i="43"/>
  <c r="CH228" i="43"/>
  <c r="CI228" i="43"/>
  <c r="CJ228" i="43"/>
  <c r="CK228" i="43"/>
  <c r="CL228" i="43"/>
  <c r="CM228" i="43"/>
  <c r="CN228" i="43"/>
  <c r="CO228" i="43"/>
  <c r="CP228" i="43"/>
  <c r="CQ228" i="43"/>
  <c r="CR228" i="43"/>
  <c r="CS228" i="43"/>
  <c r="CT228" i="43"/>
  <c r="CU228" i="43"/>
  <c r="CV228" i="43"/>
  <c r="CW228" i="43"/>
  <c r="CX228" i="43"/>
  <c r="CY228" i="43"/>
  <c r="CZ228" i="43"/>
  <c r="DA228" i="43"/>
  <c r="DB228" i="43"/>
  <c r="DC228" i="43"/>
  <c r="DD228" i="43"/>
  <c r="DE228" i="43"/>
  <c r="DF228" i="43"/>
  <c r="DG228" i="43"/>
  <c r="DH228" i="43"/>
  <c r="DI228" i="43"/>
  <c r="DJ228" i="43"/>
  <c r="DK228" i="43"/>
  <c r="DL228" i="43"/>
  <c r="DM228" i="43"/>
  <c r="DN228" i="43"/>
  <c r="DO228" i="43"/>
  <c r="DP228" i="43"/>
  <c r="DQ228" i="43"/>
  <c r="DR228" i="43"/>
  <c r="DS228" i="43"/>
  <c r="DT228" i="43"/>
  <c r="DU228" i="43"/>
  <c r="DV228" i="43"/>
  <c r="DW228" i="43"/>
  <c r="DX228" i="43"/>
  <c r="DY228" i="43"/>
  <c r="DZ228" i="43"/>
  <c r="EA228" i="43"/>
  <c r="EB228" i="43"/>
  <c r="EC228" i="43"/>
  <c r="ED228" i="43"/>
  <c r="EE228" i="43"/>
  <c r="EF228" i="43"/>
  <c r="EG228" i="43"/>
  <c r="EH228" i="43"/>
  <c r="EI228" i="43"/>
  <c r="EJ228" i="43"/>
  <c r="EK228" i="43"/>
  <c r="EL228" i="43"/>
  <c r="EM228" i="43"/>
  <c r="EN228" i="43"/>
  <c r="EO228" i="43"/>
  <c r="EP228" i="43"/>
  <c r="EQ228" i="43"/>
  <c r="ER228" i="43"/>
  <c r="ES228" i="43"/>
  <c r="ET228" i="43"/>
  <c r="EU228" i="43"/>
  <c r="EV228" i="43"/>
  <c r="EW228" i="43"/>
  <c r="EX228" i="43"/>
  <c r="EY228" i="43"/>
  <c r="EZ228" i="43"/>
  <c r="FA228" i="43"/>
  <c r="FB228" i="43"/>
  <c r="FC228" i="43"/>
  <c r="FD228" i="43"/>
  <c r="FE228" i="43"/>
  <c r="FF228" i="43"/>
  <c r="FG228" i="43"/>
  <c r="FH228" i="43"/>
  <c r="FI228" i="43"/>
  <c r="FJ228" i="43"/>
  <c r="FK228" i="43"/>
  <c r="FL228" i="43"/>
  <c r="FM228" i="43"/>
  <c r="FN228" i="43"/>
  <c r="FO228" i="43"/>
  <c r="FP228" i="43"/>
  <c r="FQ228" i="43"/>
  <c r="FR228" i="43"/>
  <c r="FS228" i="43"/>
  <c r="FT228" i="43"/>
  <c r="FU228" i="43"/>
  <c r="FV228" i="43"/>
  <c r="FW228" i="43"/>
  <c r="FX228" i="43"/>
  <c r="FY228" i="43"/>
  <c r="FZ228" i="43"/>
  <c r="GA228" i="43"/>
  <c r="GB228" i="43"/>
  <c r="GC228" i="43"/>
  <c r="GD228" i="43"/>
  <c r="GE228" i="43"/>
  <c r="GF228" i="43"/>
  <c r="GG228" i="43"/>
  <c r="GH228" i="43"/>
  <c r="GI228" i="43"/>
  <c r="GJ228" i="43"/>
  <c r="GK228" i="43"/>
  <c r="GL228" i="43"/>
  <c r="GM228" i="43"/>
  <c r="GN228" i="43"/>
  <c r="GO228" i="43"/>
  <c r="GP228" i="43"/>
  <c r="GQ228" i="43"/>
  <c r="GR228" i="43"/>
  <c r="GS228" i="43"/>
  <c r="GT228" i="43"/>
  <c r="GU228" i="43"/>
  <c r="GV228" i="43"/>
  <c r="GW228" i="43"/>
  <c r="GX228" i="43"/>
  <c r="GY228" i="43"/>
  <c r="GZ228" i="43"/>
  <c r="HA228" i="43"/>
  <c r="HB228" i="43"/>
  <c r="HC228" i="43"/>
  <c r="HD228" i="43"/>
  <c r="HE228" i="43"/>
  <c r="HF228" i="43"/>
  <c r="HG228" i="43"/>
  <c r="HH228" i="43"/>
  <c r="HI228" i="43"/>
  <c r="HJ228" i="43"/>
  <c r="HK228" i="43"/>
  <c r="HL228" i="43"/>
  <c r="HM228" i="43"/>
  <c r="HN228" i="43"/>
  <c r="HO228" i="43"/>
  <c r="HP228" i="43"/>
  <c r="HQ228" i="43"/>
  <c r="HR228" i="43"/>
  <c r="HS228" i="43"/>
  <c r="HT228" i="43"/>
  <c r="HU228" i="43"/>
  <c r="HV228" i="43"/>
  <c r="HW228" i="43"/>
  <c r="HX228" i="43"/>
  <c r="HY228" i="43"/>
  <c r="HZ228" i="43"/>
  <c r="IA228" i="43"/>
  <c r="IB228" i="43"/>
  <c r="IC228" i="43"/>
  <c r="ID228" i="43"/>
  <c r="IE228" i="43"/>
  <c r="IF228" i="43"/>
  <c r="IG228" i="43"/>
  <c r="IH228" i="43"/>
  <c r="II228" i="43"/>
  <c r="IJ228" i="43"/>
  <c r="IK228" i="43"/>
  <c r="IL228" i="43"/>
  <c r="IM228" i="43"/>
  <c r="IN228" i="43"/>
  <c r="IO228" i="43"/>
  <c r="IP228" i="43"/>
  <c r="IQ228" i="43"/>
  <c r="IR228" i="43"/>
  <c r="IS228" i="43"/>
  <c r="IT228" i="43"/>
  <c r="IU228" i="43"/>
  <c r="IV228" i="43"/>
  <c r="A227" i="43"/>
  <c r="B227" i="43"/>
  <c r="C227" i="43"/>
  <c r="D227" i="43"/>
  <c r="E227" i="43"/>
  <c r="F227" i="43"/>
  <c r="G227" i="43"/>
  <c r="H227" i="43"/>
  <c r="I227" i="43"/>
  <c r="J227" i="43"/>
  <c r="K227" i="43"/>
  <c r="L227" i="43"/>
  <c r="M227" i="43"/>
  <c r="N227" i="43"/>
  <c r="O227" i="43"/>
  <c r="P227" i="43"/>
  <c r="Q227" i="43"/>
  <c r="R227" i="43"/>
  <c r="S227" i="43"/>
  <c r="T227" i="43"/>
  <c r="U227" i="43"/>
  <c r="V227" i="43"/>
  <c r="W227" i="43"/>
  <c r="X227" i="43"/>
  <c r="Y227" i="43"/>
  <c r="Z227" i="43"/>
  <c r="AA227" i="43"/>
  <c r="AB227" i="43"/>
  <c r="AC227" i="43"/>
  <c r="AD227" i="43"/>
  <c r="AE227" i="43"/>
  <c r="AF227" i="43"/>
  <c r="AG227" i="43"/>
  <c r="AH227" i="43"/>
  <c r="AI227" i="43"/>
  <c r="AJ227" i="43"/>
  <c r="AK227" i="43"/>
  <c r="AL227" i="43"/>
  <c r="AM227" i="43"/>
  <c r="AN227" i="43"/>
  <c r="AO227" i="43"/>
  <c r="AP227" i="43"/>
  <c r="AQ227" i="43"/>
  <c r="AR227" i="43"/>
  <c r="AS227" i="43"/>
  <c r="AT227" i="43"/>
  <c r="AU227" i="43"/>
  <c r="AV227" i="43"/>
  <c r="AW227" i="43"/>
  <c r="AX227" i="43"/>
  <c r="AY227" i="43"/>
  <c r="AZ227" i="43"/>
  <c r="BA227" i="43"/>
  <c r="BB227" i="43"/>
  <c r="BC227" i="43"/>
  <c r="BD227" i="43"/>
  <c r="BE227" i="43"/>
  <c r="BF227" i="43"/>
  <c r="BG227" i="43"/>
  <c r="BH227" i="43"/>
  <c r="BI227" i="43"/>
  <c r="BJ227" i="43"/>
  <c r="BK227" i="43"/>
  <c r="BL227" i="43"/>
  <c r="BM227" i="43"/>
  <c r="BN227" i="43"/>
  <c r="BO227" i="43"/>
  <c r="BP227" i="43"/>
  <c r="BQ227" i="43"/>
  <c r="BR227" i="43"/>
  <c r="BS227" i="43"/>
  <c r="BT227" i="43"/>
  <c r="BU227" i="43"/>
  <c r="BV227" i="43"/>
  <c r="BW227" i="43"/>
  <c r="BX227" i="43"/>
  <c r="BY227" i="43"/>
  <c r="BZ227" i="43"/>
  <c r="CA227" i="43"/>
  <c r="CB227" i="43"/>
  <c r="CC227" i="43"/>
  <c r="CD227" i="43"/>
  <c r="CE227" i="43"/>
  <c r="CF227" i="43"/>
  <c r="CG227" i="43"/>
  <c r="CH227" i="43"/>
  <c r="CI227" i="43"/>
  <c r="CJ227" i="43"/>
  <c r="CK227" i="43"/>
  <c r="CL227" i="43"/>
  <c r="CM227" i="43"/>
  <c r="CN227" i="43"/>
  <c r="CO227" i="43"/>
  <c r="CP227" i="43"/>
  <c r="CQ227" i="43"/>
  <c r="CR227" i="43"/>
  <c r="CS227" i="43"/>
  <c r="CT227" i="43"/>
  <c r="CU227" i="43"/>
  <c r="CV227" i="43"/>
  <c r="CW227" i="43"/>
  <c r="CX227" i="43"/>
  <c r="CY227" i="43"/>
  <c r="CZ227" i="43"/>
  <c r="DA227" i="43"/>
  <c r="DB227" i="43"/>
  <c r="DC227" i="43"/>
  <c r="DD227" i="43"/>
  <c r="DE227" i="43"/>
  <c r="DF227" i="43"/>
  <c r="DG227" i="43"/>
  <c r="DH227" i="43"/>
  <c r="DI227" i="43"/>
  <c r="DJ227" i="43"/>
  <c r="DK227" i="43"/>
  <c r="DL227" i="43"/>
  <c r="DM227" i="43"/>
  <c r="DN227" i="43"/>
  <c r="DO227" i="43"/>
  <c r="DP227" i="43"/>
  <c r="DQ227" i="43"/>
  <c r="DR227" i="43"/>
  <c r="DS227" i="43"/>
  <c r="DT227" i="43"/>
  <c r="DU227" i="43"/>
  <c r="DV227" i="43"/>
  <c r="DW227" i="43"/>
  <c r="DX227" i="43"/>
  <c r="DY227" i="43"/>
  <c r="DZ227" i="43"/>
  <c r="EA227" i="43"/>
  <c r="EB227" i="43"/>
  <c r="EC227" i="43"/>
  <c r="ED227" i="43"/>
  <c r="EE227" i="43"/>
  <c r="EF227" i="43"/>
  <c r="EG227" i="43"/>
  <c r="EH227" i="43"/>
  <c r="EI227" i="43"/>
  <c r="EJ227" i="43"/>
  <c r="EK227" i="43"/>
  <c r="EL227" i="43"/>
  <c r="EM227" i="43"/>
  <c r="EN227" i="43"/>
  <c r="EO227" i="43"/>
  <c r="EP227" i="43"/>
  <c r="EQ227" i="43"/>
  <c r="ER227" i="43"/>
  <c r="ES227" i="43"/>
  <c r="ET227" i="43"/>
  <c r="EU227" i="43"/>
  <c r="EV227" i="43"/>
  <c r="EW227" i="43"/>
  <c r="EX227" i="43"/>
  <c r="EY227" i="43"/>
  <c r="EZ227" i="43"/>
  <c r="FA227" i="43"/>
  <c r="FB227" i="43"/>
  <c r="FC227" i="43"/>
  <c r="FD227" i="43"/>
  <c r="FE227" i="43"/>
  <c r="FF227" i="43"/>
  <c r="FG227" i="43"/>
  <c r="FH227" i="43"/>
  <c r="FI227" i="43"/>
  <c r="FJ227" i="43"/>
  <c r="FK227" i="43"/>
  <c r="FL227" i="43"/>
  <c r="FM227" i="43"/>
  <c r="FN227" i="43"/>
  <c r="FO227" i="43"/>
  <c r="FP227" i="43"/>
  <c r="FQ227" i="43"/>
  <c r="FR227" i="43"/>
  <c r="FS227" i="43"/>
  <c r="FT227" i="43"/>
  <c r="FU227" i="43"/>
  <c r="FV227" i="43"/>
  <c r="FW227" i="43"/>
  <c r="FX227" i="43"/>
  <c r="FY227" i="43"/>
  <c r="FZ227" i="43"/>
  <c r="GA227" i="43"/>
  <c r="GB227" i="43"/>
  <c r="GC227" i="43"/>
  <c r="GD227" i="43"/>
  <c r="GE227" i="43"/>
  <c r="GF227" i="43"/>
  <c r="GG227" i="43"/>
  <c r="GH227" i="43"/>
  <c r="GI227" i="43"/>
  <c r="GJ227" i="43"/>
  <c r="GK227" i="43"/>
  <c r="GL227" i="43"/>
  <c r="GM227" i="43"/>
  <c r="GN227" i="43"/>
  <c r="GO227" i="43"/>
  <c r="GP227" i="43"/>
  <c r="GQ227" i="43"/>
  <c r="GR227" i="43"/>
  <c r="GS227" i="43"/>
  <c r="GT227" i="43"/>
  <c r="GU227" i="43"/>
  <c r="GV227" i="43"/>
  <c r="GW227" i="43"/>
  <c r="GX227" i="43"/>
  <c r="GY227" i="43"/>
  <c r="GZ227" i="43"/>
  <c r="HA227" i="43"/>
  <c r="HB227" i="43"/>
  <c r="HC227" i="43"/>
  <c r="HD227" i="43"/>
  <c r="HE227" i="43"/>
  <c r="HF227" i="43"/>
  <c r="HG227" i="43"/>
  <c r="HH227" i="43"/>
  <c r="HI227" i="43"/>
  <c r="HJ227" i="43"/>
  <c r="HK227" i="43"/>
  <c r="HL227" i="43"/>
  <c r="HM227" i="43"/>
  <c r="HN227" i="43"/>
  <c r="HO227" i="43"/>
  <c r="HP227" i="43"/>
  <c r="HQ227" i="43"/>
  <c r="HR227" i="43"/>
  <c r="HS227" i="43"/>
  <c r="HT227" i="43"/>
  <c r="HU227" i="43"/>
  <c r="HV227" i="43"/>
  <c r="HW227" i="43"/>
  <c r="HX227" i="43"/>
  <c r="HY227" i="43"/>
  <c r="HZ227" i="43"/>
  <c r="IA227" i="43"/>
  <c r="IB227" i="43"/>
  <c r="IC227" i="43"/>
  <c r="ID227" i="43"/>
  <c r="IE227" i="43"/>
  <c r="IF227" i="43"/>
  <c r="IG227" i="43"/>
  <c r="IH227" i="43"/>
  <c r="II227" i="43"/>
  <c r="IJ227" i="43"/>
  <c r="IK227" i="43"/>
  <c r="IL227" i="43"/>
  <c r="IM227" i="43"/>
  <c r="IN227" i="43"/>
  <c r="IO227" i="43"/>
  <c r="IP227" i="43"/>
  <c r="IQ227" i="43"/>
  <c r="IR227" i="43"/>
  <c r="IS227" i="43"/>
  <c r="IT227" i="43"/>
  <c r="IU227" i="43"/>
  <c r="IV227" i="43"/>
  <c r="A226" i="43"/>
  <c r="B226" i="43"/>
  <c r="C226" i="43"/>
  <c r="D226" i="43"/>
  <c r="E226" i="43"/>
  <c r="F226" i="43"/>
  <c r="G226" i="43"/>
  <c r="H226" i="43"/>
  <c r="I226" i="43"/>
  <c r="J226" i="43"/>
  <c r="K226" i="43"/>
  <c r="L226" i="43"/>
  <c r="M226" i="43"/>
  <c r="N226" i="43"/>
  <c r="O226" i="43"/>
  <c r="P226" i="43"/>
  <c r="Q226" i="43"/>
  <c r="R226" i="43"/>
  <c r="S226" i="43"/>
  <c r="T226" i="43"/>
  <c r="U226" i="43"/>
  <c r="V226" i="43"/>
  <c r="W226" i="43"/>
  <c r="X226" i="43"/>
  <c r="Y226" i="43"/>
  <c r="Z226" i="43"/>
  <c r="AA226" i="43"/>
  <c r="AB226" i="43"/>
  <c r="AC226" i="43"/>
  <c r="AD226" i="43"/>
  <c r="AE226" i="43"/>
  <c r="AF226" i="43"/>
  <c r="AG226" i="43"/>
  <c r="AH226" i="43"/>
  <c r="AI226" i="43"/>
  <c r="AJ226" i="43"/>
  <c r="AK226" i="43"/>
  <c r="AL226" i="43"/>
  <c r="AM226" i="43"/>
  <c r="AN226" i="43"/>
  <c r="AO226" i="43"/>
  <c r="AP226" i="43"/>
  <c r="AQ226" i="43"/>
  <c r="AR226" i="43"/>
  <c r="AS226" i="43"/>
  <c r="AT226" i="43"/>
  <c r="AU226" i="43"/>
  <c r="AV226" i="43"/>
  <c r="AW226" i="43"/>
  <c r="AX226" i="43"/>
  <c r="AY226" i="43"/>
  <c r="AZ226" i="43"/>
  <c r="BA226" i="43"/>
  <c r="BB226" i="43"/>
  <c r="BC226" i="43"/>
  <c r="BD226" i="43"/>
  <c r="BE226" i="43"/>
  <c r="BF226" i="43"/>
  <c r="BG226" i="43"/>
  <c r="BH226" i="43"/>
  <c r="BI226" i="43"/>
  <c r="BJ226" i="43"/>
  <c r="BK226" i="43"/>
  <c r="BL226" i="43"/>
  <c r="BM226" i="43"/>
  <c r="BN226" i="43"/>
  <c r="BO226" i="43"/>
  <c r="BP226" i="43"/>
  <c r="BQ226" i="43"/>
  <c r="BR226" i="43"/>
  <c r="BS226" i="43"/>
  <c r="BT226" i="43"/>
  <c r="BU226" i="43"/>
  <c r="BV226" i="43"/>
  <c r="BW226" i="43"/>
  <c r="BX226" i="43"/>
  <c r="BY226" i="43"/>
  <c r="BZ226" i="43"/>
  <c r="CA226" i="43"/>
  <c r="CB226" i="43"/>
  <c r="CC226" i="43"/>
  <c r="CD226" i="43"/>
  <c r="CE226" i="43"/>
  <c r="CF226" i="43"/>
  <c r="CG226" i="43"/>
  <c r="CH226" i="43"/>
  <c r="CI226" i="43"/>
  <c r="CJ226" i="43"/>
  <c r="CK226" i="43"/>
  <c r="CL226" i="43"/>
  <c r="CM226" i="43"/>
  <c r="CN226" i="43"/>
  <c r="CO226" i="43"/>
  <c r="CP226" i="43"/>
  <c r="CQ226" i="43"/>
  <c r="CR226" i="43"/>
  <c r="CS226" i="43"/>
  <c r="CT226" i="43"/>
  <c r="CU226" i="43"/>
  <c r="CV226" i="43"/>
  <c r="CW226" i="43"/>
  <c r="CX226" i="43"/>
  <c r="CY226" i="43"/>
  <c r="CZ226" i="43"/>
  <c r="DA226" i="43"/>
  <c r="DB226" i="43"/>
  <c r="DC226" i="43"/>
  <c r="DD226" i="43"/>
  <c r="DE226" i="43"/>
  <c r="DF226" i="43"/>
  <c r="DG226" i="43"/>
  <c r="DH226" i="43"/>
  <c r="DI226" i="43"/>
  <c r="DJ226" i="43"/>
  <c r="DK226" i="43"/>
  <c r="DL226" i="43"/>
  <c r="DM226" i="43"/>
  <c r="DN226" i="43"/>
  <c r="DO226" i="43"/>
  <c r="DP226" i="43"/>
  <c r="DQ226" i="43"/>
  <c r="DR226" i="43"/>
  <c r="DS226" i="43"/>
  <c r="DT226" i="43"/>
  <c r="DU226" i="43"/>
  <c r="DV226" i="43"/>
  <c r="DW226" i="43"/>
  <c r="DX226" i="43"/>
  <c r="DY226" i="43"/>
  <c r="DZ226" i="43"/>
  <c r="EA226" i="43"/>
  <c r="EB226" i="43"/>
  <c r="EC226" i="43"/>
  <c r="ED226" i="43"/>
  <c r="EE226" i="43"/>
  <c r="EF226" i="43"/>
  <c r="EG226" i="43"/>
  <c r="EH226" i="43"/>
  <c r="EI226" i="43"/>
  <c r="EJ226" i="43"/>
  <c r="EK226" i="43"/>
  <c r="EL226" i="43"/>
  <c r="EM226" i="43"/>
  <c r="EN226" i="43"/>
  <c r="EO226" i="43"/>
  <c r="EP226" i="43"/>
  <c r="EQ226" i="43"/>
  <c r="ER226" i="43"/>
  <c r="ES226" i="43"/>
  <c r="ET226" i="43"/>
  <c r="EU226" i="43"/>
  <c r="EV226" i="43"/>
  <c r="EW226" i="43"/>
  <c r="EX226" i="43"/>
  <c r="EY226" i="43"/>
  <c r="EZ226" i="43"/>
  <c r="FA226" i="43"/>
  <c r="FB226" i="43"/>
  <c r="FC226" i="43"/>
  <c r="FD226" i="43"/>
  <c r="FE226" i="43"/>
  <c r="FF226" i="43"/>
  <c r="FG226" i="43"/>
  <c r="FH226" i="43"/>
  <c r="FI226" i="43"/>
  <c r="FJ226" i="43"/>
  <c r="FK226" i="43"/>
  <c r="FL226" i="43"/>
  <c r="FM226" i="43"/>
  <c r="FN226" i="43"/>
  <c r="FO226" i="43"/>
  <c r="FP226" i="43"/>
  <c r="FQ226" i="43"/>
  <c r="FR226" i="43"/>
  <c r="FS226" i="43"/>
  <c r="FT226" i="43"/>
  <c r="FU226" i="43"/>
  <c r="FV226" i="43"/>
  <c r="FW226" i="43"/>
  <c r="FX226" i="43"/>
  <c r="FY226" i="43"/>
  <c r="FZ226" i="43"/>
  <c r="GA226" i="43"/>
  <c r="GB226" i="43"/>
  <c r="GC226" i="43"/>
  <c r="GD226" i="43"/>
  <c r="GE226" i="43"/>
  <c r="GF226" i="43"/>
  <c r="GG226" i="43"/>
  <c r="GH226" i="43"/>
  <c r="GI226" i="43"/>
  <c r="GJ226" i="43"/>
  <c r="GK226" i="43"/>
  <c r="GL226" i="43"/>
  <c r="GM226" i="43"/>
  <c r="GN226" i="43"/>
  <c r="GO226" i="43"/>
  <c r="GP226" i="43"/>
  <c r="GQ226" i="43"/>
  <c r="GR226" i="43"/>
  <c r="GS226" i="43"/>
  <c r="GT226" i="43"/>
  <c r="GU226" i="43"/>
  <c r="GV226" i="43"/>
  <c r="GW226" i="43"/>
  <c r="GX226" i="43"/>
  <c r="GY226" i="43"/>
  <c r="GZ226" i="43"/>
  <c r="HA226" i="43"/>
  <c r="HB226" i="43"/>
  <c r="HC226" i="43"/>
  <c r="HD226" i="43"/>
  <c r="HE226" i="43"/>
  <c r="HF226" i="43"/>
  <c r="HG226" i="43"/>
  <c r="HH226" i="43"/>
  <c r="HI226" i="43"/>
  <c r="HJ226" i="43"/>
  <c r="HK226" i="43"/>
  <c r="HL226" i="43"/>
  <c r="HM226" i="43"/>
  <c r="HN226" i="43"/>
  <c r="HO226" i="43"/>
  <c r="HP226" i="43"/>
  <c r="HQ226" i="43"/>
  <c r="HR226" i="43"/>
  <c r="HS226" i="43"/>
  <c r="HT226" i="43"/>
  <c r="HU226" i="43"/>
  <c r="HV226" i="43"/>
  <c r="HW226" i="43"/>
  <c r="HX226" i="43"/>
  <c r="HY226" i="43"/>
  <c r="HZ226" i="43"/>
  <c r="IA226" i="43"/>
  <c r="IB226" i="43"/>
  <c r="IC226" i="43"/>
  <c r="ID226" i="43"/>
  <c r="IE226" i="43"/>
  <c r="IF226" i="43"/>
  <c r="IG226" i="43"/>
  <c r="IH226" i="43"/>
  <c r="II226" i="43"/>
  <c r="IJ226" i="43"/>
  <c r="IK226" i="43"/>
  <c r="IL226" i="43"/>
  <c r="IM226" i="43"/>
  <c r="IN226" i="43"/>
  <c r="IO226" i="43"/>
  <c r="IP226" i="43"/>
  <c r="IQ226" i="43"/>
  <c r="IR226" i="43"/>
  <c r="IS226" i="43"/>
  <c r="IT226" i="43"/>
  <c r="IU226" i="43"/>
  <c r="IV226" i="43"/>
  <c r="A225" i="43"/>
  <c r="B225" i="43"/>
  <c r="C225" i="43"/>
  <c r="D225" i="43"/>
  <c r="E225" i="43"/>
  <c r="F225" i="43"/>
  <c r="G225" i="43"/>
  <c r="H225" i="43"/>
  <c r="I225" i="43"/>
  <c r="J225" i="43"/>
  <c r="K225" i="43"/>
  <c r="L225" i="43"/>
  <c r="M225" i="43"/>
  <c r="N225" i="43"/>
  <c r="O225" i="43"/>
  <c r="P225" i="43"/>
  <c r="Q225" i="43"/>
  <c r="R225" i="43"/>
  <c r="S225" i="43"/>
  <c r="T225" i="43"/>
  <c r="U225" i="43"/>
  <c r="V225" i="43"/>
  <c r="W225" i="43"/>
  <c r="X225" i="43"/>
  <c r="Y225" i="43"/>
  <c r="Z225" i="43"/>
  <c r="AA225" i="43"/>
  <c r="AB225" i="43"/>
  <c r="AC225" i="43"/>
  <c r="AD225" i="43"/>
  <c r="AE225" i="43"/>
  <c r="AF225" i="43"/>
  <c r="AG225" i="43"/>
  <c r="AH225" i="43"/>
  <c r="AI225" i="43"/>
  <c r="AJ225" i="43"/>
  <c r="AK225" i="43"/>
  <c r="AL225" i="43"/>
  <c r="AM225" i="43"/>
  <c r="AN225" i="43"/>
  <c r="AO225" i="43"/>
  <c r="AP225" i="43"/>
  <c r="AQ225" i="43"/>
  <c r="AR225" i="43"/>
  <c r="AS225" i="43"/>
  <c r="AT225" i="43"/>
  <c r="AU225" i="43"/>
  <c r="AV225" i="43"/>
  <c r="AW225" i="43"/>
  <c r="AX225" i="43"/>
  <c r="AY225" i="43"/>
  <c r="AZ225" i="43"/>
  <c r="BA225" i="43"/>
  <c r="BB225" i="43"/>
  <c r="BC225" i="43"/>
  <c r="BD225" i="43"/>
  <c r="BE225" i="43"/>
  <c r="BF225" i="43"/>
  <c r="BG225" i="43"/>
  <c r="BH225" i="43"/>
  <c r="BI225" i="43"/>
  <c r="BJ225" i="43"/>
  <c r="BK225" i="43"/>
  <c r="BL225" i="43"/>
  <c r="BM225" i="43"/>
  <c r="BN225" i="43"/>
  <c r="BO225" i="43"/>
  <c r="BP225" i="43"/>
  <c r="BQ225" i="43"/>
  <c r="BR225" i="43"/>
  <c r="BS225" i="43"/>
  <c r="BT225" i="43"/>
  <c r="BU225" i="43"/>
  <c r="BV225" i="43"/>
  <c r="BW225" i="43"/>
  <c r="BX225" i="43"/>
  <c r="BY225" i="43"/>
  <c r="BZ225" i="43"/>
  <c r="CA225" i="43"/>
  <c r="CB225" i="43"/>
  <c r="CC225" i="43"/>
  <c r="CD225" i="43"/>
  <c r="CE225" i="43"/>
  <c r="CF225" i="43"/>
  <c r="CG225" i="43"/>
  <c r="CH225" i="43"/>
  <c r="CI225" i="43"/>
  <c r="CJ225" i="43"/>
  <c r="CK225" i="43"/>
  <c r="CL225" i="43"/>
  <c r="CM225" i="43"/>
  <c r="CN225" i="43"/>
  <c r="CO225" i="43"/>
  <c r="CP225" i="43"/>
  <c r="CQ225" i="43"/>
  <c r="CR225" i="43"/>
  <c r="CS225" i="43"/>
  <c r="CT225" i="43"/>
  <c r="CU225" i="43"/>
  <c r="CV225" i="43"/>
  <c r="CW225" i="43"/>
  <c r="CX225" i="43"/>
  <c r="CY225" i="43"/>
  <c r="CZ225" i="43"/>
  <c r="DA225" i="43"/>
  <c r="DB225" i="43"/>
  <c r="DC225" i="43"/>
  <c r="DD225" i="43"/>
  <c r="DE225" i="43"/>
  <c r="DF225" i="43"/>
  <c r="DG225" i="43"/>
  <c r="DH225" i="43"/>
  <c r="DI225" i="43"/>
  <c r="DJ225" i="43"/>
  <c r="DK225" i="43"/>
  <c r="DL225" i="43"/>
  <c r="DM225" i="43"/>
  <c r="DN225" i="43"/>
  <c r="DO225" i="43"/>
  <c r="DP225" i="43"/>
  <c r="DQ225" i="43"/>
  <c r="DR225" i="43"/>
  <c r="DS225" i="43"/>
  <c r="DT225" i="43"/>
  <c r="DU225" i="43"/>
  <c r="DV225" i="43"/>
  <c r="DW225" i="43"/>
  <c r="DX225" i="43"/>
  <c r="DY225" i="43"/>
  <c r="DZ225" i="43"/>
  <c r="EA225" i="43"/>
  <c r="EB225" i="43"/>
  <c r="EC225" i="43"/>
  <c r="ED225" i="43"/>
  <c r="EE225" i="43"/>
  <c r="EF225" i="43"/>
  <c r="EG225" i="43"/>
  <c r="EH225" i="43"/>
  <c r="EI225" i="43"/>
  <c r="EJ225" i="43"/>
  <c r="EK225" i="43"/>
  <c r="EL225" i="43"/>
  <c r="EM225" i="43"/>
  <c r="EN225" i="43"/>
  <c r="EO225" i="43"/>
  <c r="EP225" i="43"/>
  <c r="EQ225" i="43"/>
  <c r="ER225" i="43"/>
  <c r="ES225" i="43"/>
  <c r="ET225" i="43"/>
  <c r="EU225" i="43"/>
  <c r="EV225" i="43"/>
  <c r="EW225" i="43"/>
  <c r="EX225" i="43"/>
  <c r="EY225" i="43"/>
  <c r="EZ225" i="43"/>
  <c r="FA225" i="43"/>
  <c r="FB225" i="43"/>
  <c r="FC225" i="43"/>
  <c r="FD225" i="43"/>
  <c r="FE225" i="43"/>
  <c r="FF225" i="43"/>
  <c r="FG225" i="43"/>
  <c r="FH225" i="43"/>
  <c r="FI225" i="43"/>
  <c r="FJ225" i="43"/>
  <c r="FK225" i="43"/>
  <c r="FL225" i="43"/>
  <c r="FM225" i="43"/>
  <c r="FN225" i="43"/>
  <c r="FO225" i="43"/>
  <c r="FP225" i="43"/>
  <c r="FQ225" i="43"/>
  <c r="FR225" i="43"/>
  <c r="FS225" i="43"/>
  <c r="FT225" i="43"/>
  <c r="FU225" i="43"/>
  <c r="FV225" i="43"/>
  <c r="FW225" i="43"/>
  <c r="FX225" i="43"/>
  <c r="FY225" i="43"/>
  <c r="FZ225" i="43"/>
  <c r="GA225" i="43"/>
  <c r="GB225" i="43"/>
  <c r="GC225" i="43"/>
  <c r="GD225" i="43"/>
  <c r="GE225" i="43"/>
  <c r="GF225" i="43"/>
  <c r="GG225" i="43"/>
  <c r="GH225" i="43"/>
  <c r="GI225" i="43"/>
  <c r="GJ225" i="43"/>
  <c r="GK225" i="43"/>
  <c r="GL225" i="43"/>
  <c r="GM225" i="43"/>
  <c r="GN225" i="43"/>
  <c r="GO225" i="43"/>
  <c r="GP225" i="43"/>
  <c r="GQ225" i="43"/>
  <c r="GR225" i="43"/>
  <c r="GS225" i="43"/>
  <c r="GT225" i="43"/>
  <c r="GU225" i="43"/>
  <c r="GV225" i="43"/>
  <c r="GW225" i="43"/>
  <c r="GX225" i="43"/>
  <c r="GY225" i="43"/>
  <c r="GZ225" i="43"/>
  <c r="HA225" i="43"/>
  <c r="HB225" i="43"/>
  <c r="HC225" i="43"/>
  <c r="HD225" i="43"/>
  <c r="HE225" i="43"/>
  <c r="HF225" i="43"/>
  <c r="HG225" i="43"/>
  <c r="HH225" i="43"/>
  <c r="HI225" i="43"/>
  <c r="HJ225" i="43"/>
  <c r="HK225" i="43"/>
  <c r="HL225" i="43"/>
  <c r="HM225" i="43"/>
  <c r="HN225" i="43"/>
  <c r="HO225" i="43"/>
  <c r="HP225" i="43"/>
  <c r="HQ225" i="43"/>
  <c r="HR225" i="43"/>
  <c r="HS225" i="43"/>
  <c r="HT225" i="43"/>
  <c r="HU225" i="43"/>
  <c r="HV225" i="43"/>
  <c r="HW225" i="43"/>
  <c r="HX225" i="43"/>
  <c r="HY225" i="43"/>
  <c r="HZ225" i="43"/>
  <c r="IA225" i="43"/>
  <c r="IB225" i="43"/>
  <c r="IC225" i="43"/>
  <c r="ID225" i="43"/>
  <c r="IE225" i="43"/>
  <c r="IF225" i="43"/>
  <c r="IG225" i="43"/>
  <c r="IH225" i="43"/>
  <c r="II225" i="43"/>
  <c r="IJ225" i="43"/>
  <c r="IK225" i="43"/>
  <c r="IL225" i="43"/>
  <c r="IM225" i="43"/>
  <c r="IN225" i="43"/>
  <c r="IO225" i="43"/>
  <c r="IP225" i="43"/>
  <c r="IQ225" i="43"/>
  <c r="IR225" i="43"/>
  <c r="IS225" i="43"/>
  <c r="IT225" i="43"/>
  <c r="IU225" i="43"/>
  <c r="IV225" i="43"/>
  <c r="A224" i="43"/>
  <c r="B224" i="43"/>
  <c r="C224" i="43"/>
  <c r="D224" i="43"/>
  <c r="E224" i="43"/>
  <c r="F224" i="43"/>
  <c r="G224" i="43"/>
  <c r="H224" i="43"/>
  <c r="I224" i="43"/>
  <c r="J224" i="43"/>
  <c r="K224" i="43"/>
  <c r="L224" i="43"/>
  <c r="M224" i="43"/>
  <c r="N224" i="43"/>
  <c r="O224" i="43"/>
  <c r="P224" i="43"/>
  <c r="Q224" i="43"/>
  <c r="R224" i="43"/>
  <c r="S224" i="43"/>
  <c r="T224" i="43"/>
  <c r="U224" i="43"/>
  <c r="V224" i="43"/>
  <c r="W224" i="43"/>
  <c r="X224" i="43"/>
  <c r="Y224" i="43"/>
  <c r="Z224" i="43"/>
  <c r="AA224" i="43"/>
  <c r="AB224" i="43"/>
  <c r="AC224" i="43"/>
  <c r="AD224" i="43"/>
  <c r="AE224" i="43"/>
  <c r="AF224" i="43"/>
  <c r="AG224" i="43"/>
  <c r="AH224" i="43"/>
  <c r="AI224" i="43"/>
  <c r="AJ224" i="43"/>
  <c r="AK224" i="43"/>
  <c r="AL224" i="43"/>
  <c r="AM224" i="43"/>
  <c r="AN224" i="43"/>
  <c r="AO224" i="43"/>
  <c r="AP224" i="43"/>
  <c r="AQ224" i="43"/>
  <c r="AR224" i="43"/>
  <c r="AS224" i="43"/>
  <c r="AT224" i="43"/>
  <c r="AU224" i="43"/>
  <c r="AV224" i="43"/>
  <c r="AW224" i="43"/>
  <c r="AX224" i="43"/>
  <c r="AY224" i="43"/>
  <c r="AZ224" i="43"/>
  <c r="BA224" i="43"/>
  <c r="BB224" i="43"/>
  <c r="BC224" i="43"/>
  <c r="BD224" i="43"/>
  <c r="BE224" i="43"/>
  <c r="BF224" i="43"/>
  <c r="BG224" i="43"/>
  <c r="BH224" i="43"/>
  <c r="BI224" i="43"/>
  <c r="BJ224" i="43"/>
  <c r="BK224" i="43"/>
  <c r="BL224" i="43"/>
  <c r="BM224" i="43"/>
  <c r="BN224" i="43"/>
  <c r="BO224" i="43"/>
  <c r="BP224" i="43"/>
  <c r="BQ224" i="43"/>
  <c r="BR224" i="43"/>
  <c r="BS224" i="43"/>
  <c r="BT224" i="43"/>
  <c r="BU224" i="43"/>
  <c r="BV224" i="43"/>
  <c r="BW224" i="43"/>
  <c r="BX224" i="43"/>
  <c r="BY224" i="43"/>
  <c r="BZ224" i="43"/>
  <c r="CA224" i="43"/>
  <c r="CB224" i="43"/>
  <c r="CC224" i="43"/>
  <c r="CD224" i="43"/>
  <c r="CE224" i="43"/>
  <c r="CF224" i="43"/>
  <c r="CG224" i="43"/>
  <c r="CH224" i="43"/>
  <c r="CI224" i="43"/>
  <c r="CJ224" i="43"/>
  <c r="CK224" i="43"/>
  <c r="CL224" i="43"/>
  <c r="CM224" i="43"/>
  <c r="CN224" i="43"/>
  <c r="CO224" i="43"/>
  <c r="CP224" i="43"/>
  <c r="CQ224" i="43"/>
  <c r="CR224" i="43"/>
  <c r="CS224" i="43"/>
  <c r="CT224" i="43"/>
  <c r="CU224" i="43"/>
  <c r="CV224" i="43"/>
  <c r="CW224" i="43"/>
  <c r="CX224" i="43"/>
  <c r="CY224" i="43"/>
  <c r="CZ224" i="43"/>
  <c r="DA224" i="43"/>
  <c r="DB224" i="43"/>
  <c r="DC224" i="43"/>
  <c r="DD224" i="43"/>
  <c r="DE224" i="43"/>
  <c r="DF224" i="43"/>
  <c r="DG224" i="43"/>
  <c r="DH224" i="43"/>
  <c r="DI224" i="43"/>
  <c r="DJ224" i="43"/>
  <c r="DK224" i="43"/>
  <c r="DL224" i="43"/>
  <c r="DM224" i="43"/>
  <c r="DN224" i="43"/>
  <c r="DO224" i="43"/>
  <c r="DP224" i="43"/>
  <c r="DQ224" i="43"/>
  <c r="DR224" i="43"/>
  <c r="DS224" i="43"/>
  <c r="DT224" i="43"/>
  <c r="DU224" i="43"/>
  <c r="DV224" i="43"/>
  <c r="DW224" i="43"/>
  <c r="DX224" i="43"/>
  <c r="DY224" i="43"/>
  <c r="DZ224" i="43"/>
  <c r="EA224" i="43"/>
  <c r="EB224" i="43"/>
  <c r="EC224" i="43"/>
  <c r="ED224" i="43"/>
  <c r="EE224" i="43"/>
  <c r="EF224" i="43"/>
  <c r="EG224" i="43"/>
  <c r="EH224" i="43"/>
  <c r="EI224" i="43"/>
  <c r="EJ224" i="43"/>
  <c r="EK224" i="43"/>
  <c r="EL224" i="43"/>
  <c r="EM224" i="43"/>
  <c r="EN224" i="43"/>
  <c r="EO224" i="43"/>
  <c r="EP224" i="43"/>
  <c r="EQ224" i="43"/>
  <c r="ER224" i="43"/>
  <c r="ES224" i="43"/>
  <c r="ET224" i="43"/>
  <c r="EU224" i="43"/>
  <c r="EV224" i="43"/>
  <c r="EW224" i="43"/>
  <c r="EX224" i="43"/>
  <c r="EY224" i="43"/>
  <c r="EZ224" i="43"/>
  <c r="FA224" i="43"/>
  <c r="FB224" i="43"/>
  <c r="FC224" i="43"/>
  <c r="FD224" i="43"/>
  <c r="FE224" i="43"/>
  <c r="FF224" i="43"/>
  <c r="FG224" i="43"/>
  <c r="FH224" i="43"/>
  <c r="FI224" i="43"/>
  <c r="FJ224" i="43"/>
  <c r="FK224" i="43"/>
  <c r="FL224" i="43"/>
  <c r="FM224" i="43"/>
  <c r="FN224" i="43"/>
  <c r="FO224" i="43"/>
  <c r="FP224" i="43"/>
  <c r="FQ224" i="43"/>
  <c r="FR224" i="43"/>
  <c r="FS224" i="43"/>
  <c r="FT224" i="43"/>
  <c r="FU224" i="43"/>
  <c r="FV224" i="43"/>
  <c r="FW224" i="43"/>
  <c r="FX224" i="43"/>
  <c r="FY224" i="43"/>
  <c r="FZ224" i="43"/>
  <c r="GA224" i="43"/>
  <c r="GB224" i="43"/>
  <c r="GC224" i="43"/>
  <c r="GD224" i="43"/>
  <c r="GE224" i="43"/>
  <c r="GF224" i="43"/>
  <c r="GG224" i="43"/>
  <c r="GH224" i="43"/>
  <c r="GI224" i="43"/>
  <c r="GJ224" i="43"/>
  <c r="GK224" i="43"/>
  <c r="GL224" i="43"/>
  <c r="GM224" i="43"/>
  <c r="GN224" i="43"/>
  <c r="GO224" i="43"/>
  <c r="GP224" i="43"/>
  <c r="GQ224" i="43"/>
  <c r="GR224" i="43"/>
  <c r="GS224" i="43"/>
  <c r="GT224" i="43"/>
  <c r="GU224" i="43"/>
  <c r="GV224" i="43"/>
  <c r="GW224" i="43"/>
  <c r="GX224" i="43"/>
  <c r="GY224" i="43"/>
  <c r="GZ224" i="43"/>
  <c r="HA224" i="43"/>
  <c r="HB224" i="43"/>
  <c r="HC224" i="43"/>
  <c r="HD224" i="43"/>
  <c r="HE224" i="43"/>
  <c r="HF224" i="43"/>
  <c r="HG224" i="43"/>
  <c r="HH224" i="43"/>
  <c r="HI224" i="43"/>
  <c r="HJ224" i="43"/>
  <c r="HK224" i="43"/>
  <c r="HL224" i="43"/>
  <c r="HM224" i="43"/>
  <c r="HN224" i="43"/>
  <c r="HO224" i="43"/>
  <c r="HP224" i="43"/>
  <c r="HQ224" i="43"/>
  <c r="HR224" i="43"/>
  <c r="HS224" i="43"/>
  <c r="HT224" i="43"/>
  <c r="HU224" i="43"/>
  <c r="HV224" i="43"/>
  <c r="HW224" i="43"/>
  <c r="HX224" i="43"/>
  <c r="HY224" i="43"/>
  <c r="HZ224" i="43"/>
  <c r="IA224" i="43"/>
  <c r="IB224" i="43"/>
  <c r="IC224" i="43"/>
  <c r="ID224" i="43"/>
  <c r="IE224" i="43"/>
  <c r="IF224" i="43"/>
  <c r="IG224" i="43"/>
  <c r="IH224" i="43"/>
  <c r="II224" i="43"/>
  <c r="IJ224" i="43"/>
  <c r="IK224" i="43"/>
  <c r="IL224" i="43"/>
  <c r="IM224" i="43"/>
  <c r="IN224" i="43"/>
  <c r="IO224" i="43"/>
  <c r="IP224" i="43"/>
  <c r="IQ224" i="43"/>
  <c r="IR224" i="43"/>
  <c r="IS224" i="43"/>
  <c r="IT224" i="43"/>
  <c r="IU224" i="43"/>
  <c r="IV224" i="43"/>
  <c r="A223" i="43"/>
  <c r="B223" i="43"/>
  <c r="C223" i="43"/>
  <c r="D223" i="43"/>
  <c r="E223" i="43"/>
  <c r="F223" i="43"/>
  <c r="G223" i="43"/>
  <c r="H223" i="43"/>
  <c r="I223" i="43"/>
  <c r="J223" i="43"/>
  <c r="K223" i="43"/>
  <c r="L223" i="43"/>
  <c r="M223" i="43"/>
  <c r="N223" i="43"/>
  <c r="O223" i="43"/>
  <c r="P223" i="43"/>
  <c r="Q223" i="43"/>
  <c r="R223" i="43"/>
  <c r="S223" i="43"/>
  <c r="T223" i="43"/>
  <c r="U223" i="43"/>
  <c r="V223" i="43"/>
  <c r="W223" i="43"/>
  <c r="X223" i="43"/>
  <c r="Y223" i="43"/>
  <c r="Z223" i="43"/>
  <c r="AA223" i="43"/>
  <c r="AB223" i="43"/>
  <c r="AC223" i="43"/>
  <c r="AD223" i="43"/>
  <c r="AE223" i="43"/>
  <c r="AF223" i="43"/>
  <c r="AG223" i="43"/>
  <c r="AH223" i="43"/>
  <c r="AI223" i="43"/>
  <c r="AJ223" i="43"/>
  <c r="AK223" i="43"/>
  <c r="AL223" i="43"/>
  <c r="AM223" i="43"/>
  <c r="AN223" i="43"/>
  <c r="AO223" i="43"/>
  <c r="AP223" i="43"/>
  <c r="AQ223" i="43"/>
  <c r="AR223" i="43"/>
  <c r="AS223" i="43"/>
  <c r="AT223" i="43"/>
  <c r="AU223" i="43"/>
  <c r="AV223" i="43"/>
  <c r="AW223" i="43"/>
  <c r="AX223" i="43"/>
  <c r="AY223" i="43"/>
  <c r="AZ223" i="43"/>
  <c r="BA223" i="43"/>
  <c r="BB223" i="43"/>
  <c r="BC223" i="43"/>
  <c r="BD223" i="43"/>
  <c r="BE223" i="43"/>
  <c r="BF223" i="43"/>
  <c r="BG223" i="43"/>
  <c r="BH223" i="43"/>
  <c r="BI223" i="43"/>
  <c r="BJ223" i="43"/>
  <c r="BK223" i="43"/>
  <c r="BL223" i="43"/>
  <c r="BM223" i="43"/>
  <c r="BN223" i="43"/>
  <c r="BO223" i="43"/>
  <c r="BP223" i="43"/>
  <c r="BQ223" i="43"/>
  <c r="BR223" i="43"/>
  <c r="BS223" i="43"/>
  <c r="BT223" i="43"/>
  <c r="BU223" i="43"/>
  <c r="BV223" i="43"/>
  <c r="BW223" i="43"/>
  <c r="BX223" i="43"/>
  <c r="BY223" i="43"/>
  <c r="BZ223" i="43"/>
  <c r="CA223" i="43"/>
  <c r="CB223" i="43"/>
  <c r="CC223" i="43"/>
  <c r="CD223" i="43"/>
  <c r="CE223" i="43"/>
  <c r="CF223" i="43"/>
  <c r="CG223" i="43"/>
  <c r="CH223" i="43"/>
  <c r="CI223" i="43"/>
  <c r="CJ223" i="43"/>
  <c r="CK223" i="43"/>
  <c r="CL223" i="43"/>
  <c r="CM223" i="43"/>
  <c r="CN223" i="43"/>
  <c r="CO223" i="43"/>
  <c r="CP223" i="43"/>
  <c r="CQ223" i="43"/>
  <c r="CR223" i="43"/>
  <c r="CS223" i="43"/>
  <c r="CT223" i="43"/>
  <c r="CU223" i="43"/>
  <c r="CV223" i="43"/>
  <c r="CW223" i="43"/>
  <c r="CX223" i="43"/>
  <c r="CY223" i="43"/>
  <c r="CZ223" i="43"/>
  <c r="DA223" i="43"/>
  <c r="DB223" i="43"/>
  <c r="DC223" i="43"/>
  <c r="DD223" i="43"/>
  <c r="DE223" i="43"/>
  <c r="DF223" i="43"/>
  <c r="DG223" i="43"/>
  <c r="DH223" i="43"/>
  <c r="DI223" i="43"/>
  <c r="DJ223" i="43"/>
  <c r="DK223" i="43"/>
  <c r="DL223" i="43"/>
  <c r="DM223" i="43"/>
  <c r="DN223" i="43"/>
  <c r="DO223" i="43"/>
  <c r="DP223" i="43"/>
  <c r="DQ223" i="43"/>
  <c r="DR223" i="43"/>
  <c r="DS223" i="43"/>
  <c r="DT223" i="43"/>
  <c r="DU223" i="43"/>
  <c r="DV223" i="43"/>
  <c r="DW223" i="43"/>
  <c r="DX223" i="43"/>
  <c r="DY223" i="43"/>
  <c r="DZ223" i="43"/>
  <c r="EA223" i="43"/>
  <c r="EB223" i="43"/>
  <c r="EC223" i="43"/>
  <c r="ED223" i="43"/>
  <c r="EE223" i="43"/>
  <c r="EF223" i="43"/>
  <c r="EG223" i="43"/>
  <c r="EH223" i="43"/>
  <c r="EI223" i="43"/>
  <c r="EJ223" i="43"/>
  <c r="EK223" i="43"/>
  <c r="EL223" i="43"/>
  <c r="EM223" i="43"/>
  <c r="EN223" i="43"/>
  <c r="EO223" i="43"/>
  <c r="EP223" i="43"/>
  <c r="EQ223" i="43"/>
  <c r="ER223" i="43"/>
  <c r="ES223" i="43"/>
  <c r="ET223" i="43"/>
  <c r="EU223" i="43"/>
  <c r="EV223" i="43"/>
  <c r="EW223" i="43"/>
  <c r="EX223" i="43"/>
  <c r="EY223" i="43"/>
  <c r="EZ223" i="43"/>
  <c r="FA223" i="43"/>
  <c r="FB223" i="43"/>
  <c r="FC223" i="43"/>
  <c r="FD223" i="43"/>
  <c r="FE223" i="43"/>
  <c r="FF223" i="43"/>
  <c r="FG223" i="43"/>
  <c r="FH223" i="43"/>
  <c r="FI223" i="43"/>
  <c r="FJ223" i="43"/>
  <c r="FK223" i="43"/>
  <c r="FL223" i="43"/>
  <c r="FM223" i="43"/>
  <c r="FN223" i="43"/>
  <c r="FO223" i="43"/>
  <c r="FP223" i="43"/>
  <c r="FQ223" i="43"/>
  <c r="FR223" i="43"/>
  <c r="FS223" i="43"/>
  <c r="FT223" i="43"/>
  <c r="FU223" i="43"/>
  <c r="FV223" i="43"/>
  <c r="FW223" i="43"/>
  <c r="FX223" i="43"/>
  <c r="FY223" i="43"/>
  <c r="FZ223" i="43"/>
  <c r="GA223" i="43"/>
  <c r="GB223" i="43"/>
  <c r="GC223" i="43"/>
  <c r="GD223" i="43"/>
  <c r="GE223" i="43"/>
  <c r="GF223" i="43"/>
  <c r="GG223" i="43"/>
  <c r="GH223" i="43"/>
  <c r="GI223" i="43"/>
  <c r="GJ223" i="43"/>
  <c r="GK223" i="43"/>
  <c r="GL223" i="43"/>
  <c r="GM223" i="43"/>
  <c r="GN223" i="43"/>
  <c r="GO223" i="43"/>
  <c r="GP223" i="43"/>
  <c r="GQ223" i="43"/>
  <c r="GR223" i="43"/>
  <c r="GS223" i="43"/>
  <c r="GT223" i="43"/>
  <c r="GU223" i="43"/>
  <c r="GV223" i="43"/>
  <c r="GW223" i="43"/>
  <c r="GX223" i="43"/>
  <c r="GY223" i="43"/>
  <c r="GZ223" i="43"/>
  <c r="HA223" i="43"/>
  <c r="HB223" i="43"/>
  <c r="HC223" i="43"/>
  <c r="HD223" i="43"/>
  <c r="HE223" i="43"/>
  <c r="HF223" i="43"/>
  <c r="HG223" i="43"/>
  <c r="HH223" i="43"/>
  <c r="HI223" i="43"/>
  <c r="HJ223" i="43"/>
  <c r="HK223" i="43"/>
  <c r="HL223" i="43"/>
  <c r="HM223" i="43"/>
  <c r="HN223" i="43"/>
  <c r="HO223" i="43"/>
  <c r="HP223" i="43"/>
  <c r="HQ223" i="43"/>
  <c r="HR223" i="43"/>
  <c r="HS223" i="43"/>
  <c r="HT223" i="43"/>
  <c r="HU223" i="43"/>
  <c r="HV223" i="43"/>
  <c r="HW223" i="43"/>
  <c r="HX223" i="43"/>
  <c r="HY223" i="43"/>
  <c r="HZ223" i="43"/>
  <c r="IA223" i="43"/>
  <c r="IB223" i="43"/>
  <c r="IC223" i="43"/>
  <c r="ID223" i="43"/>
  <c r="IE223" i="43"/>
  <c r="IF223" i="43"/>
  <c r="IG223" i="43"/>
  <c r="IH223" i="43"/>
  <c r="II223" i="43"/>
  <c r="IJ223" i="43"/>
  <c r="IK223" i="43"/>
  <c r="IL223" i="43"/>
  <c r="IM223" i="43"/>
  <c r="IN223" i="43"/>
  <c r="IO223" i="43"/>
  <c r="IP223" i="43"/>
  <c r="IQ223" i="43"/>
  <c r="IR223" i="43"/>
  <c r="IS223" i="43"/>
  <c r="IT223" i="43"/>
  <c r="IU223" i="43"/>
  <c r="IV223" i="43"/>
  <c r="A222" i="43"/>
  <c r="B222" i="43"/>
  <c r="C222" i="43"/>
  <c r="D222" i="43"/>
  <c r="E222" i="43"/>
  <c r="F222" i="43"/>
  <c r="G222" i="43"/>
  <c r="H222" i="43"/>
  <c r="I222" i="43"/>
  <c r="J222" i="43"/>
  <c r="K222" i="43"/>
  <c r="L222" i="43"/>
  <c r="M222" i="43"/>
  <c r="N222" i="43"/>
  <c r="O222" i="43"/>
  <c r="P222" i="43"/>
  <c r="Q222" i="43"/>
  <c r="R222" i="43"/>
  <c r="S222" i="43"/>
  <c r="T222" i="43"/>
  <c r="U222" i="43"/>
  <c r="V222" i="43"/>
  <c r="W222" i="43"/>
  <c r="X222" i="43"/>
  <c r="Y222" i="43"/>
  <c r="Z222" i="43"/>
  <c r="AA222" i="43"/>
  <c r="AB222" i="43"/>
  <c r="AC222" i="43"/>
  <c r="AD222" i="43"/>
  <c r="AE222" i="43"/>
  <c r="AF222" i="43"/>
  <c r="AG222" i="43"/>
  <c r="AH222" i="43"/>
  <c r="AI222" i="43"/>
  <c r="AJ222" i="43"/>
  <c r="AK222" i="43"/>
  <c r="AL222" i="43"/>
  <c r="AM222" i="43"/>
  <c r="AN222" i="43"/>
  <c r="AO222" i="43"/>
  <c r="AP222" i="43"/>
  <c r="AQ222" i="43"/>
  <c r="AR222" i="43"/>
  <c r="AS222" i="43"/>
  <c r="AT222" i="43"/>
  <c r="AU222" i="43"/>
  <c r="AV222" i="43"/>
  <c r="AW222" i="43"/>
  <c r="AX222" i="43"/>
  <c r="AY222" i="43"/>
  <c r="AZ222" i="43"/>
  <c r="BA222" i="43"/>
  <c r="BB222" i="43"/>
  <c r="BC222" i="43"/>
  <c r="BD222" i="43"/>
  <c r="BE222" i="43"/>
  <c r="BF222" i="43"/>
  <c r="BG222" i="43"/>
  <c r="BH222" i="43"/>
  <c r="BI222" i="43"/>
  <c r="BJ222" i="43"/>
  <c r="BK222" i="43"/>
  <c r="BL222" i="43"/>
  <c r="BM222" i="43"/>
  <c r="BN222" i="43"/>
  <c r="BO222" i="43"/>
  <c r="BP222" i="43"/>
  <c r="BQ222" i="43"/>
  <c r="BR222" i="43"/>
  <c r="BS222" i="43"/>
  <c r="BT222" i="43"/>
  <c r="BU222" i="43"/>
  <c r="BV222" i="43"/>
  <c r="BW222" i="43"/>
  <c r="BX222" i="43"/>
  <c r="BY222" i="43"/>
  <c r="BZ222" i="43"/>
  <c r="CA222" i="43"/>
  <c r="CB222" i="43"/>
  <c r="CC222" i="43"/>
  <c r="CD222" i="43"/>
  <c r="CE222" i="43"/>
  <c r="CF222" i="43"/>
  <c r="CG222" i="43"/>
  <c r="CH222" i="43"/>
  <c r="CI222" i="43"/>
  <c r="CJ222" i="43"/>
  <c r="CK222" i="43"/>
  <c r="CL222" i="43"/>
  <c r="CM222" i="43"/>
  <c r="CN222" i="43"/>
  <c r="CO222" i="43"/>
  <c r="CP222" i="43"/>
  <c r="CQ222" i="43"/>
  <c r="CR222" i="43"/>
  <c r="CS222" i="43"/>
  <c r="CT222" i="43"/>
  <c r="CU222" i="43"/>
  <c r="CV222" i="43"/>
  <c r="CW222" i="43"/>
  <c r="CX222" i="43"/>
  <c r="CY222" i="43"/>
  <c r="CZ222" i="43"/>
  <c r="DA222" i="43"/>
  <c r="DB222" i="43"/>
  <c r="DC222" i="43"/>
  <c r="DD222" i="43"/>
  <c r="DE222" i="43"/>
  <c r="DF222" i="43"/>
  <c r="DG222" i="43"/>
  <c r="DH222" i="43"/>
  <c r="DI222" i="43"/>
  <c r="DJ222" i="43"/>
  <c r="DK222" i="43"/>
  <c r="DL222" i="43"/>
  <c r="DM222" i="43"/>
  <c r="DN222" i="43"/>
  <c r="DO222" i="43"/>
  <c r="DP222" i="43"/>
  <c r="DQ222" i="43"/>
  <c r="DR222" i="43"/>
  <c r="DS222" i="43"/>
  <c r="DT222" i="43"/>
  <c r="DU222" i="43"/>
  <c r="DV222" i="43"/>
  <c r="DW222" i="43"/>
  <c r="DX222" i="43"/>
  <c r="DY222" i="43"/>
  <c r="DZ222" i="43"/>
  <c r="EA222" i="43"/>
  <c r="EB222" i="43"/>
  <c r="EC222" i="43"/>
  <c r="ED222" i="43"/>
  <c r="EE222" i="43"/>
  <c r="EF222" i="43"/>
  <c r="EG222" i="43"/>
  <c r="EH222" i="43"/>
  <c r="EI222" i="43"/>
  <c r="EJ222" i="43"/>
  <c r="EK222" i="43"/>
  <c r="EL222" i="43"/>
  <c r="EM222" i="43"/>
  <c r="EN222" i="43"/>
  <c r="EO222" i="43"/>
  <c r="EP222" i="43"/>
  <c r="EQ222" i="43"/>
  <c r="ER222" i="43"/>
  <c r="ES222" i="43"/>
  <c r="ET222" i="43"/>
  <c r="EU222" i="43"/>
  <c r="EV222" i="43"/>
  <c r="EW222" i="43"/>
  <c r="EX222" i="43"/>
  <c r="EY222" i="43"/>
  <c r="EZ222" i="43"/>
  <c r="FA222" i="43"/>
  <c r="FB222" i="43"/>
  <c r="FC222" i="43"/>
  <c r="FD222" i="43"/>
  <c r="FE222" i="43"/>
  <c r="FF222" i="43"/>
  <c r="FG222" i="43"/>
  <c r="FH222" i="43"/>
  <c r="FI222" i="43"/>
  <c r="FJ222" i="43"/>
  <c r="FK222" i="43"/>
  <c r="FL222" i="43"/>
  <c r="FM222" i="43"/>
  <c r="FN222" i="43"/>
  <c r="FO222" i="43"/>
  <c r="FP222" i="43"/>
  <c r="FQ222" i="43"/>
  <c r="FR222" i="43"/>
  <c r="FS222" i="43"/>
  <c r="FT222" i="43"/>
  <c r="FU222" i="43"/>
  <c r="FV222" i="43"/>
  <c r="FW222" i="43"/>
  <c r="FX222" i="43"/>
  <c r="FY222" i="43"/>
  <c r="FZ222" i="43"/>
  <c r="GA222" i="43"/>
  <c r="GB222" i="43"/>
  <c r="GC222" i="43"/>
  <c r="GD222" i="43"/>
  <c r="GE222" i="43"/>
  <c r="GF222" i="43"/>
  <c r="GG222" i="43"/>
  <c r="GH222" i="43"/>
  <c r="GI222" i="43"/>
  <c r="GJ222" i="43"/>
  <c r="GK222" i="43"/>
  <c r="GL222" i="43"/>
  <c r="GM222" i="43"/>
  <c r="GN222" i="43"/>
  <c r="GO222" i="43"/>
  <c r="GP222" i="43"/>
  <c r="GQ222" i="43"/>
  <c r="GR222" i="43"/>
  <c r="GS222" i="43"/>
  <c r="GT222" i="43"/>
  <c r="GU222" i="43"/>
  <c r="GV222" i="43"/>
  <c r="GW222" i="43"/>
  <c r="GX222" i="43"/>
  <c r="GY222" i="43"/>
  <c r="GZ222" i="43"/>
  <c r="HA222" i="43"/>
  <c r="HB222" i="43"/>
  <c r="HC222" i="43"/>
  <c r="HD222" i="43"/>
  <c r="HE222" i="43"/>
  <c r="HF222" i="43"/>
  <c r="HG222" i="43"/>
  <c r="HH222" i="43"/>
  <c r="HI222" i="43"/>
  <c r="HJ222" i="43"/>
  <c r="HK222" i="43"/>
  <c r="HL222" i="43"/>
  <c r="HM222" i="43"/>
  <c r="HN222" i="43"/>
  <c r="HO222" i="43"/>
  <c r="HP222" i="43"/>
  <c r="HQ222" i="43"/>
  <c r="HR222" i="43"/>
  <c r="HS222" i="43"/>
  <c r="HT222" i="43"/>
  <c r="HU222" i="43"/>
  <c r="HV222" i="43"/>
  <c r="HW222" i="43"/>
  <c r="HX222" i="43"/>
  <c r="HY222" i="43"/>
  <c r="HZ222" i="43"/>
  <c r="IA222" i="43"/>
  <c r="IB222" i="43"/>
  <c r="IC222" i="43"/>
  <c r="ID222" i="43"/>
  <c r="IE222" i="43"/>
  <c r="IF222" i="43"/>
  <c r="IG222" i="43"/>
  <c r="IH222" i="43"/>
  <c r="II222" i="43"/>
  <c r="IJ222" i="43"/>
  <c r="IK222" i="43"/>
  <c r="IL222" i="43"/>
  <c r="IM222" i="43"/>
  <c r="IN222" i="43"/>
  <c r="IO222" i="43"/>
  <c r="IP222" i="43"/>
  <c r="IQ222" i="43"/>
  <c r="IR222" i="43"/>
  <c r="IS222" i="43"/>
  <c r="IT222" i="43"/>
  <c r="IU222" i="43"/>
  <c r="IV222" i="43"/>
  <c r="A221" i="43"/>
  <c r="B221" i="43"/>
  <c r="C221" i="43"/>
  <c r="D221" i="43"/>
  <c r="E221" i="43"/>
  <c r="F221" i="43"/>
  <c r="G221" i="43"/>
  <c r="H221" i="43"/>
  <c r="I221" i="43"/>
  <c r="J221" i="43"/>
  <c r="K221" i="43"/>
  <c r="L221" i="43"/>
  <c r="M221" i="43"/>
  <c r="N221" i="43"/>
  <c r="O221" i="43"/>
  <c r="P221" i="43"/>
  <c r="Q221" i="43"/>
  <c r="R221" i="43"/>
  <c r="S221" i="43"/>
  <c r="T221" i="43"/>
  <c r="U221" i="43"/>
  <c r="V221" i="43"/>
  <c r="W221" i="43"/>
  <c r="X221" i="43"/>
  <c r="Y221" i="43"/>
  <c r="Z221" i="43"/>
  <c r="AA221" i="43"/>
  <c r="AB221" i="43"/>
  <c r="AC221" i="43"/>
  <c r="AD221" i="43"/>
  <c r="AE221" i="43"/>
  <c r="AF221" i="43"/>
  <c r="AG221" i="43"/>
  <c r="AH221" i="43"/>
  <c r="AI221" i="43"/>
  <c r="AJ221" i="43"/>
  <c r="AK221" i="43"/>
  <c r="AL221" i="43"/>
  <c r="AM221" i="43"/>
  <c r="AN221" i="43"/>
  <c r="AO221" i="43"/>
  <c r="AP221" i="43"/>
  <c r="AQ221" i="43"/>
  <c r="AR221" i="43"/>
  <c r="AS221" i="43"/>
  <c r="AT221" i="43"/>
  <c r="AU221" i="43"/>
  <c r="AV221" i="43"/>
  <c r="AW221" i="43"/>
  <c r="AX221" i="43"/>
  <c r="AY221" i="43"/>
  <c r="AZ221" i="43"/>
  <c r="BA221" i="43"/>
  <c r="BB221" i="43"/>
  <c r="BC221" i="43"/>
  <c r="BD221" i="43"/>
  <c r="BE221" i="43"/>
  <c r="BF221" i="43"/>
  <c r="BG221" i="43"/>
  <c r="BH221" i="43"/>
  <c r="BI221" i="43"/>
  <c r="BJ221" i="43"/>
  <c r="BK221" i="43"/>
  <c r="BL221" i="43"/>
  <c r="BM221" i="43"/>
  <c r="BN221" i="43"/>
  <c r="BO221" i="43"/>
  <c r="BP221" i="43"/>
  <c r="BQ221" i="43"/>
  <c r="BR221" i="43"/>
  <c r="BS221" i="43"/>
  <c r="BT221" i="43"/>
  <c r="BU221" i="43"/>
  <c r="BV221" i="43"/>
  <c r="BW221" i="43"/>
  <c r="BX221" i="43"/>
  <c r="BY221" i="43"/>
  <c r="BZ221" i="43"/>
  <c r="CA221" i="43"/>
  <c r="CB221" i="43"/>
  <c r="CC221" i="43"/>
  <c r="CD221" i="43"/>
  <c r="CE221" i="43"/>
  <c r="CF221" i="43"/>
  <c r="CG221" i="43"/>
  <c r="CH221" i="43"/>
  <c r="CI221" i="43"/>
  <c r="CJ221" i="43"/>
  <c r="CK221" i="43"/>
  <c r="CL221" i="43"/>
  <c r="CM221" i="43"/>
  <c r="CN221" i="43"/>
  <c r="CO221" i="43"/>
  <c r="CP221" i="43"/>
  <c r="CQ221" i="43"/>
  <c r="CR221" i="43"/>
  <c r="CS221" i="43"/>
  <c r="CT221" i="43"/>
  <c r="CU221" i="43"/>
  <c r="CV221" i="43"/>
  <c r="CW221" i="43"/>
  <c r="CX221" i="43"/>
  <c r="CY221" i="43"/>
  <c r="CZ221" i="43"/>
  <c r="DA221" i="43"/>
  <c r="DB221" i="43"/>
  <c r="DC221" i="43"/>
  <c r="DD221" i="43"/>
  <c r="DE221" i="43"/>
  <c r="DF221" i="43"/>
  <c r="DG221" i="43"/>
  <c r="DH221" i="43"/>
  <c r="DI221" i="43"/>
  <c r="DJ221" i="43"/>
  <c r="DK221" i="43"/>
  <c r="DL221" i="43"/>
  <c r="DM221" i="43"/>
  <c r="DN221" i="43"/>
  <c r="DO221" i="43"/>
  <c r="DP221" i="43"/>
  <c r="DQ221" i="43"/>
  <c r="DR221" i="43"/>
  <c r="DS221" i="43"/>
  <c r="DT221" i="43"/>
  <c r="DU221" i="43"/>
  <c r="DV221" i="43"/>
  <c r="DW221" i="43"/>
  <c r="DX221" i="43"/>
  <c r="DY221" i="43"/>
  <c r="DZ221" i="43"/>
  <c r="EA221" i="43"/>
  <c r="EB221" i="43"/>
  <c r="EC221" i="43"/>
  <c r="ED221" i="43"/>
  <c r="EE221" i="43"/>
  <c r="EF221" i="43"/>
  <c r="EG221" i="43"/>
  <c r="EH221" i="43"/>
  <c r="EI221" i="43"/>
  <c r="EJ221" i="43"/>
  <c r="EK221" i="43"/>
  <c r="EL221" i="43"/>
  <c r="EM221" i="43"/>
  <c r="EN221" i="43"/>
  <c r="EO221" i="43"/>
  <c r="EP221" i="43"/>
  <c r="EQ221" i="43"/>
  <c r="ER221" i="43"/>
  <c r="ES221" i="43"/>
  <c r="ET221" i="43"/>
  <c r="EU221" i="43"/>
  <c r="EV221" i="43"/>
  <c r="EW221" i="43"/>
  <c r="EX221" i="43"/>
  <c r="EY221" i="43"/>
  <c r="EZ221" i="43"/>
  <c r="FA221" i="43"/>
  <c r="FB221" i="43"/>
  <c r="FC221" i="43"/>
  <c r="FD221" i="43"/>
  <c r="FE221" i="43"/>
  <c r="FF221" i="43"/>
  <c r="FG221" i="43"/>
  <c r="FH221" i="43"/>
  <c r="FI221" i="43"/>
  <c r="FJ221" i="43"/>
  <c r="FK221" i="43"/>
  <c r="FL221" i="43"/>
  <c r="FM221" i="43"/>
  <c r="FN221" i="43"/>
  <c r="FO221" i="43"/>
  <c r="FP221" i="43"/>
  <c r="FQ221" i="43"/>
  <c r="FR221" i="43"/>
  <c r="FS221" i="43"/>
  <c r="FT221" i="43"/>
  <c r="FU221" i="43"/>
  <c r="FV221" i="43"/>
  <c r="FW221" i="43"/>
  <c r="FX221" i="43"/>
  <c r="FY221" i="43"/>
  <c r="FZ221" i="43"/>
  <c r="GA221" i="43"/>
  <c r="GB221" i="43"/>
  <c r="GC221" i="43"/>
  <c r="GD221" i="43"/>
  <c r="GE221" i="43"/>
  <c r="GF221" i="43"/>
  <c r="GG221" i="43"/>
  <c r="GH221" i="43"/>
  <c r="GI221" i="43"/>
  <c r="GJ221" i="43"/>
  <c r="GK221" i="43"/>
  <c r="GL221" i="43"/>
  <c r="GM221" i="43"/>
  <c r="GN221" i="43"/>
  <c r="GO221" i="43"/>
  <c r="GP221" i="43"/>
  <c r="GQ221" i="43"/>
  <c r="GR221" i="43"/>
  <c r="GS221" i="43"/>
  <c r="GT221" i="43"/>
  <c r="GU221" i="43"/>
  <c r="GV221" i="43"/>
  <c r="GW221" i="43"/>
  <c r="GX221" i="43"/>
  <c r="GY221" i="43"/>
  <c r="GZ221" i="43"/>
  <c r="HA221" i="43"/>
  <c r="HB221" i="43"/>
  <c r="HC221" i="43"/>
  <c r="HD221" i="43"/>
  <c r="HE221" i="43"/>
  <c r="HF221" i="43"/>
  <c r="HG221" i="43"/>
  <c r="HH221" i="43"/>
  <c r="HI221" i="43"/>
  <c r="HJ221" i="43"/>
  <c r="HK221" i="43"/>
  <c r="HL221" i="43"/>
  <c r="HM221" i="43"/>
  <c r="HN221" i="43"/>
  <c r="HO221" i="43"/>
  <c r="HP221" i="43"/>
  <c r="HQ221" i="43"/>
  <c r="HR221" i="43"/>
  <c r="HS221" i="43"/>
  <c r="HT221" i="43"/>
  <c r="HU221" i="43"/>
  <c r="HV221" i="43"/>
  <c r="HW221" i="43"/>
  <c r="HX221" i="43"/>
  <c r="HY221" i="43"/>
  <c r="HZ221" i="43"/>
  <c r="IA221" i="43"/>
  <c r="IB221" i="43"/>
  <c r="IC221" i="43"/>
  <c r="ID221" i="43"/>
  <c r="IE221" i="43"/>
  <c r="IF221" i="43"/>
  <c r="IG221" i="43"/>
  <c r="IH221" i="43"/>
  <c r="II221" i="43"/>
  <c r="IJ221" i="43"/>
  <c r="IK221" i="43"/>
  <c r="IL221" i="43"/>
  <c r="IM221" i="43"/>
  <c r="IN221" i="43"/>
  <c r="IO221" i="43"/>
  <c r="IP221" i="43"/>
  <c r="IQ221" i="43"/>
  <c r="IR221" i="43"/>
  <c r="IS221" i="43"/>
  <c r="IT221" i="43"/>
  <c r="IU221" i="43"/>
  <c r="IV221" i="43"/>
  <c r="A220" i="43"/>
  <c r="B220" i="43"/>
  <c r="C220" i="43"/>
  <c r="D220" i="43"/>
  <c r="E220" i="43"/>
  <c r="F220" i="43"/>
  <c r="G220" i="43"/>
  <c r="H220" i="43"/>
  <c r="I220" i="43"/>
  <c r="J220" i="43"/>
  <c r="K220" i="43"/>
  <c r="L220" i="43"/>
  <c r="M220" i="43"/>
  <c r="N220" i="43"/>
  <c r="O220" i="43"/>
  <c r="P220" i="43"/>
  <c r="Q220" i="43"/>
  <c r="R220" i="43"/>
  <c r="S220" i="43"/>
  <c r="T220" i="43"/>
  <c r="U220" i="43"/>
  <c r="V220" i="43"/>
  <c r="W220" i="43"/>
  <c r="X220" i="43"/>
  <c r="Y220" i="43"/>
  <c r="Z220" i="43"/>
  <c r="AA220" i="43"/>
  <c r="AB220" i="43"/>
  <c r="AC220" i="43"/>
  <c r="AD220" i="43"/>
  <c r="AE220" i="43"/>
  <c r="AF220" i="43"/>
  <c r="AG220" i="43"/>
  <c r="AH220" i="43"/>
  <c r="AI220" i="43"/>
  <c r="AJ220" i="43"/>
  <c r="AK220" i="43"/>
  <c r="AL220" i="43"/>
  <c r="AM220" i="43"/>
  <c r="AN220" i="43"/>
  <c r="AO220" i="43"/>
  <c r="AP220" i="43"/>
  <c r="AQ220" i="43"/>
  <c r="AR220" i="43"/>
  <c r="AS220" i="43"/>
  <c r="AT220" i="43"/>
  <c r="AU220" i="43"/>
  <c r="AV220" i="43"/>
  <c r="AW220" i="43"/>
  <c r="AX220" i="43"/>
  <c r="AY220" i="43"/>
  <c r="AZ220" i="43"/>
  <c r="BA220" i="43"/>
  <c r="BB220" i="43"/>
  <c r="BC220" i="43"/>
  <c r="BD220" i="43"/>
  <c r="BE220" i="43"/>
  <c r="BF220" i="43"/>
  <c r="BG220" i="43"/>
  <c r="BH220" i="43"/>
  <c r="BI220" i="43"/>
  <c r="BJ220" i="43"/>
  <c r="BK220" i="43"/>
  <c r="BL220" i="43"/>
  <c r="BM220" i="43"/>
  <c r="BN220" i="43"/>
  <c r="BO220" i="43"/>
  <c r="BP220" i="43"/>
  <c r="BQ220" i="43"/>
  <c r="BR220" i="43"/>
  <c r="BS220" i="43"/>
  <c r="BT220" i="43"/>
  <c r="BU220" i="43"/>
  <c r="BV220" i="43"/>
  <c r="BW220" i="43"/>
  <c r="BX220" i="43"/>
  <c r="BY220" i="43"/>
  <c r="BZ220" i="43"/>
  <c r="CA220" i="43"/>
  <c r="CB220" i="43"/>
  <c r="CC220" i="43"/>
  <c r="CD220" i="43"/>
  <c r="CE220" i="43"/>
  <c r="CF220" i="43"/>
  <c r="CG220" i="43"/>
  <c r="CH220" i="43"/>
  <c r="CI220" i="43"/>
  <c r="CJ220" i="43"/>
  <c r="CK220" i="43"/>
  <c r="CL220" i="43"/>
  <c r="CM220" i="43"/>
  <c r="CN220" i="43"/>
  <c r="CO220" i="43"/>
  <c r="CP220" i="43"/>
  <c r="CQ220" i="43"/>
  <c r="CR220" i="43"/>
  <c r="CS220" i="43"/>
  <c r="CT220" i="43"/>
  <c r="CU220" i="43"/>
  <c r="CV220" i="43"/>
  <c r="CW220" i="43"/>
  <c r="CX220" i="43"/>
  <c r="CY220" i="43"/>
  <c r="CZ220" i="43"/>
  <c r="DA220" i="43"/>
  <c r="DB220" i="43"/>
  <c r="DC220" i="43"/>
  <c r="DD220" i="43"/>
  <c r="DE220" i="43"/>
  <c r="DF220" i="43"/>
  <c r="DG220" i="43"/>
  <c r="DH220" i="43"/>
  <c r="DI220" i="43"/>
  <c r="DJ220" i="43"/>
  <c r="DK220" i="43"/>
  <c r="DL220" i="43"/>
  <c r="DM220" i="43"/>
  <c r="DN220" i="43"/>
  <c r="DO220" i="43"/>
  <c r="DP220" i="43"/>
  <c r="DQ220" i="43"/>
  <c r="DR220" i="43"/>
  <c r="DS220" i="43"/>
  <c r="DT220" i="43"/>
  <c r="DU220" i="43"/>
  <c r="DV220" i="43"/>
  <c r="DW220" i="43"/>
  <c r="DX220" i="43"/>
  <c r="DY220" i="43"/>
  <c r="DZ220" i="43"/>
  <c r="EA220" i="43"/>
  <c r="EB220" i="43"/>
  <c r="EC220" i="43"/>
  <c r="ED220" i="43"/>
  <c r="EE220" i="43"/>
  <c r="EF220" i="43"/>
  <c r="EG220" i="43"/>
  <c r="EH220" i="43"/>
  <c r="EI220" i="43"/>
  <c r="EJ220" i="43"/>
  <c r="EK220" i="43"/>
  <c r="EL220" i="43"/>
  <c r="EM220" i="43"/>
  <c r="EN220" i="43"/>
  <c r="EO220" i="43"/>
  <c r="EP220" i="43"/>
  <c r="EQ220" i="43"/>
  <c r="ER220" i="43"/>
  <c r="ES220" i="43"/>
  <c r="ET220" i="43"/>
  <c r="EU220" i="43"/>
  <c r="EV220" i="43"/>
  <c r="EW220" i="43"/>
  <c r="EX220" i="43"/>
  <c r="EY220" i="43"/>
  <c r="EZ220" i="43"/>
  <c r="FA220" i="43"/>
  <c r="FB220" i="43"/>
  <c r="FC220" i="43"/>
  <c r="FD220" i="43"/>
  <c r="FE220" i="43"/>
  <c r="FF220" i="43"/>
  <c r="FG220" i="43"/>
  <c r="FH220" i="43"/>
  <c r="FI220" i="43"/>
  <c r="FJ220" i="43"/>
  <c r="FK220" i="43"/>
  <c r="FL220" i="43"/>
  <c r="FM220" i="43"/>
  <c r="FN220" i="43"/>
  <c r="FO220" i="43"/>
  <c r="FP220" i="43"/>
  <c r="FQ220" i="43"/>
  <c r="FR220" i="43"/>
  <c r="FS220" i="43"/>
  <c r="FT220" i="43"/>
  <c r="FU220" i="43"/>
  <c r="FV220" i="43"/>
  <c r="FW220" i="43"/>
  <c r="FX220" i="43"/>
  <c r="FY220" i="43"/>
  <c r="FZ220" i="43"/>
  <c r="GA220" i="43"/>
  <c r="GB220" i="43"/>
  <c r="GC220" i="43"/>
  <c r="GD220" i="43"/>
  <c r="GE220" i="43"/>
  <c r="GF220" i="43"/>
  <c r="GG220" i="43"/>
  <c r="GH220" i="43"/>
  <c r="GI220" i="43"/>
  <c r="GJ220" i="43"/>
  <c r="GK220" i="43"/>
  <c r="GL220" i="43"/>
  <c r="GM220" i="43"/>
  <c r="GN220" i="43"/>
  <c r="GO220" i="43"/>
  <c r="GP220" i="43"/>
  <c r="GQ220" i="43"/>
  <c r="GR220" i="43"/>
  <c r="GS220" i="43"/>
  <c r="GT220" i="43"/>
  <c r="GU220" i="43"/>
  <c r="GV220" i="43"/>
  <c r="GW220" i="43"/>
  <c r="GX220" i="43"/>
  <c r="GY220" i="43"/>
  <c r="GZ220" i="43"/>
  <c r="HA220" i="43"/>
  <c r="HB220" i="43"/>
  <c r="HC220" i="43"/>
  <c r="HD220" i="43"/>
  <c r="HE220" i="43"/>
  <c r="HF220" i="43"/>
  <c r="HG220" i="43"/>
  <c r="HH220" i="43"/>
  <c r="HI220" i="43"/>
  <c r="HJ220" i="43"/>
  <c r="HK220" i="43"/>
  <c r="HL220" i="43"/>
  <c r="HM220" i="43"/>
  <c r="HN220" i="43"/>
  <c r="HO220" i="43"/>
  <c r="HP220" i="43"/>
  <c r="HQ220" i="43"/>
  <c r="HR220" i="43"/>
  <c r="HS220" i="43"/>
  <c r="HT220" i="43"/>
  <c r="HU220" i="43"/>
  <c r="HV220" i="43"/>
  <c r="HW220" i="43"/>
  <c r="HX220" i="43"/>
  <c r="HY220" i="43"/>
  <c r="HZ220" i="43"/>
  <c r="IA220" i="43"/>
  <c r="IB220" i="43"/>
  <c r="IC220" i="43"/>
  <c r="ID220" i="43"/>
  <c r="IE220" i="43"/>
  <c r="IF220" i="43"/>
  <c r="IG220" i="43"/>
  <c r="IH220" i="43"/>
  <c r="II220" i="43"/>
  <c r="IJ220" i="43"/>
  <c r="IK220" i="43"/>
  <c r="IL220" i="43"/>
  <c r="IM220" i="43"/>
  <c r="IN220" i="43"/>
  <c r="IO220" i="43"/>
  <c r="IP220" i="43"/>
  <c r="IQ220" i="43"/>
  <c r="IR220" i="43"/>
  <c r="IS220" i="43"/>
  <c r="IT220" i="43"/>
  <c r="IU220" i="43"/>
  <c r="IV220" i="43"/>
  <c r="A219" i="43"/>
  <c r="B219" i="43"/>
  <c r="C219" i="43"/>
  <c r="D219" i="43"/>
  <c r="E219" i="43"/>
  <c r="F219" i="43"/>
  <c r="G219" i="43"/>
  <c r="H219" i="43"/>
  <c r="I219" i="43"/>
  <c r="J219" i="43"/>
  <c r="K219" i="43"/>
  <c r="L219" i="43"/>
  <c r="M219" i="43"/>
  <c r="N219" i="43"/>
  <c r="O219" i="43"/>
  <c r="P219" i="43"/>
  <c r="Q219" i="43"/>
  <c r="R219" i="43"/>
  <c r="S219" i="43"/>
  <c r="T219" i="43"/>
  <c r="U219" i="43"/>
  <c r="V219" i="43"/>
  <c r="W219" i="43"/>
  <c r="X219" i="43"/>
  <c r="Y219" i="43"/>
  <c r="Z219" i="43"/>
  <c r="AA219" i="43"/>
  <c r="AB219" i="43"/>
  <c r="AC219" i="43"/>
  <c r="AD219" i="43"/>
  <c r="AE219" i="43"/>
  <c r="AF219" i="43"/>
  <c r="AG219" i="43"/>
  <c r="AH219" i="43"/>
  <c r="AI219" i="43"/>
  <c r="AJ219" i="43"/>
  <c r="AK219" i="43"/>
  <c r="AL219" i="43"/>
  <c r="AM219" i="43"/>
  <c r="AN219" i="43"/>
  <c r="AO219" i="43"/>
  <c r="AP219" i="43"/>
  <c r="AQ219" i="43"/>
  <c r="AR219" i="43"/>
  <c r="AS219" i="43"/>
  <c r="AT219" i="43"/>
  <c r="AU219" i="43"/>
  <c r="AV219" i="43"/>
  <c r="AW219" i="43"/>
  <c r="AX219" i="43"/>
  <c r="AY219" i="43"/>
  <c r="AZ219" i="43"/>
  <c r="BA219" i="43"/>
  <c r="BB219" i="43"/>
  <c r="BC219" i="43"/>
  <c r="BD219" i="43"/>
  <c r="BE219" i="43"/>
  <c r="BF219" i="43"/>
  <c r="BG219" i="43"/>
  <c r="BH219" i="43"/>
  <c r="BI219" i="43"/>
  <c r="BJ219" i="43"/>
  <c r="BK219" i="43"/>
  <c r="BL219" i="43"/>
  <c r="BM219" i="43"/>
  <c r="BN219" i="43"/>
  <c r="BO219" i="43"/>
  <c r="BP219" i="43"/>
  <c r="BQ219" i="43"/>
  <c r="BR219" i="43"/>
  <c r="BS219" i="43"/>
  <c r="BT219" i="43"/>
  <c r="BU219" i="43"/>
  <c r="BV219" i="43"/>
  <c r="BW219" i="43"/>
  <c r="BX219" i="43"/>
  <c r="BY219" i="43"/>
  <c r="BZ219" i="43"/>
  <c r="CA219" i="43"/>
  <c r="CB219" i="43"/>
  <c r="CC219" i="43"/>
  <c r="CD219" i="43"/>
  <c r="CE219" i="43"/>
  <c r="CF219" i="43"/>
  <c r="CG219" i="43"/>
  <c r="CH219" i="43"/>
  <c r="CI219" i="43"/>
  <c r="CJ219" i="43"/>
  <c r="CK219" i="43"/>
  <c r="CL219" i="43"/>
  <c r="CM219" i="43"/>
  <c r="CN219" i="43"/>
  <c r="CO219" i="43"/>
  <c r="CP219" i="43"/>
  <c r="CQ219" i="43"/>
  <c r="CR219" i="43"/>
  <c r="CS219" i="43"/>
  <c r="CT219" i="43"/>
  <c r="CU219" i="43"/>
  <c r="CV219" i="43"/>
  <c r="CW219" i="43"/>
  <c r="CX219" i="43"/>
  <c r="CY219" i="43"/>
  <c r="CZ219" i="43"/>
  <c r="DA219" i="43"/>
  <c r="DB219" i="43"/>
  <c r="DC219" i="43"/>
  <c r="DD219" i="43"/>
  <c r="DE219" i="43"/>
  <c r="DF219" i="43"/>
  <c r="DG219" i="43"/>
  <c r="DH219" i="43"/>
  <c r="DI219" i="43"/>
  <c r="DJ219" i="43"/>
  <c r="DK219" i="43"/>
  <c r="DL219" i="43"/>
  <c r="DM219" i="43"/>
  <c r="DN219" i="43"/>
  <c r="DO219" i="43"/>
  <c r="DP219" i="43"/>
  <c r="DQ219" i="43"/>
  <c r="DR219" i="43"/>
  <c r="DS219" i="43"/>
  <c r="DT219" i="43"/>
  <c r="DU219" i="43"/>
  <c r="DV219" i="43"/>
  <c r="DW219" i="43"/>
  <c r="DX219" i="43"/>
  <c r="DY219" i="43"/>
  <c r="DZ219" i="43"/>
  <c r="EA219" i="43"/>
  <c r="EB219" i="43"/>
  <c r="EC219" i="43"/>
  <c r="ED219" i="43"/>
  <c r="EE219" i="43"/>
  <c r="EF219" i="43"/>
  <c r="EG219" i="43"/>
  <c r="EH219" i="43"/>
  <c r="EI219" i="43"/>
  <c r="EJ219" i="43"/>
  <c r="EK219" i="43"/>
  <c r="EL219" i="43"/>
  <c r="EM219" i="43"/>
  <c r="EN219" i="43"/>
  <c r="EO219" i="43"/>
  <c r="EP219" i="43"/>
  <c r="EQ219" i="43"/>
  <c r="ER219" i="43"/>
  <c r="ES219" i="43"/>
  <c r="ET219" i="43"/>
  <c r="EU219" i="43"/>
  <c r="EV219" i="43"/>
  <c r="EW219" i="43"/>
  <c r="EX219" i="43"/>
  <c r="EY219" i="43"/>
  <c r="EZ219" i="43"/>
  <c r="FA219" i="43"/>
  <c r="FB219" i="43"/>
  <c r="FC219" i="43"/>
  <c r="FD219" i="43"/>
  <c r="FE219" i="43"/>
  <c r="FF219" i="43"/>
  <c r="FG219" i="43"/>
  <c r="FH219" i="43"/>
  <c r="FI219" i="43"/>
  <c r="FJ219" i="43"/>
  <c r="FK219" i="43"/>
  <c r="FL219" i="43"/>
  <c r="FM219" i="43"/>
  <c r="FN219" i="43"/>
  <c r="FO219" i="43"/>
  <c r="FP219" i="43"/>
  <c r="FQ219" i="43"/>
  <c r="FR219" i="43"/>
  <c r="FS219" i="43"/>
  <c r="FT219" i="43"/>
  <c r="FU219" i="43"/>
  <c r="FV219" i="43"/>
  <c r="FW219" i="43"/>
  <c r="FX219" i="43"/>
  <c r="FY219" i="43"/>
  <c r="FZ219" i="43"/>
  <c r="GA219" i="43"/>
  <c r="GB219" i="43"/>
  <c r="GC219" i="43"/>
  <c r="GD219" i="43"/>
  <c r="GE219" i="43"/>
  <c r="GF219" i="43"/>
  <c r="GG219" i="43"/>
  <c r="GH219" i="43"/>
  <c r="GI219" i="43"/>
  <c r="GJ219" i="43"/>
  <c r="GK219" i="43"/>
  <c r="GL219" i="43"/>
  <c r="GM219" i="43"/>
  <c r="GN219" i="43"/>
  <c r="GO219" i="43"/>
  <c r="GP219" i="43"/>
  <c r="GQ219" i="43"/>
  <c r="GR219" i="43"/>
  <c r="GS219" i="43"/>
  <c r="GT219" i="43"/>
  <c r="GU219" i="43"/>
  <c r="GV219" i="43"/>
  <c r="GW219" i="43"/>
  <c r="GX219" i="43"/>
  <c r="GY219" i="43"/>
  <c r="GZ219" i="43"/>
  <c r="HA219" i="43"/>
  <c r="HB219" i="43"/>
  <c r="HC219" i="43"/>
  <c r="HD219" i="43"/>
  <c r="HE219" i="43"/>
  <c r="HF219" i="43"/>
  <c r="HG219" i="43"/>
  <c r="HH219" i="43"/>
  <c r="HI219" i="43"/>
  <c r="HJ219" i="43"/>
  <c r="HK219" i="43"/>
  <c r="HL219" i="43"/>
  <c r="HM219" i="43"/>
  <c r="HN219" i="43"/>
  <c r="HO219" i="43"/>
  <c r="HP219" i="43"/>
  <c r="HQ219" i="43"/>
  <c r="HR219" i="43"/>
  <c r="HS219" i="43"/>
  <c r="HT219" i="43"/>
  <c r="HU219" i="43"/>
  <c r="HV219" i="43"/>
  <c r="HW219" i="43"/>
  <c r="HX219" i="43"/>
  <c r="HY219" i="43"/>
  <c r="HZ219" i="43"/>
  <c r="IA219" i="43"/>
  <c r="IB219" i="43"/>
  <c r="IC219" i="43"/>
  <c r="ID219" i="43"/>
  <c r="IE219" i="43"/>
  <c r="IF219" i="43"/>
  <c r="IG219" i="43"/>
  <c r="IH219" i="43"/>
  <c r="II219" i="43"/>
  <c r="IJ219" i="43"/>
  <c r="IK219" i="43"/>
  <c r="IL219" i="43"/>
  <c r="IM219" i="43"/>
  <c r="IN219" i="43"/>
  <c r="IO219" i="43"/>
  <c r="IP219" i="43"/>
  <c r="IQ219" i="43"/>
  <c r="IR219" i="43"/>
  <c r="IS219" i="43"/>
  <c r="IT219" i="43"/>
  <c r="IU219" i="43"/>
  <c r="IV219" i="43"/>
  <c r="A218" i="43"/>
  <c r="B218" i="43"/>
  <c r="C218" i="43"/>
  <c r="D218" i="43"/>
  <c r="E218" i="43"/>
  <c r="F218" i="43"/>
  <c r="G218" i="43"/>
  <c r="H218" i="43"/>
  <c r="I218" i="43"/>
  <c r="J218" i="43"/>
  <c r="K218" i="43"/>
  <c r="L218" i="43"/>
  <c r="M218" i="43"/>
  <c r="N218" i="43"/>
  <c r="O218" i="43"/>
  <c r="P218" i="43"/>
  <c r="Q218" i="43"/>
  <c r="R218" i="43"/>
  <c r="S218" i="43"/>
  <c r="T218" i="43"/>
  <c r="U218" i="43"/>
  <c r="V218" i="43"/>
  <c r="W218" i="43"/>
  <c r="X218" i="43"/>
  <c r="Y218" i="43"/>
  <c r="Z218" i="43"/>
  <c r="AA218" i="43"/>
  <c r="AB218" i="43"/>
  <c r="AC218" i="43"/>
  <c r="AD218" i="43"/>
  <c r="AE218" i="43"/>
  <c r="AF218" i="43"/>
  <c r="AG218" i="43"/>
  <c r="AH218" i="43"/>
  <c r="AI218" i="43"/>
  <c r="AJ218" i="43"/>
  <c r="AK218" i="43"/>
  <c r="AL218" i="43"/>
  <c r="AM218" i="43"/>
  <c r="AN218" i="43"/>
  <c r="AO218" i="43"/>
  <c r="AP218" i="43"/>
  <c r="AQ218" i="43"/>
  <c r="AR218" i="43"/>
  <c r="AS218" i="43"/>
  <c r="AT218" i="43"/>
  <c r="AU218" i="43"/>
  <c r="AV218" i="43"/>
  <c r="AW218" i="43"/>
  <c r="AX218" i="43"/>
  <c r="AY218" i="43"/>
  <c r="AZ218" i="43"/>
  <c r="BA218" i="43"/>
  <c r="BB218" i="43"/>
  <c r="BC218" i="43"/>
  <c r="BD218" i="43"/>
  <c r="BE218" i="43"/>
  <c r="BF218" i="43"/>
  <c r="BG218" i="43"/>
  <c r="BH218" i="43"/>
  <c r="BI218" i="43"/>
  <c r="BJ218" i="43"/>
  <c r="BK218" i="43"/>
  <c r="BL218" i="43"/>
  <c r="BM218" i="43"/>
  <c r="BN218" i="43"/>
  <c r="BO218" i="43"/>
  <c r="BP218" i="43"/>
  <c r="BQ218" i="43"/>
  <c r="BR218" i="43"/>
  <c r="BS218" i="43"/>
  <c r="BT218" i="43"/>
  <c r="BU218" i="43"/>
  <c r="BV218" i="43"/>
  <c r="BW218" i="43"/>
  <c r="BX218" i="43"/>
  <c r="BY218" i="43"/>
  <c r="BZ218" i="43"/>
  <c r="CA218" i="43"/>
  <c r="CB218" i="43"/>
  <c r="CC218" i="43"/>
  <c r="CD218" i="43"/>
  <c r="CE218" i="43"/>
  <c r="CF218" i="43"/>
  <c r="CG218" i="43"/>
  <c r="CH218" i="43"/>
  <c r="CI218" i="43"/>
  <c r="CJ218" i="43"/>
  <c r="CK218" i="43"/>
  <c r="CL218" i="43"/>
  <c r="CM218" i="43"/>
  <c r="CN218" i="43"/>
  <c r="CO218" i="43"/>
  <c r="CP218" i="43"/>
  <c r="CQ218" i="43"/>
  <c r="CR218" i="43"/>
  <c r="CS218" i="43"/>
  <c r="CT218" i="43"/>
  <c r="CU218" i="43"/>
  <c r="CV218" i="43"/>
  <c r="CW218" i="43"/>
  <c r="CX218" i="43"/>
  <c r="CY218" i="43"/>
  <c r="CZ218" i="43"/>
  <c r="DA218" i="43"/>
  <c r="DB218" i="43"/>
  <c r="DC218" i="43"/>
  <c r="DD218" i="43"/>
  <c r="DE218" i="43"/>
  <c r="DF218" i="43"/>
  <c r="DG218" i="43"/>
  <c r="DH218" i="43"/>
  <c r="DI218" i="43"/>
  <c r="DJ218" i="43"/>
  <c r="DK218" i="43"/>
  <c r="DL218" i="43"/>
  <c r="DM218" i="43"/>
  <c r="DN218" i="43"/>
  <c r="DO218" i="43"/>
  <c r="DP218" i="43"/>
  <c r="DQ218" i="43"/>
  <c r="DR218" i="43"/>
  <c r="DS218" i="43"/>
  <c r="DT218" i="43"/>
  <c r="DU218" i="43"/>
  <c r="DV218" i="43"/>
  <c r="DW218" i="43"/>
  <c r="DX218" i="43"/>
  <c r="DY218" i="43"/>
  <c r="DZ218" i="43"/>
  <c r="EA218" i="43"/>
  <c r="EB218" i="43"/>
  <c r="EC218" i="43"/>
  <c r="ED218" i="43"/>
  <c r="EE218" i="43"/>
  <c r="EF218" i="43"/>
  <c r="EG218" i="43"/>
  <c r="EH218" i="43"/>
  <c r="EI218" i="43"/>
  <c r="EJ218" i="43"/>
  <c r="EK218" i="43"/>
  <c r="EL218" i="43"/>
  <c r="EM218" i="43"/>
  <c r="EN218" i="43"/>
  <c r="EO218" i="43"/>
  <c r="EP218" i="43"/>
  <c r="EQ218" i="43"/>
  <c r="ER218" i="43"/>
  <c r="ES218" i="43"/>
  <c r="ET218" i="43"/>
  <c r="EU218" i="43"/>
  <c r="EV218" i="43"/>
  <c r="EW218" i="43"/>
  <c r="EX218" i="43"/>
  <c r="EY218" i="43"/>
  <c r="EZ218" i="43"/>
  <c r="FA218" i="43"/>
  <c r="FB218" i="43"/>
  <c r="FC218" i="43"/>
  <c r="FD218" i="43"/>
  <c r="FE218" i="43"/>
  <c r="FF218" i="43"/>
  <c r="FG218" i="43"/>
  <c r="FH218" i="43"/>
  <c r="FI218" i="43"/>
  <c r="FJ218" i="43"/>
  <c r="FK218" i="43"/>
  <c r="FL218" i="43"/>
  <c r="FM218" i="43"/>
  <c r="FN218" i="43"/>
  <c r="FO218" i="43"/>
  <c r="FP218" i="43"/>
  <c r="FQ218" i="43"/>
  <c r="FR218" i="43"/>
  <c r="FS218" i="43"/>
  <c r="FT218" i="43"/>
  <c r="FU218" i="43"/>
  <c r="FV218" i="43"/>
  <c r="FW218" i="43"/>
  <c r="FX218" i="43"/>
  <c r="FY218" i="43"/>
  <c r="FZ218" i="43"/>
  <c r="GA218" i="43"/>
  <c r="GB218" i="43"/>
  <c r="GC218" i="43"/>
  <c r="GD218" i="43"/>
  <c r="GE218" i="43"/>
  <c r="GF218" i="43"/>
  <c r="GG218" i="43"/>
  <c r="GH218" i="43"/>
  <c r="GI218" i="43"/>
  <c r="GJ218" i="43"/>
  <c r="GK218" i="43"/>
  <c r="GL218" i="43"/>
  <c r="GM218" i="43"/>
  <c r="GN218" i="43"/>
  <c r="GO218" i="43"/>
  <c r="GP218" i="43"/>
  <c r="GQ218" i="43"/>
  <c r="GR218" i="43"/>
  <c r="GS218" i="43"/>
  <c r="GT218" i="43"/>
  <c r="GU218" i="43"/>
  <c r="GV218" i="43"/>
  <c r="GW218" i="43"/>
  <c r="GX218" i="43"/>
  <c r="GY218" i="43"/>
  <c r="GZ218" i="43"/>
  <c r="HA218" i="43"/>
  <c r="HB218" i="43"/>
  <c r="HC218" i="43"/>
  <c r="HD218" i="43"/>
  <c r="HE218" i="43"/>
  <c r="HF218" i="43"/>
  <c r="HG218" i="43"/>
  <c r="HH218" i="43"/>
  <c r="HI218" i="43"/>
  <c r="HJ218" i="43"/>
  <c r="HK218" i="43"/>
  <c r="HL218" i="43"/>
  <c r="HM218" i="43"/>
  <c r="HN218" i="43"/>
  <c r="HO218" i="43"/>
  <c r="HP218" i="43"/>
  <c r="HQ218" i="43"/>
  <c r="HR218" i="43"/>
  <c r="HS218" i="43"/>
  <c r="HT218" i="43"/>
  <c r="HU218" i="43"/>
  <c r="HV218" i="43"/>
  <c r="HW218" i="43"/>
  <c r="HX218" i="43"/>
  <c r="HY218" i="43"/>
  <c r="HZ218" i="43"/>
  <c r="IA218" i="43"/>
  <c r="IB218" i="43"/>
  <c r="IC218" i="43"/>
  <c r="ID218" i="43"/>
  <c r="IE218" i="43"/>
  <c r="IF218" i="43"/>
  <c r="IG218" i="43"/>
  <c r="IH218" i="43"/>
  <c r="II218" i="43"/>
  <c r="IJ218" i="43"/>
  <c r="IK218" i="43"/>
  <c r="IL218" i="43"/>
  <c r="IM218" i="43"/>
  <c r="IN218" i="43"/>
  <c r="IO218" i="43"/>
  <c r="IP218" i="43"/>
  <c r="IQ218" i="43"/>
  <c r="IR218" i="43"/>
  <c r="IS218" i="43"/>
  <c r="IT218" i="43"/>
  <c r="IU218" i="43"/>
  <c r="IV218" i="43"/>
  <c r="A217" i="43"/>
  <c r="B217" i="43"/>
  <c r="C217" i="43"/>
  <c r="D217" i="43"/>
  <c r="E217" i="43"/>
  <c r="F217" i="43"/>
  <c r="G217" i="43"/>
  <c r="H217" i="43"/>
  <c r="I217" i="43"/>
  <c r="J217" i="43"/>
  <c r="K217" i="43"/>
  <c r="L217" i="43"/>
  <c r="M217" i="43"/>
  <c r="N217" i="43"/>
  <c r="O217" i="43"/>
  <c r="P217" i="43"/>
  <c r="Q217" i="43"/>
  <c r="R217" i="43"/>
  <c r="S217" i="43"/>
  <c r="T217" i="43"/>
  <c r="U217" i="43"/>
  <c r="V217" i="43"/>
  <c r="W217" i="43"/>
  <c r="X217" i="43"/>
  <c r="Y217" i="43"/>
  <c r="Z217" i="43"/>
  <c r="AA217" i="43"/>
  <c r="AB217" i="43"/>
  <c r="AC217" i="43"/>
  <c r="AD217" i="43"/>
  <c r="AE217" i="43"/>
  <c r="AF217" i="43"/>
  <c r="AG217" i="43"/>
  <c r="AH217" i="43"/>
  <c r="AI217" i="43"/>
  <c r="AJ217" i="43"/>
  <c r="AK217" i="43"/>
  <c r="AL217" i="43"/>
  <c r="AM217" i="43"/>
  <c r="AN217" i="43"/>
  <c r="AO217" i="43"/>
  <c r="AP217" i="43"/>
  <c r="AQ217" i="43"/>
  <c r="AR217" i="43"/>
  <c r="AS217" i="43"/>
  <c r="AT217" i="43"/>
  <c r="AU217" i="43"/>
  <c r="AV217" i="43"/>
  <c r="AW217" i="43"/>
  <c r="AX217" i="43"/>
  <c r="AY217" i="43"/>
  <c r="AZ217" i="43"/>
  <c r="BA217" i="43"/>
  <c r="BB217" i="43"/>
  <c r="BC217" i="43"/>
  <c r="BD217" i="43"/>
  <c r="BE217" i="43"/>
  <c r="BF217" i="43"/>
  <c r="BG217" i="43"/>
  <c r="BH217" i="43"/>
  <c r="BI217" i="43"/>
  <c r="BJ217" i="43"/>
  <c r="BK217" i="43"/>
  <c r="BL217" i="43"/>
  <c r="BM217" i="43"/>
  <c r="BN217" i="43"/>
  <c r="BO217" i="43"/>
  <c r="BP217" i="43"/>
  <c r="BQ217" i="43"/>
  <c r="BR217" i="43"/>
  <c r="BS217" i="43"/>
  <c r="BT217" i="43"/>
  <c r="BU217" i="43"/>
  <c r="BV217" i="43"/>
  <c r="BW217" i="43"/>
  <c r="BX217" i="43"/>
  <c r="BY217" i="43"/>
  <c r="BZ217" i="43"/>
  <c r="CA217" i="43"/>
  <c r="CB217" i="43"/>
  <c r="CC217" i="43"/>
  <c r="CD217" i="43"/>
  <c r="CE217" i="43"/>
  <c r="CF217" i="43"/>
  <c r="CG217" i="43"/>
  <c r="CH217" i="43"/>
  <c r="CI217" i="43"/>
  <c r="CJ217" i="43"/>
  <c r="CK217" i="43"/>
  <c r="CL217" i="43"/>
  <c r="CM217" i="43"/>
  <c r="CN217" i="43"/>
  <c r="CO217" i="43"/>
  <c r="CP217" i="43"/>
  <c r="CQ217" i="43"/>
  <c r="CR217" i="43"/>
  <c r="CS217" i="43"/>
  <c r="CT217" i="43"/>
  <c r="CU217" i="43"/>
  <c r="CV217" i="43"/>
  <c r="CW217" i="43"/>
  <c r="CX217" i="43"/>
  <c r="CY217" i="43"/>
  <c r="CZ217" i="43"/>
  <c r="DA217" i="43"/>
  <c r="DB217" i="43"/>
  <c r="DC217" i="43"/>
  <c r="DD217" i="43"/>
  <c r="DE217" i="43"/>
  <c r="DF217" i="43"/>
  <c r="DG217" i="43"/>
  <c r="DH217" i="43"/>
  <c r="DI217" i="43"/>
  <c r="DJ217" i="43"/>
  <c r="DK217" i="43"/>
  <c r="DL217" i="43"/>
  <c r="DM217" i="43"/>
  <c r="DN217" i="43"/>
  <c r="DO217" i="43"/>
  <c r="DP217" i="43"/>
  <c r="DQ217" i="43"/>
  <c r="DR217" i="43"/>
  <c r="DS217" i="43"/>
  <c r="DT217" i="43"/>
  <c r="DU217" i="43"/>
  <c r="DV217" i="43"/>
  <c r="DW217" i="43"/>
  <c r="DX217" i="43"/>
  <c r="DY217" i="43"/>
  <c r="DZ217" i="43"/>
  <c r="EA217" i="43"/>
  <c r="EB217" i="43"/>
  <c r="EC217" i="43"/>
  <c r="ED217" i="43"/>
  <c r="EE217" i="43"/>
  <c r="EF217" i="43"/>
  <c r="EG217" i="43"/>
  <c r="EH217" i="43"/>
  <c r="EI217" i="43"/>
  <c r="EJ217" i="43"/>
  <c r="EK217" i="43"/>
  <c r="EL217" i="43"/>
  <c r="EM217" i="43"/>
  <c r="EN217" i="43"/>
  <c r="EO217" i="43"/>
  <c r="EP217" i="43"/>
  <c r="EQ217" i="43"/>
  <c r="ER217" i="43"/>
  <c r="ES217" i="43"/>
  <c r="ET217" i="43"/>
  <c r="EU217" i="43"/>
  <c r="EV217" i="43"/>
  <c r="EW217" i="43"/>
  <c r="EX217" i="43"/>
  <c r="EY217" i="43"/>
  <c r="EZ217" i="43"/>
  <c r="FA217" i="43"/>
  <c r="FB217" i="43"/>
  <c r="FC217" i="43"/>
  <c r="FD217" i="43"/>
  <c r="FE217" i="43"/>
  <c r="FF217" i="43"/>
  <c r="FG217" i="43"/>
  <c r="FH217" i="43"/>
  <c r="FI217" i="43"/>
  <c r="FJ217" i="43"/>
  <c r="FK217" i="43"/>
  <c r="FL217" i="43"/>
  <c r="FM217" i="43"/>
  <c r="FN217" i="43"/>
  <c r="FO217" i="43"/>
  <c r="FP217" i="43"/>
  <c r="FQ217" i="43"/>
  <c r="FR217" i="43"/>
  <c r="FS217" i="43"/>
  <c r="FT217" i="43"/>
  <c r="FU217" i="43"/>
  <c r="FV217" i="43"/>
  <c r="FW217" i="43"/>
  <c r="FX217" i="43"/>
  <c r="FY217" i="43"/>
  <c r="FZ217" i="43"/>
  <c r="GA217" i="43"/>
  <c r="GB217" i="43"/>
  <c r="GC217" i="43"/>
  <c r="GD217" i="43"/>
  <c r="GE217" i="43"/>
  <c r="GF217" i="43"/>
  <c r="GG217" i="43"/>
  <c r="GH217" i="43"/>
  <c r="GI217" i="43"/>
  <c r="GJ217" i="43"/>
  <c r="GK217" i="43"/>
  <c r="GL217" i="43"/>
  <c r="GM217" i="43"/>
  <c r="GN217" i="43"/>
  <c r="GO217" i="43"/>
  <c r="GP217" i="43"/>
  <c r="GQ217" i="43"/>
  <c r="GR217" i="43"/>
  <c r="GS217" i="43"/>
  <c r="GT217" i="43"/>
  <c r="GU217" i="43"/>
  <c r="GV217" i="43"/>
  <c r="GW217" i="43"/>
  <c r="GX217" i="43"/>
  <c r="GY217" i="43"/>
  <c r="GZ217" i="43"/>
  <c r="HA217" i="43"/>
  <c r="HB217" i="43"/>
  <c r="HC217" i="43"/>
  <c r="HD217" i="43"/>
  <c r="HE217" i="43"/>
  <c r="HF217" i="43"/>
  <c r="HG217" i="43"/>
  <c r="HH217" i="43"/>
  <c r="HI217" i="43"/>
  <c r="HJ217" i="43"/>
  <c r="HK217" i="43"/>
  <c r="HL217" i="43"/>
  <c r="HM217" i="43"/>
  <c r="HN217" i="43"/>
  <c r="HO217" i="43"/>
  <c r="HP217" i="43"/>
  <c r="HQ217" i="43"/>
  <c r="HR217" i="43"/>
  <c r="HS217" i="43"/>
  <c r="HT217" i="43"/>
  <c r="HU217" i="43"/>
  <c r="HV217" i="43"/>
  <c r="HW217" i="43"/>
  <c r="HX217" i="43"/>
  <c r="HY217" i="43"/>
  <c r="HZ217" i="43"/>
  <c r="IA217" i="43"/>
  <c r="IB217" i="43"/>
  <c r="IC217" i="43"/>
  <c r="ID217" i="43"/>
  <c r="IE217" i="43"/>
  <c r="IF217" i="43"/>
  <c r="IG217" i="43"/>
  <c r="IH217" i="43"/>
  <c r="II217" i="43"/>
  <c r="IJ217" i="43"/>
  <c r="IK217" i="43"/>
  <c r="IL217" i="43"/>
  <c r="IM217" i="43"/>
  <c r="IN217" i="43"/>
  <c r="IO217" i="43"/>
  <c r="IP217" i="43"/>
  <c r="IQ217" i="43"/>
  <c r="IR217" i="43"/>
  <c r="IS217" i="43"/>
  <c r="IT217" i="43"/>
  <c r="IU217" i="43"/>
  <c r="IV217" i="43"/>
  <c r="A216" i="43"/>
  <c r="B216" i="43"/>
  <c r="C216" i="43"/>
  <c r="D216" i="43"/>
  <c r="E216" i="43"/>
  <c r="F216" i="43"/>
  <c r="G216" i="43"/>
  <c r="H216" i="43"/>
  <c r="I216" i="43"/>
  <c r="J216" i="43"/>
  <c r="K216" i="43"/>
  <c r="L216" i="43"/>
  <c r="M216" i="43"/>
  <c r="N216" i="43"/>
  <c r="O216" i="43"/>
  <c r="P216" i="43"/>
  <c r="Q216" i="43"/>
  <c r="R216" i="43"/>
  <c r="S216" i="43"/>
  <c r="T216" i="43"/>
  <c r="U216" i="43"/>
  <c r="V216" i="43"/>
  <c r="W216" i="43"/>
  <c r="X216" i="43"/>
  <c r="Y216" i="43"/>
  <c r="Z216" i="43"/>
  <c r="AA216" i="43"/>
  <c r="AB216" i="43"/>
  <c r="AC216" i="43"/>
  <c r="AD216" i="43"/>
  <c r="AE216" i="43"/>
  <c r="AF216" i="43"/>
  <c r="AG216" i="43"/>
  <c r="AH216" i="43"/>
  <c r="AI216" i="43"/>
  <c r="AJ216" i="43"/>
  <c r="AK216" i="43"/>
  <c r="AL216" i="43"/>
  <c r="AM216" i="43"/>
  <c r="AN216" i="43"/>
  <c r="AO216" i="43"/>
  <c r="AP216" i="43"/>
  <c r="AQ216" i="43"/>
  <c r="AR216" i="43"/>
  <c r="AS216" i="43"/>
  <c r="AT216" i="43"/>
  <c r="AU216" i="43"/>
  <c r="AV216" i="43"/>
  <c r="AW216" i="43"/>
  <c r="AX216" i="43"/>
  <c r="AY216" i="43"/>
  <c r="AZ216" i="43"/>
  <c r="BA216" i="43"/>
  <c r="BB216" i="43"/>
  <c r="BC216" i="43"/>
  <c r="BD216" i="43"/>
  <c r="BE216" i="43"/>
  <c r="BF216" i="43"/>
  <c r="BG216" i="43"/>
  <c r="BH216" i="43"/>
  <c r="BI216" i="43"/>
  <c r="BJ216" i="43"/>
  <c r="BK216" i="43"/>
  <c r="BL216" i="43"/>
  <c r="BM216" i="43"/>
  <c r="BN216" i="43"/>
  <c r="BO216" i="43"/>
  <c r="BP216" i="43"/>
  <c r="BQ216" i="43"/>
  <c r="BR216" i="43"/>
  <c r="BS216" i="43"/>
  <c r="BT216" i="43"/>
  <c r="BU216" i="43"/>
  <c r="BV216" i="43"/>
  <c r="BW216" i="43"/>
  <c r="BX216" i="43"/>
  <c r="BY216" i="43"/>
  <c r="BZ216" i="43"/>
  <c r="CA216" i="43"/>
  <c r="CB216" i="43"/>
  <c r="CC216" i="43"/>
  <c r="CD216" i="43"/>
  <c r="CE216" i="43"/>
  <c r="CF216" i="43"/>
  <c r="CG216" i="43"/>
  <c r="CH216" i="43"/>
  <c r="CI216" i="43"/>
  <c r="CJ216" i="43"/>
  <c r="CK216" i="43"/>
  <c r="CL216" i="43"/>
  <c r="CM216" i="43"/>
  <c r="CN216" i="43"/>
  <c r="CO216" i="43"/>
  <c r="CP216" i="43"/>
  <c r="CQ216" i="43"/>
  <c r="CR216" i="43"/>
  <c r="CS216" i="43"/>
  <c r="CT216" i="43"/>
  <c r="CU216" i="43"/>
  <c r="CV216" i="43"/>
  <c r="CW216" i="43"/>
  <c r="CX216" i="43"/>
  <c r="CY216" i="43"/>
  <c r="CZ216" i="43"/>
  <c r="DA216" i="43"/>
  <c r="DB216" i="43"/>
  <c r="DC216" i="43"/>
  <c r="DD216" i="43"/>
  <c r="DE216" i="43"/>
  <c r="DF216" i="43"/>
  <c r="DG216" i="43"/>
  <c r="DH216" i="43"/>
  <c r="DI216" i="43"/>
  <c r="DJ216" i="43"/>
  <c r="DK216" i="43"/>
  <c r="DL216" i="43"/>
  <c r="DM216" i="43"/>
  <c r="DN216" i="43"/>
  <c r="DO216" i="43"/>
  <c r="DP216" i="43"/>
  <c r="DQ216" i="43"/>
  <c r="DR216" i="43"/>
  <c r="DS216" i="43"/>
  <c r="DT216" i="43"/>
  <c r="DU216" i="43"/>
  <c r="DV216" i="43"/>
  <c r="DW216" i="43"/>
  <c r="DX216" i="43"/>
  <c r="DY216" i="43"/>
  <c r="DZ216" i="43"/>
  <c r="EA216" i="43"/>
  <c r="EB216" i="43"/>
  <c r="EC216" i="43"/>
  <c r="ED216" i="43"/>
  <c r="EE216" i="43"/>
  <c r="EF216" i="43"/>
  <c r="EG216" i="43"/>
  <c r="EH216" i="43"/>
  <c r="EI216" i="43"/>
  <c r="EJ216" i="43"/>
  <c r="EK216" i="43"/>
  <c r="EL216" i="43"/>
  <c r="EM216" i="43"/>
  <c r="EN216" i="43"/>
  <c r="EO216" i="43"/>
  <c r="EP216" i="43"/>
  <c r="EQ216" i="43"/>
  <c r="ER216" i="43"/>
  <c r="ES216" i="43"/>
  <c r="ET216" i="43"/>
  <c r="EU216" i="43"/>
  <c r="EV216" i="43"/>
  <c r="EW216" i="43"/>
  <c r="EX216" i="43"/>
  <c r="EY216" i="43"/>
  <c r="EZ216" i="43"/>
  <c r="FA216" i="43"/>
  <c r="FB216" i="43"/>
  <c r="FC216" i="43"/>
  <c r="FD216" i="43"/>
  <c r="FE216" i="43"/>
  <c r="FF216" i="43"/>
  <c r="FG216" i="43"/>
  <c r="FH216" i="43"/>
  <c r="FI216" i="43"/>
  <c r="FJ216" i="43"/>
  <c r="FK216" i="43"/>
  <c r="FL216" i="43"/>
  <c r="FM216" i="43"/>
  <c r="FN216" i="43"/>
  <c r="FO216" i="43"/>
  <c r="FP216" i="43"/>
  <c r="FQ216" i="43"/>
  <c r="FR216" i="43"/>
  <c r="FS216" i="43"/>
  <c r="FT216" i="43"/>
  <c r="FU216" i="43"/>
  <c r="FV216" i="43"/>
  <c r="FW216" i="43"/>
  <c r="FX216" i="43"/>
  <c r="FY216" i="43"/>
  <c r="FZ216" i="43"/>
  <c r="GA216" i="43"/>
  <c r="GB216" i="43"/>
  <c r="GC216" i="43"/>
  <c r="GD216" i="43"/>
  <c r="GE216" i="43"/>
  <c r="GF216" i="43"/>
  <c r="GG216" i="43"/>
  <c r="GH216" i="43"/>
  <c r="GI216" i="43"/>
  <c r="GJ216" i="43"/>
  <c r="GK216" i="43"/>
  <c r="GL216" i="43"/>
  <c r="GM216" i="43"/>
  <c r="GN216" i="43"/>
  <c r="GO216" i="43"/>
  <c r="GP216" i="43"/>
  <c r="GQ216" i="43"/>
  <c r="GR216" i="43"/>
  <c r="GS216" i="43"/>
  <c r="GT216" i="43"/>
  <c r="GU216" i="43"/>
  <c r="GV216" i="43"/>
  <c r="GW216" i="43"/>
  <c r="GX216" i="43"/>
  <c r="GY216" i="43"/>
  <c r="GZ216" i="43"/>
  <c r="HA216" i="43"/>
  <c r="HB216" i="43"/>
  <c r="HC216" i="43"/>
  <c r="HD216" i="43"/>
  <c r="HE216" i="43"/>
  <c r="HF216" i="43"/>
  <c r="HG216" i="43"/>
  <c r="HH216" i="43"/>
  <c r="HI216" i="43"/>
  <c r="HJ216" i="43"/>
  <c r="HK216" i="43"/>
  <c r="HL216" i="43"/>
  <c r="HM216" i="43"/>
  <c r="HN216" i="43"/>
  <c r="HO216" i="43"/>
  <c r="HP216" i="43"/>
  <c r="HQ216" i="43"/>
  <c r="HR216" i="43"/>
  <c r="HS216" i="43"/>
  <c r="HT216" i="43"/>
  <c r="HU216" i="43"/>
  <c r="HV216" i="43"/>
  <c r="HW216" i="43"/>
  <c r="HX216" i="43"/>
  <c r="HY216" i="43"/>
  <c r="HZ216" i="43"/>
  <c r="IA216" i="43"/>
  <c r="IB216" i="43"/>
  <c r="IC216" i="43"/>
  <c r="ID216" i="43"/>
  <c r="IE216" i="43"/>
  <c r="IF216" i="43"/>
  <c r="IG216" i="43"/>
  <c r="IH216" i="43"/>
  <c r="II216" i="43"/>
  <c r="IJ216" i="43"/>
  <c r="IK216" i="43"/>
  <c r="IL216" i="43"/>
  <c r="IM216" i="43"/>
  <c r="IN216" i="43"/>
  <c r="IO216" i="43"/>
  <c r="IP216" i="43"/>
  <c r="IQ216" i="43"/>
  <c r="IR216" i="43"/>
  <c r="IS216" i="43"/>
  <c r="IT216" i="43"/>
  <c r="IU216" i="43"/>
  <c r="IV216" i="43"/>
  <c r="A215" i="43"/>
  <c r="B215" i="43"/>
  <c r="C215" i="43"/>
  <c r="D215" i="43"/>
  <c r="E215" i="43"/>
  <c r="F215" i="43"/>
  <c r="G215" i="43"/>
  <c r="H215" i="43"/>
  <c r="I215" i="43"/>
  <c r="J215" i="43"/>
  <c r="K215" i="43"/>
  <c r="L215" i="43"/>
  <c r="M215" i="43"/>
  <c r="N215" i="43"/>
  <c r="O215" i="43"/>
  <c r="P215" i="43"/>
  <c r="Q215" i="43"/>
  <c r="R215" i="43"/>
  <c r="S215" i="43"/>
  <c r="T215" i="43"/>
  <c r="U215" i="43"/>
  <c r="V215" i="43"/>
  <c r="W215" i="43"/>
  <c r="X215" i="43"/>
  <c r="Y215" i="43"/>
  <c r="Z215" i="43"/>
  <c r="AA215" i="43"/>
  <c r="AB215" i="43"/>
  <c r="AC215" i="43"/>
  <c r="AD215" i="43"/>
  <c r="AE215" i="43"/>
  <c r="AF215" i="43"/>
  <c r="AG215" i="43"/>
  <c r="AH215" i="43"/>
  <c r="AI215" i="43"/>
  <c r="AJ215" i="43"/>
  <c r="AK215" i="43"/>
  <c r="AL215" i="43"/>
  <c r="AM215" i="43"/>
  <c r="AN215" i="43"/>
  <c r="AO215" i="43"/>
  <c r="AP215" i="43"/>
  <c r="AQ215" i="43"/>
  <c r="AR215" i="43"/>
  <c r="AS215" i="43"/>
  <c r="AT215" i="43"/>
  <c r="AU215" i="43"/>
  <c r="AV215" i="43"/>
  <c r="AW215" i="43"/>
  <c r="AX215" i="43"/>
  <c r="AY215" i="43"/>
  <c r="AZ215" i="43"/>
  <c r="BA215" i="43"/>
  <c r="BB215" i="43"/>
  <c r="BC215" i="43"/>
  <c r="BD215" i="43"/>
  <c r="BE215" i="43"/>
  <c r="BF215" i="43"/>
  <c r="BG215" i="43"/>
  <c r="BH215" i="43"/>
  <c r="BI215" i="43"/>
  <c r="BJ215" i="43"/>
  <c r="BK215" i="43"/>
  <c r="BL215" i="43"/>
  <c r="BM215" i="43"/>
  <c r="BN215" i="43"/>
  <c r="BO215" i="43"/>
  <c r="BP215" i="43"/>
  <c r="BQ215" i="43"/>
  <c r="BR215" i="43"/>
  <c r="BS215" i="43"/>
  <c r="BT215" i="43"/>
  <c r="BU215" i="43"/>
  <c r="BV215" i="43"/>
  <c r="BW215" i="43"/>
  <c r="BX215" i="43"/>
  <c r="BY215" i="43"/>
  <c r="BZ215" i="43"/>
  <c r="CA215" i="43"/>
  <c r="CB215" i="43"/>
  <c r="CC215" i="43"/>
  <c r="CD215" i="43"/>
  <c r="CE215" i="43"/>
  <c r="CF215" i="43"/>
  <c r="CG215" i="43"/>
  <c r="CH215" i="43"/>
  <c r="CI215" i="43"/>
  <c r="CJ215" i="43"/>
  <c r="CK215" i="43"/>
  <c r="CL215" i="43"/>
  <c r="CM215" i="43"/>
  <c r="CN215" i="43"/>
  <c r="CO215" i="43"/>
  <c r="CP215" i="43"/>
  <c r="CQ215" i="43"/>
  <c r="CR215" i="43"/>
  <c r="CS215" i="43"/>
  <c r="CT215" i="43"/>
  <c r="CU215" i="43"/>
  <c r="CV215" i="43"/>
  <c r="CW215" i="43"/>
  <c r="CX215" i="43"/>
  <c r="CY215" i="43"/>
  <c r="CZ215" i="43"/>
  <c r="DA215" i="43"/>
  <c r="DB215" i="43"/>
  <c r="DC215" i="43"/>
  <c r="DD215" i="43"/>
  <c r="DE215" i="43"/>
  <c r="DF215" i="43"/>
  <c r="DG215" i="43"/>
  <c r="DH215" i="43"/>
  <c r="DI215" i="43"/>
  <c r="DJ215" i="43"/>
  <c r="DK215" i="43"/>
  <c r="DL215" i="43"/>
  <c r="DM215" i="43"/>
  <c r="DN215" i="43"/>
  <c r="DO215" i="43"/>
  <c r="DP215" i="43"/>
  <c r="DQ215" i="43"/>
  <c r="DR215" i="43"/>
  <c r="DS215" i="43"/>
  <c r="DT215" i="43"/>
  <c r="DU215" i="43"/>
  <c r="DV215" i="43"/>
  <c r="DW215" i="43"/>
  <c r="DX215" i="43"/>
  <c r="DY215" i="43"/>
  <c r="DZ215" i="43"/>
  <c r="EA215" i="43"/>
  <c r="EB215" i="43"/>
  <c r="EC215" i="43"/>
  <c r="ED215" i="43"/>
  <c r="EE215" i="43"/>
  <c r="EF215" i="43"/>
  <c r="EG215" i="43"/>
  <c r="EH215" i="43"/>
  <c r="EI215" i="43"/>
  <c r="EJ215" i="43"/>
  <c r="EK215" i="43"/>
  <c r="EL215" i="43"/>
  <c r="EM215" i="43"/>
  <c r="EN215" i="43"/>
  <c r="EO215" i="43"/>
  <c r="EP215" i="43"/>
  <c r="EQ215" i="43"/>
  <c r="ER215" i="43"/>
  <c r="ES215" i="43"/>
  <c r="ET215" i="43"/>
  <c r="EU215" i="43"/>
  <c r="EV215" i="43"/>
  <c r="EW215" i="43"/>
  <c r="EX215" i="43"/>
  <c r="EY215" i="43"/>
  <c r="EZ215" i="43"/>
  <c r="FA215" i="43"/>
  <c r="FB215" i="43"/>
  <c r="FC215" i="43"/>
  <c r="FD215" i="43"/>
  <c r="FE215" i="43"/>
  <c r="FF215" i="43"/>
  <c r="FG215" i="43"/>
  <c r="FH215" i="43"/>
  <c r="FI215" i="43"/>
  <c r="FJ215" i="43"/>
  <c r="FK215" i="43"/>
  <c r="FL215" i="43"/>
  <c r="FM215" i="43"/>
  <c r="FN215" i="43"/>
  <c r="FO215" i="43"/>
  <c r="FP215" i="43"/>
  <c r="FQ215" i="43"/>
  <c r="FR215" i="43"/>
  <c r="FS215" i="43"/>
  <c r="FT215" i="43"/>
  <c r="FU215" i="43"/>
  <c r="FV215" i="43"/>
  <c r="FW215" i="43"/>
  <c r="FX215" i="43"/>
  <c r="FY215" i="43"/>
  <c r="FZ215" i="43"/>
  <c r="GA215" i="43"/>
  <c r="GB215" i="43"/>
  <c r="GC215" i="43"/>
  <c r="GD215" i="43"/>
  <c r="GE215" i="43"/>
  <c r="GF215" i="43"/>
  <c r="GG215" i="43"/>
  <c r="GH215" i="43"/>
  <c r="GI215" i="43"/>
  <c r="GJ215" i="43"/>
  <c r="GK215" i="43"/>
  <c r="GL215" i="43"/>
  <c r="GM215" i="43"/>
  <c r="GN215" i="43"/>
  <c r="GO215" i="43"/>
  <c r="GP215" i="43"/>
  <c r="GQ215" i="43"/>
  <c r="GR215" i="43"/>
  <c r="GS215" i="43"/>
  <c r="GT215" i="43"/>
  <c r="GU215" i="43"/>
  <c r="GV215" i="43"/>
  <c r="GW215" i="43"/>
  <c r="GX215" i="43"/>
  <c r="GY215" i="43"/>
  <c r="GZ215" i="43"/>
  <c r="HA215" i="43"/>
  <c r="HB215" i="43"/>
  <c r="HC215" i="43"/>
  <c r="HD215" i="43"/>
  <c r="HE215" i="43"/>
  <c r="HF215" i="43"/>
  <c r="HG215" i="43"/>
  <c r="HH215" i="43"/>
  <c r="HI215" i="43"/>
  <c r="HJ215" i="43"/>
  <c r="HK215" i="43"/>
  <c r="HL215" i="43"/>
  <c r="HM215" i="43"/>
  <c r="HN215" i="43"/>
  <c r="HO215" i="43"/>
  <c r="HP215" i="43"/>
  <c r="HQ215" i="43"/>
  <c r="HR215" i="43"/>
  <c r="HS215" i="43"/>
  <c r="HT215" i="43"/>
  <c r="HU215" i="43"/>
  <c r="HV215" i="43"/>
  <c r="HW215" i="43"/>
  <c r="HX215" i="43"/>
  <c r="HY215" i="43"/>
  <c r="HZ215" i="43"/>
  <c r="IA215" i="43"/>
  <c r="IB215" i="43"/>
  <c r="IC215" i="43"/>
  <c r="ID215" i="43"/>
  <c r="IE215" i="43"/>
  <c r="IF215" i="43"/>
  <c r="IG215" i="43"/>
  <c r="IH215" i="43"/>
  <c r="II215" i="43"/>
  <c r="IJ215" i="43"/>
  <c r="IK215" i="43"/>
  <c r="IL215" i="43"/>
  <c r="IM215" i="43"/>
  <c r="IN215" i="43"/>
  <c r="IO215" i="43"/>
  <c r="IP215" i="43"/>
  <c r="IQ215" i="43"/>
  <c r="IR215" i="43"/>
  <c r="IS215" i="43"/>
  <c r="IT215" i="43"/>
  <c r="IU215" i="43"/>
  <c r="IV215" i="43"/>
  <c r="A214" i="43"/>
  <c r="B214" i="43"/>
  <c r="C214" i="43"/>
  <c r="D214" i="43"/>
  <c r="E214" i="43"/>
  <c r="F214" i="43"/>
  <c r="G214" i="43"/>
  <c r="H214" i="43"/>
  <c r="I214" i="43"/>
  <c r="J214" i="43"/>
  <c r="K214" i="43"/>
  <c r="L214" i="43"/>
  <c r="M214" i="43"/>
  <c r="N214" i="43"/>
  <c r="O214" i="43"/>
  <c r="P214" i="43"/>
  <c r="Q214" i="43"/>
  <c r="R214" i="43"/>
  <c r="S214" i="43"/>
  <c r="T214" i="43"/>
  <c r="U214" i="43"/>
  <c r="V214" i="43"/>
  <c r="W214" i="43"/>
  <c r="X214" i="43"/>
  <c r="Y214" i="43"/>
  <c r="Z214" i="43"/>
  <c r="AA214" i="43"/>
  <c r="AB214" i="43"/>
  <c r="AC214" i="43"/>
  <c r="AD214" i="43"/>
  <c r="AE214" i="43"/>
  <c r="AF214" i="43"/>
  <c r="AG214" i="43"/>
  <c r="AH214" i="43"/>
  <c r="AI214" i="43"/>
  <c r="AJ214" i="43"/>
  <c r="AK214" i="43"/>
  <c r="AL214" i="43"/>
  <c r="AM214" i="43"/>
  <c r="AN214" i="43"/>
  <c r="AO214" i="43"/>
  <c r="AP214" i="43"/>
  <c r="AQ214" i="43"/>
  <c r="AR214" i="43"/>
  <c r="AS214" i="43"/>
  <c r="AT214" i="43"/>
  <c r="AU214" i="43"/>
  <c r="AV214" i="43"/>
  <c r="AW214" i="43"/>
  <c r="AX214" i="43"/>
  <c r="AY214" i="43"/>
  <c r="AZ214" i="43"/>
  <c r="BA214" i="43"/>
  <c r="BB214" i="43"/>
  <c r="BC214" i="43"/>
  <c r="BD214" i="43"/>
  <c r="BE214" i="43"/>
  <c r="BF214" i="43"/>
  <c r="BG214" i="43"/>
  <c r="BH214" i="43"/>
  <c r="BI214" i="43"/>
  <c r="BJ214" i="43"/>
  <c r="BK214" i="43"/>
  <c r="BL214" i="43"/>
  <c r="BM214" i="43"/>
  <c r="BN214" i="43"/>
  <c r="BO214" i="43"/>
  <c r="BP214" i="43"/>
  <c r="BQ214" i="43"/>
  <c r="BR214" i="43"/>
  <c r="BS214" i="43"/>
  <c r="BT214" i="43"/>
  <c r="BU214" i="43"/>
  <c r="BV214" i="43"/>
  <c r="BW214" i="43"/>
  <c r="BX214" i="43"/>
  <c r="BY214" i="43"/>
  <c r="BZ214" i="43"/>
  <c r="CA214" i="43"/>
  <c r="CB214" i="43"/>
  <c r="CC214" i="43"/>
  <c r="CD214" i="43"/>
  <c r="CE214" i="43"/>
  <c r="CF214" i="43"/>
  <c r="CG214" i="43"/>
  <c r="CH214" i="43"/>
  <c r="CI214" i="43"/>
  <c r="CJ214" i="43"/>
  <c r="CK214" i="43"/>
  <c r="CL214" i="43"/>
  <c r="CM214" i="43"/>
  <c r="CN214" i="43"/>
  <c r="CO214" i="43"/>
  <c r="CP214" i="43"/>
  <c r="CQ214" i="43"/>
  <c r="CR214" i="43"/>
  <c r="CS214" i="43"/>
  <c r="CT214" i="43"/>
  <c r="CU214" i="43"/>
  <c r="CV214" i="43"/>
  <c r="CW214" i="43"/>
  <c r="CX214" i="43"/>
  <c r="CY214" i="43"/>
  <c r="CZ214" i="43"/>
  <c r="DA214" i="43"/>
  <c r="DB214" i="43"/>
  <c r="DC214" i="43"/>
  <c r="DD214" i="43"/>
  <c r="DE214" i="43"/>
  <c r="DF214" i="43"/>
  <c r="DG214" i="43"/>
  <c r="DH214" i="43"/>
  <c r="DI214" i="43"/>
  <c r="DJ214" i="43"/>
  <c r="DK214" i="43"/>
  <c r="DL214" i="43"/>
  <c r="DM214" i="43"/>
  <c r="DN214" i="43"/>
  <c r="DO214" i="43"/>
  <c r="DP214" i="43"/>
  <c r="DQ214" i="43"/>
  <c r="DR214" i="43"/>
  <c r="DS214" i="43"/>
  <c r="DT214" i="43"/>
  <c r="DU214" i="43"/>
  <c r="DV214" i="43"/>
  <c r="DW214" i="43"/>
  <c r="DX214" i="43"/>
  <c r="DY214" i="43"/>
  <c r="DZ214" i="43"/>
  <c r="EA214" i="43"/>
  <c r="EB214" i="43"/>
  <c r="EC214" i="43"/>
  <c r="ED214" i="43"/>
  <c r="EE214" i="43"/>
  <c r="EF214" i="43"/>
  <c r="EG214" i="43"/>
  <c r="EH214" i="43"/>
  <c r="EI214" i="43"/>
  <c r="EJ214" i="43"/>
  <c r="EK214" i="43"/>
  <c r="EL214" i="43"/>
  <c r="EM214" i="43"/>
  <c r="EN214" i="43"/>
  <c r="EO214" i="43"/>
  <c r="EP214" i="43"/>
  <c r="EQ214" i="43"/>
  <c r="ER214" i="43"/>
  <c r="ES214" i="43"/>
  <c r="ET214" i="43"/>
  <c r="EU214" i="43"/>
  <c r="EV214" i="43"/>
  <c r="EW214" i="43"/>
  <c r="EX214" i="43"/>
  <c r="EY214" i="43"/>
  <c r="EZ214" i="43"/>
  <c r="FA214" i="43"/>
  <c r="FB214" i="43"/>
  <c r="FC214" i="43"/>
  <c r="FD214" i="43"/>
  <c r="FE214" i="43"/>
  <c r="FF214" i="43"/>
  <c r="FG214" i="43"/>
  <c r="FH214" i="43"/>
  <c r="FI214" i="43"/>
  <c r="FJ214" i="43"/>
  <c r="FK214" i="43"/>
  <c r="FL214" i="43"/>
  <c r="FM214" i="43"/>
  <c r="FN214" i="43"/>
  <c r="FO214" i="43"/>
  <c r="FP214" i="43"/>
  <c r="FQ214" i="43"/>
  <c r="FR214" i="43"/>
  <c r="FS214" i="43"/>
  <c r="FT214" i="43"/>
  <c r="FU214" i="43"/>
  <c r="FV214" i="43"/>
  <c r="FW214" i="43"/>
  <c r="FX214" i="43"/>
  <c r="FY214" i="43"/>
  <c r="FZ214" i="43"/>
  <c r="GA214" i="43"/>
  <c r="GB214" i="43"/>
  <c r="GC214" i="43"/>
  <c r="GD214" i="43"/>
  <c r="GE214" i="43"/>
  <c r="GF214" i="43"/>
  <c r="GG214" i="43"/>
  <c r="GH214" i="43"/>
  <c r="GI214" i="43"/>
  <c r="GJ214" i="43"/>
  <c r="GK214" i="43"/>
  <c r="GL214" i="43"/>
  <c r="GM214" i="43"/>
  <c r="GN214" i="43"/>
  <c r="GO214" i="43"/>
  <c r="GP214" i="43"/>
  <c r="GQ214" i="43"/>
  <c r="GR214" i="43"/>
  <c r="GS214" i="43"/>
  <c r="GT214" i="43"/>
  <c r="GU214" i="43"/>
  <c r="GV214" i="43"/>
  <c r="GW214" i="43"/>
  <c r="GX214" i="43"/>
  <c r="GY214" i="43"/>
  <c r="GZ214" i="43"/>
  <c r="HA214" i="43"/>
  <c r="HB214" i="43"/>
  <c r="HC214" i="43"/>
  <c r="HD214" i="43"/>
  <c r="HE214" i="43"/>
  <c r="HF214" i="43"/>
  <c r="HG214" i="43"/>
  <c r="HH214" i="43"/>
  <c r="HI214" i="43"/>
  <c r="HJ214" i="43"/>
  <c r="HK214" i="43"/>
  <c r="HL214" i="43"/>
  <c r="HM214" i="43"/>
  <c r="HN214" i="43"/>
  <c r="HO214" i="43"/>
  <c r="HP214" i="43"/>
  <c r="HQ214" i="43"/>
  <c r="HR214" i="43"/>
  <c r="HS214" i="43"/>
  <c r="HT214" i="43"/>
  <c r="HU214" i="43"/>
  <c r="HV214" i="43"/>
  <c r="HW214" i="43"/>
  <c r="HX214" i="43"/>
  <c r="HY214" i="43"/>
  <c r="HZ214" i="43"/>
  <c r="IA214" i="43"/>
  <c r="IB214" i="43"/>
  <c r="IC214" i="43"/>
  <c r="ID214" i="43"/>
  <c r="IE214" i="43"/>
  <c r="IF214" i="43"/>
  <c r="IG214" i="43"/>
  <c r="IH214" i="43"/>
  <c r="II214" i="43"/>
  <c r="IJ214" i="43"/>
  <c r="IK214" i="43"/>
  <c r="IL214" i="43"/>
  <c r="IM214" i="43"/>
  <c r="IN214" i="43"/>
  <c r="IO214" i="43"/>
  <c r="IP214" i="43"/>
  <c r="IQ214" i="43"/>
  <c r="IR214" i="43"/>
  <c r="IS214" i="43"/>
  <c r="IT214" i="43"/>
  <c r="IU214" i="43"/>
  <c r="IV214" i="43"/>
  <c r="A213" i="43"/>
  <c r="B213" i="43"/>
  <c r="C213" i="43"/>
  <c r="D213" i="43"/>
  <c r="E213" i="43"/>
  <c r="F213" i="43"/>
  <c r="G213" i="43"/>
  <c r="H213" i="43"/>
  <c r="I213" i="43"/>
  <c r="J213" i="43"/>
  <c r="K213" i="43"/>
  <c r="L213" i="43"/>
  <c r="M213" i="43"/>
  <c r="N213" i="43"/>
  <c r="O213" i="43"/>
  <c r="P213" i="43"/>
  <c r="Q213" i="43"/>
  <c r="R213" i="43"/>
  <c r="S213" i="43"/>
  <c r="T213" i="43"/>
  <c r="U213" i="43"/>
  <c r="V213" i="43"/>
  <c r="W213" i="43"/>
  <c r="X213" i="43"/>
  <c r="Y213" i="43"/>
  <c r="Z213" i="43"/>
  <c r="AA213" i="43"/>
  <c r="AB213" i="43"/>
  <c r="AC213" i="43"/>
  <c r="AD213" i="43"/>
  <c r="AE213" i="43"/>
  <c r="AF213" i="43"/>
  <c r="AG213" i="43"/>
  <c r="AH213" i="43"/>
  <c r="AI213" i="43"/>
  <c r="AJ213" i="43"/>
  <c r="AK213" i="43"/>
  <c r="AL213" i="43"/>
  <c r="AM213" i="43"/>
  <c r="AN213" i="43"/>
  <c r="AO213" i="43"/>
  <c r="AP213" i="43"/>
  <c r="AQ213" i="43"/>
  <c r="AR213" i="43"/>
  <c r="AS213" i="43"/>
  <c r="AT213" i="43"/>
  <c r="AU213" i="43"/>
  <c r="AV213" i="43"/>
  <c r="AW213" i="43"/>
  <c r="AX213" i="43"/>
  <c r="AY213" i="43"/>
  <c r="AZ213" i="43"/>
  <c r="BA213" i="43"/>
  <c r="BB213" i="43"/>
  <c r="BC213" i="43"/>
  <c r="BD213" i="43"/>
  <c r="BE213" i="43"/>
  <c r="BF213" i="43"/>
  <c r="BG213" i="43"/>
  <c r="BH213" i="43"/>
  <c r="BI213" i="43"/>
  <c r="BJ213" i="43"/>
  <c r="BK213" i="43"/>
  <c r="BL213" i="43"/>
  <c r="BM213" i="43"/>
  <c r="BN213" i="43"/>
  <c r="BO213" i="43"/>
  <c r="BP213" i="43"/>
  <c r="BQ213" i="43"/>
  <c r="BR213" i="43"/>
  <c r="BS213" i="43"/>
  <c r="BT213" i="43"/>
  <c r="BU213" i="43"/>
  <c r="BV213" i="43"/>
  <c r="BW213" i="43"/>
  <c r="BX213" i="43"/>
  <c r="BY213" i="43"/>
  <c r="BZ213" i="43"/>
  <c r="CA213" i="43"/>
  <c r="CB213" i="43"/>
  <c r="CC213" i="43"/>
  <c r="CD213" i="43"/>
  <c r="CE213" i="43"/>
  <c r="CF213" i="43"/>
  <c r="CG213" i="43"/>
  <c r="CH213" i="43"/>
  <c r="CI213" i="43"/>
  <c r="CJ213" i="43"/>
  <c r="CK213" i="43"/>
  <c r="CL213" i="43"/>
  <c r="CM213" i="43"/>
  <c r="CN213" i="43"/>
  <c r="CO213" i="43"/>
  <c r="CP213" i="43"/>
  <c r="CQ213" i="43"/>
  <c r="CR213" i="43"/>
  <c r="CS213" i="43"/>
  <c r="CT213" i="43"/>
  <c r="CU213" i="43"/>
  <c r="CV213" i="43"/>
  <c r="CW213" i="43"/>
  <c r="CX213" i="43"/>
  <c r="CY213" i="43"/>
  <c r="CZ213" i="43"/>
  <c r="DA213" i="43"/>
  <c r="DB213" i="43"/>
  <c r="DC213" i="43"/>
  <c r="DD213" i="43"/>
  <c r="DE213" i="43"/>
  <c r="DF213" i="43"/>
  <c r="DG213" i="43"/>
  <c r="DH213" i="43"/>
  <c r="DI213" i="43"/>
  <c r="DJ213" i="43"/>
  <c r="DK213" i="43"/>
  <c r="DL213" i="43"/>
  <c r="DM213" i="43"/>
  <c r="DN213" i="43"/>
  <c r="DO213" i="43"/>
  <c r="DP213" i="43"/>
  <c r="DQ213" i="43"/>
  <c r="DR213" i="43"/>
  <c r="DS213" i="43"/>
  <c r="DT213" i="43"/>
  <c r="DU213" i="43"/>
  <c r="DV213" i="43"/>
  <c r="DW213" i="43"/>
  <c r="DX213" i="43"/>
  <c r="DY213" i="43"/>
  <c r="DZ213" i="43"/>
  <c r="EA213" i="43"/>
  <c r="EB213" i="43"/>
  <c r="EC213" i="43"/>
  <c r="ED213" i="43"/>
  <c r="EE213" i="43"/>
  <c r="EF213" i="43"/>
  <c r="EG213" i="43"/>
  <c r="EH213" i="43"/>
  <c r="EI213" i="43"/>
  <c r="EJ213" i="43"/>
  <c r="EK213" i="43"/>
  <c r="EL213" i="43"/>
  <c r="EM213" i="43"/>
  <c r="EN213" i="43"/>
  <c r="EO213" i="43"/>
  <c r="EP213" i="43"/>
  <c r="EQ213" i="43"/>
  <c r="ER213" i="43"/>
  <c r="ES213" i="43"/>
  <c r="ET213" i="43"/>
  <c r="EU213" i="43"/>
  <c r="EV213" i="43"/>
  <c r="EW213" i="43"/>
  <c r="EX213" i="43"/>
  <c r="EY213" i="43"/>
  <c r="EZ213" i="43"/>
  <c r="FA213" i="43"/>
  <c r="FB213" i="43"/>
  <c r="FC213" i="43"/>
  <c r="FD213" i="43"/>
  <c r="FE213" i="43"/>
  <c r="FF213" i="43"/>
  <c r="FG213" i="43"/>
  <c r="FH213" i="43"/>
  <c r="FI213" i="43"/>
  <c r="FJ213" i="43"/>
  <c r="FK213" i="43"/>
  <c r="FL213" i="43"/>
  <c r="FM213" i="43"/>
  <c r="FN213" i="43"/>
  <c r="FO213" i="43"/>
  <c r="FP213" i="43"/>
  <c r="FQ213" i="43"/>
  <c r="FR213" i="43"/>
  <c r="FS213" i="43"/>
  <c r="FT213" i="43"/>
  <c r="FU213" i="43"/>
  <c r="FV213" i="43"/>
  <c r="FW213" i="43"/>
  <c r="FX213" i="43"/>
  <c r="FY213" i="43"/>
  <c r="FZ213" i="43"/>
  <c r="GA213" i="43"/>
  <c r="GB213" i="43"/>
  <c r="GC213" i="43"/>
  <c r="GD213" i="43"/>
  <c r="GE213" i="43"/>
  <c r="GF213" i="43"/>
  <c r="GG213" i="43"/>
  <c r="GH213" i="43"/>
  <c r="GI213" i="43"/>
  <c r="GJ213" i="43"/>
  <c r="GK213" i="43"/>
  <c r="GL213" i="43"/>
  <c r="GM213" i="43"/>
  <c r="GN213" i="43"/>
  <c r="GO213" i="43"/>
  <c r="GP213" i="43"/>
  <c r="GQ213" i="43"/>
  <c r="GR213" i="43"/>
  <c r="GS213" i="43"/>
  <c r="GT213" i="43"/>
  <c r="GU213" i="43"/>
  <c r="GV213" i="43"/>
  <c r="GW213" i="43"/>
  <c r="GX213" i="43"/>
  <c r="GY213" i="43"/>
  <c r="GZ213" i="43"/>
  <c r="HA213" i="43"/>
  <c r="HB213" i="43"/>
  <c r="HC213" i="43"/>
  <c r="HD213" i="43"/>
  <c r="HE213" i="43"/>
  <c r="HF213" i="43"/>
  <c r="HG213" i="43"/>
  <c r="HH213" i="43"/>
  <c r="HI213" i="43"/>
  <c r="HJ213" i="43"/>
  <c r="HK213" i="43"/>
  <c r="HL213" i="43"/>
  <c r="HM213" i="43"/>
  <c r="HN213" i="43"/>
  <c r="HO213" i="43"/>
  <c r="HP213" i="43"/>
  <c r="HQ213" i="43"/>
  <c r="HR213" i="43"/>
  <c r="HS213" i="43"/>
  <c r="HT213" i="43"/>
  <c r="HU213" i="43"/>
  <c r="HV213" i="43"/>
  <c r="HW213" i="43"/>
  <c r="HX213" i="43"/>
  <c r="HY213" i="43"/>
  <c r="HZ213" i="43"/>
  <c r="IA213" i="43"/>
  <c r="IB213" i="43"/>
  <c r="IC213" i="43"/>
  <c r="ID213" i="43"/>
  <c r="IE213" i="43"/>
  <c r="IF213" i="43"/>
  <c r="IG213" i="43"/>
  <c r="IH213" i="43"/>
  <c r="II213" i="43"/>
  <c r="IJ213" i="43"/>
  <c r="IK213" i="43"/>
  <c r="IL213" i="43"/>
  <c r="IM213" i="43"/>
  <c r="IN213" i="43"/>
  <c r="IO213" i="43"/>
  <c r="IP213" i="43"/>
  <c r="IQ213" i="43"/>
  <c r="IR213" i="43"/>
  <c r="IS213" i="43"/>
  <c r="IT213" i="43"/>
  <c r="IU213" i="43"/>
  <c r="IV213" i="43"/>
  <c r="A212" i="43"/>
  <c r="B212" i="43"/>
  <c r="C212" i="43"/>
  <c r="D212" i="43"/>
  <c r="E212" i="43"/>
  <c r="F212" i="43"/>
  <c r="G212" i="43"/>
  <c r="H212" i="43"/>
  <c r="I212" i="43"/>
  <c r="J212" i="43"/>
  <c r="K212" i="43"/>
  <c r="L212" i="43"/>
  <c r="M212" i="43"/>
  <c r="N212" i="43"/>
  <c r="O212" i="43"/>
  <c r="P212" i="43"/>
  <c r="Q212" i="43"/>
  <c r="R212" i="43"/>
  <c r="S212" i="43"/>
  <c r="T212" i="43"/>
  <c r="U212" i="43"/>
  <c r="V212" i="43"/>
  <c r="W212" i="43"/>
  <c r="X212" i="43"/>
  <c r="Y212" i="43"/>
  <c r="Z212" i="43"/>
  <c r="AA212" i="43"/>
  <c r="AB212" i="43"/>
  <c r="AC212" i="43"/>
  <c r="AD212" i="43"/>
  <c r="AE212" i="43"/>
  <c r="AF212" i="43"/>
  <c r="AG212" i="43"/>
  <c r="AH212" i="43"/>
  <c r="AI212" i="43"/>
  <c r="AJ212" i="43"/>
  <c r="AK212" i="43"/>
  <c r="AL212" i="43"/>
  <c r="AM212" i="43"/>
  <c r="AN212" i="43"/>
  <c r="AO212" i="43"/>
  <c r="AP212" i="43"/>
  <c r="AQ212" i="43"/>
  <c r="AR212" i="43"/>
  <c r="AS212" i="43"/>
  <c r="AT212" i="43"/>
  <c r="AU212" i="43"/>
  <c r="AV212" i="43"/>
  <c r="AW212" i="43"/>
  <c r="AX212" i="43"/>
  <c r="AY212" i="43"/>
  <c r="AZ212" i="43"/>
  <c r="BA212" i="43"/>
  <c r="BB212" i="43"/>
  <c r="BC212" i="43"/>
  <c r="BD212" i="43"/>
  <c r="BE212" i="43"/>
  <c r="BF212" i="43"/>
  <c r="BG212" i="43"/>
  <c r="BH212" i="43"/>
  <c r="BI212" i="43"/>
  <c r="BJ212" i="43"/>
  <c r="BK212" i="43"/>
  <c r="BL212" i="43"/>
  <c r="BM212" i="43"/>
  <c r="BN212" i="43"/>
  <c r="BO212" i="43"/>
  <c r="BP212" i="43"/>
  <c r="BQ212" i="43"/>
  <c r="BR212" i="43"/>
  <c r="BS212" i="43"/>
  <c r="BT212" i="43"/>
  <c r="BU212" i="43"/>
  <c r="BV212" i="43"/>
  <c r="BW212" i="43"/>
  <c r="BX212" i="43"/>
  <c r="BY212" i="43"/>
  <c r="BZ212" i="43"/>
  <c r="CA212" i="43"/>
  <c r="CB212" i="43"/>
  <c r="CC212" i="43"/>
  <c r="CD212" i="43"/>
  <c r="CE212" i="43"/>
  <c r="CF212" i="43"/>
  <c r="CG212" i="43"/>
  <c r="CH212" i="43"/>
  <c r="CI212" i="43"/>
  <c r="CJ212" i="43"/>
  <c r="CK212" i="43"/>
  <c r="CL212" i="43"/>
  <c r="CM212" i="43"/>
  <c r="CN212" i="43"/>
  <c r="CO212" i="43"/>
  <c r="CP212" i="43"/>
  <c r="CQ212" i="43"/>
  <c r="CR212" i="43"/>
  <c r="CS212" i="43"/>
  <c r="CT212" i="43"/>
  <c r="CU212" i="43"/>
  <c r="CV212" i="43"/>
  <c r="CW212" i="43"/>
  <c r="CX212" i="43"/>
  <c r="CY212" i="43"/>
  <c r="CZ212" i="43"/>
  <c r="DA212" i="43"/>
  <c r="DB212" i="43"/>
  <c r="DC212" i="43"/>
  <c r="DD212" i="43"/>
  <c r="DE212" i="43"/>
  <c r="DF212" i="43"/>
  <c r="DG212" i="43"/>
  <c r="DH212" i="43"/>
  <c r="DI212" i="43"/>
  <c r="DJ212" i="43"/>
  <c r="DK212" i="43"/>
  <c r="DL212" i="43"/>
  <c r="DM212" i="43"/>
  <c r="DN212" i="43"/>
  <c r="DO212" i="43"/>
  <c r="DP212" i="43"/>
  <c r="DQ212" i="43"/>
  <c r="DR212" i="43"/>
  <c r="DS212" i="43"/>
  <c r="DT212" i="43"/>
  <c r="DU212" i="43"/>
  <c r="DV212" i="43"/>
  <c r="DW212" i="43"/>
  <c r="DX212" i="43"/>
  <c r="DY212" i="43"/>
  <c r="DZ212" i="43"/>
  <c r="EA212" i="43"/>
  <c r="EB212" i="43"/>
  <c r="EC212" i="43"/>
  <c r="ED212" i="43"/>
  <c r="EE212" i="43"/>
  <c r="EF212" i="43"/>
  <c r="EG212" i="43"/>
  <c r="EH212" i="43"/>
  <c r="EI212" i="43"/>
  <c r="EJ212" i="43"/>
  <c r="EK212" i="43"/>
  <c r="EL212" i="43"/>
  <c r="EM212" i="43"/>
  <c r="EN212" i="43"/>
  <c r="EO212" i="43"/>
  <c r="EP212" i="43"/>
  <c r="EQ212" i="43"/>
  <c r="ER212" i="43"/>
  <c r="ES212" i="43"/>
  <c r="ET212" i="43"/>
  <c r="EU212" i="43"/>
  <c r="EV212" i="43"/>
  <c r="EW212" i="43"/>
  <c r="EX212" i="43"/>
  <c r="EY212" i="43"/>
  <c r="EZ212" i="43"/>
  <c r="FA212" i="43"/>
  <c r="FB212" i="43"/>
  <c r="FC212" i="43"/>
  <c r="FD212" i="43"/>
  <c r="FE212" i="43"/>
  <c r="FF212" i="43"/>
  <c r="FG212" i="43"/>
  <c r="FH212" i="43"/>
  <c r="FI212" i="43"/>
  <c r="FJ212" i="43"/>
  <c r="FK212" i="43"/>
  <c r="FL212" i="43"/>
  <c r="FM212" i="43"/>
  <c r="FN212" i="43"/>
  <c r="FO212" i="43"/>
  <c r="FP212" i="43"/>
  <c r="FQ212" i="43"/>
  <c r="FR212" i="43"/>
  <c r="FS212" i="43"/>
  <c r="FT212" i="43"/>
  <c r="FU212" i="43"/>
  <c r="FV212" i="43"/>
  <c r="FW212" i="43"/>
  <c r="FX212" i="43"/>
  <c r="FY212" i="43"/>
  <c r="FZ212" i="43"/>
  <c r="GA212" i="43"/>
  <c r="GB212" i="43"/>
  <c r="GC212" i="43"/>
  <c r="GD212" i="43"/>
  <c r="GE212" i="43"/>
  <c r="GF212" i="43"/>
  <c r="GG212" i="43"/>
  <c r="GH212" i="43"/>
  <c r="GI212" i="43"/>
  <c r="GJ212" i="43"/>
  <c r="GK212" i="43"/>
  <c r="GL212" i="43"/>
  <c r="GM212" i="43"/>
  <c r="GN212" i="43"/>
  <c r="GO212" i="43"/>
  <c r="GP212" i="43"/>
  <c r="GQ212" i="43"/>
  <c r="GR212" i="43"/>
  <c r="GS212" i="43"/>
  <c r="GT212" i="43"/>
  <c r="GU212" i="43"/>
  <c r="GV212" i="43"/>
  <c r="GW212" i="43"/>
  <c r="GX212" i="43"/>
  <c r="GY212" i="43"/>
  <c r="GZ212" i="43"/>
  <c r="HA212" i="43"/>
  <c r="HB212" i="43"/>
  <c r="HC212" i="43"/>
  <c r="HD212" i="43"/>
  <c r="HE212" i="43"/>
  <c r="HF212" i="43"/>
  <c r="HG212" i="43"/>
  <c r="HH212" i="43"/>
  <c r="HI212" i="43"/>
  <c r="HJ212" i="43"/>
  <c r="HK212" i="43"/>
  <c r="HL212" i="43"/>
  <c r="HM212" i="43"/>
  <c r="HN212" i="43"/>
  <c r="HO212" i="43"/>
  <c r="HP212" i="43"/>
  <c r="HQ212" i="43"/>
  <c r="HR212" i="43"/>
  <c r="HS212" i="43"/>
  <c r="HT212" i="43"/>
  <c r="HU212" i="43"/>
  <c r="HV212" i="43"/>
  <c r="HW212" i="43"/>
  <c r="HX212" i="43"/>
  <c r="HY212" i="43"/>
  <c r="HZ212" i="43"/>
  <c r="IA212" i="43"/>
  <c r="IB212" i="43"/>
  <c r="IC212" i="43"/>
  <c r="ID212" i="43"/>
  <c r="IE212" i="43"/>
  <c r="IF212" i="43"/>
  <c r="IG212" i="43"/>
  <c r="IH212" i="43"/>
  <c r="II212" i="43"/>
  <c r="IJ212" i="43"/>
  <c r="IK212" i="43"/>
  <c r="IL212" i="43"/>
  <c r="IM212" i="43"/>
  <c r="IN212" i="43"/>
  <c r="IO212" i="43"/>
  <c r="IP212" i="43"/>
  <c r="IQ212" i="43"/>
  <c r="IR212" i="43"/>
  <c r="IS212" i="43"/>
  <c r="IT212" i="43"/>
  <c r="IU212" i="43"/>
  <c r="IV212" i="43"/>
  <c r="A211" i="43"/>
  <c r="B211" i="43"/>
  <c r="C211" i="43"/>
  <c r="D211" i="43"/>
  <c r="E211" i="43"/>
  <c r="F211" i="43"/>
  <c r="G211" i="43"/>
  <c r="H211" i="43"/>
  <c r="I211" i="43"/>
  <c r="J211" i="43"/>
  <c r="K211" i="43"/>
  <c r="L211" i="43"/>
  <c r="M211" i="43"/>
  <c r="N211" i="43"/>
  <c r="O211" i="43"/>
  <c r="P211" i="43"/>
  <c r="Q211" i="43"/>
  <c r="R211" i="43"/>
  <c r="S211" i="43"/>
  <c r="T211" i="43"/>
  <c r="U211" i="43"/>
  <c r="V211" i="43"/>
  <c r="W211" i="43"/>
  <c r="X211" i="43"/>
  <c r="Y211" i="43"/>
  <c r="Z211" i="43"/>
  <c r="AA211" i="43"/>
  <c r="AB211" i="43"/>
  <c r="AC211" i="43"/>
  <c r="AD211" i="43"/>
  <c r="AE211" i="43"/>
  <c r="AF211" i="43"/>
  <c r="AG211" i="43"/>
  <c r="AH211" i="43"/>
  <c r="AI211" i="43"/>
  <c r="AJ211" i="43"/>
  <c r="AK211" i="43"/>
  <c r="AL211" i="43"/>
  <c r="AM211" i="43"/>
  <c r="AN211" i="43"/>
  <c r="AO211" i="43"/>
  <c r="AP211" i="43"/>
  <c r="AQ211" i="43"/>
  <c r="AR211" i="43"/>
  <c r="AS211" i="43"/>
  <c r="AT211" i="43"/>
  <c r="AU211" i="43"/>
  <c r="AV211" i="43"/>
  <c r="AW211" i="43"/>
  <c r="AX211" i="43"/>
  <c r="AY211" i="43"/>
  <c r="AZ211" i="43"/>
  <c r="BA211" i="43"/>
  <c r="BB211" i="43"/>
  <c r="BC211" i="43"/>
  <c r="BD211" i="43"/>
  <c r="BE211" i="43"/>
  <c r="BF211" i="43"/>
  <c r="BG211" i="43"/>
  <c r="BH211" i="43"/>
  <c r="BI211" i="43"/>
  <c r="BJ211" i="43"/>
  <c r="BK211" i="43"/>
  <c r="BL211" i="43"/>
  <c r="BM211" i="43"/>
  <c r="BN211" i="43"/>
  <c r="BO211" i="43"/>
  <c r="BP211" i="43"/>
  <c r="BQ211" i="43"/>
  <c r="BR211" i="43"/>
  <c r="BS211" i="43"/>
  <c r="BT211" i="43"/>
  <c r="BU211" i="43"/>
  <c r="BV211" i="43"/>
  <c r="BW211" i="43"/>
  <c r="BX211" i="43"/>
  <c r="BY211" i="43"/>
  <c r="BZ211" i="43"/>
  <c r="CA211" i="43"/>
  <c r="CB211" i="43"/>
  <c r="CC211" i="43"/>
  <c r="CD211" i="43"/>
  <c r="CE211" i="43"/>
  <c r="CF211" i="43"/>
  <c r="CG211" i="43"/>
  <c r="CH211" i="43"/>
  <c r="CI211" i="43"/>
  <c r="CJ211" i="43"/>
  <c r="CK211" i="43"/>
  <c r="CL211" i="43"/>
  <c r="CM211" i="43"/>
  <c r="CN211" i="43"/>
  <c r="CO211" i="43"/>
  <c r="CP211" i="43"/>
  <c r="CQ211" i="43"/>
  <c r="CR211" i="43"/>
  <c r="CS211" i="43"/>
  <c r="CT211" i="43"/>
  <c r="CU211" i="43"/>
  <c r="CV211" i="43"/>
  <c r="CW211" i="43"/>
  <c r="CX211" i="43"/>
  <c r="CY211" i="43"/>
  <c r="CZ211" i="43"/>
  <c r="DA211" i="43"/>
  <c r="DB211" i="43"/>
  <c r="DC211" i="43"/>
  <c r="DD211" i="43"/>
  <c r="DE211" i="43"/>
  <c r="DF211" i="43"/>
  <c r="DG211" i="43"/>
  <c r="DH211" i="43"/>
  <c r="DI211" i="43"/>
  <c r="DJ211" i="43"/>
  <c r="DK211" i="43"/>
  <c r="DL211" i="43"/>
  <c r="DM211" i="43"/>
  <c r="DN211" i="43"/>
  <c r="DO211" i="43"/>
  <c r="DP211" i="43"/>
  <c r="DQ211" i="43"/>
  <c r="DR211" i="43"/>
  <c r="DS211" i="43"/>
  <c r="DT211" i="43"/>
  <c r="DU211" i="43"/>
  <c r="DV211" i="43"/>
  <c r="DW211" i="43"/>
  <c r="DX211" i="43"/>
  <c r="DY211" i="43"/>
  <c r="DZ211" i="43"/>
  <c r="EA211" i="43"/>
  <c r="EB211" i="43"/>
  <c r="EC211" i="43"/>
  <c r="ED211" i="43"/>
  <c r="EE211" i="43"/>
  <c r="EF211" i="43"/>
  <c r="EG211" i="43"/>
  <c r="EH211" i="43"/>
  <c r="EI211" i="43"/>
  <c r="EJ211" i="43"/>
  <c r="EK211" i="43"/>
  <c r="EL211" i="43"/>
  <c r="EM211" i="43"/>
  <c r="EN211" i="43"/>
  <c r="EO211" i="43"/>
  <c r="EP211" i="43"/>
  <c r="EQ211" i="43"/>
  <c r="ER211" i="43"/>
  <c r="ES211" i="43"/>
  <c r="ET211" i="43"/>
  <c r="EU211" i="43"/>
  <c r="EV211" i="43"/>
  <c r="EW211" i="43"/>
  <c r="EX211" i="43"/>
  <c r="EY211" i="43"/>
  <c r="EZ211" i="43"/>
  <c r="FA211" i="43"/>
  <c r="FB211" i="43"/>
  <c r="FC211" i="43"/>
  <c r="FD211" i="43"/>
  <c r="FE211" i="43"/>
  <c r="FF211" i="43"/>
  <c r="FG211" i="43"/>
  <c r="FH211" i="43"/>
  <c r="FI211" i="43"/>
  <c r="FJ211" i="43"/>
  <c r="FK211" i="43"/>
  <c r="FL211" i="43"/>
  <c r="FM211" i="43"/>
  <c r="FN211" i="43"/>
  <c r="FO211" i="43"/>
  <c r="FP211" i="43"/>
  <c r="FQ211" i="43"/>
  <c r="FR211" i="43"/>
  <c r="FS211" i="43"/>
  <c r="FT211" i="43"/>
  <c r="FU211" i="43"/>
  <c r="FV211" i="43"/>
  <c r="FW211" i="43"/>
  <c r="FX211" i="43"/>
  <c r="FY211" i="43"/>
  <c r="FZ211" i="43"/>
  <c r="GA211" i="43"/>
  <c r="GB211" i="43"/>
  <c r="GC211" i="43"/>
  <c r="GD211" i="43"/>
  <c r="GE211" i="43"/>
  <c r="GF211" i="43"/>
  <c r="GG211" i="43"/>
  <c r="GH211" i="43"/>
  <c r="GI211" i="43"/>
  <c r="GJ211" i="43"/>
  <c r="GK211" i="43"/>
  <c r="GL211" i="43"/>
  <c r="GM211" i="43"/>
  <c r="GN211" i="43"/>
  <c r="GO211" i="43"/>
  <c r="GP211" i="43"/>
  <c r="GQ211" i="43"/>
  <c r="GR211" i="43"/>
  <c r="GS211" i="43"/>
  <c r="GT211" i="43"/>
  <c r="GU211" i="43"/>
  <c r="GV211" i="43"/>
  <c r="GW211" i="43"/>
  <c r="GX211" i="43"/>
  <c r="GY211" i="43"/>
  <c r="GZ211" i="43"/>
  <c r="HA211" i="43"/>
  <c r="HB211" i="43"/>
  <c r="HC211" i="43"/>
  <c r="HD211" i="43"/>
  <c r="HE211" i="43"/>
  <c r="HF211" i="43"/>
  <c r="HG211" i="43"/>
  <c r="HH211" i="43"/>
  <c r="HI211" i="43"/>
  <c r="HJ211" i="43"/>
  <c r="HK211" i="43"/>
  <c r="HL211" i="43"/>
  <c r="HM211" i="43"/>
  <c r="HN211" i="43"/>
  <c r="HO211" i="43"/>
  <c r="HP211" i="43"/>
  <c r="HQ211" i="43"/>
  <c r="HR211" i="43"/>
  <c r="HS211" i="43"/>
  <c r="HT211" i="43"/>
  <c r="HU211" i="43"/>
  <c r="HV211" i="43"/>
  <c r="HW211" i="43"/>
  <c r="HX211" i="43"/>
  <c r="HY211" i="43"/>
  <c r="HZ211" i="43"/>
  <c r="IA211" i="43"/>
  <c r="IB211" i="43"/>
  <c r="IC211" i="43"/>
  <c r="ID211" i="43"/>
  <c r="IE211" i="43"/>
  <c r="IF211" i="43"/>
  <c r="IG211" i="43"/>
  <c r="IH211" i="43"/>
  <c r="II211" i="43"/>
  <c r="IJ211" i="43"/>
  <c r="IK211" i="43"/>
  <c r="IL211" i="43"/>
  <c r="IM211" i="43"/>
  <c r="IN211" i="43"/>
  <c r="IO211" i="43"/>
  <c r="IP211" i="43"/>
  <c r="IQ211" i="43"/>
  <c r="IR211" i="43"/>
  <c r="IS211" i="43"/>
  <c r="IT211" i="43"/>
  <c r="IU211" i="43"/>
  <c r="IV211" i="43"/>
  <c r="A210" i="43"/>
  <c r="B210" i="43"/>
  <c r="C210" i="43"/>
  <c r="D210" i="43"/>
  <c r="E210" i="43"/>
  <c r="F210" i="43"/>
  <c r="G210" i="43"/>
  <c r="H210" i="43"/>
  <c r="I210" i="43"/>
  <c r="J210" i="43"/>
  <c r="K210" i="43"/>
  <c r="L210" i="43"/>
  <c r="M210" i="43"/>
  <c r="N210" i="43"/>
  <c r="O210" i="43"/>
  <c r="P210" i="43"/>
  <c r="Q210" i="43"/>
  <c r="R210" i="43"/>
  <c r="S210" i="43"/>
  <c r="T210" i="43"/>
  <c r="U210" i="43"/>
  <c r="V210" i="43"/>
  <c r="W210" i="43"/>
  <c r="X210" i="43"/>
  <c r="Y210" i="43"/>
  <c r="Z210" i="43"/>
  <c r="AA210" i="43"/>
  <c r="AB210" i="43"/>
  <c r="AC210" i="43"/>
  <c r="AD210" i="43"/>
  <c r="AE210" i="43"/>
  <c r="AF210" i="43"/>
  <c r="AG210" i="43"/>
  <c r="AH210" i="43"/>
  <c r="AI210" i="43"/>
  <c r="AJ210" i="43"/>
  <c r="AK210" i="43"/>
  <c r="AL210" i="43"/>
  <c r="AM210" i="43"/>
  <c r="AN210" i="43"/>
  <c r="AO210" i="43"/>
  <c r="AP210" i="43"/>
  <c r="AQ210" i="43"/>
  <c r="AR210" i="43"/>
  <c r="AS210" i="43"/>
  <c r="AT210" i="43"/>
  <c r="AU210" i="43"/>
  <c r="AV210" i="43"/>
  <c r="AW210" i="43"/>
  <c r="AX210" i="43"/>
  <c r="AY210" i="43"/>
  <c r="AZ210" i="43"/>
  <c r="BA210" i="43"/>
  <c r="BB210" i="43"/>
  <c r="BC210" i="43"/>
  <c r="BD210" i="43"/>
  <c r="BE210" i="43"/>
  <c r="BF210" i="43"/>
  <c r="BG210" i="43"/>
  <c r="BH210" i="43"/>
  <c r="BI210" i="43"/>
  <c r="BJ210" i="43"/>
  <c r="BK210" i="43"/>
  <c r="BL210" i="43"/>
  <c r="BM210" i="43"/>
  <c r="BN210" i="43"/>
  <c r="BO210" i="43"/>
  <c r="BP210" i="43"/>
  <c r="BQ210" i="43"/>
  <c r="BR210" i="43"/>
  <c r="BS210" i="43"/>
  <c r="BT210" i="43"/>
  <c r="BU210" i="43"/>
  <c r="BV210" i="43"/>
  <c r="BW210" i="43"/>
  <c r="BX210" i="43"/>
  <c r="BY210" i="43"/>
  <c r="BZ210" i="43"/>
  <c r="CA210" i="43"/>
  <c r="CB210" i="43"/>
  <c r="CC210" i="43"/>
  <c r="CD210" i="43"/>
  <c r="CE210" i="43"/>
  <c r="CF210" i="43"/>
  <c r="CG210" i="43"/>
  <c r="CH210" i="43"/>
  <c r="CI210" i="43"/>
  <c r="CJ210" i="43"/>
  <c r="CK210" i="43"/>
  <c r="CL210" i="43"/>
  <c r="CM210" i="43"/>
  <c r="CN210" i="43"/>
  <c r="CO210" i="43"/>
  <c r="CP210" i="43"/>
  <c r="CQ210" i="43"/>
  <c r="CR210" i="43"/>
  <c r="CS210" i="43"/>
  <c r="CT210" i="43"/>
  <c r="CU210" i="43"/>
  <c r="CV210" i="43"/>
  <c r="CW210" i="43"/>
  <c r="CX210" i="43"/>
  <c r="CY210" i="43"/>
  <c r="CZ210" i="43"/>
  <c r="DA210" i="43"/>
  <c r="DB210" i="43"/>
  <c r="DC210" i="43"/>
  <c r="DD210" i="43"/>
  <c r="DE210" i="43"/>
  <c r="DF210" i="43"/>
  <c r="DG210" i="43"/>
  <c r="DH210" i="43"/>
  <c r="DI210" i="43"/>
  <c r="DJ210" i="43"/>
  <c r="DK210" i="43"/>
  <c r="DL210" i="43"/>
  <c r="DM210" i="43"/>
  <c r="DN210" i="43"/>
  <c r="DO210" i="43"/>
  <c r="DP210" i="43"/>
  <c r="DQ210" i="43"/>
  <c r="DR210" i="43"/>
  <c r="DS210" i="43"/>
  <c r="DT210" i="43"/>
  <c r="DU210" i="43"/>
  <c r="DV210" i="43"/>
  <c r="DW210" i="43"/>
  <c r="DX210" i="43"/>
  <c r="DY210" i="43"/>
  <c r="DZ210" i="43"/>
  <c r="EA210" i="43"/>
  <c r="EB210" i="43"/>
  <c r="EC210" i="43"/>
  <c r="ED210" i="43"/>
  <c r="EE210" i="43"/>
  <c r="EF210" i="43"/>
  <c r="EG210" i="43"/>
  <c r="EH210" i="43"/>
  <c r="EI210" i="43"/>
  <c r="EJ210" i="43"/>
  <c r="EK210" i="43"/>
  <c r="EL210" i="43"/>
  <c r="EM210" i="43"/>
  <c r="EN210" i="43"/>
  <c r="EO210" i="43"/>
  <c r="EP210" i="43"/>
  <c r="EQ210" i="43"/>
  <c r="ER210" i="43"/>
  <c r="ES210" i="43"/>
  <c r="ET210" i="43"/>
  <c r="EU210" i="43"/>
  <c r="EV210" i="43"/>
  <c r="EW210" i="43"/>
  <c r="EX210" i="43"/>
  <c r="EY210" i="43"/>
  <c r="EZ210" i="43"/>
  <c r="FA210" i="43"/>
  <c r="FB210" i="43"/>
  <c r="FC210" i="43"/>
  <c r="FD210" i="43"/>
  <c r="FE210" i="43"/>
  <c r="FF210" i="43"/>
  <c r="FG210" i="43"/>
  <c r="FH210" i="43"/>
  <c r="FI210" i="43"/>
  <c r="FJ210" i="43"/>
  <c r="FK210" i="43"/>
  <c r="FL210" i="43"/>
  <c r="FM210" i="43"/>
  <c r="FN210" i="43"/>
  <c r="FO210" i="43"/>
  <c r="FP210" i="43"/>
  <c r="FQ210" i="43"/>
  <c r="FR210" i="43"/>
  <c r="FS210" i="43"/>
  <c r="FT210" i="43"/>
  <c r="FU210" i="43"/>
  <c r="FV210" i="43"/>
  <c r="FW210" i="43"/>
  <c r="FX210" i="43"/>
  <c r="FY210" i="43"/>
  <c r="FZ210" i="43"/>
  <c r="GA210" i="43"/>
  <c r="GB210" i="43"/>
  <c r="GC210" i="43"/>
  <c r="GD210" i="43"/>
  <c r="GE210" i="43"/>
  <c r="GF210" i="43"/>
  <c r="GG210" i="43"/>
  <c r="GH210" i="43"/>
  <c r="GI210" i="43"/>
  <c r="GJ210" i="43"/>
  <c r="GK210" i="43"/>
  <c r="GL210" i="43"/>
  <c r="GM210" i="43"/>
  <c r="GN210" i="43"/>
  <c r="GO210" i="43"/>
  <c r="GP210" i="43"/>
  <c r="GQ210" i="43"/>
  <c r="GR210" i="43"/>
  <c r="GS210" i="43"/>
  <c r="GT210" i="43"/>
  <c r="GU210" i="43"/>
  <c r="GV210" i="43"/>
  <c r="GW210" i="43"/>
  <c r="GX210" i="43"/>
  <c r="GY210" i="43"/>
  <c r="GZ210" i="43"/>
  <c r="HA210" i="43"/>
  <c r="HB210" i="43"/>
  <c r="HC210" i="43"/>
  <c r="HD210" i="43"/>
  <c r="HE210" i="43"/>
  <c r="HF210" i="43"/>
  <c r="HG210" i="43"/>
  <c r="HH210" i="43"/>
  <c r="HI210" i="43"/>
  <c r="HJ210" i="43"/>
  <c r="HK210" i="43"/>
  <c r="HL210" i="43"/>
  <c r="HM210" i="43"/>
  <c r="HN210" i="43"/>
  <c r="HO210" i="43"/>
  <c r="HP210" i="43"/>
  <c r="HQ210" i="43"/>
  <c r="HR210" i="43"/>
  <c r="HS210" i="43"/>
  <c r="HT210" i="43"/>
  <c r="HU210" i="43"/>
  <c r="HV210" i="43"/>
  <c r="HW210" i="43"/>
  <c r="HX210" i="43"/>
  <c r="HY210" i="43"/>
  <c r="HZ210" i="43"/>
  <c r="IA210" i="43"/>
  <c r="IB210" i="43"/>
  <c r="IC210" i="43"/>
  <c r="ID210" i="43"/>
  <c r="IE210" i="43"/>
  <c r="IF210" i="43"/>
  <c r="IG210" i="43"/>
  <c r="IH210" i="43"/>
  <c r="II210" i="43"/>
  <c r="IJ210" i="43"/>
  <c r="IK210" i="43"/>
  <c r="IL210" i="43"/>
  <c r="IM210" i="43"/>
  <c r="IN210" i="43"/>
  <c r="IO210" i="43"/>
  <c r="IP210" i="43"/>
  <c r="IQ210" i="43"/>
  <c r="IR210" i="43"/>
  <c r="IS210" i="43"/>
  <c r="IT210" i="43"/>
  <c r="IU210" i="43"/>
  <c r="IV210" i="43"/>
  <c r="A209" i="43"/>
  <c r="B209" i="43"/>
  <c r="C209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209" i="43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BD209" i="43"/>
  <c r="BE209" i="43"/>
  <c r="BF209" i="43"/>
  <c r="BG209" i="43"/>
  <c r="BH209" i="43"/>
  <c r="BI209" i="43"/>
  <c r="BJ209" i="43"/>
  <c r="BK209" i="43"/>
  <c r="BL209" i="43"/>
  <c r="BM209" i="43"/>
  <c r="BN209" i="43"/>
  <c r="BO209" i="43"/>
  <c r="BP209" i="43"/>
  <c r="BQ209" i="43"/>
  <c r="BR209" i="43"/>
  <c r="BS209" i="43"/>
  <c r="BT209" i="43"/>
  <c r="BU209" i="43"/>
  <c r="BV209" i="43"/>
  <c r="BW209" i="43"/>
  <c r="BX209" i="43"/>
  <c r="BY209" i="43"/>
  <c r="BZ209" i="43"/>
  <c r="CA209" i="43"/>
  <c r="CB209" i="43"/>
  <c r="CC209" i="43"/>
  <c r="CD209" i="43"/>
  <c r="CE209" i="43"/>
  <c r="CF209" i="43"/>
  <c r="CG209" i="43"/>
  <c r="CH209" i="43"/>
  <c r="CI209" i="43"/>
  <c r="CJ209" i="43"/>
  <c r="CK209" i="43"/>
  <c r="CL209" i="43"/>
  <c r="CM209" i="43"/>
  <c r="CN209" i="43"/>
  <c r="CO209" i="43"/>
  <c r="CP209" i="43"/>
  <c r="CQ209" i="43"/>
  <c r="CR209" i="43"/>
  <c r="CS209" i="43"/>
  <c r="CT209" i="43"/>
  <c r="CU209" i="43"/>
  <c r="CV209" i="43"/>
  <c r="CW209" i="43"/>
  <c r="CX209" i="43"/>
  <c r="CY209" i="43"/>
  <c r="CZ209" i="43"/>
  <c r="DA209" i="43"/>
  <c r="DB209" i="43"/>
  <c r="DC209" i="43"/>
  <c r="DD209" i="43"/>
  <c r="DE209" i="43"/>
  <c r="DF209" i="43"/>
  <c r="DG209" i="43"/>
  <c r="DH209" i="43"/>
  <c r="DI209" i="43"/>
  <c r="DJ209" i="43"/>
  <c r="DK209" i="43"/>
  <c r="DL209" i="43"/>
  <c r="DM209" i="43"/>
  <c r="DN209" i="43"/>
  <c r="DO209" i="43"/>
  <c r="DP209" i="43"/>
  <c r="DQ209" i="43"/>
  <c r="DR209" i="43"/>
  <c r="DS209" i="43"/>
  <c r="DT209" i="43"/>
  <c r="DU209" i="43"/>
  <c r="DV209" i="43"/>
  <c r="DW209" i="43"/>
  <c r="DX209" i="43"/>
  <c r="DY209" i="43"/>
  <c r="DZ209" i="43"/>
  <c r="EA209" i="43"/>
  <c r="EB209" i="43"/>
  <c r="EC209" i="43"/>
  <c r="ED209" i="43"/>
  <c r="EE209" i="43"/>
  <c r="EF209" i="43"/>
  <c r="EG209" i="43"/>
  <c r="EH209" i="43"/>
  <c r="EI209" i="43"/>
  <c r="EJ209" i="43"/>
  <c r="EK209" i="43"/>
  <c r="EL209" i="43"/>
  <c r="EM209" i="43"/>
  <c r="EN209" i="43"/>
  <c r="EO209" i="43"/>
  <c r="EP209" i="43"/>
  <c r="EQ209" i="43"/>
  <c r="ER209" i="43"/>
  <c r="ES209" i="43"/>
  <c r="ET209" i="43"/>
  <c r="EU209" i="43"/>
  <c r="EV209" i="43"/>
  <c r="EW209" i="43"/>
  <c r="EX209" i="43"/>
  <c r="EY209" i="43"/>
  <c r="EZ209" i="43"/>
  <c r="FA209" i="43"/>
  <c r="FB209" i="43"/>
  <c r="FC209" i="43"/>
  <c r="FD209" i="43"/>
  <c r="FE209" i="43"/>
  <c r="FF209" i="43"/>
  <c r="FG209" i="43"/>
  <c r="FH209" i="43"/>
  <c r="FI209" i="43"/>
  <c r="FJ209" i="43"/>
  <c r="FK209" i="43"/>
  <c r="FL209" i="43"/>
  <c r="FM209" i="43"/>
  <c r="FN209" i="43"/>
  <c r="FO209" i="43"/>
  <c r="FP209" i="43"/>
  <c r="FQ209" i="43"/>
  <c r="FR209" i="43"/>
  <c r="FS209" i="43"/>
  <c r="FT209" i="43"/>
  <c r="FU209" i="43"/>
  <c r="FV209" i="43"/>
  <c r="FW209" i="43"/>
  <c r="FX209" i="43"/>
  <c r="FY209" i="43"/>
  <c r="FZ209" i="43"/>
  <c r="GA209" i="43"/>
  <c r="GB209" i="43"/>
  <c r="GC209" i="43"/>
  <c r="GD209" i="43"/>
  <c r="GE209" i="43"/>
  <c r="GF209" i="43"/>
  <c r="GG209" i="43"/>
  <c r="GH209" i="43"/>
  <c r="GI209" i="43"/>
  <c r="GJ209" i="43"/>
  <c r="GK209" i="43"/>
  <c r="GL209" i="43"/>
  <c r="GM209" i="43"/>
  <c r="GN209" i="43"/>
  <c r="GO209" i="43"/>
  <c r="GP209" i="43"/>
  <c r="GQ209" i="43"/>
  <c r="GR209" i="43"/>
  <c r="GS209" i="43"/>
  <c r="GT209" i="43"/>
  <c r="GU209" i="43"/>
  <c r="GV209" i="43"/>
  <c r="GW209" i="43"/>
  <c r="GX209" i="43"/>
  <c r="GY209" i="43"/>
  <c r="GZ209" i="43"/>
  <c r="HA209" i="43"/>
  <c r="HB209" i="43"/>
  <c r="HC209" i="43"/>
  <c r="HD209" i="43"/>
  <c r="HE209" i="43"/>
  <c r="HF209" i="43"/>
  <c r="HG209" i="43"/>
  <c r="HH209" i="43"/>
  <c r="HI209" i="43"/>
  <c r="HJ209" i="43"/>
  <c r="HK209" i="43"/>
  <c r="HL209" i="43"/>
  <c r="HM209" i="43"/>
  <c r="HN209" i="43"/>
  <c r="HO209" i="43"/>
  <c r="HP209" i="43"/>
  <c r="HQ209" i="43"/>
  <c r="HR209" i="43"/>
  <c r="HS209" i="43"/>
  <c r="HT209" i="43"/>
  <c r="HU209" i="43"/>
  <c r="HV209" i="43"/>
  <c r="HW209" i="43"/>
  <c r="HX209" i="43"/>
  <c r="HY209" i="43"/>
  <c r="HZ209" i="43"/>
  <c r="IA209" i="43"/>
  <c r="IB209" i="43"/>
  <c r="IC209" i="43"/>
  <c r="ID209" i="43"/>
  <c r="IE209" i="43"/>
  <c r="IF209" i="43"/>
  <c r="IG209" i="43"/>
  <c r="IH209" i="43"/>
  <c r="II209" i="43"/>
  <c r="IJ209" i="43"/>
  <c r="IK209" i="43"/>
  <c r="IL209" i="43"/>
  <c r="IM209" i="43"/>
  <c r="IN209" i="43"/>
  <c r="IO209" i="43"/>
  <c r="IP209" i="43"/>
  <c r="IQ209" i="43"/>
  <c r="IR209" i="43"/>
  <c r="IS209" i="43"/>
  <c r="IT209" i="43"/>
  <c r="IU209" i="43"/>
  <c r="IV209" i="43"/>
  <c r="A208" i="43"/>
  <c r="B208" i="43"/>
  <c r="C208" i="43"/>
  <c r="D208" i="43"/>
  <c r="E208" i="43"/>
  <c r="F208" i="43"/>
  <c r="G208" i="43"/>
  <c r="H208" i="43"/>
  <c r="I208" i="43"/>
  <c r="J208" i="43"/>
  <c r="K208" i="43"/>
  <c r="L208" i="43"/>
  <c r="M208" i="43"/>
  <c r="N208" i="43"/>
  <c r="O208" i="43"/>
  <c r="P208" i="43"/>
  <c r="Q208" i="43"/>
  <c r="R208" i="43"/>
  <c r="S208" i="43"/>
  <c r="T208" i="43"/>
  <c r="U208" i="43"/>
  <c r="V208" i="43"/>
  <c r="W208" i="43"/>
  <c r="X208" i="43"/>
  <c r="Y208" i="43"/>
  <c r="Z208" i="43"/>
  <c r="AA208" i="43"/>
  <c r="AB208" i="43"/>
  <c r="AC208" i="43"/>
  <c r="AD208" i="43"/>
  <c r="AE208" i="43"/>
  <c r="AF208" i="43"/>
  <c r="AG208" i="43"/>
  <c r="AH208" i="43"/>
  <c r="AI208" i="43"/>
  <c r="AJ208" i="43"/>
  <c r="AK208" i="43"/>
  <c r="AL208" i="43"/>
  <c r="AM208" i="43"/>
  <c r="AN208" i="43"/>
  <c r="AO208" i="43"/>
  <c r="AP208" i="43"/>
  <c r="AQ208" i="43"/>
  <c r="AR208" i="43"/>
  <c r="AS208" i="43"/>
  <c r="AT208" i="43"/>
  <c r="AU208" i="43"/>
  <c r="AV208" i="43"/>
  <c r="AW208" i="43"/>
  <c r="AX208" i="43"/>
  <c r="AY208" i="43"/>
  <c r="AZ208" i="43"/>
  <c r="BA208" i="43"/>
  <c r="BB208" i="43"/>
  <c r="BC208" i="43"/>
  <c r="BD208" i="43"/>
  <c r="BE208" i="43"/>
  <c r="BF208" i="43"/>
  <c r="BG208" i="43"/>
  <c r="BH208" i="43"/>
  <c r="BI208" i="43"/>
  <c r="BJ208" i="43"/>
  <c r="BK208" i="43"/>
  <c r="BL208" i="43"/>
  <c r="BM208" i="43"/>
  <c r="BN208" i="43"/>
  <c r="BO208" i="43"/>
  <c r="BP208" i="43"/>
  <c r="BQ208" i="43"/>
  <c r="BR208" i="43"/>
  <c r="BS208" i="43"/>
  <c r="BT208" i="43"/>
  <c r="BU208" i="43"/>
  <c r="BV208" i="43"/>
  <c r="BW208" i="43"/>
  <c r="BX208" i="43"/>
  <c r="BY208" i="43"/>
  <c r="BZ208" i="43"/>
  <c r="CA208" i="43"/>
  <c r="CB208" i="43"/>
  <c r="CC208" i="43"/>
  <c r="CD208" i="43"/>
  <c r="CE208" i="43"/>
  <c r="CF208" i="43"/>
  <c r="CG208" i="43"/>
  <c r="CH208" i="43"/>
  <c r="CI208" i="43"/>
  <c r="CJ208" i="43"/>
  <c r="CK208" i="43"/>
  <c r="CL208" i="43"/>
  <c r="CM208" i="43"/>
  <c r="CN208" i="43"/>
  <c r="CO208" i="43"/>
  <c r="CP208" i="43"/>
  <c r="CQ208" i="43"/>
  <c r="CR208" i="43"/>
  <c r="CS208" i="43"/>
  <c r="CT208" i="43"/>
  <c r="CU208" i="43"/>
  <c r="CV208" i="43"/>
  <c r="CW208" i="43"/>
  <c r="CX208" i="43"/>
  <c r="CY208" i="43"/>
  <c r="CZ208" i="43"/>
  <c r="DA208" i="43"/>
  <c r="DB208" i="43"/>
  <c r="DC208" i="43"/>
  <c r="DD208" i="43"/>
  <c r="DE208" i="43"/>
  <c r="DF208" i="43"/>
  <c r="DG208" i="43"/>
  <c r="DH208" i="43"/>
  <c r="DI208" i="43"/>
  <c r="DJ208" i="43"/>
  <c r="DK208" i="43"/>
  <c r="DL208" i="43"/>
  <c r="DM208" i="43"/>
  <c r="DN208" i="43"/>
  <c r="DO208" i="43"/>
  <c r="DP208" i="43"/>
  <c r="DQ208" i="43"/>
  <c r="DR208" i="43"/>
  <c r="DS208" i="43"/>
  <c r="DT208" i="43"/>
  <c r="DU208" i="43"/>
  <c r="DV208" i="43"/>
  <c r="DW208" i="43"/>
  <c r="DX208" i="43"/>
  <c r="DY208" i="43"/>
  <c r="DZ208" i="43"/>
  <c r="EA208" i="43"/>
  <c r="EB208" i="43"/>
  <c r="EC208" i="43"/>
  <c r="ED208" i="43"/>
  <c r="EE208" i="43"/>
  <c r="EF208" i="43"/>
  <c r="EG208" i="43"/>
  <c r="EH208" i="43"/>
  <c r="EI208" i="43"/>
  <c r="EJ208" i="43"/>
  <c r="EK208" i="43"/>
  <c r="EL208" i="43"/>
  <c r="EM208" i="43"/>
  <c r="EN208" i="43"/>
  <c r="EO208" i="43"/>
  <c r="EP208" i="43"/>
  <c r="EQ208" i="43"/>
  <c r="ER208" i="43"/>
  <c r="ES208" i="43"/>
  <c r="ET208" i="43"/>
  <c r="EU208" i="43"/>
  <c r="EV208" i="43"/>
  <c r="EW208" i="43"/>
  <c r="EX208" i="43"/>
  <c r="EY208" i="43"/>
  <c r="EZ208" i="43"/>
  <c r="FA208" i="43"/>
  <c r="FB208" i="43"/>
  <c r="FC208" i="43"/>
  <c r="FD208" i="43"/>
  <c r="FE208" i="43"/>
  <c r="FF208" i="43"/>
  <c r="FG208" i="43"/>
  <c r="FH208" i="43"/>
  <c r="FI208" i="43"/>
  <c r="FJ208" i="43"/>
  <c r="FK208" i="43"/>
  <c r="FL208" i="43"/>
  <c r="FM208" i="43"/>
  <c r="FN208" i="43"/>
  <c r="FO208" i="43"/>
  <c r="FP208" i="43"/>
  <c r="FQ208" i="43"/>
  <c r="FR208" i="43"/>
  <c r="FS208" i="43"/>
  <c r="FT208" i="43"/>
  <c r="FU208" i="43"/>
  <c r="FV208" i="43"/>
  <c r="FW208" i="43"/>
  <c r="FX208" i="43"/>
  <c r="FY208" i="43"/>
  <c r="FZ208" i="43"/>
  <c r="GA208" i="43"/>
  <c r="GB208" i="43"/>
  <c r="GC208" i="43"/>
  <c r="GD208" i="43"/>
  <c r="GE208" i="43"/>
  <c r="GF208" i="43"/>
  <c r="GG208" i="43"/>
  <c r="GH208" i="43"/>
  <c r="GI208" i="43"/>
  <c r="GJ208" i="43"/>
  <c r="GK208" i="43"/>
  <c r="GL208" i="43"/>
  <c r="GM208" i="43"/>
  <c r="GN208" i="43"/>
  <c r="GO208" i="43"/>
  <c r="GP208" i="43"/>
  <c r="GQ208" i="43"/>
  <c r="GR208" i="43"/>
  <c r="GS208" i="43"/>
  <c r="GT208" i="43"/>
  <c r="GU208" i="43"/>
  <c r="GV208" i="43"/>
  <c r="GW208" i="43"/>
  <c r="GX208" i="43"/>
  <c r="GY208" i="43"/>
  <c r="GZ208" i="43"/>
  <c r="HA208" i="43"/>
  <c r="HB208" i="43"/>
  <c r="HC208" i="43"/>
  <c r="HD208" i="43"/>
  <c r="HE208" i="43"/>
  <c r="HF208" i="43"/>
  <c r="HG208" i="43"/>
  <c r="HH208" i="43"/>
  <c r="HI208" i="43"/>
  <c r="HJ208" i="43"/>
  <c r="HK208" i="43"/>
  <c r="HL208" i="43"/>
  <c r="HM208" i="43"/>
  <c r="HN208" i="43"/>
  <c r="HO208" i="43"/>
  <c r="HP208" i="43"/>
  <c r="HQ208" i="43"/>
  <c r="HR208" i="43"/>
  <c r="HS208" i="43"/>
  <c r="HT208" i="43"/>
  <c r="HU208" i="43"/>
  <c r="HV208" i="43"/>
  <c r="HW208" i="43"/>
  <c r="HX208" i="43"/>
  <c r="HY208" i="43"/>
  <c r="HZ208" i="43"/>
  <c r="IA208" i="43"/>
  <c r="IB208" i="43"/>
  <c r="IC208" i="43"/>
  <c r="ID208" i="43"/>
  <c r="IE208" i="43"/>
  <c r="IF208" i="43"/>
  <c r="IG208" i="43"/>
  <c r="IH208" i="43"/>
  <c r="II208" i="43"/>
  <c r="IJ208" i="43"/>
  <c r="IK208" i="43"/>
  <c r="IL208" i="43"/>
  <c r="IM208" i="43"/>
  <c r="IN208" i="43"/>
  <c r="IO208" i="43"/>
  <c r="IP208" i="43"/>
  <c r="IQ208" i="43"/>
  <c r="IR208" i="43"/>
  <c r="IS208" i="43"/>
  <c r="IT208" i="43"/>
  <c r="IU208" i="43"/>
  <c r="IV208" i="43"/>
  <c r="A207" i="43"/>
  <c r="B207" i="43"/>
  <c r="C207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BD207" i="43"/>
  <c r="BE207" i="43"/>
  <c r="BF207" i="43"/>
  <c r="BG207" i="43"/>
  <c r="BH207" i="43"/>
  <c r="BI207" i="43"/>
  <c r="BJ207" i="43"/>
  <c r="BK207" i="43"/>
  <c r="BL207" i="43"/>
  <c r="BM207" i="43"/>
  <c r="BN207" i="43"/>
  <c r="BO207" i="43"/>
  <c r="BP207" i="43"/>
  <c r="BQ207" i="43"/>
  <c r="BR207" i="43"/>
  <c r="BS207" i="43"/>
  <c r="BT207" i="43"/>
  <c r="BU207" i="43"/>
  <c r="BV207" i="43"/>
  <c r="BW207" i="43"/>
  <c r="BX207" i="43"/>
  <c r="BY207" i="43"/>
  <c r="BZ207" i="43"/>
  <c r="CA207" i="43"/>
  <c r="CB207" i="43"/>
  <c r="CC207" i="43"/>
  <c r="CD207" i="43"/>
  <c r="CE207" i="43"/>
  <c r="CF207" i="43"/>
  <c r="CG207" i="43"/>
  <c r="CH207" i="43"/>
  <c r="CI207" i="43"/>
  <c r="CJ207" i="43"/>
  <c r="CK207" i="43"/>
  <c r="CL207" i="43"/>
  <c r="CM207" i="43"/>
  <c r="CN207" i="43"/>
  <c r="CO207" i="43"/>
  <c r="CP207" i="43"/>
  <c r="CQ207" i="43"/>
  <c r="CR207" i="43"/>
  <c r="CS207" i="43"/>
  <c r="CT207" i="43"/>
  <c r="CU207" i="43"/>
  <c r="CV207" i="43"/>
  <c r="CW207" i="43"/>
  <c r="CX207" i="43"/>
  <c r="CY207" i="43"/>
  <c r="CZ207" i="43"/>
  <c r="DA207" i="43"/>
  <c r="DB207" i="43"/>
  <c r="DC207" i="43"/>
  <c r="DD207" i="43"/>
  <c r="DE207" i="43"/>
  <c r="DF207" i="43"/>
  <c r="DG207" i="43"/>
  <c r="DH207" i="43"/>
  <c r="DI207" i="43"/>
  <c r="DJ207" i="43"/>
  <c r="DK207" i="43"/>
  <c r="DL207" i="43"/>
  <c r="DM207" i="43"/>
  <c r="DN207" i="43"/>
  <c r="DO207" i="43"/>
  <c r="DP207" i="43"/>
  <c r="DQ207" i="43"/>
  <c r="DR207" i="43"/>
  <c r="DS207" i="43"/>
  <c r="DT207" i="43"/>
  <c r="DU207" i="43"/>
  <c r="DV207" i="43"/>
  <c r="DW207" i="43"/>
  <c r="DX207" i="43"/>
  <c r="DY207" i="43"/>
  <c r="DZ207" i="43"/>
  <c r="EA207" i="43"/>
  <c r="EB207" i="43"/>
  <c r="EC207" i="43"/>
  <c r="ED207" i="43"/>
  <c r="EE207" i="43"/>
  <c r="EF207" i="43"/>
  <c r="EG207" i="43"/>
  <c r="EH207" i="43"/>
  <c r="EI207" i="43"/>
  <c r="EJ207" i="43"/>
  <c r="EK207" i="43"/>
  <c r="EL207" i="43"/>
  <c r="EM207" i="43"/>
  <c r="EN207" i="43"/>
  <c r="EO207" i="43"/>
  <c r="EP207" i="43"/>
  <c r="EQ207" i="43"/>
  <c r="ER207" i="43"/>
  <c r="ES207" i="43"/>
  <c r="ET207" i="43"/>
  <c r="EU207" i="43"/>
  <c r="EV207" i="43"/>
  <c r="EW207" i="43"/>
  <c r="EX207" i="43"/>
  <c r="EY207" i="43"/>
  <c r="EZ207" i="43"/>
  <c r="FA207" i="43"/>
  <c r="FB207" i="43"/>
  <c r="FC207" i="43"/>
  <c r="FD207" i="43"/>
  <c r="FE207" i="43"/>
  <c r="FF207" i="43"/>
  <c r="FG207" i="43"/>
  <c r="FH207" i="43"/>
  <c r="FI207" i="43"/>
  <c r="FJ207" i="43"/>
  <c r="FK207" i="43"/>
  <c r="FL207" i="43"/>
  <c r="FM207" i="43"/>
  <c r="FN207" i="43"/>
  <c r="FO207" i="43"/>
  <c r="FP207" i="43"/>
  <c r="FQ207" i="43"/>
  <c r="FR207" i="43"/>
  <c r="FS207" i="43"/>
  <c r="FT207" i="43"/>
  <c r="FU207" i="43"/>
  <c r="FV207" i="43"/>
  <c r="FW207" i="43"/>
  <c r="FX207" i="43"/>
  <c r="FY207" i="43"/>
  <c r="FZ207" i="43"/>
  <c r="GA207" i="43"/>
  <c r="GB207" i="43"/>
  <c r="GC207" i="43"/>
  <c r="GD207" i="43"/>
  <c r="GE207" i="43"/>
  <c r="GF207" i="43"/>
  <c r="GG207" i="43"/>
  <c r="GH207" i="43"/>
  <c r="GI207" i="43"/>
  <c r="GJ207" i="43"/>
  <c r="GK207" i="43"/>
  <c r="GL207" i="43"/>
  <c r="GM207" i="43"/>
  <c r="GN207" i="43"/>
  <c r="GO207" i="43"/>
  <c r="GP207" i="43"/>
  <c r="GQ207" i="43"/>
  <c r="GR207" i="43"/>
  <c r="GS207" i="43"/>
  <c r="GT207" i="43"/>
  <c r="GU207" i="43"/>
  <c r="GV207" i="43"/>
  <c r="GW207" i="43"/>
  <c r="GX207" i="43"/>
  <c r="GY207" i="43"/>
  <c r="GZ207" i="43"/>
  <c r="HA207" i="43"/>
  <c r="HB207" i="43"/>
  <c r="HC207" i="43"/>
  <c r="HD207" i="43"/>
  <c r="HE207" i="43"/>
  <c r="HF207" i="43"/>
  <c r="HG207" i="43"/>
  <c r="HH207" i="43"/>
  <c r="HI207" i="43"/>
  <c r="HJ207" i="43"/>
  <c r="HK207" i="43"/>
  <c r="HL207" i="43"/>
  <c r="HM207" i="43"/>
  <c r="HN207" i="43"/>
  <c r="HO207" i="43"/>
  <c r="HP207" i="43"/>
  <c r="HQ207" i="43"/>
  <c r="HR207" i="43"/>
  <c r="HS207" i="43"/>
  <c r="HT207" i="43"/>
  <c r="HU207" i="43"/>
  <c r="HV207" i="43"/>
  <c r="HW207" i="43"/>
  <c r="HX207" i="43"/>
  <c r="HY207" i="43"/>
  <c r="HZ207" i="43"/>
  <c r="IA207" i="43"/>
  <c r="IB207" i="43"/>
  <c r="IC207" i="43"/>
  <c r="ID207" i="43"/>
  <c r="IE207" i="43"/>
  <c r="IF207" i="43"/>
  <c r="IG207" i="43"/>
  <c r="IH207" i="43"/>
  <c r="II207" i="43"/>
  <c r="IJ207" i="43"/>
  <c r="IK207" i="43"/>
  <c r="IL207" i="43"/>
  <c r="IM207" i="43"/>
  <c r="IN207" i="43"/>
  <c r="IO207" i="43"/>
  <c r="IP207" i="43"/>
  <c r="IQ207" i="43"/>
  <c r="IR207" i="43"/>
  <c r="IS207" i="43"/>
  <c r="IT207" i="43"/>
  <c r="IU207" i="43"/>
  <c r="IV207" i="43"/>
  <c r="A206" i="43"/>
  <c r="B206" i="43"/>
  <c r="C206" i="43"/>
  <c r="D206" i="43"/>
  <c r="E206" i="43"/>
  <c r="F206" i="43"/>
  <c r="G206" i="43"/>
  <c r="H206" i="43"/>
  <c r="I206" i="43"/>
  <c r="J206" i="43"/>
  <c r="K206" i="43"/>
  <c r="L206" i="43"/>
  <c r="M206" i="43"/>
  <c r="N206" i="43"/>
  <c r="O206" i="43"/>
  <c r="P206" i="43"/>
  <c r="Q206" i="43"/>
  <c r="R206" i="43"/>
  <c r="S206" i="43"/>
  <c r="T206" i="43"/>
  <c r="U206" i="43"/>
  <c r="V206" i="43"/>
  <c r="W206" i="43"/>
  <c r="X206" i="43"/>
  <c r="Y206" i="43"/>
  <c r="Z206" i="43"/>
  <c r="AA206" i="43"/>
  <c r="AB206" i="43"/>
  <c r="AC206" i="43"/>
  <c r="AD206" i="43"/>
  <c r="AE206" i="43"/>
  <c r="AF206" i="43"/>
  <c r="AG206" i="43"/>
  <c r="AH206" i="43"/>
  <c r="AI206" i="43"/>
  <c r="AJ206" i="43"/>
  <c r="AK206" i="43"/>
  <c r="AL206" i="43"/>
  <c r="AM206" i="43"/>
  <c r="AN206" i="43"/>
  <c r="AO206" i="43"/>
  <c r="AP206" i="43"/>
  <c r="AQ206" i="43"/>
  <c r="AR206" i="43"/>
  <c r="AS206" i="43"/>
  <c r="AT206" i="43"/>
  <c r="AU206" i="43"/>
  <c r="AV206" i="43"/>
  <c r="AW206" i="43"/>
  <c r="AX206" i="43"/>
  <c r="AY206" i="43"/>
  <c r="AZ206" i="43"/>
  <c r="BA206" i="43"/>
  <c r="BB206" i="43"/>
  <c r="BC206" i="43"/>
  <c r="BD206" i="43"/>
  <c r="BE206" i="43"/>
  <c r="BF206" i="43"/>
  <c r="BG206" i="43"/>
  <c r="BH206" i="43"/>
  <c r="BI206" i="43"/>
  <c r="BJ206" i="43"/>
  <c r="BK206" i="43"/>
  <c r="BL206" i="43"/>
  <c r="BM206" i="43"/>
  <c r="BN206" i="43"/>
  <c r="BO206" i="43"/>
  <c r="BP206" i="43"/>
  <c r="BQ206" i="43"/>
  <c r="BR206" i="43"/>
  <c r="BS206" i="43"/>
  <c r="BT206" i="43"/>
  <c r="BU206" i="43"/>
  <c r="BV206" i="43"/>
  <c r="BW206" i="43"/>
  <c r="BX206" i="43"/>
  <c r="BY206" i="43"/>
  <c r="BZ206" i="43"/>
  <c r="CA206" i="43"/>
  <c r="CB206" i="43"/>
  <c r="CC206" i="43"/>
  <c r="CD206" i="43"/>
  <c r="CE206" i="43"/>
  <c r="CF206" i="43"/>
  <c r="CG206" i="43"/>
  <c r="CH206" i="43"/>
  <c r="CI206" i="43"/>
  <c r="CJ206" i="43"/>
  <c r="CK206" i="43"/>
  <c r="CL206" i="43"/>
  <c r="CM206" i="43"/>
  <c r="CN206" i="43"/>
  <c r="CO206" i="43"/>
  <c r="CP206" i="43"/>
  <c r="CQ206" i="43"/>
  <c r="CR206" i="43"/>
  <c r="CS206" i="43"/>
  <c r="CT206" i="43"/>
  <c r="CU206" i="43"/>
  <c r="CV206" i="43"/>
  <c r="CW206" i="43"/>
  <c r="CX206" i="43"/>
  <c r="CY206" i="43"/>
  <c r="CZ206" i="43"/>
  <c r="DA206" i="43"/>
  <c r="DB206" i="43"/>
  <c r="DC206" i="43"/>
  <c r="DD206" i="43"/>
  <c r="DE206" i="43"/>
  <c r="DF206" i="43"/>
  <c r="DG206" i="43"/>
  <c r="DH206" i="43"/>
  <c r="DI206" i="43"/>
  <c r="DJ206" i="43"/>
  <c r="DK206" i="43"/>
  <c r="DL206" i="43"/>
  <c r="DM206" i="43"/>
  <c r="DN206" i="43"/>
  <c r="DO206" i="43"/>
  <c r="DP206" i="43"/>
  <c r="DQ206" i="43"/>
  <c r="DR206" i="43"/>
  <c r="DS206" i="43"/>
  <c r="DT206" i="43"/>
  <c r="DU206" i="43"/>
  <c r="DV206" i="43"/>
  <c r="DW206" i="43"/>
  <c r="DX206" i="43"/>
  <c r="DY206" i="43"/>
  <c r="DZ206" i="43"/>
  <c r="EA206" i="43"/>
  <c r="EB206" i="43"/>
  <c r="EC206" i="43"/>
  <c r="ED206" i="43"/>
  <c r="EE206" i="43"/>
  <c r="EF206" i="43"/>
  <c r="EG206" i="43"/>
  <c r="EH206" i="43"/>
  <c r="EI206" i="43"/>
  <c r="EJ206" i="43"/>
  <c r="EK206" i="43"/>
  <c r="EL206" i="43"/>
  <c r="EM206" i="43"/>
  <c r="EN206" i="43"/>
  <c r="EO206" i="43"/>
  <c r="EP206" i="43"/>
  <c r="EQ206" i="43"/>
  <c r="ER206" i="43"/>
  <c r="ES206" i="43"/>
  <c r="ET206" i="43"/>
  <c r="EU206" i="43"/>
  <c r="EV206" i="43"/>
  <c r="EW206" i="43"/>
  <c r="EX206" i="43"/>
  <c r="EY206" i="43"/>
  <c r="EZ206" i="43"/>
  <c r="FA206" i="43"/>
  <c r="FB206" i="43"/>
  <c r="FC206" i="43"/>
  <c r="FD206" i="43"/>
  <c r="FE206" i="43"/>
  <c r="FF206" i="43"/>
  <c r="FG206" i="43"/>
  <c r="FH206" i="43"/>
  <c r="FI206" i="43"/>
  <c r="FJ206" i="43"/>
  <c r="FK206" i="43"/>
  <c r="FL206" i="43"/>
  <c r="FM206" i="43"/>
  <c r="FN206" i="43"/>
  <c r="FO206" i="43"/>
  <c r="FP206" i="43"/>
  <c r="FQ206" i="43"/>
  <c r="FR206" i="43"/>
  <c r="FS206" i="43"/>
  <c r="FT206" i="43"/>
  <c r="FU206" i="43"/>
  <c r="FV206" i="43"/>
  <c r="FW206" i="43"/>
  <c r="FX206" i="43"/>
  <c r="FY206" i="43"/>
  <c r="FZ206" i="43"/>
  <c r="GA206" i="43"/>
  <c r="GB206" i="43"/>
  <c r="GC206" i="43"/>
  <c r="GD206" i="43"/>
  <c r="GE206" i="43"/>
  <c r="GF206" i="43"/>
  <c r="GG206" i="43"/>
  <c r="GH206" i="43"/>
  <c r="GI206" i="43"/>
  <c r="GJ206" i="43"/>
  <c r="GK206" i="43"/>
  <c r="GL206" i="43"/>
  <c r="GM206" i="43"/>
  <c r="GN206" i="43"/>
  <c r="GO206" i="43"/>
  <c r="GP206" i="43"/>
  <c r="GQ206" i="43"/>
  <c r="GR206" i="43"/>
  <c r="GS206" i="43"/>
  <c r="GT206" i="43"/>
  <c r="GU206" i="43"/>
  <c r="GV206" i="43"/>
  <c r="GW206" i="43"/>
  <c r="GX206" i="43"/>
  <c r="GY206" i="43"/>
  <c r="GZ206" i="43"/>
  <c r="HA206" i="43"/>
  <c r="HB206" i="43"/>
  <c r="HC206" i="43"/>
  <c r="HD206" i="43"/>
  <c r="HE206" i="43"/>
  <c r="HF206" i="43"/>
  <c r="HG206" i="43"/>
  <c r="HH206" i="43"/>
  <c r="HI206" i="43"/>
  <c r="HJ206" i="43"/>
  <c r="HK206" i="43"/>
  <c r="HL206" i="43"/>
  <c r="HM206" i="43"/>
  <c r="HN206" i="43"/>
  <c r="HO206" i="43"/>
  <c r="HP206" i="43"/>
  <c r="HQ206" i="43"/>
  <c r="HR206" i="43"/>
  <c r="HS206" i="43"/>
  <c r="HT206" i="43"/>
  <c r="HU206" i="43"/>
  <c r="HV206" i="43"/>
  <c r="HW206" i="43"/>
  <c r="HX206" i="43"/>
  <c r="HY206" i="43"/>
  <c r="HZ206" i="43"/>
  <c r="IA206" i="43"/>
  <c r="IB206" i="43"/>
  <c r="IC206" i="43"/>
  <c r="ID206" i="43"/>
  <c r="IE206" i="43"/>
  <c r="IF206" i="43"/>
  <c r="IG206" i="43"/>
  <c r="IH206" i="43"/>
  <c r="II206" i="43"/>
  <c r="IJ206" i="43"/>
  <c r="IK206" i="43"/>
  <c r="IL206" i="43"/>
  <c r="IM206" i="43"/>
  <c r="IN206" i="43"/>
  <c r="IO206" i="43"/>
  <c r="IP206" i="43"/>
  <c r="IQ206" i="43"/>
  <c r="IR206" i="43"/>
  <c r="IS206" i="43"/>
  <c r="IT206" i="43"/>
  <c r="IU206" i="43"/>
  <c r="IV206" i="43"/>
  <c r="A205" i="43"/>
  <c r="B205" i="43"/>
  <c r="C205" i="43"/>
  <c r="D205" i="43"/>
  <c r="E205" i="43"/>
  <c r="F205" i="43"/>
  <c r="G205" i="43"/>
  <c r="H205" i="43"/>
  <c r="I205" i="43"/>
  <c r="J205" i="43"/>
  <c r="K205" i="43"/>
  <c r="L205" i="43"/>
  <c r="M205" i="43"/>
  <c r="N205" i="43"/>
  <c r="O205" i="43"/>
  <c r="P205" i="43"/>
  <c r="Q205" i="43"/>
  <c r="R205" i="43"/>
  <c r="S205" i="43"/>
  <c r="T205" i="43"/>
  <c r="U205" i="43"/>
  <c r="V205" i="43"/>
  <c r="W205" i="43"/>
  <c r="X205" i="43"/>
  <c r="Y205" i="43"/>
  <c r="Z205" i="43"/>
  <c r="AA205" i="43"/>
  <c r="AB205" i="43"/>
  <c r="AC205" i="43"/>
  <c r="AD205" i="43"/>
  <c r="AE205" i="43"/>
  <c r="AF205" i="43"/>
  <c r="AG205" i="43"/>
  <c r="AH205" i="43"/>
  <c r="AI205" i="43"/>
  <c r="AJ205" i="43"/>
  <c r="AK205" i="43"/>
  <c r="AL205" i="43"/>
  <c r="AM205" i="43"/>
  <c r="AN205" i="43"/>
  <c r="AO205" i="43"/>
  <c r="AP205" i="43"/>
  <c r="AQ205" i="43"/>
  <c r="AR205" i="43"/>
  <c r="AS205" i="43"/>
  <c r="AT205" i="43"/>
  <c r="AU205" i="43"/>
  <c r="AV205" i="43"/>
  <c r="AW205" i="43"/>
  <c r="AX205" i="43"/>
  <c r="AY205" i="43"/>
  <c r="AZ205" i="43"/>
  <c r="BA205" i="43"/>
  <c r="BB205" i="43"/>
  <c r="BC205" i="43"/>
  <c r="BD205" i="43"/>
  <c r="BE205" i="43"/>
  <c r="BF205" i="43"/>
  <c r="BG205" i="43"/>
  <c r="BH205" i="43"/>
  <c r="BI205" i="43"/>
  <c r="BJ205" i="43"/>
  <c r="BK205" i="43"/>
  <c r="BL205" i="43"/>
  <c r="BM205" i="43"/>
  <c r="BN205" i="43"/>
  <c r="BO205" i="43"/>
  <c r="BP205" i="43"/>
  <c r="BQ205" i="43"/>
  <c r="BR205" i="43"/>
  <c r="BS205" i="43"/>
  <c r="BT205" i="43"/>
  <c r="BU205" i="43"/>
  <c r="BV205" i="43"/>
  <c r="BW205" i="43"/>
  <c r="BX205" i="43"/>
  <c r="BY205" i="43"/>
  <c r="BZ205" i="43"/>
  <c r="CA205" i="43"/>
  <c r="CB205" i="43"/>
  <c r="CC205" i="43"/>
  <c r="CD205" i="43"/>
  <c r="CE205" i="43"/>
  <c r="CF205" i="43"/>
  <c r="CG205" i="43"/>
  <c r="CH205" i="43"/>
  <c r="CI205" i="43"/>
  <c r="CJ205" i="43"/>
  <c r="CK205" i="43"/>
  <c r="CL205" i="43"/>
  <c r="CM205" i="43"/>
  <c r="CN205" i="43"/>
  <c r="CO205" i="43"/>
  <c r="CP205" i="43"/>
  <c r="CQ205" i="43"/>
  <c r="CR205" i="43"/>
  <c r="CS205" i="43"/>
  <c r="CT205" i="43"/>
  <c r="CU205" i="43"/>
  <c r="CV205" i="43"/>
  <c r="CW205" i="43"/>
  <c r="CX205" i="43"/>
  <c r="CY205" i="43"/>
  <c r="CZ205" i="43"/>
  <c r="DA205" i="43"/>
  <c r="DB205" i="43"/>
  <c r="DC205" i="43"/>
  <c r="DD205" i="43"/>
  <c r="DE205" i="43"/>
  <c r="DF205" i="43"/>
  <c r="DG205" i="43"/>
  <c r="DH205" i="43"/>
  <c r="DI205" i="43"/>
  <c r="DJ205" i="43"/>
  <c r="DK205" i="43"/>
  <c r="DL205" i="43"/>
  <c r="DM205" i="43"/>
  <c r="DN205" i="43"/>
  <c r="DO205" i="43"/>
  <c r="DP205" i="43"/>
  <c r="DQ205" i="43"/>
  <c r="DR205" i="43"/>
  <c r="DS205" i="43"/>
  <c r="DT205" i="43"/>
  <c r="DU205" i="43"/>
  <c r="DV205" i="43"/>
  <c r="DW205" i="43"/>
  <c r="DX205" i="43"/>
  <c r="DY205" i="43"/>
  <c r="DZ205" i="43"/>
  <c r="EA205" i="43"/>
  <c r="EB205" i="43"/>
  <c r="EC205" i="43"/>
  <c r="ED205" i="43"/>
  <c r="EE205" i="43"/>
  <c r="EF205" i="43"/>
  <c r="EG205" i="43"/>
  <c r="EH205" i="43"/>
  <c r="EI205" i="43"/>
  <c r="EJ205" i="43"/>
  <c r="EK205" i="43"/>
  <c r="EL205" i="43"/>
  <c r="EM205" i="43"/>
  <c r="EN205" i="43"/>
  <c r="EO205" i="43"/>
  <c r="EP205" i="43"/>
  <c r="EQ205" i="43"/>
  <c r="ER205" i="43"/>
  <c r="ES205" i="43"/>
  <c r="ET205" i="43"/>
  <c r="EU205" i="43"/>
  <c r="EV205" i="43"/>
  <c r="EW205" i="43"/>
  <c r="EX205" i="43"/>
  <c r="EY205" i="43"/>
  <c r="EZ205" i="43"/>
  <c r="FA205" i="43"/>
  <c r="FB205" i="43"/>
  <c r="FC205" i="43"/>
  <c r="FD205" i="43"/>
  <c r="FE205" i="43"/>
  <c r="FF205" i="43"/>
  <c r="FG205" i="43"/>
  <c r="FH205" i="43"/>
  <c r="FI205" i="43"/>
  <c r="FJ205" i="43"/>
  <c r="FK205" i="43"/>
  <c r="FL205" i="43"/>
  <c r="FM205" i="43"/>
  <c r="FN205" i="43"/>
  <c r="FO205" i="43"/>
  <c r="FP205" i="43"/>
  <c r="FQ205" i="43"/>
  <c r="FR205" i="43"/>
  <c r="FS205" i="43"/>
  <c r="FT205" i="43"/>
  <c r="FU205" i="43"/>
  <c r="FV205" i="43"/>
  <c r="FW205" i="43"/>
  <c r="FX205" i="43"/>
  <c r="FY205" i="43"/>
  <c r="FZ205" i="43"/>
  <c r="GA205" i="43"/>
  <c r="GB205" i="43"/>
  <c r="GC205" i="43"/>
  <c r="GD205" i="43"/>
  <c r="GE205" i="43"/>
  <c r="GF205" i="43"/>
  <c r="GG205" i="43"/>
  <c r="GH205" i="43"/>
  <c r="GI205" i="43"/>
  <c r="GJ205" i="43"/>
  <c r="GK205" i="43"/>
  <c r="GL205" i="43"/>
  <c r="GM205" i="43"/>
  <c r="GN205" i="43"/>
  <c r="GO205" i="43"/>
  <c r="GP205" i="43"/>
  <c r="GQ205" i="43"/>
  <c r="GR205" i="43"/>
  <c r="GS205" i="43"/>
  <c r="GT205" i="43"/>
  <c r="GU205" i="43"/>
  <c r="GV205" i="43"/>
  <c r="GW205" i="43"/>
  <c r="GX205" i="43"/>
  <c r="GY205" i="43"/>
  <c r="GZ205" i="43"/>
  <c r="HA205" i="43"/>
  <c r="HB205" i="43"/>
  <c r="HC205" i="43"/>
  <c r="HD205" i="43"/>
  <c r="HE205" i="43"/>
  <c r="HF205" i="43"/>
  <c r="HG205" i="43"/>
  <c r="HH205" i="43"/>
  <c r="HI205" i="43"/>
  <c r="HJ205" i="43"/>
  <c r="HK205" i="43"/>
  <c r="HL205" i="43"/>
  <c r="HM205" i="43"/>
  <c r="HN205" i="43"/>
  <c r="HO205" i="43"/>
  <c r="HP205" i="43"/>
  <c r="HQ205" i="43"/>
  <c r="HR205" i="43"/>
  <c r="HS205" i="43"/>
  <c r="HT205" i="43"/>
  <c r="HU205" i="43"/>
  <c r="HV205" i="43"/>
  <c r="HW205" i="43"/>
  <c r="HX205" i="43"/>
  <c r="HY205" i="43"/>
  <c r="HZ205" i="43"/>
  <c r="IA205" i="43"/>
  <c r="IB205" i="43"/>
  <c r="IC205" i="43"/>
  <c r="ID205" i="43"/>
  <c r="IE205" i="43"/>
  <c r="IF205" i="43"/>
  <c r="IG205" i="43"/>
  <c r="IH205" i="43"/>
  <c r="II205" i="43"/>
  <c r="IJ205" i="43"/>
  <c r="IK205" i="43"/>
  <c r="IL205" i="43"/>
  <c r="IM205" i="43"/>
  <c r="IN205" i="43"/>
  <c r="IO205" i="43"/>
  <c r="IP205" i="43"/>
  <c r="IQ205" i="43"/>
  <c r="IR205" i="43"/>
  <c r="IS205" i="43"/>
  <c r="IT205" i="43"/>
  <c r="IU205" i="43"/>
  <c r="IV205" i="43"/>
  <c r="A204" i="43"/>
  <c r="B204" i="43"/>
  <c r="C204" i="43"/>
  <c r="D204" i="43"/>
  <c r="E204" i="43"/>
  <c r="F204" i="43"/>
  <c r="G204" i="43"/>
  <c r="H204" i="43"/>
  <c r="I204" i="43"/>
  <c r="J204" i="43"/>
  <c r="K204" i="43"/>
  <c r="L204" i="43"/>
  <c r="M204" i="43"/>
  <c r="N204" i="43"/>
  <c r="O204" i="43"/>
  <c r="P204" i="43"/>
  <c r="Q204" i="43"/>
  <c r="R204" i="43"/>
  <c r="S204" i="43"/>
  <c r="T204" i="43"/>
  <c r="U204" i="43"/>
  <c r="V204" i="43"/>
  <c r="W204" i="43"/>
  <c r="X204" i="43"/>
  <c r="Y204" i="43"/>
  <c r="Z204" i="43"/>
  <c r="AA204" i="43"/>
  <c r="AB204" i="43"/>
  <c r="AC204" i="43"/>
  <c r="AD204" i="43"/>
  <c r="AE204" i="43"/>
  <c r="AF204" i="43"/>
  <c r="AG204" i="43"/>
  <c r="AH204" i="43"/>
  <c r="AI204" i="43"/>
  <c r="AJ204" i="43"/>
  <c r="AK204" i="43"/>
  <c r="AL204" i="43"/>
  <c r="AM204" i="43"/>
  <c r="AN204" i="43"/>
  <c r="AO204" i="43"/>
  <c r="AP204" i="43"/>
  <c r="AQ204" i="43"/>
  <c r="AR204" i="43"/>
  <c r="AS204" i="43"/>
  <c r="AT204" i="43"/>
  <c r="AU204" i="43"/>
  <c r="AV204" i="43"/>
  <c r="AW204" i="43"/>
  <c r="AX204" i="43"/>
  <c r="AY204" i="43"/>
  <c r="AZ204" i="43"/>
  <c r="BA204" i="43"/>
  <c r="BB204" i="43"/>
  <c r="BC204" i="43"/>
  <c r="BD204" i="43"/>
  <c r="BE204" i="43"/>
  <c r="BF204" i="43"/>
  <c r="BG204" i="43"/>
  <c r="BH204" i="43"/>
  <c r="BI204" i="43"/>
  <c r="BJ204" i="43"/>
  <c r="BK204" i="43"/>
  <c r="BL204" i="43"/>
  <c r="BM204" i="43"/>
  <c r="BN204" i="43"/>
  <c r="BO204" i="43"/>
  <c r="BP204" i="43"/>
  <c r="BQ204" i="43"/>
  <c r="BR204" i="43"/>
  <c r="BS204" i="43"/>
  <c r="BT204" i="43"/>
  <c r="BU204" i="43"/>
  <c r="BV204" i="43"/>
  <c r="BW204" i="43"/>
  <c r="BX204" i="43"/>
  <c r="BY204" i="43"/>
  <c r="BZ204" i="43"/>
  <c r="CA204" i="43"/>
  <c r="CB204" i="43"/>
  <c r="CC204" i="43"/>
  <c r="CD204" i="43"/>
  <c r="CE204" i="43"/>
  <c r="CF204" i="43"/>
  <c r="CG204" i="43"/>
  <c r="CH204" i="43"/>
  <c r="CI204" i="43"/>
  <c r="CJ204" i="43"/>
  <c r="CK204" i="43"/>
  <c r="CL204" i="43"/>
  <c r="CM204" i="43"/>
  <c r="CN204" i="43"/>
  <c r="CO204" i="43"/>
  <c r="CP204" i="43"/>
  <c r="CQ204" i="43"/>
  <c r="CR204" i="43"/>
  <c r="CS204" i="43"/>
  <c r="CT204" i="43"/>
  <c r="CU204" i="43"/>
  <c r="CV204" i="43"/>
  <c r="CW204" i="43"/>
  <c r="CX204" i="43"/>
  <c r="CY204" i="43"/>
  <c r="CZ204" i="43"/>
  <c r="DA204" i="43"/>
  <c r="DB204" i="43"/>
  <c r="DC204" i="43"/>
  <c r="DD204" i="43"/>
  <c r="DE204" i="43"/>
  <c r="DF204" i="43"/>
  <c r="DG204" i="43"/>
  <c r="DH204" i="43"/>
  <c r="DI204" i="43"/>
  <c r="DJ204" i="43"/>
  <c r="DK204" i="43"/>
  <c r="DL204" i="43"/>
  <c r="DM204" i="43"/>
  <c r="DN204" i="43"/>
  <c r="DO204" i="43"/>
  <c r="DP204" i="43"/>
  <c r="DQ204" i="43"/>
  <c r="DR204" i="43"/>
  <c r="DS204" i="43"/>
  <c r="DT204" i="43"/>
  <c r="DU204" i="43"/>
  <c r="DV204" i="43"/>
  <c r="DW204" i="43"/>
  <c r="DX204" i="43"/>
  <c r="DY204" i="43"/>
  <c r="DZ204" i="43"/>
  <c r="EA204" i="43"/>
  <c r="EB204" i="43"/>
  <c r="EC204" i="43"/>
  <c r="ED204" i="43"/>
  <c r="EE204" i="43"/>
  <c r="EF204" i="43"/>
  <c r="EG204" i="43"/>
  <c r="EH204" i="43"/>
  <c r="EI204" i="43"/>
  <c r="EJ204" i="43"/>
  <c r="EK204" i="43"/>
  <c r="EL204" i="43"/>
  <c r="EM204" i="43"/>
  <c r="EN204" i="43"/>
  <c r="EO204" i="43"/>
  <c r="EP204" i="43"/>
  <c r="EQ204" i="43"/>
  <c r="ER204" i="43"/>
  <c r="ES204" i="43"/>
  <c r="ET204" i="43"/>
  <c r="EU204" i="43"/>
  <c r="EV204" i="43"/>
  <c r="EW204" i="43"/>
  <c r="EX204" i="43"/>
  <c r="EY204" i="43"/>
  <c r="EZ204" i="43"/>
  <c r="FA204" i="43"/>
  <c r="FB204" i="43"/>
  <c r="FC204" i="43"/>
  <c r="FD204" i="43"/>
  <c r="FE204" i="43"/>
  <c r="FF204" i="43"/>
  <c r="FG204" i="43"/>
  <c r="FH204" i="43"/>
  <c r="FI204" i="43"/>
  <c r="FJ204" i="43"/>
  <c r="FK204" i="43"/>
  <c r="FL204" i="43"/>
  <c r="FM204" i="43"/>
  <c r="FN204" i="43"/>
  <c r="FO204" i="43"/>
  <c r="FP204" i="43"/>
  <c r="FQ204" i="43"/>
  <c r="FR204" i="43"/>
  <c r="FS204" i="43"/>
  <c r="FT204" i="43"/>
  <c r="FU204" i="43"/>
  <c r="FV204" i="43"/>
  <c r="FW204" i="43"/>
  <c r="FX204" i="43"/>
  <c r="FY204" i="43"/>
  <c r="FZ204" i="43"/>
  <c r="GA204" i="43"/>
  <c r="GB204" i="43"/>
  <c r="GC204" i="43"/>
  <c r="GD204" i="43"/>
  <c r="GE204" i="43"/>
  <c r="GF204" i="43"/>
  <c r="GG204" i="43"/>
  <c r="GH204" i="43"/>
  <c r="GI204" i="43"/>
  <c r="GJ204" i="43"/>
  <c r="GK204" i="43"/>
  <c r="GL204" i="43"/>
  <c r="GM204" i="43"/>
  <c r="GN204" i="43"/>
  <c r="GO204" i="43"/>
  <c r="GP204" i="43"/>
  <c r="GQ204" i="43"/>
  <c r="GR204" i="43"/>
  <c r="GS204" i="43"/>
  <c r="GT204" i="43"/>
  <c r="GU204" i="43"/>
  <c r="GV204" i="43"/>
  <c r="GW204" i="43"/>
  <c r="GX204" i="43"/>
  <c r="GY204" i="43"/>
  <c r="GZ204" i="43"/>
  <c r="HA204" i="43"/>
  <c r="HB204" i="43"/>
  <c r="HC204" i="43"/>
  <c r="HD204" i="43"/>
  <c r="HE204" i="43"/>
  <c r="HF204" i="43"/>
  <c r="HG204" i="43"/>
  <c r="HH204" i="43"/>
  <c r="HI204" i="43"/>
  <c r="HJ204" i="43"/>
  <c r="HK204" i="43"/>
  <c r="HL204" i="43"/>
  <c r="HM204" i="43"/>
  <c r="HN204" i="43"/>
  <c r="HO204" i="43"/>
  <c r="HP204" i="43"/>
  <c r="HQ204" i="43"/>
  <c r="HR204" i="43"/>
  <c r="HS204" i="43"/>
  <c r="HT204" i="43"/>
  <c r="HU204" i="43"/>
  <c r="HV204" i="43"/>
  <c r="HW204" i="43"/>
  <c r="HX204" i="43"/>
  <c r="HY204" i="43"/>
  <c r="HZ204" i="43"/>
  <c r="IA204" i="43"/>
  <c r="IB204" i="43"/>
  <c r="IC204" i="43"/>
  <c r="ID204" i="43"/>
  <c r="IE204" i="43"/>
  <c r="IF204" i="43"/>
  <c r="IG204" i="43"/>
  <c r="IH204" i="43"/>
  <c r="II204" i="43"/>
  <c r="IJ204" i="43"/>
  <c r="IK204" i="43"/>
  <c r="IL204" i="43"/>
  <c r="IM204" i="43"/>
  <c r="IN204" i="43"/>
  <c r="IO204" i="43"/>
  <c r="IP204" i="43"/>
  <c r="IQ204" i="43"/>
  <c r="IR204" i="43"/>
  <c r="IS204" i="43"/>
  <c r="IT204" i="43"/>
  <c r="IU204" i="43"/>
  <c r="IV204" i="43"/>
  <c r="A203" i="43"/>
  <c r="B203" i="43"/>
  <c r="C203" i="43"/>
  <c r="D203" i="43"/>
  <c r="E203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BD203" i="43"/>
  <c r="BE203" i="43"/>
  <c r="BF203" i="43"/>
  <c r="BG203" i="43"/>
  <c r="BH203" i="43"/>
  <c r="BI203" i="43"/>
  <c r="BJ203" i="43"/>
  <c r="BK203" i="43"/>
  <c r="BL203" i="43"/>
  <c r="BM203" i="43"/>
  <c r="BN203" i="43"/>
  <c r="BO203" i="43"/>
  <c r="BP203" i="43"/>
  <c r="BQ203" i="43"/>
  <c r="BR203" i="43"/>
  <c r="BS203" i="43"/>
  <c r="BT203" i="43"/>
  <c r="BU203" i="43"/>
  <c r="BV203" i="43"/>
  <c r="BW203" i="43"/>
  <c r="BX203" i="43"/>
  <c r="BY203" i="43"/>
  <c r="BZ203" i="43"/>
  <c r="CA203" i="43"/>
  <c r="CB203" i="43"/>
  <c r="CC203" i="43"/>
  <c r="CD203" i="43"/>
  <c r="CE203" i="43"/>
  <c r="CF203" i="43"/>
  <c r="CG203" i="43"/>
  <c r="CH203" i="43"/>
  <c r="CI203" i="43"/>
  <c r="CJ203" i="43"/>
  <c r="CK203" i="43"/>
  <c r="CL203" i="43"/>
  <c r="CM203" i="43"/>
  <c r="CN203" i="43"/>
  <c r="CO203" i="43"/>
  <c r="CP203" i="43"/>
  <c r="CQ203" i="43"/>
  <c r="CR203" i="43"/>
  <c r="CS203" i="43"/>
  <c r="CT203" i="43"/>
  <c r="CU203" i="43"/>
  <c r="CV203" i="43"/>
  <c r="CW203" i="43"/>
  <c r="CX203" i="43"/>
  <c r="CY203" i="43"/>
  <c r="CZ203" i="43"/>
  <c r="DA203" i="43"/>
  <c r="DB203" i="43"/>
  <c r="DC203" i="43"/>
  <c r="DD203" i="43"/>
  <c r="DE203" i="43"/>
  <c r="DF203" i="43"/>
  <c r="DG203" i="43"/>
  <c r="DH203" i="43"/>
  <c r="DI203" i="43"/>
  <c r="DJ203" i="43"/>
  <c r="DK203" i="43"/>
  <c r="DL203" i="43"/>
  <c r="DM203" i="43"/>
  <c r="DN203" i="43"/>
  <c r="DO203" i="43"/>
  <c r="DP203" i="43"/>
  <c r="DQ203" i="43"/>
  <c r="DR203" i="43"/>
  <c r="DS203" i="43"/>
  <c r="DT203" i="43"/>
  <c r="DU203" i="43"/>
  <c r="DV203" i="43"/>
  <c r="DW203" i="43"/>
  <c r="DX203" i="43"/>
  <c r="DY203" i="43"/>
  <c r="DZ203" i="43"/>
  <c r="EA203" i="43"/>
  <c r="EB203" i="43"/>
  <c r="EC203" i="43"/>
  <c r="ED203" i="43"/>
  <c r="EE203" i="43"/>
  <c r="EF203" i="43"/>
  <c r="EG203" i="43"/>
  <c r="EH203" i="43"/>
  <c r="EI203" i="43"/>
  <c r="EJ203" i="43"/>
  <c r="EK203" i="43"/>
  <c r="EL203" i="43"/>
  <c r="EM203" i="43"/>
  <c r="EN203" i="43"/>
  <c r="EO203" i="43"/>
  <c r="EP203" i="43"/>
  <c r="EQ203" i="43"/>
  <c r="ER203" i="43"/>
  <c r="ES203" i="43"/>
  <c r="ET203" i="43"/>
  <c r="EU203" i="43"/>
  <c r="EV203" i="43"/>
  <c r="EW203" i="43"/>
  <c r="EX203" i="43"/>
  <c r="EY203" i="43"/>
  <c r="EZ203" i="43"/>
  <c r="FA203" i="43"/>
  <c r="FB203" i="43"/>
  <c r="FC203" i="43"/>
  <c r="FD203" i="43"/>
  <c r="FE203" i="43"/>
  <c r="FF203" i="43"/>
  <c r="FG203" i="43"/>
  <c r="FH203" i="43"/>
  <c r="FI203" i="43"/>
  <c r="FJ203" i="43"/>
  <c r="FK203" i="43"/>
  <c r="FL203" i="43"/>
  <c r="FM203" i="43"/>
  <c r="FN203" i="43"/>
  <c r="FO203" i="43"/>
  <c r="FP203" i="43"/>
  <c r="FQ203" i="43"/>
  <c r="FR203" i="43"/>
  <c r="FS203" i="43"/>
  <c r="FT203" i="43"/>
  <c r="FU203" i="43"/>
  <c r="FV203" i="43"/>
  <c r="FW203" i="43"/>
  <c r="FX203" i="43"/>
  <c r="FY203" i="43"/>
  <c r="FZ203" i="43"/>
  <c r="GA203" i="43"/>
  <c r="GB203" i="43"/>
  <c r="GC203" i="43"/>
  <c r="GD203" i="43"/>
  <c r="GE203" i="43"/>
  <c r="GF203" i="43"/>
  <c r="GG203" i="43"/>
  <c r="GH203" i="43"/>
  <c r="GI203" i="43"/>
  <c r="GJ203" i="43"/>
  <c r="GK203" i="43"/>
  <c r="GL203" i="43"/>
  <c r="GM203" i="43"/>
  <c r="GN203" i="43"/>
  <c r="GO203" i="43"/>
  <c r="GP203" i="43"/>
  <c r="GQ203" i="43"/>
  <c r="GR203" i="43"/>
  <c r="GS203" i="43"/>
  <c r="GT203" i="43"/>
  <c r="GU203" i="43"/>
  <c r="GV203" i="43"/>
  <c r="GW203" i="43"/>
  <c r="GX203" i="43"/>
  <c r="GY203" i="43"/>
  <c r="GZ203" i="43"/>
  <c r="HA203" i="43"/>
  <c r="HB203" i="43"/>
  <c r="HC203" i="43"/>
  <c r="HD203" i="43"/>
  <c r="HE203" i="43"/>
  <c r="HF203" i="43"/>
  <c r="HG203" i="43"/>
  <c r="HH203" i="43"/>
  <c r="HI203" i="43"/>
  <c r="HJ203" i="43"/>
  <c r="HK203" i="43"/>
  <c r="HL203" i="43"/>
  <c r="HM203" i="43"/>
  <c r="HN203" i="43"/>
  <c r="HO203" i="43"/>
  <c r="HP203" i="43"/>
  <c r="HQ203" i="43"/>
  <c r="HR203" i="43"/>
  <c r="HS203" i="43"/>
  <c r="HT203" i="43"/>
  <c r="HU203" i="43"/>
  <c r="HV203" i="43"/>
  <c r="HW203" i="43"/>
  <c r="HX203" i="43"/>
  <c r="HY203" i="43"/>
  <c r="HZ203" i="43"/>
  <c r="IA203" i="43"/>
  <c r="IB203" i="43"/>
  <c r="IC203" i="43"/>
  <c r="ID203" i="43"/>
  <c r="IE203" i="43"/>
  <c r="IF203" i="43"/>
  <c r="IG203" i="43"/>
  <c r="IH203" i="43"/>
  <c r="II203" i="43"/>
  <c r="IJ203" i="43"/>
  <c r="IK203" i="43"/>
  <c r="IL203" i="43"/>
  <c r="IM203" i="43"/>
  <c r="IN203" i="43"/>
  <c r="IO203" i="43"/>
  <c r="IP203" i="43"/>
  <c r="IQ203" i="43"/>
  <c r="IR203" i="43"/>
  <c r="IS203" i="43"/>
  <c r="IT203" i="43"/>
  <c r="IU203" i="43"/>
  <c r="IV203" i="43"/>
  <c r="A202" i="43"/>
  <c r="B202" i="43"/>
  <c r="C202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BD202" i="43"/>
  <c r="BE202" i="43"/>
  <c r="BF202" i="43"/>
  <c r="BG202" i="43"/>
  <c r="BH202" i="43"/>
  <c r="BI202" i="43"/>
  <c r="BJ202" i="43"/>
  <c r="BK202" i="43"/>
  <c r="BL202" i="43"/>
  <c r="BM202" i="43"/>
  <c r="BN202" i="43"/>
  <c r="BO202" i="43"/>
  <c r="BP202" i="43"/>
  <c r="BQ202" i="43"/>
  <c r="BR202" i="43"/>
  <c r="BS202" i="43"/>
  <c r="BT202" i="43"/>
  <c r="BU202" i="43"/>
  <c r="BV202" i="43"/>
  <c r="BW202" i="43"/>
  <c r="BX202" i="43"/>
  <c r="BY202" i="43"/>
  <c r="BZ202" i="43"/>
  <c r="CA202" i="43"/>
  <c r="CB202" i="43"/>
  <c r="CC202" i="43"/>
  <c r="CD202" i="43"/>
  <c r="CE202" i="43"/>
  <c r="CF202" i="43"/>
  <c r="CG202" i="43"/>
  <c r="CH202" i="43"/>
  <c r="CI202" i="43"/>
  <c r="CJ202" i="43"/>
  <c r="CK202" i="43"/>
  <c r="CL202" i="43"/>
  <c r="CM202" i="43"/>
  <c r="CN202" i="43"/>
  <c r="CO202" i="43"/>
  <c r="CP202" i="43"/>
  <c r="CQ202" i="43"/>
  <c r="CR202" i="43"/>
  <c r="CS202" i="43"/>
  <c r="CT202" i="43"/>
  <c r="CU202" i="43"/>
  <c r="CV202" i="43"/>
  <c r="CW202" i="43"/>
  <c r="CX202" i="43"/>
  <c r="CY202" i="43"/>
  <c r="CZ202" i="43"/>
  <c r="DA202" i="43"/>
  <c r="DB202" i="43"/>
  <c r="DC202" i="43"/>
  <c r="DD202" i="43"/>
  <c r="DE202" i="43"/>
  <c r="DF202" i="43"/>
  <c r="DG202" i="43"/>
  <c r="DH202" i="43"/>
  <c r="DI202" i="43"/>
  <c r="DJ202" i="43"/>
  <c r="DK202" i="43"/>
  <c r="DL202" i="43"/>
  <c r="DM202" i="43"/>
  <c r="DN202" i="43"/>
  <c r="DO202" i="43"/>
  <c r="DP202" i="43"/>
  <c r="DQ202" i="43"/>
  <c r="DR202" i="43"/>
  <c r="DS202" i="43"/>
  <c r="DT202" i="43"/>
  <c r="DU202" i="43"/>
  <c r="DV202" i="43"/>
  <c r="DW202" i="43"/>
  <c r="DX202" i="43"/>
  <c r="DY202" i="43"/>
  <c r="DZ202" i="43"/>
  <c r="EA202" i="43"/>
  <c r="EB202" i="43"/>
  <c r="EC202" i="43"/>
  <c r="ED202" i="43"/>
  <c r="EE202" i="43"/>
  <c r="EF202" i="43"/>
  <c r="EG202" i="43"/>
  <c r="EH202" i="43"/>
  <c r="EI202" i="43"/>
  <c r="EJ202" i="43"/>
  <c r="EK202" i="43"/>
  <c r="EL202" i="43"/>
  <c r="EM202" i="43"/>
  <c r="EN202" i="43"/>
  <c r="EO202" i="43"/>
  <c r="EP202" i="43"/>
  <c r="EQ202" i="43"/>
  <c r="ER202" i="43"/>
  <c r="ES202" i="43"/>
  <c r="ET202" i="43"/>
  <c r="EU202" i="43"/>
  <c r="EV202" i="43"/>
  <c r="EW202" i="43"/>
  <c r="EX202" i="43"/>
  <c r="EY202" i="43"/>
  <c r="EZ202" i="43"/>
  <c r="FA202" i="43"/>
  <c r="FB202" i="43"/>
  <c r="FC202" i="43"/>
  <c r="FD202" i="43"/>
  <c r="FE202" i="43"/>
  <c r="FF202" i="43"/>
  <c r="FG202" i="43"/>
  <c r="FH202" i="43"/>
  <c r="FI202" i="43"/>
  <c r="FJ202" i="43"/>
  <c r="FK202" i="43"/>
  <c r="FL202" i="43"/>
  <c r="FM202" i="43"/>
  <c r="FN202" i="43"/>
  <c r="FO202" i="43"/>
  <c r="FP202" i="43"/>
  <c r="FQ202" i="43"/>
  <c r="FR202" i="43"/>
  <c r="FS202" i="43"/>
  <c r="FT202" i="43"/>
  <c r="FU202" i="43"/>
  <c r="FV202" i="43"/>
  <c r="FW202" i="43"/>
  <c r="FX202" i="43"/>
  <c r="FY202" i="43"/>
  <c r="FZ202" i="43"/>
  <c r="GA202" i="43"/>
  <c r="GB202" i="43"/>
  <c r="GC202" i="43"/>
  <c r="GD202" i="43"/>
  <c r="GE202" i="43"/>
  <c r="GF202" i="43"/>
  <c r="GG202" i="43"/>
  <c r="GH202" i="43"/>
  <c r="GI202" i="43"/>
  <c r="GJ202" i="43"/>
  <c r="GK202" i="43"/>
  <c r="GL202" i="43"/>
  <c r="GM202" i="43"/>
  <c r="GN202" i="43"/>
  <c r="GO202" i="43"/>
  <c r="GP202" i="43"/>
  <c r="GQ202" i="43"/>
  <c r="GR202" i="43"/>
  <c r="GS202" i="43"/>
  <c r="GT202" i="43"/>
  <c r="GU202" i="43"/>
  <c r="GV202" i="43"/>
  <c r="GW202" i="43"/>
  <c r="GX202" i="43"/>
  <c r="GY202" i="43"/>
  <c r="GZ202" i="43"/>
  <c r="HA202" i="43"/>
  <c r="HB202" i="43"/>
  <c r="HC202" i="43"/>
  <c r="HD202" i="43"/>
  <c r="HE202" i="43"/>
  <c r="HF202" i="43"/>
  <c r="HG202" i="43"/>
  <c r="HH202" i="43"/>
  <c r="HI202" i="43"/>
  <c r="HJ202" i="43"/>
  <c r="HK202" i="43"/>
  <c r="HL202" i="43"/>
  <c r="HM202" i="43"/>
  <c r="HN202" i="43"/>
  <c r="HO202" i="43"/>
  <c r="HP202" i="43"/>
  <c r="HQ202" i="43"/>
  <c r="HR202" i="43"/>
  <c r="HS202" i="43"/>
  <c r="HT202" i="43"/>
  <c r="HU202" i="43"/>
  <c r="HV202" i="43"/>
  <c r="HW202" i="43"/>
  <c r="HX202" i="43"/>
  <c r="HY202" i="43"/>
  <c r="HZ202" i="43"/>
  <c r="IA202" i="43"/>
  <c r="IB202" i="43"/>
  <c r="IC202" i="43"/>
  <c r="ID202" i="43"/>
  <c r="IE202" i="43"/>
  <c r="IF202" i="43"/>
  <c r="IG202" i="43"/>
  <c r="IH202" i="43"/>
  <c r="II202" i="43"/>
  <c r="IJ202" i="43"/>
  <c r="IK202" i="43"/>
  <c r="IL202" i="43"/>
  <c r="IM202" i="43"/>
  <c r="IN202" i="43"/>
  <c r="IO202" i="43"/>
  <c r="IP202" i="43"/>
  <c r="IQ202" i="43"/>
  <c r="IR202" i="43"/>
  <c r="IS202" i="43"/>
  <c r="IT202" i="43"/>
  <c r="IU202" i="43"/>
  <c r="IV202" i="43"/>
  <c r="A201" i="43"/>
  <c r="B201" i="43"/>
  <c r="C201" i="43"/>
  <c r="D201" i="43"/>
  <c r="E201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BD201" i="43"/>
  <c r="BE201" i="43"/>
  <c r="BF201" i="43"/>
  <c r="BG201" i="43"/>
  <c r="BH201" i="43"/>
  <c r="BI201" i="43"/>
  <c r="BJ201" i="43"/>
  <c r="BK201" i="43"/>
  <c r="BL201" i="43"/>
  <c r="BM201" i="43"/>
  <c r="BN201" i="43"/>
  <c r="BO201" i="43"/>
  <c r="BP201" i="43"/>
  <c r="BQ201" i="43"/>
  <c r="BR201" i="43"/>
  <c r="BS201" i="43"/>
  <c r="BT201" i="43"/>
  <c r="BU201" i="43"/>
  <c r="BV201" i="43"/>
  <c r="BW201" i="43"/>
  <c r="BX201" i="43"/>
  <c r="BY201" i="43"/>
  <c r="BZ201" i="43"/>
  <c r="CA201" i="43"/>
  <c r="CB201" i="43"/>
  <c r="CC201" i="43"/>
  <c r="CD201" i="43"/>
  <c r="CE201" i="43"/>
  <c r="CF201" i="43"/>
  <c r="CG201" i="43"/>
  <c r="CH201" i="43"/>
  <c r="CI201" i="43"/>
  <c r="CJ201" i="43"/>
  <c r="CK201" i="43"/>
  <c r="CL201" i="43"/>
  <c r="CM201" i="43"/>
  <c r="CN201" i="43"/>
  <c r="CO201" i="43"/>
  <c r="CP201" i="43"/>
  <c r="CQ201" i="43"/>
  <c r="CR201" i="43"/>
  <c r="CS201" i="43"/>
  <c r="CT201" i="43"/>
  <c r="CU201" i="43"/>
  <c r="CV201" i="43"/>
  <c r="CW201" i="43"/>
  <c r="CX201" i="43"/>
  <c r="CY201" i="43"/>
  <c r="CZ201" i="43"/>
  <c r="DA201" i="43"/>
  <c r="DB201" i="43"/>
  <c r="DC201" i="43"/>
  <c r="DD201" i="43"/>
  <c r="DE201" i="43"/>
  <c r="DF201" i="43"/>
  <c r="DG201" i="43"/>
  <c r="DH201" i="43"/>
  <c r="DI201" i="43"/>
  <c r="DJ201" i="43"/>
  <c r="DK201" i="43"/>
  <c r="DL201" i="43"/>
  <c r="DM201" i="43"/>
  <c r="DN201" i="43"/>
  <c r="DO201" i="43"/>
  <c r="DP201" i="43"/>
  <c r="DQ201" i="43"/>
  <c r="DR201" i="43"/>
  <c r="DS201" i="43"/>
  <c r="DT201" i="43"/>
  <c r="DU201" i="43"/>
  <c r="DV201" i="43"/>
  <c r="DW201" i="43"/>
  <c r="DX201" i="43"/>
  <c r="DY201" i="43"/>
  <c r="DZ201" i="43"/>
  <c r="EA201" i="43"/>
  <c r="EB201" i="43"/>
  <c r="EC201" i="43"/>
  <c r="ED201" i="43"/>
  <c r="EE201" i="43"/>
  <c r="EF201" i="43"/>
  <c r="EG201" i="43"/>
  <c r="EH201" i="43"/>
  <c r="EI201" i="43"/>
  <c r="EJ201" i="43"/>
  <c r="EK201" i="43"/>
  <c r="EL201" i="43"/>
  <c r="EM201" i="43"/>
  <c r="EN201" i="43"/>
  <c r="EO201" i="43"/>
  <c r="EP201" i="43"/>
  <c r="EQ201" i="43"/>
  <c r="ER201" i="43"/>
  <c r="ES201" i="43"/>
  <c r="ET201" i="43"/>
  <c r="EU201" i="43"/>
  <c r="EV201" i="43"/>
  <c r="EW201" i="43"/>
  <c r="EX201" i="43"/>
  <c r="EY201" i="43"/>
  <c r="EZ201" i="43"/>
  <c r="FA201" i="43"/>
  <c r="FB201" i="43"/>
  <c r="FC201" i="43"/>
  <c r="FD201" i="43"/>
  <c r="FE201" i="43"/>
  <c r="FF201" i="43"/>
  <c r="FG201" i="43"/>
  <c r="FH201" i="43"/>
  <c r="FI201" i="43"/>
  <c r="FJ201" i="43"/>
  <c r="FK201" i="43"/>
  <c r="FL201" i="43"/>
  <c r="FM201" i="43"/>
  <c r="FN201" i="43"/>
  <c r="FO201" i="43"/>
  <c r="FP201" i="43"/>
  <c r="FQ201" i="43"/>
  <c r="FR201" i="43"/>
  <c r="FS201" i="43"/>
  <c r="FT201" i="43"/>
  <c r="FU201" i="43"/>
  <c r="FV201" i="43"/>
  <c r="FW201" i="43"/>
  <c r="FX201" i="43"/>
  <c r="FY201" i="43"/>
  <c r="FZ201" i="43"/>
  <c r="GA201" i="43"/>
  <c r="GB201" i="43"/>
  <c r="GC201" i="43"/>
  <c r="GD201" i="43"/>
  <c r="GE201" i="43"/>
  <c r="GF201" i="43"/>
  <c r="GG201" i="43"/>
  <c r="GH201" i="43"/>
  <c r="GI201" i="43"/>
  <c r="GJ201" i="43"/>
  <c r="GK201" i="43"/>
  <c r="GL201" i="43"/>
  <c r="GM201" i="43"/>
  <c r="GN201" i="43"/>
  <c r="GO201" i="43"/>
  <c r="GP201" i="43"/>
  <c r="GQ201" i="43"/>
  <c r="GR201" i="43"/>
  <c r="GS201" i="43"/>
  <c r="GT201" i="43"/>
  <c r="GU201" i="43"/>
  <c r="GV201" i="43"/>
  <c r="GW201" i="43"/>
  <c r="GX201" i="43"/>
  <c r="GY201" i="43"/>
  <c r="GZ201" i="43"/>
  <c r="HA201" i="43"/>
  <c r="HB201" i="43"/>
  <c r="HC201" i="43"/>
  <c r="HD201" i="43"/>
  <c r="HE201" i="43"/>
  <c r="HF201" i="43"/>
  <c r="HG201" i="43"/>
  <c r="HH201" i="43"/>
  <c r="HI201" i="43"/>
  <c r="HJ201" i="43"/>
  <c r="HK201" i="43"/>
  <c r="HL201" i="43"/>
  <c r="HM201" i="43"/>
  <c r="HN201" i="43"/>
  <c r="HO201" i="43"/>
  <c r="HP201" i="43"/>
  <c r="HQ201" i="43"/>
  <c r="HR201" i="43"/>
  <c r="HS201" i="43"/>
  <c r="HT201" i="43"/>
  <c r="HU201" i="43"/>
  <c r="HV201" i="43"/>
  <c r="HW201" i="43"/>
  <c r="HX201" i="43"/>
  <c r="HY201" i="43"/>
  <c r="HZ201" i="43"/>
  <c r="IA201" i="43"/>
  <c r="IB201" i="43"/>
  <c r="IC201" i="43"/>
  <c r="ID201" i="43"/>
  <c r="IE201" i="43"/>
  <c r="IF201" i="43"/>
  <c r="IG201" i="43"/>
  <c r="IH201" i="43"/>
  <c r="II201" i="43"/>
  <c r="IJ201" i="43"/>
  <c r="IK201" i="43"/>
  <c r="IL201" i="43"/>
  <c r="IM201" i="43"/>
  <c r="IN201" i="43"/>
  <c r="IO201" i="43"/>
  <c r="IP201" i="43"/>
  <c r="IQ201" i="43"/>
  <c r="IR201" i="43"/>
  <c r="IS201" i="43"/>
  <c r="IT201" i="43"/>
  <c r="IU201" i="43"/>
  <c r="IV201" i="43"/>
  <c r="A200" i="43"/>
  <c r="B200" i="43"/>
  <c r="C200" i="43"/>
  <c r="D200" i="43"/>
  <c r="E200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BD200" i="43"/>
  <c r="BE200" i="43"/>
  <c r="BF200" i="43"/>
  <c r="BG200" i="43"/>
  <c r="BH200" i="43"/>
  <c r="BI200" i="43"/>
  <c r="BJ200" i="43"/>
  <c r="BK200" i="43"/>
  <c r="BL200" i="43"/>
  <c r="BM200" i="43"/>
  <c r="BN200" i="43"/>
  <c r="BO200" i="43"/>
  <c r="BP200" i="43"/>
  <c r="BQ200" i="43"/>
  <c r="BR200" i="43"/>
  <c r="BS200" i="43"/>
  <c r="BT200" i="43"/>
  <c r="BU200" i="43"/>
  <c r="BV200" i="43"/>
  <c r="BW200" i="43"/>
  <c r="BX200" i="43"/>
  <c r="BY200" i="43"/>
  <c r="BZ200" i="43"/>
  <c r="CA200" i="43"/>
  <c r="CB200" i="43"/>
  <c r="CC200" i="43"/>
  <c r="CD200" i="43"/>
  <c r="CE200" i="43"/>
  <c r="CF200" i="43"/>
  <c r="CG200" i="43"/>
  <c r="CH200" i="43"/>
  <c r="CI200" i="43"/>
  <c r="CJ200" i="43"/>
  <c r="CK200" i="43"/>
  <c r="CL200" i="43"/>
  <c r="CM200" i="43"/>
  <c r="CN200" i="43"/>
  <c r="CO200" i="43"/>
  <c r="CP200" i="43"/>
  <c r="CQ200" i="43"/>
  <c r="CR200" i="43"/>
  <c r="CS200" i="43"/>
  <c r="CT200" i="43"/>
  <c r="CU200" i="43"/>
  <c r="CV200" i="43"/>
  <c r="CW200" i="43"/>
  <c r="CX200" i="43"/>
  <c r="CY200" i="43"/>
  <c r="CZ200" i="43"/>
  <c r="DA200" i="43"/>
  <c r="DB200" i="43"/>
  <c r="DC200" i="43"/>
  <c r="DD200" i="43"/>
  <c r="DE200" i="43"/>
  <c r="DF200" i="43"/>
  <c r="DG200" i="43"/>
  <c r="DH200" i="43"/>
  <c r="DI200" i="43"/>
  <c r="DJ200" i="43"/>
  <c r="DK200" i="43"/>
  <c r="DL200" i="43"/>
  <c r="DM200" i="43"/>
  <c r="DN200" i="43"/>
  <c r="DO200" i="43"/>
  <c r="DP200" i="43"/>
  <c r="DQ200" i="43"/>
  <c r="DR200" i="43"/>
  <c r="DS200" i="43"/>
  <c r="DT200" i="43"/>
  <c r="DU200" i="43"/>
  <c r="DV200" i="43"/>
  <c r="DW200" i="43"/>
  <c r="DX200" i="43"/>
  <c r="DY200" i="43"/>
  <c r="DZ200" i="43"/>
  <c r="EA200" i="43"/>
  <c r="EB200" i="43"/>
  <c r="EC200" i="43"/>
  <c r="ED200" i="43"/>
  <c r="EE200" i="43"/>
  <c r="EF200" i="43"/>
  <c r="EG200" i="43"/>
  <c r="EH200" i="43"/>
  <c r="EI200" i="43"/>
  <c r="EJ200" i="43"/>
  <c r="EK200" i="43"/>
  <c r="EL200" i="43"/>
  <c r="EM200" i="43"/>
  <c r="EN200" i="43"/>
  <c r="EO200" i="43"/>
  <c r="EP200" i="43"/>
  <c r="EQ200" i="43"/>
  <c r="ER200" i="43"/>
  <c r="ES200" i="43"/>
  <c r="ET200" i="43"/>
  <c r="EU200" i="43"/>
  <c r="EV200" i="43"/>
  <c r="EW200" i="43"/>
  <c r="EX200" i="43"/>
  <c r="EY200" i="43"/>
  <c r="EZ200" i="43"/>
  <c r="FA200" i="43"/>
  <c r="FB200" i="43"/>
  <c r="FC200" i="43"/>
  <c r="FD200" i="43"/>
  <c r="FE200" i="43"/>
  <c r="FF200" i="43"/>
  <c r="FG200" i="43"/>
  <c r="FH200" i="43"/>
  <c r="FI200" i="43"/>
  <c r="FJ200" i="43"/>
  <c r="FK200" i="43"/>
  <c r="FL200" i="43"/>
  <c r="FM200" i="43"/>
  <c r="FN200" i="43"/>
  <c r="FO200" i="43"/>
  <c r="FP200" i="43"/>
  <c r="FQ200" i="43"/>
  <c r="FR200" i="43"/>
  <c r="FS200" i="43"/>
  <c r="FT200" i="43"/>
  <c r="FU200" i="43"/>
  <c r="FV200" i="43"/>
  <c r="FW200" i="43"/>
  <c r="FX200" i="43"/>
  <c r="FY200" i="43"/>
  <c r="FZ200" i="43"/>
  <c r="GA200" i="43"/>
  <c r="GB200" i="43"/>
  <c r="GC200" i="43"/>
  <c r="GD200" i="43"/>
  <c r="GE200" i="43"/>
  <c r="GF200" i="43"/>
  <c r="GG200" i="43"/>
  <c r="GH200" i="43"/>
  <c r="GI200" i="43"/>
  <c r="GJ200" i="43"/>
  <c r="GK200" i="43"/>
  <c r="GL200" i="43"/>
  <c r="GM200" i="43"/>
  <c r="GN200" i="43"/>
  <c r="GO200" i="43"/>
  <c r="GP200" i="43"/>
  <c r="GQ200" i="43"/>
  <c r="GR200" i="43"/>
  <c r="GS200" i="43"/>
  <c r="GT200" i="43"/>
  <c r="GU200" i="43"/>
  <c r="GV200" i="43"/>
  <c r="GW200" i="43"/>
  <c r="GX200" i="43"/>
  <c r="GY200" i="43"/>
  <c r="GZ200" i="43"/>
  <c r="HA200" i="43"/>
  <c r="HB200" i="43"/>
  <c r="HC200" i="43"/>
  <c r="HD200" i="43"/>
  <c r="HE200" i="43"/>
  <c r="HF200" i="43"/>
  <c r="HG200" i="43"/>
  <c r="HH200" i="43"/>
  <c r="HI200" i="43"/>
  <c r="HJ200" i="43"/>
  <c r="HK200" i="43"/>
  <c r="HL200" i="43"/>
  <c r="HM200" i="43"/>
  <c r="HN200" i="43"/>
  <c r="HO200" i="43"/>
  <c r="HP200" i="43"/>
  <c r="HQ200" i="43"/>
  <c r="HR200" i="43"/>
  <c r="HS200" i="43"/>
  <c r="HT200" i="43"/>
  <c r="HU200" i="43"/>
  <c r="HV200" i="43"/>
  <c r="HW200" i="43"/>
  <c r="HX200" i="43"/>
  <c r="HY200" i="43"/>
  <c r="HZ200" i="43"/>
  <c r="IA200" i="43"/>
  <c r="IB200" i="43"/>
  <c r="IC200" i="43"/>
  <c r="ID200" i="43"/>
  <c r="IE200" i="43"/>
  <c r="IF200" i="43"/>
  <c r="IG200" i="43"/>
  <c r="IH200" i="43"/>
  <c r="II200" i="43"/>
  <c r="IJ200" i="43"/>
  <c r="IK200" i="43"/>
  <c r="IL200" i="43"/>
  <c r="IM200" i="43"/>
  <c r="IN200" i="43"/>
  <c r="IO200" i="43"/>
  <c r="IP200" i="43"/>
  <c r="IQ200" i="43"/>
  <c r="IR200" i="43"/>
  <c r="IS200" i="43"/>
  <c r="IT200" i="43"/>
  <c r="IU200" i="43"/>
  <c r="IV200" i="43"/>
  <c r="A199" i="43"/>
  <c r="B199" i="43"/>
  <c r="C199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BD199" i="43"/>
  <c r="BE199" i="43"/>
  <c r="BF199" i="43"/>
  <c r="BG199" i="43"/>
  <c r="BH199" i="43"/>
  <c r="BI199" i="43"/>
  <c r="BJ199" i="43"/>
  <c r="BK199" i="43"/>
  <c r="BL199" i="43"/>
  <c r="BM199" i="43"/>
  <c r="BN199" i="43"/>
  <c r="BO199" i="43"/>
  <c r="BP199" i="43"/>
  <c r="BQ199" i="43"/>
  <c r="BR199" i="43"/>
  <c r="BS199" i="43"/>
  <c r="BT199" i="43"/>
  <c r="BU199" i="43"/>
  <c r="BV199" i="43"/>
  <c r="BW199" i="43"/>
  <c r="BX199" i="43"/>
  <c r="BY199" i="43"/>
  <c r="BZ199" i="43"/>
  <c r="CA199" i="43"/>
  <c r="CB199" i="43"/>
  <c r="CC199" i="43"/>
  <c r="CD199" i="43"/>
  <c r="CE199" i="43"/>
  <c r="CF199" i="43"/>
  <c r="CG199" i="43"/>
  <c r="CH199" i="43"/>
  <c r="CI199" i="43"/>
  <c r="CJ199" i="43"/>
  <c r="CK199" i="43"/>
  <c r="CL199" i="43"/>
  <c r="CM199" i="43"/>
  <c r="CN199" i="43"/>
  <c r="CO199" i="43"/>
  <c r="CP199" i="43"/>
  <c r="CQ199" i="43"/>
  <c r="CR199" i="43"/>
  <c r="CS199" i="43"/>
  <c r="CT199" i="43"/>
  <c r="CU199" i="43"/>
  <c r="CV199" i="43"/>
  <c r="CW199" i="43"/>
  <c r="CX199" i="43"/>
  <c r="CY199" i="43"/>
  <c r="CZ199" i="43"/>
  <c r="DA199" i="43"/>
  <c r="DB199" i="43"/>
  <c r="DC199" i="43"/>
  <c r="DD199" i="43"/>
  <c r="DE199" i="43"/>
  <c r="DF199" i="43"/>
  <c r="DG199" i="43"/>
  <c r="DH199" i="43"/>
  <c r="DI199" i="43"/>
  <c r="DJ199" i="43"/>
  <c r="DK199" i="43"/>
  <c r="DL199" i="43"/>
  <c r="DM199" i="43"/>
  <c r="DN199" i="43"/>
  <c r="DO199" i="43"/>
  <c r="DP199" i="43"/>
  <c r="DQ199" i="43"/>
  <c r="DR199" i="43"/>
  <c r="DS199" i="43"/>
  <c r="DT199" i="43"/>
  <c r="DU199" i="43"/>
  <c r="DV199" i="43"/>
  <c r="DW199" i="43"/>
  <c r="DX199" i="43"/>
  <c r="DY199" i="43"/>
  <c r="DZ199" i="43"/>
  <c r="EA199" i="43"/>
  <c r="EB199" i="43"/>
  <c r="EC199" i="43"/>
  <c r="ED199" i="43"/>
  <c r="EE199" i="43"/>
  <c r="EF199" i="43"/>
  <c r="EG199" i="43"/>
  <c r="EH199" i="43"/>
  <c r="EI199" i="43"/>
  <c r="EJ199" i="43"/>
  <c r="EK199" i="43"/>
  <c r="EL199" i="43"/>
  <c r="EM199" i="43"/>
  <c r="EN199" i="43"/>
  <c r="EO199" i="43"/>
  <c r="EP199" i="43"/>
  <c r="EQ199" i="43"/>
  <c r="ER199" i="43"/>
  <c r="ES199" i="43"/>
  <c r="ET199" i="43"/>
  <c r="EU199" i="43"/>
  <c r="EV199" i="43"/>
  <c r="EW199" i="43"/>
  <c r="EX199" i="43"/>
  <c r="EY199" i="43"/>
  <c r="EZ199" i="43"/>
  <c r="FA199" i="43"/>
  <c r="FB199" i="43"/>
  <c r="FC199" i="43"/>
  <c r="FD199" i="43"/>
  <c r="FE199" i="43"/>
  <c r="FF199" i="43"/>
  <c r="FG199" i="43"/>
  <c r="FH199" i="43"/>
  <c r="FI199" i="43"/>
  <c r="FJ199" i="43"/>
  <c r="FK199" i="43"/>
  <c r="FL199" i="43"/>
  <c r="FM199" i="43"/>
  <c r="FN199" i="43"/>
  <c r="FO199" i="43"/>
  <c r="FP199" i="43"/>
  <c r="FQ199" i="43"/>
  <c r="FR199" i="43"/>
  <c r="FS199" i="43"/>
  <c r="FT199" i="43"/>
  <c r="FU199" i="43"/>
  <c r="FV199" i="43"/>
  <c r="FW199" i="43"/>
  <c r="FX199" i="43"/>
  <c r="FY199" i="43"/>
  <c r="FZ199" i="43"/>
  <c r="GA199" i="43"/>
  <c r="GB199" i="43"/>
  <c r="GC199" i="43"/>
  <c r="GD199" i="43"/>
  <c r="GE199" i="43"/>
  <c r="GF199" i="43"/>
  <c r="GG199" i="43"/>
  <c r="GH199" i="43"/>
  <c r="GI199" i="43"/>
  <c r="GJ199" i="43"/>
  <c r="GK199" i="43"/>
  <c r="GL199" i="43"/>
  <c r="GM199" i="43"/>
  <c r="GN199" i="43"/>
  <c r="GO199" i="43"/>
  <c r="GP199" i="43"/>
  <c r="GQ199" i="43"/>
  <c r="GR199" i="43"/>
  <c r="GS199" i="43"/>
  <c r="GT199" i="43"/>
  <c r="GU199" i="43"/>
  <c r="GV199" i="43"/>
  <c r="GW199" i="43"/>
  <c r="GX199" i="43"/>
  <c r="GY199" i="43"/>
  <c r="GZ199" i="43"/>
  <c r="HA199" i="43"/>
  <c r="HB199" i="43"/>
  <c r="HC199" i="43"/>
  <c r="HD199" i="43"/>
  <c r="HE199" i="43"/>
  <c r="HF199" i="43"/>
  <c r="HG199" i="43"/>
  <c r="HH199" i="43"/>
  <c r="HI199" i="43"/>
  <c r="HJ199" i="43"/>
  <c r="HK199" i="43"/>
  <c r="HL199" i="43"/>
  <c r="HM199" i="43"/>
  <c r="HN199" i="43"/>
  <c r="HO199" i="43"/>
  <c r="HP199" i="43"/>
  <c r="HQ199" i="43"/>
  <c r="HR199" i="43"/>
  <c r="HS199" i="43"/>
  <c r="HT199" i="43"/>
  <c r="HU199" i="43"/>
  <c r="HV199" i="43"/>
  <c r="HW199" i="43"/>
  <c r="HX199" i="43"/>
  <c r="HY199" i="43"/>
  <c r="HZ199" i="43"/>
  <c r="IA199" i="43"/>
  <c r="IB199" i="43"/>
  <c r="IC199" i="43"/>
  <c r="ID199" i="43"/>
  <c r="IE199" i="43"/>
  <c r="IF199" i="43"/>
  <c r="IG199" i="43"/>
  <c r="IH199" i="43"/>
  <c r="II199" i="43"/>
  <c r="IJ199" i="43"/>
  <c r="IK199" i="43"/>
  <c r="IL199" i="43"/>
  <c r="IM199" i="43"/>
  <c r="IN199" i="43"/>
  <c r="IO199" i="43"/>
  <c r="IP199" i="43"/>
  <c r="IQ199" i="43"/>
  <c r="IR199" i="43"/>
  <c r="IS199" i="43"/>
  <c r="IT199" i="43"/>
  <c r="IU199" i="43"/>
  <c r="IV199" i="43"/>
  <c r="A198" i="43"/>
  <c r="B198" i="43"/>
  <c r="C198" i="43"/>
  <c r="D198" i="43"/>
  <c r="E198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BD198" i="43"/>
  <c r="BE198" i="43"/>
  <c r="BF198" i="43"/>
  <c r="BG198" i="43"/>
  <c r="BH198" i="43"/>
  <c r="BI198" i="43"/>
  <c r="BJ198" i="43"/>
  <c r="BK198" i="43"/>
  <c r="BL198" i="43"/>
  <c r="BM198" i="43"/>
  <c r="BN198" i="43"/>
  <c r="BO198" i="43"/>
  <c r="BP198" i="43"/>
  <c r="BQ198" i="43"/>
  <c r="BR198" i="43"/>
  <c r="BS198" i="43"/>
  <c r="BT198" i="43"/>
  <c r="BU198" i="43"/>
  <c r="BV198" i="43"/>
  <c r="BW198" i="43"/>
  <c r="BX198" i="43"/>
  <c r="BY198" i="43"/>
  <c r="BZ198" i="43"/>
  <c r="CA198" i="43"/>
  <c r="CB198" i="43"/>
  <c r="CC198" i="43"/>
  <c r="CD198" i="43"/>
  <c r="CE198" i="43"/>
  <c r="CF198" i="43"/>
  <c r="CG198" i="43"/>
  <c r="CH198" i="43"/>
  <c r="CI198" i="43"/>
  <c r="CJ198" i="43"/>
  <c r="CK198" i="43"/>
  <c r="CL198" i="43"/>
  <c r="CM198" i="43"/>
  <c r="CN198" i="43"/>
  <c r="CO198" i="43"/>
  <c r="CP198" i="43"/>
  <c r="CQ198" i="43"/>
  <c r="CR198" i="43"/>
  <c r="CS198" i="43"/>
  <c r="CT198" i="43"/>
  <c r="CU198" i="43"/>
  <c r="CV198" i="43"/>
  <c r="CW198" i="43"/>
  <c r="CX198" i="43"/>
  <c r="CY198" i="43"/>
  <c r="CZ198" i="43"/>
  <c r="DA198" i="43"/>
  <c r="DB198" i="43"/>
  <c r="DC198" i="43"/>
  <c r="DD198" i="43"/>
  <c r="DE198" i="43"/>
  <c r="DF198" i="43"/>
  <c r="DG198" i="43"/>
  <c r="DH198" i="43"/>
  <c r="DI198" i="43"/>
  <c r="DJ198" i="43"/>
  <c r="DK198" i="43"/>
  <c r="DL198" i="43"/>
  <c r="DM198" i="43"/>
  <c r="DN198" i="43"/>
  <c r="DO198" i="43"/>
  <c r="DP198" i="43"/>
  <c r="DQ198" i="43"/>
  <c r="DR198" i="43"/>
  <c r="DS198" i="43"/>
  <c r="DT198" i="43"/>
  <c r="DU198" i="43"/>
  <c r="DV198" i="43"/>
  <c r="DW198" i="43"/>
  <c r="DX198" i="43"/>
  <c r="DY198" i="43"/>
  <c r="DZ198" i="43"/>
  <c r="EA198" i="43"/>
  <c r="EB198" i="43"/>
  <c r="EC198" i="43"/>
  <c r="ED198" i="43"/>
  <c r="EE198" i="43"/>
  <c r="EF198" i="43"/>
  <c r="EG198" i="43"/>
  <c r="EH198" i="43"/>
  <c r="EI198" i="43"/>
  <c r="EJ198" i="43"/>
  <c r="EK198" i="43"/>
  <c r="EL198" i="43"/>
  <c r="EM198" i="43"/>
  <c r="EN198" i="43"/>
  <c r="EO198" i="43"/>
  <c r="EP198" i="43"/>
  <c r="EQ198" i="43"/>
  <c r="ER198" i="43"/>
  <c r="ES198" i="43"/>
  <c r="ET198" i="43"/>
  <c r="EU198" i="43"/>
  <c r="EV198" i="43"/>
  <c r="EW198" i="43"/>
  <c r="EX198" i="43"/>
  <c r="EY198" i="43"/>
  <c r="EZ198" i="43"/>
  <c r="FA198" i="43"/>
  <c r="FB198" i="43"/>
  <c r="FC198" i="43"/>
  <c r="FD198" i="43"/>
  <c r="FE198" i="43"/>
  <c r="FF198" i="43"/>
  <c r="FG198" i="43"/>
  <c r="FH198" i="43"/>
  <c r="FI198" i="43"/>
  <c r="FJ198" i="43"/>
  <c r="FK198" i="43"/>
  <c r="FL198" i="43"/>
  <c r="FM198" i="43"/>
  <c r="FN198" i="43"/>
  <c r="FO198" i="43"/>
  <c r="FP198" i="43"/>
  <c r="FQ198" i="43"/>
  <c r="FR198" i="43"/>
  <c r="FS198" i="43"/>
  <c r="FT198" i="43"/>
  <c r="FU198" i="43"/>
  <c r="FV198" i="43"/>
  <c r="FW198" i="43"/>
  <c r="FX198" i="43"/>
  <c r="FY198" i="43"/>
  <c r="FZ198" i="43"/>
  <c r="GA198" i="43"/>
  <c r="GB198" i="43"/>
  <c r="GC198" i="43"/>
  <c r="GD198" i="43"/>
  <c r="GE198" i="43"/>
  <c r="GF198" i="43"/>
  <c r="GG198" i="43"/>
  <c r="GH198" i="43"/>
  <c r="GI198" i="43"/>
  <c r="GJ198" i="43"/>
  <c r="GK198" i="43"/>
  <c r="GL198" i="43"/>
  <c r="GM198" i="43"/>
  <c r="GN198" i="43"/>
  <c r="GO198" i="43"/>
  <c r="GP198" i="43"/>
  <c r="GQ198" i="43"/>
  <c r="GR198" i="43"/>
  <c r="GS198" i="43"/>
  <c r="GT198" i="43"/>
  <c r="GU198" i="43"/>
  <c r="GV198" i="43"/>
  <c r="GW198" i="43"/>
  <c r="GX198" i="43"/>
  <c r="GY198" i="43"/>
  <c r="GZ198" i="43"/>
  <c r="HA198" i="43"/>
  <c r="HB198" i="43"/>
  <c r="HC198" i="43"/>
  <c r="HD198" i="43"/>
  <c r="HE198" i="43"/>
  <c r="HF198" i="43"/>
  <c r="HG198" i="43"/>
  <c r="HH198" i="43"/>
  <c r="HI198" i="43"/>
  <c r="HJ198" i="43"/>
  <c r="HK198" i="43"/>
  <c r="HL198" i="43"/>
  <c r="HM198" i="43"/>
  <c r="HN198" i="43"/>
  <c r="HO198" i="43"/>
  <c r="HP198" i="43"/>
  <c r="HQ198" i="43"/>
  <c r="HR198" i="43"/>
  <c r="HS198" i="43"/>
  <c r="HT198" i="43"/>
  <c r="HU198" i="43"/>
  <c r="HV198" i="43"/>
  <c r="HW198" i="43"/>
  <c r="HX198" i="43"/>
  <c r="HY198" i="43"/>
  <c r="HZ198" i="43"/>
  <c r="IA198" i="43"/>
  <c r="IB198" i="43"/>
  <c r="IC198" i="43"/>
  <c r="ID198" i="43"/>
  <c r="IE198" i="43"/>
  <c r="IF198" i="43"/>
  <c r="IG198" i="43"/>
  <c r="IH198" i="43"/>
  <c r="II198" i="43"/>
  <c r="IJ198" i="43"/>
  <c r="IK198" i="43"/>
  <c r="IL198" i="43"/>
  <c r="IM198" i="43"/>
  <c r="IN198" i="43"/>
  <c r="IO198" i="43"/>
  <c r="IP198" i="43"/>
  <c r="IQ198" i="43"/>
  <c r="IR198" i="43"/>
  <c r="IS198" i="43"/>
  <c r="IT198" i="43"/>
  <c r="IU198" i="43"/>
  <c r="IV198" i="43"/>
  <c r="A197" i="43"/>
  <c r="B197" i="43"/>
  <c r="C197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BD197" i="43"/>
  <c r="BE197" i="43"/>
  <c r="BF197" i="43"/>
  <c r="BG197" i="43"/>
  <c r="BH197" i="43"/>
  <c r="BI197" i="43"/>
  <c r="BJ197" i="43"/>
  <c r="BK197" i="43"/>
  <c r="BL197" i="43"/>
  <c r="BM197" i="43"/>
  <c r="BN197" i="43"/>
  <c r="BO197" i="43"/>
  <c r="BP197" i="43"/>
  <c r="BQ197" i="43"/>
  <c r="BR197" i="43"/>
  <c r="BS197" i="43"/>
  <c r="BT197" i="43"/>
  <c r="BU197" i="43"/>
  <c r="BV197" i="43"/>
  <c r="BW197" i="43"/>
  <c r="BX197" i="43"/>
  <c r="BY197" i="43"/>
  <c r="BZ197" i="43"/>
  <c r="CA197" i="43"/>
  <c r="CB197" i="43"/>
  <c r="CC197" i="43"/>
  <c r="CD197" i="43"/>
  <c r="CE197" i="43"/>
  <c r="CF197" i="43"/>
  <c r="CG197" i="43"/>
  <c r="CH197" i="43"/>
  <c r="CI197" i="43"/>
  <c r="CJ197" i="43"/>
  <c r="CK197" i="43"/>
  <c r="CL197" i="43"/>
  <c r="CM197" i="43"/>
  <c r="CN197" i="43"/>
  <c r="CO197" i="43"/>
  <c r="CP197" i="43"/>
  <c r="CQ197" i="43"/>
  <c r="CR197" i="43"/>
  <c r="CS197" i="43"/>
  <c r="CT197" i="43"/>
  <c r="CU197" i="43"/>
  <c r="CV197" i="43"/>
  <c r="CW197" i="43"/>
  <c r="CX197" i="43"/>
  <c r="CY197" i="43"/>
  <c r="CZ197" i="43"/>
  <c r="DA197" i="43"/>
  <c r="DB197" i="43"/>
  <c r="DC197" i="43"/>
  <c r="DD197" i="43"/>
  <c r="DE197" i="43"/>
  <c r="DF197" i="43"/>
  <c r="DG197" i="43"/>
  <c r="DH197" i="43"/>
  <c r="DI197" i="43"/>
  <c r="DJ197" i="43"/>
  <c r="DK197" i="43"/>
  <c r="DL197" i="43"/>
  <c r="DM197" i="43"/>
  <c r="DN197" i="43"/>
  <c r="DO197" i="43"/>
  <c r="DP197" i="43"/>
  <c r="DQ197" i="43"/>
  <c r="DR197" i="43"/>
  <c r="DS197" i="43"/>
  <c r="DT197" i="43"/>
  <c r="DU197" i="43"/>
  <c r="DV197" i="43"/>
  <c r="DW197" i="43"/>
  <c r="DX197" i="43"/>
  <c r="DY197" i="43"/>
  <c r="DZ197" i="43"/>
  <c r="EA197" i="43"/>
  <c r="EB197" i="43"/>
  <c r="EC197" i="43"/>
  <c r="ED197" i="43"/>
  <c r="EE197" i="43"/>
  <c r="EF197" i="43"/>
  <c r="EG197" i="43"/>
  <c r="EH197" i="43"/>
  <c r="EI197" i="43"/>
  <c r="EJ197" i="43"/>
  <c r="EK197" i="43"/>
  <c r="EL197" i="43"/>
  <c r="EM197" i="43"/>
  <c r="EN197" i="43"/>
  <c r="EO197" i="43"/>
  <c r="EP197" i="43"/>
  <c r="EQ197" i="43"/>
  <c r="ER197" i="43"/>
  <c r="ES197" i="43"/>
  <c r="ET197" i="43"/>
  <c r="EU197" i="43"/>
  <c r="EV197" i="43"/>
  <c r="EW197" i="43"/>
  <c r="EX197" i="43"/>
  <c r="EY197" i="43"/>
  <c r="EZ197" i="43"/>
  <c r="FA197" i="43"/>
  <c r="FB197" i="43"/>
  <c r="FC197" i="43"/>
  <c r="FD197" i="43"/>
  <c r="FE197" i="43"/>
  <c r="FF197" i="43"/>
  <c r="FG197" i="43"/>
  <c r="FH197" i="43"/>
  <c r="FI197" i="43"/>
  <c r="FJ197" i="43"/>
  <c r="FK197" i="43"/>
  <c r="FL197" i="43"/>
  <c r="FM197" i="43"/>
  <c r="FN197" i="43"/>
  <c r="FO197" i="43"/>
  <c r="FP197" i="43"/>
  <c r="FQ197" i="43"/>
  <c r="FR197" i="43"/>
  <c r="FS197" i="43"/>
  <c r="FT197" i="43"/>
  <c r="FU197" i="43"/>
  <c r="FV197" i="43"/>
  <c r="FW197" i="43"/>
  <c r="FX197" i="43"/>
  <c r="FY197" i="43"/>
  <c r="FZ197" i="43"/>
  <c r="GA197" i="43"/>
  <c r="GB197" i="43"/>
  <c r="GC197" i="43"/>
  <c r="GD197" i="43"/>
  <c r="GE197" i="43"/>
  <c r="GF197" i="43"/>
  <c r="GG197" i="43"/>
  <c r="GH197" i="43"/>
  <c r="GI197" i="43"/>
  <c r="GJ197" i="43"/>
  <c r="GK197" i="43"/>
  <c r="GL197" i="43"/>
  <c r="GM197" i="43"/>
  <c r="GN197" i="43"/>
  <c r="GO197" i="43"/>
  <c r="GP197" i="43"/>
  <c r="GQ197" i="43"/>
  <c r="GR197" i="43"/>
  <c r="GS197" i="43"/>
  <c r="GT197" i="43"/>
  <c r="GU197" i="43"/>
  <c r="GV197" i="43"/>
  <c r="GW197" i="43"/>
  <c r="GX197" i="43"/>
  <c r="GY197" i="43"/>
  <c r="GZ197" i="43"/>
  <c r="HA197" i="43"/>
  <c r="HB197" i="43"/>
  <c r="HC197" i="43"/>
  <c r="HD197" i="43"/>
  <c r="HE197" i="43"/>
  <c r="HF197" i="43"/>
  <c r="HG197" i="43"/>
  <c r="HH197" i="43"/>
  <c r="HI197" i="43"/>
  <c r="HJ197" i="43"/>
  <c r="HK197" i="43"/>
  <c r="HL197" i="43"/>
  <c r="HM197" i="43"/>
  <c r="HN197" i="43"/>
  <c r="HO197" i="43"/>
  <c r="HP197" i="43"/>
  <c r="HQ197" i="43"/>
  <c r="HR197" i="43"/>
  <c r="HS197" i="43"/>
  <c r="HT197" i="43"/>
  <c r="HU197" i="43"/>
  <c r="HV197" i="43"/>
  <c r="HW197" i="43"/>
  <c r="HX197" i="43"/>
  <c r="HY197" i="43"/>
  <c r="HZ197" i="43"/>
  <c r="IA197" i="43"/>
  <c r="IB197" i="43"/>
  <c r="IC197" i="43"/>
  <c r="ID197" i="43"/>
  <c r="IE197" i="43"/>
  <c r="IF197" i="43"/>
  <c r="IG197" i="43"/>
  <c r="IH197" i="43"/>
  <c r="II197" i="43"/>
  <c r="IJ197" i="43"/>
  <c r="IK197" i="43"/>
  <c r="IL197" i="43"/>
  <c r="IM197" i="43"/>
  <c r="IN197" i="43"/>
  <c r="IO197" i="43"/>
  <c r="IP197" i="43"/>
  <c r="IQ197" i="43"/>
  <c r="IR197" i="43"/>
  <c r="IS197" i="43"/>
  <c r="IT197" i="43"/>
  <c r="IU197" i="43"/>
  <c r="IV197" i="43"/>
  <c r="A196" i="43"/>
  <c r="B196" i="43"/>
  <c r="C196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BD196" i="43"/>
  <c r="BE196" i="43"/>
  <c r="BF196" i="43"/>
  <c r="BG196" i="43"/>
  <c r="BH196" i="43"/>
  <c r="BI196" i="43"/>
  <c r="BJ196" i="43"/>
  <c r="BK196" i="43"/>
  <c r="BL196" i="43"/>
  <c r="BM196" i="43"/>
  <c r="BN196" i="43"/>
  <c r="BO196" i="43"/>
  <c r="BP196" i="43"/>
  <c r="BQ196" i="43"/>
  <c r="BR196" i="43"/>
  <c r="BS196" i="43"/>
  <c r="BT196" i="43"/>
  <c r="BU196" i="43"/>
  <c r="BV196" i="43"/>
  <c r="BW196" i="43"/>
  <c r="BX196" i="43"/>
  <c r="BY196" i="43"/>
  <c r="BZ196" i="43"/>
  <c r="CA196" i="43"/>
  <c r="CB196" i="43"/>
  <c r="CC196" i="43"/>
  <c r="CD196" i="43"/>
  <c r="CE196" i="43"/>
  <c r="CF196" i="43"/>
  <c r="CG196" i="43"/>
  <c r="CH196" i="43"/>
  <c r="CI196" i="43"/>
  <c r="CJ196" i="43"/>
  <c r="CK196" i="43"/>
  <c r="CL196" i="43"/>
  <c r="CM196" i="43"/>
  <c r="CN196" i="43"/>
  <c r="CO196" i="43"/>
  <c r="CP196" i="43"/>
  <c r="CQ196" i="43"/>
  <c r="CR196" i="43"/>
  <c r="CS196" i="43"/>
  <c r="CT196" i="43"/>
  <c r="CU196" i="43"/>
  <c r="CV196" i="43"/>
  <c r="CW196" i="43"/>
  <c r="CX196" i="43"/>
  <c r="CY196" i="43"/>
  <c r="CZ196" i="43"/>
  <c r="DA196" i="43"/>
  <c r="DB196" i="43"/>
  <c r="DC196" i="43"/>
  <c r="DD196" i="43"/>
  <c r="DE196" i="43"/>
  <c r="DF196" i="43"/>
  <c r="DG196" i="43"/>
  <c r="DH196" i="43"/>
  <c r="DI196" i="43"/>
  <c r="DJ196" i="43"/>
  <c r="DK196" i="43"/>
  <c r="DL196" i="43"/>
  <c r="DM196" i="43"/>
  <c r="DN196" i="43"/>
  <c r="DO196" i="43"/>
  <c r="DP196" i="43"/>
  <c r="DQ196" i="43"/>
  <c r="DR196" i="43"/>
  <c r="DS196" i="43"/>
  <c r="DT196" i="43"/>
  <c r="DU196" i="43"/>
  <c r="DV196" i="43"/>
  <c r="DW196" i="43"/>
  <c r="DX196" i="43"/>
  <c r="DY196" i="43"/>
  <c r="DZ196" i="43"/>
  <c r="EA196" i="43"/>
  <c r="EB196" i="43"/>
  <c r="EC196" i="43"/>
  <c r="ED196" i="43"/>
  <c r="EE196" i="43"/>
  <c r="EF196" i="43"/>
  <c r="EG196" i="43"/>
  <c r="EH196" i="43"/>
  <c r="EI196" i="43"/>
  <c r="EJ196" i="43"/>
  <c r="EK196" i="43"/>
  <c r="EL196" i="43"/>
  <c r="EM196" i="43"/>
  <c r="EN196" i="43"/>
  <c r="EO196" i="43"/>
  <c r="EP196" i="43"/>
  <c r="EQ196" i="43"/>
  <c r="ER196" i="43"/>
  <c r="ES196" i="43"/>
  <c r="ET196" i="43"/>
  <c r="EU196" i="43"/>
  <c r="EV196" i="43"/>
  <c r="EW196" i="43"/>
  <c r="EX196" i="43"/>
  <c r="EY196" i="43"/>
  <c r="EZ196" i="43"/>
  <c r="FA196" i="43"/>
  <c r="FB196" i="43"/>
  <c r="FC196" i="43"/>
  <c r="FD196" i="43"/>
  <c r="FE196" i="43"/>
  <c r="FF196" i="43"/>
  <c r="FG196" i="43"/>
  <c r="FH196" i="43"/>
  <c r="FI196" i="43"/>
  <c r="FJ196" i="43"/>
  <c r="FK196" i="43"/>
  <c r="FL196" i="43"/>
  <c r="FM196" i="43"/>
  <c r="FN196" i="43"/>
  <c r="FO196" i="43"/>
  <c r="FP196" i="43"/>
  <c r="FQ196" i="43"/>
  <c r="FR196" i="43"/>
  <c r="FS196" i="43"/>
  <c r="FT196" i="43"/>
  <c r="FU196" i="43"/>
  <c r="FV196" i="43"/>
  <c r="FW196" i="43"/>
  <c r="FX196" i="43"/>
  <c r="FY196" i="43"/>
  <c r="FZ196" i="43"/>
  <c r="GA196" i="43"/>
  <c r="GB196" i="43"/>
  <c r="GC196" i="43"/>
  <c r="GD196" i="43"/>
  <c r="GE196" i="43"/>
  <c r="GF196" i="43"/>
  <c r="GG196" i="43"/>
  <c r="GH196" i="43"/>
  <c r="GI196" i="43"/>
  <c r="GJ196" i="43"/>
  <c r="GK196" i="43"/>
  <c r="GL196" i="43"/>
  <c r="GM196" i="43"/>
  <c r="GN196" i="43"/>
  <c r="GO196" i="43"/>
  <c r="GP196" i="43"/>
  <c r="GQ196" i="43"/>
  <c r="GR196" i="43"/>
  <c r="GS196" i="43"/>
  <c r="GT196" i="43"/>
  <c r="GU196" i="43"/>
  <c r="GV196" i="43"/>
  <c r="GW196" i="43"/>
  <c r="GX196" i="43"/>
  <c r="GY196" i="43"/>
  <c r="GZ196" i="43"/>
  <c r="HA196" i="43"/>
  <c r="HB196" i="43"/>
  <c r="HC196" i="43"/>
  <c r="HD196" i="43"/>
  <c r="HE196" i="43"/>
  <c r="HF196" i="43"/>
  <c r="HG196" i="43"/>
  <c r="HH196" i="43"/>
  <c r="HI196" i="43"/>
  <c r="HJ196" i="43"/>
  <c r="HK196" i="43"/>
  <c r="HL196" i="43"/>
  <c r="HM196" i="43"/>
  <c r="HN196" i="43"/>
  <c r="HO196" i="43"/>
  <c r="HP196" i="43"/>
  <c r="HQ196" i="43"/>
  <c r="HR196" i="43"/>
  <c r="HS196" i="43"/>
  <c r="HT196" i="43"/>
  <c r="HU196" i="43"/>
  <c r="HV196" i="43"/>
  <c r="HW196" i="43"/>
  <c r="HX196" i="43"/>
  <c r="HY196" i="43"/>
  <c r="HZ196" i="43"/>
  <c r="IA196" i="43"/>
  <c r="IB196" i="43"/>
  <c r="IC196" i="43"/>
  <c r="ID196" i="43"/>
  <c r="IE196" i="43"/>
  <c r="IF196" i="43"/>
  <c r="IG196" i="43"/>
  <c r="IH196" i="43"/>
  <c r="II196" i="43"/>
  <c r="IJ196" i="43"/>
  <c r="IK196" i="43"/>
  <c r="IL196" i="43"/>
  <c r="IM196" i="43"/>
  <c r="IN196" i="43"/>
  <c r="IO196" i="43"/>
  <c r="IP196" i="43"/>
  <c r="IQ196" i="43"/>
  <c r="IR196" i="43"/>
  <c r="IS196" i="43"/>
  <c r="IT196" i="43"/>
  <c r="IU196" i="43"/>
  <c r="IV196" i="43"/>
  <c r="A195" i="43"/>
  <c r="B195" i="43"/>
  <c r="C195" i="43"/>
  <c r="D195" i="43"/>
  <c r="E195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BD195" i="43"/>
  <c r="BE195" i="43"/>
  <c r="BF195" i="43"/>
  <c r="BG195" i="43"/>
  <c r="BH195" i="43"/>
  <c r="BI195" i="43"/>
  <c r="BJ195" i="43"/>
  <c r="BK195" i="43"/>
  <c r="BL195" i="43"/>
  <c r="BM195" i="43"/>
  <c r="BN195" i="43"/>
  <c r="BO195" i="43"/>
  <c r="BP195" i="43"/>
  <c r="BQ195" i="43"/>
  <c r="BR195" i="43"/>
  <c r="BS195" i="43"/>
  <c r="BT195" i="43"/>
  <c r="BU195" i="43"/>
  <c r="BV195" i="43"/>
  <c r="BW195" i="43"/>
  <c r="BX195" i="43"/>
  <c r="BY195" i="43"/>
  <c r="BZ195" i="43"/>
  <c r="CA195" i="43"/>
  <c r="CB195" i="43"/>
  <c r="CC195" i="43"/>
  <c r="CD195" i="43"/>
  <c r="CE195" i="43"/>
  <c r="CF195" i="43"/>
  <c r="CG195" i="43"/>
  <c r="CH195" i="43"/>
  <c r="CI195" i="43"/>
  <c r="CJ195" i="43"/>
  <c r="CK195" i="43"/>
  <c r="CL195" i="43"/>
  <c r="CM195" i="43"/>
  <c r="CN195" i="43"/>
  <c r="CO195" i="43"/>
  <c r="CP195" i="43"/>
  <c r="CQ195" i="43"/>
  <c r="CR195" i="43"/>
  <c r="CS195" i="43"/>
  <c r="CT195" i="43"/>
  <c r="CU195" i="43"/>
  <c r="CV195" i="43"/>
  <c r="CW195" i="43"/>
  <c r="CX195" i="43"/>
  <c r="CY195" i="43"/>
  <c r="CZ195" i="43"/>
  <c r="DA195" i="43"/>
  <c r="DB195" i="43"/>
  <c r="DC195" i="43"/>
  <c r="DD195" i="43"/>
  <c r="DE195" i="43"/>
  <c r="DF195" i="43"/>
  <c r="DG195" i="43"/>
  <c r="DH195" i="43"/>
  <c r="DI195" i="43"/>
  <c r="DJ195" i="43"/>
  <c r="DK195" i="43"/>
  <c r="DL195" i="43"/>
  <c r="DM195" i="43"/>
  <c r="DN195" i="43"/>
  <c r="DO195" i="43"/>
  <c r="DP195" i="43"/>
  <c r="DQ195" i="43"/>
  <c r="DR195" i="43"/>
  <c r="DS195" i="43"/>
  <c r="DT195" i="43"/>
  <c r="DU195" i="43"/>
  <c r="DV195" i="43"/>
  <c r="DW195" i="43"/>
  <c r="DX195" i="43"/>
  <c r="DY195" i="43"/>
  <c r="DZ195" i="43"/>
  <c r="EA195" i="43"/>
  <c r="EB195" i="43"/>
  <c r="EC195" i="43"/>
  <c r="ED195" i="43"/>
  <c r="EE195" i="43"/>
  <c r="EF195" i="43"/>
  <c r="EG195" i="43"/>
  <c r="EH195" i="43"/>
  <c r="EI195" i="43"/>
  <c r="EJ195" i="43"/>
  <c r="EK195" i="43"/>
  <c r="EL195" i="43"/>
  <c r="EM195" i="43"/>
  <c r="EN195" i="43"/>
  <c r="EO195" i="43"/>
  <c r="EP195" i="43"/>
  <c r="EQ195" i="43"/>
  <c r="ER195" i="43"/>
  <c r="ES195" i="43"/>
  <c r="ET195" i="43"/>
  <c r="EU195" i="43"/>
  <c r="EV195" i="43"/>
  <c r="EW195" i="43"/>
  <c r="EX195" i="43"/>
  <c r="EY195" i="43"/>
  <c r="EZ195" i="43"/>
  <c r="FA195" i="43"/>
  <c r="FB195" i="43"/>
  <c r="FC195" i="43"/>
  <c r="FD195" i="43"/>
  <c r="FE195" i="43"/>
  <c r="FF195" i="43"/>
  <c r="FG195" i="43"/>
  <c r="FH195" i="43"/>
  <c r="FI195" i="43"/>
  <c r="FJ195" i="43"/>
  <c r="FK195" i="43"/>
  <c r="FL195" i="43"/>
  <c r="FM195" i="43"/>
  <c r="FN195" i="43"/>
  <c r="FO195" i="43"/>
  <c r="FP195" i="43"/>
  <c r="FQ195" i="43"/>
  <c r="FR195" i="43"/>
  <c r="FS195" i="43"/>
  <c r="FT195" i="43"/>
  <c r="FU195" i="43"/>
  <c r="FV195" i="43"/>
  <c r="FW195" i="43"/>
  <c r="FX195" i="43"/>
  <c r="FY195" i="43"/>
  <c r="FZ195" i="43"/>
  <c r="GA195" i="43"/>
  <c r="GB195" i="43"/>
  <c r="GC195" i="43"/>
  <c r="GD195" i="43"/>
  <c r="GE195" i="43"/>
  <c r="GF195" i="43"/>
  <c r="GG195" i="43"/>
  <c r="GH195" i="43"/>
  <c r="GI195" i="43"/>
  <c r="GJ195" i="43"/>
  <c r="GK195" i="43"/>
  <c r="GL195" i="43"/>
  <c r="GM195" i="43"/>
  <c r="GN195" i="43"/>
  <c r="GO195" i="43"/>
  <c r="GP195" i="43"/>
  <c r="GQ195" i="43"/>
  <c r="GR195" i="43"/>
  <c r="GS195" i="43"/>
  <c r="GT195" i="43"/>
  <c r="GU195" i="43"/>
  <c r="GV195" i="43"/>
  <c r="GW195" i="43"/>
  <c r="GX195" i="43"/>
  <c r="GY195" i="43"/>
  <c r="GZ195" i="43"/>
  <c r="HA195" i="43"/>
  <c r="HB195" i="43"/>
  <c r="HC195" i="43"/>
  <c r="HD195" i="43"/>
  <c r="HE195" i="43"/>
  <c r="HF195" i="43"/>
  <c r="HG195" i="43"/>
  <c r="HH195" i="43"/>
  <c r="HI195" i="43"/>
  <c r="HJ195" i="43"/>
  <c r="HK195" i="43"/>
  <c r="HL195" i="43"/>
  <c r="HM195" i="43"/>
  <c r="HN195" i="43"/>
  <c r="HO195" i="43"/>
  <c r="HP195" i="43"/>
  <c r="HQ195" i="43"/>
  <c r="HR195" i="43"/>
  <c r="HS195" i="43"/>
  <c r="HT195" i="43"/>
  <c r="HU195" i="43"/>
  <c r="HV195" i="43"/>
  <c r="HW195" i="43"/>
  <c r="HX195" i="43"/>
  <c r="HY195" i="43"/>
  <c r="HZ195" i="43"/>
  <c r="IA195" i="43"/>
  <c r="IB195" i="43"/>
  <c r="IC195" i="43"/>
  <c r="ID195" i="43"/>
  <c r="IE195" i="43"/>
  <c r="IF195" i="43"/>
  <c r="IG195" i="43"/>
  <c r="IH195" i="43"/>
  <c r="II195" i="43"/>
  <c r="IJ195" i="43"/>
  <c r="IK195" i="43"/>
  <c r="IL195" i="43"/>
  <c r="IM195" i="43"/>
  <c r="IN195" i="43"/>
  <c r="IO195" i="43"/>
  <c r="IP195" i="43"/>
  <c r="IQ195" i="43"/>
  <c r="IR195" i="43"/>
  <c r="IS195" i="43"/>
  <c r="IT195" i="43"/>
  <c r="IU195" i="43"/>
  <c r="IV195" i="43"/>
  <c r="A194" i="43"/>
  <c r="B194" i="43"/>
  <c r="C194" i="43"/>
  <c r="D194" i="43"/>
  <c r="E194" i="43"/>
  <c r="F194" i="43"/>
  <c r="G194" i="43"/>
  <c r="H194" i="43"/>
  <c r="I194" i="43"/>
  <c r="J194" i="43"/>
  <c r="K194" i="43"/>
  <c r="L194" i="43"/>
  <c r="M194" i="43"/>
  <c r="N194" i="43"/>
  <c r="O194" i="43"/>
  <c r="P194" i="43"/>
  <c r="Q194" i="43"/>
  <c r="R194" i="43"/>
  <c r="S194" i="43"/>
  <c r="T194" i="43"/>
  <c r="U194" i="43"/>
  <c r="V194" i="43"/>
  <c r="W194" i="43"/>
  <c r="X194" i="43"/>
  <c r="Y194" i="43"/>
  <c r="Z194" i="43"/>
  <c r="AA194" i="43"/>
  <c r="AB194" i="43"/>
  <c r="AC194" i="43"/>
  <c r="AD194" i="43"/>
  <c r="AE194" i="43"/>
  <c r="AF194" i="43"/>
  <c r="AG194" i="43"/>
  <c r="AH194" i="43"/>
  <c r="AI194" i="43"/>
  <c r="AJ194" i="43"/>
  <c r="AK194" i="43"/>
  <c r="AL194" i="43"/>
  <c r="AM194" i="43"/>
  <c r="AN194" i="43"/>
  <c r="AO194" i="43"/>
  <c r="AP194" i="43"/>
  <c r="AQ194" i="43"/>
  <c r="AR194" i="43"/>
  <c r="AS194" i="43"/>
  <c r="AT194" i="43"/>
  <c r="AU194" i="43"/>
  <c r="AV194" i="43"/>
  <c r="AW194" i="43"/>
  <c r="AX194" i="43"/>
  <c r="AY194" i="43"/>
  <c r="AZ194" i="43"/>
  <c r="BA194" i="43"/>
  <c r="BB194" i="43"/>
  <c r="BC194" i="43"/>
  <c r="BD194" i="43"/>
  <c r="BE194" i="43"/>
  <c r="BF194" i="43"/>
  <c r="BG194" i="43"/>
  <c r="BH194" i="43"/>
  <c r="BI194" i="43"/>
  <c r="BJ194" i="43"/>
  <c r="BK194" i="43"/>
  <c r="BL194" i="43"/>
  <c r="BM194" i="43"/>
  <c r="BN194" i="43"/>
  <c r="BO194" i="43"/>
  <c r="BP194" i="43"/>
  <c r="BQ194" i="43"/>
  <c r="BR194" i="43"/>
  <c r="BS194" i="43"/>
  <c r="BT194" i="43"/>
  <c r="BU194" i="43"/>
  <c r="BV194" i="43"/>
  <c r="BW194" i="43"/>
  <c r="BX194" i="43"/>
  <c r="BY194" i="43"/>
  <c r="BZ194" i="43"/>
  <c r="CA194" i="43"/>
  <c r="CB194" i="43"/>
  <c r="CC194" i="43"/>
  <c r="CD194" i="43"/>
  <c r="CE194" i="43"/>
  <c r="CF194" i="43"/>
  <c r="CG194" i="43"/>
  <c r="CH194" i="43"/>
  <c r="CI194" i="43"/>
  <c r="CJ194" i="43"/>
  <c r="CK194" i="43"/>
  <c r="CL194" i="43"/>
  <c r="CM194" i="43"/>
  <c r="CN194" i="43"/>
  <c r="CO194" i="43"/>
  <c r="CP194" i="43"/>
  <c r="CQ194" i="43"/>
  <c r="CR194" i="43"/>
  <c r="CS194" i="43"/>
  <c r="CT194" i="43"/>
  <c r="CU194" i="43"/>
  <c r="CV194" i="43"/>
  <c r="CW194" i="43"/>
  <c r="CX194" i="43"/>
  <c r="CY194" i="43"/>
  <c r="CZ194" i="43"/>
  <c r="DA194" i="43"/>
  <c r="DB194" i="43"/>
  <c r="DC194" i="43"/>
  <c r="DD194" i="43"/>
  <c r="DE194" i="43"/>
  <c r="DF194" i="43"/>
  <c r="DG194" i="43"/>
  <c r="DH194" i="43"/>
  <c r="DI194" i="43"/>
  <c r="DJ194" i="43"/>
  <c r="DK194" i="43"/>
  <c r="DL194" i="43"/>
  <c r="DM194" i="43"/>
  <c r="DN194" i="43"/>
  <c r="DO194" i="43"/>
  <c r="DP194" i="43"/>
  <c r="DQ194" i="43"/>
  <c r="DR194" i="43"/>
  <c r="DS194" i="43"/>
  <c r="DT194" i="43"/>
  <c r="DU194" i="43"/>
  <c r="DV194" i="43"/>
  <c r="DW194" i="43"/>
  <c r="DX194" i="43"/>
  <c r="DY194" i="43"/>
  <c r="DZ194" i="43"/>
  <c r="EA194" i="43"/>
  <c r="EB194" i="43"/>
  <c r="EC194" i="43"/>
  <c r="ED194" i="43"/>
  <c r="EE194" i="43"/>
  <c r="EF194" i="43"/>
  <c r="EG194" i="43"/>
  <c r="EH194" i="43"/>
  <c r="EI194" i="43"/>
  <c r="EJ194" i="43"/>
  <c r="EK194" i="43"/>
  <c r="EL194" i="43"/>
  <c r="EM194" i="43"/>
  <c r="EN194" i="43"/>
  <c r="EO194" i="43"/>
  <c r="EP194" i="43"/>
  <c r="EQ194" i="43"/>
  <c r="ER194" i="43"/>
  <c r="ES194" i="43"/>
  <c r="ET194" i="43"/>
  <c r="EU194" i="43"/>
  <c r="EV194" i="43"/>
  <c r="EW194" i="43"/>
  <c r="EX194" i="43"/>
  <c r="EY194" i="43"/>
  <c r="EZ194" i="43"/>
  <c r="FA194" i="43"/>
  <c r="FB194" i="43"/>
  <c r="FC194" i="43"/>
  <c r="FD194" i="43"/>
  <c r="FE194" i="43"/>
  <c r="FF194" i="43"/>
  <c r="FG194" i="43"/>
  <c r="FH194" i="43"/>
  <c r="FI194" i="43"/>
  <c r="FJ194" i="43"/>
  <c r="FK194" i="43"/>
  <c r="FL194" i="43"/>
  <c r="FM194" i="43"/>
  <c r="FN194" i="43"/>
  <c r="FO194" i="43"/>
  <c r="FP194" i="43"/>
  <c r="FQ194" i="43"/>
  <c r="FR194" i="43"/>
  <c r="FS194" i="43"/>
  <c r="FT194" i="43"/>
  <c r="FU194" i="43"/>
  <c r="FV194" i="43"/>
  <c r="FW194" i="43"/>
  <c r="FX194" i="43"/>
  <c r="FY194" i="43"/>
  <c r="FZ194" i="43"/>
  <c r="GA194" i="43"/>
  <c r="GB194" i="43"/>
  <c r="GC194" i="43"/>
  <c r="GD194" i="43"/>
  <c r="GE194" i="43"/>
  <c r="GF194" i="43"/>
  <c r="GG194" i="43"/>
  <c r="GH194" i="43"/>
  <c r="GI194" i="43"/>
  <c r="GJ194" i="43"/>
  <c r="GK194" i="43"/>
  <c r="GL194" i="43"/>
  <c r="GM194" i="43"/>
  <c r="GN194" i="43"/>
  <c r="GO194" i="43"/>
  <c r="GP194" i="43"/>
  <c r="GQ194" i="43"/>
  <c r="GR194" i="43"/>
  <c r="GS194" i="43"/>
  <c r="GT194" i="43"/>
  <c r="GU194" i="43"/>
  <c r="GV194" i="43"/>
  <c r="GW194" i="43"/>
  <c r="GX194" i="43"/>
  <c r="GY194" i="43"/>
  <c r="GZ194" i="43"/>
  <c r="HA194" i="43"/>
  <c r="HB194" i="43"/>
  <c r="HC194" i="43"/>
  <c r="HD194" i="43"/>
  <c r="HE194" i="43"/>
  <c r="HF194" i="43"/>
  <c r="HG194" i="43"/>
  <c r="HH194" i="43"/>
  <c r="HI194" i="43"/>
  <c r="HJ194" i="43"/>
  <c r="HK194" i="43"/>
  <c r="HL194" i="43"/>
  <c r="HM194" i="43"/>
  <c r="HN194" i="43"/>
  <c r="HO194" i="43"/>
  <c r="HP194" i="43"/>
  <c r="HQ194" i="43"/>
  <c r="HR194" i="43"/>
  <c r="HS194" i="43"/>
  <c r="HT194" i="43"/>
  <c r="HU194" i="43"/>
  <c r="HV194" i="43"/>
  <c r="HW194" i="43"/>
  <c r="HX194" i="43"/>
  <c r="HY194" i="43"/>
  <c r="HZ194" i="43"/>
  <c r="IA194" i="43"/>
  <c r="IB194" i="43"/>
  <c r="IC194" i="43"/>
  <c r="ID194" i="43"/>
  <c r="IE194" i="43"/>
  <c r="IF194" i="43"/>
  <c r="IG194" i="43"/>
  <c r="IH194" i="43"/>
  <c r="II194" i="43"/>
  <c r="IJ194" i="43"/>
  <c r="IK194" i="43"/>
  <c r="IL194" i="43"/>
  <c r="IM194" i="43"/>
  <c r="IN194" i="43"/>
  <c r="IO194" i="43"/>
  <c r="IP194" i="43"/>
  <c r="IQ194" i="43"/>
  <c r="IR194" i="43"/>
  <c r="IS194" i="43"/>
  <c r="IT194" i="43"/>
  <c r="IU194" i="43"/>
  <c r="IV194" i="43"/>
  <c r="A193" i="43"/>
  <c r="B193" i="43"/>
  <c r="C193" i="43"/>
  <c r="D193" i="43"/>
  <c r="E193" i="43"/>
  <c r="F193" i="43"/>
  <c r="G193" i="43"/>
  <c r="H193" i="43"/>
  <c r="I193" i="43"/>
  <c r="J193" i="43"/>
  <c r="K193" i="43"/>
  <c r="L193" i="43"/>
  <c r="M193" i="43"/>
  <c r="N193" i="43"/>
  <c r="O193" i="43"/>
  <c r="P193" i="43"/>
  <c r="Q193" i="43"/>
  <c r="R193" i="43"/>
  <c r="S193" i="43"/>
  <c r="T193" i="43"/>
  <c r="U193" i="43"/>
  <c r="V193" i="43"/>
  <c r="W193" i="43"/>
  <c r="X193" i="43"/>
  <c r="Y193" i="43"/>
  <c r="Z193" i="43"/>
  <c r="AA193" i="43"/>
  <c r="AB193" i="43"/>
  <c r="AC193" i="43"/>
  <c r="AD193" i="43"/>
  <c r="AE193" i="43"/>
  <c r="AF193" i="43"/>
  <c r="AG193" i="43"/>
  <c r="AH193" i="43"/>
  <c r="AI193" i="43"/>
  <c r="AJ193" i="43"/>
  <c r="AK193" i="43"/>
  <c r="AL193" i="43"/>
  <c r="AM193" i="43"/>
  <c r="AN193" i="43"/>
  <c r="AO193" i="43"/>
  <c r="AP193" i="43"/>
  <c r="AQ193" i="43"/>
  <c r="AR193" i="43"/>
  <c r="AS193" i="43"/>
  <c r="AT193" i="43"/>
  <c r="AU193" i="43"/>
  <c r="AV193" i="43"/>
  <c r="AW193" i="43"/>
  <c r="AX193" i="43"/>
  <c r="AY193" i="43"/>
  <c r="AZ193" i="43"/>
  <c r="BA193" i="43"/>
  <c r="BB193" i="43"/>
  <c r="BC193" i="43"/>
  <c r="BD193" i="43"/>
  <c r="BE193" i="43"/>
  <c r="BF193" i="43"/>
  <c r="BG193" i="43"/>
  <c r="BH193" i="43"/>
  <c r="BI193" i="43"/>
  <c r="BJ193" i="43"/>
  <c r="BK193" i="43"/>
  <c r="BL193" i="43"/>
  <c r="BM193" i="43"/>
  <c r="BN193" i="43"/>
  <c r="BO193" i="43"/>
  <c r="BP193" i="43"/>
  <c r="BQ193" i="43"/>
  <c r="BR193" i="43"/>
  <c r="BS193" i="43"/>
  <c r="BT193" i="43"/>
  <c r="BU193" i="43"/>
  <c r="BV193" i="43"/>
  <c r="BW193" i="43"/>
  <c r="BX193" i="43"/>
  <c r="BY193" i="43"/>
  <c r="BZ193" i="43"/>
  <c r="CA193" i="43"/>
  <c r="CB193" i="43"/>
  <c r="CC193" i="43"/>
  <c r="CD193" i="43"/>
  <c r="CE193" i="43"/>
  <c r="CF193" i="43"/>
  <c r="CG193" i="43"/>
  <c r="CH193" i="43"/>
  <c r="CI193" i="43"/>
  <c r="CJ193" i="43"/>
  <c r="CK193" i="43"/>
  <c r="CL193" i="43"/>
  <c r="CM193" i="43"/>
  <c r="CN193" i="43"/>
  <c r="CO193" i="43"/>
  <c r="CP193" i="43"/>
  <c r="CQ193" i="43"/>
  <c r="CR193" i="43"/>
  <c r="CS193" i="43"/>
  <c r="CT193" i="43"/>
  <c r="CU193" i="43"/>
  <c r="CV193" i="43"/>
  <c r="CW193" i="43"/>
  <c r="CX193" i="43"/>
  <c r="CY193" i="43"/>
  <c r="CZ193" i="43"/>
  <c r="DA193" i="43"/>
  <c r="DB193" i="43"/>
  <c r="DC193" i="43"/>
  <c r="DD193" i="43"/>
  <c r="DE193" i="43"/>
  <c r="DF193" i="43"/>
  <c r="DG193" i="43"/>
  <c r="DH193" i="43"/>
  <c r="DI193" i="43"/>
  <c r="DJ193" i="43"/>
  <c r="DK193" i="43"/>
  <c r="DL193" i="43"/>
  <c r="DM193" i="43"/>
  <c r="DN193" i="43"/>
  <c r="DO193" i="43"/>
  <c r="DP193" i="43"/>
  <c r="DQ193" i="43"/>
  <c r="DR193" i="43"/>
  <c r="DS193" i="43"/>
  <c r="DT193" i="43"/>
  <c r="DU193" i="43"/>
  <c r="DV193" i="43"/>
  <c r="DW193" i="43"/>
  <c r="DX193" i="43"/>
  <c r="DY193" i="43"/>
  <c r="DZ193" i="43"/>
  <c r="EA193" i="43"/>
  <c r="EB193" i="43"/>
  <c r="EC193" i="43"/>
  <c r="ED193" i="43"/>
  <c r="EE193" i="43"/>
  <c r="EF193" i="43"/>
  <c r="EG193" i="43"/>
  <c r="EH193" i="43"/>
  <c r="EI193" i="43"/>
  <c r="EJ193" i="43"/>
  <c r="EK193" i="43"/>
  <c r="EL193" i="43"/>
  <c r="EM193" i="43"/>
  <c r="EN193" i="43"/>
  <c r="EO193" i="43"/>
  <c r="EP193" i="43"/>
  <c r="EQ193" i="43"/>
  <c r="ER193" i="43"/>
  <c r="ES193" i="43"/>
  <c r="ET193" i="43"/>
  <c r="EU193" i="43"/>
  <c r="EV193" i="43"/>
  <c r="EW193" i="43"/>
  <c r="EX193" i="43"/>
  <c r="EY193" i="43"/>
  <c r="EZ193" i="43"/>
  <c r="FA193" i="43"/>
  <c r="FB193" i="43"/>
  <c r="FC193" i="43"/>
  <c r="FD193" i="43"/>
  <c r="FE193" i="43"/>
  <c r="FF193" i="43"/>
  <c r="FG193" i="43"/>
  <c r="FH193" i="43"/>
  <c r="FI193" i="43"/>
  <c r="FJ193" i="43"/>
  <c r="FK193" i="43"/>
  <c r="FL193" i="43"/>
  <c r="FM193" i="43"/>
  <c r="FN193" i="43"/>
  <c r="FO193" i="43"/>
  <c r="FP193" i="43"/>
  <c r="FQ193" i="43"/>
  <c r="FR193" i="43"/>
  <c r="FS193" i="43"/>
  <c r="FT193" i="43"/>
  <c r="FU193" i="43"/>
  <c r="FV193" i="43"/>
  <c r="FW193" i="43"/>
  <c r="FX193" i="43"/>
  <c r="FY193" i="43"/>
  <c r="FZ193" i="43"/>
  <c r="GA193" i="43"/>
  <c r="GB193" i="43"/>
  <c r="GC193" i="43"/>
  <c r="GD193" i="43"/>
  <c r="GE193" i="43"/>
  <c r="GF193" i="43"/>
  <c r="GG193" i="43"/>
  <c r="GH193" i="43"/>
  <c r="GI193" i="43"/>
  <c r="GJ193" i="43"/>
  <c r="GK193" i="43"/>
  <c r="GL193" i="43"/>
  <c r="GM193" i="43"/>
  <c r="GN193" i="43"/>
  <c r="GO193" i="43"/>
  <c r="GP193" i="43"/>
  <c r="GQ193" i="43"/>
  <c r="GR193" i="43"/>
  <c r="GS193" i="43"/>
  <c r="GT193" i="43"/>
  <c r="GU193" i="43"/>
  <c r="GV193" i="43"/>
  <c r="GW193" i="43"/>
  <c r="GX193" i="43"/>
  <c r="GY193" i="43"/>
  <c r="GZ193" i="43"/>
  <c r="HA193" i="43"/>
  <c r="HB193" i="43"/>
  <c r="HC193" i="43"/>
  <c r="HD193" i="43"/>
  <c r="HE193" i="43"/>
  <c r="HF193" i="43"/>
  <c r="HG193" i="43"/>
  <c r="HH193" i="43"/>
  <c r="HI193" i="43"/>
  <c r="HJ193" i="43"/>
  <c r="HK193" i="43"/>
  <c r="HL193" i="43"/>
  <c r="HM193" i="43"/>
  <c r="HN193" i="43"/>
  <c r="HO193" i="43"/>
  <c r="HP193" i="43"/>
  <c r="HQ193" i="43"/>
  <c r="HR193" i="43"/>
  <c r="HS193" i="43"/>
  <c r="HT193" i="43"/>
  <c r="HU193" i="43"/>
  <c r="HV193" i="43"/>
  <c r="HW193" i="43"/>
  <c r="HX193" i="43"/>
  <c r="HY193" i="43"/>
  <c r="HZ193" i="43"/>
  <c r="IA193" i="43"/>
  <c r="IB193" i="43"/>
  <c r="IC193" i="43"/>
  <c r="ID193" i="43"/>
  <c r="IE193" i="43"/>
  <c r="IF193" i="43"/>
  <c r="IG193" i="43"/>
  <c r="IH193" i="43"/>
  <c r="II193" i="43"/>
  <c r="IJ193" i="43"/>
  <c r="IK193" i="43"/>
  <c r="IL193" i="43"/>
  <c r="IM193" i="43"/>
  <c r="IN193" i="43"/>
  <c r="IO193" i="43"/>
  <c r="IP193" i="43"/>
  <c r="IQ193" i="43"/>
  <c r="IR193" i="43"/>
  <c r="IS193" i="43"/>
  <c r="IT193" i="43"/>
  <c r="IU193" i="43"/>
  <c r="IV193" i="43"/>
  <c r="A192" i="43"/>
  <c r="B192" i="43"/>
  <c r="C192" i="43"/>
  <c r="D192" i="43"/>
  <c r="E192" i="43"/>
  <c r="F192" i="43"/>
  <c r="G192" i="43"/>
  <c r="H192" i="43"/>
  <c r="I192" i="43"/>
  <c r="J192" i="43"/>
  <c r="K192" i="43"/>
  <c r="L192" i="43"/>
  <c r="M192" i="43"/>
  <c r="N192" i="43"/>
  <c r="O192" i="43"/>
  <c r="P192" i="43"/>
  <c r="Q192" i="43"/>
  <c r="R192" i="43"/>
  <c r="S192" i="43"/>
  <c r="T192" i="43"/>
  <c r="U192" i="43"/>
  <c r="V192" i="43"/>
  <c r="W192" i="43"/>
  <c r="X192" i="43"/>
  <c r="Y192" i="43"/>
  <c r="Z192" i="43"/>
  <c r="AA192" i="43"/>
  <c r="AB192" i="43"/>
  <c r="AC192" i="43"/>
  <c r="AD192" i="43"/>
  <c r="AE192" i="43"/>
  <c r="AF192" i="43"/>
  <c r="AG192" i="43"/>
  <c r="AH192" i="43"/>
  <c r="AI192" i="43"/>
  <c r="AJ192" i="43"/>
  <c r="AK192" i="43"/>
  <c r="AL192" i="43"/>
  <c r="AM192" i="43"/>
  <c r="AN192" i="43"/>
  <c r="AO192" i="43"/>
  <c r="AP192" i="43"/>
  <c r="AQ192" i="43"/>
  <c r="AR192" i="43"/>
  <c r="AS192" i="43"/>
  <c r="AT192" i="43"/>
  <c r="AU192" i="43"/>
  <c r="AV192" i="43"/>
  <c r="AW192" i="43"/>
  <c r="AX192" i="43"/>
  <c r="AY192" i="43"/>
  <c r="AZ192" i="43"/>
  <c r="BA192" i="43"/>
  <c r="BB192" i="43"/>
  <c r="BC192" i="43"/>
  <c r="BD192" i="43"/>
  <c r="BE192" i="43"/>
  <c r="BF192" i="43"/>
  <c r="BG192" i="43"/>
  <c r="BH192" i="43"/>
  <c r="BI192" i="43"/>
  <c r="BJ192" i="43"/>
  <c r="BK192" i="43"/>
  <c r="BL192" i="43"/>
  <c r="BM192" i="43"/>
  <c r="BN192" i="43"/>
  <c r="BO192" i="43"/>
  <c r="BP192" i="43"/>
  <c r="BQ192" i="43"/>
  <c r="BR192" i="43"/>
  <c r="BS192" i="43"/>
  <c r="BT192" i="43"/>
  <c r="BU192" i="43"/>
  <c r="BV192" i="43"/>
  <c r="BW192" i="43"/>
  <c r="BX192" i="43"/>
  <c r="BY192" i="43"/>
  <c r="BZ192" i="43"/>
  <c r="CA192" i="43"/>
  <c r="CB192" i="43"/>
  <c r="CC192" i="43"/>
  <c r="CD192" i="43"/>
  <c r="CE192" i="43"/>
  <c r="CF192" i="43"/>
  <c r="CG192" i="43"/>
  <c r="CH192" i="43"/>
  <c r="CI192" i="43"/>
  <c r="CJ192" i="43"/>
  <c r="CK192" i="43"/>
  <c r="CL192" i="43"/>
  <c r="CM192" i="43"/>
  <c r="CN192" i="43"/>
  <c r="CO192" i="43"/>
  <c r="CP192" i="43"/>
  <c r="CQ192" i="43"/>
  <c r="CR192" i="43"/>
  <c r="CS192" i="43"/>
  <c r="CT192" i="43"/>
  <c r="CU192" i="43"/>
  <c r="CV192" i="43"/>
  <c r="CW192" i="43"/>
  <c r="CX192" i="43"/>
  <c r="CY192" i="43"/>
  <c r="CZ192" i="43"/>
  <c r="DA192" i="43"/>
  <c r="DB192" i="43"/>
  <c r="DC192" i="43"/>
  <c r="DD192" i="43"/>
  <c r="DE192" i="43"/>
  <c r="DF192" i="43"/>
  <c r="DG192" i="43"/>
  <c r="DH192" i="43"/>
  <c r="DI192" i="43"/>
  <c r="DJ192" i="43"/>
  <c r="DK192" i="43"/>
  <c r="DL192" i="43"/>
  <c r="DM192" i="43"/>
  <c r="DN192" i="43"/>
  <c r="DO192" i="43"/>
  <c r="DP192" i="43"/>
  <c r="DQ192" i="43"/>
  <c r="DR192" i="43"/>
  <c r="DS192" i="43"/>
  <c r="DT192" i="43"/>
  <c r="DU192" i="43"/>
  <c r="DV192" i="43"/>
  <c r="DW192" i="43"/>
  <c r="DX192" i="43"/>
  <c r="DY192" i="43"/>
  <c r="DZ192" i="43"/>
  <c r="EA192" i="43"/>
  <c r="EB192" i="43"/>
  <c r="EC192" i="43"/>
  <c r="ED192" i="43"/>
  <c r="EE192" i="43"/>
  <c r="EF192" i="43"/>
  <c r="EG192" i="43"/>
  <c r="EH192" i="43"/>
  <c r="EI192" i="43"/>
  <c r="EJ192" i="43"/>
  <c r="EK192" i="43"/>
  <c r="EL192" i="43"/>
  <c r="EM192" i="43"/>
  <c r="EN192" i="43"/>
  <c r="EO192" i="43"/>
  <c r="EP192" i="43"/>
  <c r="EQ192" i="43"/>
  <c r="ER192" i="43"/>
  <c r="ES192" i="43"/>
  <c r="ET192" i="43"/>
  <c r="EU192" i="43"/>
  <c r="EV192" i="43"/>
  <c r="EW192" i="43"/>
  <c r="EX192" i="43"/>
  <c r="EY192" i="43"/>
  <c r="EZ192" i="43"/>
  <c r="FA192" i="43"/>
  <c r="FB192" i="43"/>
  <c r="FC192" i="43"/>
  <c r="FD192" i="43"/>
  <c r="FE192" i="43"/>
  <c r="FF192" i="43"/>
  <c r="FG192" i="43"/>
  <c r="FH192" i="43"/>
  <c r="FI192" i="43"/>
  <c r="FJ192" i="43"/>
  <c r="FK192" i="43"/>
  <c r="FL192" i="43"/>
  <c r="FM192" i="43"/>
  <c r="FN192" i="43"/>
  <c r="FO192" i="43"/>
  <c r="FP192" i="43"/>
  <c r="FQ192" i="43"/>
  <c r="FR192" i="43"/>
  <c r="FS192" i="43"/>
  <c r="FT192" i="43"/>
  <c r="FU192" i="43"/>
  <c r="FV192" i="43"/>
  <c r="FW192" i="43"/>
  <c r="FX192" i="43"/>
  <c r="FY192" i="43"/>
  <c r="FZ192" i="43"/>
  <c r="GA192" i="43"/>
  <c r="GB192" i="43"/>
  <c r="GC192" i="43"/>
  <c r="GD192" i="43"/>
  <c r="GE192" i="43"/>
  <c r="GF192" i="43"/>
  <c r="GG192" i="43"/>
  <c r="GH192" i="43"/>
  <c r="GI192" i="43"/>
  <c r="GJ192" i="43"/>
  <c r="GK192" i="43"/>
  <c r="GL192" i="43"/>
  <c r="GM192" i="43"/>
  <c r="GN192" i="43"/>
  <c r="GO192" i="43"/>
  <c r="GP192" i="43"/>
  <c r="GQ192" i="43"/>
  <c r="GR192" i="43"/>
  <c r="GS192" i="43"/>
  <c r="GT192" i="43"/>
  <c r="GU192" i="43"/>
  <c r="GV192" i="43"/>
  <c r="GW192" i="43"/>
  <c r="GX192" i="43"/>
  <c r="GY192" i="43"/>
  <c r="GZ192" i="43"/>
  <c r="HA192" i="43"/>
  <c r="HB192" i="43"/>
  <c r="HC192" i="43"/>
  <c r="HD192" i="43"/>
  <c r="HE192" i="43"/>
  <c r="HF192" i="43"/>
  <c r="HG192" i="43"/>
  <c r="HH192" i="43"/>
  <c r="HI192" i="43"/>
  <c r="HJ192" i="43"/>
  <c r="HK192" i="43"/>
  <c r="HL192" i="43"/>
  <c r="HM192" i="43"/>
  <c r="HN192" i="43"/>
  <c r="HO192" i="43"/>
  <c r="HP192" i="43"/>
  <c r="HQ192" i="43"/>
  <c r="HR192" i="43"/>
  <c r="HS192" i="43"/>
  <c r="HT192" i="43"/>
  <c r="HU192" i="43"/>
  <c r="HV192" i="43"/>
  <c r="HW192" i="43"/>
  <c r="HX192" i="43"/>
  <c r="HY192" i="43"/>
  <c r="HZ192" i="43"/>
  <c r="IA192" i="43"/>
  <c r="IB192" i="43"/>
  <c r="IC192" i="43"/>
  <c r="ID192" i="43"/>
  <c r="IE192" i="43"/>
  <c r="IF192" i="43"/>
  <c r="IG192" i="43"/>
  <c r="IH192" i="43"/>
  <c r="II192" i="43"/>
  <c r="IJ192" i="43"/>
  <c r="IK192" i="43"/>
  <c r="IL192" i="43"/>
  <c r="IM192" i="43"/>
  <c r="IN192" i="43"/>
  <c r="IO192" i="43"/>
  <c r="IP192" i="43"/>
  <c r="IQ192" i="43"/>
  <c r="IR192" i="43"/>
  <c r="IS192" i="43"/>
  <c r="IT192" i="43"/>
  <c r="IU192" i="43"/>
  <c r="IV192" i="43"/>
  <c r="A191" i="43"/>
  <c r="B191" i="43"/>
  <c r="C191" i="43"/>
  <c r="D191" i="43"/>
  <c r="E191" i="43"/>
  <c r="F191" i="43"/>
  <c r="G191" i="43"/>
  <c r="H191" i="43"/>
  <c r="I191" i="43"/>
  <c r="J191" i="43"/>
  <c r="K191" i="43"/>
  <c r="L191" i="43"/>
  <c r="M191" i="43"/>
  <c r="N191" i="43"/>
  <c r="O191" i="43"/>
  <c r="P191" i="43"/>
  <c r="Q191" i="43"/>
  <c r="R191" i="43"/>
  <c r="S191" i="43"/>
  <c r="T191" i="43"/>
  <c r="U191" i="43"/>
  <c r="V191" i="43"/>
  <c r="W191" i="43"/>
  <c r="X191" i="43"/>
  <c r="Y191" i="43"/>
  <c r="Z191" i="43"/>
  <c r="AA191" i="43"/>
  <c r="AB191" i="43"/>
  <c r="AC191" i="43"/>
  <c r="AD191" i="43"/>
  <c r="AE191" i="43"/>
  <c r="AF191" i="43"/>
  <c r="AG191" i="43"/>
  <c r="AH191" i="43"/>
  <c r="AI191" i="43"/>
  <c r="AJ191" i="43"/>
  <c r="AK191" i="43"/>
  <c r="AL191" i="43"/>
  <c r="AM191" i="43"/>
  <c r="AN191" i="43"/>
  <c r="AO191" i="43"/>
  <c r="AP191" i="43"/>
  <c r="AQ191" i="43"/>
  <c r="AR191" i="43"/>
  <c r="AS191" i="43"/>
  <c r="AT191" i="43"/>
  <c r="AU191" i="43"/>
  <c r="AV191" i="43"/>
  <c r="AW191" i="43"/>
  <c r="AX191" i="43"/>
  <c r="AY191" i="43"/>
  <c r="AZ191" i="43"/>
  <c r="BA191" i="43"/>
  <c r="BB191" i="43"/>
  <c r="BC191" i="43"/>
  <c r="BD191" i="43"/>
  <c r="BE191" i="43"/>
  <c r="BF191" i="43"/>
  <c r="BG191" i="43"/>
  <c r="BH191" i="43"/>
  <c r="BI191" i="43"/>
  <c r="BJ191" i="43"/>
  <c r="BK191" i="43"/>
  <c r="BL191" i="43"/>
  <c r="BM191" i="43"/>
  <c r="BN191" i="43"/>
  <c r="BO191" i="43"/>
  <c r="BP191" i="43"/>
  <c r="BQ191" i="43"/>
  <c r="BR191" i="43"/>
  <c r="BS191" i="43"/>
  <c r="BT191" i="43"/>
  <c r="BU191" i="43"/>
  <c r="BV191" i="43"/>
  <c r="BW191" i="43"/>
  <c r="BX191" i="43"/>
  <c r="BY191" i="43"/>
  <c r="BZ191" i="43"/>
  <c r="CA191" i="43"/>
  <c r="CB191" i="43"/>
  <c r="CC191" i="43"/>
  <c r="CD191" i="43"/>
  <c r="CE191" i="43"/>
  <c r="CF191" i="43"/>
  <c r="CG191" i="43"/>
  <c r="CH191" i="43"/>
  <c r="CI191" i="43"/>
  <c r="CJ191" i="43"/>
  <c r="CK191" i="43"/>
  <c r="CL191" i="43"/>
  <c r="CM191" i="43"/>
  <c r="CN191" i="43"/>
  <c r="CO191" i="43"/>
  <c r="CP191" i="43"/>
  <c r="CQ191" i="43"/>
  <c r="CR191" i="43"/>
  <c r="CS191" i="43"/>
  <c r="CT191" i="43"/>
  <c r="CU191" i="43"/>
  <c r="CV191" i="43"/>
  <c r="CW191" i="43"/>
  <c r="CX191" i="43"/>
  <c r="CY191" i="43"/>
  <c r="CZ191" i="43"/>
  <c r="DA191" i="43"/>
  <c r="DB191" i="43"/>
  <c r="DC191" i="43"/>
  <c r="DD191" i="43"/>
  <c r="DE191" i="43"/>
  <c r="DF191" i="43"/>
  <c r="DG191" i="43"/>
  <c r="DH191" i="43"/>
  <c r="DI191" i="43"/>
  <c r="DJ191" i="43"/>
  <c r="DK191" i="43"/>
  <c r="DL191" i="43"/>
  <c r="DM191" i="43"/>
  <c r="DN191" i="43"/>
  <c r="DO191" i="43"/>
  <c r="DP191" i="43"/>
  <c r="DQ191" i="43"/>
  <c r="DR191" i="43"/>
  <c r="DS191" i="43"/>
  <c r="DT191" i="43"/>
  <c r="DU191" i="43"/>
  <c r="DV191" i="43"/>
  <c r="DW191" i="43"/>
  <c r="DX191" i="43"/>
  <c r="DY191" i="43"/>
  <c r="DZ191" i="43"/>
  <c r="EA191" i="43"/>
  <c r="EB191" i="43"/>
  <c r="EC191" i="43"/>
  <c r="ED191" i="43"/>
  <c r="EE191" i="43"/>
  <c r="EF191" i="43"/>
  <c r="EG191" i="43"/>
  <c r="EH191" i="43"/>
  <c r="EI191" i="43"/>
  <c r="EJ191" i="43"/>
  <c r="EK191" i="43"/>
  <c r="EL191" i="43"/>
  <c r="EM191" i="43"/>
  <c r="EN191" i="43"/>
  <c r="EO191" i="43"/>
  <c r="EP191" i="43"/>
  <c r="EQ191" i="43"/>
  <c r="ER191" i="43"/>
  <c r="ES191" i="43"/>
  <c r="ET191" i="43"/>
  <c r="EU191" i="43"/>
  <c r="EV191" i="43"/>
  <c r="EW191" i="43"/>
  <c r="EX191" i="43"/>
  <c r="EY191" i="43"/>
  <c r="EZ191" i="43"/>
  <c r="FA191" i="43"/>
  <c r="FB191" i="43"/>
  <c r="FC191" i="43"/>
  <c r="FD191" i="43"/>
  <c r="FE191" i="43"/>
  <c r="FF191" i="43"/>
  <c r="FG191" i="43"/>
  <c r="FH191" i="43"/>
  <c r="FI191" i="43"/>
  <c r="FJ191" i="43"/>
  <c r="FK191" i="43"/>
  <c r="FL191" i="43"/>
  <c r="FM191" i="43"/>
  <c r="FN191" i="43"/>
  <c r="FO191" i="43"/>
  <c r="FP191" i="43"/>
  <c r="FQ191" i="43"/>
  <c r="FR191" i="43"/>
  <c r="FS191" i="43"/>
  <c r="FT191" i="43"/>
  <c r="FU191" i="43"/>
  <c r="FV191" i="43"/>
  <c r="FW191" i="43"/>
  <c r="FX191" i="43"/>
  <c r="FY191" i="43"/>
  <c r="FZ191" i="43"/>
  <c r="GA191" i="43"/>
  <c r="GB191" i="43"/>
  <c r="GC191" i="43"/>
  <c r="GD191" i="43"/>
  <c r="GE191" i="43"/>
  <c r="GF191" i="43"/>
  <c r="GG191" i="43"/>
  <c r="GH191" i="43"/>
  <c r="GI191" i="43"/>
  <c r="GJ191" i="43"/>
  <c r="GK191" i="43"/>
  <c r="GL191" i="43"/>
  <c r="GM191" i="43"/>
  <c r="GN191" i="43"/>
  <c r="GO191" i="43"/>
  <c r="GP191" i="43"/>
  <c r="GQ191" i="43"/>
  <c r="GR191" i="43"/>
  <c r="GS191" i="43"/>
  <c r="GT191" i="43"/>
  <c r="GU191" i="43"/>
  <c r="GV191" i="43"/>
  <c r="GW191" i="43"/>
  <c r="GX191" i="43"/>
  <c r="GY191" i="43"/>
  <c r="GZ191" i="43"/>
  <c r="HA191" i="43"/>
  <c r="HB191" i="43"/>
  <c r="HC191" i="43"/>
  <c r="HD191" i="43"/>
  <c r="HE191" i="43"/>
  <c r="HF191" i="43"/>
  <c r="HG191" i="43"/>
  <c r="HH191" i="43"/>
  <c r="HI191" i="43"/>
  <c r="HJ191" i="43"/>
  <c r="HK191" i="43"/>
  <c r="HL191" i="43"/>
  <c r="HM191" i="43"/>
  <c r="HN191" i="43"/>
  <c r="HO191" i="43"/>
  <c r="HP191" i="43"/>
  <c r="HQ191" i="43"/>
  <c r="HR191" i="43"/>
  <c r="HS191" i="43"/>
  <c r="HT191" i="43"/>
  <c r="HU191" i="43"/>
  <c r="HV191" i="43"/>
  <c r="HW191" i="43"/>
  <c r="HX191" i="43"/>
  <c r="HY191" i="43"/>
  <c r="HZ191" i="43"/>
  <c r="IA191" i="43"/>
  <c r="IB191" i="43"/>
  <c r="IC191" i="43"/>
  <c r="ID191" i="43"/>
  <c r="IE191" i="43"/>
  <c r="IF191" i="43"/>
  <c r="IG191" i="43"/>
  <c r="IH191" i="43"/>
  <c r="II191" i="43"/>
  <c r="IJ191" i="43"/>
  <c r="IK191" i="43"/>
  <c r="IL191" i="43"/>
  <c r="IM191" i="43"/>
  <c r="IN191" i="43"/>
  <c r="IO191" i="43"/>
  <c r="IP191" i="43"/>
  <c r="IQ191" i="43"/>
  <c r="IR191" i="43"/>
  <c r="IS191" i="43"/>
  <c r="IT191" i="43"/>
  <c r="IU191" i="43"/>
  <c r="IV191" i="43"/>
  <c r="A190" i="43"/>
  <c r="B190" i="43"/>
  <c r="C190" i="43"/>
  <c r="D190" i="43"/>
  <c r="E190" i="43"/>
  <c r="F190" i="43"/>
  <c r="G190" i="43"/>
  <c r="H190" i="43"/>
  <c r="I190" i="43"/>
  <c r="J190" i="43"/>
  <c r="K190" i="43"/>
  <c r="L190" i="43"/>
  <c r="M190" i="43"/>
  <c r="N190" i="43"/>
  <c r="O190" i="43"/>
  <c r="P190" i="43"/>
  <c r="Q190" i="43"/>
  <c r="R190" i="43"/>
  <c r="S190" i="43"/>
  <c r="T190" i="43"/>
  <c r="U190" i="43"/>
  <c r="V190" i="43"/>
  <c r="W190" i="43"/>
  <c r="X190" i="43"/>
  <c r="Y190" i="43"/>
  <c r="Z190" i="43"/>
  <c r="AA190" i="43"/>
  <c r="AB190" i="43"/>
  <c r="AC190" i="43"/>
  <c r="AD190" i="43"/>
  <c r="AE190" i="43"/>
  <c r="AF190" i="43"/>
  <c r="AG190" i="43"/>
  <c r="AH190" i="43"/>
  <c r="AI190" i="43"/>
  <c r="AJ190" i="43"/>
  <c r="AK190" i="43"/>
  <c r="AL190" i="43"/>
  <c r="AM190" i="43"/>
  <c r="AN190" i="43"/>
  <c r="AO190" i="43"/>
  <c r="AP190" i="43"/>
  <c r="AQ190" i="43"/>
  <c r="AR190" i="43"/>
  <c r="AS190" i="43"/>
  <c r="AT190" i="43"/>
  <c r="AU190" i="43"/>
  <c r="AV190" i="43"/>
  <c r="AW190" i="43"/>
  <c r="AX190" i="43"/>
  <c r="AY190" i="43"/>
  <c r="AZ190" i="43"/>
  <c r="BA190" i="43"/>
  <c r="BB190" i="43"/>
  <c r="BC190" i="43"/>
  <c r="BD190" i="43"/>
  <c r="BE190" i="43"/>
  <c r="BF190" i="43"/>
  <c r="BG190" i="43"/>
  <c r="BH190" i="43"/>
  <c r="BI190" i="43"/>
  <c r="BJ190" i="43"/>
  <c r="BK190" i="43"/>
  <c r="BL190" i="43"/>
  <c r="BM190" i="43"/>
  <c r="BN190" i="43"/>
  <c r="BO190" i="43"/>
  <c r="BP190" i="43"/>
  <c r="BQ190" i="43"/>
  <c r="BR190" i="43"/>
  <c r="BS190" i="43"/>
  <c r="BT190" i="43"/>
  <c r="BU190" i="43"/>
  <c r="BV190" i="43"/>
  <c r="BW190" i="43"/>
  <c r="BX190" i="43"/>
  <c r="BY190" i="43"/>
  <c r="BZ190" i="43"/>
  <c r="CA190" i="43"/>
  <c r="CB190" i="43"/>
  <c r="CC190" i="43"/>
  <c r="CD190" i="43"/>
  <c r="CE190" i="43"/>
  <c r="CF190" i="43"/>
  <c r="CG190" i="43"/>
  <c r="CH190" i="43"/>
  <c r="CI190" i="43"/>
  <c r="CJ190" i="43"/>
  <c r="CK190" i="43"/>
  <c r="CL190" i="43"/>
  <c r="CM190" i="43"/>
  <c r="CN190" i="43"/>
  <c r="CO190" i="43"/>
  <c r="CP190" i="43"/>
  <c r="CQ190" i="43"/>
  <c r="CR190" i="43"/>
  <c r="CS190" i="43"/>
  <c r="CT190" i="43"/>
  <c r="CU190" i="43"/>
  <c r="CV190" i="43"/>
  <c r="CW190" i="43"/>
  <c r="CX190" i="43"/>
  <c r="CY190" i="43"/>
  <c r="CZ190" i="43"/>
  <c r="DA190" i="43"/>
  <c r="DB190" i="43"/>
  <c r="DC190" i="43"/>
  <c r="DD190" i="43"/>
  <c r="DE190" i="43"/>
  <c r="DF190" i="43"/>
  <c r="DG190" i="43"/>
  <c r="DH190" i="43"/>
  <c r="DI190" i="43"/>
  <c r="DJ190" i="43"/>
  <c r="DK190" i="43"/>
  <c r="DL190" i="43"/>
  <c r="DM190" i="43"/>
  <c r="DN190" i="43"/>
  <c r="DO190" i="43"/>
  <c r="DP190" i="43"/>
  <c r="DQ190" i="43"/>
  <c r="DR190" i="43"/>
  <c r="DS190" i="43"/>
  <c r="DT190" i="43"/>
  <c r="DU190" i="43"/>
  <c r="DV190" i="43"/>
  <c r="DW190" i="43"/>
  <c r="DX190" i="43"/>
  <c r="DY190" i="43"/>
  <c r="DZ190" i="43"/>
  <c r="EA190" i="43"/>
  <c r="EB190" i="43"/>
  <c r="EC190" i="43"/>
  <c r="ED190" i="43"/>
  <c r="EE190" i="43"/>
  <c r="EF190" i="43"/>
  <c r="EG190" i="43"/>
  <c r="EH190" i="43"/>
  <c r="EI190" i="43"/>
  <c r="EJ190" i="43"/>
  <c r="EK190" i="43"/>
  <c r="EL190" i="43"/>
  <c r="EM190" i="43"/>
  <c r="EN190" i="43"/>
  <c r="EO190" i="43"/>
  <c r="EP190" i="43"/>
  <c r="EQ190" i="43"/>
  <c r="ER190" i="43"/>
  <c r="ES190" i="43"/>
  <c r="ET190" i="43"/>
  <c r="EU190" i="43"/>
  <c r="EV190" i="43"/>
  <c r="EW190" i="43"/>
  <c r="EX190" i="43"/>
  <c r="EY190" i="43"/>
  <c r="EZ190" i="43"/>
  <c r="FA190" i="43"/>
  <c r="FB190" i="43"/>
  <c r="FC190" i="43"/>
  <c r="FD190" i="43"/>
  <c r="FE190" i="43"/>
  <c r="FF190" i="43"/>
  <c r="FG190" i="43"/>
  <c r="FH190" i="43"/>
  <c r="FI190" i="43"/>
  <c r="FJ190" i="43"/>
  <c r="FK190" i="43"/>
  <c r="FL190" i="43"/>
  <c r="FM190" i="43"/>
  <c r="FN190" i="43"/>
  <c r="FO190" i="43"/>
  <c r="FP190" i="43"/>
  <c r="FQ190" i="43"/>
  <c r="FR190" i="43"/>
  <c r="FS190" i="43"/>
  <c r="FT190" i="43"/>
  <c r="FU190" i="43"/>
  <c r="FV190" i="43"/>
  <c r="FW190" i="43"/>
  <c r="FX190" i="43"/>
  <c r="FY190" i="43"/>
  <c r="FZ190" i="43"/>
  <c r="GA190" i="43"/>
  <c r="GB190" i="43"/>
  <c r="GC190" i="43"/>
  <c r="GD190" i="43"/>
  <c r="GE190" i="43"/>
  <c r="GF190" i="43"/>
  <c r="GG190" i="43"/>
  <c r="GH190" i="43"/>
  <c r="GI190" i="43"/>
  <c r="GJ190" i="43"/>
  <c r="GK190" i="43"/>
  <c r="GL190" i="43"/>
  <c r="GM190" i="43"/>
  <c r="GN190" i="43"/>
  <c r="GO190" i="43"/>
  <c r="GP190" i="43"/>
  <c r="GQ190" i="43"/>
  <c r="GR190" i="43"/>
  <c r="GS190" i="43"/>
  <c r="GT190" i="43"/>
  <c r="GU190" i="43"/>
  <c r="GV190" i="43"/>
  <c r="GW190" i="43"/>
  <c r="GX190" i="43"/>
  <c r="GY190" i="43"/>
  <c r="GZ190" i="43"/>
  <c r="HA190" i="43"/>
  <c r="HB190" i="43"/>
  <c r="HC190" i="43"/>
  <c r="HD190" i="43"/>
  <c r="HE190" i="43"/>
  <c r="HF190" i="43"/>
  <c r="HG190" i="43"/>
  <c r="HH190" i="43"/>
  <c r="HI190" i="43"/>
  <c r="HJ190" i="43"/>
  <c r="HK190" i="43"/>
  <c r="HL190" i="43"/>
  <c r="HM190" i="43"/>
  <c r="HN190" i="43"/>
  <c r="HO190" i="43"/>
  <c r="HP190" i="43"/>
  <c r="HQ190" i="43"/>
  <c r="HR190" i="43"/>
  <c r="HS190" i="43"/>
  <c r="HT190" i="43"/>
  <c r="HU190" i="43"/>
  <c r="HV190" i="43"/>
  <c r="HW190" i="43"/>
  <c r="HX190" i="43"/>
  <c r="HY190" i="43"/>
  <c r="HZ190" i="43"/>
  <c r="IA190" i="43"/>
  <c r="IB190" i="43"/>
  <c r="IC190" i="43"/>
  <c r="ID190" i="43"/>
  <c r="IE190" i="43"/>
  <c r="IF190" i="43"/>
  <c r="IG190" i="43"/>
  <c r="IH190" i="43"/>
  <c r="II190" i="43"/>
  <c r="IJ190" i="43"/>
  <c r="IK190" i="43"/>
  <c r="IL190" i="43"/>
  <c r="IM190" i="43"/>
  <c r="IN190" i="43"/>
  <c r="IO190" i="43"/>
  <c r="IP190" i="43"/>
  <c r="IQ190" i="43"/>
  <c r="IR190" i="43"/>
  <c r="IS190" i="43"/>
  <c r="IT190" i="43"/>
  <c r="IU190" i="43"/>
  <c r="IV190" i="43"/>
  <c r="A189" i="43"/>
  <c r="B189" i="43"/>
  <c r="C189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AB189" i="43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BD189" i="43"/>
  <c r="BE189" i="43"/>
  <c r="BF189" i="43"/>
  <c r="BG189" i="43"/>
  <c r="BH189" i="43"/>
  <c r="BI189" i="43"/>
  <c r="BJ189" i="43"/>
  <c r="BK189" i="43"/>
  <c r="BL189" i="43"/>
  <c r="BM189" i="43"/>
  <c r="BN189" i="43"/>
  <c r="BO189" i="43"/>
  <c r="BP189" i="43"/>
  <c r="BQ189" i="43"/>
  <c r="BR189" i="43"/>
  <c r="BS189" i="43"/>
  <c r="BT189" i="43"/>
  <c r="BU189" i="43"/>
  <c r="BV189" i="43"/>
  <c r="BW189" i="43"/>
  <c r="BX189" i="43"/>
  <c r="BY189" i="43"/>
  <c r="BZ189" i="43"/>
  <c r="CA189" i="43"/>
  <c r="CB189" i="43"/>
  <c r="CC189" i="43"/>
  <c r="CD189" i="43"/>
  <c r="CE189" i="43"/>
  <c r="CF189" i="43"/>
  <c r="CG189" i="43"/>
  <c r="CH189" i="43"/>
  <c r="CI189" i="43"/>
  <c r="CJ189" i="43"/>
  <c r="CK189" i="43"/>
  <c r="CL189" i="43"/>
  <c r="CM189" i="43"/>
  <c r="CN189" i="43"/>
  <c r="CO189" i="43"/>
  <c r="CP189" i="43"/>
  <c r="CQ189" i="43"/>
  <c r="CR189" i="43"/>
  <c r="CS189" i="43"/>
  <c r="CT189" i="43"/>
  <c r="CU189" i="43"/>
  <c r="CV189" i="43"/>
  <c r="CW189" i="43"/>
  <c r="CX189" i="43"/>
  <c r="CY189" i="43"/>
  <c r="CZ189" i="43"/>
  <c r="DA189" i="43"/>
  <c r="DB189" i="43"/>
  <c r="DC189" i="43"/>
  <c r="DD189" i="43"/>
  <c r="DE189" i="43"/>
  <c r="DF189" i="43"/>
  <c r="DG189" i="43"/>
  <c r="DH189" i="43"/>
  <c r="DI189" i="43"/>
  <c r="DJ189" i="43"/>
  <c r="DK189" i="43"/>
  <c r="DL189" i="43"/>
  <c r="DM189" i="43"/>
  <c r="DN189" i="43"/>
  <c r="DO189" i="43"/>
  <c r="DP189" i="43"/>
  <c r="DQ189" i="43"/>
  <c r="DR189" i="43"/>
  <c r="DS189" i="43"/>
  <c r="DT189" i="43"/>
  <c r="DU189" i="43"/>
  <c r="DV189" i="43"/>
  <c r="DW189" i="43"/>
  <c r="DX189" i="43"/>
  <c r="DY189" i="43"/>
  <c r="DZ189" i="43"/>
  <c r="EA189" i="43"/>
  <c r="EB189" i="43"/>
  <c r="EC189" i="43"/>
  <c r="ED189" i="43"/>
  <c r="EE189" i="43"/>
  <c r="EF189" i="43"/>
  <c r="EG189" i="43"/>
  <c r="EH189" i="43"/>
  <c r="EI189" i="43"/>
  <c r="EJ189" i="43"/>
  <c r="EK189" i="43"/>
  <c r="EL189" i="43"/>
  <c r="EM189" i="43"/>
  <c r="EN189" i="43"/>
  <c r="EO189" i="43"/>
  <c r="EP189" i="43"/>
  <c r="EQ189" i="43"/>
  <c r="ER189" i="43"/>
  <c r="ES189" i="43"/>
  <c r="ET189" i="43"/>
  <c r="EU189" i="43"/>
  <c r="EV189" i="43"/>
  <c r="EW189" i="43"/>
  <c r="EX189" i="43"/>
  <c r="EY189" i="43"/>
  <c r="EZ189" i="43"/>
  <c r="FA189" i="43"/>
  <c r="FB189" i="43"/>
  <c r="FC189" i="43"/>
  <c r="FD189" i="43"/>
  <c r="FE189" i="43"/>
  <c r="FF189" i="43"/>
  <c r="FG189" i="43"/>
  <c r="FH189" i="43"/>
  <c r="FI189" i="43"/>
  <c r="FJ189" i="43"/>
  <c r="FK189" i="43"/>
  <c r="FL189" i="43"/>
  <c r="FM189" i="43"/>
  <c r="FN189" i="43"/>
  <c r="FO189" i="43"/>
  <c r="FP189" i="43"/>
  <c r="FQ189" i="43"/>
  <c r="FR189" i="43"/>
  <c r="FS189" i="43"/>
  <c r="FT189" i="43"/>
  <c r="FU189" i="43"/>
  <c r="FV189" i="43"/>
  <c r="FW189" i="43"/>
  <c r="FX189" i="43"/>
  <c r="FY189" i="43"/>
  <c r="FZ189" i="43"/>
  <c r="GA189" i="43"/>
  <c r="GB189" i="43"/>
  <c r="GC189" i="43"/>
  <c r="GD189" i="43"/>
  <c r="GE189" i="43"/>
  <c r="GF189" i="43"/>
  <c r="GG189" i="43"/>
  <c r="GH189" i="43"/>
  <c r="GI189" i="43"/>
  <c r="GJ189" i="43"/>
  <c r="GK189" i="43"/>
  <c r="GL189" i="43"/>
  <c r="GM189" i="43"/>
  <c r="GN189" i="43"/>
  <c r="GO189" i="43"/>
  <c r="GP189" i="43"/>
  <c r="GQ189" i="43"/>
  <c r="GR189" i="43"/>
  <c r="GS189" i="43"/>
  <c r="GT189" i="43"/>
  <c r="GU189" i="43"/>
  <c r="GV189" i="43"/>
  <c r="GW189" i="43"/>
  <c r="GX189" i="43"/>
  <c r="GY189" i="43"/>
  <c r="GZ189" i="43"/>
  <c r="HA189" i="43"/>
  <c r="HB189" i="43"/>
  <c r="HC189" i="43"/>
  <c r="HD189" i="43"/>
  <c r="HE189" i="43"/>
  <c r="HF189" i="43"/>
  <c r="HG189" i="43"/>
  <c r="HH189" i="43"/>
  <c r="HI189" i="43"/>
  <c r="HJ189" i="43"/>
  <c r="HK189" i="43"/>
  <c r="HL189" i="43"/>
  <c r="HM189" i="43"/>
  <c r="HN189" i="43"/>
  <c r="HO189" i="43"/>
  <c r="HP189" i="43"/>
  <c r="HQ189" i="43"/>
  <c r="HR189" i="43"/>
  <c r="HS189" i="43"/>
  <c r="HT189" i="43"/>
  <c r="HU189" i="43"/>
  <c r="HV189" i="43"/>
  <c r="HW189" i="43"/>
  <c r="HX189" i="43"/>
  <c r="HY189" i="43"/>
  <c r="HZ189" i="43"/>
  <c r="IA189" i="43"/>
  <c r="IB189" i="43"/>
  <c r="IC189" i="43"/>
  <c r="ID189" i="43"/>
  <c r="IE189" i="43"/>
  <c r="IF189" i="43"/>
  <c r="IG189" i="43"/>
  <c r="IH189" i="43"/>
  <c r="II189" i="43"/>
  <c r="IJ189" i="43"/>
  <c r="IK189" i="43"/>
  <c r="IL189" i="43"/>
  <c r="IM189" i="43"/>
  <c r="IN189" i="43"/>
  <c r="IO189" i="43"/>
  <c r="IP189" i="43"/>
  <c r="IQ189" i="43"/>
  <c r="IR189" i="43"/>
  <c r="IS189" i="43"/>
  <c r="IT189" i="43"/>
  <c r="IU189" i="43"/>
  <c r="IV189" i="43"/>
  <c r="A188" i="43"/>
  <c r="B188" i="43"/>
  <c r="C188" i="43"/>
  <c r="D188" i="43"/>
  <c r="E188" i="43"/>
  <c r="F188" i="43"/>
  <c r="G188" i="43"/>
  <c r="H188" i="43"/>
  <c r="I188" i="43"/>
  <c r="J188" i="43"/>
  <c r="K188" i="43"/>
  <c r="L188" i="43"/>
  <c r="M188" i="43"/>
  <c r="N188" i="43"/>
  <c r="O188" i="43"/>
  <c r="P188" i="43"/>
  <c r="Q188" i="43"/>
  <c r="R188" i="43"/>
  <c r="S188" i="43"/>
  <c r="T188" i="43"/>
  <c r="U188" i="43"/>
  <c r="V188" i="43"/>
  <c r="W188" i="43"/>
  <c r="X188" i="43"/>
  <c r="Y188" i="43"/>
  <c r="Z188" i="43"/>
  <c r="AA188" i="43"/>
  <c r="AB188" i="43"/>
  <c r="AC188" i="43"/>
  <c r="AD188" i="43"/>
  <c r="AE188" i="43"/>
  <c r="AF188" i="43"/>
  <c r="AG188" i="43"/>
  <c r="AH188" i="43"/>
  <c r="AI188" i="43"/>
  <c r="AJ188" i="43"/>
  <c r="AK188" i="43"/>
  <c r="AL188" i="43"/>
  <c r="AM188" i="43"/>
  <c r="AN188" i="43"/>
  <c r="AO188" i="43"/>
  <c r="AP188" i="43"/>
  <c r="AQ188" i="43"/>
  <c r="AR188" i="43"/>
  <c r="AS188" i="43"/>
  <c r="AT188" i="43"/>
  <c r="AU188" i="43"/>
  <c r="AV188" i="43"/>
  <c r="AW188" i="43"/>
  <c r="AX188" i="43"/>
  <c r="AY188" i="43"/>
  <c r="AZ188" i="43"/>
  <c r="BA188" i="43"/>
  <c r="BB188" i="43"/>
  <c r="BC188" i="43"/>
  <c r="BD188" i="43"/>
  <c r="BE188" i="43"/>
  <c r="BF188" i="43"/>
  <c r="BG188" i="43"/>
  <c r="BH188" i="43"/>
  <c r="BI188" i="43"/>
  <c r="BJ188" i="43"/>
  <c r="BK188" i="43"/>
  <c r="BL188" i="43"/>
  <c r="BM188" i="43"/>
  <c r="BN188" i="43"/>
  <c r="BO188" i="43"/>
  <c r="BP188" i="43"/>
  <c r="BQ188" i="43"/>
  <c r="BR188" i="43"/>
  <c r="BS188" i="43"/>
  <c r="BT188" i="43"/>
  <c r="BU188" i="43"/>
  <c r="BV188" i="43"/>
  <c r="BW188" i="43"/>
  <c r="BX188" i="43"/>
  <c r="BY188" i="43"/>
  <c r="BZ188" i="43"/>
  <c r="CA188" i="43"/>
  <c r="CB188" i="43"/>
  <c r="CC188" i="43"/>
  <c r="CD188" i="43"/>
  <c r="CE188" i="43"/>
  <c r="CF188" i="43"/>
  <c r="CG188" i="43"/>
  <c r="CH188" i="43"/>
  <c r="CI188" i="43"/>
  <c r="CJ188" i="43"/>
  <c r="CK188" i="43"/>
  <c r="CL188" i="43"/>
  <c r="CM188" i="43"/>
  <c r="CN188" i="43"/>
  <c r="CO188" i="43"/>
  <c r="CP188" i="43"/>
  <c r="CQ188" i="43"/>
  <c r="CR188" i="43"/>
  <c r="CS188" i="43"/>
  <c r="CT188" i="43"/>
  <c r="CU188" i="43"/>
  <c r="CV188" i="43"/>
  <c r="CW188" i="43"/>
  <c r="CX188" i="43"/>
  <c r="CY188" i="43"/>
  <c r="CZ188" i="43"/>
  <c r="DA188" i="43"/>
  <c r="DB188" i="43"/>
  <c r="DC188" i="43"/>
  <c r="DD188" i="43"/>
  <c r="DE188" i="43"/>
  <c r="DF188" i="43"/>
  <c r="DG188" i="43"/>
  <c r="DH188" i="43"/>
  <c r="DI188" i="43"/>
  <c r="DJ188" i="43"/>
  <c r="DK188" i="43"/>
  <c r="DL188" i="43"/>
  <c r="DM188" i="43"/>
  <c r="DN188" i="43"/>
  <c r="DO188" i="43"/>
  <c r="DP188" i="43"/>
  <c r="DQ188" i="43"/>
  <c r="DR188" i="43"/>
  <c r="DS188" i="43"/>
  <c r="DT188" i="43"/>
  <c r="DU188" i="43"/>
  <c r="DV188" i="43"/>
  <c r="DW188" i="43"/>
  <c r="DX188" i="43"/>
  <c r="DY188" i="43"/>
  <c r="DZ188" i="43"/>
  <c r="EA188" i="43"/>
  <c r="EB188" i="43"/>
  <c r="EC188" i="43"/>
  <c r="ED188" i="43"/>
  <c r="EE188" i="43"/>
  <c r="EF188" i="43"/>
  <c r="EG188" i="43"/>
  <c r="EH188" i="43"/>
  <c r="EI188" i="43"/>
  <c r="EJ188" i="43"/>
  <c r="EK188" i="43"/>
  <c r="EL188" i="43"/>
  <c r="EM188" i="43"/>
  <c r="EN188" i="43"/>
  <c r="EO188" i="43"/>
  <c r="EP188" i="43"/>
  <c r="EQ188" i="43"/>
  <c r="ER188" i="43"/>
  <c r="ES188" i="43"/>
  <c r="ET188" i="43"/>
  <c r="EU188" i="43"/>
  <c r="EV188" i="43"/>
  <c r="EW188" i="43"/>
  <c r="EX188" i="43"/>
  <c r="EY188" i="43"/>
  <c r="EZ188" i="43"/>
  <c r="FA188" i="43"/>
  <c r="FB188" i="43"/>
  <c r="FC188" i="43"/>
  <c r="FD188" i="43"/>
  <c r="FE188" i="43"/>
  <c r="FF188" i="43"/>
  <c r="FG188" i="43"/>
  <c r="FH188" i="43"/>
  <c r="FI188" i="43"/>
  <c r="FJ188" i="43"/>
  <c r="FK188" i="43"/>
  <c r="FL188" i="43"/>
  <c r="FM188" i="43"/>
  <c r="FN188" i="43"/>
  <c r="FO188" i="43"/>
  <c r="FP188" i="43"/>
  <c r="FQ188" i="43"/>
  <c r="FR188" i="43"/>
  <c r="FS188" i="43"/>
  <c r="FT188" i="43"/>
  <c r="FU188" i="43"/>
  <c r="FV188" i="43"/>
  <c r="FW188" i="43"/>
  <c r="FX188" i="43"/>
  <c r="FY188" i="43"/>
  <c r="FZ188" i="43"/>
  <c r="GA188" i="43"/>
  <c r="GB188" i="43"/>
  <c r="GC188" i="43"/>
  <c r="GD188" i="43"/>
  <c r="GE188" i="43"/>
  <c r="GF188" i="43"/>
  <c r="GG188" i="43"/>
  <c r="GH188" i="43"/>
  <c r="GI188" i="43"/>
  <c r="GJ188" i="43"/>
  <c r="GK188" i="43"/>
  <c r="GL188" i="43"/>
  <c r="GM188" i="43"/>
  <c r="GN188" i="43"/>
  <c r="GO188" i="43"/>
  <c r="GP188" i="43"/>
  <c r="GQ188" i="43"/>
  <c r="GR188" i="43"/>
  <c r="GS188" i="43"/>
  <c r="GT188" i="43"/>
  <c r="GU188" i="43"/>
  <c r="GV188" i="43"/>
  <c r="GW188" i="43"/>
  <c r="GX188" i="43"/>
  <c r="GY188" i="43"/>
  <c r="GZ188" i="43"/>
  <c r="HA188" i="43"/>
  <c r="HB188" i="43"/>
  <c r="HC188" i="43"/>
  <c r="HD188" i="43"/>
  <c r="HE188" i="43"/>
  <c r="HF188" i="43"/>
  <c r="HG188" i="43"/>
  <c r="HH188" i="43"/>
  <c r="HI188" i="43"/>
  <c r="HJ188" i="43"/>
  <c r="HK188" i="43"/>
  <c r="HL188" i="43"/>
  <c r="HM188" i="43"/>
  <c r="HN188" i="43"/>
  <c r="HO188" i="43"/>
  <c r="HP188" i="43"/>
  <c r="HQ188" i="43"/>
  <c r="HR188" i="43"/>
  <c r="HS188" i="43"/>
  <c r="HT188" i="43"/>
  <c r="HU188" i="43"/>
  <c r="HV188" i="43"/>
  <c r="HW188" i="43"/>
  <c r="HX188" i="43"/>
  <c r="HY188" i="43"/>
  <c r="HZ188" i="43"/>
  <c r="IA188" i="43"/>
  <c r="IB188" i="43"/>
  <c r="IC188" i="43"/>
  <c r="ID188" i="43"/>
  <c r="IE188" i="43"/>
  <c r="IF188" i="43"/>
  <c r="IG188" i="43"/>
  <c r="IH188" i="43"/>
  <c r="II188" i="43"/>
  <c r="IJ188" i="43"/>
  <c r="IK188" i="43"/>
  <c r="IL188" i="43"/>
  <c r="IM188" i="43"/>
  <c r="IN188" i="43"/>
  <c r="IO188" i="43"/>
  <c r="IP188" i="43"/>
  <c r="IQ188" i="43"/>
  <c r="IR188" i="43"/>
  <c r="IS188" i="43"/>
  <c r="IT188" i="43"/>
  <c r="IU188" i="43"/>
  <c r="IV188" i="43"/>
  <c r="A187" i="43"/>
  <c r="B187" i="43"/>
  <c r="C187" i="43"/>
  <c r="D187" i="43"/>
  <c r="E187" i="43"/>
  <c r="F187" i="43"/>
  <c r="G187" i="43"/>
  <c r="H187" i="43"/>
  <c r="I187" i="43"/>
  <c r="J187" i="43"/>
  <c r="K187" i="43"/>
  <c r="L187" i="43"/>
  <c r="M187" i="43"/>
  <c r="N187" i="43"/>
  <c r="O187" i="43"/>
  <c r="P187" i="43"/>
  <c r="Q187" i="43"/>
  <c r="R187" i="43"/>
  <c r="S187" i="43"/>
  <c r="T187" i="43"/>
  <c r="U187" i="43"/>
  <c r="V187" i="43"/>
  <c r="W187" i="43"/>
  <c r="X187" i="43"/>
  <c r="Y187" i="43"/>
  <c r="Z187" i="43"/>
  <c r="AA187" i="43"/>
  <c r="AB187" i="43"/>
  <c r="AC187" i="43"/>
  <c r="AD187" i="43"/>
  <c r="AE187" i="43"/>
  <c r="AF187" i="43"/>
  <c r="AG187" i="43"/>
  <c r="AH187" i="43"/>
  <c r="AI187" i="43"/>
  <c r="AJ187" i="43"/>
  <c r="AK187" i="43"/>
  <c r="AL187" i="43"/>
  <c r="AM187" i="43"/>
  <c r="AN187" i="43"/>
  <c r="AO187" i="43"/>
  <c r="AP187" i="43"/>
  <c r="AQ187" i="43"/>
  <c r="AR187" i="43"/>
  <c r="AS187" i="43"/>
  <c r="AT187" i="43"/>
  <c r="AU187" i="43"/>
  <c r="AV187" i="43"/>
  <c r="AW187" i="43"/>
  <c r="AX187" i="43"/>
  <c r="AY187" i="43"/>
  <c r="AZ187" i="43"/>
  <c r="BA187" i="43"/>
  <c r="BB187" i="43"/>
  <c r="BC187" i="43"/>
  <c r="BD187" i="43"/>
  <c r="BE187" i="43"/>
  <c r="BF187" i="43"/>
  <c r="BG187" i="43"/>
  <c r="BH187" i="43"/>
  <c r="BI187" i="43"/>
  <c r="BJ187" i="43"/>
  <c r="BK187" i="43"/>
  <c r="BL187" i="43"/>
  <c r="BM187" i="43"/>
  <c r="BN187" i="43"/>
  <c r="BO187" i="43"/>
  <c r="BP187" i="43"/>
  <c r="BQ187" i="43"/>
  <c r="BR187" i="43"/>
  <c r="BS187" i="43"/>
  <c r="BT187" i="43"/>
  <c r="BU187" i="43"/>
  <c r="BV187" i="43"/>
  <c r="BW187" i="43"/>
  <c r="BX187" i="43"/>
  <c r="BY187" i="43"/>
  <c r="BZ187" i="43"/>
  <c r="CA187" i="43"/>
  <c r="CB187" i="43"/>
  <c r="CC187" i="43"/>
  <c r="CD187" i="43"/>
  <c r="CE187" i="43"/>
  <c r="CF187" i="43"/>
  <c r="CG187" i="43"/>
  <c r="CH187" i="43"/>
  <c r="CI187" i="43"/>
  <c r="CJ187" i="43"/>
  <c r="CK187" i="43"/>
  <c r="CL187" i="43"/>
  <c r="CM187" i="43"/>
  <c r="CN187" i="43"/>
  <c r="CO187" i="43"/>
  <c r="CP187" i="43"/>
  <c r="CQ187" i="43"/>
  <c r="CR187" i="43"/>
  <c r="CS187" i="43"/>
  <c r="CT187" i="43"/>
  <c r="CU187" i="43"/>
  <c r="CV187" i="43"/>
  <c r="CW187" i="43"/>
  <c r="CX187" i="43"/>
  <c r="CY187" i="43"/>
  <c r="CZ187" i="43"/>
  <c r="DA187" i="43"/>
  <c r="DB187" i="43"/>
  <c r="DC187" i="43"/>
  <c r="DD187" i="43"/>
  <c r="DE187" i="43"/>
  <c r="DF187" i="43"/>
  <c r="DG187" i="43"/>
  <c r="DH187" i="43"/>
  <c r="DI187" i="43"/>
  <c r="DJ187" i="43"/>
  <c r="DK187" i="43"/>
  <c r="DL187" i="43"/>
  <c r="DM187" i="43"/>
  <c r="DN187" i="43"/>
  <c r="DO187" i="43"/>
  <c r="DP187" i="43"/>
  <c r="DQ187" i="43"/>
  <c r="DR187" i="43"/>
  <c r="DS187" i="43"/>
  <c r="DT187" i="43"/>
  <c r="DU187" i="43"/>
  <c r="DV187" i="43"/>
  <c r="DW187" i="43"/>
  <c r="DX187" i="43"/>
  <c r="DY187" i="43"/>
  <c r="DZ187" i="43"/>
  <c r="EA187" i="43"/>
  <c r="EB187" i="43"/>
  <c r="EC187" i="43"/>
  <c r="ED187" i="43"/>
  <c r="EE187" i="43"/>
  <c r="EF187" i="43"/>
  <c r="EG187" i="43"/>
  <c r="EH187" i="43"/>
  <c r="EI187" i="43"/>
  <c r="EJ187" i="43"/>
  <c r="EK187" i="43"/>
  <c r="EL187" i="43"/>
  <c r="EM187" i="43"/>
  <c r="EN187" i="43"/>
  <c r="EO187" i="43"/>
  <c r="EP187" i="43"/>
  <c r="EQ187" i="43"/>
  <c r="ER187" i="43"/>
  <c r="ES187" i="43"/>
  <c r="ET187" i="43"/>
  <c r="EU187" i="43"/>
  <c r="EV187" i="43"/>
  <c r="EW187" i="43"/>
  <c r="EX187" i="43"/>
  <c r="EY187" i="43"/>
  <c r="EZ187" i="43"/>
  <c r="FA187" i="43"/>
  <c r="FB187" i="43"/>
  <c r="FC187" i="43"/>
  <c r="FD187" i="43"/>
  <c r="FE187" i="43"/>
  <c r="FF187" i="43"/>
  <c r="FG187" i="43"/>
  <c r="FH187" i="43"/>
  <c r="FI187" i="43"/>
  <c r="FJ187" i="43"/>
  <c r="FK187" i="43"/>
  <c r="FL187" i="43"/>
  <c r="FM187" i="43"/>
  <c r="FN187" i="43"/>
  <c r="FO187" i="43"/>
  <c r="FP187" i="43"/>
  <c r="FQ187" i="43"/>
  <c r="FR187" i="43"/>
  <c r="FS187" i="43"/>
  <c r="FT187" i="43"/>
  <c r="FU187" i="43"/>
  <c r="FV187" i="43"/>
  <c r="FW187" i="43"/>
  <c r="FX187" i="43"/>
  <c r="FY187" i="43"/>
  <c r="FZ187" i="43"/>
  <c r="GA187" i="43"/>
  <c r="GB187" i="43"/>
  <c r="GC187" i="43"/>
  <c r="GD187" i="43"/>
  <c r="GE187" i="43"/>
  <c r="GF187" i="43"/>
  <c r="GG187" i="43"/>
  <c r="GH187" i="43"/>
  <c r="GI187" i="43"/>
  <c r="GJ187" i="43"/>
  <c r="GK187" i="43"/>
  <c r="GL187" i="43"/>
  <c r="GM187" i="43"/>
  <c r="GN187" i="43"/>
  <c r="GO187" i="43"/>
  <c r="GP187" i="43"/>
  <c r="GQ187" i="43"/>
  <c r="GR187" i="43"/>
  <c r="GS187" i="43"/>
  <c r="GT187" i="43"/>
  <c r="GU187" i="43"/>
  <c r="GV187" i="43"/>
  <c r="GW187" i="43"/>
  <c r="GX187" i="43"/>
  <c r="GY187" i="43"/>
  <c r="GZ187" i="43"/>
  <c r="HA187" i="43"/>
  <c r="HB187" i="43"/>
  <c r="HC187" i="43"/>
  <c r="HD187" i="43"/>
  <c r="HE187" i="43"/>
  <c r="HF187" i="43"/>
  <c r="HG187" i="43"/>
  <c r="HH187" i="43"/>
  <c r="HI187" i="43"/>
  <c r="HJ187" i="43"/>
  <c r="HK187" i="43"/>
  <c r="HL187" i="43"/>
  <c r="HM187" i="43"/>
  <c r="HN187" i="43"/>
  <c r="HO187" i="43"/>
  <c r="HP187" i="43"/>
  <c r="HQ187" i="43"/>
  <c r="HR187" i="43"/>
  <c r="HS187" i="43"/>
  <c r="HT187" i="43"/>
  <c r="HU187" i="43"/>
  <c r="HV187" i="43"/>
  <c r="HW187" i="43"/>
  <c r="HX187" i="43"/>
  <c r="HY187" i="43"/>
  <c r="HZ187" i="43"/>
  <c r="IA187" i="43"/>
  <c r="IB187" i="43"/>
  <c r="IC187" i="43"/>
  <c r="ID187" i="43"/>
  <c r="IE187" i="43"/>
  <c r="IF187" i="43"/>
  <c r="IG187" i="43"/>
  <c r="IH187" i="43"/>
  <c r="II187" i="43"/>
  <c r="IJ187" i="43"/>
  <c r="IK187" i="43"/>
  <c r="IL187" i="43"/>
  <c r="IM187" i="43"/>
  <c r="IN187" i="43"/>
  <c r="IO187" i="43"/>
  <c r="IP187" i="43"/>
  <c r="IQ187" i="43"/>
  <c r="IR187" i="43"/>
  <c r="IS187" i="43"/>
  <c r="IT187" i="43"/>
  <c r="IU187" i="43"/>
  <c r="IV187" i="43"/>
  <c r="A186" i="43"/>
  <c r="B186" i="43"/>
  <c r="C186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Z186" i="43"/>
  <c r="AA186" i="43"/>
  <c r="AB186" i="43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BD186" i="43"/>
  <c r="BE186" i="43"/>
  <c r="BF186" i="43"/>
  <c r="BG186" i="43"/>
  <c r="BH186" i="43"/>
  <c r="BI186" i="43"/>
  <c r="BJ186" i="43"/>
  <c r="BK186" i="43"/>
  <c r="BL186" i="43"/>
  <c r="BM186" i="43"/>
  <c r="BN186" i="43"/>
  <c r="BO186" i="43"/>
  <c r="BP186" i="43"/>
  <c r="BQ186" i="43"/>
  <c r="BR186" i="43"/>
  <c r="BS186" i="43"/>
  <c r="BT186" i="43"/>
  <c r="BU186" i="43"/>
  <c r="BV186" i="43"/>
  <c r="BW186" i="43"/>
  <c r="BX186" i="43"/>
  <c r="BY186" i="43"/>
  <c r="BZ186" i="43"/>
  <c r="CA186" i="43"/>
  <c r="CB186" i="43"/>
  <c r="CC186" i="43"/>
  <c r="CD186" i="43"/>
  <c r="CE186" i="43"/>
  <c r="CF186" i="43"/>
  <c r="CG186" i="43"/>
  <c r="CH186" i="43"/>
  <c r="CI186" i="43"/>
  <c r="CJ186" i="43"/>
  <c r="CK186" i="43"/>
  <c r="CL186" i="43"/>
  <c r="CM186" i="43"/>
  <c r="CN186" i="43"/>
  <c r="CO186" i="43"/>
  <c r="CP186" i="43"/>
  <c r="CQ186" i="43"/>
  <c r="CR186" i="43"/>
  <c r="CS186" i="43"/>
  <c r="CT186" i="43"/>
  <c r="CU186" i="43"/>
  <c r="CV186" i="43"/>
  <c r="CW186" i="43"/>
  <c r="CX186" i="43"/>
  <c r="CY186" i="43"/>
  <c r="CZ186" i="43"/>
  <c r="DA186" i="43"/>
  <c r="DB186" i="43"/>
  <c r="DC186" i="43"/>
  <c r="DD186" i="43"/>
  <c r="DE186" i="43"/>
  <c r="DF186" i="43"/>
  <c r="DG186" i="43"/>
  <c r="DH186" i="43"/>
  <c r="DI186" i="43"/>
  <c r="DJ186" i="43"/>
  <c r="DK186" i="43"/>
  <c r="DL186" i="43"/>
  <c r="DM186" i="43"/>
  <c r="DN186" i="43"/>
  <c r="DO186" i="43"/>
  <c r="DP186" i="43"/>
  <c r="DQ186" i="43"/>
  <c r="DR186" i="43"/>
  <c r="DS186" i="43"/>
  <c r="DT186" i="43"/>
  <c r="DU186" i="43"/>
  <c r="DV186" i="43"/>
  <c r="DW186" i="43"/>
  <c r="DX186" i="43"/>
  <c r="DY186" i="43"/>
  <c r="DZ186" i="43"/>
  <c r="EA186" i="43"/>
  <c r="EB186" i="43"/>
  <c r="EC186" i="43"/>
  <c r="ED186" i="43"/>
  <c r="EE186" i="43"/>
  <c r="EF186" i="43"/>
  <c r="EG186" i="43"/>
  <c r="EH186" i="43"/>
  <c r="EI186" i="43"/>
  <c r="EJ186" i="43"/>
  <c r="EK186" i="43"/>
  <c r="EL186" i="43"/>
  <c r="EM186" i="43"/>
  <c r="EN186" i="43"/>
  <c r="EO186" i="43"/>
  <c r="EP186" i="43"/>
  <c r="EQ186" i="43"/>
  <c r="ER186" i="43"/>
  <c r="ES186" i="43"/>
  <c r="ET186" i="43"/>
  <c r="EU186" i="43"/>
  <c r="EV186" i="43"/>
  <c r="EW186" i="43"/>
  <c r="EX186" i="43"/>
  <c r="EY186" i="43"/>
  <c r="EZ186" i="43"/>
  <c r="FA186" i="43"/>
  <c r="FB186" i="43"/>
  <c r="FC186" i="43"/>
  <c r="FD186" i="43"/>
  <c r="FE186" i="43"/>
  <c r="FF186" i="43"/>
  <c r="FG186" i="43"/>
  <c r="FH186" i="43"/>
  <c r="FI186" i="43"/>
  <c r="FJ186" i="43"/>
  <c r="FK186" i="43"/>
  <c r="FL186" i="43"/>
  <c r="FM186" i="43"/>
  <c r="FN186" i="43"/>
  <c r="FO186" i="43"/>
  <c r="FP186" i="43"/>
  <c r="FQ186" i="43"/>
  <c r="FR186" i="43"/>
  <c r="FS186" i="43"/>
  <c r="FT186" i="43"/>
  <c r="FU186" i="43"/>
  <c r="FV186" i="43"/>
  <c r="FW186" i="43"/>
  <c r="FX186" i="43"/>
  <c r="FY186" i="43"/>
  <c r="FZ186" i="43"/>
  <c r="GA186" i="43"/>
  <c r="GB186" i="43"/>
  <c r="GC186" i="43"/>
  <c r="GD186" i="43"/>
  <c r="GE186" i="43"/>
  <c r="GF186" i="43"/>
  <c r="GG186" i="43"/>
  <c r="GH186" i="43"/>
  <c r="GI186" i="43"/>
  <c r="GJ186" i="43"/>
  <c r="GK186" i="43"/>
  <c r="GL186" i="43"/>
  <c r="GM186" i="43"/>
  <c r="GN186" i="43"/>
  <c r="GO186" i="43"/>
  <c r="GP186" i="43"/>
  <c r="GQ186" i="43"/>
  <c r="GR186" i="43"/>
  <c r="GS186" i="43"/>
  <c r="GT186" i="43"/>
  <c r="GU186" i="43"/>
  <c r="GV186" i="43"/>
  <c r="GW186" i="43"/>
  <c r="GX186" i="43"/>
  <c r="GY186" i="43"/>
  <c r="GZ186" i="43"/>
  <c r="HA186" i="43"/>
  <c r="HB186" i="43"/>
  <c r="HC186" i="43"/>
  <c r="HD186" i="43"/>
  <c r="HE186" i="43"/>
  <c r="HF186" i="43"/>
  <c r="HG186" i="43"/>
  <c r="HH186" i="43"/>
  <c r="HI186" i="43"/>
  <c r="HJ186" i="43"/>
  <c r="HK186" i="43"/>
  <c r="HL186" i="43"/>
  <c r="HM186" i="43"/>
  <c r="HN186" i="43"/>
  <c r="HO186" i="43"/>
  <c r="HP186" i="43"/>
  <c r="HQ186" i="43"/>
  <c r="HR186" i="43"/>
  <c r="HS186" i="43"/>
  <c r="HT186" i="43"/>
  <c r="HU186" i="43"/>
  <c r="HV186" i="43"/>
  <c r="HW186" i="43"/>
  <c r="HX186" i="43"/>
  <c r="HY186" i="43"/>
  <c r="HZ186" i="43"/>
  <c r="IA186" i="43"/>
  <c r="IB186" i="43"/>
  <c r="IC186" i="43"/>
  <c r="ID186" i="43"/>
  <c r="IE186" i="43"/>
  <c r="IF186" i="43"/>
  <c r="IG186" i="43"/>
  <c r="IH186" i="43"/>
  <c r="II186" i="43"/>
  <c r="IJ186" i="43"/>
  <c r="IK186" i="43"/>
  <c r="IL186" i="43"/>
  <c r="IM186" i="43"/>
  <c r="IN186" i="43"/>
  <c r="IO186" i="43"/>
  <c r="IP186" i="43"/>
  <c r="IQ186" i="43"/>
  <c r="IR186" i="43"/>
  <c r="IS186" i="43"/>
  <c r="IT186" i="43"/>
  <c r="IU186" i="43"/>
  <c r="IV186" i="43"/>
  <c r="A185" i="43"/>
  <c r="B185" i="43"/>
  <c r="C185" i="43"/>
  <c r="D185" i="43"/>
  <c r="E185" i="43"/>
  <c r="F185" i="43"/>
  <c r="G185" i="43"/>
  <c r="H185" i="43"/>
  <c r="I185" i="43"/>
  <c r="J185" i="43"/>
  <c r="K185" i="43"/>
  <c r="L185" i="43"/>
  <c r="M185" i="43"/>
  <c r="N185" i="43"/>
  <c r="O185" i="43"/>
  <c r="P185" i="43"/>
  <c r="Q185" i="43"/>
  <c r="R185" i="43"/>
  <c r="S185" i="43"/>
  <c r="T185" i="43"/>
  <c r="U185" i="43"/>
  <c r="V185" i="43"/>
  <c r="W185" i="43"/>
  <c r="X185" i="43"/>
  <c r="Y185" i="43"/>
  <c r="Z185" i="43"/>
  <c r="AA185" i="43"/>
  <c r="AB185" i="43"/>
  <c r="AC185" i="43"/>
  <c r="AD185" i="43"/>
  <c r="AE185" i="43"/>
  <c r="AF185" i="43"/>
  <c r="AG185" i="43"/>
  <c r="AH185" i="43"/>
  <c r="AI185" i="43"/>
  <c r="AJ185" i="43"/>
  <c r="AK185" i="43"/>
  <c r="AL185" i="43"/>
  <c r="AM185" i="43"/>
  <c r="AN185" i="43"/>
  <c r="AO185" i="43"/>
  <c r="AP185" i="43"/>
  <c r="AQ185" i="43"/>
  <c r="AR185" i="43"/>
  <c r="AS185" i="43"/>
  <c r="AT185" i="43"/>
  <c r="AU185" i="43"/>
  <c r="AV185" i="43"/>
  <c r="AW185" i="43"/>
  <c r="AX185" i="43"/>
  <c r="AY185" i="43"/>
  <c r="AZ185" i="43"/>
  <c r="BA185" i="43"/>
  <c r="BB185" i="43"/>
  <c r="BC185" i="43"/>
  <c r="BD185" i="43"/>
  <c r="BE185" i="43"/>
  <c r="BF185" i="43"/>
  <c r="BG185" i="43"/>
  <c r="BH185" i="43"/>
  <c r="BI185" i="43"/>
  <c r="BJ185" i="43"/>
  <c r="BK185" i="43"/>
  <c r="BL185" i="43"/>
  <c r="BM185" i="43"/>
  <c r="BN185" i="43"/>
  <c r="BO185" i="43"/>
  <c r="BP185" i="43"/>
  <c r="BQ185" i="43"/>
  <c r="BR185" i="43"/>
  <c r="BS185" i="43"/>
  <c r="BT185" i="43"/>
  <c r="BU185" i="43"/>
  <c r="BV185" i="43"/>
  <c r="BW185" i="43"/>
  <c r="BX185" i="43"/>
  <c r="BY185" i="43"/>
  <c r="BZ185" i="43"/>
  <c r="CA185" i="43"/>
  <c r="CB185" i="43"/>
  <c r="CC185" i="43"/>
  <c r="CD185" i="43"/>
  <c r="CE185" i="43"/>
  <c r="CF185" i="43"/>
  <c r="CG185" i="43"/>
  <c r="CH185" i="43"/>
  <c r="CI185" i="43"/>
  <c r="CJ185" i="43"/>
  <c r="CK185" i="43"/>
  <c r="CL185" i="43"/>
  <c r="CM185" i="43"/>
  <c r="CN185" i="43"/>
  <c r="CO185" i="43"/>
  <c r="CP185" i="43"/>
  <c r="CQ185" i="43"/>
  <c r="CR185" i="43"/>
  <c r="CS185" i="43"/>
  <c r="CT185" i="43"/>
  <c r="CU185" i="43"/>
  <c r="CV185" i="43"/>
  <c r="CW185" i="43"/>
  <c r="CX185" i="43"/>
  <c r="CY185" i="43"/>
  <c r="CZ185" i="43"/>
  <c r="DA185" i="43"/>
  <c r="DB185" i="43"/>
  <c r="DC185" i="43"/>
  <c r="DD185" i="43"/>
  <c r="DE185" i="43"/>
  <c r="DF185" i="43"/>
  <c r="DG185" i="43"/>
  <c r="DH185" i="43"/>
  <c r="DI185" i="43"/>
  <c r="DJ185" i="43"/>
  <c r="DK185" i="43"/>
  <c r="DL185" i="43"/>
  <c r="DM185" i="43"/>
  <c r="DN185" i="43"/>
  <c r="DO185" i="43"/>
  <c r="DP185" i="43"/>
  <c r="DQ185" i="43"/>
  <c r="DR185" i="43"/>
  <c r="DS185" i="43"/>
  <c r="DT185" i="43"/>
  <c r="DU185" i="43"/>
  <c r="DV185" i="43"/>
  <c r="DW185" i="43"/>
  <c r="DX185" i="43"/>
  <c r="DY185" i="43"/>
  <c r="DZ185" i="43"/>
  <c r="EA185" i="43"/>
  <c r="EB185" i="43"/>
  <c r="EC185" i="43"/>
  <c r="ED185" i="43"/>
  <c r="EE185" i="43"/>
  <c r="EF185" i="43"/>
  <c r="EG185" i="43"/>
  <c r="EH185" i="43"/>
  <c r="EI185" i="43"/>
  <c r="EJ185" i="43"/>
  <c r="EK185" i="43"/>
  <c r="EL185" i="43"/>
  <c r="EM185" i="43"/>
  <c r="EN185" i="43"/>
  <c r="EO185" i="43"/>
  <c r="EP185" i="43"/>
  <c r="EQ185" i="43"/>
  <c r="ER185" i="43"/>
  <c r="ES185" i="43"/>
  <c r="ET185" i="43"/>
  <c r="EU185" i="43"/>
  <c r="EV185" i="43"/>
  <c r="EW185" i="43"/>
  <c r="EX185" i="43"/>
  <c r="EY185" i="43"/>
  <c r="EZ185" i="43"/>
  <c r="FA185" i="43"/>
  <c r="FB185" i="43"/>
  <c r="FC185" i="43"/>
  <c r="FD185" i="43"/>
  <c r="FE185" i="43"/>
  <c r="FF185" i="43"/>
  <c r="FG185" i="43"/>
  <c r="FH185" i="43"/>
  <c r="FI185" i="43"/>
  <c r="FJ185" i="43"/>
  <c r="FK185" i="43"/>
  <c r="FL185" i="43"/>
  <c r="FM185" i="43"/>
  <c r="FN185" i="43"/>
  <c r="FO185" i="43"/>
  <c r="FP185" i="43"/>
  <c r="FQ185" i="43"/>
  <c r="FR185" i="43"/>
  <c r="FS185" i="43"/>
  <c r="FT185" i="43"/>
  <c r="FU185" i="43"/>
  <c r="FV185" i="43"/>
  <c r="FW185" i="43"/>
  <c r="FX185" i="43"/>
  <c r="FY185" i="43"/>
  <c r="FZ185" i="43"/>
  <c r="GA185" i="43"/>
  <c r="GB185" i="43"/>
  <c r="GC185" i="43"/>
  <c r="GD185" i="43"/>
  <c r="GE185" i="43"/>
  <c r="GF185" i="43"/>
  <c r="GG185" i="43"/>
  <c r="GH185" i="43"/>
  <c r="GI185" i="43"/>
  <c r="GJ185" i="43"/>
  <c r="GK185" i="43"/>
  <c r="GL185" i="43"/>
  <c r="GM185" i="43"/>
  <c r="GN185" i="43"/>
  <c r="GO185" i="43"/>
  <c r="GP185" i="43"/>
  <c r="GQ185" i="43"/>
  <c r="GR185" i="43"/>
  <c r="GS185" i="43"/>
  <c r="GT185" i="43"/>
  <c r="GU185" i="43"/>
  <c r="GV185" i="43"/>
  <c r="GW185" i="43"/>
  <c r="GX185" i="43"/>
  <c r="GY185" i="43"/>
  <c r="GZ185" i="43"/>
  <c r="HA185" i="43"/>
  <c r="HB185" i="43"/>
  <c r="HC185" i="43"/>
  <c r="HD185" i="43"/>
  <c r="HE185" i="43"/>
  <c r="HF185" i="43"/>
  <c r="HG185" i="43"/>
  <c r="HH185" i="43"/>
  <c r="HI185" i="43"/>
  <c r="HJ185" i="43"/>
  <c r="HK185" i="43"/>
  <c r="HL185" i="43"/>
  <c r="HM185" i="43"/>
  <c r="HN185" i="43"/>
  <c r="HO185" i="43"/>
  <c r="HP185" i="43"/>
  <c r="HQ185" i="43"/>
  <c r="HR185" i="43"/>
  <c r="HS185" i="43"/>
  <c r="HT185" i="43"/>
  <c r="HU185" i="43"/>
  <c r="HV185" i="43"/>
  <c r="HW185" i="43"/>
  <c r="HX185" i="43"/>
  <c r="HY185" i="43"/>
  <c r="HZ185" i="43"/>
  <c r="IA185" i="43"/>
  <c r="IB185" i="43"/>
  <c r="IC185" i="43"/>
  <c r="ID185" i="43"/>
  <c r="IE185" i="43"/>
  <c r="IF185" i="43"/>
  <c r="IG185" i="43"/>
  <c r="IH185" i="43"/>
  <c r="II185" i="43"/>
  <c r="IJ185" i="43"/>
  <c r="IK185" i="43"/>
  <c r="IL185" i="43"/>
  <c r="IM185" i="43"/>
  <c r="IN185" i="43"/>
  <c r="IO185" i="43"/>
  <c r="IP185" i="43"/>
  <c r="IQ185" i="43"/>
  <c r="IR185" i="43"/>
  <c r="IS185" i="43"/>
  <c r="IT185" i="43"/>
  <c r="IU185" i="43"/>
  <c r="IV185" i="43"/>
  <c r="A184" i="43"/>
  <c r="B184" i="43"/>
  <c r="C184" i="43"/>
  <c r="D184" i="43"/>
  <c r="E184" i="43"/>
  <c r="F184" i="43"/>
  <c r="G184" i="43"/>
  <c r="H184" i="43"/>
  <c r="I184" i="43"/>
  <c r="J184" i="43"/>
  <c r="K184" i="43"/>
  <c r="L184" i="43"/>
  <c r="M184" i="43"/>
  <c r="N184" i="43"/>
  <c r="O184" i="43"/>
  <c r="P184" i="43"/>
  <c r="Q184" i="43"/>
  <c r="R184" i="43"/>
  <c r="S184" i="43"/>
  <c r="T184" i="43"/>
  <c r="U184" i="43"/>
  <c r="V184" i="43"/>
  <c r="W184" i="43"/>
  <c r="X184" i="43"/>
  <c r="Y184" i="43"/>
  <c r="Z184" i="43"/>
  <c r="AA184" i="43"/>
  <c r="AB184" i="43"/>
  <c r="AC184" i="43"/>
  <c r="AD184" i="43"/>
  <c r="AE184" i="43"/>
  <c r="AF184" i="43"/>
  <c r="AG184" i="43"/>
  <c r="AH184" i="43"/>
  <c r="AI184" i="43"/>
  <c r="AJ184" i="43"/>
  <c r="AK184" i="43"/>
  <c r="AL184" i="43"/>
  <c r="AM184" i="43"/>
  <c r="AN184" i="43"/>
  <c r="AO184" i="43"/>
  <c r="AP184" i="43"/>
  <c r="AQ184" i="43"/>
  <c r="AR184" i="43"/>
  <c r="AS184" i="43"/>
  <c r="AT184" i="43"/>
  <c r="AU184" i="43"/>
  <c r="AV184" i="43"/>
  <c r="AW184" i="43"/>
  <c r="AX184" i="43"/>
  <c r="AY184" i="43"/>
  <c r="AZ184" i="43"/>
  <c r="BA184" i="43"/>
  <c r="BB184" i="43"/>
  <c r="BC184" i="43"/>
  <c r="BD184" i="43"/>
  <c r="BE184" i="43"/>
  <c r="BF184" i="43"/>
  <c r="BG184" i="43"/>
  <c r="BH184" i="43"/>
  <c r="BI184" i="43"/>
  <c r="BJ184" i="43"/>
  <c r="BK184" i="43"/>
  <c r="BL184" i="43"/>
  <c r="BM184" i="43"/>
  <c r="BN184" i="43"/>
  <c r="BO184" i="43"/>
  <c r="BP184" i="43"/>
  <c r="BQ184" i="43"/>
  <c r="BR184" i="43"/>
  <c r="BS184" i="43"/>
  <c r="BT184" i="43"/>
  <c r="BU184" i="43"/>
  <c r="BV184" i="43"/>
  <c r="BW184" i="43"/>
  <c r="BX184" i="43"/>
  <c r="BY184" i="43"/>
  <c r="BZ184" i="43"/>
  <c r="CA184" i="43"/>
  <c r="CB184" i="43"/>
  <c r="CC184" i="43"/>
  <c r="CD184" i="43"/>
  <c r="CE184" i="43"/>
  <c r="CF184" i="43"/>
  <c r="CG184" i="43"/>
  <c r="CH184" i="43"/>
  <c r="CI184" i="43"/>
  <c r="CJ184" i="43"/>
  <c r="CK184" i="43"/>
  <c r="CL184" i="43"/>
  <c r="CM184" i="43"/>
  <c r="CN184" i="43"/>
  <c r="CO184" i="43"/>
  <c r="CP184" i="43"/>
  <c r="CQ184" i="43"/>
  <c r="CR184" i="43"/>
  <c r="CS184" i="43"/>
  <c r="CT184" i="43"/>
  <c r="CU184" i="43"/>
  <c r="CV184" i="43"/>
  <c r="CW184" i="43"/>
  <c r="CX184" i="43"/>
  <c r="CY184" i="43"/>
  <c r="CZ184" i="43"/>
  <c r="DA184" i="43"/>
  <c r="DB184" i="43"/>
  <c r="DC184" i="43"/>
  <c r="DD184" i="43"/>
  <c r="DE184" i="43"/>
  <c r="DF184" i="43"/>
  <c r="DG184" i="43"/>
  <c r="DH184" i="43"/>
  <c r="DI184" i="43"/>
  <c r="DJ184" i="43"/>
  <c r="DK184" i="43"/>
  <c r="DL184" i="43"/>
  <c r="DM184" i="43"/>
  <c r="DN184" i="43"/>
  <c r="DO184" i="43"/>
  <c r="DP184" i="43"/>
  <c r="DQ184" i="43"/>
  <c r="DR184" i="43"/>
  <c r="DS184" i="43"/>
  <c r="DT184" i="43"/>
  <c r="DU184" i="43"/>
  <c r="DV184" i="43"/>
  <c r="DW184" i="43"/>
  <c r="DX184" i="43"/>
  <c r="DY184" i="43"/>
  <c r="DZ184" i="43"/>
  <c r="EA184" i="43"/>
  <c r="EB184" i="43"/>
  <c r="EC184" i="43"/>
  <c r="ED184" i="43"/>
  <c r="EE184" i="43"/>
  <c r="EF184" i="43"/>
  <c r="EG184" i="43"/>
  <c r="EH184" i="43"/>
  <c r="EI184" i="43"/>
  <c r="EJ184" i="43"/>
  <c r="EK184" i="43"/>
  <c r="EL184" i="43"/>
  <c r="EM184" i="43"/>
  <c r="EN184" i="43"/>
  <c r="EO184" i="43"/>
  <c r="EP184" i="43"/>
  <c r="EQ184" i="43"/>
  <c r="ER184" i="43"/>
  <c r="ES184" i="43"/>
  <c r="ET184" i="43"/>
  <c r="EU184" i="43"/>
  <c r="EV184" i="43"/>
  <c r="EW184" i="43"/>
  <c r="EX184" i="43"/>
  <c r="EY184" i="43"/>
  <c r="EZ184" i="43"/>
  <c r="FA184" i="43"/>
  <c r="FB184" i="43"/>
  <c r="FC184" i="43"/>
  <c r="FD184" i="43"/>
  <c r="FE184" i="43"/>
  <c r="FF184" i="43"/>
  <c r="FG184" i="43"/>
  <c r="FH184" i="43"/>
  <c r="FI184" i="43"/>
  <c r="FJ184" i="43"/>
  <c r="FK184" i="43"/>
  <c r="FL184" i="43"/>
  <c r="FM184" i="43"/>
  <c r="FN184" i="43"/>
  <c r="FO184" i="43"/>
  <c r="FP184" i="43"/>
  <c r="FQ184" i="43"/>
  <c r="FR184" i="43"/>
  <c r="FS184" i="43"/>
  <c r="FT184" i="43"/>
  <c r="FU184" i="43"/>
  <c r="FV184" i="43"/>
  <c r="FW184" i="43"/>
  <c r="FX184" i="43"/>
  <c r="FY184" i="43"/>
  <c r="FZ184" i="43"/>
  <c r="GA184" i="43"/>
  <c r="GB184" i="43"/>
  <c r="GC184" i="43"/>
  <c r="GD184" i="43"/>
  <c r="GE184" i="43"/>
  <c r="GF184" i="43"/>
  <c r="GG184" i="43"/>
  <c r="GH184" i="43"/>
  <c r="GI184" i="43"/>
  <c r="GJ184" i="43"/>
  <c r="GK184" i="43"/>
  <c r="GL184" i="43"/>
  <c r="GM184" i="43"/>
  <c r="GN184" i="43"/>
  <c r="GO184" i="43"/>
  <c r="GP184" i="43"/>
  <c r="GQ184" i="43"/>
  <c r="GR184" i="43"/>
  <c r="GS184" i="43"/>
  <c r="GT184" i="43"/>
  <c r="GU184" i="43"/>
  <c r="GV184" i="43"/>
  <c r="GW184" i="43"/>
  <c r="GX184" i="43"/>
  <c r="GY184" i="43"/>
  <c r="GZ184" i="43"/>
  <c r="HA184" i="43"/>
  <c r="HB184" i="43"/>
  <c r="HC184" i="43"/>
  <c r="HD184" i="43"/>
  <c r="HE184" i="43"/>
  <c r="HF184" i="43"/>
  <c r="HG184" i="43"/>
  <c r="HH184" i="43"/>
  <c r="HI184" i="43"/>
  <c r="HJ184" i="43"/>
  <c r="HK184" i="43"/>
  <c r="HL184" i="43"/>
  <c r="HM184" i="43"/>
  <c r="HN184" i="43"/>
  <c r="HO184" i="43"/>
  <c r="HP184" i="43"/>
  <c r="HQ184" i="43"/>
  <c r="HR184" i="43"/>
  <c r="HS184" i="43"/>
  <c r="HT184" i="43"/>
  <c r="HU184" i="43"/>
  <c r="HV184" i="43"/>
  <c r="HW184" i="43"/>
  <c r="HX184" i="43"/>
  <c r="HY184" i="43"/>
  <c r="HZ184" i="43"/>
  <c r="IA184" i="43"/>
  <c r="IB184" i="43"/>
  <c r="IC184" i="43"/>
  <c r="ID184" i="43"/>
  <c r="IE184" i="43"/>
  <c r="IF184" i="43"/>
  <c r="IG184" i="43"/>
  <c r="IH184" i="43"/>
  <c r="II184" i="43"/>
  <c r="IJ184" i="43"/>
  <c r="IK184" i="43"/>
  <c r="IL184" i="43"/>
  <c r="IM184" i="43"/>
  <c r="IN184" i="43"/>
  <c r="IO184" i="43"/>
  <c r="IP184" i="43"/>
  <c r="IQ184" i="43"/>
  <c r="IR184" i="43"/>
  <c r="IS184" i="43"/>
  <c r="IT184" i="43"/>
  <c r="IU184" i="43"/>
  <c r="IV184" i="43"/>
  <c r="A183" i="43"/>
  <c r="B183" i="43"/>
  <c r="C183" i="43"/>
  <c r="D183" i="43"/>
  <c r="E183" i="43"/>
  <c r="F183" i="43"/>
  <c r="G183" i="43"/>
  <c r="H183" i="43"/>
  <c r="I183" i="43"/>
  <c r="J183" i="43"/>
  <c r="K183" i="43"/>
  <c r="L183" i="43"/>
  <c r="M183" i="43"/>
  <c r="N183" i="43"/>
  <c r="O183" i="43"/>
  <c r="P183" i="43"/>
  <c r="Q183" i="43"/>
  <c r="R183" i="43"/>
  <c r="S183" i="43"/>
  <c r="T183" i="43"/>
  <c r="U183" i="43"/>
  <c r="V183" i="43"/>
  <c r="W183" i="43"/>
  <c r="X183" i="43"/>
  <c r="Y183" i="43"/>
  <c r="Z183" i="43"/>
  <c r="AA183" i="43"/>
  <c r="AB183" i="43"/>
  <c r="AC183" i="43"/>
  <c r="AD183" i="43"/>
  <c r="AE183" i="43"/>
  <c r="AF183" i="43"/>
  <c r="AG183" i="43"/>
  <c r="AH183" i="43"/>
  <c r="AI183" i="43"/>
  <c r="AJ183" i="43"/>
  <c r="AK183" i="43"/>
  <c r="AL183" i="43"/>
  <c r="AM183" i="43"/>
  <c r="AN183" i="43"/>
  <c r="AO183" i="43"/>
  <c r="AP183" i="43"/>
  <c r="AQ183" i="43"/>
  <c r="AR183" i="43"/>
  <c r="AS183" i="43"/>
  <c r="AT183" i="43"/>
  <c r="AU183" i="43"/>
  <c r="AV183" i="43"/>
  <c r="AW183" i="43"/>
  <c r="AX183" i="43"/>
  <c r="AY183" i="43"/>
  <c r="AZ183" i="43"/>
  <c r="BA183" i="43"/>
  <c r="BB183" i="43"/>
  <c r="BC183" i="43"/>
  <c r="BD183" i="43"/>
  <c r="BE183" i="43"/>
  <c r="BF183" i="43"/>
  <c r="BG183" i="43"/>
  <c r="BH183" i="43"/>
  <c r="BI183" i="43"/>
  <c r="BJ183" i="43"/>
  <c r="BK183" i="43"/>
  <c r="BL183" i="43"/>
  <c r="BM183" i="43"/>
  <c r="BN183" i="43"/>
  <c r="BO183" i="43"/>
  <c r="BP183" i="43"/>
  <c r="BQ183" i="43"/>
  <c r="BR183" i="43"/>
  <c r="BS183" i="43"/>
  <c r="BT183" i="43"/>
  <c r="BU183" i="43"/>
  <c r="BV183" i="43"/>
  <c r="BW183" i="43"/>
  <c r="BX183" i="43"/>
  <c r="BY183" i="43"/>
  <c r="BZ183" i="43"/>
  <c r="CA183" i="43"/>
  <c r="CB183" i="43"/>
  <c r="CC183" i="43"/>
  <c r="CD183" i="43"/>
  <c r="CE183" i="43"/>
  <c r="CF183" i="43"/>
  <c r="CG183" i="43"/>
  <c r="CH183" i="43"/>
  <c r="CI183" i="43"/>
  <c r="CJ183" i="43"/>
  <c r="CK183" i="43"/>
  <c r="CL183" i="43"/>
  <c r="CM183" i="43"/>
  <c r="CN183" i="43"/>
  <c r="CO183" i="43"/>
  <c r="CP183" i="43"/>
  <c r="CQ183" i="43"/>
  <c r="CR183" i="43"/>
  <c r="CS183" i="43"/>
  <c r="CT183" i="43"/>
  <c r="CU183" i="43"/>
  <c r="CV183" i="43"/>
  <c r="CW183" i="43"/>
  <c r="CX183" i="43"/>
  <c r="CY183" i="43"/>
  <c r="CZ183" i="43"/>
  <c r="DA183" i="43"/>
  <c r="DB183" i="43"/>
  <c r="DC183" i="43"/>
  <c r="DD183" i="43"/>
  <c r="DE183" i="43"/>
  <c r="DF183" i="43"/>
  <c r="DG183" i="43"/>
  <c r="DH183" i="43"/>
  <c r="DI183" i="43"/>
  <c r="DJ183" i="43"/>
  <c r="DK183" i="43"/>
  <c r="DL183" i="43"/>
  <c r="DM183" i="43"/>
  <c r="DN183" i="43"/>
  <c r="DO183" i="43"/>
  <c r="DP183" i="43"/>
  <c r="DQ183" i="43"/>
  <c r="DR183" i="43"/>
  <c r="DS183" i="43"/>
  <c r="DT183" i="43"/>
  <c r="DU183" i="43"/>
  <c r="DV183" i="43"/>
  <c r="DW183" i="43"/>
  <c r="DX183" i="43"/>
  <c r="DY183" i="43"/>
  <c r="DZ183" i="43"/>
  <c r="EA183" i="43"/>
  <c r="EB183" i="43"/>
  <c r="EC183" i="43"/>
  <c r="ED183" i="43"/>
  <c r="EE183" i="43"/>
  <c r="EF183" i="43"/>
  <c r="EG183" i="43"/>
  <c r="EH183" i="43"/>
  <c r="EI183" i="43"/>
  <c r="EJ183" i="43"/>
  <c r="EK183" i="43"/>
  <c r="EL183" i="43"/>
  <c r="EM183" i="43"/>
  <c r="EN183" i="43"/>
  <c r="EO183" i="43"/>
  <c r="EP183" i="43"/>
  <c r="EQ183" i="43"/>
  <c r="ER183" i="43"/>
  <c r="ES183" i="43"/>
  <c r="ET183" i="43"/>
  <c r="EU183" i="43"/>
  <c r="EV183" i="43"/>
  <c r="EW183" i="43"/>
  <c r="EX183" i="43"/>
  <c r="EY183" i="43"/>
  <c r="EZ183" i="43"/>
  <c r="FA183" i="43"/>
  <c r="FB183" i="43"/>
  <c r="FC183" i="43"/>
  <c r="FD183" i="43"/>
  <c r="FE183" i="43"/>
  <c r="FF183" i="43"/>
  <c r="FG183" i="43"/>
  <c r="FH183" i="43"/>
  <c r="FI183" i="43"/>
  <c r="FJ183" i="43"/>
  <c r="FK183" i="43"/>
  <c r="FL183" i="43"/>
  <c r="FM183" i="43"/>
  <c r="FN183" i="43"/>
  <c r="FO183" i="43"/>
  <c r="FP183" i="43"/>
  <c r="FQ183" i="43"/>
  <c r="FR183" i="43"/>
  <c r="FS183" i="43"/>
  <c r="FT183" i="43"/>
  <c r="FU183" i="43"/>
  <c r="FV183" i="43"/>
  <c r="FW183" i="43"/>
  <c r="FX183" i="43"/>
  <c r="FY183" i="43"/>
  <c r="FZ183" i="43"/>
  <c r="GA183" i="43"/>
  <c r="GB183" i="43"/>
  <c r="GC183" i="43"/>
  <c r="GD183" i="43"/>
  <c r="GE183" i="43"/>
  <c r="GF183" i="43"/>
  <c r="GG183" i="43"/>
  <c r="GH183" i="43"/>
  <c r="GI183" i="43"/>
  <c r="GJ183" i="43"/>
  <c r="GK183" i="43"/>
  <c r="GL183" i="43"/>
  <c r="GM183" i="43"/>
  <c r="GN183" i="43"/>
  <c r="GO183" i="43"/>
  <c r="GP183" i="43"/>
  <c r="GQ183" i="43"/>
  <c r="GR183" i="43"/>
  <c r="GS183" i="43"/>
  <c r="GT183" i="43"/>
  <c r="GU183" i="43"/>
  <c r="GV183" i="43"/>
  <c r="GW183" i="43"/>
  <c r="GX183" i="43"/>
  <c r="GY183" i="43"/>
  <c r="GZ183" i="43"/>
  <c r="HA183" i="43"/>
  <c r="HB183" i="43"/>
  <c r="HC183" i="43"/>
  <c r="HD183" i="43"/>
  <c r="HE183" i="43"/>
  <c r="HF183" i="43"/>
  <c r="HG183" i="43"/>
  <c r="HH183" i="43"/>
  <c r="HI183" i="43"/>
  <c r="HJ183" i="43"/>
  <c r="HK183" i="43"/>
  <c r="HL183" i="43"/>
  <c r="HM183" i="43"/>
  <c r="HN183" i="43"/>
  <c r="HO183" i="43"/>
  <c r="HP183" i="43"/>
  <c r="HQ183" i="43"/>
  <c r="HR183" i="43"/>
  <c r="HS183" i="43"/>
  <c r="HT183" i="43"/>
  <c r="HU183" i="43"/>
  <c r="HV183" i="43"/>
  <c r="HW183" i="43"/>
  <c r="HX183" i="43"/>
  <c r="HY183" i="43"/>
  <c r="HZ183" i="43"/>
  <c r="IA183" i="43"/>
  <c r="IB183" i="43"/>
  <c r="IC183" i="43"/>
  <c r="ID183" i="43"/>
  <c r="IE183" i="43"/>
  <c r="IF183" i="43"/>
  <c r="IG183" i="43"/>
  <c r="IH183" i="43"/>
  <c r="II183" i="43"/>
  <c r="IJ183" i="43"/>
  <c r="IK183" i="43"/>
  <c r="IL183" i="43"/>
  <c r="IM183" i="43"/>
  <c r="IN183" i="43"/>
  <c r="IO183" i="43"/>
  <c r="IP183" i="43"/>
  <c r="IQ183" i="43"/>
  <c r="IR183" i="43"/>
  <c r="IS183" i="43"/>
  <c r="IT183" i="43"/>
  <c r="IU183" i="43"/>
  <c r="IV183" i="43"/>
  <c r="A182" i="43"/>
  <c r="B182" i="43"/>
  <c r="C182" i="43"/>
  <c r="D182" i="43"/>
  <c r="E182" i="43"/>
  <c r="F182" i="43"/>
  <c r="G182" i="43"/>
  <c r="H182" i="43"/>
  <c r="I182" i="43"/>
  <c r="J182" i="43"/>
  <c r="K182" i="43"/>
  <c r="L182" i="43"/>
  <c r="M182" i="43"/>
  <c r="N182" i="43"/>
  <c r="O182" i="43"/>
  <c r="P182" i="43"/>
  <c r="Q182" i="43"/>
  <c r="R182" i="43"/>
  <c r="S182" i="43"/>
  <c r="T182" i="43"/>
  <c r="U182" i="43"/>
  <c r="V182" i="43"/>
  <c r="W182" i="43"/>
  <c r="X182" i="43"/>
  <c r="Y182" i="43"/>
  <c r="Z182" i="43"/>
  <c r="AA182" i="43"/>
  <c r="AB182" i="43"/>
  <c r="AC182" i="43"/>
  <c r="AD182" i="43"/>
  <c r="AE182" i="43"/>
  <c r="AF182" i="43"/>
  <c r="AG182" i="43"/>
  <c r="AH182" i="43"/>
  <c r="AI182" i="43"/>
  <c r="AJ182" i="43"/>
  <c r="AK182" i="43"/>
  <c r="AL182" i="43"/>
  <c r="AM182" i="43"/>
  <c r="AN182" i="43"/>
  <c r="AO182" i="43"/>
  <c r="AP182" i="43"/>
  <c r="AQ182" i="43"/>
  <c r="AR182" i="43"/>
  <c r="AS182" i="43"/>
  <c r="AT182" i="43"/>
  <c r="AU182" i="43"/>
  <c r="AV182" i="43"/>
  <c r="AW182" i="43"/>
  <c r="AX182" i="43"/>
  <c r="AY182" i="43"/>
  <c r="AZ182" i="43"/>
  <c r="BA182" i="43"/>
  <c r="BB182" i="43"/>
  <c r="BC182" i="43"/>
  <c r="BD182" i="43"/>
  <c r="BE182" i="43"/>
  <c r="BF182" i="43"/>
  <c r="BG182" i="43"/>
  <c r="BH182" i="43"/>
  <c r="BI182" i="43"/>
  <c r="BJ182" i="43"/>
  <c r="BK182" i="43"/>
  <c r="BL182" i="43"/>
  <c r="BM182" i="43"/>
  <c r="BN182" i="43"/>
  <c r="BO182" i="43"/>
  <c r="BP182" i="43"/>
  <c r="BQ182" i="43"/>
  <c r="BR182" i="43"/>
  <c r="BS182" i="43"/>
  <c r="BT182" i="43"/>
  <c r="BU182" i="43"/>
  <c r="BV182" i="43"/>
  <c r="BW182" i="43"/>
  <c r="BX182" i="43"/>
  <c r="BY182" i="43"/>
  <c r="BZ182" i="43"/>
  <c r="CA182" i="43"/>
  <c r="CB182" i="43"/>
  <c r="CC182" i="43"/>
  <c r="CD182" i="43"/>
  <c r="CE182" i="43"/>
  <c r="CF182" i="43"/>
  <c r="CG182" i="43"/>
  <c r="CH182" i="43"/>
  <c r="CI182" i="43"/>
  <c r="CJ182" i="43"/>
  <c r="CK182" i="43"/>
  <c r="CL182" i="43"/>
  <c r="CM182" i="43"/>
  <c r="CN182" i="43"/>
  <c r="CO182" i="43"/>
  <c r="CP182" i="43"/>
  <c r="CQ182" i="43"/>
  <c r="CR182" i="43"/>
  <c r="CS182" i="43"/>
  <c r="CT182" i="43"/>
  <c r="CU182" i="43"/>
  <c r="CV182" i="43"/>
  <c r="CW182" i="43"/>
  <c r="CX182" i="43"/>
  <c r="CY182" i="43"/>
  <c r="CZ182" i="43"/>
  <c r="DA182" i="43"/>
  <c r="DB182" i="43"/>
  <c r="DC182" i="43"/>
  <c r="DD182" i="43"/>
  <c r="DE182" i="43"/>
  <c r="DF182" i="43"/>
  <c r="DG182" i="43"/>
  <c r="DH182" i="43"/>
  <c r="DI182" i="43"/>
  <c r="DJ182" i="43"/>
  <c r="DK182" i="43"/>
  <c r="DL182" i="43"/>
  <c r="DM182" i="43"/>
  <c r="DN182" i="43"/>
  <c r="DO182" i="43"/>
  <c r="DP182" i="43"/>
  <c r="DQ182" i="43"/>
  <c r="DR182" i="43"/>
  <c r="DS182" i="43"/>
  <c r="DT182" i="43"/>
  <c r="DU182" i="43"/>
  <c r="DV182" i="43"/>
  <c r="DW182" i="43"/>
  <c r="DX182" i="43"/>
  <c r="DY182" i="43"/>
  <c r="DZ182" i="43"/>
  <c r="EA182" i="43"/>
  <c r="EB182" i="43"/>
  <c r="EC182" i="43"/>
  <c r="ED182" i="43"/>
  <c r="EE182" i="43"/>
  <c r="EF182" i="43"/>
  <c r="EG182" i="43"/>
  <c r="EH182" i="43"/>
  <c r="EI182" i="43"/>
  <c r="EJ182" i="43"/>
  <c r="EK182" i="43"/>
  <c r="EL182" i="43"/>
  <c r="EM182" i="43"/>
  <c r="EN182" i="43"/>
  <c r="EO182" i="43"/>
  <c r="EP182" i="43"/>
  <c r="EQ182" i="43"/>
  <c r="ER182" i="43"/>
  <c r="ES182" i="43"/>
  <c r="ET182" i="43"/>
  <c r="EU182" i="43"/>
  <c r="EV182" i="43"/>
  <c r="EW182" i="43"/>
  <c r="EX182" i="43"/>
  <c r="EY182" i="43"/>
  <c r="EZ182" i="43"/>
  <c r="FA182" i="43"/>
  <c r="FB182" i="43"/>
  <c r="FC182" i="43"/>
  <c r="FD182" i="43"/>
  <c r="FE182" i="43"/>
  <c r="FF182" i="43"/>
  <c r="FG182" i="43"/>
  <c r="FH182" i="43"/>
  <c r="FI182" i="43"/>
  <c r="FJ182" i="43"/>
  <c r="FK182" i="43"/>
  <c r="FL182" i="43"/>
  <c r="FM182" i="43"/>
  <c r="FN182" i="43"/>
  <c r="FO182" i="43"/>
  <c r="FP182" i="43"/>
  <c r="FQ182" i="43"/>
  <c r="FR182" i="43"/>
  <c r="FS182" i="43"/>
  <c r="FT182" i="43"/>
  <c r="FU182" i="43"/>
  <c r="FV182" i="43"/>
  <c r="FW182" i="43"/>
  <c r="FX182" i="43"/>
  <c r="FY182" i="43"/>
  <c r="FZ182" i="43"/>
  <c r="GA182" i="43"/>
  <c r="GB182" i="43"/>
  <c r="GC182" i="43"/>
  <c r="GD182" i="43"/>
  <c r="GE182" i="43"/>
  <c r="GF182" i="43"/>
  <c r="GG182" i="43"/>
  <c r="GH182" i="43"/>
  <c r="GI182" i="43"/>
  <c r="GJ182" i="43"/>
  <c r="GK182" i="43"/>
  <c r="GL182" i="43"/>
  <c r="GM182" i="43"/>
  <c r="GN182" i="43"/>
  <c r="GO182" i="43"/>
  <c r="GP182" i="43"/>
  <c r="GQ182" i="43"/>
  <c r="GR182" i="43"/>
  <c r="GS182" i="43"/>
  <c r="GT182" i="43"/>
  <c r="GU182" i="43"/>
  <c r="GV182" i="43"/>
  <c r="GW182" i="43"/>
  <c r="GX182" i="43"/>
  <c r="GY182" i="43"/>
  <c r="GZ182" i="43"/>
  <c r="HA182" i="43"/>
  <c r="HB182" i="43"/>
  <c r="HC182" i="43"/>
  <c r="HD182" i="43"/>
  <c r="HE182" i="43"/>
  <c r="HF182" i="43"/>
  <c r="HG182" i="43"/>
  <c r="HH182" i="43"/>
  <c r="HI182" i="43"/>
  <c r="HJ182" i="43"/>
  <c r="HK182" i="43"/>
  <c r="HL182" i="43"/>
  <c r="HM182" i="43"/>
  <c r="HN182" i="43"/>
  <c r="HO182" i="43"/>
  <c r="HP182" i="43"/>
  <c r="HQ182" i="43"/>
  <c r="HR182" i="43"/>
  <c r="HS182" i="43"/>
  <c r="HT182" i="43"/>
  <c r="HU182" i="43"/>
  <c r="HV182" i="43"/>
  <c r="HW182" i="43"/>
  <c r="HX182" i="43"/>
  <c r="HY182" i="43"/>
  <c r="HZ182" i="43"/>
  <c r="IA182" i="43"/>
  <c r="IB182" i="43"/>
  <c r="IC182" i="43"/>
  <c r="ID182" i="43"/>
  <c r="IE182" i="43"/>
  <c r="IF182" i="43"/>
  <c r="IG182" i="43"/>
  <c r="IH182" i="43"/>
  <c r="II182" i="43"/>
  <c r="IJ182" i="43"/>
  <c r="IK182" i="43"/>
  <c r="IL182" i="43"/>
  <c r="IM182" i="43"/>
  <c r="IN182" i="43"/>
  <c r="IO182" i="43"/>
  <c r="IP182" i="43"/>
  <c r="IQ182" i="43"/>
  <c r="IR182" i="43"/>
  <c r="IS182" i="43"/>
  <c r="IT182" i="43"/>
  <c r="IU182" i="43"/>
  <c r="IV182" i="43"/>
  <c r="A181" i="43"/>
  <c r="B181" i="43"/>
  <c r="C181" i="43"/>
  <c r="D181" i="43"/>
  <c r="E181" i="43"/>
  <c r="F181" i="43"/>
  <c r="G181" i="43"/>
  <c r="H181" i="43"/>
  <c r="I181" i="43"/>
  <c r="J181" i="43"/>
  <c r="K181" i="43"/>
  <c r="L181" i="43"/>
  <c r="M181" i="43"/>
  <c r="N181" i="43"/>
  <c r="O181" i="43"/>
  <c r="P181" i="43"/>
  <c r="Q181" i="43"/>
  <c r="R181" i="43"/>
  <c r="S181" i="43"/>
  <c r="T181" i="43"/>
  <c r="U181" i="43"/>
  <c r="V181" i="43"/>
  <c r="W181" i="43"/>
  <c r="X181" i="43"/>
  <c r="Y181" i="43"/>
  <c r="Z181" i="43"/>
  <c r="AA181" i="43"/>
  <c r="AB181" i="43"/>
  <c r="AC181" i="43"/>
  <c r="AD181" i="43"/>
  <c r="AE181" i="43"/>
  <c r="AF181" i="43"/>
  <c r="AG181" i="43"/>
  <c r="AH181" i="43"/>
  <c r="AI181" i="43"/>
  <c r="AJ181" i="43"/>
  <c r="AK181" i="43"/>
  <c r="AL181" i="43"/>
  <c r="AM181" i="43"/>
  <c r="AN181" i="43"/>
  <c r="AO181" i="43"/>
  <c r="AP181" i="43"/>
  <c r="AQ181" i="43"/>
  <c r="AR181" i="43"/>
  <c r="AS181" i="43"/>
  <c r="AT181" i="43"/>
  <c r="AU181" i="43"/>
  <c r="AV181" i="43"/>
  <c r="AW181" i="43"/>
  <c r="AX181" i="43"/>
  <c r="AY181" i="43"/>
  <c r="AZ181" i="43"/>
  <c r="BA181" i="43"/>
  <c r="BB181" i="43"/>
  <c r="BC181" i="43"/>
  <c r="BD181" i="43"/>
  <c r="BE181" i="43"/>
  <c r="BF181" i="43"/>
  <c r="BG181" i="43"/>
  <c r="BH181" i="43"/>
  <c r="BI181" i="43"/>
  <c r="BJ181" i="43"/>
  <c r="BK181" i="43"/>
  <c r="BL181" i="43"/>
  <c r="BM181" i="43"/>
  <c r="BN181" i="43"/>
  <c r="BO181" i="43"/>
  <c r="BP181" i="43"/>
  <c r="BQ181" i="43"/>
  <c r="BR181" i="43"/>
  <c r="BS181" i="43"/>
  <c r="BT181" i="43"/>
  <c r="BU181" i="43"/>
  <c r="BV181" i="43"/>
  <c r="BW181" i="43"/>
  <c r="BX181" i="43"/>
  <c r="BY181" i="43"/>
  <c r="BZ181" i="43"/>
  <c r="CA181" i="43"/>
  <c r="CB181" i="43"/>
  <c r="CC181" i="43"/>
  <c r="CD181" i="43"/>
  <c r="CE181" i="43"/>
  <c r="CF181" i="43"/>
  <c r="CG181" i="43"/>
  <c r="CH181" i="43"/>
  <c r="CI181" i="43"/>
  <c r="CJ181" i="43"/>
  <c r="CK181" i="43"/>
  <c r="CL181" i="43"/>
  <c r="CM181" i="43"/>
  <c r="CN181" i="43"/>
  <c r="CO181" i="43"/>
  <c r="CP181" i="43"/>
  <c r="CQ181" i="43"/>
  <c r="CR181" i="43"/>
  <c r="CS181" i="43"/>
  <c r="CT181" i="43"/>
  <c r="CU181" i="43"/>
  <c r="CV181" i="43"/>
  <c r="CW181" i="43"/>
  <c r="CX181" i="43"/>
  <c r="CY181" i="43"/>
  <c r="CZ181" i="43"/>
  <c r="DA181" i="43"/>
  <c r="DB181" i="43"/>
  <c r="DC181" i="43"/>
  <c r="DD181" i="43"/>
  <c r="DE181" i="43"/>
  <c r="DF181" i="43"/>
  <c r="DG181" i="43"/>
  <c r="DH181" i="43"/>
  <c r="DI181" i="43"/>
  <c r="DJ181" i="43"/>
  <c r="DK181" i="43"/>
  <c r="DL181" i="43"/>
  <c r="DM181" i="43"/>
  <c r="DN181" i="43"/>
  <c r="DO181" i="43"/>
  <c r="DP181" i="43"/>
  <c r="DQ181" i="43"/>
  <c r="DR181" i="43"/>
  <c r="DS181" i="43"/>
  <c r="DT181" i="43"/>
  <c r="DU181" i="43"/>
  <c r="DV181" i="43"/>
  <c r="DW181" i="43"/>
  <c r="DX181" i="43"/>
  <c r="DY181" i="43"/>
  <c r="DZ181" i="43"/>
  <c r="EA181" i="43"/>
  <c r="EB181" i="43"/>
  <c r="EC181" i="43"/>
  <c r="ED181" i="43"/>
  <c r="EE181" i="43"/>
  <c r="EF181" i="43"/>
  <c r="EG181" i="43"/>
  <c r="EH181" i="43"/>
  <c r="EI181" i="43"/>
  <c r="EJ181" i="43"/>
  <c r="EK181" i="43"/>
  <c r="EL181" i="43"/>
  <c r="EM181" i="43"/>
  <c r="EN181" i="43"/>
  <c r="EO181" i="43"/>
  <c r="EP181" i="43"/>
  <c r="EQ181" i="43"/>
  <c r="ER181" i="43"/>
  <c r="ES181" i="43"/>
  <c r="ET181" i="43"/>
  <c r="EU181" i="43"/>
  <c r="EV181" i="43"/>
  <c r="EW181" i="43"/>
  <c r="EX181" i="43"/>
  <c r="EY181" i="43"/>
  <c r="EZ181" i="43"/>
  <c r="FA181" i="43"/>
  <c r="FB181" i="43"/>
  <c r="FC181" i="43"/>
  <c r="FD181" i="43"/>
  <c r="FE181" i="43"/>
  <c r="FF181" i="43"/>
  <c r="FG181" i="43"/>
  <c r="FH181" i="43"/>
  <c r="FI181" i="43"/>
  <c r="FJ181" i="43"/>
  <c r="FK181" i="43"/>
  <c r="FL181" i="43"/>
  <c r="FM181" i="43"/>
  <c r="FN181" i="43"/>
  <c r="FO181" i="43"/>
  <c r="FP181" i="43"/>
  <c r="FQ181" i="43"/>
  <c r="FR181" i="43"/>
  <c r="FS181" i="43"/>
  <c r="FT181" i="43"/>
  <c r="FU181" i="43"/>
  <c r="FV181" i="43"/>
  <c r="FW181" i="43"/>
  <c r="FX181" i="43"/>
  <c r="FY181" i="43"/>
  <c r="FZ181" i="43"/>
  <c r="GA181" i="43"/>
  <c r="GB181" i="43"/>
  <c r="GC181" i="43"/>
  <c r="GD181" i="43"/>
  <c r="GE181" i="43"/>
  <c r="GF181" i="43"/>
  <c r="GG181" i="43"/>
  <c r="GH181" i="43"/>
  <c r="GI181" i="43"/>
  <c r="GJ181" i="43"/>
  <c r="GK181" i="43"/>
  <c r="GL181" i="43"/>
  <c r="GM181" i="43"/>
  <c r="GN181" i="43"/>
  <c r="GO181" i="43"/>
  <c r="GP181" i="43"/>
  <c r="GQ181" i="43"/>
  <c r="GR181" i="43"/>
  <c r="GS181" i="43"/>
  <c r="GT181" i="43"/>
  <c r="GU181" i="43"/>
  <c r="GV181" i="43"/>
  <c r="GW181" i="43"/>
  <c r="GX181" i="43"/>
  <c r="GY181" i="43"/>
  <c r="GZ181" i="43"/>
  <c r="HA181" i="43"/>
  <c r="HB181" i="43"/>
  <c r="HC181" i="43"/>
  <c r="HD181" i="43"/>
  <c r="HE181" i="43"/>
  <c r="HF181" i="43"/>
  <c r="HG181" i="43"/>
  <c r="HH181" i="43"/>
  <c r="HI181" i="43"/>
  <c r="HJ181" i="43"/>
  <c r="HK181" i="43"/>
  <c r="HL181" i="43"/>
  <c r="HM181" i="43"/>
  <c r="HN181" i="43"/>
  <c r="HO181" i="43"/>
  <c r="HP181" i="43"/>
  <c r="HQ181" i="43"/>
  <c r="HR181" i="43"/>
  <c r="HS181" i="43"/>
  <c r="HT181" i="43"/>
  <c r="HU181" i="43"/>
  <c r="HV181" i="43"/>
  <c r="HW181" i="43"/>
  <c r="HX181" i="43"/>
  <c r="HY181" i="43"/>
  <c r="HZ181" i="43"/>
  <c r="IA181" i="43"/>
  <c r="IB181" i="43"/>
  <c r="IC181" i="43"/>
  <c r="ID181" i="43"/>
  <c r="IE181" i="43"/>
  <c r="IF181" i="43"/>
  <c r="IG181" i="43"/>
  <c r="IH181" i="43"/>
  <c r="II181" i="43"/>
  <c r="IJ181" i="43"/>
  <c r="IK181" i="43"/>
  <c r="IL181" i="43"/>
  <c r="IM181" i="43"/>
  <c r="IN181" i="43"/>
  <c r="IO181" i="43"/>
  <c r="IP181" i="43"/>
  <c r="IQ181" i="43"/>
  <c r="IR181" i="43"/>
  <c r="IS181" i="43"/>
  <c r="IT181" i="43"/>
  <c r="IU181" i="43"/>
  <c r="IV181" i="43"/>
  <c r="A180" i="43"/>
  <c r="B180" i="43"/>
  <c r="C180" i="43"/>
  <c r="D180" i="43"/>
  <c r="E180" i="43"/>
  <c r="F180" i="43"/>
  <c r="G180" i="43"/>
  <c r="H180" i="43"/>
  <c r="I180" i="43"/>
  <c r="J180" i="43"/>
  <c r="K180" i="43"/>
  <c r="L180" i="43"/>
  <c r="M180" i="43"/>
  <c r="N180" i="43"/>
  <c r="O180" i="43"/>
  <c r="P180" i="43"/>
  <c r="Q180" i="43"/>
  <c r="R180" i="43"/>
  <c r="S180" i="43"/>
  <c r="T180" i="43"/>
  <c r="U180" i="43"/>
  <c r="V180" i="43"/>
  <c r="W180" i="43"/>
  <c r="X180" i="43"/>
  <c r="Y180" i="43"/>
  <c r="Z180" i="43"/>
  <c r="AA180" i="43"/>
  <c r="AB180" i="43"/>
  <c r="AC180" i="43"/>
  <c r="AD180" i="43"/>
  <c r="AE180" i="43"/>
  <c r="AF180" i="43"/>
  <c r="AG180" i="43"/>
  <c r="AH180" i="43"/>
  <c r="AI180" i="43"/>
  <c r="AJ180" i="43"/>
  <c r="AK180" i="43"/>
  <c r="AL180" i="43"/>
  <c r="AM180" i="43"/>
  <c r="AN180" i="43"/>
  <c r="AO180" i="43"/>
  <c r="AP180" i="43"/>
  <c r="AQ180" i="43"/>
  <c r="AR180" i="43"/>
  <c r="AS180" i="43"/>
  <c r="AT180" i="43"/>
  <c r="AU180" i="43"/>
  <c r="AV180" i="43"/>
  <c r="AW180" i="43"/>
  <c r="AX180" i="43"/>
  <c r="AY180" i="43"/>
  <c r="AZ180" i="43"/>
  <c r="BA180" i="43"/>
  <c r="BB180" i="43"/>
  <c r="BC180" i="43"/>
  <c r="BD180" i="43"/>
  <c r="BE180" i="43"/>
  <c r="BF180" i="43"/>
  <c r="BG180" i="43"/>
  <c r="BH180" i="43"/>
  <c r="BI180" i="43"/>
  <c r="BJ180" i="43"/>
  <c r="BK180" i="43"/>
  <c r="BL180" i="43"/>
  <c r="BM180" i="43"/>
  <c r="BN180" i="43"/>
  <c r="BO180" i="43"/>
  <c r="BP180" i="43"/>
  <c r="BQ180" i="43"/>
  <c r="BR180" i="43"/>
  <c r="BS180" i="43"/>
  <c r="BT180" i="43"/>
  <c r="BU180" i="43"/>
  <c r="BV180" i="43"/>
  <c r="BW180" i="43"/>
  <c r="BX180" i="43"/>
  <c r="BY180" i="43"/>
  <c r="BZ180" i="43"/>
  <c r="CA180" i="43"/>
  <c r="CB180" i="43"/>
  <c r="CC180" i="43"/>
  <c r="CD180" i="43"/>
  <c r="CE180" i="43"/>
  <c r="CF180" i="43"/>
  <c r="CG180" i="43"/>
  <c r="CH180" i="43"/>
  <c r="CI180" i="43"/>
  <c r="CJ180" i="43"/>
  <c r="CK180" i="43"/>
  <c r="CL180" i="43"/>
  <c r="CM180" i="43"/>
  <c r="CN180" i="43"/>
  <c r="CO180" i="43"/>
  <c r="CP180" i="43"/>
  <c r="CQ180" i="43"/>
  <c r="CR180" i="43"/>
  <c r="CS180" i="43"/>
  <c r="CT180" i="43"/>
  <c r="CU180" i="43"/>
  <c r="CV180" i="43"/>
  <c r="CW180" i="43"/>
  <c r="CX180" i="43"/>
  <c r="CY180" i="43"/>
  <c r="CZ180" i="43"/>
  <c r="DA180" i="43"/>
  <c r="DB180" i="43"/>
  <c r="DC180" i="43"/>
  <c r="DD180" i="43"/>
  <c r="DE180" i="43"/>
  <c r="DF180" i="43"/>
  <c r="DG180" i="43"/>
  <c r="DH180" i="43"/>
  <c r="DI180" i="43"/>
  <c r="DJ180" i="43"/>
  <c r="DK180" i="43"/>
  <c r="DL180" i="43"/>
  <c r="DM180" i="43"/>
  <c r="DN180" i="43"/>
  <c r="DO180" i="43"/>
  <c r="DP180" i="43"/>
  <c r="DQ180" i="43"/>
  <c r="DR180" i="43"/>
  <c r="DS180" i="43"/>
  <c r="DT180" i="43"/>
  <c r="DU180" i="43"/>
  <c r="DV180" i="43"/>
  <c r="DW180" i="43"/>
  <c r="DX180" i="43"/>
  <c r="DY180" i="43"/>
  <c r="DZ180" i="43"/>
  <c r="EA180" i="43"/>
  <c r="EB180" i="43"/>
  <c r="EC180" i="43"/>
  <c r="ED180" i="43"/>
  <c r="EE180" i="43"/>
  <c r="EF180" i="43"/>
  <c r="EG180" i="43"/>
  <c r="EH180" i="43"/>
  <c r="EI180" i="43"/>
  <c r="EJ180" i="43"/>
  <c r="EK180" i="43"/>
  <c r="EL180" i="43"/>
  <c r="EM180" i="43"/>
  <c r="EN180" i="43"/>
  <c r="EO180" i="43"/>
  <c r="EP180" i="43"/>
  <c r="EQ180" i="43"/>
  <c r="ER180" i="43"/>
  <c r="ES180" i="43"/>
  <c r="ET180" i="43"/>
  <c r="EU180" i="43"/>
  <c r="EV180" i="43"/>
  <c r="EW180" i="43"/>
  <c r="EX180" i="43"/>
  <c r="EY180" i="43"/>
  <c r="EZ180" i="43"/>
  <c r="FA180" i="43"/>
  <c r="FB180" i="43"/>
  <c r="FC180" i="43"/>
  <c r="FD180" i="43"/>
  <c r="FE180" i="43"/>
  <c r="FF180" i="43"/>
  <c r="FG180" i="43"/>
  <c r="FH180" i="43"/>
  <c r="FI180" i="43"/>
  <c r="FJ180" i="43"/>
  <c r="FK180" i="43"/>
  <c r="FL180" i="43"/>
  <c r="FM180" i="43"/>
  <c r="FN180" i="43"/>
  <c r="FO180" i="43"/>
  <c r="FP180" i="43"/>
  <c r="FQ180" i="43"/>
  <c r="FR180" i="43"/>
  <c r="FS180" i="43"/>
  <c r="FT180" i="43"/>
  <c r="FU180" i="43"/>
  <c r="FV180" i="43"/>
  <c r="FW180" i="43"/>
  <c r="FX180" i="43"/>
  <c r="FY180" i="43"/>
  <c r="FZ180" i="43"/>
  <c r="GA180" i="43"/>
  <c r="GB180" i="43"/>
  <c r="GC180" i="43"/>
  <c r="GD180" i="43"/>
  <c r="GE180" i="43"/>
  <c r="GF180" i="43"/>
  <c r="GG180" i="43"/>
  <c r="GH180" i="43"/>
  <c r="GI180" i="43"/>
  <c r="GJ180" i="43"/>
  <c r="GK180" i="43"/>
  <c r="GL180" i="43"/>
  <c r="GM180" i="43"/>
  <c r="GN180" i="43"/>
  <c r="GO180" i="43"/>
  <c r="GP180" i="43"/>
  <c r="GQ180" i="43"/>
  <c r="GR180" i="43"/>
  <c r="GS180" i="43"/>
  <c r="GT180" i="43"/>
  <c r="GU180" i="43"/>
  <c r="GV180" i="43"/>
  <c r="GW180" i="43"/>
  <c r="GX180" i="43"/>
  <c r="GY180" i="43"/>
  <c r="GZ180" i="43"/>
  <c r="HA180" i="43"/>
  <c r="HB180" i="43"/>
  <c r="HC180" i="43"/>
  <c r="HD180" i="43"/>
  <c r="HE180" i="43"/>
  <c r="HF180" i="43"/>
  <c r="HG180" i="43"/>
  <c r="HH180" i="43"/>
  <c r="HI180" i="43"/>
  <c r="HJ180" i="43"/>
  <c r="HK180" i="43"/>
  <c r="HL180" i="43"/>
  <c r="HM180" i="43"/>
  <c r="HN180" i="43"/>
  <c r="HO180" i="43"/>
  <c r="HP180" i="43"/>
  <c r="HQ180" i="43"/>
  <c r="HR180" i="43"/>
  <c r="HS180" i="43"/>
  <c r="HT180" i="43"/>
  <c r="HU180" i="43"/>
  <c r="HV180" i="43"/>
  <c r="HW180" i="43"/>
  <c r="HX180" i="43"/>
  <c r="HY180" i="43"/>
  <c r="HZ180" i="43"/>
  <c r="IA180" i="43"/>
  <c r="IB180" i="43"/>
  <c r="IC180" i="43"/>
  <c r="ID180" i="43"/>
  <c r="IE180" i="43"/>
  <c r="IF180" i="43"/>
  <c r="IG180" i="43"/>
  <c r="IH180" i="43"/>
  <c r="II180" i="43"/>
  <c r="IJ180" i="43"/>
  <c r="IK180" i="43"/>
  <c r="IL180" i="43"/>
  <c r="IM180" i="43"/>
  <c r="IN180" i="43"/>
  <c r="IO180" i="43"/>
  <c r="IP180" i="43"/>
  <c r="IQ180" i="43"/>
  <c r="IR180" i="43"/>
  <c r="IS180" i="43"/>
  <c r="IT180" i="43"/>
  <c r="IU180" i="43"/>
  <c r="IV180" i="43"/>
  <c r="A179" i="43"/>
  <c r="B179" i="43"/>
  <c r="C179" i="43"/>
  <c r="D179" i="43"/>
  <c r="E179" i="43"/>
  <c r="F179" i="43"/>
  <c r="G179" i="43"/>
  <c r="H179" i="43"/>
  <c r="I179" i="43"/>
  <c r="J179" i="43"/>
  <c r="K179" i="43"/>
  <c r="L179" i="43"/>
  <c r="M179" i="43"/>
  <c r="N179" i="43"/>
  <c r="O179" i="43"/>
  <c r="P179" i="43"/>
  <c r="Q179" i="43"/>
  <c r="R179" i="43"/>
  <c r="S179" i="43"/>
  <c r="T179" i="43"/>
  <c r="U179" i="43"/>
  <c r="V179" i="43"/>
  <c r="W179" i="43"/>
  <c r="X179" i="43"/>
  <c r="Y179" i="43"/>
  <c r="Z179" i="43"/>
  <c r="AA179" i="43"/>
  <c r="AB179" i="43"/>
  <c r="AC179" i="43"/>
  <c r="AD179" i="43"/>
  <c r="AE179" i="43"/>
  <c r="AF179" i="43"/>
  <c r="AG179" i="43"/>
  <c r="AH179" i="43"/>
  <c r="AI179" i="43"/>
  <c r="AJ179" i="43"/>
  <c r="AK179" i="43"/>
  <c r="AL179" i="43"/>
  <c r="AM179" i="43"/>
  <c r="AN179" i="43"/>
  <c r="AO179" i="43"/>
  <c r="AP179" i="43"/>
  <c r="AQ179" i="43"/>
  <c r="AR179" i="43"/>
  <c r="AS179" i="43"/>
  <c r="AT179" i="43"/>
  <c r="AU179" i="43"/>
  <c r="AV179" i="43"/>
  <c r="AW179" i="43"/>
  <c r="AX179" i="43"/>
  <c r="AY179" i="43"/>
  <c r="AZ179" i="43"/>
  <c r="BA179" i="43"/>
  <c r="BB179" i="43"/>
  <c r="BC179" i="43"/>
  <c r="BD179" i="43"/>
  <c r="BE179" i="43"/>
  <c r="BF179" i="43"/>
  <c r="BG179" i="43"/>
  <c r="BH179" i="43"/>
  <c r="BI179" i="43"/>
  <c r="BJ179" i="43"/>
  <c r="BK179" i="43"/>
  <c r="BL179" i="43"/>
  <c r="BM179" i="43"/>
  <c r="BN179" i="43"/>
  <c r="BO179" i="43"/>
  <c r="BP179" i="43"/>
  <c r="BQ179" i="43"/>
  <c r="BR179" i="43"/>
  <c r="BS179" i="43"/>
  <c r="BT179" i="43"/>
  <c r="BU179" i="43"/>
  <c r="BV179" i="43"/>
  <c r="BW179" i="43"/>
  <c r="BX179" i="43"/>
  <c r="BY179" i="43"/>
  <c r="BZ179" i="43"/>
  <c r="CA179" i="43"/>
  <c r="CB179" i="43"/>
  <c r="CC179" i="43"/>
  <c r="CD179" i="43"/>
  <c r="CE179" i="43"/>
  <c r="CF179" i="43"/>
  <c r="CG179" i="43"/>
  <c r="CH179" i="43"/>
  <c r="CI179" i="43"/>
  <c r="CJ179" i="43"/>
  <c r="CK179" i="43"/>
  <c r="CL179" i="43"/>
  <c r="CM179" i="43"/>
  <c r="CN179" i="43"/>
  <c r="CO179" i="43"/>
  <c r="CP179" i="43"/>
  <c r="CQ179" i="43"/>
  <c r="CR179" i="43"/>
  <c r="CS179" i="43"/>
  <c r="CT179" i="43"/>
  <c r="CU179" i="43"/>
  <c r="CV179" i="43"/>
  <c r="CW179" i="43"/>
  <c r="CX179" i="43"/>
  <c r="CY179" i="43"/>
  <c r="CZ179" i="43"/>
  <c r="DA179" i="43"/>
  <c r="DB179" i="43"/>
  <c r="DC179" i="43"/>
  <c r="DD179" i="43"/>
  <c r="DE179" i="43"/>
  <c r="DF179" i="43"/>
  <c r="DG179" i="43"/>
  <c r="DH179" i="43"/>
  <c r="DI179" i="43"/>
  <c r="DJ179" i="43"/>
  <c r="DK179" i="43"/>
  <c r="DL179" i="43"/>
  <c r="DM179" i="43"/>
  <c r="DN179" i="43"/>
  <c r="DO179" i="43"/>
  <c r="DP179" i="43"/>
  <c r="DQ179" i="43"/>
  <c r="DR179" i="43"/>
  <c r="DS179" i="43"/>
  <c r="DT179" i="43"/>
  <c r="DU179" i="43"/>
  <c r="DV179" i="43"/>
  <c r="DW179" i="43"/>
  <c r="DX179" i="43"/>
  <c r="DY179" i="43"/>
  <c r="DZ179" i="43"/>
  <c r="EA179" i="43"/>
  <c r="EB179" i="43"/>
  <c r="EC179" i="43"/>
  <c r="ED179" i="43"/>
  <c r="EE179" i="43"/>
  <c r="EF179" i="43"/>
  <c r="EG179" i="43"/>
  <c r="EH179" i="43"/>
  <c r="EI179" i="43"/>
  <c r="EJ179" i="43"/>
  <c r="EK179" i="43"/>
  <c r="EL179" i="43"/>
  <c r="EM179" i="43"/>
  <c r="EN179" i="43"/>
  <c r="EO179" i="43"/>
  <c r="EP179" i="43"/>
  <c r="EQ179" i="43"/>
  <c r="ER179" i="43"/>
  <c r="ES179" i="43"/>
  <c r="ET179" i="43"/>
  <c r="EU179" i="43"/>
  <c r="EV179" i="43"/>
  <c r="EW179" i="43"/>
  <c r="EX179" i="43"/>
  <c r="EY179" i="43"/>
  <c r="EZ179" i="43"/>
  <c r="FA179" i="43"/>
  <c r="FB179" i="43"/>
  <c r="FC179" i="43"/>
  <c r="FD179" i="43"/>
  <c r="FE179" i="43"/>
  <c r="FF179" i="43"/>
  <c r="FG179" i="43"/>
  <c r="FH179" i="43"/>
  <c r="FI179" i="43"/>
  <c r="FJ179" i="43"/>
  <c r="FK179" i="43"/>
  <c r="FL179" i="43"/>
  <c r="FM179" i="43"/>
  <c r="FN179" i="43"/>
  <c r="FO179" i="43"/>
  <c r="FP179" i="43"/>
  <c r="FQ179" i="43"/>
  <c r="FR179" i="43"/>
  <c r="FS179" i="43"/>
  <c r="FT179" i="43"/>
  <c r="FU179" i="43"/>
  <c r="FV179" i="43"/>
  <c r="FW179" i="43"/>
  <c r="FX179" i="43"/>
  <c r="FY179" i="43"/>
  <c r="FZ179" i="43"/>
  <c r="GA179" i="43"/>
  <c r="GB179" i="43"/>
  <c r="GC179" i="43"/>
  <c r="GD179" i="43"/>
  <c r="GE179" i="43"/>
  <c r="GF179" i="43"/>
  <c r="GG179" i="43"/>
  <c r="GH179" i="43"/>
  <c r="GI179" i="43"/>
  <c r="GJ179" i="43"/>
  <c r="GK179" i="43"/>
  <c r="GL179" i="43"/>
  <c r="GM179" i="43"/>
  <c r="GN179" i="43"/>
  <c r="GO179" i="43"/>
  <c r="GP179" i="43"/>
  <c r="GQ179" i="43"/>
  <c r="GR179" i="43"/>
  <c r="GS179" i="43"/>
  <c r="GT179" i="43"/>
  <c r="GU179" i="43"/>
  <c r="GV179" i="43"/>
  <c r="GW179" i="43"/>
  <c r="GX179" i="43"/>
  <c r="GY179" i="43"/>
  <c r="GZ179" i="43"/>
  <c r="HA179" i="43"/>
  <c r="HB179" i="43"/>
  <c r="HC179" i="43"/>
  <c r="HD179" i="43"/>
  <c r="HE179" i="43"/>
  <c r="HF179" i="43"/>
  <c r="HG179" i="43"/>
  <c r="HH179" i="43"/>
  <c r="HI179" i="43"/>
  <c r="HJ179" i="43"/>
  <c r="HK179" i="43"/>
  <c r="HL179" i="43"/>
  <c r="HM179" i="43"/>
  <c r="HN179" i="43"/>
  <c r="HO179" i="43"/>
  <c r="HP179" i="43"/>
  <c r="HQ179" i="43"/>
  <c r="HR179" i="43"/>
  <c r="HS179" i="43"/>
  <c r="HT179" i="43"/>
  <c r="HU179" i="43"/>
  <c r="HV179" i="43"/>
  <c r="HW179" i="43"/>
  <c r="HX179" i="43"/>
  <c r="HY179" i="43"/>
  <c r="HZ179" i="43"/>
  <c r="IA179" i="43"/>
  <c r="IB179" i="43"/>
  <c r="IC179" i="43"/>
  <c r="ID179" i="43"/>
  <c r="IE179" i="43"/>
  <c r="IF179" i="43"/>
  <c r="IG179" i="43"/>
  <c r="IH179" i="43"/>
  <c r="II179" i="43"/>
  <c r="IJ179" i="43"/>
  <c r="IK179" i="43"/>
  <c r="IL179" i="43"/>
  <c r="IM179" i="43"/>
  <c r="IN179" i="43"/>
  <c r="IO179" i="43"/>
  <c r="IP179" i="43"/>
  <c r="IQ179" i="43"/>
  <c r="IR179" i="43"/>
  <c r="IS179" i="43"/>
  <c r="IT179" i="43"/>
  <c r="IU179" i="43"/>
  <c r="IV179" i="43"/>
  <c r="A178" i="43"/>
  <c r="B178" i="43"/>
  <c r="C178" i="43"/>
  <c r="D178" i="43"/>
  <c r="E178" i="43"/>
  <c r="F178" i="43"/>
  <c r="G178" i="43"/>
  <c r="H178" i="43"/>
  <c r="I178" i="43"/>
  <c r="J178" i="43"/>
  <c r="K178" i="43"/>
  <c r="L178" i="43"/>
  <c r="M178" i="43"/>
  <c r="N178" i="43"/>
  <c r="O178" i="43"/>
  <c r="P178" i="43"/>
  <c r="Q178" i="43"/>
  <c r="R178" i="43"/>
  <c r="S178" i="43"/>
  <c r="T178" i="43"/>
  <c r="U178" i="43"/>
  <c r="V178" i="43"/>
  <c r="W178" i="43"/>
  <c r="X178" i="43"/>
  <c r="Y178" i="43"/>
  <c r="Z178" i="43"/>
  <c r="AA178" i="43"/>
  <c r="AB178" i="43"/>
  <c r="AC178" i="43"/>
  <c r="AD178" i="43"/>
  <c r="AE178" i="43"/>
  <c r="AF178" i="43"/>
  <c r="AG178" i="43"/>
  <c r="AH178" i="43"/>
  <c r="AI178" i="43"/>
  <c r="AJ178" i="43"/>
  <c r="AK178" i="43"/>
  <c r="AL178" i="43"/>
  <c r="AM178" i="43"/>
  <c r="AN178" i="43"/>
  <c r="AO178" i="43"/>
  <c r="AP178" i="43"/>
  <c r="AQ178" i="43"/>
  <c r="AR178" i="43"/>
  <c r="AS178" i="43"/>
  <c r="AT178" i="43"/>
  <c r="AU178" i="43"/>
  <c r="AV178" i="43"/>
  <c r="AW178" i="43"/>
  <c r="AX178" i="43"/>
  <c r="AY178" i="43"/>
  <c r="AZ178" i="43"/>
  <c r="BA178" i="43"/>
  <c r="BB178" i="43"/>
  <c r="BC178" i="43"/>
  <c r="BD178" i="43"/>
  <c r="BE178" i="43"/>
  <c r="BF178" i="43"/>
  <c r="BG178" i="43"/>
  <c r="BH178" i="43"/>
  <c r="BI178" i="43"/>
  <c r="BJ178" i="43"/>
  <c r="BK178" i="43"/>
  <c r="BL178" i="43"/>
  <c r="BM178" i="43"/>
  <c r="BN178" i="43"/>
  <c r="BO178" i="43"/>
  <c r="BP178" i="43"/>
  <c r="BQ178" i="43"/>
  <c r="BR178" i="43"/>
  <c r="BS178" i="43"/>
  <c r="BT178" i="43"/>
  <c r="BU178" i="43"/>
  <c r="BV178" i="43"/>
  <c r="BW178" i="43"/>
  <c r="BX178" i="43"/>
  <c r="BY178" i="43"/>
  <c r="BZ178" i="43"/>
  <c r="CA178" i="43"/>
  <c r="CB178" i="43"/>
  <c r="CC178" i="43"/>
  <c r="CD178" i="43"/>
  <c r="CE178" i="43"/>
  <c r="CF178" i="43"/>
  <c r="CG178" i="43"/>
  <c r="CH178" i="43"/>
  <c r="CI178" i="43"/>
  <c r="CJ178" i="43"/>
  <c r="CK178" i="43"/>
  <c r="CL178" i="43"/>
  <c r="CM178" i="43"/>
  <c r="CN178" i="43"/>
  <c r="CO178" i="43"/>
  <c r="CP178" i="43"/>
  <c r="CQ178" i="43"/>
  <c r="CR178" i="43"/>
  <c r="CS178" i="43"/>
  <c r="CT178" i="43"/>
  <c r="CU178" i="43"/>
  <c r="CV178" i="43"/>
  <c r="CW178" i="43"/>
  <c r="CX178" i="43"/>
  <c r="CY178" i="43"/>
  <c r="CZ178" i="43"/>
  <c r="DA178" i="43"/>
  <c r="DB178" i="43"/>
  <c r="DC178" i="43"/>
  <c r="DD178" i="43"/>
  <c r="DE178" i="43"/>
  <c r="DF178" i="43"/>
  <c r="DG178" i="43"/>
  <c r="DH178" i="43"/>
  <c r="DI178" i="43"/>
  <c r="DJ178" i="43"/>
  <c r="DK178" i="43"/>
  <c r="DL178" i="43"/>
  <c r="DM178" i="43"/>
  <c r="DN178" i="43"/>
  <c r="DO178" i="43"/>
  <c r="DP178" i="43"/>
  <c r="DQ178" i="43"/>
  <c r="DR178" i="43"/>
  <c r="DS178" i="43"/>
  <c r="DT178" i="43"/>
  <c r="DU178" i="43"/>
  <c r="DV178" i="43"/>
  <c r="DW178" i="43"/>
  <c r="DX178" i="43"/>
  <c r="DY178" i="43"/>
  <c r="DZ178" i="43"/>
  <c r="EA178" i="43"/>
  <c r="EB178" i="43"/>
  <c r="EC178" i="43"/>
  <c r="ED178" i="43"/>
  <c r="EE178" i="43"/>
  <c r="EF178" i="43"/>
  <c r="EG178" i="43"/>
  <c r="EH178" i="43"/>
  <c r="EI178" i="43"/>
  <c r="EJ178" i="43"/>
  <c r="EK178" i="43"/>
  <c r="EL178" i="43"/>
  <c r="EM178" i="43"/>
  <c r="EN178" i="43"/>
  <c r="EO178" i="43"/>
  <c r="EP178" i="43"/>
  <c r="EQ178" i="43"/>
  <c r="ER178" i="43"/>
  <c r="ES178" i="43"/>
  <c r="ET178" i="43"/>
  <c r="EU178" i="43"/>
  <c r="EV178" i="43"/>
  <c r="EW178" i="43"/>
  <c r="EX178" i="43"/>
  <c r="EY178" i="43"/>
  <c r="EZ178" i="43"/>
  <c r="FA178" i="43"/>
  <c r="FB178" i="43"/>
  <c r="FC178" i="43"/>
  <c r="FD178" i="43"/>
  <c r="FE178" i="43"/>
  <c r="FF178" i="43"/>
  <c r="FG178" i="43"/>
  <c r="FH178" i="43"/>
  <c r="FI178" i="43"/>
  <c r="FJ178" i="43"/>
  <c r="FK178" i="43"/>
  <c r="FL178" i="43"/>
  <c r="FM178" i="43"/>
  <c r="FN178" i="43"/>
  <c r="FO178" i="43"/>
  <c r="FP178" i="43"/>
  <c r="FQ178" i="43"/>
  <c r="FR178" i="43"/>
  <c r="FS178" i="43"/>
  <c r="FT178" i="43"/>
  <c r="FU178" i="43"/>
  <c r="FV178" i="43"/>
  <c r="FW178" i="43"/>
  <c r="FX178" i="43"/>
  <c r="FY178" i="43"/>
  <c r="FZ178" i="43"/>
  <c r="GA178" i="43"/>
  <c r="GB178" i="43"/>
  <c r="GC178" i="43"/>
  <c r="GD178" i="43"/>
  <c r="GE178" i="43"/>
  <c r="GF178" i="43"/>
  <c r="GG178" i="43"/>
  <c r="GH178" i="43"/>
  <c r="GI178" i="43"/>
  <c r="GJ178" i="43"/>
  <c r="GK178" i="43"/>
  <c r="GL178" i="43"/>
  <c r="GM178" i="43"/>
  <c r="GN178" i="43"/>
  <c r="GO178" i="43"/>
  <c r="GP178" i="43"/>
  <c r="GQ178" i="43"/>
  <c r="GR178" i="43"/>
  <c r="GS178" i="43"/>
  <c r="GT178" i="43"/>
  <c r="GU178" i="43"/>
  <c r="GV178" i="43"/>
  <c r="GW178" i="43"/>
  <c r="GX178" i="43"/>
  <c r="GY178" i="43"/>
  <c r="GZ178" i="43"/>
  <c r="HA178" i="43"/>
  <c r="HB178" i="43"/>
  <c r="HC178" i="43"/>
  <c r="HD178" i="43"/>
  <c r="HE178" i="43"/>
  <c r="HF178" i="43"/>
  <c r="HG178" i="43"/>
  <c r="HH178" i="43"/>
  <c r="HI178" i="43"/>
  <c r="HJ178" i="43"/>
  <c r="HK178" i="43"/>
  <c r="HL178" i="43"/>
  <c r="HM178" i="43"/>
  <c r="HN178" i="43"/>
  <c r="HO178" i="43"/>
  <c r="HP178" i="43"/>
  <c r="HQ178" i="43"/>
  <c r="HR178" i="43"/>
  <c r="HS178" i="43"/>
  <c r="HT178" i="43"/>
  <c r="HU178" i="43"/>
  <c r="HV178" i="43"/>
  <c r="HW178" i="43"/>
  <c r="HX178" i="43"/>
  <c r="HY178" i="43"/>
  <c r="HZ178" i="43"/>
  <c r="IA178" i="43"/>
  <c r="IB178" i="43"/>
  <c r="IC178" i="43"/>
  <c r="ID178" i="43"/>
  <c r="IE178" i="43"/>
  <c r="IF178" i="43"/>
  <c r="IG178" i="43"/>
  <c r="IH178" i="43"/>
  <c r="II178" i="43"/>
  <c r="IJ178" i="43"/>
  <c r="IK178" i="43"/>
  <c r="IL178" i="43"/>
  <c r="IM178" i="43"/>
  <c r="IN178" i="43"/>
  <c r="IO178" i="43"/>
  <c r="IP178" i="43"/>
  <c r="IQ178" i="43"/>
  <c r="IR178" i="43"/>
  <c r="IS178" i="43"/>
  <c r="IT178" i="43"/>
  <c r="IU178" i="43"/>
  <c r="IV178" i="43"/>
  <c r="A177" i="43"/>
  <c r="B177" i="43"/>
  <c r="C177" i="43"/>
  <c r="D177" i="43"/>
  <c r="E177" i="43"/>
  <c r="F177" i="43"/>
  <c r="G177" i="43"/>
  <c r="H177" i="43"/>
  <c r="I177" i="43"/>
  <c r="J177" i="43"/>
  <c r="K177" i="43"/>
  <c r="L177" i="43"/>
  <c r="M177" i="43"/>
  <c r="N177" i="43"/>
  <c r="O177" i="43"/>
  <c r="P177" i="43"/>
  <c r="Q177" i="43"/>
  <c r="R177" i="43"/>
  <c r="S177" i="43"/>
  <c r="T177" i="43"/>
  <c r="U177" i="43"/>
  <c r="V177" i="43"/>
  <c r="W177" i="43"/>
  <c r="X177" i="43"/>
  <c r="Y177" i="43"/>
  <c r="Z177" i="43"/>
  <c r="AA177" i="43"/>
  <c r="AB177" i="43"/>
  <c r="AC177" i="43"/>
  <c r="AD177" i="43"/>
  <c r="AE177" i="43"/>
  <c r="AF177" i="43"/>
  <c r="AG177" i="43"/>
  <c r="AH177" i="43"/>
  <c r="AI177" i="43"/>
  <c r="AJ177" i="43"/>
  <c r="AK177" i="43"/>
  <c r="AL177" i="43"/>
  <c r="AM177" i="43"/>
  <c r="AN177" i="43"/>
  <c r="AO177" i="43"/>
  <c r="AP177" i="43"/>
  <c r="AQ177" i="43"/>
  <c r="AR177" i="43"/>
  <c r="AS177" i="43"/>
  <c r="AT177" i="43"/>
  <c r="AU177" i="43"/>
  <c r="AV177" i="43"/>
  <c r="AW177" i="43"/>
  <c r="AX177" i="43"/>
  <c r="AY177" i="43"/>
  <c r="AZ177" i="43"/>
  <c r="BA177" i="43"/>
  <c r="BB177" i="43"/>
  <c r="BC177" i="43"/>
  <c r="BD177" i="43"/>
  <c r="BE177" i="43"/>
  <c r="BF177" i="43"/>
  <c r="BG177" i="43"/>
  <c r="BH177" i="43"/>
  <c r="BI177" i="43"/>
  <c r="BJ177" i="43"/>
  <c r="BK177" i="43"/>
  <c r="BL177" i="43"/>
  <c r="BM177" i="43"/>
  <c r="BN177" i="43"/>
  <c r="BO177" i="43"/>
  <c r="BP177" i="43"/>
  <c r="BQ177" i="43"/>
  <c r="BR177" i="43"/>
  <c r="BS177" i="43"/>
  <c r="BT177" i="43"/>
  <c r="BU177" i="43"/>
  <c r="BV177" i="43"/>
  <c r="BW177" i="43"/>
  <c r="BX177" i="43"/>
  <c r="BY177" i="43"/>
  <c r="BZ177" i="43"/>
  <c r="CA177" i="43"/>
  <c r="CB177" i="43"/>
  <c r="CC177" i="43"/>
  <c r="CD177" i="43"/>
  <c r="CE177" i="43"/>
  <c r="CF177" i="43"/>
  <c r="CG177" i="43"/>
  <c r="CH177" i="43"/>
  <c r="CI177" i="43"/>
  <c r="CJ177" i="43"/>
  <c r="CK177" i="43"/>
  <c r="CL177" i="43"/>
  <c r="CM177" i="43"/>
  <c r="CN177" i="43"/>
  <c r="CO177" i="43"/>
  <c r="CP177" i="43"/>
  <c r="CQ177" i="43"/>
  <c r="CR177" i="43"/>
  <c r="CS177" i="43"/>
  <c r="CT177" i="43"/>
  <c r="CU177" i="43"/>
  <c r="CV177" i="43"/>
  <c r="CW177" i="43"/>
  <c r="CX177" i="43"/>
  <c r="CY177" i="43"/>
  <c r="CZ177" i="43"/>
  <c r="DA177" i="43"/>
  <c r="DB177" i="43"/>
  <c r="DC177" i="43"/>
  <c r="DD177" i="43"/>
  <c r="DE177" i="43"/>
  <c r="DF177" i="43"/>
  <c r="DG177" i="43"/>
  <c r="DH177" i="43"/>
  <c r="DI177" i="43"/>
  <c r="DJ177" i="43"/>
  <c r="DK177" i="43"/>
  <c r="DL177" i="43"/>
  <c r="DM177" i="43"/>
  <c r="DN177" i="43"/>
  <c r="DO177" i="43"/>
  <c r="DP177" i="43"/>
  <c r="DQ177" i="43"/>
  <c r="DR177" i="43"/>
  <c r="DS177" i="43"/>
  <c r="DT177" i="43"/>
  <c r="DU177" i="43"/>
  <c r="DV177" i="43"/>
  <c r="DW177" i="43"/>
  <c r="DX177" i="43"/>
  <c r="DY177" i="43"/>
  <c r="DZ177" i="43"/>
  <c r="EA177" i="43"/>
  <c r="EB177" i="43"/>
  <c r="EC177" i="43"/>
  <c r="ED177" i="43"/>
  <c r="EE177" i="43"/>
  <c r="EF177" i="43"/>
  <c r="EG177" i="43"/>
  <c r="EH177" i="43"/>
  <c r="EI177" i="43"/>
  <c r="EJ177" i="43"/>
  <c r="EK177" i="43"/>
  <c r="EL177" i="43"/>
  <c r="EM177" i="43"/>
  <c r="EN177" i="43"/>
  <c r="EO177" i="43"/>
  <c r="EP177" i="43"/>
  <c r="EQ177" i="43"/>
  <c r="ER177" i="43"/>
  <c r="ES177" i="43"/>
  <c r="ET177" i="43"/>
  <c r="EU177" i="43"/>
  <c r="EV177" i="43"/>
  <c r="EW177" i="43"/>
  <c r="EX177" i="43"/>
  <c r="EY177" i="43"/>
  <c r="EZ177" i="43"/>
  <c r="FA177" i="43"/>
  <c r="FB177" i="43"/>
  <c r="FC177" i="43"/>
  <c r="FD177" i="43"/>
  <c r="FE177" i="43"/>
  <c r="FF177" i="43"/>
  <c r="FG177" i="43"/>
  <c r="FH177" i="43"/>
  <c r="FI177" i="43"/>
  <c r="FJ177" i="43"/>
  <c r="FK177" i="43"/>
  <c r="FL177" i="43"/>
  <c r="FM177" i="43"/>
  <c r="FN177" i="43"/>
  <c r="FO177" i="43"/>
  <c r="FP177" i="43"/>
  <c r="FQ177" i="43"/>
  <c r="FR177" i="43"/>
  <c r="FS177" i="43"/>
  <c r="FT177" i="43"/>
  <c r="FU177" i="43"/>
  <c r="FV177" i="43"/>
  <c r="FW177" i="43"/>
  <c r="FX177" i="43"/>
  <c r="FY177" i="43"/>
  <c r="FZ177" i="43"/>
  <c r="GA177" i="43"/>
  <c r="GB177" i="43"/>
  <c r="GC177" i="43"/>
  <c r="GD177" i="43"/>
  <c r="GE177" i="43"/>
  <c r="GF177" i="43"/>
  <c r="GG177" i="43"/>
  <c r="GH177" i="43"/>
  <c r="GI177" i="43"/>
  <c r="GJ177" i="43"/>
  <c r="GK177" i="43"/>
  <c r="GL177" i="43"/>
  <c r="GM177" i="43"/>
  <c r="GN177" i="43"/>
  <c r="GO177" i="43"/>
  <c r="GP177" i="43"/>
  <c r="GQ177" i="43"/>
  <c r="GR177" i="43"/>
  <c r="GS177" i="43"/>
  <c r="GT177" i="43"/>
  <c r="GU177" i="43"/>
  <c r="GV177" i="43"/>
  <c r="GW177" i="43"/>
  <c r="GX177" i="43"/>
  <c r="GY177" i="43"/>
  <c r="GZ177" i="43"/>
  <c r="HA177" i="43"/>
  <c r="HB177" i="43"/>
  <c r="HC177" i="43"/>
  <c r="HD177" i="43"/>
  <c r="HE177" i="43"/>
  <c r="HF177" i="43"/>
  <c r="HG177" i="43"/>
  <c r="HH177" i="43"/>
  <c r="HI177" i="43"/>
  <c r="HJ177" i="43"/>
  <c r="HK177" i="43"/>
  <c r="HL177" i="43"/>
  <c r="HM177" i="43"/>
  <c r="HN177" i="43"/>
  <c r="HO177" i="43"/>
  <c r="HP177" i="43"/>
  <c r="HQ177" i="43"/>
  <c r="HR177" i="43"/>
  <c r="HS177" i="43"/>
  <c r="HT177" i="43"/>
  <c r="HU177" i="43"/>
  <c r="HV177" i="43"/>
  <c r="HW177" i="43"/>
  <c r="HX177" i="43"/>
  <c r="HY177" i="43"/>
  <c r="HZ177" i="43"/>
  <c r="IA177" i="43"/>
  <c r="IB177" i="43"/>
  <c r="IC177" i="43"/>
  <c r="ID177" i="43"/>
  <c r="IE177" i="43"/>
  <c r="IF177" i="43"/>
  <c r="IG177" i="43"/>
  <c r="IH177" i="43"/>
  <c r="II177" i="43"/>
  <c r="IJ177" i="43"/>
  <c r="IK177" i="43"/>
  <c r="IL177" i="43"/>
  <c r="IM177" i="43"/>
  <c r="IN177" i="43"/>
  <c r="IO177" i="43"/>
  <c r="IP177" i="43"/>
  <c r="IQ177" i="43"/>
  <c r="IR177" i="43"/>
  <c r="IS177" i="43"/>
  <c r="IT177" i="43"/>
  <c r="IU177" i="43"/>
  <c r="IV177" i="43"/>
  <c r="A176" i="43"/>
  <c r="B176" i="43"/>
  <c r="C176" i="43"/>
  <c r="D176" i="43"/>
  <c r="E176" i="43"/>
  <c r="F176" i="43"/>
  <c r="G176" i="43"/>
  <c r="H176" i="43"/>
  <c r="I176" i="43"/>
  <c r="J176" i="43"/>
  <c r="K176" i="43"/>
  <c r="L176" i="43"/>
  <c r="M176" i="43"/>
  <c r="N176" i="43"/>
  <c r="O176" i="43"/>
  <c r="P176" i="43"/>
  <c r="Q176" i="43"/>
  <c r="R176" i="43"/>
  <c r="S176" i="43"/>
  <c r="T176" i="43"/>
  <c r="U176" i="43"/>
  <c r="V176" i="43"/>
  <c r="W176" i="43"/>
  <c r="X176" i="43"/>
  <c r="Y176" i="43"/>
  <c r="Z176" i="43"/>
  <c r="AA176" i="43"/>
  <c r="AB176" i="43"/>
  <c r="AC176" i="43"/>
  <c r="AD176" i="43"/>
  <c r="AE176" i="43"/>
  <c r="AF176" i="43"/>
  <c r="AG176" i="43"/>
  <c r="AH176" i="43"/>
  <c r="AI176" i="43"/>
  <c r="AJ176" i="43"/>
  <c r="AK176" i="43"/>
  <c r="AL176" i="43"/>
  <c r="AM176" i="43"/>
  <c r="AN176" i="43"/>
  <c r="AO176" i="43"/>
  <c r="AP176" i="43"/>
  <c r="AQ176" i="43"/>
  <c r="AR176" i="43"/>
  <c r="AS176" i="43"/>
  <c r="AT176" i="43"/>
  <c r="AU176" i="43"/>
  <c r="AV176" i="43"/>
  <c r="AW176" i="43"/>
  <c r="AX176" i="43"/>
  <c r="AY176" i="43"/>
  <c r="AZ176" i="43"/>
  <c r="BA176" i="43"/>
  <c r="BB176" i="43"/>
  <c r="BC176" i="43"/>
  <c r="BD176" i="43"/>
  <c r="BE176" i="43"/>
  <c r="BF176" i="43"/>
  <c r="BG176" i="43"/>
  <c r="BH176" i="43"/>
  <c r="BI176" i="43"/>
  <c r="BJ176" i="43"/>
  <c r="BK176" i="43"/>
  <c r="BL176" i="43"/>
  <c r="BM176" i="43"/>
  <c r="BN176" i="43"/>
  <c r="BO176" i="43"/>
  <c r="BP176" i="43"/>
  <c r="BQ176" i="43"/>
  <c r="BR176" i="43"/>
  <c r="BS176" i="43"/>
  <c r="BT176" i="43"/>
  <c r="BU176" i="43"/>
  <c r="BV176" i="43"/>
  <c r="BW176" i="43"/>
  <c r="BX176" i="43"/>
  <c r="BY176" i="43"/>
  <c r="BZ176" i="43"/>
  <c r="CA176" i="43"/>
  <c r="CB176" i="43"/>
  <c r="CC176" i="43"/>
  <c r="CD176" i="43"/>
  <c r="CE176" i="43"/>
  <c r="CF176" i="43"/>
  <c r="CG176" i="43"/>
  <c r="CH176" i="43"/>
  <c r="CI176" i="43"/>
  <c r="CJ176" i="43"/>
  <c r="CK176" i="43"/>
  <c r="CL176" i="43"/>
  <c r="CM176" i="43"/>
  <c r="CN176" i="43"/>
  <c r="CO176" i="43"/>
  <c r="CP176" i="43"/>
  <c r="CQ176" i="43"/>
  <c r="CR176" i="43"/>
  <c r="CS176" i="43"/>
  <c r="CT176" i="43"/>
  <c r="CU176" i="43"/>
  <c r="CV176" i="43"/>
  <c r="CW176" i="43"/>
  <c r="CX176" i="43"/>
  <c r="CY176" i="43"/>
  <c r="CZ176" i="43"/>
  <c r="DA176" i="43"/>
  <c r="DB176" i="43"/>
  <c r="DC176" i="43"/>
  <c r="DD176" i="43"/>
  <c r="DE176" i="43"/>
  <c r="DF176" i="43"/>
  <c r="DG176" i="43"/>
  <c r="DH176" i="43"/>
  <c r="DI176" i="43"/>
  <c r="DJ176" i="43"/>
  <c r="DK176" i="43"/>
  <c r="DL176" i="43"/>
  <c r="DM176" i="43"/>
  <c r="DN176" i="43"/>
  <c r="DO176" i="43"/>
  <c r="DP176" i="43"/>
  <c r="DQ176" i="43"/>
  <c r="DR176" i="43"/>
  <c r="DS176" i="43"/>
  <c r="DT176" i="43"/>
  <c r="DU176" i="43"/>
  <c r="DV176" i="43"/>
  <c r="DW176" i="43"/>
  <c r="DX176" i="43"/>
  <c r="DY176" i="43"/>
  <c r="DZ176" i="43"/>
  <c r="EA176" i="43"/>
  <c r="EB176" i="43"/>
  <c r="EC176" i="43"/>
  <c r="ED176" i="43"/>
  <c r="EE176" i="43"/>
  <c r="EF176" i="43"/>
  <c r="EG176" i="43"/>
  <c r="EH176" i="43"/>
  <c r="EI176" i="43"/>
  <c r="EJ176" i="43"/>
  <c r="EK176" i="43"/>
  <c r="EL176" i="43"/>
  <c r="EM176" i="43"/>
  <c r="EN176" i="43"/>
  <c r="EO176" i="43"/>
  <c r="EP176" i="43"/>
  <c r="EQ176" i="43"/>
  <c r="ER176" i="43"/>
  <c r="ES176" i="43"/>
  <c r="ET176" i="43"/>
  <c r="EU176" i="43"/>
  <c r="EV176" i="43"/>
  <c r="EW176" i="43"/>
  <c r="EX176" i="43"/>
  <c r="EY176" i="43"/>
  <c r="EZ176" i="43"/>
  <c r="FA176" i="43"/>
  <c r="FB176" i="43"/>
  <c r="FC176" i="43"/>
  <c r="FD176" i="43"/>
  <c r="FE176" i="43"/>
  <c r="FF176" i="43"/>
  <c r="FG176" i="43"/>
  <c r="FH176" i="43"/>
  <c r="FI176" i="43"/>
  <c r="FJ176" i="43"/>
  <c r="FK176" i="43"/>
  <c r="FL176" i="43"/>
  <c r="FM176" i="43"/>
  <c r="FN176" i="43"/>
  <c r="FO176" i="43"/>
  <c r="FP176" i="43"/>
  <c r="FQ176" i="43"/>
  <c r="FR176" i="43"/>
  <c r="FS176" i="43"/>
  <c r="FT176" i="43"/>
  <c r="FU176" i="43"/>
  <c r="FV176" i="43"/>
  <c r="FW176" i="43"/>
  <c r="FX176" i="43"/>
  <c r="FY176" i="43"/>
  <c r="FZ176" i="43"/>
  <c r="GA176" i="43"/>
  <c r="GB176" i="43"/>
  <c r="GC176" i="43"/>
  <c r="GD176" i="43"/>
  <c r="GE176" i="43"/>
  <c r="GF176" i="43"/>
  <c r="GG176" i="43"/>
  <c r="GH176" i="43"/>
  <c r="GI176" i="43"/>
  <c r="GJ176" i="43"/>
  <c r="GK176" i="43"/>
  <c r="GL176" i="43"/>
  <c r="GM176" i="43"/>
  <c r="GN176" i="43"/>
  <c r="GO176" i="43"/>
  <c r="GP176" i="43"/>
  <c r="GQ176" i="43"/>
  <c r="GR176" i="43"/>
  <c r="GS176" i="43"/>
  <c r="GT176" i="43"/>
  <c r="GU176" i="43"/>
  <c r="GV176" i="43"/>
  <c r="GW176" i="43"/>
  <c r="GX176" i="43"/>
  <c r="GY176" i="43"/>
  <c r="GZ176" i="43"/>
  <c r="HA176" i="43"/>
  <c r="HB176" i="43"/>
  <c r="HC176" i="43"/>
  <c r="HD176" i="43"/>
  <c r="HE176" i="43"/>
  <c r="HF176" i="43"/>
  <c r="HG176" i="43"/>
  <c r="HH176" i="43"/>
  <c r="HI176" i="43"/>
  <c r="HJ176" i="43"/>
  <c r="HK176" i="43"/>
  <c r="HL176" i="43"/>
  <c r="HM176" i="43"/>
  <c r="HN176" i="43"/>
  <c r="HO176" i="43"/>
  <c r="HP176" i="43"/>
  <c r="HQ176" i="43"/>
  <c r="HR176" i="43"/>
  <c r="HS176" i="43"/>
  <c r="HT176" i="43"/>
  <c r="HU176" i="43"/>
  <c r="HV176" i="43"/>
  <c r="HW176" i="43"/>
  <c r="HX176" i="43"/>
  <c r="HY176" i="43"/>
  <c r="HZ176" i="43"/>
  <c r="IA176" i="43"/>
  <c r="IB176" i="43"/>
  <c r="IC176" i="43"/>
  <c r="ID176" i="43"/>
  <c r="IE176" i="43"/>
  <c r="IF176" i="43"/>
  <c r="IG176" i="43"/>
  <c r="IH176" i="43"/>
  <c r="II176" i="43"/>
  <c r="IJ176" i="43"/>
  <c r="IK176" i="43"/>
  <c r="IL176" i="43"/>
  <c r="IM176" i="43"/>
  <c r="IN176" i="43"/>
  <c r="IO176" i="43"/>
  <c r="IP176" i="43"/>
  <c r="IQ176" i="43"/>
  <c r="IR176" i="43"/>
  <c r="IS176" i="43"/>
  <c r="IT176" i="43"/>
  <c r="IU176" i="43"/>
  <c r="IV176" i="43"/>
  <c r="A175" i="43"/>
  <c r="B175" i="43"/>
  <c r="C175" i="43"/>
  <c r="D175" i="43"/>
  <c r="E175" i="43"/>
  <c r="F175" i="43"/>
  <c r="G175" i="43"/>
  <c r="H175" i="43"/>
  <c r="I175" i="43"/>
  <c r="J175" i="43"/>
  <c r="K175" i="43"/>
  <c r="L175" i="43"/>
  <c r="M175" i="43"/>
  <c r="N175" i="43"/>
  <c r="O175" i="43"/>
  <c r="P175" i="43"/>
  <c r="Q175" i="43"/>
  <c r="R175" i="43"/>
  <c r="S175" i="43"/>
  <c r="T175" i="43"/>
  <c r="U175" i="43"/>
  <c r="V175" i="43"/>
  <c r="W175" i="43"/>
  <c r="X175" i="43"/>
  <c r="Y175" i="43"/>
  <c r="Z175" i="43"/>
  <c r="AA175" i="43"/>
  <c r="AB175" i="43"/>
  <c r="AC175" i="43"/>
  <c r="AD175" i="43"/>
  <c r="AE175" i="43"/>
  <c r="AF175" i="43"/>
  <c r="AG175" i="43"/>
  <c r="AH175" i="43"/>
  <c r="AI175" i="43"/>
  <c r="AJ175" i="43"/>
  <c r="AK175" i="43"/>
  <c r="AL175" i="43"/>
  <c r="AM175" i="43"/>
  <c r="AN175" i="43"/>
  <c r="AO175" i="43"/>
  <c r="AP175" i="43"/>
  <c r="AQ175" i="43"/>
  <c r="AR175" i="43"/>
  <c r="AS175" i="43"/>
  <c r="AT175" i="43"/>
  <c r="AU175" i="43"/>
  <c r="AV175" i="43"/>
  <c r="AW175" i="43"/>
  <c r="AX175" i="43"/>
  <c r="AY175" i="43"/>
  <c r="AZ175" i="43"/>
  <c r="BA175" i="43"/>
  <c r="BB175" i="43"/>
  <c r="BC175" i="43"/>
  <c r="BD175" i="43"/>
  <c r="BE175" i="43"/>
  <c r="BF175" i="43"/>
  <c r="BG175" i="43"/>
  <c r="BH175" i="43"/>
  <c r="BI175" i="43"/>
  <c r="BJ175" i="43"/>
  <c r="BK175" i="43"/>
  <c r="BL175" i="43"/>
  <c r="BM175" i="43"/>
  <c r="BN175" i="43"/>
  <c r="BO175" i="43"/>
  <c r="BP175" i="43"/>
  <c r="BQ175" i="43"/>
  <c r="BR175" i="43"/>
  <c r="BS175" i="43"/>
  <c r="BT175" i="43"/>
  <c r="BU175" i="43"/>
  <c r="BV175" i="43"/>
  <c r="BW175" i="43"/>
  <c r="BX175" i="43"/>
  <c r="BY175" i="43"/>
  <c r="BZ175" i="43"/>
  <c r="CA175" i="43"/>
  <c r="CB175" i="43"/>
  <c r="CC175" i="43"/>
  <c r="CD175" i="43"/>
  <c r="CE175" i="43"/>
  <c r="CF175" i="43"/>
  <c r="CG175" i="43"/>
  <c r="CH175" i="43"/>
  <c r="CI175" i="43"/>
  <c r="CJ175" i="43"/>
  <c r="CK175" i="43"/>
  <c r="CL175" i="43"/>
  <c r="CM175" i="43"/>
  <c r="CN175" i="43"/>
  <c r="CO175" i="43"/>
  <c r="CP175" i="43"/>
  <c r="CQ175" i="43"/>
  <c r="CR175" i="43"/>
  <c r="CS175" i="43"/>
  <c r="CT175" i="43"/>
  <c r="CU175" i="43"/>
  <c r="CV175" i="43"/>
  <c r="CW175" i="43"/>
  <c r="CX175" i="43"/>
  <c r="CY175" i="43"/>
  <c r="CZ175" i="43"/>
  <c r="DA175" i="43"/>
  <c r="DB175" i="43"/>
  <c r="DC175" i="43"/>
  <c r="DD175" i="43"/>
  <c r="DE175" i="43"/>
  <c r="DF175" i="43"/>
  <c r="DG175" i="43"/>
  <c r="DH175" i="43"/>
  <c r="DI175" i="43"/>
  <c r="DJ175" i="43"/>
  <c r="DK175" i="43"/>
  <c r="DL175" i="43"/>
  <c r="DM175" i="43"/>
  <c r="DN175" i="43"/>
  <c r="DO175" i="43"/>
  <c r="DP175" i="43"/>
  <c r="DQ175" i="43"/>
  <c r="DR175" i="43"/>
  <c r="DS175" i="43"/>
  <c r="DT175" i="43"/>
  <c r="DU175" i="43"/>
  <c r="DV175" i="43"/>
  <c r="DW175" i="43"/>
  <c r="DX175" i="43"/>
  <c r="DY175" i="43"/>
  <c r="DZ175" i="43"/>
  <c r="EA175" i="43"/>
  <c r="EB175" i="43"/>
  <c r="EC175" i="43"/>
  <c r="ED175" i="43"/>
  <c r="EE175" i="43"/>
  <c r="EF175" i="43"/>
  <c r="EG175" i="43"/>
  <c r="EH175" i="43"/>
  <c r="EI175" i="43"/>
  <c r="EJ175" i="43"/>
  <c r="EK175" i="43"/>
  <c r="EL175" i="43"/>
  <c r="EM175" i="43"/>
  <c r="EN175" i="43"/>
  <c r="EO175" i="43"/>
  <c r="EP175" i="43"/>
  <c r="EQ175" i="43"/>
  <c r="ER175" i="43"/>
  <c r="ES175" i="43"/>
  <c r="ET175" i="43"/>
  <c r="EU175" i="43"/>
  <c r="EV175" i="43"/>
  <c r="EW175" i="43"/>
  <c r="EX175" i="43"/>
  <c r="EY175" i="43"/>
  <c r="EZ175" i="43"/>
  <c r="FA175" i="43"/>
  <c r="FB175" i="43"/>
  <c r="FC175" i="43"/>
  <c r="FD175" i="43"/>
  <c r="FE175" i="43"/>
  <c r="FF175" i="43"/>
  <c r="FG175" i="43"/>
  <c r="FH175" i="43"/>
  <c r="FI175" i="43"/>
  <c r="FJ175" i="43"/>
  <c r="FK175" i="43"/>
  <c r="FL175" i="43"/>
  <c r="FM175" i="43"/>
  <c r="FN175" i="43"/>
  <c r="FO175" i="43"/>
  <c r="FP175" i="43"/>
  <c r="FQ175" i="43"/>
  <c r="FR175" i="43"/>
  <c r="FS175" i="43"/>
  <c r="FT175" i="43"/>
  <c r="FU175" i="43"/>
  <c r="FV175" i="43"/>
  <c r="FW175" i="43"/>
  <c r="FX175" i="43"/>
  <c r="FY175" i="43"/>
  <c r="FZ175" i="43"/>
  <c r="GA175" i="43"/>
  <c r="GB175" i="43"/>
  <c r="GC175" i="43"/>
  <c r="GD175" i="43"/>
  <c r="GE175" i="43"/>
  <c r="GF175" i="43"/>
  <c r="GG175" i="43"/>
  <c r="GH175" i="43"/>
  <c r="GI175" i="43"/>
  <c r="GJ175" i="43"/>
  <c r="GK175" i="43"/>
  <c r="GL175" i="43"/>
  <c r="GM175" i="43"/>
  <c r="GN175" i="43"/>
  <c r="GO175" i="43"/>
  <c r="GP175" i="43"/>
  <c r="GQ175" i="43"/>
  <c r="GR175" i="43"/>
  <c r="GS175" i="43"/>
  <c r="GT175" i="43"/>
  <c r="GU175" i="43"/>
  <c r="GV175" i="43"/>
  <c r="GW175" i="43"/>
  <c r="GX175" i="43"/>
  <c r="GY175" i="43"/>
  <c r="GZ175" i="43"/>
  <c r="HA175" i="43"/>
  <c r="HB175" i="43"/>
  <c r="HC175" i="43"/>
  <c r="HD175" i="43"/>
  <c r="HE175" i="43"/>
  <c r="HF175" i="43"/>
  <c r="HG175" i="43"/>
  <c r="HH175" i="43"/>
  <c r="HI175" i="43"/>
  <c r="HJ175" i="43"/>
  <c r="HK175" i="43"/>
  <c r="HL175" i="43"/>
  <c r="HM175" i="43"/>
  <c r="HN175" i="43"/>
  <c r="HO175" i="43"/>
  <c r="HP175" i="43"/>
  <c r="HQ175" i="43"/>
  <c r="HR175" i="43"/>
  <c r="HS175" i="43"/>
  <c r="HT175" i="43"/>
  <c r="HU175" i="43"/>
  <c r="HV175" i="43"/>
  <c r="HW175" i="43"/>
  <c r="HX175" i="43"/>
  <c r="HY175" i="43"/>
  <c r="HZ175" i="43"/>
  <c r="IA175" i="43"/>
  <c r="IB175" i="43"/>
  <c r="IC175" i="43"/>
  <c r="ID175" i="43"/>
  <c r="IE175" i="43"/>
  <c r="IF175" i="43"/>
  <c r="IG175" i="43"/>
  <c r="IH175" i="43"/>
  <c r="II175" i="43"/>
  <c r="IJ175" i="43"/>
  <c r="IK175" i="43"/>
  <c r="IL175" i="43"/>
  <c r="IM175" i="43"/>
  <c r="IN175" i="43"/>
  <c r="IO175" i="43"/>
  <c r="IP175" i="43"/>
  <c r="IQ175" i="43"/>
  <c r="IR175" i="43"/>
  <c r="IS175" i="43"/>
  <c r="IT175" i="43"/>
  <c r="IU175" i="43"/>
  <c r="IV175" i="43"/>
  <c r="A174" i="43"/>
  <c r="B174" i="43"/>
  <c r="C174" i="43"/>
  <c r="D174" i="43"/>
  <c r="E174" i="43"/>
  <c r="F174" i="43"/>
  <c r="G174" i="43"/>
  <c r="H174" i="43"/>
  <c r="I174" i="43"/>
  <c r="J174" i="43"/>
  <c r="K174" i="43"/>
  <c r="L174" i="43"/>
  <c r="M174" i="43"/>
  <c r="N174" i="43"/>
  <c r="O174" i="43"/>
  <c r="P174" i="43"/>
  <c r="Q174" i="43"/>
  <c r="R174" i="43"/>
  <c r="S174" i="43"/>
  <c r="T174" i="43"/>
  <c r="U174" i="43"/>
  <c r="V174" i="43"/>
  <c r="W174" i="43"/>
  <c r="X174" i="43"/>
  <c r="Y174" i="43"/>
  <c r="Z174" i="43"/>
  <c r="AA174" i="43"/>
  <c r="AB174" i="43"/>
  <c r="AC174" i="43"/>
  <c r="AD174" i="43"/>
  <c r="AE174" i="43"/>
  <c r="AF174" i="43"/>
  <c r="AG174" i="43"/>
  <c r="AH174" i="43"/>
  <c r="AI174" i="43"/>
  <c r="AJ174" i="43"/>
  <c r="AK174" i="43"/>
  <c r="AL174" i="43"/>
  <c r="AM174" i="43"/>
  <c r="AN174" i="43"/>
  <c r="AO174" i="43"/>
  <c r="AP174" i="43"/>
  <c r="AQ174" i="43"/>
  <c r="AR174" i="43"/>
  <c r="AS174" i="43"/>
  <c r="AT174" i="43"/>
  <c r="AU174" i="43"/>
  <c r="AV174" i="43"/>
  <c r="AW174" i="43"/>
  <c r="AX174" i="43"/>
  <c r="AY174" i="43"/>
  <c r="AZ174" i="43"/>
  <c r="BA174" i="43"/>
  <c r="BB174" i="43"/>
  <c r="BC174" i="43"/>
  <c r="BD174" i="43"/>
  <c r="BE174" i="43"/>
  <c r="BF174" i="43"/>
  <c r="BG174" i="43"/>
  <c r="BH174" i="43"/>
  <c r="BI174" i="43"/>
  <c r="BJ174" i="43"/>
  <c r="BK174" i="43"/>
  <c r="BL174" i="43"/>
  <c r="BM174" i="43"/>
  <c r="BN174" i="43"/>
  <c r="BO174" i="43"/>
  <c r="BP174" i="43"/>
  <c r="BQ174" i="43"/>
  <c r="BR174" i="43"/>
  <c r="BS174" i="43"/>
  <c r="BT174" i="43"/>
  <c r="BU174" i="43"/>
  <c r="BV174" i="43"/>
  <c r="BW174" i="43"/>
  <c r="BX174" i="43"/>
  <c r="BY174" i="43"/>
  <c r="BZ174" i="43"/>
  <c r="CA174" i="43"/>
  <c r="CB174" i="43"/>
  <c r="CC174" i="43"/>
  <c r="CD174" i="43"/>
  <c r="CE174" i="43"/>
  <c r="CF174" i="43"/>
  <c r="CG174" i="43"/>
  <c r="CH174" i="43"/>
  <c r="CI174" i="43"/>
  <c r="CJ174" i="43"/>
  <c r="CK174" i="43"/>
  <c r="CL174" i="43"/>
  <c r="CM174" i="43"/>
  <c r="CN174" i="43"/>
  <c r="CO174" i="43"/>
  <c r="CP174" i="43"/>
  <c r="CQ174" i="43"/>
  <c r="CR174" i="43"/>
  <c r="CS174" i="43"/>
  <c r="CT174" i="43"/>
  <c r="CU174" i="43"/>
  <c r="CV174" i="43"/>
  <c r="CW174" i="43"/>
  <c r="CX174" i="43"/>
  <c r="CY174" i="43"/>
  <c r="CZ174" i="43"/>
  <c r="DA174" i="43"/>
  <c r="DB174" i="43"/>
  <c r="DC174" i="43"/>
  <c r="DD174" i="43"/>
  <c r="DE174" i="43"/>
  <c r="DF174" i="43"/>
  <c r="DG174" i="43"/>
  <c r="DH174" i="43"/>
  <c r="DI174" i="43"/>
  <c r="DJ174" i="43"/>
  <c r="DK174" i="43"/>
  <c r="DL174" i="43"/>
  <c r="DM174" i="43"/>
  <c r="DN174" i="43"/>
  <c r="DO174" i="43"/>
  <c r="DP174" i="43"/>
  <c r="DQ174" i="43"/>
  <c r="DR174" i="43"/>
  <c r="DS174" i="43"/>
  <c r="DT174" i="43"/>
  <c r="DU174" i="43"/>
  <c r="DV174" i="43"/>
  <c r="DW174" i="43"/>
  <c r="DX174" i="43"/>
  <c r="DY174" i="43"/>
  <c r="DZ174" i="43"/>
  <c r="EA174" i="43"/>
  <c r="EB174" i="43"/>
  <c r="EC174" i="43"/>
  <c r="ED174" i="43"/>
  <c r="EE174" i="43"/>
  <c r="EF174" i="43"/>
  <c r="EG174" i="43"/>
  <c r="EH174" i="43"/>
  <c r="EI174" i="43"/>
  <c r="EJ174" i="43"/>
  <c r="EK174" i="43"/>
  <c r="EL174" i="43"/>
  <c r="EM174" i="43"/>
  <c r="EN174" i="43"/>
  <c r="EO174" i="43"/>
  <c r="EP174" i="43"/>
  <c r="EQ174" i="43"/>
  <c r="ER174" i="43"/>
  <c r="ES174" i="43"/>
  <c r="ET174" i="43"/>
  <c r="EU174" i="43"/>
  <c r="EV174" i="43"/>
  <c r="EW174" i="43"/>
  <c r="EX174" i="43"/>
  <c r="EY174" i="43"/>
  <c r="EZ174" i="43"/>
  <c r="FA174" i="43"/>
  <c r="FB174" i="43"/>
  <c r="FC174" i="43"/>
  <c r="FD174" i="43"/>
  <c r="FE174" i="43"/>
  <c r="FF174" i="43"/>
  <c r="FG174" i="43"/>
  <c r="FH174" i="43"/>
  <c r="FI174" i="43"/>
  <c r="FJ174" i="43"/>
  <c r="FK174" i="43"/>
  <c r="FL174" i="43"/>
  <c r="FM174" i="43"/>
  <c r="FN174" i="43"/>
  <c r="FO174" i="43"/>
  <c r="FP174" i="43"/>
  <c r="FQ174" i="43"/>
  <c r="FR174" i="43"/>
  <c r="FS174" i="43"/>
  <c r="FT174" i="43"/>
  <c r="FU174" i="43"/>
  <c r="FV174" i="43"/>
  <c r="FW174" i="43"/>
  <c r="FX174" i="43"/>
  <c r="FY174" i="43"/>
  <c r="FZ174" i="43"/>
  <c r="GA174" i="43"/>
  <c r="GB174" i="43"/>
  <c r="GC174" i="43"/>
  <c r="GD174" i="43"/>
  <c r="GE174" i="43"/>
  <c r="GF174" i="43"/>
  <c r="GG174" i="43"/>
  <c r="GH174" i="43"/>
  <c r="GI174" i="43"/>
  <c r="GJ174" i="43"/>
  <c r="GK174" i="43"/>
  <c r="GL174" i="43"/>
  <c r="GM174" i="43"/>
  <c r="GN174" i="43"/>
  <c r="GO174" i="43"/>
  <c r="GP174" i="43"/>
  <c r="GQ174" i="43"/>
  <c r="GR174" i="43"/>
  <c r="GS174" i="43"/>
  <c r="GT174" i="43"/>
  <c r="GU174" i="43"/>
  <c r="GV174" i="43"/>
  <c r="GW174" i="43"/>
  <c r="GX174" i="43"/>
  <c r="GY174" i="43"/>
  <c r="GZ174" i="43"/>
  <c r="HA174" i="43"/>
  <c r="HB174" i="43"/>
  <c r="HC174" i="43"/>
  <c r="HD174" i="43"/>
  <c r="HE174" i="43"/>
  <c r="HF174" i="43"/>
  <c r="HG174" i="43"/>
  <c r="HH174" i="43"/>
  <c r="HI174" i="43"/>
  <c r="HJ174" i="43"/>
  <c r="HK174" i="43"/>
  <c r="HL174" i="43"/>
  <c r="HM174" i="43"/>
  <c r="HN174" i="43"/>
  <c r="HO174" i="43"/>
  <c r="HP174" i="43"/>
  <c r="HQ174" i="43"/>
  <c r="HR174" i="43"/>
  <c r="HS174" i="43"/>
  <c r="HT174" i="43"/>
  <c r="HU174" i="43"/>
  <c r="HV174" i="43"/>
  <c r="HW174" i="43"/>
  <c r="HX174" i="43"/>
  <c r="HY174" i="43"/>
  <c r="HZ174" i="43"/>
  <c r="IA174" i="43"/>
  <c r="IB174" i="43"/>
  <c r="IC174" i="43"/>
  <c r="ID174" i="43"/>
  <c r="IE174" i="43"/>
  <c r="IF174" i="43"/>
  <c r="IG174" i="43"/>
  <c r="IH174" i="43"/>
  <c r="II174" i="43"/>
  <c r="IJ174" i="43"/>
  <c r="IK174" i="43"/>
  <c r="IL174" i="43"/>
  <c r="IM174" i="43"/>
  <c r="IN174" i="43"/>
  <c r="IO174" i="43"/>
  <c r="IP174" i="43"/>
  <c r="IQ174" i="43"/>
  <c r="IR174" i="43"/>
  <c r="IS174" i="43"/>
  <c r="IT174" i="43"/>
  <c r="IU174" i="43"/>
  <c r="IV174" i="43"/>
  <c r="A173" i="43"/>
  <c r="B173" i="43"/>
  <c r="C173" i="43"/>
  <c r="D173" i="43"/>
  <c r="E173" i="43"/>
  <c r="F173" i="43"/>
  <c r="G173" i="43"/>
  <c r="H173" i="43"/>
  <c r="I173" i="43"/>
  <c r="J173" i="43"/>
  <c r="K173" i="43"/>
  <c r="L173" i="43"/>
  <c r="M173" i="43"/>
  <c r="N173" i="43"/>
  <c r="O173" i="43"/>
  <c r="P173" i="43"/>
  <c r="Q173" i="43"/>
  <c r="R173" i="43"/>
  <c r="S173" i="43"/>
  <c r="T173" i="43"/>
  <c r="U173" i="43"/>
  <c r="V173" i="43"/>
  <c r="W173" i="43"/>
  <c r="X173" i="43"/>
  <c r="Y173" i="43"/>
  <c r="Z173" i="43"/>
  <c r="AA173" i="43"/>
  <c r="AB173" i="43"/>
  <c r="AC173" i="43"/>
  <c r="AD173" i="43"/>
  <c r="AE173" i="43"/>
  <c r="AF173" i="43"/>
  <c r="AG173" i="43"/>
  <c r="AH173" i="43"/>
  <c r="AI173" i="43"/>
  <c r="AJ173" i="43"/>
  <c r="AK173" i="43"/>
  <c r="AL173" i="43"/>
  <c r="AM173" i="43"/>
  <c r="AN173" i="43"/>
  <c r="AO173" i="43"/>
  <c r="AP173" i="43"/>
  <c r="AQ173" i="43"/>
  <c r="AR173" i="43"/>
  <c r="AS173" i="43"/>
  <c r="AT173" i="43"/>
  <c r="AU173" i="43"/>
  <c r="AV173" i="43"/>
  <c r="AW173" i="43"/>
  <c r="AX173" i="43"/>
  <c r="AY173" i="43"/>
  <c r="AZ173" i="43"/>
  <c r="BA173" i="43"/>
  <c r="BB173" i="43"/>
  <c r="BC173" i="43"/>
  <c r="BD173" i="43"/>
  <c r="BE173" i="43"/>
  <c r="BF173" i="43"/>
  <c r="BG173" i="43"/>
  <c r="BH173" i="43"/>
  <c r="BI173" i="43"/>
  <c r="BJ173" i="43"/>
  <c r="BK173" i="43"/>
  <c r="BL173" i="43"/>
  <c r="BM173" i="43"/>
  <c r="BN173" i="43"/>
  <c r="BO173" i="43"/>
  <c r="BP173" i="43"/>
  <c r="BQ173" i="43"/>
  <c r="BR173" i="43"/>
  <c r="BS173" i="43"/>
  <c r="BT173" i="43"/>
  <c r="BU173" i="43"/>
  <c r="BV173" i="43"/>
  <c r="BW173" i="43"/>
  <c r="BX173" i="43"/>
  <c r="BY173" i="43"/>
  <c r="BZ173" i="43"/>
  <c r="CA173" i="43"/>
  <c r="CB173" i="43"/>
  <c r="CC173" i="43"/>
  <c r="CD173" i="43"/>
  <c r="CE173" i="43"/>
  <c r="CF173" i="43"/>
  <c r="CG173" i="43"/>
  <c r="CH173" i="43"/>
  <c r="CI173" i="43"/>
  <c r="CJ173" i="43"/>
  <c r="CK173" i="43"/>
  <c r="CL173" i="43"/>
  <c r="CM173" i="43"/>
  <c r="CN173" i="43"/>
  <c r="CO173" i="43"/>
  <c r="CP173" i="43"/>
  <c r="CQ173" i="43"/>
  <c r="CR173" i="43"/>
  <c r="CS173" i="43"/>
  <c r="CT173" i="43"/>
  <c r="CU173" i="43"/>
  <c r="CV173" i="43"/>
  <c r="CW173" i="43"/>
  <c r="CX173" i="43"/>
  <c r="CY173" i="43"/>
  <c r="CZ173" i="43"/>
  <c r="DA173" i="43"/>
  <c r="DB173" i="43"/>
  <c r="DC173" i="43"/>
  <c r="DD173" i="43"/>
  <c r="DE173" i="43"/>
  <c r="DF173" i="43"/>
  <c r="DG173" i="43"/>
  <c r="DH173" i="43"/>
  <c r="DI173" i="43"/>
  <c r="DJ173" i="43"/>
  <c r="DK173" i="43"/>
  <c r="DL173" i="43"/>
  <c r="DM173" i="43"/>
  <c r="DN173" i="43"/>
  <c r="DO173" i="43"/>
  <c r="DP173" i="43"/>
  <c r="DQ173" i="43"/>
  <c r="DR173" i="43"/>
  <c r="DS173" i="43"/>
  <c r="DT173" i="43"/>
  <c r="DU173" i="43"/>
  <c r="DV173" i="43"/>
  <c r="DW173" i="43"/>
  <c r="DX173" i="43"/>
  <c r="DY173" i="43"/>
  <c r="DZ173" i="43"/>
  <c r="EA173" i="43"/>
  <c r="EB173" i="43"/>
  <c r="EC173" i="43"/>
  <c r="ED173" i="43"/>
  <c r="EE173" i="43"/>
  <c r="EF173" i="43"/>
  <c r="EG173" i="43"/>
  <c r="EH173" i="43"/>
  <c r="EI173" i="43"/>
  <c r="EJ173" i="43"/>
  <c r="EK173" i="43"/>
  <c r="EL173" i="43"/>
  <c r="EM173" i="43"/>
  <c r="EN173" i="43"/>
  <c r="EO173" i="43"/>
  <c r="EP173" i="43"/>
  <c r="EQ173" i="43"/>
  <c r="ER173" i="43"/>
  <c r="ES173" i="43"/>
  <c r="ET173" i="43"/>
  <c r="EU173" i="43"/>
  <c r="EV173" i="43"/>
  <c r="EW173" i="43"/>
  <c r="EX173" i="43"/>
  <c r="EY173" i="43"/>
  <c r="EZ173" i="43"/>
  <c r="FA173" i="43"/>
  <c r="FB173" i="43"/>
  <c r="FC173" i="43"/>
  <c r="FD173" i="43"/>
  <c r="FE173" i="43"/>
  <c r="FF173" i="43"/>
  <c r="FG173" i="43"/>
  <c r="FH173" i="43"/>
  <c r="FI173" i="43"/>
  <c r="FJ173" i="43"/>
  <c r="FK173" i="43"/>
  <c r="FL173" i="43"/>
  <c r="FM173" i="43"/>
  <c r="FN173" i="43"/>
  <c r="FO173" i="43"/>
  <c r="FP173" i="43"/>
  <c r="FQ173" i="43"/>
  <c r="FR173" i="43"/>
  <c r="FS173" i="43"/>
  <c r="FT173" i="43"/>
  <c r="FU173" i="43"/>
  <c r="FV173" i="43"/>
  <c r="FW173" i="43"/>
  <c r="FX173" i="43"/>
  <c r="FY173" i="43"/>
  <c r="FZ173" i="43"/>
  <c r="GA173" i="43"/>
  <c r="GB173" i="43"/>
  <c r="GC173" i="43"/>
  <c r="GD173" i="43"/>
  <c r="GE173" i="43"/>
  <c r="GF173" i="43"/>
  <c r="GG173" i="43"/>
  <c r="GH173" i="43"/>
  <c r="GI173" i="43"/>
  <c r="GJ173" i="43"/>
  <c r="GK173" i="43"/>
  <c r="GL173" i="43"/>
  <c r="GM173" i="43"/>
  <c r="GN173" i="43"/>
  <c r="GO173" i="43"/>
  <c r="GP173" i="43"/>
  <c r="GQ173" i="43"/>
  <c r="GR173" i="43"/>
  <c r="GS173" i="43"/>
  <c r="GT173" i="43"/>
  <c r="GU173" i="43"/>
  <c r="GV173" i="43"/>
  <c r="GW173" i="43"/>
  <c r="GX173" i="43"/>
  <c r="GY173" i="43"/>
  <c r="GZ173" i="43"/>
  <c r="HA173" i="43"/>
  <c r="HB173" i="43"/>
  <c r="HC173" i="43"/>
  <c r="HD173" i="43"/>
  <c r="HE173" i="43"/>
  <c r="HF173" i="43"/>
  <c r="HG173" i="43"/>
  <c r="HH173" i="43"/>
  <c r="HI173" i="43"/>
  <c r="HJ173" i="43"/>
  <c r="HK173" i="43"/>
  <c r="HL173" i="43"/>
  <c r="HM173" i="43"/>
  <c r="HN173" i="43"/>
  <c r="HO173" i="43"/>
  <c r="HP173" i="43"/>
  <c r="HQ173" i="43"/>
  <c r="HR173" i="43"/>
  <c r="HS173" i="43"/>
  <c r="HT173" i="43"/>
  <c r="HU173" i="43"/>
  <c r="HV173" i="43"/>
  <c r="HW173" i="43"/>
  <c r="HX173" i="43"/>
  <c r="HY173" i="43"/>
  <c r="HZ173" i="43"/>
  <c r="IA173" i="43"/>
  <c r="IB173" i="43"/>
  <c r="IC173" i="43"/>
  <c r="ID173" i="43"/>
  <c r="IE173" i="43"/>
  <c r="IF173" i="43"/>
  <c r="IG173" i="43"/>
  <c r="IH173" i="43"/>
  <c r="II173" i="43"/>
  <c r="IJ173" i="43"/>
  <c r="IK173" i="43"/>
  <c r="IL173" i="43"/>
  <c r="IM173" i="43"/>
  <c r="IN173" i="43"/>
  <c r="IO173" i="43"/>
  <c r="IP173" i="43"/>
  <c r="IQ173" i="43"/>
  <c r="IR173" i="43"/>
  <c r="IS173" i="43"/>
  <c r="IT173" i="43"/>
  <c r="IU173" i="43"/>
  <c r="IV173" i="43"/>
  <c r="A172" i="43"/>
  <c r="B172" i="43"/>
  <c r="C172" i="43"/>
  <c r="D172" i="43"/>
  <c r="E172" i="43"/>
  <c r="F172" i="43"/>
  <c r="G172" i="43"/>
  <c r="H172" i="43"/>
  <c r="I172" i="43"/>
  <c r="J172" i="43"/>
  <c r="K172" i="43"/>
  <c r="L172" i="43"/>
  <c r="M172" i="43"/>
  <c r="N172" i="43"/>
  <c r="O172" i="43"/>
  <c r="P172" i="43"/>
  <c r="Q172" i="43"/>
  <c r="R172" i="43"/>
  <c r="S172" i="43"/>
  <c r="T172" i="43"/>
  <c r="U172" i="43"/>
  <c r="V172" i="43"/>
  <c r="W172" i="43"/>
  <c r="X172" i="43"/>
  <c r="Y172" i="43"/>
  <c r="Z172" i="43"/>
  <c r="AA172" i="43"/>
  <c r="AB172" i="43"/>
  <c r="AC172" i="43"/>
  <c r="AD172" i="43"/>
  <c r="AE172" i="43"/>
  <c r="AF172" i="43"/>
  <c r="AG172" i="43"/>
  <c r="AH172" i="43"/>
  <c r="AI172" i="43"/>
  <c r="AJ172" i="43"/>
  <c r="AK172" i="43"/>
  <c r="AL172" i="43"/>
  <c r="AM172" i="43"/>
  <c r="AN172" i="43"/>
  <c r="AO172" i="43"/>
  <c r="AP172" i="43"/>
  <c r="AQ172" i="43"/>
  <c r="AR172" i="43"/>
  <c r="AS172" i="43"/>
  <c r="AT172" i="43"/>
  <c r="AU172" i="43"/>
  <c r="AV172" i="43"/>
  <c r="AW172" i="43"/>
  <c r="AX172" i="43"/>
  <c r="AY172" i="43"/>
  <c r="AZ172" i="43"/>
  <c r="BA172" i="43"/>
  <c r="BB172" i="43"/>
  <c r="BC172" i="43"/>
  <c r="BD172" i="43"/>
  <c r="BE172" i="43"/>
  <c r="BF172" i="43"/>
  <c r="BG172" i="43"/>
  <c r="BH172" i="43"/>
  <c r="BI172" i="43"/>
  <c r="BJ172" i="43"/>
  <c r="BK172" i="43"/>
  <c r="BL172" i="43"/>
  <c r="BM172" i="43"/>
  <c r="BN172" i="43"/>
  <c r="BO172" i="43"/>
  <c r="BP172" i="43"/>
  <c r="BQ172" i="43"/>
  <c r="BR172" i="43"/>
  <c r="BS172" i="43"/>
  <c r="BT172" i="43"/>
  <c r="BU172" i="43"/>
  <c r="BV172" i="43"/>
  <c r="BW172" i="43"/>
  <c r="BX172" i="43"/>
  <c r="BY172" i="43"/>
  <c r="BZ172" i="43"/>
  <c r="CA172" i="43"/>
  <c r="CB172" i="43"/>
  <c r="CC172" i="43"/>
  <c r="CD172" i="43"/>
  <c r="CE172" i="43"/>
  <c r="CF172" i="43"/>
  <c r="CG172" i="43"/>
  <c r="CH172" i="43"/>
  <c r="CI172" i="43"/>
  <c r="CJ172" i="43"/>
  <c r="CK172" i="43"/>
  <c r="CL172" i="43"/>
  <c r="CM172" i="43"/>
  <c r="CN172" i="43"/>
  <c r="CO172" i="43"/>
  <c r="CP172" i="43"/>
  <c r="CQ172" i="43"/>
  <c r="CR172" i="43"/>
  <c r="CS172" i="43"/>
  <c r="CT172" i="43"/>
  <c r="CU172" i="43"/>
  <c r="CV172" i="43"/>
  <c r="CW172" i="43"/>
  <c r="CX172" i="43"/>
  <c r="CY172" i="43"/>
  <c r="CZ172" i="43"/>
  <c r="DA172" i="43"/>
  <c r="DB172" i="43"/>
  <c r="DC172" i="43"/>
  <c r="DD172" i="43"/>
  <c r="DE172" i="43"/>
  <c r="DF172" i="43"/>
  <c r="DG172" i="43"/>
  <c r="DH172" i="43"/>
  <c r="DI172" i="43"/>
  <c r="DJ172" i="43"/>
  <c r="DK172" i="43"/>
  <c r="DL172" i="43"/>
  <c r="DM172" i="43"/>
  <c r="DN172" i="43"/>
  <c r="DO172" i="43"/>
  <c r="DP172" i="43"/>
  <c r="DQ172" i="43"/>
  <c r="DR172" i="43"/>
  <c r="DS172" i="43"/>
  <c r="DT172" i="43"/>
  <c r="DU172" i="43"/>
  <c r="DV172" i="43"/>
  <c r="DW172" i="43"/>
  <c r="DX172" i="43"/>
  <c r="DY172" i="43"/>
  <c r="DZ172" i="43"/>
  <c r="EA172" i="43"/>
  <c r="EB172" i="43"/>
  <c r="EC172" i="43"/>
  <c r="ED172" i="43"/>
  <c r="EE172" i="43"/>
  <c r="EF172" i="43"/>
  <c r="EG172" i="43"/>
  <c r="EH172" i="43"/>
  <c r="EI172" i="43"/>
  <c r="EJ172" i="43"/>
  <c r="EK172" i="43"/>
  <c r="EL172" i="43"/>
  <c r="EM172" i="43"/>
  <c r="EN172" i="43"/>
  <c r="EO172" i="43"/>
  <c r="EP172" i="43"/>
  <c r="EQ172" i="43"/>
  <c r="ER172" i="43"/>
  <c r="ES172" i="43"/>
  <c r="ET172" i="43"/>
  <c r="EU172" i="43"/>
  <c r="EV172" i="43"/>
  <c r="EW172" i="43"/>
  <c r="EX172" i="43"/>
  <c r="EY172" i="43"/>
  <c r="EZ172" i="43"/>
  <c r="FA172" i="43"/>
  <c r="FB172" i="43"/>
  <c r="FC172" i="43"/>
  <c r="FD172" i="43"/>
  <c r="FE172" i="43"/>
  <c r="FF172" i="43"/>
  <c r="FG172" i="43"/>
  <c r="FH172" i="43"/>
  <c r="FI172" i="43"/>
  <c r="FJ172" i="43"/>
  <c r="FK172" i="43"/>
  <c r="FL172" i="43"/>
  <c r="FM172" i="43"/>
  <c r="FN172" i="43"/>
  <c r="FO172" i="43"/>
  <c r="FP172" i="43"/>
  <c r="FQ172" i="43"/>
  <c r="FR172" i="43"/>
  <c r="FS172" i="43"/>
  <c r="FT172" i="43"/>
  <c r="FU172" i="43"/>
  <c r="FV172" i="43"/>
  <c r="FW172" i="43"/>
  <c r="FX172" i="43"/>
  <c r="FY172" i="43"/>
  <c r="FZ172" i="43"/>
  <c r="GA172" i="43"/>
  <c r="GB172" i="43"/>
  <c r="GC172" i="43"/>
  <c r="GD172" i="43"/>
  <c r="GE172" i="43"/>
  <c r="GF172" i="43"/>
  <c r="GG172" i="43"/>
  <c r="GH172" i="43"/>
  <c r="GI172" i="43"/>
  <c r="GJ172" i="43"/>
  <c r="GK172" i="43"/>
  <c r="GL172" i="43"/>
  <c r="GM172" i="43"/>
  <c r="GN172" i="43"/>
  <c r="GO172" i="43"/>
  <c r="GP172" i="43"/>
  <c r="GQ172" i="43"/>
  <c r="GR172" i="43"/>
  <c r="GS172" i="43"/>
  <c r="GT172" i="43"/>
  <c r="GU172" i="43"/>
  <c r="GV172" i="43"/>
  <c r="GW172" i="43"/>
  <c r="GX172" i="43"/>
  <c r="GY172" i="43"/>
  <c r="GZ172" i="43"/>
  <c r="HA172" i="43"/>
  <c r="HB172" i="43"/>
  <c r="HC172" i="43"/>
  <c r="HD172" i="43"/>
  <c r="HE172" i="43"/>
  <c r="HF172" i="43"/>
  <c r="HG172" i="43"/>
  <c r="HH172" i="43"/>
  <c r="HI172" i="43"/>
  <c r="HJ172" i="43"/>
  <c r="HK172" i="43"/>
  <c r="HL172" i="43"/>
  <c r="HM172" i="43"/>
  <c r="HN172" i="43"/>
  <c r="HO172" i="43"/>
  <c r="HP172" i="43"/>
  <c r="HQ172" i="43"/>
  <c r="HR172" i="43"/>
  <c r="HS172" i="43"/>
  <c r="HT172" i="43"/>
  <c r="HU172" i="43"/>
  <c r="HV172" i="43"/>
  <c r="HW172" i="43"/>
  <c r="HX172" i="43"/>
  <c r="HY172" i="43"/>
  <c r="HZ172" i="43"/>
  <c r="IA172" i="43"/>
  <c r="IB172" i="43"/>
  <c r="IC172" i="43"/>
  <c r="ID172" i="43"/>
  <c r="IE172" i="43"/>
  <c r="IF172" i="43"/>
  <c r="IG172" i="43"/>
  <c r="IH172" i="43"/>
  <c r="II172" i="43"/>
  <c r="IJ172" i="43"/>
  <c r="IK172" i="43"/>
  <c r="IL172" i="43"/>
  <c r="IM172" i="43"/>
  <c r="IN172" i="43"/>
  <c r="IO172" i="43"/>
  <c r="IP172" i="43"/>
  <c r="IQ172" i="43"/>
  <c r="IR172" i="43"/>
  <c r="IS172" i="43"/>
  <c r="IT172" i="43"/>
  <c r="IU172" i="43"/>
  <c r="IV172" i="43"/>
  <c r="A171" i="43"/>
  <c r="B171" i="43"/>
  <c r="C171" i="43"/>
  <c r="D171" i="43"/>
  <c r="E171" i="43"/>
  <c r="F171" i="43"/>
  <c r="G171" i="43"/>
  <c r="H171" i="43"/>
  <c r="I171" i="43"/>
  <c r="J171" i="43"/>
  <c r="K171" i="43"/>
  <c r="L171" i="43"/>
  <c r="M171" i="43"/>
  <c r="N171" i="43"/>
  <c r="O171" i="43"/>
  <c r="P171" i="43"/>
  <c r="Q171" i="43"/>
  <c r="R171" i="43"/>
  <c r="S171" i="43"/>
  <c r="T171" i="43"/>
  <c r="U171" i="43"/>
  <c r="V171" i="43"/>
  <c r="W171" i="43"/>
  <c r="X171" i="43"/>
  <c r="Y171" i="43"/>
  <c r="Z171" i="43"/>
  <c r="AA171" i="43"/>
  <c r="AB171" i="43"/>
  <c r="AC171" i="43"/>
  <c r="AD171" i="43"/>
  <c r="AE171" i="43"/>
  <c r="AF171" i="43"/>
  <c r="AG171" i="43"/>
  <c r="AH171" i="43"/>
  <c r="AI171" i="43"/>
  <c r="AJ171" i="43"/>
  <c r="AK171" i="43"/>
  <c r="AL171" i="43"/>
  <c r="AM171" i="43"/>
  <c r="AN171" i="43"/>
  <c r="AO171" i="43"/>
  <c r="AP171" i="43"/>
  <c r="AQ171" i="43"/>
  <c r="AR171" i="43"/>
  <c r="AS171" i="43"/>
  <c r="AT171" i="43"/>
  <c r="AU171" i="43"/>
  <c r="AV171" i="43"/>
  <c r="AW171" i="43"/>
  <c r="AX171" i="43"/>
  <c r="AY171" i="43"/>
  <c r="AZ171" i="43"/>
  <c r="BA171" i="43"/>
  <c r="BB171" i="43"/>
  <c r="BC171" i="43"/>
  <c r="BD171" i="43"/>
  <c r="BE171" i="43"/>
  <c r="BF171" i="43"/>
  <c r="BG171" i="43"/>
  <c r="BH171" i="43"/>
  <c r="BI171" i="43"/>
  <c r="BJ171" i="43"/>
  <c r="BK171" i="43"/>
  <c r="BL171" i="43"/>
  <c r="BM171" i="43"/>
  <c r="BN171" i="43"/>
  <c r="BO171" i="43"/>
  <c r="BP171" i="43"/>
  <c r="BQ171" i="43"/>
  <c r="BR171" i="43"/>
  <c r="BS171" i="43"/>
  <c r="BT171" i="43"/>
  <c r="BU171" i="43"/>
  <c r="BV171" i="43"/>
  <c r="BW171" i="43"/>
  <c r="BX171" i="43"/>
  <c r="BY171" i="43"/>
  <c r="BZ171" i="43"/>
  <c r="CA171" i="43"/>
  <c r="CB171" i="43"/>
  <c r="CC171" i="43"/>
  <c r="CD171" i="43"/>
  <c r="CE171" i="43"/>
  <c r="CF171" i="43"/>
  <c r="CG171" i="43"/>
  <c r="CH171" i="43"/>
  <c r="CI171" i="43"/>
  <c r="CJ171" i="43"/>
  <c r="CK171" i="43"/>
  <c r="CL171" i="43"/>
  <c r="CM171" i="43"/>
  <c r="CN171" i="43"/>
  <c r="CO171" i="43"/>
  <c r="CP171" i="43"/>
  <c r="CQ171" i="43"/>
  <c r="CR171" i="43"/>
  <c r="CS171" i="43"/>
  <c r="CT171" i="43"/>
  <c r="CU171" i="43"/>
  <c r="CV171" i="43"/>
  <c r="CW171" i="43"/>
  <c r="CX171" i="43"/>
  <c r="CY171" i="43"/>
  <c r="CZ171" i="43"/>
  <c r="DA171" i="43"/>
  <c r="DB171" i="43"/>
  <c r="DC171" i="43"/>
  <c r="DD171" i="43"/>
  <c r="DE171" i="43"/>
  <c r="DF171" i="43"/>
  <c r="DG171" i="43"/>
  <c r="DH171" i="43"/>
  <c r="DI171" i="43"/>
  <c r="DJ171" i="43"/>
  <c r="DK171" i="43"/>
  <c r="DL171" i="43"/>
  <c r="DM171" i="43"/>
  <c r="DN171" i="43"/>
  <c r="DO171" i="43"/>
  <c r="DP171" i="43"/>
  <c r="DQ171" i="43"/>
  <c r="DR171" i="43"/>
  <c r="DS171" i="43"/>
  <c r="DT171" i="43"/>
  <c r="DU171" i="43"/>
  <c r="DV171" i="43"/>
  <c r="DW171" i="43"/>
  <c r="DX171" i="43"/>
  <c r="DY171" i="43"/>
  <c r="DZ171" i="43"/>
  <c r="EA171" i="43"/>
  <c r="EB171" i="43"/>
  <c r="EC171" i="43"/>
  <c r="ED171" i="43"/>
  <c r="EE171" i="43"/>
  <c r="EF171" i="43"/>
  <c r="EG171" i="43"/>
  <c r="EH171" i="43"/>
  <c r="EI171" i="43"/>
  <c r="EJ171" i="43"/>
  <c r="EK171" i="43"/>
  <c r="EL171" i="43"/>
  <c r="EM171" i="43"/>
  <c r="EN171" i="43"/>
  <c r="EO171" i="43"/>
  <c r="EP171" i="43"/>
  <c r="EQ171" i="43"/>
  <c r="ER171" i="43"/>
  <c r="ES171" i="43"/>
  <c r="ET171" i="43"/>
  <c r="EU171" i="43"/>
  <c r="EV171" i="43"/>
  <c r="EW171" i="43"/>
  <c r="EX171" i="43"/>
  <c r="EY171" i="43"/>
  <c r="EZ171" i="43"/>
  <c r="FA171" i="43"/>
  <c r="FB171" i="43"/>
  <c r="FC171" i="43"/>
  <c r="FD171" i="43"/>
  <c r="FE171" i="43"/>
  <c r="FF171" i="43"/>
  <c r="FG171" i="43"/>
  <c r="FH171" i="43"/>
  <c r="FI171" i="43"/>
  <c r="FJ171" i="43"/>
  <c r="FK171" i="43"/>
  <c r="FL171" i="43"/>
  <c r="FM171" i="43"/>
  <c r="FN171" i="43"/>
  <c r="FO171" i="43"/>
  <c r="FP171" i="43"/>
  <c r="FQ171" i="43"/>
  <c r="FR171" i="43"/>
  <c r="FS171" i="43"/>
  <c r="FT171" i="43"/>
  <c r="FU171" i="43"/>
  <c r="FV171" i="43"/>
  <c r="FW171" i="43"/>
  <c r="FX171" i="43"/>
  <c r="FY171" i="43"/>
  <c r="FZ171" i="43"/>
  <c r="GA171" i="43"/>
  <c r="GB171" i="43"/>
  <c r="GC171" i="43"/>
  <c r="GD171" i="43"/>
  <c r="GE171" i="43"/>
  <c r="GF171" i="43"/>
  <c r="GG171" i="43"/>
  <c r="GH171" i="43"/>
  <c r="GI171" i="43"/>
  <c r="GJ171" i="43"/>
  <c r="GK171" i="43"/>
  <c r="GL171" i="43"/>
  <c r="GM171" i="43"/>
  <c r="GN171" i="43"/>
  <c r="GO171" i="43"/>
  <c r="GP171" i="43"/>
  <c r="GQ171" i="43"/>
  <c r="GR171" i="43"/>
  <c r="GS171" i="43"/>
  <c r="GT171" i="43"/>
  <c r="GU171" i="43"/>
  <c r="GV171" i="43"/>
  <c r="GW171" i="43"/>
  <c r="GX171" i="43"/>
  <c r="GY171" i="43"/>
  <c r="GZ171" i="43"/>
  <c r="HA171" i="43"/>
  <c r="HB171" i="43"/>
  <c r="HC171" i="43"/>
  <c r="HD171" i="43"/>
  <c r="HE171" i="43"/>
  <c r="HF171" i="43"/>
  <c r="HG171" i="43"/>
  <c r="HH171" i="43"/>
  <c r="HI171" i="43"/>
  <c r="HJ171" i="43"/>
  <c r="HK171" i="43"/>
  <c r="HL171" i="43"/>
  <c r="HM171" i="43"/>
  <c r="HN171" i="43"/>
  <c r="HO171" i="43"/>
  <c r="HP171" i="43"/>
  <c r="HQ171" i="43"/>
  <c r="HR171" i="43"/>
  <c r="HS171" i="43"/>
  <c r="HT171" i="43"/>
  <c r="HU171" i="43"/>
  <c r="HV171" i="43"/>
  <c r="HW171" i="43"/>
  <c r="HX171" i="43"/>
  <c r="HY171" i="43"/>
  <c r="HZ171" i="43"/>
  <c r="IA171" i="43"/>
  <c r="IB171" i="43"/>
  <c r="IC171" i="43"/>
  <c r="ID171" i="43"/>
  <c r="IE171" i="43"/>
  <c r="IF171" i="43"/>
  <c r="IG171" i="43"/>
  <c r="IH171" i="43"/>
  <c r="II171" i="43"/>
  <c r="IJ171" i="43"/>
  <c r="IK171" i="43"/>
  <c r="IL171" i="43"/>
  <c r="IM171" i="43"/>
  <c r="IN171" i="43"/>
  <c r="IO171" i="43"/>
  <c r="IP171" i="43"/>
  <c r="IQ171" i="43"/>
  <c r="IR171" i="43"/>
  <c r="IS171" i="43"/>
  <c r="IT171" i="43"/>
  <c r="IU171" i="43"/>
  <c r="IV171" i="43"/>
  <c r="A170" i="43"/>
  <c r="B170" i="43"/>
  <c r="C170" i="43"/>
  <c r="D170" i="43"/>
  <c r="E170" i="43"/>
  <c r="F170" i="43"/>
  <c r="G170" i="43"/>
  <c r="H170" i="43"/>
  <c r="I170" i="43"/>
  <c r="J170" i="43"/>
  <c r="K170" i="43"/>
  <c r="L170" i="43"/>
  <c r="M170" i="43"/>
  <c r="N170" i="43"/>
  <c r="O170" i="43"/>
  <c r="P170" i="43"/>
  <c r="Q170" i="43"/>
  <c r="R170" i="43"/>
  <c r="S170" i="43"/>
  <c r="T170" i="43"/>
  <c r="U170" i="43"/>
  <c r="V170" i="43"/>
  <c r="W170" i="43"/>
  <c r="X170" i="43"/>
  <c r="Y170" i="43"/>
  <c r="Z170" i="43"/>
  <c r="AA170" i="43"/>
  <c r="AB170" i="43"/>
  <c r="AC170" i="43"/>
  <c r="AD170" i="43"/>
  <c r="AE170" i="43"/>
  <c r="AF170" i="43"/>
  <c r="AG170" i="43"/>
  <c r="AH170" i="43"/>
  <c r="AI170" i="43"/>
  <c r="AJ170" i="43"/>
  <c r="AK170" i="43"/>
  <c r="AL170" i="43"/>
  <c r="AM170" i="43"/>
  <c r="AN170" i="43"/>
  <c r="AO170" i="43"/>
  <c r="AP170" i="43"/>
  <c r="AQ170" i="43"/>
  <c r="AR170" i="43"/>
  <c r="AS170" i="43"/>
  <c r="AT170" i="43"/>
  <c r="AU170" i="43"/>
  <c r="AV170" i="43"/>
  <c r="AW170" i="43"/>
  <c r="AX170" i="43"/>
  <c r="AY170" i="43"/>
  <c r="AZ170" i="43"/>
  <c r="BA170" i="43"/>
  <c r="BB170" i="43"/>
  <c r="BC170" i="43"/>
  <c r="BD170" i="43"/>
  <c r="BE170" i="43"/>
  <c r="BF170" i="43"/>
  <c r="BG170" i="43"/>
  <c r="BH170" i="43"/>
  <c r="BI170" i="43"/>
  <c r="BJ170" i="43"/>
  <c r="BK170" i="43"/>
  <c r="BL170" i="43"/>
  <c r="BM170" i="43"/>
  <c r="BN170" i="43"/>
  <c r="BO170" i="43"/>
  <c r="BP170" i="43"/>
  <c r="BQ170" i="43"/>
  <c r="BR170" i="43"/>
  <c r="BS170" i="43"/>
  <c r="BT170" i="43"/>
  <c r="BU170" i="43"/>
  <c r="BV170" i="43"/>
  <c r="BW170" i="43"/>
  <c r="BX170" i="43"/>
  <c r="BY170" i="43"/>
  <c r="BZ170" i="43"/>
  <c r="CA170" i="43"/>
  <c r="CB170" i="43"/>
  <c r="CC170" i="43"/>
  <c r="CD170" i="43"/>
  <c r="CE170" i="43"/>
  <c r="CF170" i="43"/>
  <c r="CG170" i="43"/>
  <c r="CH170" i="43"/>
  <c r="CI170" i="43"/>
  <c r="CJ170" i="43"/>
  <c r="CK170" i="43"/>
  <c r="CL170" i="43"/>
  <c r="CM170" i="43"/>
  <c r="CN170" i="43"/>
  <c r="CO170" i="43"/>
  <c r="CP170" i="43"/>
  <c r="CQ170" i="43"/>
  <c r="CR170" i="43"/>
  <c r="CS170" i="43"/>
  <c r="CT170" i="43"/>
  <c r="CU170" i="43"/>
  <c r="CV170" i="43"/>
  <c r="CW170" i="43"/>
  <c r="CX170" i="43"/>
  <c r="CY170" i="43"/>
  <c r="CZ170" i="43"/>
  <c r="DA170" i="43"/>
  <c r="DB170" i="43"/>
  <c r="DC170" i="43"/>
  <c r="DD170" i="43"/>
  <c r="DE170" i="43"/>
  <c r="DF170" i="43"/>
  <c r="DG170" i="43"/>
  <c r="DH170" i="43"/>
  <c r="DI170" i="43"/>
  <c r="DJ170" i="43"/>
  <c r="DK170" i="43"/>
  <c r="DL170" i="43"/>
  <c r="DM170" i="43"/>
  <c r="DN170" i="43"/>
  <c r="DO170" i="43"/>
  <c r="DP170" i="43"/>
  <c r="DQ170" i="43"/>
  <c r="DR170" i="43"/>
  <c r="DS170" i="43"/>
  <c r="DT170" i="43"/>
  <c r="DU170" i="43"/>
  <c r="DV170" i="43"/>
  <c r="DW170" i="43"/>
  <c r="DX170" i="43"/>
  <c r="DY170" i="43"/>
  <c r="DZ170" i="43"/>
  <c r="EA170" i="43"/>
  <c r="EB170" i="43"/>
  <c r="EC170" i="43"/>
  <c r="ED170" i="43"/>
  <c r="EE170" i="43"/>
  <c r="EF170" i="43"/>
  <c r="EG170" i="43"/>
  <c r="EH170" i="43"/>
  <c r="EI170" i="43"/>
  <c r="EJ170" i="43"/>
  <c r="EK170" i="43"/>
  <c r="EL170" i="43"/>
  <c r="EM170" i="43"/>
  <c r="EN170" i="43"/>
  <c r="EO170" i="43"/>
  <c r="EP170" i="43"/>
  <c r="EQ170" i="43"/>
  <c r="ER170" i="43"/>
  <c r="ES170" i="43"/>
  <c r="ET170" i="43"/>
  <c r="EU170" i="43"/>
  <c r="EV170" i="43"/>
  <c r="EW170" i="43"/>
  <c r="EX170" i="43"/>
  <c r="EY170" i="43"/>
  <c r="EZ170" i="43"/>
  <c r="FA170" i="43"/>
  <c r="FB170" i="43"/>
  <c r="FC170" i="43"/>
  <c r="FD170" i="43"/>
  <c r="FE170" i="43"/>
  <c r="FF170" i="43"/>
  <c r="FG170" i="43"/>
  <c r="FH170" i="43"/>
  <c r="FI170" i="43"/>
  <c r="FJ170" i="43"/>
  <c r="FK170" i="43"/>
  <c r="FL170" i="43"/>
  <c r="FM170" i="43"/>
  <c r="FN170" i="43"/>
  <c r="FO170" i="43"/>
  <c r="FP170" i="43"/>
  <c r="FQ170" i="43"/>
  <c r="FR170" i="43"/>
  <c r="FS170" i="43"/>
  <c r="FT170" i="43"/>
  <c r="FU170" i="43"/>
  <c r="FV170" i="43"/>
  <c r="FW170" i="43"/>
  <c r="FX170" i="43"/>
  <c r="FY170" i="43"/>
  <c r="FZ170" i="43"/>
  <c r="GA170" i="43"/>
  <c r="GB170" i="43"/>
  <c r="GC170" i="43"/>
  <c r="GD170" i="43"/>
  <c r="GE170" i="43"/>
  <c r="GF170" i="43"/>
  <c r="GG170" i="43"/>
  <c r="GH170" i="43"/>
  <c r="GI170" i="43"/>
  <c r="GJ170" i="43"/>
  <c r="GK170" i="43"/>
  <c r="GL170" i="43"/>
  <c r="GM170" i="43"/>
  <c r="GN170" i="43"/>
  <c r="GO170" i="43"/>
  <c r="GP170" i="43"/>
  <c r="GQ170" i="43"/>
  <c r="GR170" i="43"/>
  <c r="GS170" i="43"/>
  <c r="GT170" i="43"/>
  <c r="GU170" i="43"/>
  <c r="GV170" i="43"/>
  <c r="GW170" i="43"/>
  <c r="GX170" i="43"/>
  <c r="GY170" i="43"/>
  <c r="GZ170" i="43"/>
  <c r="HA170" i="43"/>
  <c r="HB170" i="43"/>
  <c r="HC170" i="43"/>
  <c r="HD170" i="43"/>
  <c r="HE170" i="43"/>
  <c r="HF170" i="43"/>
  <c r="HG170" i="43"/>
  <c r="HH170" i="43"/>
  <c r="HI170" i="43"/>
  <c r="HJ170" i="43"/>
  <c r="HK170" i="43"/>
  <c r="HL170" i="43"/>
  <c r="HM170" i="43"/>
  <c r="HN170" i="43"/>
  <c r="HO170" i="43"/>
  <c r="HP170" i="43"/>
  <c r="HQ170" i="43"/>
  <c r="HR170" i="43"/>
  <c r="HS170" i="43"/>
  <c r="HT170" i="43"/>
  <c r="HU170" i="43"/>
  <c r="HV170" i="43"/>
  <c r="HW170" i="43"/>
  <c r="HX170" i="43"/>
  <c r="HY170" i="43"/>
  <c r="HZ170" i="43"/>
  <c r="IA170" i="43"/>
  <c r="IB170" i="43"/>
  <c r="IC170" i="43"/>
  <c r="ID170" i="43"/>
  <c r="IE170" i="43"/>
  <c r="IF170" i="43"/>
  <c r="IG170" i="43"/>
  <c r="IH170" i="43"/>
  <c r="II170" i="43"/>
  <c r="IJ170" i="43"/>
  <c r="IK170" i="43"/>
  <c r="IL170" i="43"/>
  <c r="IM170" i="43"/>
  <c r="IN170" i="43"/>
  <c r="IO170" i="43"/>
  <c r="IP170" i="43"/>
  <c r="IQ170" i="43"/>
  <c r="IR170" i="43"/>
  <c r="IS170" i="43"/>
  <c r="IT170" i="43"/>
  <c r="IU170" i="43"/>
  <c r="IV170" i="43"/>
  <c r="A169" i="43"/>
  <c r="B169" i="43"/>
  <c r="C169" i="43"/>
  <c r="D169" i="43"/>
  <c r="E169" i="43"/>
  <c r="F169" i="43"/>
  <c r="G169" i="43"/>
  <c r="H169" i="43"/>
  <c r="I169" i="43"/>
  <c r="J169" i="43"/>
  <c r="K169" i="43"/>
  <c r="L169" i="43"/>
  <c r="M169" i="43"/>
  <c r="N169" i="43"/>
  <c r="O169" i="43"/>
  <c r="P169" i="43"/>
  <c r="Q169" i="43"/>
  <c r="R169" i="43"/>
  <c r="S169" i="43"/>
  <c r="T169" i="43"/>
  <c r="U169" i="43"/>
  <c r="V169" i="43"/>
  <c r="W169" i="43"/>
  <c r="X169" i="43"/>
  <c r="Y169" i="43"/>
  <c r="Z169" i="43"/>
  <c r="AA169" i="43"/>
  <c r="AB169" i="43"/>
  <c r="AC169" i="43"/>
  <c r="AD169" i="43"/>
  <c r="AE169" i="43"/>
  <c r="AF169" i="43"/>
  <c r="AG169" i="43"/>
  <c r="AH169" i="43"/>
  <c r="AI169" i="43"/>
  <c r="AJ169" i="43"/>
  <c r="AK169" i="43"/>
  <c r="AL169" i="43"/>
  <c r="AM169" i="43"/>
  <c r="AN169" i="43"/>
  <c r="AO169" i="43"/>
  <c r="AP169" i="43"/>
  <c r="AQ169" i="43"/>
  <c r="AR169" i="43"/>
  <c r="AS169" i="43"/>
  <c r="AT169" i="43"/>
  <c r="AU169" i="43"/>
  <c r="AV169" i="43"/>
  <c r="AW169" i="43"/>
  <c r="AX169" i="43"/>
  <c r="AY169" i="43"/>
  <c r="AZ169" i="43"/>
  <c r="BA169" i="43"/>
  <c r="BB169" i="43"/>
  <c r="BC169" i="43"/>
  <c r="BD169" i="43"/>
  <c r="BE169" i="43"/>
  <c r="BF169" i="43"/>
  <c r="BG169" i="43"/>
  <c r="BH169" i="43"/>
  <c r="BI169" i="43"/>
  <c r="BJ169" i="43"/>
  <c r="BK169" i="43"/>
  <c r="BL169" i="43"/>
  <c r="BM169" i="43"/>
  <c r="BN169" i="43"/>
  <c r="BO169" i="43"/>
  <c r="BP169" i="43"/>
  <c r="BQ169" i="43"/>
  <c r="BR169" i="43"/>
  <c r="BS169" i="43"/>
  <c r="BT169" i="43"/>
  <c r="BU169" i="43"/>
  <c r="BV169" i="43"/>
  <c r="BW169" i="43"/>
  <c r="BX169" i="43"/>
  <c r="BY169" i="43"/>
  <c r="BZ169" i="43"/>
  <c r="CA169" i="43"/>
  <c r="CB169" i="43"/>
  <c r="CC169" i="43"/>
  <c r="CD169" i="43"/>
  <c r="CE169" i="43"/>
  <c r="CF169" i="43"/>
  <c r="CG169" i="43"/>
  <c r="CH169" i="43"/>
  <c r="CI169" i="43"/>
  <c r="CJ169" i="43"/>
  <c r="CK169" i="43"/>
  <c r="CL169" i="43"/>
  <c r="CM169" i="43"/>
  <c r="CN169" i="43"/>
  <c r="CO169" i="43"/>
  <c r="CP169" i="43"/>
  <c r="CQ169" i="43"/>
  <c r="CR169" i="43"/>
  <c r="CS169" i="43"/>
  <c r="CT169" i="43"/>
  <c r="CU169" i="43"/>
  <c r="CV169" i="43"/>
  <c r="CW169" i="43"/>
  <c r="CX169" i="43"/>
  <c r="CY169" i="43"/>
  <c r="CZ169" i="43"/>
  <c r="DA169" i="43"/>
  <c r="DB169" i="43"/>
  <c r="DC169" i="43"/>
  <c r="DD169" i="43"/>
  <c r="DE169" i="43"/>
  <c r="DF169" i="43"/>
  <c r="DG169" i="43"/>
  <c r="DH169" i="43"/>
  <c r="DI169" i="43"/>
  <c r="DJ169" i="43"/>
  <c r="DK169" i="43"/>
  <c r="DL169" i="43"/>
  <c r="DM169" i="43"/>
  <c r="DN169" i="43"/>
  <c r="DO169" i="43"/>
  <c r="DP169" i="43"/>
  <c r="DQ169" i="43"/>
  <c r="DR169" i="43"/>
  <c r="DS169" i="43"/>
  <c r="DT169" i="43"/>
  <c r="DU169" i="43"/>
  <c r="DV169" i="43"/>
  <c r="DW169" i="43"/>
  <c r="DX169" i="43"/>
  <c r="DY169" i="43"/>
  <c r="DZ169" i="43"/>
  <c r="EA169" i="43"/>
  <c r="EB169" i="43"/>
  <c r="EC169" i="43"/>
  <c r="ED169" i="43"/>
  <c r="EE169" i="43"/>
  <c r="EF169" i="43"/>
  <c r="EG169" i="43"/>
  <c r="EH169" i="43"/>
  <c r="EI169" i="43"/>
  <c r="EJ169" i="43"/>
  <c r="EK169" i="43"/>
  <c r="EL169" i="43"/>
  <c r="EM169" i="43"/>
  <c r="EN169" i="43"/>
  <c r="EO169" i="43"/>
  <c r="EP169" i="43"/>
  <c r="EQ169" i="43"/>
  <c r="ER169" i="43"/>
  <c r="ES169" i="43"/>
  <c r="ET169" i="43"/>
  <c r="EU169" i="43"/>
  <c r="EV169" i="43"/>
  <c r="EW169" i="43"/>
  <c r="EX169" i="43"/>
  <c r="EY169" i="43"/>
  <c r="EZ169" i="43"/>
  <c r="FA169" i="43"/>
  <c r="FB169" i="43"/>
  <c r="FC169" i="43"/>
  <c r="FD169" i="43"/>
  <c r="FE169" i="43"/>
  <c r="FF169" i="43"/>
  <c r="FG169" i="43"/>
  <c r="FH169" i="43"/>
  <c r="FI169" i="43"/>
  <c r="FJ169" i="43"/>
  <c r="FK169" i="43"/>
  <c r="FL169" i="43"/>
  <c r="FM169" i="43"/>
  <c r="FN169" i="43"/>
  <c r="FO169" i="43"/>
  <c r="FP169" i="43"/>
  <c r="FQ169" i="43"/>
  <c r="FR169" i="43"/>
  <c r="FS169" i="43"/>
  <c r="FT169" i="43"/>
  <c r="FU169" i="43"/>
  <c r="FV169" i="43"/>
  <c r="FW169" i="43"/>
  <c r="FX169" i="43"/>
  <c r="FY169" i="43"/>
  <c r="FZ169" i="43"/>
  <c r="GA169" i="43"/>
  <c r="GB169" i="43"/>
  <c r="GC169" i="43"/>
  <c r="GD169" i="43"/>
  <c r="GE169" i="43"/>
  <c r="GF169" i="43"/>
  <c r="GG169" i="43"/>
  <c r="GH169" i="43"/>
  <c r="GI169" i="43"/>
  <c r="GJ169" i="43"/>
  <c r="GK169" i="43"/>
  <c r="GL169" i="43"/>
  <c r="GM169" i="43"/>
  <c r="GN169" i="43"/>
  <c r="GO169" i="43"/>
  <c r="GP169" i="43"/>
  <c r="GQ169" i="43"/>
  <c r="GR169" i="43"/>
  <c r="GS169" i="43"/>
  <c r="GT169" i="43"/>
  <c r="GU169" i="43"/>
  <c r="GV169" i="43"/>
  <c r="GW169" i="43"/>
  <c r="GX169" i="43"/>
  <c r="GY169" i="43"/>
  <c r="GZ169" i="43"/>
  <c r="HA169" i="43"/>
  <c r="HB169" i="43"/>
  <c r="HC169" i="43"/>
  <c r="HD169" i="43"/>
  <c r="HE169" i="43"/>
  <c r="HF169" i="43"/>
  <c r="HG169" i="43"/>
  <c r="HH169" i="43"/>
  <c r="HI169" i="43"/>
  <c r="HJ169" i="43"/>
  <c r="HK169" i="43"/>
  <c r="HL169" i="43"/>
  <c r="HM169" i="43"/>
  <c r="HN169" i="43"/>
  <c r="HO169" i="43"/>
  <c r="HP169" i="43"/>
  <c r="HQ169" i="43"/>
  <c r="HR169" i="43"/>
  <c r="HS169" i="43"/>
  <c r="HT169" i="43"/>
  <c r="HU169" i="43"/>
  <c r="HV169" i="43"/>
  <c r="HW169" i="43"/>
  <c r="HX169" i="43"/>
  <c r="HY169" i="43"/>
  <c r="HZ169" i="43"/>
  <c r="IA169" i="43"/>
  <c r="IB169" i="43"/>
  <c r="IC169" i="43"/>
  <c r="ID169" i="43"/>
  <c r="IE169" i="43"/>
  <c r="IF169" i="43"/>
  <c r="IG169" i="43"/>
  <c r="IH169" i="43"/>
  <c r="II169" i="43"/>
  <c r="IJ169" i="43"/>
  <c r="IK169" i="43"/>
  <c r="IL169" i="43"/>
  <c r="IM169" i="43"/>
  <c r="IN169" i="43"/>
  <c r="IO169" i="43"/>
  <c r="IP169" i="43"/>
  <c r="IQ169" i="43"/>
  <c r="IR169" i="43"/>
  <c r="IS169" i="43"/>
  <c r="IT169" i="43"/>
  <c r="IU169" i="43"/>
  <c r="IV169" i="43"/>
  <c r="A168" i="43"/>
  <c r="B168" i="43"/>
  <c r="C168" i="43"/>
  <c r="D168" i="43"/>
  <c r="E168" i="43"/>
  <c r="F168" i="43"/>
  <c r="G168" i="43"/>
  <c r="H168" i="43"/>
  <c r="I168" i="43"/>
  <c r="J168" i="43"/>
  <c r="K168" i="43"/>
  <c r="L168" i="43"/>
  <c r="M168" i="43"/>
  <c r="N168" i="43"/>
  <c r="O168" i="43"/>
  <c r="P168" i="43"/>
  <c r="Q168" i="43"/>
  <c r="R168" i="43"/>
  <c r="S168" i="43"/>
  <c r="T168" i="43"/>
  <c r="U168" i="43"/>
  <c r="V168" i="43"/>
  <c r="W168" i="43"/>
  <c r="X168" i="43"/>
  <c r="Y168" i="43"/>
  <c r="Z168" i="43"/>
  <c r="AA168" i="43"/>
  <c r="AB168" i="43"/>
  <c r="AC168" i="43"/>
  <c r="AD168" i="43"/>
  <c r="AE168" i="43"/>
  <c r="AF168" i="43"/>
  <c r="AG168" i="43"/>
  <c r="AH168" i="43"/>
  <c r="AI168" i="43"/>
  <c r="AJ168" i="43"/>
  <c r="AK168" i="43"/>
  <c r="AL168" i="43"/>
  <c r="AM168" i="43"/>
  <c r="AN168" i="43"/>
  <c r="AO168" i="43"/>
  <c r="AP168" i="43"/>
  <c r="AQ168" i="43"/>
  <c r="AR168" i="43"/>
  <c r="AS168" i="43"/>
  <c r="AT168" i="43"/>
  <c r="AU168" i="43"/>
  <c r="AV168" i="43"/>
  <c r="AW168" i="43"/>
  <c r="AX168" i="43"/>
  <c r="AY168" i="43"/>
  <c r="AZ168" i="43"/>
  <c r="BA168" i="43"/>
  <c r="BB168" i="43"/>
  <c r="BC168" i="43"/>
  <c r="BD168" i="43"/>
  <c r="BE168" i="43"/>
  <c r="BF168" i="43"/>
  <c r="BG168" i="43"/>
  <c r="BH168" i="43"/>
  <c r="BI168" i="43"/>
  <c r="BJ168" i="43"/>
  <c r="BK168" i="43"/>
  <c r="BL168" i="43"/>
  <c r="BM168" i="43"/>
  <c r="BN168" i="43"/>
  <c r="BO168" i="43"/>
  <c r="BP168" i="43"/>
  <c r="BQ168" i="43"/>
  <c r="BR168" i="43"/>
  <c r="BS168" i="43"/>
  <c r="BT168" i="43"/>
  <c r="BU168" i="43"/>
  <c r="BV168" i="43"/>
  <c r="BW168" i="43"/>
  <c r="BX168" i="43"/>
  <c r="BY168" i="43"/>
  <c r="BZ168" i="43"/>
  <c r="CA168" i="43"/>
  <c r="CB168" i="43"/>
  <c r="CC168" i="43"/>
  <c r="CD168" i="43"/>
  <c r="CE168" i="43"/>
  <c r="CF168" i="43"/>
  <c r="CG168" i="43"/>
  <c r="CH168" i="43"/>
  <c r="CI168" i="43"/>
  <c r="CJ168" i="43"/>
  <c r="CK168" i="43"/>
  <c r="CL168" i="43"/>
  <c r="CM168" i="43"/>
  <c r="CN168" i="43"/>
  <c r="CO168" i="43"/>
  <c r="CP168" i="43"/>
  <c r="CQ168" i="43"/>
  <c r="CR168" i="43"/>
  <c r="CS168" i="43"/>
  <c r="CT168" i="43"/>
  <c r="CU168" i="43"/>
  <c r="CV168" i="43"/>
  <c r="CW168" i="43"/>
  <c r="CX168" i="43"/>
  <c r="CY168" i="43"/>
  <c r="CZ168" i="43"/>
  <c r="DA168" i="43"/>
  <c r="DB168" i="43"/>
  <c r="DC168" i="43"/>
  <c r="DD168" i="43"/>
  <c r="DE168" i="43"/>
  <c r="DF168" i="43"/>
  <c r="DG168" i="43"/>
  <c r="DH168" i="43"/>
  <c r="DI168" i="43"/>
  <c r="DJ168" i="43"/>
  <c r="DK168" i="43"/>
  <c r="DL168" i="43"/>
  <c r="DM168" i="43"/>
  <c r="DN168" i="43"/>
  <c r="DO168" i="43"/>
  <c r="DP168" i="43"/>
  <c r="DQ168" i="43"/>
  <c r="DR168" i="43"/>
  <c r="DS168" i="43"/>
  <c r="DT168" i="43"/>
  <c r="DU168" i="43"/>
  <c r="DV168" i="43"/>
  <c r="DW168" i="43"/>
  <c r="DX168" i="43"/>
  <c r="DY168" i="43"/>
  <c r="DZ168" i="43"/>
  <c r="EA168" i="43"/>
  <c r="EB168" i="43"/>
  <c r="EC168" i="43"/>
  <c r="ED168" i="43"/>
  <c r="EE168" i="43"/>
  <c r="EF168" i="43"/>
  <c r="EG168" i="43"/>
  <c r="EH168" i="43"/>
  <c r="EI168" i="43"/>
  <c r="EJ168" i="43"/>
  <c r="EK168" i="43"/>
  <c r="EL168" i="43"/>
  <c r="EM168" i="43"/>
  <c r="EN168" i="43"/>
  <c r="EO168" i="43"/>
  <c r="EP168" i="43"/>
  <c r="EQ168" i="43"/>
  <c r="ER168" i="43"/>
  <c r="ES168" i="43"/>
  <c r="ET168" i="43"/>
  <c r="EU168" i="43"/>
  <c r="EV168" i="43"/>
  <c r="EW168" i="43"/>
  <c r="EX168" i="43"/>
  <c r="EY168" i="43"/>
  <c r="EZ168" i="43"/>
  <c r="FA168" i="43"/>
  <c r="FB168" i="43"/>
  <c r="FC168" i="43"/>
  <c r="FD168" i="43"/>
  <c r="FE168" i="43"/>
  <c r="FF168" i="43"/>
  <c r="FG168" i="43"/>
  <c r="FH168" i="43"/>
  <c r="FI168" i="43"/>
  <c r="FJ168" i="43"/>
  <c r="FK168" i="43"/>
  <c r="FL168" i="43"/>
  <c r="FM168" i="43"/>
  <c r="FN168" i="43"/>
  <c r="FO168" i="43"/>
  <c r="FP168" i="43"/>
  <c r="FQ168" i="43"/>
  <c r="FR168" i="43"/>
  <c r="FS168" i="43"/>
  <c r="FT168" i="43"/>
  <c r="FU168" i="43"/>
  <c r="FV168" i="43"/>
  <c r="FW168" i="43"/>
  <c r="FX168" i="43"/>
  <c r="FY168" i="43"/>
  <c r="FZ168" i="43"/>
  <c r="GA168" i="43"/>
  <c r="GB168" i="43"/>
  <c r="GC168" i="43"/>
  <c r="GD168" i="43"/>
  <c r="GE168" i="43"/>
  <c r="GF168" i="43"/>
  <c r="GG168" i="43"/>
  <c r="GH168" i="43"/>
  <c r="GI168" i="43"/>
  <c r="GJ168" i="43"/>
  <c r="GK168" i="43"/>
  <c r="GL168" i="43"/>
  <c r="GM168" i="43"/>
  <c r="GN168" i="43"/>
  <c r="GO168" i="43"/>
  <c r="GP168" i="43"/>
  <c r="GQ168" i="43"/>
  <c r="GR168" i="43"/>
  <c r="GS168" i="43"/>
  <c r="GT168" i="43"/>
  <c r="GU168" i="43"/>
  <c r="GV168" i="43"/>
  <c r="GW168" i="43"/>
  <c r="GX168" i="43"/>
  <c r="GY168" i="43"/>
  <c r="GZ168" i="43"/>
  <c r="HA168" i="43"/>
  <c r="HB168" i="43"/>
  <c r="HC168" i="43"/>
  <c r="HD168" i="43"/>
  <c r="HE168" i="43"/>
  <c r="HF168" i="43"/>
  <c r="HG168" i="43"/>
  <c r="HH168" i="43"/>
  <c r="HI168" i="43"/>
  <c r="HJ168" i="43"/>
  <c r="HK168" i="43"/>
  <c r="HL168" i="43"/>
  <c r="HM168" i="43"/>
  <c r="HN168" i="43"/>
  <c r="HO168" i="43"/>
  <c r="HP168" i="43"/>
  <c r="HQ168" i="43"/>
  <c r="HR168" i="43"/>
  <c r="HS168" i="43"/>
  <c r="HT168" i="43"/>
  <c r="HU168" i="43"/>
  <c r="HV168" i="43"/>
  <c r="HW168" i="43"/>
  <c r="HX168" i="43"/>
  <c r="HY168" i="43"/>
  <c r="HZ168" i="43"/>
  <c r="IA168" i="43"/>
  <c r="IB168" i="43"/>
  <c r="IC168" i="43"/>
  <c r="ID168" i="43"/>
  <c r="IE168" i="43"/>
  <c r="IF168" i="43"/>
  <c r="IG168" i="43"/>
  <c r="IH168" i="43"/>
  <c r="II168" i="43"/>
  <c r="IJ168" i="43"/>
  <c r="IK168" i="43"/>
  <c r="IL168" i="43"/>
  <c r="IM168" i="43"/>
  <c r="IN168" i="43"/>
  <c r="IO168" i="43"/>
  <c r="IP168" i="43"/>
  <c r="IQ168" i="43"/>
  <c r="IR168" i="43"/>
  <c r="IS168" i="43"/>
  <c r="IT168" i="43"/>
  <c r="IU168" i="43"/>
  <c r="IV168" i="43"/>
  <c r="A167" i="43"/>
  <c r="B167" i="43"/>
  <c r="C167" i="43"/>
  <c r="D167" i="43"/>
  <c r="E167" i="43"/>
  <c r="F167" i="43"/>
  <c r="G167" i="43"/>
  <c r="H167" i="43"/>
  <c r="I167" i="43"/>
  <c r="J167" i="43"/>
  <c r="K167" i="43"/>
  <c r="L167" i="43"/>
  <c r="M167" i="43"/>
  <c r="N167" i="43"/>
  <c r="O167" i="43"/>
  <c r="P167" i="43"/>
  <c r="Q167" i="43"/>
  <c r="R167" i="43"/>
  <c r="S167" i="43"/>
  <c r="T167" i="43"/>
  <c r="U167" i="43"/>
  <c r="V167" i="43"/>
  <c r="W167" i="43"/>
  <c r="X167" i="43"/>
  <c r="Y167" i="43"/>
  <c r="Z167" i="43"/>
  <c r="AA167" i="43"/>
  <c r="AB167" i="43"/>
  <c r="AC167" i="43"/>
  <c r="AD167" i="43"/>
  <c r="AE167" i="43"/>
  <c r="AF167" i="43"/>
  <c r="AG167" i="43"/>
  <c r="AH167" i="43"/>
  <c r="AI167" i="43"/>
  <c r="AJ167" i="43"/>
  <c r="AK167" i="43"/>
  <c r="AL167" i="43"/>
  <c r="AM167" i="43"/>
  <c r="AN167" i="43"/>
  <c r="AO167" i="43"/>
  <c r="AP167" i="43"/>
  <c r="AQ167" i="43"/>
  <c r="AR167" i="43"/>
  <c r="AS167" i="43"/>
  <c r="AT167" i="43"/>
  <c r="AU167" i="43"/>
  <c r="AV167" i="43"/>
  <c r="AW167" i="43"/>
  <c r="AX167" i="43"/>
  <c r="AY167" i="43"/>
  <c r="AZ167" i="43"/>
  <c r="BA167" i="43"/>
  <c r="BB167" i="43"/>
  <c r="BC167" i="43"/>
  <c r="BD167" i="43"/>
  <c r="BE167" i="43"/>
  <c r="BF167" i="43"/>
  <c r="BG167" i="43"/>
  <c r="BH167" i="43"/>
  <c r="BI167" i="43"/>
  <c r="BJ167" i="43"/>
  <c r="BK167" i="43"/>
  <c r="BL167" i="43"/>
  <c r="BM167" i="43"/>
  <c r="BN167" i="43"/>
  <c r="BO167" i="43"/>
  <c r="BP167" i="43"/>
  <c r="BQ167" i="43"/>
  <c r="BR167" i="43"/>
  <c r="BS167" i="43"/>
  <c r="BT167" i="43"/>
  <c r="BU167" i="43"/>
  <c r="BV167" i="43"/>
  <c r="BW167" i="43"/>
  <c r="BX167" i="43"/>
  <c r="BY167" i="43"/>
  <c r="BZ167" i="43"/>
  <c r="CA167" i="43"/>
  <c r="CB167" i="43"/>
  <c r="CC167" i="43"/>
  <c r="CD167" i="43"/>
  <c r="CE167" i="43"/>
  <c r="CF167" i="43"/>
  <c r="CG167" i="43"/>
  <c r="CH167" i="43"/>
  <c r="CI167" i="43"/>
  <c r="CJ167" i="43"/>
  <c r="CK167" i="43"/>
  <c r="CL167" i="43"/>
  <c r="CM167" i="43"/>
  <c r="CN167" i="43"/>
  <c r="CO167" i="43"/>
  <c r="CP167" i="43"/>
  <c r="CQ167" i="43"/>
  <c r="CR167" i="43"/>
  <c r="CS167" i="43"/>
  <c r="CT167" i="43"/>
  <c r="CU167" i="43"/>
  <c r="CV167" i="43"/>
  <c r="CW167" i="43"/>
  <c r="CX167" i="43"/>
  <c r="CY167" i="43"/>
  <c r="CZ167" i="43"/>
  <c r="DA167" i="43"/>
  <c r="DB167" i="43"/>
  <c r="DC167" i="43"/>
  <c r="DD167" i="43"/>
  <c r="DE167" i="43"/>
  <c r="DF167" i="43"/>
  <c r="DG167" i="43"/>
  <c r="DH167" i="43"/>
  <c r="DI167" i="43"/>
  <c r="DJ167" i="43"/>
  <c r="DK167" i="43"/>
  <c r="DL167" i="43"/>
  <c r="DM167" i="43"/>
  <c r="DN167" i="43"/>
  <c r="DO167" i="43"/>
  <c r="DP167" i="43"/>
  <c r="DQ167" i="43"/>
  <c r="DR167" i="43"/>
  <c r="DS167" i="43"/>
  <c r="DT167" i="43"/>
  <c r="DU167" i="43"/>
  <c r="DV167" i="43"/>
  <c r="DW167" i="43"/>
  <c r="DX167" i="43"/>
  <c r="DY167" i="43"/>
  <c r="DZ167" i="43"/>
  <c r="EA167" i="43"/>
  <c r="EB167" i="43"/>
  <c r="EC167" i="43"/>
  <c r="ED167" i="43"/>
  <c r="EE167" i="43"/>
  <c r="EF167" i="43"/>
  <c r="EG167" i="43"/>
  <c r="EH167" i="43"/>
  <c r="EI167" i="43"/>
  <c r="EJ167" i="43"/>
  <c r="EK167" i="43"/>
  <c r="EL167" i="43"/>
  <c r="EM167" i="43"/>
  <c r="EN167" i="43"/>
  <c r="EO167" i="43"/>
  <c r="EP167" i="43"/>
  <c r="EQ167" i="43"/>
  <c r="ER167" i="43"/>
  <c r="ES167" i="43"/>
  <c r="ET167" i="43"/>
  <c r="EU167" i="43"/>
  <c r="EV167" i="43"/>
  <c r="EW167" i="43"/>
  <c r="EX167" i="43"/>
  <c r="EY167" i="43"/>
  <c r="EZ167" i="43"/>
  <c r="FA167" i="43"/>
  <c r="FB167" i="43"/>
  <c r="FC167" i="43"/>
  <c r="FD167" i="43"/>
  <c r="FE167" i="43"/>
  <c r="FF167" i="43"/>
  <c r="FG167" i="43"/>
  <c r="FH167" i="43"/>
  <c r="FI167" i="43"/>
  <c r="FJ167" i="43"/>
  <c r="FK167" i="43"/>
  <c r="FL167" i="43"/>
  <c r="FM167" i="43"/>
  <c r="FN167" i="43"/>
  <c r="FO167" i="43"/>
  <c r="FP167" i="43"/>
  <c r="FQ167" i="43"/>
  <c r="FR167" i="43"/>
  <c r="FS167" i="43"/>
  <c r="FT167" i="43"/>
  <c r="FU167" i="43"/>
  <c r="FV167" i="43"/>
  <c r="FW167" i="43"/>
  <c r="FX167" i="43"/>
  <c r="FY167" i="43"/>
  <c r="FZ167" i="43"/>
  <c r="GA167" i="43"/>
  <c r="GB167" i="43"/>
  <c r="GC167" i="43"/>
  <c r="GD167" i="43"/>
  <c r="GE167" i="43"/>
  <c r="GF167" i="43"/>
  <c r="GG167" i="43"/>
  <c r="GH167" i="43"/>
  <c r="GI167" i="43"/>
  <c r="GJ167" i="43"/>
  <c r="GK167" i="43"/>
  <c r="GL167" i="43"/>
  <c r="GM167" i="43"/>
  <c r="GN167" i="43"/>
  <c r="GO167" i="43"/>
  <c r="GP167" i="43"/>
  <c r="GQ167" i="43"/>
  <c r="GR167" i="43"/>
  <c r="GS167" i="43"/>
  <c r="GT167" i="43"/>
  <c r="GU167" i="43"/>
  <c r="GV167" i="43"/>
  <c r="GW167" i="43"/>
  <c r="GX167" i="43"/>
  <c r="GY167" i="43"/>
  <c r="GZ167" i="43"/>
  <c r="HA167" i="43"/>
  <c r="HB167" i="43"/>
  <c r="HC167" i="43"/>
  <c r="HD167" i="43"/>
  <c r="HE167" i="43"/>
  <c r="HF167" i="43"/>
  <c r="HG167" i="43"/>
  <c r="HH167" i="43"/>
  <c r="HI167" i="43"/>
  <c r="HJ167" i="43"/>
  <c r="HK167" i="43"/>
  <c r="HL167" i="43"/>
  <c r="HM167" i="43"/>
  <c r="HN167" i="43"/>
  <c r="HO167" i="43"/>
  <c r="HP167" i="43"/>
  <c r="HQ167" i="43"/>
  <c r="HR167" i="43"/>
  <c r="HS167" i="43"/>
  <c r="HT167" i="43"/>
  <c r="HU167" i="43"/>
  <c r="HV167" i="43"/>
  <c r="HW167" i="43"/>
  <c r="HX167" i="43"/>
  <c r="HY167" i="43"/>
  <c r="HZ167" i="43"/>
  <c r="IA167" i="43"/>
  <c r="IB167" i="43"/>
  <c r="IC167" i="43"/>
  <c r="ID167" i="43"/>
  <c r="IE167" i="43"/>
  <c r="IF167" i="43"/>
  <c r="IG167" i="43"/>
  <c r="IH167" i="43"/>
  <c r="II167" i="43"/>
  <c r="IJ167" i="43"/>
  <c r="IK167" i="43"/>
  <c r="IL167" i="43"/>
  <c r="IM167" i="43"/>
  <c r="IN167" i="43"/>
  <c r="IO167" i="43"/>
  <c r="IP167" i="43"/>
  <c r="IQ167" i="43"/>
  <c r="IR167" i="43"/>
  <c r="IS167" i="43"/>
  <c r="IT167" i="43"/>
  <c r="IU167" i="43"/>
  <c r="IV167" i="43"/>
  <c r="A166" i="43"/>
  <c r="B166" i="43"/>
  <c r="C166" i="43"/>
  <c r="D166" i="43"/>
  <c r="E166" i="43"/>
  <c r="F166" i="43"/>
  <c r="G166" i="43"/>
  <c r="H166" i="43"/>
  <c r="I166" i="43"/>
  <c r="J166" i="43"/>
  <c r="K166" i="43"/>
  <c r="L166" i="43"/>
  <c r="M166" i="43"/>
  <c r="N166" i="43"/>
  <c r="O166" i="43"/>
  <c r="P166" i="43"/>
  <c r="Q166" i="43"/>
  <c r="R166" i="43"/>
  <c r="S166" i="43"/>
  <c r="T166" i="43"/>
  <c r="U166" i="43"/>
  <c r="V166" i="43"/>
  <c r="W166" i="43"/>
  <c r="X166" i="43"/>
  <c r="Y166" i="43"/>
  <c r="Z166" i="43"/>
  <c r="AA166" i="43"/>
  <c r="AB166" i="43"/>
  <c r="AC166" i="43"/>
  <c r="AD166" i="43"/>
  <c r="AE166" i="43"/>
  <c r="AF166" i="43"/>
  <c r="AG166" i="43"/>
  <c r="AH166" i="43"/>
  <c r="AI166" i="43"/>
  <c r="AJ166" i="43"/>
  <c r="AK166" i="43"/>
  <c r="AL166" i="43"/>
  <c r="AM166" i="43"/>
  <c r="AN166" i="43"/>
  <c r="AO166" i="43"/>
  <c r="AP166" i="43"/>
  <c r="AQ166" i="43"/>
  <c r="AR166" i="43"/>
  <c r="AS166" i="43"/>
  <c r="AT166" i="43"/>
  <c r="AU166" i="43"/>
  <c r="AV166" i="43"/>
  <c r="AW166" i="43"/>
  <c r="AX166" i="43"/>
  <c r="AY166" i="43"/>
  <c r="AZ166" i="43"/>
  <c r="BA166" i="43"/>
  <c r="BB166" i="43"/>
  <c r="BC166" i="43"/>
  <c r="BD166" i="43"/>
  <c r="BE166" i="43"/>
  <c r="BF166" i="43"/>
  <c r="BG166" i="43"/>
  <c r="BH166" i="43"/>
  <c r="BI166" i="43"/>
  <c r="BJ166" i="43"/>
  <c r="BK166" i="43"/>
  <c r="BL166" i="43"/>
  <c r="BM166" i="43"/>
  <c r="BN166" i="43"/>
  <c r="BO166" i="43"/>
  <c r="BP166" i="43"/>
  <c r="BQ166" i="43"/>
  <c r="BR166" i="43"/>
  <c r="BS166" i="43"/>
  <c r="BT166" i="43"/>
  <c r="BU166" i="43"/>
  <c r="BV166" i="43"/>
  <c r="BW166" i="43"/>
  <c r="BX166" i="43"/>
  <c r="BY166" i="43"/>
  <c r="BZ166" i="43"/>
  <c r="CA166" i="43"/>
  <c r="CB166" i="43"/>
  <c r="CC166" i="43"/>
  <c r="CD166" i="43"/>
  <c r="CE166" i="43"/>
  <c r="CF166" i="43"/>
  <c r="CG166" i="43"/>
  <c r="CH166" i="43"/>
  <c r="CI166" i="43"/>
  <c r="CJ166" i="43"/>
  <c r="CK166" i="43"/>
  <c r="CL166" i="43"/>
  <c r="CM166" i="43"/>
  <c r="CN166" i="43"/>
  <c r="CO166" i="43"/>
  <c r="CP166" i="43"/>
  <c r="CQ166" i="43"/>
  <c r="CR166" i="43"/>
  <c r="CS166" i="43"/>
  <c r="CT166" i="43"/>
  <c r="CU166" i="43"/>
  <c r="CV166" i="43"/>
  <c r="CW166" i="43"/>
  <c r="CX166" i="43"/>
  <c r="CY166" i="43"/>
  <c r="CZ166" i="43"/>
  <c r="DA166" i="43"/>
  <c r="DB166" i="43"/>
  <c r="DC166" i="43"/>
  <c r="DD166" i="43"/>
  <c r="DE166" i="43"/>
  <c r="DF166" i="43"/>
  <c r="DG166" i="43"/>
  <c r="DH166" i="43"/>
  <c r="DI166" i="43"/>
  <c r="DJ166" i="43"/>
  <c r="DK166" i="43"/>
  <c r="DL166" i="43"/>
  <c r="DM166" i="43"/>
  <c r="DN166" i="43"/>
  <c r="DO166" i="43"/>
  <c r="DP166" i="43"/>
  <c r="DQ166" i="43"/>
  <c r="DR166" i="43"/>
  <c r="DS166" i="43"/>
  <c r="DT166" i="43"/>
  <c r="DU166" i="43"/>
  <c r="DV166" i="43"/>
  <c r="DW166" i="43"/>
  <c r="DX166" i="43"/>
  <c r="DY166" i="43"/>
  <c r="DZ166" i="43"/>
  <c r="EA166" i="43"/>
  <c r="EB166" i="43"/>
  <c r="EC166" i="43"/>
  <c r="ED166" i="43"/>
  <c r="EE166" i="43"/>
  <c r="EF166" i="43"/>
  <c r="EG166" i="43"/>
  <c r="EH166" i="43"/>
  <c r="EI166" i="43"/>
  <c r="EJ166" i="43"/>
  <c r="EK166" i="43"/>
  <c r="EL166" i="43"/>
  <c r="EM166" i="43"/>
  <c r="EN166" i="43"/>
  <c r="EO166" i="43"/>
  <c r="EP166" i="43"/>
  <c r="EQ166" i="43"/>
  <c r="ER166" i="43"/>
  <c r="ES166" i="43"/>
  <c r="ET166" i="43"/>
  <c r="EU166" i="43"/>
  <c r="EV166" i="43"/>
  <c r="EW166" i="43"/>
  <c r="EX166" i="43"/>
  <c r="EY166" i="43"/>
  <c r="EZ166" i="43"/>
  <c r="FA166" i="43"/>
  <c r="FB166" i="43"/>
  <c r="FC166" i="43"/>
  <c r="FD166" i="43"/>
  <c r="FE166" i="43"/>
  <c r="FF166" i="43"/>
  <c r="FG166" i="43"/>
  <c r="FH166" i="43"/>
  <c r="FI166" i="43"/>
  <c r="FJ166" i="43"/>
  <c r="FK166" i="43"/>
  <c r="FL166" i="43"/>
  <c r="FM166" i="43"/>
  <c r="FN166" i="43"/>
  <c r="FO166" i="43"/>
  <c r="FP166" i="43"/>
  <c r="FQ166" i="43"/>
  <c r="FR166" i="43"/>
  <c r="FS166" i="43"/>
  <c r="FT166" i="43"/>
  <c r="FU166" i="43"/>
  <c r="FV166" i="43"/>
  <c r="FW166" i="43"/>
  <c r="FX166" i="43"/>
  <c r="FY166" i="43"/>
  <c r="FZ166" i="43"/>
  <c r="GA166" i="43"/>
  <c r="GB166" i="43"/>
  <c r="GC166" i="43"/>
  <c r="GD166" i="43"/>
  <c r="GE166" i="43"/>
  <c r="GF166" i="43"/>
  <c r="GG166" i="43"/>
  <c r="GH166" i="43"/>
  <c r="GI166" i="43"/>
  <c r="GJ166" i="43"/>
  <c r="GK166" i="43"/>
  <c r="GL166" i="43"/>
  <c r="GM166" i="43"/>
  <c r="GN166" i="43"/>
  <c r="GO166" i="43"/>
  <c r="GP166" i="43"/>
  <c r="GQ166" i="43"/>
  <c r="GR166" i="43"/>
  <c r="GS166" i="43"/>
  <c r="GT166" i="43"/>
  <c r="GU166" i="43"/>
  <c r="GV166" i="43"/>
  <c r="GW166" i="43"/>
  <c r="GX166" i="43"/>
  <c r="GY166" i="43"/>
  <c r="GZ166" i="43"/>
  <c r="HA166" i="43"/>
  <c r="HB166" i="43"/>
  <c r="HC166" i="43"/>
  <c r="HD166" i="43"/>
  <c r="HE166" i="43"/>
  <c r="HF166" i="43"/>
  <c r="HG166" i="43"/>
  <c r="HH166" i="43"/>
  <c r="HI166" i="43"/>
  <c r="HJ166" i="43"/>
  <c r="HK166" i="43"/>
  <c r="HL166" i="43"/>
  <c r="HM166" i="43"/>
  <c r="HN166" i="43"/>
  <c r="HO166" i="43"/>
  <c r="HP166" i="43"/>
  <c r="HQ166" i="43"/>
  <c r="HR166" i="43"/>
  <c r="HS166" i="43"/>
  <c r="HT166" i="43"/>
  <c r="HU166" i="43"/>
  <c r="HV166" i="43"/>
  <c r="HW166" i="43"/>
  <c r="HX166" i="43"/>
  <c r="HY166" i="43"/>
  <c r="HZ166" i="43"/>
  <c r="IA166" i="43"/>
  <c r="IB166" i="43"/>
  <c r="IC166" i="43"/>
  <c r="ID166" i="43"/>
  <c r="IE166" i="43"/>
  <c r="IF166" i="43"/>
  <c r="IG166" i="43"/>
  <c r="IH166" i="43"/>
  <c r="II166" i="43"/>
  <c r="IJ166" i="43"/>
  <c r="IK166" i="43"/>
  <c r="IL166" i="43"/>
  <c r="IM166" i="43"/>
  <c r="IN166" i="43"/>
  <c r="IO166" i="43"/>
  <c r="IP166" i="43"/>
  <c r="IQ166" i="43"/>
  <c r="IR166" i="43"/>
  <c r="IS166" i="43"/>
  <c r="IT166" i="43"/>
  <c r="IU166" i="43"/>
  <c r="IV166" i="43"/>
  <c r="A165" i="43"/>
  <c r="B165" i="43"/>
  <c r="C165" i="43"/>
  <c r="D165" i="43"/>
  <c r="E165" i="43"/>
  <c r="F165" i="43"/>
  <c r="G165" i="43"/>
  <c r="H165" i="43"/>
  <c r="I165" i="43"/>
  <c r="J165" i="43"/>
  <c r="K165" i="43"/>
  <c r="L165" i="43"/>
  <c r="M165" i="43"/>
  <c r="N165" i="43"/>
  <c r="O165" i="43"/>
  <c r="P165" i="43"/>
  <c r="Q165" i="43"/>
  <c r="R165" i="43"/>
  <c r="S165" i="43"/>
  <c r="T165" i="43"/>
  <c r="U165" i="43"/>
  <c r="V165" i="43"/>
  <c r="W165" i="43"/>
  <c r="X165" i="43"/>
  <c r="Y165" i="43"/>
  <c r="Z165" i="43"/>
  <c r="AA165" i="43"/>
  <c r="AB165" i="43"/>
  <c r="AC165" i="43"/>
  <c r="AD165" i="43"/>
  <c r="AE165" i="43"/>
  <c r="AF165" i="43"/>
  <c r="AG165" i="43"/>
  <c r="AH165" i="43"/>
  <c r="AI165" i="43"/>
  <c r="AJ165" i="43"/>
  <c r="AK165" i="43"/>
  <c r="AL165" i="43"/>
  <c r="AM165" i="43"/>
  <c r="AN165" i="43"/>
  <c r="AO165" i="43"/>
  <c r="AP165" i="43"/>
  <c r="AQ165" i="43"/>
  <c r="AR165" i="43"/>
  <c r="AS165" i="43"/>
  <c r="AT165" i="43"/>
  <c r="AU165" i="43"/>
  <c r="AV165" i="43"/>
  <c r="AW165" i="43"/>
  <c r="AX165" i="43"/>
  <c r="AY165" i="43"/>
  <c r="AZ165" i="43"/>
  <c r="BA165" i="43"/>
  <c r="BB165" i="43"/>
  <c r="BC165" i="43"/>
  <c r="BD165" i="43"/>
  <c r="BE165" i="43"/>
  <c r="BF165" i="43"/>
  <c r="BG165" i="43"/>
  <c r="BH165" i="43"/>
  <c r="BI165" i="43"/>
  <c r="BJ165" i="43"/>
  <c r="BK165" i="43"/>
  <c r="BL165" i="43"/>
  <c r="BM165" i="43"/>
  <c r="BN165" i="43"/>
  <c r="BO165" i="43"/>
  <c r="BP165" i="43"/>
  <c r="BQ165" i="43"/>
  <c r="BR165" i="43"/>
  <c r="BS165" i="43"/>
  <c r="BT165" i="43"/>
  <c r="BU165" i="43"/>
  <c r="BV165" i="43"/>
  <c r="BW165" i="43"/>
  <c r="BX165" i="43"/>
  <c r="BY165" i="43"/>
  <c r="BZ165" i="43"/>
  <c r="CA165" i="43"/>
  <c r="CB165" i="43"/>
  <c r="CC165" i="43"/>
  <c r="CD165" i="43"/>
  <c r="CE165" i="43"/>
  <c r="CF165" i="43"/>
  <c r="CG165" i="43"/>
  <c r="CH165" i="43"/>
  <c r="CI165" i="43"/>
  <c r="CJ165" i="43"/>
  <c r="CK165" i="43"/>
  <c r="CL165" i="43"/>
  <c r="CM165" i="43"/>
  <c r="CN165" i="43"/>
  <c r="CO165" i="43"/>
  <c r="CP165" i="43"/>
  <c r="CQ165" i="43"/>
  <c r="CR165" i="43"/>
  <c r="CS165" i="43"/>
  <c r="CT165" i="43"/>
  <c r="CU165" i="43"/>
  <c r="CV165" i="43"/>
  <c r="CW165" i="43"/>
  <c r="CX165" i="43"/>
  <c r="CY165" i="43"/>
  <c r="CZ165" i="43"/>
  <c r="DA165" i="43"/>
  <c r="DB165" i="43"/>
  <c r="DC165" i="43"/>
  <c r="DD165" i="43"/>
  <c r="DE165" i="43"/>
  <c r="DF165" i="43"/>
  <c r="DG165" i="43"/>
  <c r="DH165" i="43"/>
  <c r="DI165" i="43"/>
  <c r="DJ165" i="43"/>
  <c r="DK165" i="43"/>
  <c r="DL165" i="43"/>
  <c r="DM165" i="43"/>
  <c r="DN165" i="43"/>
  <c r="DO165" i="43"/>
  <c r="DP165" i="43"/>
  <c r="DQ165" i="43"/>
  <c r="DR165" i="43"/>
  <c r="DS165" i="43"/>
  <c r="DT165" i="43"/>
  <c r="DU165" i="43"/>
  <c r="DV165" i="43"/>
  <c r="DW165" i="43"/>
  <c r="DX165" i="43"/>
  <c r="DY165" i="43"/>
  <c r="DZ165" i="43"/>
  <c r="EA165" i="43"/>
  <c r="EB165" i="43"/>
  <c r="EC165" i="43"/>
  <c r="ED165" i="43"/>
  <c r="EE165" i="43"/>
  <c r="EF165" i="43"/>
  <c r="EG165" i="43"/>
  <c r="EH165" i="43"/>
  <c r="EI165" i="43"/>
  <c r="EJ165" i="43"/>
  <c r="EK165" i="43"/>
  <c r="EL165" i="43"/>
  <c r="EM165" i="43"/>
  <c r="EN165" i="43"/>
  <c r="EO165" i="43"/>
  <c r="EP165" i="43"/>
  <c r="EQ165" i="43"/>
  <c r="ER165" i="43"/>
  <c r="ES165" i="43"/>
  <c r="ET165" i="43"/>
  <c r="EU165" i="43"/>
  <c r="EV165" i="43"/>
  <c r="EW165" i="43"/>
  <c r="EX165" i="43"/>
  <c r="EY165" i="43"/>
  <c r="EZ165" i="43"/>
  <c r="FA165" i="43"/>
  <c r="FB165" i="43"/>
  <c r="FC165" i="43"/>
  <c r="FD165" i="43"/>
  <c r="FE165" i="43"/>
  <c r="FF165" i="43"/>
  <c r="FG165" i="43"/>
  <c r="FH165" i="43"/>
  <c r="FI165" i="43"/>
  <c r="FJ165" i="43"/>
  <c r="FK165" i="43"/>
  <c r="FL165" i="43"/>
  <c r="FM165" i="43"/>
  <c r="FN165" i="43"/>
  <c r="FO165" i="43"/>
  <c r="FP165" i="43"/>
  <c r="FQ165" i="43"/>
  <c r="FR165" i="43"/>
  <c r="FS165" i="43"/>
  <c r="FT165" i="43"/>
  <c r="FU165" i="43"/>
  <c r="FV165" i="43"/>
  <c r="FW165" i="43"/>
  <c r="FX165" i="43"/>
  <c r="FY165" i="43"/>
  <c r="FZ165" i="43"/>
  <c r="GA165" i="43"/>
  <c r="GB165" i="43"/>
  <c r="GC165" i="43"/>
  <c r="GD165" i="43"/>
  <c r="GE165" i="43"/>
  <c r="GF165" i="43"/>
  <c r="GG165" i="43"/>
  <c r="GH165" i="43"/>
  <c r="GI165" i="43"/>
  <c r="GJ165" i="43"/>
  <c r="GK165" i="43"/>
  <c r="GL165" i="43"/>
  <c r="GM165" i="43"/>
  <c r="GN165" i="43"/>
  <c r="GO165" i="43"/>
  <c r="GP165" i="43"/>
  <c r="GQ165" i="43"/>
  <c r="GR165" i="43"/>
  <c r="GS165" i="43"/>
  <c r="GT165" i="43"/>
  <c r="GU165" i="43"/>
  <c r="GV165" i="43"/>
  <c r="GW165" i="43"/>
  <c r="GX165" i="43"/>
  <c r="GY165" i="43"/>
  <c r="GZ165" i="43"/>
  <c r="HA165" i="43"/>
  <c r="HB165" i="43"/>
  <c r="HC165" i="43"/>
  <c r="HD165" i="43"/>
  <c r="HE165" i="43"/>
  <c r="HF165" i="43"/>
  <c r="HG165" i="43"/>
  <c r="HH165" i="43"/>
  <c r="HI165" i="43"/>
  <c r="HJ165" i="43"/>
  <c r="HK165" i="43"/>
  <c r="HL165" i="43"/>
  <c r="HM165" i="43"/>
  <c r="HN165" i="43"/>
  <c r="HO165" i="43"/>
  <c r="HP165" i="43"/>
  <c r="HQ165" i="43"/>
  <c r="HR165" i="43"/>
  <c r="HS165" i="43"/>
  <c r="HT165" i="43"/>
  <c r="HU165" i="43"/>
  <c r="HV165" i="43"/>
  <c r="HW165" i="43"/>
  <c r="HX165" i="43"/>
  <c r="HY165" i="43"/>
  <c r="HZ165" i="43"/>
  <c r="IA165" i="43"/>
  <c r="IB165" i="43"/>
  <c r="IC165" i="43"/>
  <c r="ID165" i="43"/>
  <c r="IE165" i="43"/>
  <c r="IF165" i="43"/>
  <c r="IG165" i="43"/>
  <c r="IH165" i="43"/>
  <c r="II165" i="43"/>
  <c r="IJ165" i="43"/>
  <c r="IK165" i="43"/>
  <c r="IL165" i="43"/>
  <c r="IM165" i="43"/>
  <c r="IN165" i="43"/>
  <c r="IO165" i="43"/>
  <c r="IP165" i="43"/>
  <c r="IQ165" i="43"/>
  <c r="IR165" i="43"/>
  <c r="IS165" i="43"/>
  <c r="IT165" i="43"/>
  <c r="IU165" i="43"/>
  <c r="IV165" i="43"/>
  <c r="A164" i="43"/>
  <c r="B164" i="43"/>
  <c r="C164" i="43"/>
  <c r="D164" i="43"/>
  <c r="E164" i="43"/>
  <c r="F164" i="43"/>
  <c r="G164" i="43"/>
  <c r="H164" i="43"/>
  <c r="I164" i="43"/>
  <c r="J164" i="43"/>
  <c r="K164" i="43"/>
  <c r="L164" i="43"/>
  <c r="M164" i="43"/>
  <c r="N164" i="43"/>
  <c r="O164" i="43"/>
  <c r="P164" i="43"/>
  <c r="Q164" i="43"/>
  <c r="R164" i="43"/>
  <c r="S164" i="43"/>
  <c r="T164" i="43"/>
  <c r="U164" i="43"/>
  <c r="V164" i="43"/>
  <c r="W164" i="43"/>
  <c r="X164" i="43"/>
  <c r="Y164" i="43"/>
  <c r="Z164" i="43"/>
  <c r="AA164" i="43"/>
  <c r="AB164" i="43"/>
  <c r="AC164" i="43"/>
  <c r="AD164" i="43"/>
  <c r="AE164" i="43"/>
  <c r="AF164" i="43"/>
  <c r="AG164" i="43"/>
  <c r="AH164" i="43"/>
  <c r="AI164" i="43"/>
  <c r="AJ164" i="43"/>
  <c r="AK164" i="43"/>
  <c r="AL164" i="43"/>
  <c r="AM164" i="43"/>
  <c r="AN164" i="43"/>
  <c r="AO164" i="43"/>
  <c r="AP164" i="43"/>
  <c r="AQ164" i="43"/>
  <c r="AR164" i="43"/>
  <c r="AS164" i="43"/>
  <c r="AT164" i="43"/>
  <c r="AU164" i="43"/>
  <c r="AV164" i="43"/>
  <c r="AW164" i="43"/>
  <c r="AX164" i="43"/>
  <c r="AY164" i="43"/>
  <c r="AZ164" i="43"/>
  <c r="BA164" i="43"/>
  <c r="BB164" i="43"/>
  <c r="BC164" i="43"/>
  <c r="BD164" i="43"/>
  <c r="BE164" i="43"/>
  <c r="BF164" i="43"/>
  <c r="BG164" i="43"/>
  <c r="BH164" i="43"/>
  <c r="BI164" i="43"/>
  <c r="BJ164" i="43"/>
  <c r="BK164" i="43"/>
  <c r="BL164" i="43"/>
  <c r="BM164" i="43"/>
  <c r="BN164" i="43"/>
  <c r="BO164" i="43"/>
  <c r="BP164" i="43"/>
  <c r="BQ164" i="43"/>
  <c r="BR164" i="43"/>
  <c r="BS164" i="43"/>
  <c r="BT164" i="43"/>
  <c r="BU164" i="43"/>
  <c r="BV164" i="43"/>
  <c r="BW164" i="43"/>
  <c r="BX164" i="43"/>
  <c r="BY164" i="43"/>
  <c r="BZ164" i="43"/>
  <c r="CA164" i="43"/>
  <c r="CB164" i="43"/>
  <c r="CC164" i="43"/>
  <c r="CD164" i="43"/>
  <c r="CE164" i="43"/>
  <c r="CF164" i="43"/>
  <c r="CG164" i="43"/>
  <c r="CH164" i="43"/>
  <c r="CI164" i="43"/>
  <c r="CJ164" i="43"/>
  <c r="CK164" i="43"/>
  <c r="CL164" i="43"/>
  <c r="CM164" i="43"/>
  <c r="CN164" i="43"/>
  <c r="CO164" i="43"/>
  <c r="CP164" i="43"/>
  <c r="CQ164" i="43"/>
  <c r="CR164" i="43"/>
  <c r="CS164" i="43"/>
  <c r="CT164" i="43"/>
  <c r="CU164" i="43"/>
  <c r="CV164" i="43"/>
  <c r="CW164" i="43"/>
  <c r="CX164" i="43"/>
  <c r="CY164" i="43"/>
  <c r="CZ164" i="43"/>
  <c r="DA164" i="43"/>
  <c r="DB164" i="43"/>
  <c r="DC164" i="43"/>
  <c r="DD164" i="43"/>
  <c r="DE164" i="43"/>
  <c r="DF164" i="43"/>
  <c r="DG164" i="43"/>
  <c r="DH164" i="43"/>
  <c r="DI164" i="43"/>
  <c r="DJ164" i="43"/>
  <c r="DK164" i="43"/>
  <c r="DL164" i="43"/>
  <c r="DM164" i="43"/>
  <c r="DN164" i="43"/>
  <c r="DO164" i="43"/>
  <c r="DP164" i="43"/>
  <c r="DQ164" i="43"/>
  <c r="DR164" i="43"/>
  <c r="DS164" i="43"/>
  <c r="DT164" i="43"/>
  <c r="DU164" i="43"/>
  <c r="DV164" i="43"/>
  <c r="DW164" i="43"/>
  <c r="DX164" i="43"/>
  <c r="DY164" i="43"/>
  <c r="DZ164" i="43"/>
  <c r="EA164" i="43"/>
  <c r="EB164" i="43"/>
  <c r="EC164" i="43"/>
  <c r="ED164" i="43"/>
  <c r="EE164" i="43"/>
  <c r="EF164" i="43"/>
  <c r="EG164" i="43"/>
  <c r="EH164" i="43"/>
  <c r="EI164" i="43"/>
  <c r="EJ164" i="43"/>
  <c r="EK164" i="43"/>
  <c r="EL164" i="43"/>
  <c r="EM164" i="43"/>
  <c r="EN164" i="43"/>
  <c r="EO164" i="43"/>
  <c r="EP164" i="43"/>
  <c r="EQ164" i="43"/>
  <c r="ER164" i="43"/>
  <c r="ES164" i="43"/>
  <c r="ET164" i="43"/>
  <c r="EU164" i="43"/>
  <c r="EV164" i="43"/>
  <c r="EW164" i="43"/>
  <c r="EX164" i="43"/>
  <c r="EY164" i="43"/>
  <c r="EZ164" i="43"/>
  <c r="FA164" i="43"/>
  <c r="FB164" i="43"/>
  <c r="FC164" i="43"/>
  <c r="FD164" i="43"/>
  <c r="FE164" i="43"/>
  <c r="FF164" i="43"/>
  <c r="FG164" i="43"/>
  <c r="FH164" i="43"/>
  <c r="FI164" i="43"/>
  <c r="FJ164" i="43"/>
  <c r="FK164" i="43"/>
  <c r="FL164" i="43"/>
  <c r="FM164" i="43"/>
  <c r="FN164" i="43"/>
  <c r="FO164" i="43"/>
  <c r="FP164" i="43"/>
  <c r="FQ164" i="43"/>
  <c r="FR164" i="43"/>
  <c r="FS164" i="43"/>
  <c r="FT164" i="43"/>
  <c r="FU164" i="43"/>
  <c r="FV164" i="43"/>
  <c r="FW164" i="43"/>
  <c r="FX164" i="43"/>
  <c r="FY164" i="43"/>
  <c r="FZ164" i="43"/>
  <c r="GA164" i="43"/>
  <c r="GB164" i="43"/>
  <c r="GC164" i="43"/>
  <c r="GD164" i="43"/>
  <c r="GE164" i="43"/>
  <c r="GF164" i="43"/>
  <c r="GG164" i="43"/>
  <c r="GH164" i="43"/>
  <c r="GI164" i="43"/>
  <c r="GJ164" i="43"/>
  <c r="GK164" i="43"/>
  <c r="GL164" i="43"/>
  <c r="GM164" i="43"/>
  <c r="GN164" i="43"/>
  <c r="GO164" i="43"/>
  <c r="GP164" i="43"/>
  <c r="GQ164" i="43"/>
  <c r="GR164" i="43"/>
  <c r="GS164" i="43"/>
  <c r="GT164" i="43"/>
  <c r="GU164" i="43"/>
  <c r="GV164" i="43"/>
  <c r="GW164" i="43"/>
  <c r="GX164" i="43"/>
  <c r="GY164" i="43"/>
  <c r="GZ164" i="43"/>
  <c r="HA164" i="43"/>
  <c r="HB164" i="43"/>
  <c r="HC164" i="43"/>
  <c r="HD164" i="43"/>
  <c r="HE164" i="43"/>
  <c r="HF164" i="43"/>
  <c r="HG164" i="43"/>
  <c r="HH164" i="43"/>
  <c r="HI164" i="43"/>
  <c r="HJ164" i="43"/>
  <c r="HK164" i="43"/>
  <c r="HL164" i="43"/>
  <c r="HM164" i="43"/>
  <c r="HN164" i="43"/>
  <c r="HO164" i="43"/>
  <c r="HP164" i="43"/>
  <c r="HQ164" i="43"/>
  <c r="HR164" i="43"/>
  <c r="HS164" i="43"/>
  <c r="HT164" i="43"/>
  <c r="HU164" i="43"/>
  <c r="HV164" i="43"/>
  <c r="HW164" i="43"/>
  <c r="HX164" i="43"/>
  <c r="HY164" i="43"/>
  <c r="HZ164" i="43"/>
  <c r="IA164" i="43"/>
  <c r="IB164" i="43"/>
  <c r="IC164" i="43"/>
  <c r="ID164" i="43"/>
  <c r="IE164" i="43"/>
  <c r="IF164" i="43"/>
  <c r="IG164" i="43"/>
  <c r="IH164" i="43"/>
  <c r="II164" i="43"/>
  <c r="IJ164" i="43"/>
  <c r="IK164" i="43"/>
  <c r="IL164" i="43"/>
  <c r="IM164" i="43"/>
  <c r="IN164" i="43"/>
  <c r="IO164" i="43"/>
  <c r="IP164" i="43"/>
  <c r="IQ164" i="43"/>
  <c r="IR164" i="43"/>
  <c r="IS164" i="43"/>
  <c r="IT164" i="43"/>
  <c r="IU164" i="43"/>
  <c r="IV164" i="43"/>
  <c r="A163" i="43"/>
  <c r="B163" i="43"/>
  <c r="C163" i="43"/>
  <c r="D163" i="43"/>
  <c r="E163" i="43"/>
  <c r="F163" i="43"/>
  <c r="G163" i="43"/>
  <c r="H163" i="43"/>
  <c r="I163" i="43"/>
  <c r="J163" i="43"/>
  <c r="K163" i="43"/>
  <c r="L163" i="43"/>
  <c r="M163" i="43"/>
  <c r="N163" i="43"/>
  <c r="O163" i="43"/>
  <c r="P163" i="43"/>
  <c r="Q163" i="43"/>
  <c r="R163" i="43"/>
  <c r="S163" i="43"/>
  <c r="T163" i="43"/>
  <c r="U163" i="43"/>
  <c r="V163" i="43"/>
  <c r="W163" i="43"/>
  <c r="X163" i="43"/>
  <c r="Y163" i="43"/>
  <c r="Z163" i="43"/>
  <c r="AA163" i="43"/>
  <c r="AB163" i="43"/>
  <c r="AC163" i="43"/>
  <c r="AD163" i="43"/>
  <c r="AE163" i="43"/>
  <c r="AF163" i="43"/>
  <c r="AG163" i="43"/>
  <c r="AH163" i="43"/>
  <c r="AI163" i="43"/>
  <c r="AJ163" i="43"/>
  <c r="AK163" i="43"/>
  <c r="AL163" i="43"/>
  <c r="AM163" i="43"/>
  <c r="AN163" i="43"/>
  <c r="AO163" i="43"/>
  <c r="AP163" i="43"/>
  <c r="AQ163" i="43"/>
  <c r="AR163" i="43"/>
  <c r="AS163" i="43"/>
  <c r="AT163" i="43"/>
  <c r="AU163" i="43"/>
  <c r="AV163" i="43"/>
  <c r="AW163" i="43"/>
  <c r="AX163" i="43"/>
  <c r="AY163" i="43"/>
  <c r="AZ163" i="43"/>
  <c r="BA163" i="43"/>
  <c r="BB163" i="43"/>
  <c r="BC163" i="43"/>
  <c r="BD163" i="43"/>
  <c r="BE163" i="43"/>
  <c r="BF163" i="43"/>
  <c r="BG163" i="43"/>
  <c r="BH163" i="43"/>
  <c r="BI163" i="43"/>
  <c r="BJ163" i="43"/>
  <c r="BK163" i="43"/>
  <c r="BL163" i="43"/>
  <c r="BM163" i="43"/>
  <c r="BN163" i="43"/>
  <c r="BO163" i="43"/>
  <c r="BP163" i="43"/>
  <c r="BQ163" i="43"/>
  <c r="BR163" i="43"/>
  <c r="BS163" i="43"/>
  <c r="BT163" i="43"/>
  <c r="BU163" i="43"/>
  <c r="BV163" i="43"/>
  <c r="BW163" i="43"/>
  <c r="BX163" i="43"/>
  <c r="BY163" i="43"/>
  <c r="BZ163" i="43"/>
  <c r="CA163" i="43"/>
  <c r="CB163" i="43"/>
  <c r="CC163" i="43"/>
  <c r="CD163" i="43"/>
  <c r="CE163" i="43"/>
  <c r="CF163" i="43"/>
  <c r="CG163" i="43"/>
  <c r="CH163" i="43"/>
  <c r="CI163" i="43"/>
  <c r="CJ163" i="43"/>
  <c r="CK163" i="43"/>
  <c r="CL163" i="43"/>
  <c r="CM163" i="43"/>
  <c r="CN163" i="43"/>
  <c r="CO163" i="43"/>
  <c r="CP163" i="43"/>
  <c r="CQ163" i="43"/>
  <c r="CR163" i="43"/>
  <c r="CS163" i="43"/>
  <c r="CT163" i="43"/>
  <c r="CU163" i="43"/>
  <c r="CV163" i="43"/>
  <c r="CW163" i="43"/>
  <c r="CX163" i="43"/>
  <c r="CY163" i="43"/>
  <c r="CZ163" i="43"/>
  <c r="DA163" i="43"/>
  <c r="DB163" i="43"/>
  <c r="DC163" i="43"/>
  <c r="DD163" i="43"/>
  <c r="DE163" i="43"/>
  <c r="DF163" i="43"/>
  <c r="DG163" i="43"/>
  <c r="DH163" i="43"/>
  <c r="DI163" i="43"/>
  <c r="DJ163" i="43"/>
  <c r="DK163" i="43"/>
  <c r="DL163" i="43"/>
  <c r="DM163" i="43"/>
  <c r="DN163" i="43"/>
  <c r="DO163" i="43"/>
  <c r="DP163" i="43"/>
  <c r="DQ163" i="43"/>
  <c r="DR163" i="43"/>
  <c r="DS163" i="43"/>
  <c r="DT163" i="43"/>
  <c r="DU163" i="43"/>
  <c r="DV163" i="43"/>
  <c r="DW163" i="43"/>
  <c r="DX163" i="43"/>
  <c r="DY163" i="43"/>
  <c r="DZ163" i="43"/>
  <c r="EA163" i="43"/>
  <c r="EB163" i="43"/>
  <c r="EC163" i="43"/>
  <c r="ED163" i="43"/>
  <c r="EE163" i="43"/>
  <c r="EF163" i="43"/>
  <c r="EG163" i="43"/>
  <c r="EH163" i="43"/>
  <c r="EI163" i="43"/>
  <c r="EJ163" i="43"/>
  <c r="EK163" i="43"/>
  <c r="EL163" i="43"/>
  <c r="EM163" i="43"/>
  <c r="EN163" i="43"/>
  <c r="EO163" i="43"/>
  <c r="EP163" i="43"/>
  <c r="EQ163" i="43"/>
  <c r="ER163" i="43"/>
  <c r="ES163" i="43"/>
  <c r="ET163" i="43"/>
  <c r="EU163" i="43"/>
  <c r="EV163" i="43"/>
  <c r="EW163" i="43"/>
  <c r="EX163" i="43"/>
  <c r="EY163" i="43"/>
  <c r="EZ163" i="43"/>
  <c r="FA163" i="43"/>
  <c r="FB163" i="43"/>
  <c r="FC163" i="43"/>
  <c r="FD163" i="43"/>
  <c r="FE163" i="43"/>
  <c r="FF163" i="43"/>
  <c r="FG163" i="43"/>
  <c r="FH163" i="43"/>
  <c r="FI163" i="43"/>
  <c r="FJ163" i="43"/>
  <c r="FK163" i="43"/>
  <c r="FL163" i="43"/>
  <c r="FM163" i="43"/>
  <c r="FN163" i="43"/>
  <c r="FO163" i="43"/>
  <c r="FP163" i="43"/>
  <c r="FQ163" i="43"/>
  <c r="FR163" i="43"/>
  <c r="FS163" i="43"/>
  <c r="FT163" i="43"/>
  <c r="FU163" i="43"/>
  <c r="FV163" i="43"/>
  <c r="FW163" i="43"/>
  <c r="FX163" i="43"/>
  <c r="FY163" i="43"/>
  <c r="FZ163" i="43"/>
  <c r="GA163" i="43"/>
  <c r="GB163" i="43"/>
  <c r="GC163" i="43"/>
  <c r="GD163" i="43"/>
  <c r="GE163" i="43"/>
  <c r="GF163" i="43"/>
  <c r="GG163" i="43"/>
  <c r="GH163" i="43"/>
  <c r="GI163" i="43"/>
  <c r="GJ163" i="43"/>
  <c r="GK163" i="43"/>
  <c r="GL163" i="43"/>
  <c r="GM163" i="43"/>
  <c r="GN163" i="43"/>
  <c r="GO163" i="43"/>
  <c r="GP163" i="43"/>
  <c r="GQ163" i="43"/>
  <c r="GR163" i="43"/>
  <c r="GS163" i="43"/>
  <c r="GT163" i="43"/>
  <c r="GU163" i="43"/>
  <c r="GV163" i="43"/>
  <c r="GW163" i="43"/>
  <c r="GX163" i="43"/>
  <c r="GY163" i="43"/>
  <c r="GZ163" i="43"/>
  <c r="HA163" i="43"/>
  <c r="HB163" i="43"/>
  <c r="HC163" i="43"/>
  <c r="HD163" i="43"/>
  <c r="HE163" i="43"/>
  <c r="HF163" i="43"/>
  <c r="HG163" i="43"/>
  <c r="HH163" i="43"/>
  <c r="HI163" i="43"/>
  <c r="HJ163" i="43"/>
  <c r="HK163" i="43"/>
  <c r="HL163" i="43"/>
  <c r="HM163" i="43"/>
  <c r="HN163" i="43"/>
  <c r="HO163" i="43"/>
  <c r="HP163" i="43"/>
  <c r="HQ163" i="43"/>
  <c r="HR163" i="43"/>
  <c r="HS163" i="43"/>
  <c r="HT163" i="43"/>
  <c r="HU163" i="43"/>
  <c r="HV163" i="43"/>
  <c r="HW163" i="43"/>
  <c r="HX163" i="43"/>
  <c r="HY163" i="43"/>
  <c r="HZ163" i="43"/>
  <c r="IA163" i="43"/>
  <c r="IB163" i="43"/>
  <c r="IC163" i="43"/>
  <c r="ID163" i="43"/>
  <c r="IE163" i="43"/>
  <c r="IF163" i="43"/>
  <c r="IG163" i="43"/>
  <c r="IH163" i="43"/>
  <c r="II163" i="43"/>
  <c r="IJ163" i="43"/>
  <c r="IK163" i="43"/>
  <c r="IL163" i="43"/>
  <c r="IM163" i="43"/>
  <c r="IN163" i="43"/>
  <c r="IO163" i="43"/>
  <c r="IP163" i="43"/>
  <c r="IQ163" i="43"/>
  <c r="IR163" i="43"/>
  <c r="IS163" i="43"/>
  <c r="IT163" i="43"/>
  <c r="IU163" i="43"/>
  <c r="IV163" i="43"/>
  <c r="A162" i="43"/>
  <c r="B162" i="43"/>
  <c r="C162" i="43"/>
  <c r="D162" i="43"/>
  <c r="E162" i="43"/>
  <c r="F162" i="43"/>
  <c r="G162" i="43"/>
  <c r="H162" i="43"/>
  <c r="I162" i="43"/>
  <c r="J162" i="43"/>
  <c r="K162" i="43"/>
  <c r="L162" i="43"/>
  <c r="M162" i="43"/>
  <c r="N162" i="43"/>
  <c r="O162" i="43"/>
  <c r="P162" i="43"/>
  <c r="Q162" i="43"/>
  <c r="R162" i="43"/>
  <c r="S162" i="43"/>
  <c r="T162" i="43"/>
  <c r="U162" i="43"/>
  <c r="V162" i="43"/>
  <c r="W162" i="43"/>
  <c r="X162" i="43"/>
  <c r="Y162" i="43"/>
  <c r="Z162" i="43"/>
  <c r="AA162" i="43"/>
  <c r="AB162" i="43"/>
  <c r="AC162" i="43"/>
  <c r="AD162" i="43"/>
  <c r="AE162" i="43"/>
  <c r="AF162" i="43"/>
  <c r="AG162" i="43"/>
  <c r="AH162" i="43"/>
  <c r="AI162" i="43"/>
  <c r="AJ162" i="43"/>
  <c r="AK162" i="43"/>
  <c r="AL162" i="43"/>
  <c r="AM162" i="43"/>
  <c r="AN162" i="43"/>
  <c r="AO162" i="43"/>
  <c r="AP162" i="43"/>
  <c r="AQ162" i="43"/>
  <c r="AR162" i="43"/>
  <c r="AS162" i="43"/>
  <c r="AT162" i="43"/>
  <c r="AU162" i="43"/>
  <c r="AV162" i="43"/>
  <c r="AW162" i="43"/>
  <c r="AX162" i="43"/>
  <c r="AY162" i="43"/>
  <c r="AZ162" i="43"/>
  <c r="BA162" i="43"/>
  <c r="BB162" i="43"/>
  <c r="BC162" i="43"/>
  <c r="BD162" i="43"/>
  <c r="BE162" i="43"/>
  <c r="BF162" i="43"/>
  <c r="BG162" i="43"/>
  <c r="BH162" i="43"/>
  <c r="BI162" i="43"/>
  <c r="BJ162" i="43"/>
  <c r="BK162" i="43"/>
  <c r="BL162" i="43"/>
  <c r="BM162" i="43"/>
  <c r="BN162" i="43"/>
  <c r="BO162" i="43"/>
  <c r="BP162" i="43"/>
  <c r="BQ162" i="43"/>
  <c r="BR162" i="43"/>
  <c r="BS162" i="43"/>
  <c r="BT162" i="43"/>
  <c r="BU162" i="43"/>
  <c r="BV162" i="43"/>
  <c r="BW162" i="43"/>
  <c r="BX162" i="43"/>
  <c r="BY162" i="43"/>
  <c r="BZ162" i="43"/>
  <c r="CA162" i="43"/>
  <c r="CB162" i="43"/>
  <c r="CC162" i="43"/>
  <c r="CD162" i="43"/>
  <c r="CE162" i="43"/>
  <c r="CF162" i="43"/>
  <c r="CG162" i="43"/>
  <c r="CH162" i="43"/>
  <c r="CI162" i="43"/>
  <c r="CJ162" i="43"/>
  <c r="CK162" i="43"/>
  <c r="CL162" i="43"/>
  <c r="CM162" i="43"/>
  <c r="CN162" i="43"/>
  <c r="CO162" i="43"/>
  <c r="CP162" i="43"/>
  <c r="CQ162" i="43"/>
  <c r="CR162" i="43"/>
  <c r="CS162" i="43"/>
  <c r="CT162" i="43"/>
  <c r="CU162" i="43"/>
  <c r="CV162" i="43"/>
  <c r="CW162" i="43"/>
  <c r="CX162" i="43"/>
  <c r="CY162" i="43"/>
  <c r="CZ162" i="43"/>
  <c r="DA162" i="43"/>
  <c r="DB162" i="43"/>
  <c r="DC162" i="43"/>
  <c r="DD162" i="43"/>
  <c r="DE162" i="43"/>
  <c r="DF162" i="43"/>
  <c r="DG162" i="43"/>
  <c r="DH162" i="43"/>
  <c r="DI162" i="43"/>
  <c r="DJ162" i="43"/>
  <c r="DK162" i="43"/>
  <c r="DL162" i="43"/>
  <c r="DM162" i="43"/>
  <c r="DN162" i="43"/>
  <c r="DO162" i="43"/>
  <c r="DP162" i="43"/>
  <c r="DQ162" i="43"/>
  <c r="DR162" i="43"/>
  <c r="DS162" i="43"/>
  <c r="DT162" i="43"/>
  <c r="DU162" i="43"/>
  <c r="DV162" i="43"/>
  <c r="DW162" i="43"/>
  <c r="DX162" i="43"/>
  <c r="DY162" i="43"/>
  <c r="DZ162" i="43"/>
  <c r="EA162" i="43"/>
  <c r="EB162" i="43"/>
  <c r="EC162" i="43"/>
  <c r="ED162" i="43"/>
  <c r="EE162" i="43"/>
  <c r="EF162" i="43"/>
  <c r="EG162" i="43"/>
  <c r="EH162" i="43"/>
  <c r="EI162" i="43"/>
  <c r="EJ162" i="43"/>
  <c r="EK162" i="43"/>
  <c r="EL162" i="43"/>
  <c r="EM162" i="43"/>
  <c r="EN162" i="43"/>
  <c r="EO162" i="43"/>
  <c r="EP162" i="43"/>
  <c r="EQ162" i="43"/>
  <c r="ER162" i="43"/>
  <c r="ES162" i="43"/>
  <c r="ET162" i="43"/>
  <c r="EU162" i="43"/>
  <c r="EV162" i="43"/>
  <c r="EW162" i="43"/>
  <c r="EX162" i="43"/>
  <c r="EY162" i="43"/>
  <c r="EZ162" i="43"/>
  <c r="FA162" i="43"/>
  <c r="FB162" i="43"/>
  <c r="FC162" i="43"/>
  <c r="FD162" i="43"/>
  <c r="FE162" i="43"/>
  <c r="FF162" i="43"/>
  <c r="FG162" i="43"/>
  <c r="FH162" i="43"/>
  <c r="FI162" i="43"/>
  <c r="FJ162" i="43"/>
  <c r="FK162" i="43"/>
  <c r="FL162" i="43"/>
  <c r="FM162" i="43"/>
  <c r="FN162" i="43"/>
  <c r="FO162" i="43"/>
  <c r="FP162" i="43"/>
  <c r="FQ162" i="43"/>
  <c r="FR162" i="43"/>
  <c r="FS162" i="43"/>
  <c r="FT162" i="43"/>
  <c r="FU162" i="43"/>
  <c r="FV162" i="43"/>
  <c r="FW162" i="43"/>
  <c r="FX162" i="43"/>
  <c r="FY162" i="43"/>
  <c r="FZ162" i="43"/>
  <c r="GA162" i="43"/>
  <c r="GB162" i="43"/>
  <c r="GC162" i="43"/>
  <c r="GD162" i="43"/>
  <c r="GE162" i="43"/>
  <c r="GF162" i="43"/>
  <c r="GG162" i="43"/>
  <c r="GH162" i="43"/>
  <c r="GI162" i="43"/>
  <c r="GJ162" i="43"/>
  <c r="GK162" i="43"/>
  <c r="GL162" i="43"/>
  <c r="GM162" i="43"/>
  <c r="GN162" i="43"/>
  <c r="GO162" i="43"/>
  <c r="GP162" i="43"/>
  <c r="GQ162" i="43"/>
  <c r="GR162" i="43"/>
  <c r="GS162" i="43"/>
  <c r="GT162" i="43"/>
  <c r="GU162" i="43"/>
  <c r="GV162" i="43"/>
  <c r="GW162" i="43"/>
  <c r="GX162" i="43"/>
  <c r="GY162" i="43"/>
  <c r="GZ162" i="43"/>
  <c r="HA162" i="43"/>
  <c r="HB162" i="43"/>
  <c r="HC162" i="43"/>
  <c r="HD162" i="43"/>
  <c r="HE162" i="43"/>
  <c r="HF162" i="43"/>
  <c r="HG162" i="43"/>
  <c r="HH162" i="43"/>
  <c r="HI162" i="43"/>
  <c r="HJ162" i="43"/>
  <c r="HK162" i="43"/>
  <c r="HL162" i="43"/>
  <c r="HM162" i="43"/>
  <c r="HN162" i="43"/>
  <c r="HO162" i="43"/>
  <c r="HP162" i="43"/>
  <c r="HQ162" i="43"/>
  <c r="HR162" i="43"/>
  <c r="HS162" i="43"/>
  <c r="HT162" i="43"/>
  <c r="HU162" i="43"/>
  <c r="HV162" i="43"/>
  <c r="HW162" i="43"/>
  <c r="HX162" i="43"/>
  <c r="HY162" i="43"/>
  <c r="HZ162" i="43"/>
  <c r="IA162" i="43"/>
  <c r="IB162" i="43"/>
  <c r="IC162" i="43"/>
  <c r="ID162" i="43"/>
  <c r="IE162" i="43"/>
  <c r="IF162" i="43"/>
  <c r="IG162" i="43"/>
  <c r="IH162" i="43"/>
  <c r="II162" i="43"/>
  <c r="IJ162" i="43"/>
  <c r="IK162" i="43"/>
  <c r="IL162" i="43"/>
  <c r="IM162" i="43"/>
  <c r="IN162" i="43"/>
  <c r="IO162" i="43"/>
  <c r="IP162" i="43"/>
  <c r="IQ162" i="43"/>
  <c r="IR162" i="43"/>
  <c r="IS162" i="43"/>
  <c r="IT162" i="43"/>
  <c r="IU162" i="43"/>
  <c r="IV162" i="43"/>
  <c r="A161" i="43"/>
  <c r="B161" i="43"/>
  <c r="C161" i="43"/>
  <c r="D161" i="43"/>
  <c r="E161" i="43"/>
  <c r="F161" i="43"/>
  <c r="G161" i="43"/>
  <c r="H161" i="43"/>
  <c r="I161" i="43"/>
  <c r="J161" i="43"/>
  <c r="K161" i="43"/>
  <c r="L161" i="43"/>
  <c r="M161" i="43"/>
  <c r="N161" i="43"/>
  <c r="O161" i="43"/>
  <c r="P161" i="43"/>
  <c r="Q161" i="43"/>
  <c r="R161" i="43"/>
  <c r="S161" i="43"/>
  <c r="T161" i="43"/>
  <c r="U161" i="43"/>
  <c r="V161" i="43"/>
  <c r="W161" i="43"/>
  <c r="X161" i="43"/>
  <c r="Y161" i="43"/>
  <c r="Z161" i="43"/>
  <c r="AA161" i="43"/>
  <c r="AB161" i="43"/>
  <c r="AC161" i="43"/>
  <c r="AD161" i="43"/>
  <c r="AE161" i="43"/>
  <c r="AF161" i="43"/>
  <c r="AG161" i="43"/>
  <c r="AH161" i="43"/>
  <c r="AI161" i="43"/>
  <c r="AJ161" i="43"/>
  <c r="AK161" i="43"/>
  <c r="AL161" i="43"/>
  <c r="AM161" i="43"/>
  <c r="AN161" i="43"/>
  <c r="AO161" i="43"/>
  <c r="AP161" i="43"/>
  <c r="AQ161" i="43"/>
  <c r="AR161" i="43"/>
  <c r="AS161" i="43"/>
  <c r="AT161" i="43"/>
  <c r="AU161" i="43"/>
  <c r="AV161" i="43"/>
  <c r="AW161" i="43"/>
  <c r="AX161" i="43"/>
  <c r="AY161" i="43"/>
  <c r="AZ161" i="43"/>
  <c r="BA161" i="43"/>
  <c r="BB161" i="43"/>
  <c r="BC161" i="43"/>
  <c r="BD161" i="43"/>
  <c r="BE161" i="43"/>
  <c r="BF161" i="43"/>
  <c r="BG161" i="43"/>
  <c r="BH161" i="43"/>
  <c r="BI161" i="43"/>
  <c r="BJ161" i="43"/>
  <c r="BK161" i="43"/>
  <c r="BL161" i="43"/>
  <c r="BM161" i="43"/>
  <c r="BN161" i="43"/>
  <c r="BO161" i="43"/>
  <c r="BP161" i="43"/>
  <c r="BQ161" i="43"/>
  <c r="BR161" i="43"/>
  <c r="BS161" i="43"/>
  <c r="BT161" i="43"/>
  <c r="BU161" i="43"/>
  <c r="BV161" i="43"/>
  <c r="BW161" i="43"/>
  <c r="BX161" i="43"/>
  <c r="BY161" i="43"/>
  <c r="BZ161" i="43"/>
  <c r="CA161" i="43"/>
  <c r="CB161" i="43"/>
  <c r="CC161" i="43"/>
  <c r="CD161" i="43"/>
  <c r="CE161" i="43"/>
  <c r="CF161" i="43"/>
  <c r="CG161" i="43"/>
  <c r="CH161" i="43"/>
  <c r="CI161" i="43"/>
  <c r="CJ161" i="43"/>
  <c r="CK161" i="43"/>
  <c r="CL161" i="43"/>
  <c r="CM161" i="43"/>
  <c r="CN161" i="43"/>
  <c r="CO161" i="43"/>
  <c r="CP161" i="43"/>
  <c r="CQ161" i="43"/>
  <c r="CR161" i="43"/>
  <c r="CS161" i="43"/>
  <c r="CT161" i="43"/>
  <c r="CU161" i="43"/>
  <c r="CV161" i="43"/>
  <c r="CW161" i="43"/>
  <c r="CX161" i="43"/>
  <c r="CY161" i="43"/>
  <c r="CZ161" i="43"/>
  <c r="DA161" i="43"/>
  <c r="DB161" i="43"/>
  <c r="DC161" i="43"/>
  <c r="DD161" i="43"/>
  <c r="DE161" i="43"/>
  <c r="DF161" i="43"/>
  <c r="DG161" i="43"/>
  <c r="DH161" i="43"/>
  <c r="DI161" i="43"/>
  <c r="DJ161" i="43"/>
  <c r="DK161" i="43"/>
  <c r="DL161" i="43"/>
  <c r="DM161" i="43"/>
  <c r="DN161" i="43"/>
  <c r="DO161" i="43"/>
  <c r="DP161" i="43"/>
  <c r="DQ161" i="43"/>
  <c r="DR161" i="43"/>
  <c r="DS161" i="43"/>
  <c r="DT161" i="43"/>
  <c r="DU161" i="43"/>
  <c r="DV161" i="43"/>
  <c r="DW161" i="43"/>
  <c r="DX161" i="43"/>
  <c r="DY161" i="43"/>
  <c r="DZ161" i="43"/>
  <c r="EA161" i="43"/>
  <c r="EB161" i="43"/>
  <c r="EC161" i="43"/>
  <c r="ED161" i="43"/>
  <c r="EE161" i="43"/>
  <c r="EF161" i="43"/>
  <c r="EG161" i="43"/>
  <c r="EH161" i="43"/>
  <c r="EI161" i="43"/>
  <c r="EJ161" i="43"/>
  <c r="EK161" i="43"/>
  <c r="EL161" i="43"/>
  <c r="EM161" i="43"/>
  <c r="EN161" i="43"/>
  <c r="EO161" i="43"/>
  <c r="EP161" i="43"/>
  <c r="EQ161" i="43"/>
  <c r="ER161" i="43"/>
  <c r="ES161" i="43"/>
  <c r="ET161" i="43"/>
  <c r="EU161" i="43"/>
  <c r="EV161" i="43"/>
  <c r="EW161" i="43"/>
  <c r="EX161" i="43"/>
  <c r="EY161" i="43"/>
  <c r="EZ161" i="43"/>
  <c r="FA161" i="43"/>
  <c r="FB161" i="43"/>
  <c r="FC161" i="43"/>
  <c r="FD161" i="43"/>
  <c r="FE161" i="43"/>
  <c r="FF161" i="43"/>
  <c r="FG161" i="43"/>
  <c r="FH161" i="43"/>
  <c r="FI161" i="43"/>
  <c r="FJ161" i="43"/>
  <c r="FK161" i="43"/>
  <c r="FL161" i="43"/>
  <c r="FM161" i="43"/>
  <c r="FN161" i="43"/>
  <c r="FO161" i="43"/>
  <c r="FP161" i="43"/>
  <c r="FQ161" i="43"/>
  <c r="FR161" i="43"/>
  <c r="FS161" i="43"/>
  <c r="FT161" i="43"/>
  <c r="FU161" i="43"/>
  <c r="FV161" i="43"/>
  <c r="FW161" i="43"/>
  <c r="FX161" i="43"/>
  <c r="FY161" i="43"/>
  <c r="FZ161" i="43"/>
  <c r="GA161" i="43"/>
  <c r="GB161" i="43"/>
  <c r="GC161" i="43"/>
  <c r="GD161" i="43"/>
  <c r="GE161" i="43"/>
  <c r="GF161" i="43"/>
  <c r="GG161" i="43"/>
  <c r="GH161" i="43"/>
  <c r="GI161" i="43"/>
  <c r="GJ161" i="43"/>
  <c r="GK161" i="43"/>
  <c r="GL161" i="43"/>
  <c r="GM161" i="43"/>
  <c r="GN161" i="43"/>
  <c r="GO161" i="43"/>
  <c r="GP161" i="43"/>
  <c r="GQ161" i="43"/>
  <c r="GR161" i="43"/>
  <c r="GS161" i="43"/>
  <c r="GT161" i="43"/>
  <c r="GU161" i="43"/>
  <c r="GV161" i="43"/>
  <c r="GW161" i="43"/>
  <c r="GX161" i="43"/>
  <c r="GY161" i="43"/>
  <c r="GZ161" i="43"/>
  <c r="HA161" i="43"/>
  <c r="HB161" i="43"/>
  <c r="HC161" i="43"/>
  <c r="HD161" i="43"/>
  <c r="HE161" i="43"/>
  <c r="HF161" i="43"/>
  <c r="HG161" i="43"/>
  <c r="HH161" i="43"/>
  <c r="HI161" i="43"/>
  <c r="HJ161" i="43"/>
  <c r="HK161" i="43"/>
  <c r="HL161" i="43"/>
  <c r="HM161" i="43"/>
  <c r="HN161" i="43"/>
  <c r="HO161" i="43"/>
  <c r="HP161" i="43"/>
  <c r="HQ161" i="43"/>
  <c r="HR161" i="43"/>
  <c r="HS161" i="43"/>
  <c r="HT161" i="43"/>
  <c r="HU161" i="43"/>
  <c r="HV161" i="43"/>
  <c r="HW161" i="43"/>
  <c r="HX161" i="43"/>
  <c r="HY161" i="43"/>
  <c r="HZ161" i="43"/>
  <c r="IA161" i="43"/>
  <c r="IB161" i="43"/>
  <c r="IC161" i="43"/>
  <c r="ID161" i="43"/>
  <c r="IE161" i="43"/>
  <c r="IF161" i="43"/>
  <c r="IG161" i="43"/>
  <c r="IH161" i="43"/>
  <c r="II161" i="43"/>
  <c r="IJ161" i="43"/>
  <c r="IK161" i="43"/>
  <c r="IL161" i="43"/>
  <c r="IM161" i="43"/>
  <c r="IN161" i="43"/>
  <c r="IO161" i="43"/>
  <c r="IP161" i="43"/>
  <c r="IQ161" i="43"/>
  <c r="IR161" i="43"/>
  <c r="IS161" i="43"/>
  <c r="IT161" i="43"/>
  <c r="IU161" i="43"/>
  <c r="IV161" i="43"/>
  <c r="A160" i="43"/>
  <c r="B160" i="43"/>
  <c r="C160" i="43"/>
  <c r="D160" i="43"/>
  <c r="E160" i="43"/>
  <c r="F160" i="43"/>
  <c r="G160" i="43"/>
  <c r="H160" i="43"/>
  <c r="I160" i="43"/>
  <c r="J160" i="43"/>
  <c r="K160" i="43"/>
  <c r="L160" i="43"/>
  <c r="M160" i="43"/>
  <c r="N160" i="43"/>
  <c r="O160" i="43"/>
  <c r="P160" i="43"/>
  <c r="Q160" i="43"/>
  <c r="R160" i="43"/>
  <c r="S160" i="43"/>
  <c r="T160" i="43"/>
  <c r="U160" i="43"/>
  <c r="V160" i="43"/>
  <c r="W160" i="43"/>
  <c r="X160" i="43"/>
  <c r="Y160" i="43"/>
  <c r="Z160" i="43"/>
  <c r="AA160" i="43"/>
  <c r="AB160" i="43"/>
  <c r="AC160" i="43"/>
  <c r="AD160" i="43"/>
  <c r="AE160" i="43"/>
  <c r="AF160" i="43"/>
  <c r="AG160" i="43"/>
  <c r="AH160" i="43"/>
  <c r="AI160" i="43"/>
  <c r="AJ160" i="43"/>
  <c r="AK160" i="43"/>
  <c r="AL160" i="43"/>
  <c r="AM160" i="43"/>
  <c r="AN160" i="43"/>
  <c r="AO160" i="43"/>
  <c r="AP160" i="43"/>
  <c r="AQ160" i="43"/>
  <c r="AR160" i="43"/>
  <c r="AS160" i="43"/>
  <c r="AT160" i="43"/>
  <c r="AU160" i="43"/>
  <c r="AV160" i="43"/>
  <c r="AW160" i="43"/>
  <c r="AX160" i="43"/>
  <c r="AY160" i="43"/>
  <c r="AZ160" i="43"/>
  <c r="BA160" i="43"/>
  <c r="BB160" i="43"/>
  <c r="BC160" i="43"/>
  <c r="BD160" i="43"/>
  <c r="BE160" i="43"/>
  <c r="BF160" i="43"/>
  <c r="BG160" i="43"/>
  <c r="BH160" i="43"/>
  <c r="BI160" i="43"/>
  <c r="BJ160" i="43"/>
  <c r="BK160" i="43"/>
  <c r="BL160" i="43"/>
  <c r="BM160" i="43"/>
  <c r="BN160" i="43"/>
  <c r="BO160" i="43"/>
  <c r="BP160" i="43"/>
  <c r="BQ160" i="43"/>
  <c r="BR160" i="43"/>
  <c r="BS160" i="43"/>
  <c r="BT160" i="43"/>
  <c r="BU160" i="43"/>
  <c r="BV160" i="43"/>
  <c r="BW160" i="43"/>
  <c r="BX160" i="43"/>
  <c r="BY160" i="43"/>
  <c r="BZ160" i="43"/>
  <c r="CA160" i="43"/>
  <c r="CB160" i="43"/>
  <c r="CC160" i="43"/>
  <c r="CD160" i="43"/>
  <c r="CE160" i="43"/>
  <c r="CF160" i="43"/>
  <c r="CG160" i="43"/>
  <c r="CH160" i="43"/>
  <c r="CI160" i="43"/>
  <c r="CJ160" i="43"/>
  <c r="CK160" i="43"/>
  <c r="CL160" i="43"/>
  <c r="CM160" i="43"/>
  <c r="CN160" i="43"/>
  <c r="CO160" i="43"/>
  <c r="CP160" i="43"/>
  <c r="CQ160" i="43"/>
  <c r="CR160" i="43"/>
  <c r="CS160" i="43"/>
  <c r="CT160" i="43"/>
  <c r="CU160" i="43"/>
  <c r="CV160" i="43"/>
  <c r="CW160" i="43"/>
  <c r="CX160" i="43"/>
  <c r="CY160" i="43"/>
  <c r="CZ160" i="43"/>
  <c r="DA160" i="43"/>
  <c r="DB160" i="43"/>
  <c r="DC160" i="43"/>
  <c r="DD160" i="43"/>
  <c r="DE160" i="43"/>
  <c r="DF160" i="43"/>
  <c r="DG160" i="43"/>
  <c r="DH160" i="43"/>
  <c r="DI160" i="43"/>
  <c r="DJ160" i="43"/>
  <c r="DK160" i="43"/>
  <c r="DL160" i="43"/>
  <c r="DM160" i="43"/>
  <c r="DN160" i="43"/>
  <c r="DO160" i="43"/>
  <c r="DP160" i="43"/>
  <c r="DQ160" i="43"/>
  <c r="DR160" i="43"/>
  <c r="DS160" i="43"/>
  <c r="DT160" i="43"/>
  <c r="DU160" i="43"/>
  <c r="DV160" i="43"/>
  <c r="DW160" i="43"/>
  <c r="DX160" i="43"/>
  <c r="DY160" i="43"/>
  <c r="DZ160" i="43"/>
  <c r="EA160" i="43"/>
  <c r="EB160" i="43"/>
  <c r="EC160" i="43"/>
  <c r="ED160" i="43"/>
  <c r="EE160" i="43"/>
  <c r="EF160" i="43"/>
  <c r="EG160" i="43"/>
  <c r="EH160" i="43"/>
  <c r="EI160" i="43"/>
  <c r="EJ160" i="43"/>
  <c r="EK160" i="43"/>
  <c r="EL160" i="43"/>
  <c r="EM160" i="43"/>
  <c r="EN160" i="43"/>
  <c r="EO160" i="43"/>
  <c r="EP160" i="43"/>
  <c r="EQ160" i="43"/>
  <c r="ER160" i="43"/>
  <c r="ES160" i="43"/>
  <c r="ET160" i="43"/>
  <c r="EU160" i="43"/>
  <c r="EV160" i="43"/>
  <c r="EW160" i="43"/>
  <c r="EX160" i="43"/>
  <c r="EY160" i="43"/>
  <c r="EZ160" i="43"/>
  <c r="FA160" i="43"/>
  <c r="FB160" i="43"/>
  <c r="FC160" i="43"/>
  <c r="FD160" i="43"/>
  <c r="FE160" i="43"/>
  <c r="FF160" i="43"/>
  <c r="FG160" i="43"/>
  <c r="FH160" i="43"/>
  <c r="FI160" i="43"/>
  <c r="FJ160" i="43"/>
  <c r="FK160" i="43"/>
  <c r="FL160" i="43"/>
  <c r="FM160" i="43"/>
  <c r="FN160" i="43"/>
  <c r="FO160" i="43"/>
  <c r="FP160" i="43"/>
  <c r="FQ160" i="43"/>
  <c r="FR160" i="43"/>
  <c r="FS160" i="43"/>
  <c r="FT160" i="43"/>
  <c r="FU160" i="43"/>
  <c r="FV160" i="43"/>
  <c r="FW160" i="43"/>
  <c r="FX160" i="43"/>
  <c r="FY160" i="43"/>
  <c r="FZ160" i="43"/>
  <c r="GA160" i="43"/>
  <c r="GB160" i="43"/>
  <c r="GC160" i="43"/>
  <c r="GD160" i="43"/>
  <c r="GE160" i="43"/>
  <c r="GF160" i="43"/>
  <c r="GG160" i="43"/>
  <c r="GH160" i="43"/>
  <c r="GI160" i="43"/>
  <c r="GJ160" i="43"/>
  <c r="GK160" i="43"/>
  <c r="GL160" i="43"/>
  <c r="GM160" i="43"/>
  <c r="GN160" i="43"/>
  <c r="GO160" i="43"/>
  <c r="GP160" i="43"/>
  <c r="GQ160" i="43"/>
  <c r="GR160" i="43"/>
  <c r="GS160" i="43"/>
  <c r="GT160" i="43"/>
  <c r="GU160" i="43"/>
  <c r="GV160" i="43"/>
  <c r="GW160" i="43"/>
  <c r="GX160" i="43"/>
  <c r="GY160" i="43"/>
  <c r="GZ160" i="43"/>
  <c r="HA160" i="43"/>
  <c r="HB160" i="43"/>
  <c r="HC160" i="43"/>
  <c r="HD160" i="43"/>
  <c r="HE160" i="43"/>
  <c r="HF160" i="43"/>
  <c r="HG160" i="43"/>
  <c r="HH160" i="43"/>
  <c r="HI160" i="43"/>
  <c r="HJ160" i="43"/>
  <c r="HK160" i="43"/>
  <c r="HL160" i="43"/>
  <c r="HM160" i="43"/>
  <c r="HN160" i="43"/>
  <c r="HO160" i="43"/>
  <c r="HP160" i="43"/>
  <c r="HQ160" i="43"/>
  <c r="HR160" i="43"/>
  <c r="HS160" i="43"/>
  <c r="HT160" i="43"/>
  <c r="HU160" i="43"/>
  <c r="HV160" i="43"/>
  <c r="HW160" i="43"/>
  <c r="HX160" i="43"/>
  <c r="HY160" i="43"/>
  <c r="HZ160" i="43"/>
  <c r="IA160" i="43"/>
  <c r="IB160" i="43"/>
  <c r="IC160" i="43"/>
  <c r="ID160" i="43"/>
  <c r="IE160" i="43"/>
  <c r="IF160" i="43"/>
  <c r="IG160" i="43"/>
  <c r="IH160" i="43"/>
  <c r="II160" i="43"/>
  <c r="IJ160" i="43"/>
  <c r="IK160" i="43"/>
  <c r="IL160" i="43"/>
  <c r="IM160" i="43"/>
  <c r="IN160" i="43"/>
  <c r="IO160" i="43"/>
  <c r="IP160" i="43"/>
  <c r="IQ160" i="43"/>
  <c r="IR160" i="43"/>
  <c r="IS160" i="43"/>
  <c r="IT160" i="43"/>
  <c r="IU160" i="43"/>
  <c r="IV160" i="43"/>
  <c r="A159" i="43"/>
  <c r="B159" i="43"/>
  <c r="C159" i="43"/>
  <c r="D159" i="43"/>
  <c r="E159" i="43"/>
  <c r="F159" i="43"/>
  <c r="G159" i="43"/>
  <c r="H159" i="43"/>
  <c r="I159" i="43"/>
  <c r="J159" i="43"/>
  <c r="K159" i="43"/>
  <c r="L159" i="43"/>
  <c r="M159" i="43"/>
  <c r="N159" i="43"/>
  <c r="O159" i="43"/>
  <c r="P159" i="43"/>
  <c r="Q159" i="43"/>
  <c r="R159" i="43"/>
  <c r="S159" i="43"/>
  <c r="T159" i="43"/>
  <c r="U159" i="43"/>
  <c r="V159" i="43"/>
  <c r="W159" i="43"/>
  <c r="X159" i="43"/>
  <c r="Y159" i="43"/>
  <c r="Z159" i="43"/>
  <c r="AA159" i="43"/>
  <c r="AB159" i="43"/>
  <c r="AC159" i="43"/>
  <c r="AD159" i="43"/>
  <c r="AE159" i="43"/>
  <c r="AF159" i="43"/>
  <c r="AG159" i="43"/>
  <c r="AH159" i="43"/>
  <c r="AI159" i="43"/>
  <c r="AJ159" i="43"/>
  <c r="AK159" i="43"/>
  <c r="AL159" i="43"/>
  <c r="AM159" i="43"/>
  <c r="AN159" i="43"/>
  <c r="AO159" i="43"/>
  <c r="AP159" i="43"/>
  <c r="AQ159" i="43"/>
  <c r="AR159" i="43"/>
  <c r="AS159" i="43"/>
  <c r="AT159" i="43"/>
  <c r="AU159" i="43"/>
  <c r="AV159" i="43"/>
  <c r="AW159" i="43"/>
  <c r="AX159" i="43"/>
  <c r="AY159" i="43"/>
  <c r="AZ159" i="43"/>
  <c r="BA159" i="43"/>
  <c r="BB159" i="43"/>
  <c r="BC159" i="43"/>
  <c r="BD159" i="43"/>
  <c r="BE159" i="43"/>
  <c r="BF159" i="43"/>
  <c r="BG159" i="43"/>
  <c r="BH159" i="43"/>
  <c r="BI159" i="43"/>
  <c r="BJ159" i="43"/>
  <c r="BK159" i="43"/>
  <c r="BL159" i="43"/>
  <c r="BM159" i="43"/>
  <c r="BN159" i="43"/>
  <c r="BO159" i="43"/>
  <c r="BP159" i="43"/>
  <c r="BQ159" i="43"/>
  <c r="BR159" i="43"/>
  <c r="BS159" i="43"/>
  <c r="BT159" i="43"/>
  <c r="BU159" i="43"/>
  <c r="BV159" i="43"/>
  <c r="BW159" i="43"/>
  <c r="BX159" i="43"/>
  <c r="BY159" i="43"/>
  <c r="BZ159" i="43"/>
  <c r="CA159" i="43"/>
  <c r="CB159" i="43"/>
  <c r="CC159" i="43"/>
  <c r="CD159" i="43"/>
  <c r="CE159" i="43"/>
  <c r="CF159" i="43"/>
  <c r="CG159" i="43"/>
  <c r="CH159" i="43"/>
  <c r="CI159" i="43"/>
  <c r="CJ159" i="43"/>
  <c r="CK159" i="43"/>
  <c r="CL159" i="43"/>
  <c r="CM159" i="43"/>
  <c r="CN159" i="43"/>
  <c r="CO159" i="43"/>
  <c r="CP159" i="43"/>
  <c r="CQ159" i="43"/>
  <c r="CR159" i="43"/>
  <c r="CS159" i="43"/>
  <c r="CT159" i="43"/>
  <c r="CU159" i="43"/>
  <c r="CV159" i="43"/>
  <c r="CW159" i="43"/>
  <c r="CX159" i="43"/>
  <c r="CY159" i="43"/>
  <c r="CZ159" i="43"/>
  <c r="DA159" i="43"/>
  <c r="DB159" i="43"/>
  <c r="DC159" i="43"/>
  <c r="DD159" i="43"/>
  <c r="DE159" i="43"/>
  <c r="DF159" i="43"/>
  <c r="DG159" i="43"/>
  <c r="DH159" i="43"/>
  <c r="DI159" i="43"/>
  <c r="DJ159" i="43"/>
  <c r="DK159" i="43"/>
  <c r="DL159" i="43"/>
  <c r="DM159" i="43"/>
  <c r="DN159" i="43"/>
  <c r="DO159" i="43"/>
  <c r="DP159" i="43"/>
  <c r="DQ159" i="43"/>
  <c r="DR159" i="43"/>
  <c r="DS159" i="43"/>
  <c r="DT159" i="43"/>
  <c r="DU159" i="43"/>
  <c r="DV159" i="43"/>
  <c r="DW159" i="43"/>
  <c r="DX159" i="43"/>
  <c r="DY159" i="43"/>
  <c r="DZ159" i="43"/>
  <c r="EA159" i="43"/>
  <c r="EB159" i="43"/>
  <c r="EC159" i="43"/>
  <c r="ED159" i="43"/>
  <c r="EE159" i="43"/>
  <c r="EF159" i="43"/>
  <c r="EG159" i="43"/>
  <c r="EH159" i="43"/>
  <c r="EI159" i="43"/>
  <c r="EJ159" i="43"/>
  <c r="EK159" i="43"/>
  <c r="EL159" i="43"/>
  <c r="EM159" i="43"/>
  <c r="EN159" i="43"/>
  <c r="EO159" i="43"/>
  <c r="EP159" i="43"/>
  <c r="EQ159" i="43"/>
  <c r="ER159" i="43"/>
  <c r="ES159" i="43"/>
  <c r="ET159" i="43"/>
  <c r="EU159" i="43"/>
  <c r="EV159" i="43"/>
  <c r="EW159" i="43"/>
  <c r="EX159" i="43"/>
  <c r="EY159" i="43"/>
  <c r="EZ159" i="43"/>
  <c r="FA159" i="43"/>
  <c r="FB159" i="43"/>
  <c r="FC159" i="43"/>
  <c r="FD159" i="43"/>
  <c r="FE159" i="43"/>
  <c r="FF159" i="43"/>
  <c r="FG159" i="43"/>
  <c r="FH159" i="43"/>
  <c r="FI159" i="43"/>
  <c r="FJ159" i="43"/>
  <c r="FK159" i="43"/>
  <c r="FL159" i="43"/>
  <c r="FM159" i="43"/>
  <c r="FN159" i="43"/>
  <c r="FO159" i="43"/>
  <c r="FP159" i="43"/>
  <c r="FQ159" i="43"/>
  <c r="FR159" i="43"/>
  <c r="FS159" i="43"/>
  <c r="FT159" i="43"/>
  <c r="FU159" i="43"/>
  <c r="FV159" i="43"/>
  <c r="FW159" i="43"/>
  <c r="FX159" i="43"/>
  <c r="FY159" i="43"/>
  <c r="FZ159" i="43"/>
  <c r="GA159" i="43"/>
  <c r="GB159" i="43"/>
  <c r="GC159" i="43"/>
  <c r="GD159" i="43"/>
  <c r="GE159" i="43"/>
  <c r="GF159" i="43"/>
  <c r="GG159" i="43"/>
  <c r="GH159" i="43"/>
  <c r="GI159" i="43"/>
  <c r="GJ159" i="43"/>
  <c r="GK159" i="43"/>
  <c r="GL159" i="43"/>
  <c r="GM159" i="43"/>
  <c r="GN159" i="43"/>
  <c r="GO159" i="43"/>
  <c r="GP159" i="43"/>
  <c r="GQ159" i="43"/>
  <c r="GR159" i="43"/>
  <c r="GS159" i="43"/>
  <c r="GT159" i="43"/>
  <c r="GU159" i="43"/>
  <c r="GV159" i="43"/>
  <c r="GW159" i="43"/>
  <c r="GX159" i="43"/>
  <c r="GY159" i="43"/>
  <c r="GZ159" i="43"/>
  <c r="HA159" i="43"/>
  <c r="HB159" i="43"/>
  <c r="HC159" i="43"/>
  <c r="HD159" i="43"/>
  <c r="HE159" i="43"/>
  <c r="HF159" i="43"/>
  <c r="HG159" i="43"/>
  <c r="HH159" i="43"/>
  <c r="HI159" i="43"/>
  <c r="HJ159" i="43"/>
  <c r="HK159" i="43"/>
  <c r="HL159" i="43"/>
  <c r="HM159" i="43"/>
  <c r="HN159" i="43"/>
  <c r="HO159" i="43"/>
  <c r="HP159" i="43"/>
  <c r="HQ159" i="43"/>
  <c r="HR159" i="43"/>
  <c r="HS159" i="43"/>
  <c r="HT159" i="43"/>
  <c r="HU159" i="43"/>
  <c r="HV159" i="43"/>
  <c r="HW159" i="43"/>
  <c r="HX159" i="43"/>
  <c r="HY159" i="43"/>
  <c r="HZ159" i="43"/>
  <c r="IA159" i="43"/>
  <c r="IB159" i="43"/>
  <c r="IC159" i="43"/>
  <c r="ID159" i="43"/>
  <c r="IE159" i="43"/>
  <c r="IF159" i="43"/>
  <c r="IG159" i="43"/>
  <c r="IH159" i="43"/>
  <c r="II159" i="43"/>
  <c r="IJ159" i="43"/>
  <c r="IK159" i="43"/>
  <c r="IL159" i="43"/>
  <c r="IM159" i="43"/>
  <c r="IN159" i="43"/>
  <c r="IO159" i="43"/>
  <c r="IP159" i="43"/>
  <c r="IQ159" i="43"/>
  <c r="IR159" i="43"/>
  <c r="IS159" i="43"/>
  <c r="IT159" i="43"/>
  <c r="IU159" i="43"/>
  <c r="IV159" i="43"/>
  <c r="A158" i="43"/>
  <c r="B158" i="43"/>
  <c r="C158" i="43"/>
  <c r="D158" i="43"/>
  <c r="E158" i="43"/>
  <c r="F158" i="43"/>
  <c r="G158" i="43"/>
  <c r="H158" i="43"/>
  <c r="I158" i="43"/>
  <c r="J158" i="43"/>
  <c r="K158" i="43"/>
  <c r="L158" i="43"/>
  <c r="M158" i="43"/>
  <c r="N158" i="43"/>
  <c r="O158" i="43"/>
  <c r="P158" i="43"/>
  <c r="Q158" i="43"/>
  <c r="R158" i="43"/>
  <c r="S158" i="43"/>
  <c r="T158" i="43"/>
  <c r="U158" i="43"/>
  <c r="V158" i="43"/>
  <c r="W158" i="43"/>
  <c r="X158" i="43"/>
  <c r="Y158" i="43"/>
  <c r="Z158" i="43"/>
  <c r="AA158" i="43"/>
  <c r="AB158" i="43"/>
  <c r="AC158" i="43"/>
  <c r="AD158" i="43"/>
  <c r="AE158" i="43"/>
  <c r="AF158" i="43"/>
  <c r="AG158" i="43"/>
  <c r="AH158" i="43"/>
  <c r="AI158" i="43"/>
  <c r="AJ158" i="43"/>
  <c r="AK158" i="43"/>
  <c r="AL158" i="43"/>
  <c r="AM158" i="43"/>
  <c r="AN158" i="43"/>
  <c r="AO158" i="43"/>
  <c r="AP158" i="43"/>
  <c r="AQ158" i="43"/>
  <c r="AR158" i="43"/>
  <c r="AS158" i="43"/>
  <c r="AT158" i="43"/>
  <c r="AU158" i="43"/>
  <c r="AV158" i="43"/>
  <c r="AW158" i="43"/>
  <c r="AX158" i="43"/>
  <c r="AY158" i="43"/>
  <c r="AZ158" i="43"/>
  <c r="BA158" i="43"/>
  <c r="BB158" i="43"/>
  <c r="BC158" i="43"/>
  <c r="BD158" i="43"/>
  <c r="BE158" i="43"/>
  <c r="BF158" i="43"/>
  <c r="BG158" i="43"/>
  <c r="BH158" i="43"/>
  <c r="BI158" i="43"/>
  <c r="BJ158" i="43"/>
  <c r="BK158" i="43"/>
  <c r="BL158" i="43"/>
  <c r="BM158" i="43"/>
  <c r="BN158" i="43"/>
  <c r="BO158" i="43"/>
  <c r="BP158" i="43"/>
  <c r="BQ158" i="43"/>
  <c r="BR158" i="43"/>
  <c r="BS158" i="43"/>
  <c r="BT158" i="43"/>
  <c r="BU158" i="43"/>
  <c r="BV158" i="43"/>
  <c r="BW158" i="43"/>
  <c r="BX158" i="43"/>
  <c r="BY158" i="43"/>
  <c r="BZ158" i="43"/>
  <c r="CA158" i="43"/>
  <c r="CB158" i="43"/>
  <c r="CC158" i="43"/>
  <c r="CD158" i="43"/>
  <c r="CE158" i="43"/>
  <c r="CF158" i="43"/>
  <c r="CG158" i="43"/>
  <c r="CH158" i="43"/>
  <c r="CI158" i="43"/>
  <c r="CJ158" i="43"/>
  <c r="CK158" i="43"/>
  <c r="CL158" i="43"/>
  <c r="CM158" i="43"/>
  <c r="CN158" i="43"/>
  <c r="CO158" i="43"/>
  <c r="CP158" i="43"/>
  <c r="CQ158" i="43"/>
  <c r="CR158" i="43"/>
  <c r="CS158" i="43"/>
  <c r="CT158" i="43"/>
  <c r="CU158" i="43"/>
  <c r="CV158" i="43"/>
  <c r="CW158" i="43"/>
  <c r="CX158" i="43"/>
  <c r="CY158" i="43"/>
  <c r="CZ158" i="43"/>
  <c r="DA158" i="43"/>
  <c r="DB158" i="43"/>
  <c r="DC158" i="43"/>
  <c r="DD158" i="43"/>
  <c r="DE158" i="43"/>
  <c r="DF158" i="43"/>
  <c r="DG158" i="43"/>
  <c r="DH158" i="43"/>
  <c r="DI158" i="43"/>
  <c r="DJ158" i="43"/>
  <c r="DK158" i="43"/>
  <c r="DL158" i="43"/>
  <c r="DM158" i="43"/>
  <c r="DN158" i="43"/>
  <c r="DO158" i="43"/>
  <c r="DP158" i="43"/>
  <c r="DQ158" i="43"/>
  <c r="DR158" i="43"/>
  <c r="DS158" i="43"/>
  <c r="DT158" i="43"/>
  <c r="DU158" i="43"/>
  <c r="DV158" i="43"/>
  <c r="DW158" i="43"/>
  <c r="DX158" i="43"/>
  <c r="DY158" i="43"/>
  <c r="DZ158" i="43"/>
  <c r="EA158" i="43"/>
  <c r="EB158" i="43"/>
  <c r="EC158" i="43"/>
  <c r="ED158" i="43"/>
  <c r="EE158" i="43"/>
  <c r="EF158" i="43"/>
  <c r="EG158" i="43"/>
  <c r="EH158" i="43"/>
  <c r="EI158" i="43"/>
  <c r="EJ158" i="43"/>
  <c r="EK158" i="43"/>
  <c r="EL158" i="43"/>
  <c r="EM158" i="43"/>
  <c r="EN158" i="43"/>
  <c r="EO158" i="43"/>
  <c r="EP158" i="43"/>
  <c r="EQ158" i="43"/>
  <c r="ER158" i="43"/>
  <c r="ES158" i="43"/>
  <c r="ET158" i="43"/>
  <c r="EU158" i="43"/>
  <c r="EV158" i="43"/>
  <c r="EW158" i="43"/>
  <c r="EX158" i="43"/>
  <c r="EY158" i="43"/>
  <c r="EZ158" i="43"/>
  <c r="FA158" i="43"/>
  <c r="FB158" i="43"/>
  <c r="FC158" i="43"/>
  <c r="FD158" i="43"/>
  <c r="FE158" i="43"/>
  <c r="FF158" i="43"/>
  <c r="FG158" i="43"/>
  <c r="FH158" i="43"/>
  <c r="FI158" i="43"/>
  <c r="FJ158" i="43"/>
  <c r="FK158" i="43"/>
  <c r="FL158" i="43"/>
  <c r="FM158" i="43"/>
  <c r="FN158" i="43"/>
  <c r="FO158" i="43"/>
  <c r="FP158" i="43"/>
  <c r="FQ158" i="43"/>
  <c r="FR158" i="43"/>
  <c r="FS158" i="43"/>
  <c r="FT158" i="43"/>
  <c r="FU158" i="43"/>
  <c r="FV158" i="43"/>
  <c r="FW158" i="43"/>
  <c r="FX158" i="43"/>
  <c r="FY158" i="43"/>
  <c r="FZ158" i="43"/>
  <c r="GA158" i="43"/>
  <c r="GB158" i="43"/>
  <c r="GC158" i="43"/>
  <c r="GD158" i="43"/>
  <c r="GE158" i="43"/>
  <c r="GF158" i="43"/>
  <c r="GG158" i="43"/>
  <c r="GH158" i="43"/>
  <c r="GI158" i="43"/>
  <c r="GJ158" i="43"/>
  <c r="GK158" i="43"/>
  <c r="GL158" i="43"/>
  <c r="GM158" i="43"/>
  <c r="GN158" i="43"/>
  <c r="GO158" i="43"/>
  <c r="GP158" i="43"/>
  <c r="GQ158" i="43"/>
  <c r="GR158" i="43"/>
  <c r="GS158" i="43"/>
  <c r="GT158" i="43"/>
  <c r="GU158" i="43"/>
  <c r="GV158" i="43"/>
  <c r="GW158" i="43"/>
  <c r="GX158" i="43"/>
  <c r="GY158" i="43"/>
  <c r="GZ158" i="43"/>
  <c r="HA158" i="43"/>
  <c r="HB158" i="43"/>
  <c r="HC158" i="43"/>
  <c r="HD158" i="43"/>
  <c r="HE158" i="43"/>
  <c r="HF158" i="43"/>
  <c r="HG158" i="43"/>
  <c r="HH158" i="43"/>
  <c r="HI158" i="43"/>
  <c r="HJ158" i="43"/>
  <c r="HK158" i="43"/>
  <c r="HL158" i="43"/>
  <c r="HM158" i="43"/>
  <c r="HN158" i="43"/>
  <c r="HO158" i="43"/>
  <c r="HP158" i="43"/>
  <c r="HQ158" i="43"/>
  <c r="HR158" i="43"/>
  <c r="HS158" i="43"/>
  <c r="HT158" i="43"/>
  <c r="HU158" i="43"/>
  <c r="HV158" i="43"/>
  <c r="HW158" i="43"/>
  <c r="HX158" i="43"/>
  <c r="HY158" i="43"/>
  <c r="HZ158" i="43"/>
  <c r="IA158" i="43"/>
  <c r="IB158" i="43"/>
  <c r="IC158" i="43"/>
  <c r="ID158" i="43"/>
  <c r="IE158" i="43"/>
  <c r="IF158" i="43"/>
  <c r="IG158" i="43"/>
  <c r="IH158" i="43"/>
  <c r="II158" i="43"/>
  <c r="IJ158" i="43"/>
  <c r="IK158" i="43"/>
  <c r="IL158" i="43"/>
  <c r="IM158" i="43"/>
  <c r="IN158" i="43"/>
  <c r="IO158" i="43"/>
  <c r="IP158" i="43"/>
  <c r="IQ158" i="43"/>
  <c r="IR158" i="43"/>
  <c r="IS158" i="43"/>
  <c r="IT158" i="43"/>
  <c r="IU158" i="43"/>
  <c r="IV158" i="43"/>
  <c r="A157" i="43"/>
  <c r="B157" i="43"/>
  <c r="C157" i="43"/>
  <c r="D157" i="43"/>
  <c r="E157" i="43"/>
  <c r="F157" i="43"/>
  <c r="G157" i="43"/>
  <c r="H157" i="43"/>
  <c r="I157" i="43"/>
  <c r="J157" i="43"/>
  <c r="K157" i="43"/>
  <c r="L157" i="43"/>
  <c r="M157" i="43"/>
  <c r="N157" i="43"/>
  <c r="O157" i="43"/>
  <c r="P157" i="43"/>
  <c r="Q157" i="43"/>
  <c r="R157" i="43"/>
  <c r="S157" i="43"/>
  <c r="T157" i="43"/>
  <c r="U157" i="43"/>
  <c r="V157" i="43"/>
  <c r="W157" i="43"/>
  <c r="X157" i="43"/>
  <c r="Y157" i="43"/>
  <c r="Z157" i="43"/>
  <c r="AA157" i="43"/>
  <c r="AB157" i="43"/>
  <c r="AC157" i="43"/>
  <c r="AD157" i="43"/>
  <c r="AE157" i="43"/>
  <c r="AF157" i="43"/>
  <c r="AG157" i="43"/>
  <c r="AH157" i="43"/>
  <c r="AI157" i="43"/>
  <c r="AJ157" i="43"/>
  <c r="AK157" i="43"/>
  <c r="AL157" i="43"/>
  <c r="AM157" i="43"/>
  <c r="AN157" i="43"/>
  <c r="AO157" i="43"/>
  <c r="AP157" i="43"/>
  <c r="AQ157" i="43"/>
  <c r="AR157" i="43"/>
  <c r="AS157" i="43"/>
  <c r="AT157" i="43"/>
  <c r="AU157" i="43"/>
  <c r="AV157" i="43"/>
  <c r="AW157" i="43"/>
  <c r="AX157" i="43"/>
  <c r="AY157" i="43"/>
  <c r="AZ157" i="43"/>
  <c r="BA157" i="43"/>
  <c r="BB157" i="43"/>
  <c r="BC157" i="43"/>
  <c r="BD157" i="43"/>
  <c r="BE157" i="43"/>
  <c r="BF157" i="43"/>
  <c r="BG157" i="43"/>
  <c r="BH157" i="43"/>
  <c r="BI157" i="43"/>
  <c r="BJ157" i="43"/>
  <c r="BK157" i="43"/>
  <c r="BL157" i="43"/>
  <c r="BM157" i="43"/>
  <c r="BN157" i="43"/>
  <c r="BO157" i="43"/>
  <c r="BP157" i="43"/>
  <c r="BQ157" i="43"/>
  <c r="BR157" i="43"/>
  <c r="BS157" i="43"/>
  <c r="BT157" i="43"/>
  <c r="BU157" i="43"/>
  <c r="BV157" i="43"/>
  <c r="BW157" i="43"/>
  <c r="BX157" i="43"/>
  <c r="BY157" i="43"/>
  <c r="BZ157" i="43"/>
  <c r="CA157" i="43"/>
  <c r="CB157" i="43"/>
  <c r="CC157" i="43"/>
  <c r="CD157" i="43"/>
  <c r="CE157" i="43"/>
  <c r="CF157" i="43"/>
  <c r="CG157" i="43"/>
  <c r="CH157" i="43"/>
  <c r="CI157" i="43"/>
  <c r="CJ157" i="43"/>
  <c r="CK157" i="43"/>
  <c r="CL157" i="43"/>
  <c r="CM157" i="43"/>
  <c r="CN157" i="43"/>
  <c r="CO157" i="43"/>
  <c r="CP157" i="43"/>
  <c r="CQ157" i="43"/>
  <c r="CR157" i="43"/>
  <c r="CS157" i="43"/>
  <c r="CT157" i="43"/>
  <c r="CU157" i="43"/>
  <c r="CV157" i="43"/>
  <c r="CW157" i="43"/>
  <c r="CX157" i="43"/>
  <c r="CY157" i="43"/>
  <c r="CZ157" i="43"/>
  <c r="DA157" i="43"/>
  <c r="DB157" i="43"/>
  <c r="DC157" i="43"/>
  <c r="DD157" i="43"/>
  <c r="DE157" i="43"/>
  <c r="DF157" i="43"/>
  <c r="DG157" i="43"/>
  <c r="DH157" i="43"/>
  <c r="DI157" i="43"/>
  <c r="DJ157" i="43"/>
  <c r="DK157" i="43"/>
  <c r="DL157" i="43"/>
  <c r="DM157" i="43"/>
  <c r="DN157" i="43"/>
  <c r="DO157" i="43"/>
  <c r="DP157" i="43"/>
  <c r="DQ157" i="43"/>
  <c r="DR157" i="43"/>
  <c r="DS157" i="43"/>
  <c r="DT157" i="43"/>
  <c r="DU157" i="43"/>
  <c r="DV157" i="43"/>
  <c r="DW157" i="43"/>
  <c r="DX157" i="43"/>
  <c r="DY157" i="43"/>
  <c r="DZ157" i="43"/>
  <c r="EA157" i="43"/>
  <c r="EB157" i="43"/>
  <c r="EC157" i="43"/>
  <c r="ED157" i="43"/>
  <c r="EE157" i="43"/>
  <c r="EF157" i="43"/>
  <c r="EG157" i="43"/>
  <c r="EH157" i="43"/>
  <c r="EI157" i="43"/>
  <c r="EJ157" i="43"/>
  <c r="EK157" i="43"/>
  <c r="EL157" i="43"/>
  <c r="EM157" i="43"/>
  <c r="EN157" i="43"/>
  <c r="EO157" i="43"/>
  <c r="EP157" i="43"/>
  <c r="EQ157" i="43"/>
  <c r="ER157" i="43"/>
  <c r="ES157" i="43"/>
  <c r="ET157" i="43"/>
  <c r="EU157" i="43"/>
  <c r="EV157" i="43"/>
  <c r="EW157" i="43"/>
  <c r="EX157" i="43"/>
  <c r="EY157" i="43"/>
  <c r="EZ157" i="43"/>
  <c r="FA157" i="43"/>
  <c r="FB157" i="43"/>
  <c r="FC157" i="43"/>
  <c r="FD157" i="43"/>
  <c r="FE157" i="43"/>
  <c r="FF157" i="43"/>
  <c r="FG157" i="43"/>
  <c r="FH157" i="43"/>
  <c r="FI157" i="43"/>
  <c r="FJ157" i="43"/>
  <c r="FK157" i="43"/>
  <c r="FL157" i="43"/>
  <c r="FM157" i="43"/>
  <c r="FN157" i="43"/>
  <c r="FO157" i="43"/>
  <c r="FP157" i="43"/>
  <c r="FQ157" i="43"/>
  <c r="FR157" i="43"/>
  <c r="FS157" i="43"/>
  <c r="FT157" i="43"/>
  <c r="FU157" i="43"/>
  <c r="FV157" i="43"/>
  <c r="FW157" i="43"/>
  <c r="FX157" i="43"/>
  <c r="FY157" i="43"/>
  <c r="FZ157" i="43"/>
  <c r="GA157" i="43"/>
  <c r="GB157" i="43"/>
  <c r="GC157" i="43"/>
  <c r="GD157" i="43"/>
  <c r="GE157" i="43"/>
  <c r="GF157" i="43"/>
  <c r="GG157" i="43"/>
  <c r="GH157" i="43"/>
  <c r="GI157" i="43"/>
  <c r="GJ157" i="43"/>
  <c r="GK157" i="43"/>
  <c r="GL157" i="43"/>
  <c r="GM157" i="43"/>
  <c r="GN157" i="43"/>
  <c r="GO157" i="43"/>
  <c r="GP157" i="43"/>
  <c r="GQ157" i="43"/>
  <c r="GR157" i="43"/>
  <c r="GS157" i="43"/>
  <c r="GT157" i="43"/>
  <c r="GU157" i="43"/>
  <c r="GV157" i="43"/>
  <c r="GW157" i="43"/>
  <c r="GX157" i="43"/>
  <c r="GY157" i="43"/>
  <c r="GZ157" i="43"/>
  <c r="HA157" i="43"/>
  <c r="HB157" i="43"/>
  <c r="HC157" i="43"/>
  <c r="HD157" i="43"/>
  <c r="HE157" i="43"/>
  <c r="HF157" i="43"/>
  <c r="HG157" i="43"/>
  <c r="HH157" i="43"/>
  <c r="HI157" i="43"/>
  <c r="HJ157" i="43"/>
  <c r="HK157" i="43"/>
  <c r="HL157" i="43"/>
  <c r="HM157" i="43"/>
  <c r="HN157" i="43"/>
  <c r="HO157" i="43"/>
  <c r="HP157" i="43"/>
  <c r="HQ157" i="43"/>
  <c r="HR157" i="43"/>
  <c r="HS157" i="43"/>
  <c r="HT157" i="43"/>
  <c r="HU157" i="43"/>
  <c r="HV157" i="43"/>
  <c r="HW157" i="43"/>
  <c r="HX157" i="43"/>
  <c r="HY157" i="43"/>
  <c r="HZ157" i="43"/>
  <c r="IA157" i="43"/>
  <c r="IB157" i="43"/>
  <c r="IC157" i="43"/>
  <c r="ID157" i="43"/>
  <c r="IE157" i="43"/>
  <c r="IF157" i="43"/>
  <c r="IG157" i="43"/>
  <c r="IH157" i="43"/>
  <c r="II157" i="43"/>
  <c r="IJ157" i="43"/>
  <c r="IK157" i="43"/>
  <c r="IL157" i="43"/>
  <c r="IM157" i="43"/>
  <c r="IN157" i="43"/>
  <c r="IO157" i="43"/>
  <c r="IP157" i="43"/>
  <c r="IQ157" i="43"/>
  <c r="IR157" i="43"/>
  <c r="IS157" i="43"/>
  <c r="IT157" i="43"/>
  <c r="IU157" i="43"/>
  <c r="IV157" i="43"/>
  <c r="A156" i="43"/>
  <c r="B156" i="43"/>
  <c r="C156" i="43"/>
  <c r="D156" i="43"/>
  <c r="E156" i="43"/>
  <c r="F156" i="43"/>
  <c r="G156" i="43"/>
  <c r="H156" i="43"/>
  <c r="I156" i="43"/>
  <c r="J156" i="43"/>
  <c r="K156" i="43"/>
  <c r="L156" i="43"/>
  <c r="M156" i="43"/>
  <c r="N156" i="43"/>
  <c r="O156" i="43"/>
  <c r="P156" i="43"/>
  <c r="Q156" i="43"/>
  <c r="R156" i="43"/>
  <c r="S156" i="43"/>
  <c r="T156" i="43"/>
  <c r="U156" i="43"/>
  <c r="V156" i="43"/>
  <c r="W156" i="43"/>
  <c r="X156" i="43"/>
  <c r="Y156" i="43"/>
  <c r="Z156" i="43"/>
  <c r="AA156" i="43"/>
  <c r="AB156" i="43"/>
  <c r="AC156" i="43"/>
  <c r="AD156" i="43"/>
  <c r="AE156" i="43"/>
  <c r="AF156" i="43"/>
  <c r="AG156" i="43"/>
  <c r="AH156" i="43"/>
  <c r="AI156" i="43"/>
  <c r="AJ156" i="43"/>
  <c r="AK156" i="43"/>
  <c r="AL156" i="43"/>
  <c r="AM156" i="43"/>
  <c r="AN156" i="43"/>
  <c r="AO156" i="43"/>
  <c r="AP156" i="43"/>
  <c r="AQ156" i="43"/>
  <c r="AR156" i="43"/>
  <c r="AS156" i="43"/>
  <c r="AT156" i="43"/>
  <c r="AU156" i="43"/>
  <c r="AV156" i="43"/>
  <c r="AW156" i="43"/>
  <c r="AX156" i="43"/>
  <c r="AY156" i="43"/>
  <c r="AZ156" i="43"/>
  <c r="BA156" i="43"/>
  <c r="BB156" i="43"/>
  <c r="BC156" i="43"/>
  <c r="BD156" i="43"/>
  <c r="BE156" i="43"/>
  <c r="BF156" i="43"/>
  <c r="BG156" i="43"/>
  <c r="BH156" i="43"/>
  <c r="BI156" i="43"/>
  <c r="BJ156" i="43"/>
  <c r="BK156" i="43"/>
  <c r="BL156" i="43"/>
  <c r="BM156" i="43"/>
  <c r="BN156" i="43"/>
  <c r="BO156" i="43"/>
  <c r="BP156" i="43"/>
  <c r="BQ156" i="43"/>
  <c r="BR156" i="43"/>
  <c r="BS156" i="43"/>
  <c r="BT156" i="43"/>
  <c r="BU156" i="43"/>
  <c r="BV156" i="43"/>
  <c r="BW156" i="43"/>
  <c r="BX156" i="43"/>
  <c r="BY156" i="43"/>
  <c r="BZ156" i="43"/>
  <c r="CA156" i="43"/>
  <c r="CB156" i="43"/>
  <c r="CC156" i="43"/>
  <c r="CD156" i="43"/>
  <c r="CE156" i="43"/>
  <c r="CF156" i="43"/>
  <c r="CG156" i="43"/>
  <c r="CH156" i="43"/>
  <c r="CI156" i="43"/>
  <c r="CJ156" i="43"/>
  <c r="CK156" i="43"/>
  <c r="CL156" i="43"/>
  <c r="CM156" i="43"/>
  <c r="CN156" i="43"/>
  <c r="CO156" i="43"/>
  <c r="CP156" i="43"/>
  <c r="CQ156" i="43"/>
  <c r="CR156" i="43"/>
  <c r="CS156" i="43"/>
  <c r="CT156" i="43"/>
  <c r="CU156" i="43"/>
  <c r="CV156" i="43"/>
  <c r="CW156" i="43"/>
  <c r="CX156" i="43"/>
  <c r="CY156" i="43"/>
  <c r="CZ156" i="43"/>
  <c r="DA156" i="43"/>
  <c r="DB156" i="43"/>
  <c r="DC156" i="43"/>
  <c r="DD156" i="43"/>
  <c r="DE156" i="43"/>
  <c r="DF156" i="43"/>
  <c r="DG156" i="43"/>
  <c r="DH156" i="43"/>
  <c r="DI156" i="43"/>
  <c r="DJ156" i="43"/>
  <c r="DK156" i="43"/>
  <c r="DL156" i="43"/>
  <c r="DM156" i="43"/>
  <c r="DN156" i="43"/>
  <c r="DO156" i="43"/>
  <c r="DP156" i="43"/>
  <c r="DQ156" i="43"/>
  <c r="DR156" i="43"/>
  <c r="DS156" i="43"/>
  <c r="DT156" i="43"/>
  <c r="DU156" i="43"/>
  <c r="DV156" i="43"/>
  <c r="DW156" i="43"/>
  <c r="DX156" i="43"/>
  <c r="DY156" i="43"/>
  <c r="DZ156" i="43"/>
  <c r="EA156" i="43"/>
  <c r="EB156" i="43"/>
  <c r="EC156" i="43"/>
  <c r="ED156" i="43"/>
  <c r="EE156" i="43"/>
  <c r="EF156" i="43"/>
  <c r="EG156" i="43"/>
  <c r="EH156" i="43"/>
  <c r="EI156" i="43"/>
  <c r="EJ156" i="43"/>
  <c r="EK156" i="43"/>
  <c r="EL156" i="43"/>
  <c r="EM156" i="43"/>
  <c r="EN156" i="43"/>
  <c r="EO156" i="43"/>
  <c r="EP156" i="43"/>
  <c r="EQ156" i="43"/>
  <c r="ER156" i="43"/>
  <c r="ES156" i="43"/>
  <c r="ET156" i="43"/>
  <c r="EU156" i="43"/>
  <c r="EV156" i="43"/>
  <c r="EW156" i="43"/>
  <c r="EX156" i="43"/>
  <c r="EY156" i="43"/>
  <c r="EZ156" i="43"/>
  <c r="FA156" i="43"/>
  <c r="FB156" i="43"/>
  <c r="FC156" i="43"/>
  <c r="FD156" i="43"/>
  <c r="FE156" i="43"/>
  <c r="FF156" i="43"/>
  <c r="FG156" i="43"/>
  <c r="FH156" i="43"/>
  <c r="FI156" i="43"/>
  <c r="FJ156" i="43"/>
  <c r="FK156" i="43"/>
  <c r="FL156" i="43"/>
  <c r="FM156" i="43"/>
  <c r="FN156" i="43"/>
  <c r="FO156" i="43"/>
  <c r="FP156" i="43"/>
  <c r="FQ156" i="43"/>
  <c r="FR156" i="43"/>
  <c r="FS156" i="43"/>
  <c r="FT156" i="43"/>
  <c r="FU156" i="43"/>
  <c r="FV156" i="43"/>
  <c r="FW156" i="43"/>
  <c r="FX156" i="43"/>
  <c r="FY156" i="43"/>
  <c r="FZ156" i="43"/>
  <c r="GA156" i="43"/>
  <c r="GB156" i="43"/>
  <c r="GC156" i="43"/>
  <c r="GD156" i="43"/>
  <c r="GE156" i="43"/>
  <c r="GF156" i="43"/>
  <c r="GG156" i="43"/>
  <c r="GH156" i="43"/>
  <c r="GI156" i="43"/>
  <c r="GJ156" i="43"/>
  <c r="GK156" i="43"/>
  <c r="GL156" i="43"/>
  <c r="GM156" i="43"/>
  <c r="GN156" i="43"/>
  <c r="GO156" i="43"/>
  <c r="GP156" i="43"/>
  <c r="GQ156" i="43"/>
  <c r="GR156" i="43"/>
  <c r="GS156" i="43"/>
  <c r="GT156" i="43"/>
  <c r="GU156" i="43"/>
  <c r="GV156" i="43"/>
  <c r="GW156" i="43"/>
  <c r="GX156" i="43"/>
  <c r="GY156" i="43"/>
  <c r="GZ156" i="43"/>
  <c r="HA156" i="43"/>
  <c r="HB156" i="43"/>
  <c r="HC156" i="43"/>
  <c r="HD156" i="43"/>
  <c r="HE156" i="43"/>
  <c r="HF156" i="43"/>
  <c r="HG156" i="43"/>
  <c r="HH156" i="43"/>
  <c r="HI156" i="43"/>
  <c r="HJ156" i="43"/>
  <c r="HK156" i="43"/>
  <c r="HL156" i="43"/>
  <c r="HM156" i="43"/>
  <c r="HN156" i="43"/>
  <c r="HO156" i="43"/>
  <c r="HP156" i="43"/>
  <c r="HQ156" i="43"/>
  <c r="HR156" i="43"/>
  <c r="HS156" i="43"/>
  <c r="HT156" i="43"/>
  <c r="HU156" i="43"/>
  <c r="HV156" i="43"/>
  <c r="HW156" i="43"/>
  <c r="HX156" i="43"/>
  <c r="HY156" i="43"/>
  <c r="HZ156" i="43"/>
  <c r="IA156" i="43"/>
  <c r="IB156" i="43"/>
  <c r="IC156" i="43"/>
  <c r="ID156" i="43"/>
  <c r="IE156" i="43"/>
  <c r="IF156" i="43"/>
  <c r="IG156" i="43"/>
  <c r="IH156" i="43"/>
  <c r="II156" i="43"/>
  <c r="IJ156" i="43"/>
  <c r="IK156" i="43"/>
  <c r="IL156" i="43"/>
  <c r="IM156" i="43"/>
  <c r="IN156" i="43"/>
  <c r="IO156" i="43"/>
  <c r="IP156" i="43"/>
  <c r="IQ156" i="43"/>
  <c r="IR156" i="43"/>
  <c r="IS156" i="43"/>
  <c r="IT156" i="43"/>
  <c r="IU156" i="43"/>
  <c r="IV156" i="43"/>
  <c r="A155" i="43"/>
  <c r="B155" i="43"/>
  <c r="C155" i="43"/>
  <c r="D155" i="43"/>
  <c r="E155" i="43"/>
  <c r="F155" i="43"/>
  <c r="G155" i="43"/>
  <c r="H155" i="43"/>
  <c r="I155" i="43"/>
  <c r="J155" i="43"/>
  <c r="K155" i="43"/>
  <c r="L155" i="43"/>
  <c r="M155" i="43"/>
  <c r="N155" i="43"/>
  <c r="O155" i="43"/>
  <c r="P155" i="43"/>
  <c r="Q155" i="43"/>
  <c r="R155" i="43"/>
  <c r="S155" i="43"/>
  <c r="T155" i="43"/>
  <c r="U155" i="43"/>
  <c r="V155" i="43"/>
  <c r="W155" i="43"/>
  <c r="X155" i="43"/>
  <c r="Y155" i="43"/>
  <c r="Z155" i="43"/>
  <c r="AA155" i="43"/>
  <c r="AB155" i="43"/>
  <c r="AC155" i="43"/>
  <c r="AD155" i="43"/>
  <c r="AE155" i="43"/>
  <c r="AF155" i="43"/>
  <c r="AG155" i="43"/>
  <c r="AH155" i="43"/>
  <c r="AI155" i="43"/>
  <c r="AJ155" i="43"/>
  <c r="AK155" i="43"/>
  <c r="AL155" i="43"/>
  <c r="AM155" i="43"/>
  <c r="AN155" i="43"/>
  <c r="AO155" i="43"/>
  <c r="AP155" i="43"/>
  <c r="AQ155" i="43"/>
  <c r="AR155" i="43"/>
  <c r="AS155" i="43"/>
  <c r="AT155" i="43"/>
  <c r="AU155" i="43"/>
  <c r="AV155" i="43"/>
  <c r="AW155" i="43"/>
  <c r="AX155" i="43"/>
  <c r="AY155" i="43"/>
  <c r="AZ155" i="43"/>
  <c r="BA155" i="43"/>
  <c r="BB155" i="43"/>
  <c r="BC155" i="43"/>
  <c r="BD155" i="43"/>
  <c r="BE155" i="43"/>
  <c r="BF155" i="43"/>
  <c r="BG155" i="43"/>
  <c r="BH155" i="43"/>
  <c r="BI155" i="43"/>
  <c r="BJ155" i="43"/>
  <c r="BK155" i="43"/>
  <c r="BL155" i="43"/>
  <c r="BM155" i="43"/>
  <c r="BN155" i="43"/>
  <c r="BO155" i="43"/>
  <c r="BP155" i="43"/>
  <c r="BQ155" i="43"/>
  <c r="BR155" i="43"/>
  <c r="BS155" i="43"/>
  <c r="BT155" i="43"/>
  <c r="BU155" i="43"/>
  <c r="BV155" i="43"/>
  <c r="BW155" i="43"/>
  <c r="BX155" i="43"/>
  <c r="BY155" i="43"/>
  <c r="BZ155" i="43"/>
  <c r="CA155" i="43"/>
  <c r="CB155" i="43"/>
  <c r="CC155" i="43"/>
  <c r="CD155" i="43"/>
  <c r="CE155" i="43"/>
  <c r="CF155" i="43"/>
  <c r="CG155" i="43"/>
  <c r="CH155" i="43"/>
  <c r="CI155" i="43"/>
  <c r="CJ155" i="43"/>
  <c r="CK155" i="43"/>
  <c r="CL155" i="43"/>
  <c r="CM155" i="43"/>
  <c r="CN155" i="43"/>
  <c r="CO155" i="43"/>
  <c r="CP155" i="43"/>
  <c r="CQ155" i="43"/>
  <c r="CR155" i="43"/>
  <c r="CS155" i="43"/>
  <c r="CT155" i="43"/>
  <c r="CU155" i="43"/>
  <c r="CV155" i="43"/>
  <c r="CW155" i="43"/>
  <c r="CX155" i="43"/>
  <c r="CY155" i="43"/>
  <c r="CZ155" i="43"/>
  <c r="DA155" i="43"/>
  <c r="DB155" i="43"/>
  <c r="DC155" i="43"/>
  <c r="DD155" i="43"/>
  <c r="DE155" i="43"/>
  <c r="DF155" i="43"/>
  <c r="DG155" i="43"/>
  <c r="DH155" i="43"/>
  <c r="DI155" i="43"/>
  <c r="DJ155" i="43"/>
  <c r="DK155" i="43"/>
  <c r="DL155" i="43"/>
  <c r="DM155" i="43"/>
  <c r="DN155" i="43"/>
  <c r="DO155" i="43"/>
  <c r="DP155" i="43"/>
  <c r="DQ155" i="43"/>
  <c r="DR155" i="43"/>
  <c r="DS155" i="43"/>
  <c r="DT155" i="43"/>
  <c r="DU155" i="43"/>
  <c r="DV155" i="43"/>
  <c r="DW155" i="43"/>
  <c r="DX155" i="43"/>
  <c r="DY155" i="43"/>
  <c r="DZ155" i="43"/>
  <c r="EA155" i="43"/>
  <c r="EB155" i="43"/>
  <c r="EC155" i="43"/>
  <c r="ED155" i="43"/>
  <c r="EE155" i="43"/>
  <c r="EF155" i="43"/>
  <c r="EG155" i="43"/>
  <c r="EH155" i="43"/>
  <c r="EI155" i="43"/>
  <c r="EJ155" i="43"/>
  <c r="EK155" i="43"/>
  <c r="EL155" i="43"/>
  <c r="EM155" i="43"/>
  <c r="EN155" i="43"/>
  <c r="EO155" i="43"/>
  <c r="EP155" i="43"/>
  <c r="EQ155" i="43"/>
  <c r="ER155" i="43"/>
  <c r="ES155" i="43"/>
  <c r="ET155" i="43"/>
  <c r="EU155" i="43"/>
  <c r="EV155" i="43"/>
  <c r="EW155" i="43"/>
  <c r="EX155" i="43"/>
  <c r="EY155" i="43"/>
  <c r="EZ155" i="43"/>
  <c r="FA155" i="43"/>
  <c r="FB155" i="43"/>
  <c r="FC155" i="43"/>
  <c r="FD155" i="43"/>
  <c r="FE155" i="43"/>
  <c r="FF155" i="43"/>
  <c r="FG155" i="43"/>
  <c r="FH155" i="43"/>
  <c r="FI155" i="43"/>
  <c r="FJ155" i="43"/>
  <c r="FK155" i="43"/>
  <c r="FL155" i="43"/>
  <c r="FM155" i="43"/>
  <c r="FN155" i="43"/>
  <c r="FO155" i="43"/>
  <c r="FP155" i="43"/>
  <c r="FQ155" i="43"/>
  <c r="FR155" i="43"/>
  <c r="FS155" i="43"/>
  <c r="FT155" i="43"/>
  <c r="FU155" i="43"/>
  <c r="FV155" i="43"/>
  <c r="FW155" i="43"/>
  <c r="FX155" i="43"/>
  <c r="FY155" i="43"/>
  <c r="FZ155" i="43"/>
  <c r="GA155" i="43"/>
  <c r="GB155" i="43"/>
  <c r="GC155" i="43"/>
  <c r="GD155" i="43"/>
  <c r="GE155" i="43"/>
  <c r="GF155" i="43"/>
  <c r="GG155" i="43"/>
  <c r="GH155" i="43"/>
  <c r="GI155" i="43"/>
  <c r="GJ155" i="43"/>
  <c r="GK155" i="43"/>
  <c r="GL155" i="43"/>
  <c r="GM155" i="43"/>
  <c r="GN155" i="43"/>
  <c r="GO155" i="43"/>
  <c r="GP155" i="43"/>
  <c r="GQ155" i="43"/>
  <c r="GR155" i="43"/>
  <c r="GS155" i="43"/>
  <c r="GT155" i="43"/>
  <c r="GU155" i="43"/>
  <c r="GV155" i="43"/>
  <c r="GW155" i="43"/>
  <c r="GX155" i="43"/>
  <c r="GY155" i="43"/>
  <c r="GZ155" i="43"/>
  <c r="HA155" i="43"/>
  <c r="HB155" i="43"/>
  <c r="HC155" i="43"/>
  <c r="HD155" i="43"/>
  <c r="HE155" i="43"/>
  <c r="HF155" i="43"/>
  <c r="HG155" i="43"/>
  <c r="HH155" i="43"/>
  <c r="HI155" i="43"/>
  <c r="HJ155" i="43"/>
  <c r="HK155" i="43"/>
  <c r="HL155" i="43"/>
  <c r="HM155" i="43"/>
  <c r="HN155" i="43"/>
  <c r="HO155" i="43"/>
  <c r="HP155" i="43"/>
  <c r="HQ155" i="43"/>
  <c r="HR155" i="43"/>
  <c r="HS155" i="43"/>
  <c r="HT155" i="43"/>
  <c r="HU155" i="43"/>
  <c r="HV155" i="43"/>
  <c r="HW155" i="43"/>
  <c r="HX155" i="43"/>
  <c r="HY155" i="43"/>
  <c r="HZ155" i="43"/>
  <c r="IA155" i="43"/>
  <c r="IB155" i="43"/>
  <c r="IC155" i="43"/>
  <c r="ID155" i="43"/>
  <c r="IE155" i="43"/>
  <c r="IF155" i="43"/>
  <c r="IG155" i="43"/>
  <c r="IH155" i="43"/>
  <c r="II155" i="43"/>
  <c r="IJ155" i="43"/>
  <c r="IK155" i="43"/>
  <c r="IL155" i="43"/>
  <c r="IM155" i="43"/>
  <c r="IN155" i="43"/>
  <c r="IO155" i="43"/>
  <c r="IP155" i="43"/>
  <c r="IQ155" i="43"/>
  <c r="IR155" i="43"/>
  <c r="IS155" i="43"/>
  <c r="IT155" i="43"/>
  <c r="IU155" i="43"/>
  <c r="IV155" i="43"/>
  <c r="A154" i="43"/>
  <c r="B154" i="43"/>
  <c r="C154" i="43"/>
  <c r="D154" i="43"/>
  <c r="E154" i="43"/>
  <c r="F154" i="43"/>
  <c r="G154" i="43"/>
  <c r="H154" i="43"/>
  <c r="I154" i="43"/>
  <c r="J154" i="43"/>
  <c r="K154" i="43"/>
  <c r="L154" i="43"/>
  <c r="M154" i="43"/>
  <c r="N154" i="43"/>
  <c r="O154" i="43"/>
  <c r="P154" i="43"/>
  <c r="Q154" i="43"/>
  <c r="R154" i="43"/>
  <c r="S154" i="43"/>
  <c r="T154" i="43"/>
  <c r="U154" i="43"/>
  <c r="V154" i="43"/>
  <c r="W154" i="43"/>
  <c r="X154" i="43"/>
  <c r="Y154" i="43"/>
  <c r="Z154" i="43"/>
  <c r="AA154" i="43"/>
  <c r="AB154" i="43"/>
  <c r="AC154" i="43"/>
  <c r="AD154" i="43"/>
  <c r="AE154" i="43"/>
  <c r="AF154" i="43"/>
  <c r="AG154" i="43"/>
  <c r="AH154" i="43"/>
  <c r="AI154" i="43"/>
  <c r="AJ154" i="43"/>
  <c r="AK154" i="43"/>
  <c r="AL154" i="43"/>
  <c r="AM154" i="43"/>
  <c r="AN154" i="43"/>
  <c r="AO154" i="43"/>
  <c r="AP154" i="43"/>
  <c r="AQ154" i="43"/>
  <c r="AR154" i="43"/>
  <c r="AS154" i="43"/>
  <c r="AT154" i="43"/>
  <c r="AU154" i="43"/>
  <c r="AV154" i="43"/>
  <c r="AW154" i="43"/>
  <c r="AX154" i="43"/>
  <c r="AY154" i="43"/>
  <c r="AZ154" i="43"/>
  <c r="BA154" i="43"/>
  <c r="BB154" i="43"/>
  <c r="BC154" i="43"/>
  <c r="BD154" i="43"/>
  <c r="BE154" i="43"/>
  <c r="BF154" i="43"/>
  <c r="BG154" i="43"/>
  <c r="BH154" i="43"/>
  <c r="BI154" i="43"/>
  <c r="BJ154" i="43"/>
  <c r="BK154" i="43"/>
  <c r="BL154" i="43"/>
  <c r="BM154" i="43"/>
  <c r="BN154" i="43"/>
  <c r="BO154" i="43"/>
  <c r="BP154" i="43"/>
  <c r="BQ154" i="43"/>
  <c r="BR154" i="43"/>
  <c r="BS154" i="43"/>
  <c r="BT154" i="43"/>
  <c r="BU154" i="43"/>
  <c r="BV154" i="43"/>
  <c r="BW154" i="43"/>
  <c r="BX154" i="43"/>
  <c r="BY154" i="43"/>
  <c r="BZ154" i="43"/>
  <c r="CA154" i="43"/>
  <c r="CB154" i="43"/>
  <c r="CC154" i="43"/>
  <c r="CD154" i="43"/>
  <c r="CE154" i="43"/>
  <c r="CF154" i="43"/>
  <c r="CG154" i="43"/>
  <c r="CH154" i="43"/>
  <c r="CI154" i="43"/>
  <c r="CJ154" i="43"/>
  <c r="CK154" i="43"/>
  <c r="CL154" i="43"/>
  <c r="CM154" i="43"/>
  <c r="CN154" i="43"/>
  <c r="CO154" i="43"/>
  <c r="CP154" i="43"/>
  <c r="CQ154" i="43"/>
  <c r="CR154" i="43"/>
  <c r="CS154" i="43"/>
  <c r="CT154" i="43"/>
  <c r="CU154" i="43"/>
  <c r="CV154" i="43"/>
  <c r="CW154" i="43"/>
  <c r="CX154" i="43"/>
  <c r="CY154" i="43"/>
  <c r="CZ154" i="43"/>
  <c r="DA154" i="43"/>
  <c r="DB154" i="43"/>
  <c r="DC154" i="43"/>
  <c r="DD154" i="43"/>
  <c r="DE154" i="43"/>
  <c r="DF154" i="43"/>
  <c r="DG154" i="43"/>
  <c r="DH154" i="43"/>
  <c r="DI154" i="43"/>
  <c r="DJ154" i="43"/>
  <c r="DK154" i="43"/>
  <c r="DL154" i="43"/>
  <c r="DM154" i="43"/>
  <c r="DN154" i="43"/>
  <c r="DO154" i="43"/>
  <c r="DP154" i="43"/>
  <c r="DQ154" i="43"/>
  <c r="DR154" i="43"/>
  <c r="DS154" i="43"/>
  <c r="DT154" i="43"/>
  <c r="DU154" i="43"/>
  <c r="DV154" i="43"/>
  <c r="DW154" i="43"/>
  <c r="DX154" i="43"/>
  <c r="DY154" i="43"/>
  <c r="DZ154" i="43"/>
  <c r="EA154" i="43"/>
  <c r="EB154" i="43"/>
  <c r="EC154" i="43"/>
  <c r="ED154" i="43"/>
  <c r="EE154" i="43"/>
  <c r="EF154" i="43"/>
  <c r="EG154" i="43"/>
  <c r="EH154" i="43"/>
  <c r="EI154" i="43"/>
  <c r="EJ154" i="43"/>
  <c r="EK154" i="43"/>
  <c r="EL154" i="43"/>
  <c r="EM154" i="43"/>
  <c r="EN154" i="43"/>
  <c r="EO154" i="43"/>
  <c r="EP154" i="43"/>
  <c r="EQ154" i="43"/>
  <c r="ER154" i="43"/>
  <c r="ES154" i="43"/>
  <c r="ET154" i="43"/>
  <c r="EU154" i="43"/>
  <c r="EV154" i="43"/>
  <c r="EW154" i="43"/>
  <c r="EX154" i="43"/>
  <c r="EY154" i="43"/>
  <c r="EZ154" i="43"/>
  <c r="FA154" i="43"/>
  <c r="FB154" i="43"/>
  <c r="FC154" i="43"/>
  <c r="FD154" i="43"/>
  <c r="FE154" i="43"/>
  <c r="FF154" i="43"/>
  <c r="FG154" i="43"/>
  <c r="FH154" i="43"/>
  <c r="FI154" i="43"/>
  <c r="FJ154" i="43"/>
  <c r="FK154" i="43"/>
  <c r="FL154" i="43"/>
  <c r="FM154" i="43"/>
  <c r="FN154" i="43"/>
  <c r="FO154" i="43"/>
  <c r="FP154" i="43"/>
  <c r="FQ154" i="43"/>
  <c r="FR154" i="43"/>
  <c r="FS154" i="43"/>
  <c r="FT154" i="43"/>
  <c r="FU154" i="43"/>
  <c r="FV154" i="43"/>
  <c r="FW154" i="43"/>
  <c r="FX154" i="43"/>
  <c r="FY154" i="43"/>
  <c r="FZ154" i="43"/>
  <c r="GA154" i="43"/>
  <c r="GB154" i="43"/>
  <c r="GC154" i="43"/>
  <c r="GD154" i="43"/>
  <c r="GE154" i="43"/>
  <c r="GF154" i="43"/>
  <c r="GG154" i="43"/>
  <c r="GH154" i="43"/>
  <c r="GI154" i="43"/>
  <c r="GJ154" i="43"/>
  <c r="GK154" i="43"/>
  <c r="GL154" i="43"/>
  <c r="GM154" i="43"/>
  <c r="GN154" i="43"/>
  <c r="GO154" i="43"/>
  <c r="GP154" i="43"/>
  <c r="GQ154" i="43"/>
  <c r="GR154" i="43"/>
  <c r="GS154" i="43"/>
  <c r="GT154" i="43"/>
  <c r="GU154" i="43"/>
  <c r="GV154" i="43"/>
  <c r="GW154" i="43"/>
  <c r="GX154" i="43"/>
  <c r="GY154" i="43"/>
  <c r="GZ154" i="43"/>
  <c r="HA154" i="43"/>
  <c r="HB154" i="43"/>
  <c r="HC154" i="43"/>
  <c r="HD154" i="43"/>
  <c r="HE154" i="43"/>
  <c r="HF154" i="43"/>
  <c r="HG154" i="43"/>
  <c r="HH154" i="43"/>
  <c r="HI154" i="43"/>
  <c r="HJ154" i="43"/>
  <c r="HK154" i="43"/>
  <c r="HL154" i="43"/>
  <c r="HM154" i="43"/>
  <c r="HN154" i="43"/>
  <c r="HO154" i="43"/>
  <c r="HP154" i="43"/>
  <c r="HQ154" i="43"/>
  <c r="HR154" i="43"/>
  <c r="HS154" i="43"/>
  <c r="HT154" i="43"/>
  <c r="HU154" i="43"/>
  <c r="HV154" i="43"/>
  <c r="HW154" i="43"/>
  <c r="HX154" i="43"/>
  <c r="HY154" i="43"/>
  <c r="HZ154" i="43"/>
  <c r="IA154" i="43"/>
  <c r="IB154" i="43"/>
  <c r="IC154" i="43"/>
  <c r="ID154" i="43"/>
  <c r="IE154" i="43"/>
  <c r="IF154" i="43"/>
  <c r="IG154" i="43"/>
  <c r="IH154" i="43"/>
  <c r="II154" i="43"/>
  <c r="IJ154" i="43"/>
  <c r="IK154" i="43"/>
  <c r="IL154" i="43"/>
  <c r="IM154" i="43"/>
  <c r="IN154" i="43"/>
  <c r="IO154" i="43"/>
  <c r="IP154" i="43"/>
  <c r="IQ154" i="43"/>
  <c r="IR154" i="43"/>
  <c r="IS154" i="43"/>
  <c r="IT154" i="43"/>
  <c r="IU154" i="43"/>
  <c r="IV154" i="43"/>
  <c r="A153" i="43"/>
  <c r="B153" i="43"/>
  <c r="C153" i="43"/>
  <c r="D153" i="43"/>
  <c r="E153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BD153" i="43"/>
  <c r="BE153" i="43"/>
  <c r="BF153" i="43"/>
  <c r="BG153" i="43"/>
  <c r="BH153" i="43"/>
  <c r="BI153" i="43"/>
  <c r="BJ153" i="43"/>
  <c r="BK153" i="43"/>
  <c r="BL153" i="43"/>
  <c r="BM153" i="43"/>
  <c r="BN153" i="43"/>
  <c r="BO153" i="43"/>
  <c r="BP153" i="43"/>
  <c r="BQ153" i="43"/>
  <c r="BR153" i="43"/>
  <c r="BS153" i="43"/>
  <c r="BT153" i="43"/>
  <c r="BU153" i="43"/>
  <c r="BV153" i="43"/>
  <c r="BW153" i="43"/>
  <c r="BX153" i="43"/>
  <c r="BY153" i="43"/>
  <c r="BZ153" i="43"/>
  <c r="CA153" i="43"/>
  <c r="CB153" i="43"/>
  <c r="CC153" i="43"/>
  <c r="CD153" i="43"/>
  <c r="CE153" i="43"/>
  <c r="CF153" i="43"/>
  <c r="CG153" i="43"/>
  <c r="CH153" i="43"/>
  <c r="CI153" i="43"/>
  <c r="CJ153" i="43"/>
  <c r="CK153" i="43"/>
  <c r="CL153" i="43"/>
  <c r="CM153" i="43"/>
  <c r="CN153" i="43"/>
  <c r="CO153" i="43"/>
  <c r="CP153" i="43"/>
  <c r="CQ153" i="43"/>
  <c r="CR153" i="43"/>
  <c r="CS153" i="43"/>
  <c r="CT153" i="43"/>
  <c r="CU153" i="43"/>
  <c r="CV153" i="43"/>
  <c r="CW153" i="43"/>
  <c r="CX153" i="43"/>
  <c r="CY153" i="43"/>
  <c r="CZ153" i="43"/>
  <c r="DA153" i="43"/>
  <c r="DB153" i="43"/>
  <c r="DC153" i="43"/>
  <c r="DD153" i="43"/>
  <c r="DE153" i="43"/>
  <c r="DF153" i="43"/>
  <c r="DG153" i="43"/>
  <c r="DH153" i="43"/>
  <c r="DI153" i="43"/>
  <c r="DJ153" i="43"/>
  <c r="DK153" i="43"/>
  <c r="DL153" i="43"/>
  <c r="DM153" i="43"/>
  <c r="DN153" i="43"/>
  <c r="DO153" i="43"/>
  <c r="DP153" i="43"/>
  <c r="DQ153" i="43"/>
  <c r="DR153" i="43"/>
  <c r="DS153" i="43"/>
  <c r="DT153" i="43"/>
  <c r="DU153" i="43"/>
  <c r="DV153" i="43"/>
  <c r="DW153" i="43"/>
  <c r="DX153" i="43"/>
  <c r="DY153" i="43"/>
  <c r="DZ153" i="43"/>
  <c r="EA153" i="43"/>
  <c r="EB153" i="43"/>
  <c r="EC153" i="43"/>
  <c r="ED153" i="43"/>
  <c r="EE153" i="43"/>
  <c r="EF153" i="43"/>
  <c r="EG153" i="43"/>
  <c r="EH153" i="43"/>
  <c r="EI153" i="43"/>
  <c r="EJ153" i="43"/>
  <c r="EK153" i="43"/>
  <c r="EL153" i="43"/>
  <c r="EM153" i="43"/>
  <c r="EN153" i="43"/>
  <c r="EO153" i="43"/>
  <c r="EP153" i="43"/>
  <c r="EQ153" i="43"/>
  <c r="ER153" i="43"/>
  <c r="ES153" i="43"/>
  <c r="ET153" i="43"/>
  <c r="EU153" i="43"/>
  <c r="EV153" i="43"/>
  <c r="EW153" i="43"/>
  <c r="EX153" i="43"/>
  <c r="EY153" i="43"/>
  <c r="EZ153" i="43"/>
  <c r="FA153" i="43"/>
  <c r="FB153" i="43"/>
  <c r="FC153" i="43"/>
  <c r="FD153" i="43"/>
  <c r="FE153" i="43"/>
  <c r="FF153" i="43"/>
  <c r="FG153" i="43"/>
  <c r="FH153" i="43"/>
  <c r="FI153" i="43"/>
  <c r="FJ153" i="43"/>
  <c r="FK153" i="43"/>
  <c r="FL153" i="43"/>
  <c r="FM153" i="43"/>
  <c r="FN153" i="43"/>
  <c r="FO153" i="43"/>
  <c r="FP153" i="43"/>
  <c r="FQ153" i="43"/>
  <c r="FR153" i="43"/>
  <c r="FS153" i="43"/>
  <c r="FT153" i="43"/>
  <c r="FU153" i="43"/>
  <c r="FV153" i="43"/>
  <c r="FW153" i="43"/>
  <c r="FX153" i="43"/>
  <c r="FY153" i="43"/>
  <c r="FZ153" i="43"/>
  <c r="GA153" i="43"/>
  <c r="GB153" i="43"/>
  <c r="GC153" i="43"/>
  <c r="GD153" i="43"/>
  <c r="GE153" i="43"/>
  <c r="GF153" i="43"/>
  <c r="GG153" i="43"/>
  <c r="GH153" i="43"/>
  <c r="GI153" i="43"/>
  <c r="GJ153" i="43"/>
  <c r="GK153" i="43"/>
  <c r="GL153" i="43"/>
  <c r="GM153" i="43"/>
  <c r="GN153" i="43"/>
  <c r="GO153" i="43"/>
  <c r="GP153" i="43"/>
  <c r="GQ153" i="43"/>
  <c r="GR153" i="43"/>
  <c r="GS153" i="43"/>
  <c r="GT153" i="43"/>
  <c r="GU153" i="43"/>
  <c r="GV153" i="43"/>
  <c r="GW153" i="43"/>
  <c r="GX153" i="43"/>
  <c r="GY153" i="43"/>
  <c r="GZ153" i="43"/>
  <c r="HA153" i="43"/>
  <c r="HB153" i="43"/>
  <c r="HC153" i="43"/>
  <c r="HD153" i="43"/>
  <c r="HE153" i="43"/>
  <c r="HF153" i="43"/>
  <c r="HG153" i="43"/>
  <c r="HH153" i="43"/>
  <c r="HI153" i="43"/>
  <c r="HJ153" i="43"/>
  <c r="HK153" i="43"/>
  <c r="HL153" i="43"/>
  <c r="HM153" i="43"/>
  <c r="HN153" i="43"/>
  <c r="HO153" i="43"/>
  <c r="HP153" i="43"/>
  <c r="HQ153" i="43"/>
  <c r="HR153" i="43"/>
  <c r="HS153" i="43"/>
  <c r="HT153" i="43"/>
  <c r="HU153" i="43"/>
  <c r="HV153" i="43"/>
  <c r="HW153" i="43"/>
  <c r="HX153" i="43"/>
  <c r="HY153" i="43"/>
  <c r="HZ153" i="43"/>
  <c r="IA153" i="43"/>
  <c r="IB153" i="43"/>
  <c r="IC153" i="43"/>
  <c r="ID153" i="43"/>
  <c r="IE153" i="43"/>
  <c r="IF153" i="43"/>
  <c r="IG153" i="43"/>
  <c r="IH153" i="43"/>
  <c r="II153" i="43"/>
  <c r="IJ153" i="43"/>
  <c r="IK153" i="43"/>
  <c r="IL153" i="43"/>
  <c r="IM153" i="43"/>
  <c r="IN153" i="43"/>
  <c r="IO153" i="43"/>
  <c r="IP153" i="43"/>
  <c r="IQ153" i="43"/>
  <c r="IR153" i="43"/>
  <c r="IS153" i="43"/>
  <c r="IT153" i="43"/>
  <c r="IU153" i="43"/>
  <c r="IV153" i="43"/>
  <c r="A152" i="43"/>
  <c r="B152" i="43"/>
  <c r="C152" i="43"/>
  <c r="D152" i="43"/>
  <c r="E152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BD152" i="43"/>
  <c r="BE152" i="43"/>
  <c r="BF152" i="43"/>
  <c r="BG152" i="43"/>
  <c r="BH152" i="43"/>
  <c r="BI152" i="43"/>
  <c r="BJ152" i="43"/>
  <c r="BK152" i="43"/>
  <c r="BL152" i="43"/>
  <c r="BM152" i="43"/>
  <c r="BN152" i="43"/>
  <c r="BO152" i="43"/>
  <c r="BP152" i="43"/>
  <c r="BQ152" i="43"/>
  <c r="BR152" i="43"/>
  <c r="BS152" i="43"/>
  <c r="BT152" i="43"/>
  <c r="BU152" i="43"/>
  <c r="BV152" i="43"/>
  <c r="BW152" i="43"/>
  <c r="BX152" i="43"/>
  <c r="BY152" i="43"/>
  <c r="BZ152" i="43"/>
  <c r="CA152" i="43"/>
  <c r="CB152" i="43"/>
  <c r="CC152" i="43"/>
  <c r="CD152" i="43"/>
  <c r="CE152" i="43"/>
  <c r="CF152" i="43"/>
  <c r="CG152" i="43"/>
  <c r="CH152" i="43"/>
  <c r="CI152" i="43"/>
  <c r="CJ152" i="43"/>
  <c r="CK152" i="43"/>
  <c r="CL152" i="43"/>
  <c r="CM152" i="43"/>
  <c r="CN152" i="43"/>
  <c r="CO152" i="43"/>
  <c r="CP152" i="43"/>
  <c r="CQ152" i="43"/>
  <c r="CR152" i="43"/>
  <c r="CS152" i="43"/>
  <c r="CT152" i="43"/>
  <c r="CU152" i="43"/>
  <c r="CV152" i="43"/>
  <c r="CW152" i="43"/>
  <c r="CX152" i="43"/>
  <c r="CY152" i="43"/>
  <c r="CZ152" i="43"/>
  <c r="DA152" i="43"/>
  <c r="DB152" i="43"/>
  <c r="DC152" i="43"/>
  <c r="DD152" i="43"/>
  <c r="DE152" i="43"/>
  <c r="DF152" i="43"/>
  <c r="DG152" i="43"/>
  <c r="DH152" i="43"/>
  <c r="DI152" i="43"/>
  <c r="DJ152" i="43"/>
  <c r="DK152" i="43"/>
  <c r="DL152" i="43"/>
  <c r="DM152" i="43"/>
  <c r="DN152" i="43"/>
  <c r="DO152" i="43"/>
  <c r="DP152" i="43"/>
  <c r="DQ152" i="43"/>
  <c r="DR152" i="43"/>
  <c r="DS152" i="43"/>
  <c r="DT152" i="43"/>
  <c r="DU152" i="43"/>
  <c r="DV152" i="43"/>
  <c r="DW152" i="43"/>
  <c r="DX152" i="43"/>
  <c r="DY152" i="43"/>
  <c r="DZ152" i="43"/>
  <c r="EA152" i="43"/>
  <c r="EB152" i="43"/>
  <c r="EC152" i="43"/>
  <c r="ED152" i="43"/>
  <c r="EE152" i="43"/>
  <c r="EF152" i="43"/>
  <c r="EG152" i="43"/>
  <c r="EH152" i="43"/>
  <c r="EI152" i="43"/>
  <c r="EJ152" i="43"/>
  <c r="EK152" i="43"/>
  <c r="EL152" i="43"/>
  <c r="EM152" i="43"/>
  <c r="EN152" i="43"/>
  <c r="EO152" i="43"/>
  <c r="EP152" i="43"/>
  <c r="EQ152" i="43"/>
  <c r="ER152" i="43"/>
  <c r="ES152" i="43"/>
  <c r="ET152" i="43"/>
  <c r="EU152" i="43"/>
  <c r="EV152" i="43"/>
  <c r="EW152" i="43"/>
  <c r="EX152" i="43"/>
  <c r="EY152" i="43"/>
  <c r="EZ152" i="43"/>
  <c r="FA152" i="43"/>
  <c r="FB152" i="43"/>
  <c r="FC152" i="43"/>
  <c r="FD152" i="43"/>
  <c r="FE152" i="43"/>
  <c r="FF152" i="43"/>
  <c r="FG152" i="43"/>
  <c r="FH152" i="43"/>
  <c r="FI152" i="43"/>
  <c r="FJ152" i="43"/>
  <c r="FK152" i="43"/>
  <c r="FL152" i="43"/>
  <c r="FM152" i="43"/>
  <c r="FN152" i="43"/>
  <c r="FO152" i="43"/>
  <c r="FP152" i="43"/>
  <c r="FQ152" i="43"/>
  <c r="FR152" i="43"/>
  <c r="FS152" i="43"/>
  <c r="FT152" i="43"/>
  <c r="FU152" i="43"/>
  <c r="FV152" i="43"/>
  <c r="FW152" i="43"/>
  <c r="FX152" i="43"/>
  <c r="FY152" i="43"/>
  <c r="FZ152" i="43"/>
  <c r="GA152" i="43"/>
  <c r="GB152" i="43"/>
  <c r="GC152" i="43"/>
  <c r="GD152" i="43"/>
  <c r="GE152" i="43"/>
  <c r="GF152" i="43"/>
  <c r="GG152" i="43"/>
  <c r="GH152" i="43"/>
  <c r="GI152" i="43"/>
  <c r="GJ152" i="43"/>
  <c r="GK152" i="43"/>
  <c r="GL152" i="43"/>
  <c r="GM152" i="43"/>
  <c r="GN152" i="43"/>
  <c r="GO152" i="43"/>
  <c r="GP152" i="43"/>
  <c r="GQ152" i="43"/>
  <c r="GR152" i="43"/>
  <c r="GS152" i="43"/>
  <c r="GT152" i="43"/>
  <c r="GU152" i="43"/>
  <c r="GV152" i="43"/>
  <c r="GW152" i="43"/>
  <c r="GX152" i="43"/>
  <c r="GY152" i="43"/>
  <c r="GZ152" i="43"/>
  <c r="HA152" i="43"/>
  <c r="HB152" i="43"/>
  <c r="HC152" i="43"/>
  <c r="HD152" i="43"/>
  <c r="HE152" i="43"/>
  <c r="HF152" i="43"/>
  <c r="HG152" i="43"/>
  <c r="HH152" i="43"/>
  <c r="HI152" i="43"/>
  <c r="HJ152" i="43"/>
  <c r="HK152" i="43"/>
  <c r="HL152" i="43"/>
  <c r="HM152" i="43"/>
  <c r="HN152" i="43"/>
  <c r="HO152" i="43"/>
  <c r="HP152" i="43"/>
  <c r="HQ152" i="43"/>
  <c r="HR152" i="43"/>
  <c r="HS152" i="43"/>
  <c r="HT152" i="43"/>
  <c r="HU152" i="43"/>
  <c r="HV152" i="43"/>
  <c r="HW152" i="43"/>
  <c r="HX152" i="43"/>
  <c r="HY152" i="43"/>
  <c r="HZ152" i="43"/>
  <c r="IA152" i="43"/>
  <c r="IB152" i="43"/>
  <c r="IC152" i="43"/>
  <c r="ID152" i="43"/>
  <c r="IE152" i="43"/>
  <c r="IF152" i="43"/>
  <c r="IG152" i="43"/>
  <c r="IH152" i="43"/>
  <c r="II152" i="43"/>
  <c r="IJ152" i="43"/>
  <c r="IK152" i="43"/>
  <c r="IL152" i="43"/>
  <c r="IM152" i="43"/>
  <c r="IN152" i="43"/>
  <c r="IO152" i="43"/>
  <c r="IP152" i="43"/>
  <c r="IQ152" i="43"/>
  <c r="IR152" i="43"/>
  <c r="IS152" i="43"/>
  <c r="IT152" i="43"/>
  <c r="IU152" i="43"/>
  <c r="IV152" i="43"/>
  <c r="A151" i="43"/>
  <c r="B151" i="43"/>
  <c r="C151" i="43"/>
  <c r="D151" i="43"/>
  <c r="E151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BD151" i="43"/>
  <c r="BE151" i="43"/>
  <c r="BF151" i="43"/>
  <c r="BG151" i="43"/>
  <c r="BH151" i="43"/>
  <c r="BI151" i="43"/>
  <c r="BJ151" i="43"/>
  <c r="BK151" i="43"/>
  <c r="BL151" i="43"/>
  <c r="BM151" i="43"/>
  <c r="BN151" i="43"/>
  <c r="BO151" i="43"/>
  <c r="BP151" i="43"/>
  <c r="BQ151" i="43"/>
  <c r="BR151" i="43"/>
  <c r="BS151" i="43"/>
  <c r="BT151" i="43"/>
  <c r="BU151" i="43"/>
  <c r="BV151" i="43"/>
  <c r="BW151" i="43"/>
  <c r="BX151" i="43"/>
  <c r="BY151" i="43"/>
  <c r="BZ151" i="43"/>
  <c r="CA151" i="43"/>
  <c r="CB151" i="43"/>
  <c r="CC151" i="43"/>
  <c r="CD151" i="43"/>
  <c r="CE151" i="43"/>
  <c r="CF151" i="43"/>
  <c r="CG151" i="43"/>
  <c r="CH151" i="43"/>
  <c r="CI151" i="43"/>
  <c r="CJ151" i="43"/>
  <c r="CK151" i="43"/>
  <c r="CL151" i="43"/>
  <c r="CM151" i="43"/>
  <c r="CN151" i="43"/>
  <c r="CO151" i="43"/>
  <c r="CP151" i="43"/>
  <c r="CQ151" i="43"/>
  <c r="CR151" i="43"/>
  <c r="CS151" i="43"/>
  <c r="CT151" i="43"/>
  <c r="CU151" i="43"/>
  <c r="CV151" i="43"/>
  <c r="CW151" i="43"/>
  <c r="CX151" i="43"/>
  <c r="CY151" i="43"/>
  <c r="CZ151" i="43"/>
  <c r="DA151" i="43"/>
  <c r="DB151" i="43"/>
  <c r="DC151" i="43"/>
  <c r="DD151" i="43"/>
  <c r="DE151" i="43"/>
  <c r="DF151" i="43"/>
  <c r="DG151" i="43"/>
  <c r="DH151" i="43"/>
  <c r="DI151" i="43"/>
  <c r="DJ151" i="43"/>
  <c r="DK151" i="43"/>
  <c r="DL151" i="43"/>
  <c r="DM151" i="43"/>
  <c r="DN151" i="43"/>
  <c r="DO151" i="43"/>
  <c r="DP151" i="43"/>
  <c r="DQ151" i="43"/>
  <c r="DR151" i="43"/>
  <c r="DS151" i="43"/>
  <c r="DT151" i="43"/>
  <c r="DU151" i="43"/>
  <c r="DV151" i="43"/>
  <c r="DW151" i="43"/>
  <c r="DX151" i="43"/>
  <c r="DY151" i="43"/>
  <c r="DZ151" i="43"/>
  <c r="EA151" i="43"/>
  <c r="EB151" i="43"/>
  <c r="EC151" i="43"/>
  <c r="ED151" i="43"/>
  <c r="EE151" i="43"/>
  <c r="EF151" i="43"/>
  <c r="EG151" i="43"/>
  <c r="EH151" i="43"/>
  <c r="EI151" i="43"/>
  <c r="EJ151" i="43"/>
  <c r="EK151" i="43"/>
  <c r="EL151" i="43"/>
  <c r="EM151" i="43"/>
  <c r="EN151" i="43"/>
  <c r="EO151" i="43"/>
  <c r="EP151" i="43"/>
  <c r="EQ151" i="43"/>
  <c r="ER151" i="43"/>
  <c r="ES151" i="43"/>
  <c r="ET151" i="43"/>
  <c r="EU151" i="43"/>
  <c r="EV151" i="43"/>
  <c r="EW151" i="43"/>
  <c r="EX151" i="43"/>
  <c r="EY151" i="43"/>
  <c r="EZ151" i="43"/>
  <c r="FA151" i="43"/>
  <c r="FB151" i="43"/>
  <c r="FC151" i="43"/>
  <c r="FD151" i="43"/>
  <c r="FE151" i="43"/>
  <c r="FF151" i="43"/>
  <c r="FG151" i="43"/>
  <c r="FH151" i="43"/>
  <c r="FI151" i="43"/>
  <c r="FJ151" i="43"/>
  <c r="FK151" i="43"/>
  <c r="FL151" i="43"/>
  <c r="FM151" i="43"/>
  <c r="FN151" i="43"/>
  <c r="FO151" i="43"/>
  <c r="FP151" i="43"/>
  <c r="FQ151" i="43"/>
  <c r="FR151" i="43"/>
  <c r="FS151" i="43"/>
  <c r="FT151" i="43"/>
  <c r="FU151" i="43"/>
  <c r="FV151" i="43"/>
  <c r="FW151" i="43"/>
  <c r="FX151" i="43"/>
  <c r="FY151" i="43"/>
  <c r="FZ151" i="43"/>
  <c r="GA151" i="43"/>
  <c r="GB151" i="43"/>
  <c r="GC151" i="43"/>
  <c r="GD151" i="43"/>
  <c r="GE151" i="43"/>
  <c r="GF151" i="43"/>
  <c r="GG151" i="43"/>
  <c r="GH151" i="43"/>
  <c r="GI151" i="43"/>
  <c r="GJ151" i="43"/>
  <c r="GK151" i="43"/>
  <c r="GL151" i="43"/>
  <c r="GM151" i="43"/>
  <c r="GN151" i="43"/>
  <c r="GO151" i="43"/>
  <c r="GP151" i="43"/>
  <c r="GQ151" i="43"/>
  <c r="GR151" i="43"/>
  <c r="GS151" i="43"/>
  <c r="GT151" i="43"/>
  <c r="GU151" i="43"/>
  <c r="GV151" i="43"/>
  <c r="GW151" i="43"/>
  <c r="GX151" i="43"/>
  <c r="GY151" i="43"/>
  <c r="GZ151" i="43"/>
  <c r="HA151" i="43"/>
  <c r="HB151" i="43"/>
  <c r="HC151" i="43"/>
  <c r="HD151" i="43"/>
  <c r="HE151" i="43"/>
  <c r="HF151" i="43"/>
  <c r="HG151" i="43"/>
  <c r="HH151" i="43"/>
  <c r="HI151" i="43"/>
  <c r="HJ151" i="43"/>
  <c r="HK151" i="43"/>
  <c r="HL151" i="43"/>
  <c r="HM151" i="43"/>
  <c r="HN151" i="43"/>
  <c r="HO151" i="43"/>
  <c r="HP151" i="43"/>
  <c r="HQ151" i="43"/>
  <c r="HR151" i="43"/>
  <c r="HS151" i="43"/>
  <c r="HT151" i="43"/>
  <c r="HU151" i="43"/>
  <c r="HV151" i="43"/>
  <c r="HW151" i="43"/>
  <c r="HX151" i="43"/>
  <c r="HY151" i="43"/>
  <c r="HZ151" i="43"/>
  <c r="IA151" i="43"/>
  <c r="IB151" i="43"/>
  <c r="IC151" i="43"/>
  <c r="ID151" i="43"/>
  <c r="IE151" i="43"/>
  <c r="IF151" i="43"/>
  <c r="IG151" i="43"/>
  <c r="IH151" i="43"/>
  <c r="II151" i="43"/>
  <c r="IJ151" i="43"/>
  <c r="IK151" i="43"/>
  <c r="IL151" i="43"/>
  <c r="IM151" i="43"/>
  <c r="IN151" i="43"/>
  <c r="IO151" i="43"/>
  <c r="IP151" i="43"/>
  <c r="IQ151" i="43"/>
  <c r="IR151" i="43"/>
  <c r="IS151" i="43"/>
  <c r="IT151" i="43"/>
  <c r="IU151" i="43"/>
  <c r="IV151" i="43"/>
  <c r="A150" i="43"/>
  <c r="B150" i="43"/>
  <c r="C150" i="43"/>
  <c r="D150" i="43"/>
  <c r="E150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BD150" i="43"/>
  <c r="BE150" i="43"/>
  <c r="BF150" i="43"/>
  <c r="BG150" i="43"/>
  <c r="BH150" i="43"/>
  <c r="BI150" i="43"/>
  <c r="BJ150" i="43"/>
  <c r="BK150" i="43"/>
  <c r="BL150" i="43"/>
  <c r="BM150" i="43"/>
  <c r="BN150" i="43"/>
  <c r="BO150" i="43"/>
  <c r="BP150" i="43"/>
  <c r="BQ150" i="43"/>
  <c r="BR150" i="43"/>
  <c r="BS150" i="43"/>
  <c r="BT150" i="43"/>
  <c r="BU150" i="43"/>
  <c r="BV150" i="43"/>
  <c r="BW150" i="43"/>
  <c r="BX150" i="43"/>
  <c r="BY150" i="43"/>
  <c r="BZ150" i="43"/>
  <c r="CA150" i="43"/>
  <c r="CB150" i="43"/>
  <c r="CC150" i="43"/>
  <c r="CD150" i="43"/>
  <c r="CE150" i="43"/>
  <c r="CF150" i="43"/>
  <c r="CG150" i="43"/>
  <c r="CH150" i="43"/>
  <c r="CI150" i="43"/>
  <c r="CJ150" i="43"/>
  <c r="CK150" i="43"/>
  <c r="CL150" i="43"/>
  <c r="CM150" i="43"/>
  <c r="CN150" i="43"/>
  <c r="CO150" i="43"/>
  <c r="CP150" i="43"/>
  <c r="CQ150" i="43"/>
  <c r="CR150" i="43"/>
  <c r="CS150" i="43"/>
  <c r="CT150" i="43"/>
  <c r="CU150" i="43"/>
  <c r="CV150" i="43"/>
  <c r="CW150" i="43"/>
  <c r="CX150" i="43"/>
  <c r="CY150" i="43"/>
  <c r="CZ150" i="43"/>
  <c r="DA150" i="43"/>
  <c r="DB150" i="43"/>
  <c r="DC150" i="43"/>
  <c r="DD150" i="43"/>
  <c r="DE150" i="43"/>
  <c r="DF150" i="43"/>
  <c r="DG150" i="43"/>
  <c r="DH150" i="43"/>
  <c r="DI150" i="43"/>
  <c r="DJ150" i="43"/>
  <c r="DK150" i="43"/>
  <c r="DL150" i="43"/>
  <c r="DM150" i="43"/>
  <c r="DN150" i="43"/>
  <c r="DO150" i="43"/>
  <c r="DP150" i="43"/>
  <c r="DQ150" i="43"/>
  <c r="DR150" i="43"/>
  <c r="DS150" i="43"/>
  <c r="DT150" i="43"/>
  <c r="DU150" i="43"/>
  <c r="DV150" i="43"/>
  <c r="DW150" i="43"/>
  <c r="DX150" i="43"/>
  <c r="DY150" i="43"/>
  <c r="DZ150" i="43"/>
  <c r="EA150" i="43"/>
  <c r="EB150" i="43"/>
  <c r="EC150" i="43"/>
  <c r="ED150" i="43"/>
  <c r="EE150" i="43"/>
  <c r="EF150" i="43"/>
  <c r="EG150" i="43"/>
  <c r="EH150" i="43"/>
  <c r="EI150" i="43"/>
  <c r="EJ150" i="43"/>
  <c r="EK150" i="43"/>
  <c r="EL150" i="43"/>
  <c r="EM150" i="43"/>
  <c r="EN150" i="43"/>
  <c r="EO150" i="43"/>
  <c r="EP150" i="43"/>
  <c r="EQ150" i="43"/>
  <c r="ER150" i="43"/>
  <c r="ES150" i="43"/>
  <c r="ET150" i="43"/>
  <c r="EU150" i="43"/>
  <c r="EV150" i="43"/>
  <c r="EW150" i="43"/>
  <c r="EX150" i="43"/>
  <c r="EY150" i="43"/>
  <c r="EZ150" i="43"/>
  <c r="FA150" i="43"/>
  <c r="FB150" i="43"/>
  <c r="FC150" i="43"/>
  <c r="FD150" i="43"/>
  <c r="FE150" i="43"/>
  <c r="FF150" i="43"/>
  <c r="FG150" i="43"/>
  <c r="FH150" i="43"/>
  <c r="FI150" i="43"/>
  <c r="FJ150" i="43"/>
  <c r="FK150" i="43"/>
  <c r="FL150" i="43"/>
  <c r="FM150" i="43"/>
  <c r="FN150" i="43"/>
  <c r="FO150" i="43"/>
  <c r="FP150" i="43"/>
  <c r="FQ150" i="43"/>
  <c r="FR150" i="43"/>
  <c r="FS150" i="43"/>
  <c r="FT150" i="43"/>
  <c r="FU150" i="43"/>
  <c r="FV150" i="43"/>
  <c r="FW150" i="43"/>
  <c r="FX150" i="43"/>
  <c r="FY150" i="43"/>
  <c r="FZ150" i="43"/>
  <c r="GA150" i="43"/>
  <c r="GB150" i="43"/>
  <c r="GC150" i="43"/>
  <c r="GD150" i="43"/>
  <c r="GE150" i="43"/>
  <c r="GF150" i="43"/>
  <c r="GG150" i="43"/>
  <c r="GH150" i="43"/>
  <c r="GI150" i="43"/>
  <c r="GJ150" i="43"/>
  <c r="GK150" i="43"/>
  <c r="GL150" i="43"/>
  <c r="GM150" i="43"/>
  <c r="GN150" i="43"/>
  <c r="GO150" i="43"/>
  <c r="GP150" i="43"/>
  <c r="GQ150" i="43"/>
  <c r="GR150" i="43"/>
  <c r="GS150" i="43"/>
  <c r="GT150" i="43"/>
  <c r="GU150" i="43"/>
  <c r="GV150" i="43"/>
  <c r="GW150" i="43"/>
  <c r="GX150" i="43"/>
  <c r="GY150" i="43"/>
  <c r="GZ150" i="43"/>
  <c r="HA150" i="43"/>
  <c r="HB150" i="43"/>
  <c r="HC150" i="43"/>
  <c r="HD150" i="43"/>
  <c r="HE150" i="43"/>
  <c r="HF150" i="43"/>
  <c r="HG150" i="43"/>
  <c r="HH150" i="43"/>
  <c r="HI150" i="43"/>
  <c r="HJ150" i="43"/>
  <c r="HK150" i="43"/>
  <c r="HL150" i="43"/>
  <c r="HM150" i="43"/>
  <c r="HN150" i="43"/>
  <c r="HO150" i="43"/>
  <c r="HP150" i="43"/>
  <c r="HQ150" i="43"/>
  <c r="HR150" i="43"/>
  <c r="HS150" i="43"/>
  <c r="HT150" i="43"/>
  <c r="HU150" i="43"/>
  <c r="HV150" i="43"/>
  <c r="HW150" i="43"/>
  <c r="HX150" i="43"/>
  <c r="HY150" i="43"/>
  <c r="HZ150" i="43"/>
  <c r="IA150" i="43"/>
  <c r="IB150" i="43"/>
  <c r="IC150" i="43"/>
  <c r="ID150" i="43"/>
  <c r="IE150" i="43"/>
  <c r="IF150" i="43"/>
  <c r="IG150" i="43"/>
  <c r="IH150" i="43"/>
  <c r="II150" i="43"/>
  <c r="IJ150" i="43"/>
  <c r="IK150" i="43"/>
  <c r="IL150" i="43"/>
  <c r="IM150" i="43"/>
  <c r="IN150" i="43"/>
  <c r="IO150" i="43"/>
  <c r="IP150" i="43"/>
  <c r="IQ150" i="43"/>
  <c r="IR150" i="43"/>
  <c r="IS150" i="43"/>
  <c r="IT150" i="43"/>
  <c r="IU150" i="43"/>
  <c r="IV150" i="43"/>
  <c r="A149" i="43"/>
  <c r="B149" i="43"/>
  <c r="C149" i="43"/>
  <c r="D149" i="43"/>
  <c r="E149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BD149" i="43"/>
  <c r="BE149" i="43"/>
  <c r="BF149" i="43"/>
  <c r="BG149" i="43"/>
  <c r="BH149" i="43"/>
  <c r="BI149" i="43"/>
  <c r="BJ149" i="43"/>
  <c r="BK149" i="43"/>
  <c r="BL149" i="43"/>
  <c r="BM149" i="43"/>
  <c r="BN149" i="43"/>
  <c r="BO149" i="43"/>
  <c r="BP149" i="43"/>
  <c r="BQ149" i="43"/>
  <c r="BR149" i="43"/>
  <c r="BS149" i="43"/>
  <c r="BT149" i="43"/>
  <c r="BU149" i="43"/>
  <c r="BV149" i="43"/>
  <c r="BW149" i="43"/>
  <c r="BX149" i="43"/>
  <c r="BY149" i="43"/>
  <c r="BZ149" i="43"/>
  <c r="CA149" i="43"/>
  <c r="CB149" i="43"/>
  <c r="CC149" i="43"/>
  <c r="CD149" i="43"/>
  <c r="CE149" i="43"/>
  <c r="CF149" i="43"/>
  <c r="CG149" i="43"/>
  <c r="CH149" i="43"/>
  <c r="CI149" i="43"/>
  <c r="CJ149" i="43"/>
  <c r="CK149" i="43"/>
  <c r="CL149" i="43"/>
  <c r="CM149" i="43"/>
  <c r="CN149" i="43"/>
  <c r="CO149" i="43"/>
  <c r="CP149" i="43"/>
  <c r="CQ149" i="43"/>
  <c r="CR149" i="43"/>
  <c r="CS149" i="43"/>
  <c r="CT149" i="43"/>
  <c r="CU149" i="43"/>
  <c r="CV149" i="43"/>
  <c r="CW149" i="43"/>
  <c r="CX149" i="43"/>
  <c r="CY149" i="43"/>
  <c r="CZ149" i="43"/>
  <c r="DA149" i="43"/>
  <c r="DB149" i="43"/>
  <c r="DC149" i="43"/>
  <c r="DD149" i="43"/>
  <c r="DE149" i="43"/>
  <c r="DF149" i="43"/>
  <c r="DG149" i="43"/>
  <c r="DH149" i="43"/>
  <c r="DI149" i="43"/>
  <c r="DJ149" i="43"/>
  <c r="DK149" i="43"/>
  <c r="DL149" i="43"/>
  <c r="DM149" i="43"/>
  <c r="DN149" i="43"/>
  <c r="DO149" i="43"/>
  <c r="DP149" i="43"/>
  <c r="DQ149" i="43"/>
  <c r="DR149" i="43"/>
  <c r="DS149" i="43"/>
  <c r="DT149" i="43"/>
  <c r="DU149" i="43"/>
  <c r="DV149" i="43"/>
  <c r="DW149" i="43"/>
  <c r="DX149" i="43"/>
  <c r="DY149" i="43"/>
  <c r="DZ149" i="43"/>
  <c r="EA149" i="43"/>
  <c r="EB149" i="43"/>
  <c r="EC149" i="43"/>
  <c r="ED149" i="43"/>
  <c r="EE149" i="43"/>
  <c r="EF149" i="43"/>
  <c r="EG149" i="43"/>
  <c r="EH149" i="43"/>
  <c r="EI149" i="43"/>
  <c r="EJ149" i="43"/>
  <c r="EK149" i="43"/>
  <c r="EL149" i="43"/>
  <c r="EM149" i="43"/>
  <c r="EN149" i="43"/>
  <c r="EO149" i="43"/>
  <c r="EP149" i="43"/>
  <c r="EQ149" i="43"/>
  <c r="ER149" i="43"/>
  <c r="ES149" i="43"/>
  <c r="ET149" i="43"/>
  <c r="EU149" i="43"/>
  <c r="EV149" i="43"/>
  <c r="EW149" i="43"/>
  <c r="EX149" i="43"/>
  <c r="EY149" i="43"/>
  <c r="EZ149" i="43"/>
  <c r="FA149" i="43"/>
  <c r="FB149" i="43"/>
  <c r="FC149" i="43"/>
  <c r="FD149" i="43"/>
  <c r="FE149" i="43"/>
  <c r="FF149" i="43"/>
  <c r="FG149" i="43"/>
  <c r="FH149" i="43"/>
  <c r="FI149" i="43"/>
  <c r="FJ149" i="43"/>
  <c r="FK149" i="43"/>
  <c r="FL149" i="43"/>
  <c r="FM149" i="43"/>
  <c r="FN149" i="43"/>
  <c r="FO149" i="43"/>
  <c r="FP149" i="43"/>
  <c r="FQ149" i="43"/>
  <c r="FR149" i="43"/>
  <c r="FS149" i="43"/>
  <c r="FT149" i="43"/>
  <c r="FU149" i="43"/>
  <c r="FV149" i="43"/>
  <c r="FW149" i="43"/>
  <c r="FX149" i="43"/>
  <c r="FY149" i="43"/>
  <c r="FZ149" i="43"/>
  <c r="GA149" i="43"/>
  <c r="GB149" i="43"/>
  <c r="GC149" i="43"/>
  <c r="GD149" i="43"/>
  <c r="GE149" i="43"/>
  <c r="GF149" i="43"/>
  <c r="GG149" i="43"/>
  <c r="GH149" i="43"/>
  <c r="GI149" i="43"/>
  <c r="GJ149" i="43"/>
  <c r="GK149" i="43"/>
  <c r="GL149" i="43"/>
  <c r="GM149" i="43"/>
  <c r="GN149" i="43"/>
  <c r="GO149" i="43"/>
  <c r="GP149" i="43"/>
  <c r="GQ149" i="43"/>
  <c r="GR149" i="43"/>
  <c r="GS149" i="43"/>
  <c r="GT149" i="43"/>
  <c r="GU149" i="43"/>
  <c r="GV149" i="43"/>
  <c r="GW149" i="43"/>
  <c r="GX149" i="43"/>
  <c r="GY149" i="43"/>
  <c r="GZ149" i="43"/>
  <c r="HA149" i="43"/>
  <c r="HB149" i="43"/>
  <c r="HC149" i="43"/>
  <c r="HD149" i="43"/>
  <c r="HE149" i="43"/>
  <c r="HF149" i="43"/>
  <c r="HG149" i="43"/>
  <c r="HH149" i="43"/>
  <c r="HI149" i="43"/>
  <c r="HJ149" i="43"/>
  <c r="HK149" i="43"/>
  <c r="HL149" i="43"/>
  <c r="HM149" i="43"/>
  <c r="HN149" i="43"/>
  <c r="HO149" i="43"/>
  <c r="HP149" i="43"/>
  <c r="HQ149" i="43"/>
  <c r="HR149" i="43"/>
  <c r="HS149" i="43"/>
  <c r="HT149" i="43"/>
  <c r="HU149" i="43"/>
  <c r="HV149" i="43"/>
  <c r="HW149" i="43"/>
  <c r="HX149" i="43"/>
  <c r="HY149" i="43"/>
  <c r="HZ149" i="43"/>
  <c r="IA149" i="43"/>
  <c r="IB149" i="43"/>
  <c r="IC149" i="43"/>
  <c r="ID149" i="43"/>
  <c r="IE149" i="43"/>
  <c r="IF149" i="43"/>
  <c r="IG149" i="43"/>
  <c r="IH149" i="43"/>
  <c r="II149" i="43"/>
  <c r="IJ149" i="43"/>
  <c r="IK149" i="43"/>
  <c r="IL149" i="43"/>
  <c r="IM149" i="43"/>
  <c r="IN149" i="43"/>
  <c r="IO149" i="43"/>
  <c r="IP149" i="43"/>
  <c r="IQ149" i="43"/>
  <c r="IR149" i="43"/>
  <c r="IS149" i="43"/>
  <c r="IT149" i="43"/>
  <c r="IU149" i="43"/>
  <c r="IV149" i="43"/>
  <c r="A148" i="43"/>
  <c r="B148" i="43"/>
  <c r="C148" i="43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BD148" i="43"/>
  <c r="BE148" i="43"/>
  <c r="BF148" i="43"/>
  <c r="BG148" i="43"/>
  <c r="BH148" i="43"/>
  <c r="BI148" i="43"/>
  <c r="BJ148" i="43"/>
  <c r="BK148" i="43"/>
  <c r="BL148" i="43"/>
  <c r="BM148" i="43"/>
  <c r="BN148" i="43"/>
  <c r="BO148" i="43"/>
  <c r="BP148" i="43"/>
  <c r="BQ148" i="43"/>
  <c r="BR148" i="43"/>
  <c r="BS148" i="43"/>
  <c r="BT148" i="43"/>
  <c r="BU148" i="43"/>
  <c r="BV148" i="43"/>
  <c r="BW148" i="43"/>
  <c r="BX148" i="43"/>
  <c r="BY148" i="43"/>
  <c r="BZ148" i="43"/>
  <c r="CA148" i="43"/>
  <c r="CB148" i="43"/>
  <c r="CC148" i="43"/>
  <c r="CD148" i="43"/>
  <c r="CE148" i="43"/>
  <c r="CF148" i="43"/>
  <c r="CG148" i="43"/>
  <c r="CH148" i="43"/>
  <c r="CI148" i="43"/>
  <c r="CJ148" i="43"/>
  <c r="CK148" i="43"/>
  <c r="CL148" i="43"/>
  <c r="CM148" i="43"/>
  <c r="CN148" i="43"/>
  <c r="CO148" i="43"/>
  <c r="CP148" i="43"/>
  <c r="CQ148" i="43"/>
  <c r="CR148" i="43"/>
  <c r="CS148" i="43"/>
  <c r="CT148" i="43"/>
  <c r="CU148" i="43"/>
  <c r="CV148" i="43"/>
  <c r="CW148" i="43"/>
  <c r="CX148" i="43"/>
  <c r="CY148" i="43"/>
  <c r="CZ148" i="43"/>
  <c r="DA148" i="43"/>
  <c r="DB148" i="43"/>
  <c r="DC148" i="43"/>
  <c r="DD148" i="43"/>
  <c r="DE148" i="43"/>
  <c r="DF148" i="43"/>
  <c r="DG148" i="43"/>
  <c r="DH148" i="43"/>
  <c r="DI148" i="43"/>
  <c r="DJ148" i="43"/>
  <c r="DK148" i="43"/>
  <c r="DL148" i="43"/>
  <c r="DM148" i="43"/>
  <c r="DN148" i="43"/>
  <c r="DO148" i="43"/>
  <c r="DP148" i="43"/>
  <c r="DQ148" i="43"/>
  <c r="DR148" i="43"/>
  <c r="DS148" i="43"/>
  <c r="DT148" i="43"/>
  <c r="DU148" i="43"/>
  <c r="DV148" i="43"/>
  <c r="DW148" i="43"/>
  <c r="DX148" i="43"/>
  <c r="DY148" i="43"/>
  <c r="DZ148" i="43"/>
  <c r="EA148" i="43"/>
  <c r="EB148" i="43"/>
  <c r="EC148" i="43"/>
  <c r="ED148" i="43"/>
  <c r="EE148" i="43"/>
  <c r="EF148" i="43"/>
  <c r="EG148" i="43"/>
  <c r="EH148" i="43"/>
  <c r="EI148" i="43"/>
  <c r="EJ148" i="43"/>
  <c r="EK148" i="43"/>
  <c r="EL148" i="43"/>
  <c r="EM148" i="43"/>
  <c r="EN148" i="43"/>
  <c r="EO148" i="43"/>
  <c r="EP148" i="43"/>
  <c r="EQ148" i="43"/>
  <c r="ER148" i="43"/>
  <c r="ES148" i="43"/>
  <c r="ET148" i="43"/>
  <c r="EU148" i="43"/>
  <c r="EV148" i="43"/>
  <c r="EW148" i="43"/>
  <c r="EX148" i="43"/>
  <c r="EY148" i="43"/>
  <c r="EZ148" i="43"/>
  <c r="FA148" i="43"/>
  <c r="FB148" i="43"/>
  <c r="FC148" i="43"/>
  <c r="FD148" i="43"/>
  <c r="FE148" i="43"/>
  <c r="FF148" i="43"/>
  <c r="FG148" i="43"/>
  <c r="FH148" i="43"/>
  <c r="FI148" i="43"/>
  <c r="FJ148" i="43"/>
  <c r="FK148" i="43"/>
  <c r="FL148" i="43"/>
  <c r="FM148" i="43"/>
  <c r="FN148" i="43"/>
  <c r="FO148" i="43"/>
  <c r="FP148" i="43"/>
  <c r="FQ148" i="43"/>
  <c r="FR148" i="43"/>
  <c r="FS148" i="43"/>
  <c r="FT148" i="43"/>
  <c r="FU148" i="43"/>
  <c r="FV148" i="43"/>
  <c r="FW148" i="43"/>
  <c r="FX148" i="43"/>
  <c r="FY148" i="43"/>
  <c r="FZ148" i="43"/>
  <c r="GA148" i="43"/>
  <c r="GB148" i="43"/>
  <c r="GC148" i="43"/>
  <c r="GD148" i="43"/>
  <c r="GE148" i="43"/>
  <c r="GF148" i="43"/>
  <c r="GG148" i="43"/>
  <c r="GH148" i="43"/>
  <c r="GI148" i="43"/>
  <c r="GJ148" i="43"/>
  <c r="GK148" i="43"/>
  <c r="GL148" i="43"/>
  <c r="GM148" i="43"/>
  <c r="GN148" i="43"/>
  <c r="GO148" i="43"/>
  <c r="GP148" i="43"/>
  <c r="GQ148" i="43"/>
  <c r="GR148" i="43"/>
  <c r="GS148" i="43"/>
  <c r="GT148" i="43"/>
  <c r="GU148" i="43"/>
  <c r="GV148" i="43"/>
  <c r="GW148" i="43"/>
  <c r="GX148" i="43"/>
  <c r="GY148" i="43"/>
  <c r="GZ148" i="43"/>
  <c r="HA148" i="43"/>
  <c r="HB148" i="43"/>
  <c r="HC148" i="43"/>
  <c r="HD148" i="43"/>
  <c r="HE148" i="43"/>
  <c r="HF148" i="43"/>
  <c r="HG148" i="43"/>
  <c r="HH148" i="43"/>
  <c r="HI148" i="43"/>
  <c r="HJ148" i="43"/>
  <c r="HK148" i="43"/>
  <c r="HL148" i="43"/>
  <c r="HM148" i="43"/>
  <c r="HN148" i="43"/>
  <c r="HO148" i="43"/>
  <c r="HP148" i="43"/>
  <c r="HQ148" i="43"/>
  <c r="HR148" i="43"/>
  <c r="HS148" i="43"/>
  <c r="HT148" i="43"/>
  <c r="HU148" i="43"/>
  <c r="HV148" i="43"/>
  <c r="HW148" i="43"/>
  <c r="HX148" i="43"/>
  <c r="HY148" i="43"/>
  <c r="HZ148" i="43"/>
  <c r="IA148" i="43"/>
  <c r="IB148" i="43"/>
  <c r="IC148" i="43"/>
  <c r="ID148" i="43"/>
  <c r="IE148" i="43"/>
  <c r="IF148" i="43"/>
  <c r="IG148" i="43"/>
  <c r="IH148" i="43"/>
  <c r="II148" i="43"/>
  <c r="IJ148" i="43"/>
  <c r="IK148" i="43"/>
  <c r="IL148" i="43"/>
  <c r="IM148" i="43"/>
  <c r="IN148" i="43"/>
  <c r="IO148" i="43"/>
  <c r="IP148" i="43"/>
  <c r="IQ148" i="43"/>
  <c r="IR148" i="43"/>
  <c r="IS148" i="43"/>
  <c r="IT148" i="43"/>
  <c r="IU148" i="43"/>
  <c r="IV148" i="43"/>
  <c r="A147" i="43"/>
  <c r="B147" i="43"/>
  <c r="C147" i="43"/>
  <c r="D147" i="43"/>
  <c r="E147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BD147" i="43"/>
  <c r="BE147" i="43"/>
  <c r="BF147" i="43"/>
  <c r="BG147" i="43"/>
  <c r="BH147" i="43"/>
  <c r="BI147" i="43"/>
  <c r="BJ147" i="43"/>
  <c r="BK147" i="43"/>
  <c r="BL147" i="43"/>
  <c r="BM147" i="43"/>
  <c r="BN147" i="43"/>
  <c r="BO147" i="43"/>
  <c r="BP147" i="43"/>
  <c r="BQ147" i="43"/>
  <c r="BR147" i="43"/>
  <c r="BS147" i="43"/>
  <c r="BT147" i="43"/>
  <c r="BU147" i="43"/>
  <c r="BV147" i="43"/>
  <c r="BW147" i="43"/>
  <c r="BX147" i="43"/>
  <c r="BY147" i="43"/>
  <c r="BZ147" i="43"/>
  <c r="CA147" i="43"/>
  <c r="CB147" i="43"/>
  <c r="CC147" i="43"/>
  <c r="CD147" i="43"/>
  <c r="CE147" i="43"/>
  <c r="CF147" i="43"/>
  <c r="CG147" i="43"/>
  <c r="CH147" i="43"/>
  <c r="CI147" i="43"/>
  <c r="CJ147" i="43"/>
  <c r="CK147" i="43"/>
  <c r="CL147" i="43"/>
  <c r="CM147" i="43"/>
  <c r="CN147" i="43"/>
  <c r="CO147" i="43"/>
  <c r="CP147" i="43"/>
  <c r="CQ147" i="43"/>
  <c r="CR147" i="43"/>
  <c r="CS147" i="43"/>
  <c r="CT147" i="43"/>
  <c r="CU147" i="43"/>
  <c r="CV147" i="43"/>
  <c r="CW147" i="43"/>
  <c r="CX147" i="43"/>
  <c r="CY147" i="43"/>
  <c r="CZ147" i="43"/>
  <c r="DA147" i="43"/>
  <c r="DB147" i="43"/>
  <c r="DC147" i="43"/>
  <c r="DD147" i="43"/>
  <c r="DE147" i="43"/>
  <c r="DF147" i="43"/>
  <c r="DG147" i="43"/>
  <c r="DH147" i="43"/>
  <c r="DI147" i="43"/>
  <c r="DJ147" i="43"/>
  <c r="DK147" i="43"/>
  <c r="DL147" i="43"/>
  <c r="DM147" i="43"/>
  <c r="DN147" i="43"/>
  <c r="DO147" i="43"/>
  <c r="DP147" i="43"/>
  <c r="DQ147" i="43"/>
  <c r="DR147" i="43"/>
  <c r="DS147" i="43"/>
  <c r="DT147" i="43"/>
  <c r="DU147" i="43"/>
  <c r="DV147" i="43"/>
  <c r="DW147" i="43"/>
  <c r="DX147" i="43"/>
  <c r="DY147" i="43"/>
  <c r="DZ147" i="43"/>
  <c r="EA147" i="43"/>
  <c r="EB147" i="43"/>
  <c r="EC147" i="43"/>
  <c r="ED147" i="43"/>
  <c r="EE147" i="43"/>
  <c r="EF147" i="43"/>
  <c r="EG147" i="43"/>
  <c r="EH147" i="43"/>
  <c r="EI147" i="43"/>
  <c r="EJ147" i="43"/>
  <c r="EK147" i="43"/>
  <c r="EL147" i="43"/>
  <c r="EM147" i="43"/>
  <c r="EN147" i="43"/>
  <c r="EO147" i="43"/>
  <c r="EP147" i="43"/>
  <c r="EQ147" i="43"/>
  <c r="ER147" i="43"/>
  <c r="ES147" i="43"/>
  <c r="ET147" i="43"/>
  <c r="EU147" i="43"/>
  <c r="EV147" i="43"/>
  <c r="EW147" i="43"/>
  <c r="EX147" i="43"/>
  <c r="EY147" i="43"/>
  <c r="EZ147" i="43"/>
  <c r="FA147" i="43"/>
  <c r="FB147" i="43"/>
  <c r="FC147" i="43"/>
  <c r="FD147" i="43"/>
  <c r="FE147" i="43"/>
  <c r="FF147" i="43"/>
  <c r="FG147" i="43"/>
  <c r="FH147" i="43"/>
  <c r="FI147" i="43"/>
  <c r="FJ147" i="43"/>
  <c r="FK147" i="43"/>
  <c r="FL147" i="43"/>
  <c r="FM147" i="43"/>
  <c r="FN147" i="43"/>
  <c r="FO147" i="43"/>
  <c r="FP147" i="43"/>
  <c r="FQ147" i="43"/>
  <c r="FR147" i="43"/>
  <c r="FS147" i="43"/>
  <c r="FT147" i="43"/>
  <c r="FU147" i="43"/>
  <c r="FV147" i="43"/>
  <c r="FW147" i="43"/>
  <c r="FX147" i="43"/>
  <c r="FY147" i="43"/>
  <c r="FZ147" i="43"/>
  <c r="GA147" i="43"/>
  <c r="GB147" i="43"/>
  <c r="GC147" i="43"/>
  <c r="GD147" i="43"/>
  <c r="GE147" i="43"/>
  <c r="GF147" i="43"/>
  <c r="GG147" i="43"/>
  <c r="GH147" i="43"/>
  <c r="GI147" i="43"/>
  <c r="GJ147" i="43"/>
  <c r="GK147" i="43"/>
  <c r="GL147" i="43"/>
  <c r="GM147" i="43"/>
  <c r="GN147" i="43"/>
  <c r="GO147" i="43"/>
  <c r="GP147" i="43"/>
  <c r="GQ147" i="43"/>
  <c r="GR147" i="43"/>
  <c r="GS147" i="43"/>
  <c r="GT147" i="43"/>
  <c r="GU147" i="43"/>
  <c r="GV147" i="43"/>
  <c r="GW147" i="43"/>
  <c r="GX147" i="43"/>
  <c r="GY147" i="43"/>
  <c r="GZ147" i="43"/>
  <c r="HA147" i="43"/>
  <c r="HB147" i="43"/>
  <c r="HC147" i="43"/>
  <c r="HD147" i="43"/>
  <c r="HE147" i="43"/>
  <c r="HF147" i="43"/>
  <c r="HG147" i="43"/>
  <c r="HH147" i="43"/>
  <c r="HI147" i="43"/>
  <c r="HJ147" i="43"/>
  <c r="HK147" i="43"/>
  <c r="HL147" i="43"/>
  <c r="HM147" i="43"/>
  <c r="HN147" i="43"/>
  <c r="HO147" i="43"/>
  <c r="HP147" i="43"/>
  <c r="HQ147" i="43"/>
  <c r="HR147" i="43"/>
  <c r="HS147" i="43"/>
  <c r="HT147" i="43"/>
  <c r="HU147" i="43"/>
  <c r="HV147" i="43"/>
  <c r="HW147" i="43"/>
  <c r="HX147" i="43"/>
  <c r="HY147" i="43"/>
  <c r="HZ147" i="43"/>
  <c r="IA147" i="43"/>
  <c r="IB147" i="43"/>
  <c r="IC147" i="43"/>
  <c r="ID147" i="43"/>
  <c r="IE147" i="43"/>
  <c r="IF147" i="43"/>
  <c r="IG147" i="43"/>
  <c r="IH147" i="43"/>
  <c r="II147" i="43"/>
  <c r="IJ147" i="43"/>
  <c r="IK147" i="43"/>
  <c r="IL147" i="43"/>
  <c r="IM147" i="43"/>
  <c r="IN147" i="43"/>
  <c r="IO147" i="43"/>
  <c r="IP147" i="43"/>
  <c r="IQ147" i="43"/>
  <c r="IR147" i="43"/>
  <c r="IS147" i="43"/>
  <c r="IT147" i="43"/>
  <c r="IU147" i="43"/>
  <c r="IV147" i="43"/>
  <c r="A146" i="43"/>
  <c r="B146" i="43"/>
  <c r="C146" i="43"/>
  <c r="D146" i="43"/>
  <c r="E146" i="43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BD146" i="43"/>
  <c r="BE146" i="43"/>
  <c r="BF146" i="43"/>
  <c r="BG146" i="43"/>
  <c r="BH146" i="43"/>
  <c r="BI146" i="43"/>
  <c r="BJ146" i="43"/>
  <c r="BK146" i="43"/>
  <c r="BL146" i="43"/>
  <c r="BM146" i="43"/>
  <c r="BN146" i="43"/>
  <c r="BO146" i="43"/>
  <c r="BP146" i="43"/>
  <c r="BQ146" i="43"/>
  <c r="BR146" i="43"/>
  <c r="BS146" i="43"/>
  <c r="BT146" i="43"/>
  <c r="BU146" i="43"/>
  <c r="BV146" i="43"/>
  <c r="BW146" i="43"/>
  <c r="BX146" i="43"/>
  <c r="BY146" i="43"/>
  <c r="BZ146" i="43"/>
  <c r="CA146" i="43"/>
  <c r="CB146" i="43"/>
  <c r="CC146" i="43"/>
  <c r="CD146" i="43"/>
  <c r="CE146" i="43"/>
  <c r="CF146" i="43"/>
  <c r="CG146" i="43"/>
  <c r="CH146" i="43"/>
  <c r="CI146" i="43"/>
  <c r="CJ146" i="43"/>
  <c r="CK146" i="43"/>
  <c r="CL146" i="43"/>
  <c r="CM146" i="43"/>
  <c r="CN146" i="43"/>
  <c r="CO146" i="43"/>
  <c r="CP146" i="43"/>
  <c r="CQ146" i="43"/>
  <c r="CR146" i="43"/>
  <c r="CS146" i="43"/>
  <c r="CT146" i="43"/>
  <c r="CU146" i="43"/>
  <c r="CV146" i="43"/>
  <c r="CW146" i="43"/>
  <c r="CX146" i="43"/>
  <c r="CY146" i="43"/>
  <c r="CZ146" i="43"/>
  <c r="DA146" i="43"/>
  <c r="DB146" i="43"/>
  <c r="DC146" i="43"/>
  <c r="DD146" i="43"/>
  <c r="DE146" i="43"/>
  <c r="DF146" i="43"/>
  <c r="DG146" i="43"/>
  <c r="DH146" i="43"/>
  <c r="DI146" i="43"/>
  <c r="DJ146" i="43"/>
  <c r="DK146" i="43"/>
  <c r="DL146" i="43"/>
  <c r="DM146" i="43"/>
  <c r="DN146" i="43"/>
  <c r="DO146" i="43"/>
  <c r="DP146" i="43"/>
  <c r="DQ146" i="43"/>
  <c r="DR146" i="43"/>
  <c r="DS146" i="43"/>
  <c r="DT146" i="43"/>
  <c r="DU146" i="43"/>
  <c r="DV146" i="43"/>
  <c r="DW146" i="43"/>
  <c r="DX146" i="43"/>
  <c r="DY146" i="43"/>
  <c r="DZ146" i="43"/>
  <c r="EA146" i="43"/>
  <c r="EB146" i="43"/>
  <c r="EC146" i="43"/>
  <c r="ED146" i="43"/>
  <c r="EE146" i="43"/>
  <c r="EF146" i="43"/>
  <c r="EG146" i="43"/>
  <c r="EH146" i="43"/>
  <c r="EI146" i="43"/>
  <c r="EJ146" i="43"/>
  <c r="EK146" i="43"/>
  <c r="EL146" i="43"/>
  <c r="EM146" i="43"/>
  <c r="EN146" i="43"/>
  <c r="EO146" i="43"/>
  <c r="EP146" i="43"/>
  <c r="EQ146" i="43"/>
  <c r="ER146" i="43"/>
  <c r="ES146" i="43"/>
  <c r="ET146" i="43"/>
  <c r="EU146" i="43"/>
  <c r="EV146" i="43"/>
  <c r="EW146" i="43"/>
  <c r="EX146" i="43"/>
  <c r="EY146" i="43"/>
  <c r="EZ146" i="43"/>
  <c r="FA146" i="43"/>
  <c r="FB146" i="43"/>
  <c r="FC146" i="43"/>
  <c r="FD146" i="43"/>
  <c r="FE146" i="43"/>
  <c r="FF146" i="43"/>
  <c r="FG146" i="43"/>
  <c r="FH146" i="43"/>
  <c r="FI146" i="43"/>
  <c r="FJ146" i="43"/>
  <c r="FK146" i="43"/>
  <c r="FL146" i="43"/>
  <c r="FM146" i="43"/>
  <c r="FN146" i="43"/>
  <c r="FO146" i="43"/>
  <c r="FP146" i="43"/>
  <c r="FQ146" i="43"/>
  <c r="FR146" i="43"/>
  <c r="FS146" i="43"/>
  <c r="FT146" i="43"/>
  <c r="FU146" i="43"/>
  <c r="FV146" i="43"/>
  <c r="FW146" i="43"/>
  <c r="FX146" i="43"/>
  <c r="FY146" i="43"/>
  <c r="FZ146" i="43"/>
  <c r="GA146" i="43"/>
  <c r="GB146" i="43"/>
  <c r="GC146" i="43"/>
  <c r="GD146" i="43"/>
  <c r="GE146" i="43"/>
  <c r="GF146" i="43"/>
  <c r="GG146" i="43"/>
  <c r="GH146" i="43"/>
  <c r="GI146" i="43"/>
  <c r="GJ146" i="43"/>
  <c r="GK146" i="43"/>
  <c r="GL146" i="43"/>
  <c r="GM146" i="43"/>
  <c r="GN146" i="43"/>
  <c r="GO146" i="43"/>
  <c r="GP146" i="43"/>
  <c r="GQ146" i="43"/>
  <c r="GR146" i="43"/>
  <c r="GS146" i="43"/>
  <c r="GT146" i="43"/>
  <c r="GU146" i="43"/>
  <c r="GV146" i="43"/>
  <c r="GW146" i="43"/>
  <c r="GX146" i="43"/>
  <c r="GY146" i="43"/>
  <c r="GZ146" i="43"/>
  <c r="HA146" i="43"/>
  <c r="HB146" i="43"/>
  <c r="HC146" i="43"/>
  <c r="HD146" i="43"/>
  <c r="HE146" i="43"/>
  <c r="HF146" i="43"/>
  <c r="HG146" i="43"/>
  <c r="HH146" i="43"/>
  <c r="HI146" i="43"/>
  <c r="HJ146" i="43"/>
  <c r="HK146" i="43"/>
  <c r="HL146" i="43"/>
  <c r="HM146" i="43"/>
  <c r="HN146" i="43"/>
  <c r="HO146" i="43"/>
  <c r="HP146" i="43"/>
  <c r="HQ146" i="43"/>
  <c r="HR146" i="43"/>
  <c r="HS146" i="43"/>
  <c r="HT146" i="43"/>
  <c r="HU146" i="43"/>
  <c r="HV146" i="43"/>
  <c r="HW146" i="43"/>
  <c r="HX146" i="43"/>
  <c r="HY146" i="43"/>
  <c r="HZ146" i="43"/>
  <c r="IA146" i="43"/>
  <c r="IB146" i="43"/>
  <c r="IC146" i="43"/>
  <c r="ID146" i="43"/>
  <c r="IE146" i="43"/>
  <c r="IF146" i="43"/>
  <c r="IG146" i="43"/>
  <c r="IH146" i="43"/>
  <c r="II146" i="43"/>
  <c r="IJ146" i="43"/>
  <c r="IK146" i="43"/>
  <c r="IL146" i="43"/>
  <c r="IM146" i="43"/>
  <c r="IN146" i="43"/>
  <c r="IO146" i="43"/>
  <c r="IP146" i="43"/>
  <c r="IQ146" i="43"/>
  <c r="IR146" i="43"/>
  <c r="IS146" i="43"/>
  <c r="IT146" i="43"/>
  <c r="IU146" i="43"/>
  <c r="IV146" i="43"/>
  <c r="A145" i="43"/>
  <c r="B145" i="43"/>
  <c r="C145" i="43"/>
  <c r="D145" i="43"/>
  <c r="E145" i="43"/>
  <c r="F145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S145" i="43"/>
  <c r="T145" i="43"/>
  <c r="U145" i="43"/>
  <c r="V145" i="43"/>
  <c r="W145" i="43"/>
  <c r="X145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AT145" i="43"/>
  <c r="AU145" i="43"/>
  <c r="AV145" i="43"/>
  <c r="AW145" i="43"/>
  <c r="AX145" i="43"/>
  <c r="AY145" i="43"/>
  <c r="AZ145" i="43"/>
  <c r="BA145" i="43"/>
  <c r="BB145" i="43"/>
  <c r="BC145" i="43"/>
  <c r="BD145" i="43"/>
  <c r="BE145" i="43"/>
  <c r="BF145" i="43"/>
  <c r="BG145" i="43"/>
  <c r="BH145" i="43"/>
  <c r="BI145" i="43"/>
  <c r="BJ145" i="43"/>
  <c r="BK145" i="43"/>
  <c r="BL145" i="43"/>
  <c r="BM145" i="43"/>
  <c r="BN145" i="43"/>
  <c r="BO145" i="43"/>
  <c r="BP145" i="43"/>
  <c r="BQ145" i="43"/>
  <c r="BR145" i="43"/>
  <c r="BS145" i="43"/>
  <c r="BT145" i="43"/>
  <c r="BU145" i="43"/>
  <c r="BV145" i="43"/>
  <c r="BW145" i="43"/>
  <c r="BX145" i="43"/>
  <c r="BY145" i="43"/>
  <c r="BZ145" i="43"/>
  <c r="CA145" i="43"/>
  <c r="CB145" i="43"/>
  <c r="CC145" i="43"/>
  <c r="CD145" i="43"/>
  <c r="CE145" i="43"/>
  <c r="CF145" i="43"/>
  <c r="CG145" i="43"/>
  <c r="CH145" i="43"/>
  <c r="CI145" i="43"/>
  <c r="CJ145" i="43"/>
  <c r="CK145" i="43"/>
  <c r="CL145" i="43"/>
  <c r="CM145" i="43"/>
  <c r="CN145" i="43"/>
  <c r="CO145" i="43"/>
  <c r="CP145" i="43"/>
  <c r="CQ145" i="43"/>
  <c r="CR145" i="43"/>
  <c r="CS145" i="43"/>
  <c r="CT145" i="43"/>
  <c r="CU145" i="43"/>
  <c r="CV145" i="43"/>
  <c r="CW145" i="43"/>
  <c r="CX145" i="43"/>
  <c r="CY145" i="43"/>
  <c r="CZ145" i="43"/>
  <c r="DA145" i="43"/>
  <c r="DB145" i="43"/>
  <c r="DC145" i="43"/>
  <c r="DD145" i="43"/>
  <c r="DE145" i="43"/>
  <c r="DF145" i="43"/>
  <c r="DG145" i="43"/>
  <c r="DH145" i="43"/>
  <c r="DI145" i="43"/>
  <c r="DJ145" i="43"/>
  <c r="DK145" i="43"/>
  <c r="DL145" i="43"/>
  <c r="DM145" i="43"/>
  <c r="DN145" i="43"/>
  <c r="DO145" i="43"/>
  <c r="DP145" i="43"/>
  <c r="DQ145" i="43"/>
  <c r="DR145" i="43"/>
  <c r="DS145" i="43"/>
  <c r="DT145" i="43"/>
  <c r="DU145" i="43"/>
  <c r="DV145" i="43"/>
  <c r="DW145" i="43"/>
  <c r="DX145" i="43"/>
  <c r="DY145" i="43"/>
  <c r="DZ145" i="43"/>
  <c r="EA145" i="43"/>
  <c r="EB145" i="43"/>
  <c r="EC145" i="43"/>
  <c r="ED145" i="43"/>
  <c r="EE145" i="43"/>
  <c r="EF145" i="43"/>
  <c r="EG145" i="43"/>
  <c r="EH145" i="43"/>
  <c r="EI145" i="43"/>
  <c r="EJ145" i="43"/>
  <c r="EK145" i="43"/>
  <c r="EL145" i="43"/>
  <c r="EM145" i="43"/>
  <c r="EN145" i="43"/>
  <c r="EO145" i="43"/>
  <c r="EP145" i="43"/>
  <c r="EQ145" i="43"/>
  <c r="ER145" i="43"/>
  <c r="ES145" i="43"/>
  <c r="ET145" i="43"/>
  <c r="EU145" i="43"/>
  <c r="EV145" i="43"/>
  <c r="EW145" i="43"/>
  <c r="EX145" i="43"/>
  <c r="EY145" i="43"/>
  <c r="EZ145" i="43"/>
  <c r="FA145" i="43"/>
  <c r="FB145" i="43"/>
  <c r="FC145" i="43"/>
  <c r="FD145" i="43"/>
  <c r="FE145" i="43"/>
  <c r="FF145" i="43"/>
  <c r="FG145" i="43"/>
  <c r="FH145" i="43"/>
  <c r="FI145" i="43"/>
  <c r="FJ145" i="43"/>
  <c r="FK145" i="43"/>
  <c r="FL145" i="43"/>
  <c r="FM145" i="43"/>
  <c r="FN145" i="43"/>
  <c r="FO145" i="43"/>
  <c r="FP145" i="43"/>
  <c r="FQ145" i="43"/>
  <c r="FR145" i="43"/>
  <c r="FS145" i="43"/>
  <c r="FT145" i="43"/>
  <c r="FU145" i="43"/>
  <c r="FV145" i="43"/>
  <c r="FW145" i="43"/>
  <c r="FX145" i="43"/>
  <c r="FY145" i="43"/>
  <c r="FZ145" i="43"/>
  <c r="GA145" i="43"/>
  <c r="GB145" i="43"/>
  <c r="GC145" i="43"/>
  <c r="GD145" i="43"/>
  <c r="GE145" i="43"/>
  <c r="GF145" i="43"/>
  <c r="GG145" i="43"/>
  <c r="GH145" i="43"/>
  <c r="GI145" i="43"/>
  <c r="GJ145" i="43"/>
  <c r="GK145" i="43"/>
  <c r="GL145" i="43"/>
  <c r="GM145" i="43"/>
  <c r="GN145" i="43"/>
  <c r="GO145" i="43"/>
  <c r="GP145" i="43"/>
  <c r="GQ145" i="43"/>
  <c r="GR145" i="43"/>
  <c r="GS145" i="43"/>
  <c r="GT145" i="43"/>
  <c r="GU145" i="43"/>
  <c r="GV145" i="43"/>
  <c r="GW145" i="43"/>
  <c r="GX145" i="43"/>
  <c r="GY145" i="43"/>
  <c r="GZ145" i="43"/>
  <c r="HA145" i="43"/>
  <c r="HB145" i="43"/>
  <c r="HC145" i="43"/>
  <c r="HD145" i="43"/>
  <c r="HE145" i="43"/>
  <c r="HF145" i="43"/>
  <c r="HG145" i="43"/>
  <c r="HH145" i="43"/>
  <c r="HI145" i="43"/>
  <c r="HJ145" i="43"/>
  <c r="HK145" i="43"/>
  <c r="HL145" i="43"/>
  <c r="HM145" i="43"/>
  <c r="HN145" i="43"/>
  <c r="HO145" i="43"/>
  <c r="HP145" i="43"/>
  <c r="HQ145" i="43"/>
  <c r="HR145" i="43"/>
  <c r="HS145" i="43"/>
  <c r="HT145" i="43"/>
  <c r="HU145" i="43"/>
  <c r="HV145" i="43"/>
  <c r="HW145" i="43"/>
  <c r="HX145" i="43"/>
  <c r="HY145" i="43"/>
  <c r="HZ145" i="43"/>
  <c r="IA145" i="43"/>
  <c r="IB145" i="43"/>
  <c r="IC145" i="43"/>
  <c r="ID145" i="43"/>
  <c r="IE145" i="43"/>
  <c r="IF145" i="43"/>
  <c r="IG145" i="43"/>
  <c r="IH145" i="43"/>
  <c r="II145" i="43"/>
  <c r="IJ145" i="43"/>
  <c r="IK145" i="43"/>
  <c r="IL145" i="43"/>
  <c r="IM145" i="43"/>
  <c r="IN145" i="43"/>
  <c r="IO145" i="43"/>
  <c r="IP145" i="43"/>
  <c r="IQ145" i="43"/>
  <c r="IR145" i="43"/>
  <c r="IS145" i="43"/>
  <c r="IT145" i="43"/>
  <c r="IU145" i="43"/>
  <c r="IV145" i="43"/>
  <c r="A144" i="43"/>
  <c r="B144" i="43"/>
  <c r="C144" i="43"/>
  <c r="D144" i="43"/>
  <c r="E144" i="43"/>
  <c r="F144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S144" i="43"/>
  <c r="T144" i="43"/>
  <c r="U144" i="43"/>
  <c r="V144" i="43"/>
  <c r="W144" i="43"/>
  <c r="X144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AT144" i="43"/>
  <c r="AU144" i="43"/>
  <c r="AV144" i="43"/>
  <c r="AW144" i="43"/>
  <c r="AX144" i="43"/>
  <c r="AY144" i="43"/>
  <c r="AZ144" i="43"/>
  <c r="BA144" i="43"/>
  <c r="BB144" i="43"/>
  <c r="BC144" i="43"/>
  <c r="BD144" i="43"/>
  <c r="BE144" i="43"/>
  <c r="BF144" i="43"/>
  <c r="BG144" i="43"/>
  <c r="BH144" i="43"/>
  <c r="BI144" i="43"/>
  <c r="BJ144" i="43"/>
  <c r="BK144" i="43"/>
  <c r="BL144" i="43"/>
  <c r="BM144" i="43"/>
  <c r="BN144" i="43"/>
  <c r="BO144" i="43"/>
  <c r="BP144" i="43"/>
  <c r="BQ144" i="43"/>
  <c r="BR144" i="43"/>
  <c r="BS144" i="43"/>
  <c r="BT144" i="43"/>
  <c r="BU144" i="43"/>
  <c r="BV144" i="43"/>
  <c r="BW144" i="43"/>
  <c r="BX144" i="43"/>
  <c r="BY144" i="43"/>
  <c r="BZ144" i="43"/>
  <c r="CA144" i="43"/>
  <c r="CB144" i="43"/>
  <c r="CC144" i="43"/>
  <c r="CD144" i="43"/>
  <c r="CE144" i="43"/>
  <c r="CF144" i="43"/>
  <c r="CG144" i="43"/>
  <c r="CH144" i="43"/>
  <c r="CI144" i="43"/>
  <c r="CJ144" i="43"/>
  <c r="CK144" i="43"/>
  <c r="CL144" i="43"/>
  <c r="CM144" i="43"/>
  <c r="CN144" i="43"/>
  <c r="CO144" i="43"/>
  <c r="CP144" i="43"/>
  <c r="CQ144" i="43"/>
  <c r="CR144" i="43"/>
  <c r="CS144" i="43"/>
  <c r="CT144" i="43"/>
  <c r="CU144" i="43"/>
  <c r="CV144" i="43"/>
  <c r="CW144" i="43"/>
  <c r="CX144" i="43"/>
  <c r="CY144" i="43"/>
  <c r="CZ144" i="43"/>
  <c r="DA144" i="43"/>
  <c r="DB144" i="43"/>
  <c r="DC144" i="43"/>
  <c r="DD144" i="43"/>
  <c r="DE144" i="43"/>
  <c r="DF144" i="43"/>
  <c r="DG144" i="43"/>
  <c r="DH144" i="43"/>
  <c r="DI144" i="43"/>
  <c r="DJ144" i="43"/>
  <c r="DK144" i="43"/>
  <c r="DL144" i="43"/>
  <c r="DM144" i="43"/>
  <c r="DN144" i="43"/>
  <c r="DO144" i="43"/>
  <c r="DP144" i="43"/>
  <c r="DQ144" i="43"/>
  <c r="DR144" i="43"/>
  <c r="DS144" i="43"/>
  <c r="DT144" i="43"/>
  <c r="DU144" i="43"/>
  <c r="DV144" i="43"/>
  <c r="DW144" i="43"/>
  <c r="DX144" i="43"/>
  <c r="DY144" i="43"/>
  <c r="DZ144" i="43"/>
  <c r="EA144" i="43"/>
  <c r="EB144" i="43"/>
  <c r="EC144" i="43"/>
  <c r="ED144" i="43"/>
  <c r="EE144" i="43"/>
  <c r="EF144" i="43"/>
  <c r="EG144" i="43"/>
  <c r="EH144" i="43"/>
  <c r="EI144" i="43"/>
  <c r="EJ144" i="43"/>
  <c r="EK144" i="43"/>
  <c r="EL144" i="43"/>
  <c r="EM144" i="43"/>
  <c r="EN144" i="43"/>
  <c r="EO144" i="43"/>
  <c r="EP144" i="43"/>
  <c r="EQ144" i="43"/>
  <c r="ER144" i="43"/>
  <c r="ES144" i="43"/>
  <c r="ET144" i="43"/>
  <c r="EU144" i="43"/>
  <c r="EV144" i="43"/>
  <c r="EW144" i="43"/>
  <c r="EX144" i="43"/>
  <c r="EY144" i="43"/>
  <c r="EZ144" i="43"/>
  <c r="FA144" i="43"/>
  <c r="FB144" i="43"/>
  <c r="FC144" i="43"/>
  <c r="FD144" i="43"/>
  <c r="FE144" i="43"/>
  <c r="FF144" i="43"/>
  <c r="FG144" i="43"/>
  <c r="FH144" i="43"/>
  <c r="FI144" i="43"/>
  <c r="FJ144" i="43"/>
  <c r="FK144" i="43"/>
  <c r="FL144" i="43"/>
  <c r="FM144" i="43"/>
  <c r="FN144" i="43"/>
  <c r="FO144" i="43"/>
  <c r="FP144" i="43"/>
  <c r="FQ144" i="43"/>
  <c r="FR144" i="43"/>
  <c r="FS144" i="43"/>
  <c r="FT144" i="43"/>
  <c r="FU144" i="43"/>
  <c r="FV144" i="43"/>
  <c r="FW144" i="43"/>
  <c r="FX144" i="43"/>
  <c r="FY144" i="43"/>
  <c r="FZ144" i="43"/>
  <c r="GA144" i="43"/>
  <c r="GB144" i="43"/>
  <c r="GC144" i="43"/>
  <c r="GD144" i="43"/>
  <c r="GE144" i="43"/>
  <c r="GF144" i="43"/>
  <c r="GG144" i="43"/>
  <c r="GH144" i="43"/>
  <c r="GI144" i="43"/>
  <c r="GJ144" i="43"/>
  <c r="GK144" i="43"/>
  <c r="GL144" i="43"/>
  <c r="GM144" i="43"/>
  <c r="GN144" i="43"/>
  <c r="GO144" i="43"/>
  <c r="GP144" i="43"/>
  <c r="GQ144" i="43"/>
  <c r="GR144" i="43"/>
  <c r="GS144" i="43"/>
  <c r="GT144" i="43"/>
  <c r="GU144" i="43"/>
  <c r="GV144" i="43"/>
  <c r="GW144" i="43"/>
  <c r="GX144" i="43"/>
  <c r="GY144" i="43"/>
  <c r="GZ144" i="43"/>
  <c r="HA144" i="43"/>
  <c r="HB144" i="43"/>
  <c r="HC144" i="43"/>
  <c r="HD144" i="43"/>
  <c r="HE144" i="43"/>
  <c r="HF144" i="43"/>
  <c r="HG144" i="43"/>
  <c r="HH144" i="43"/>
  <c r="HI144" i="43"/>
  <c r="HJ144" i="43"/>
  <c r="HK144" i="43"/>
  <c r="HL144" i="43"/>
  <c r="HM144" i="43"/>
  <c r="HN144" i="43"/>
  <c r="HO144" i="43"/>
  <c r="HP144" i="43"/>
  <c r="HQ144" i="43"/>
  <c r="HR144" i="43"/>
  <c r="HS144" i="43"/>
  <c r="HT144" i="43"/>
  <c r="HU144" i="43"/>
  <c r="HV144" i="43"/>
  <c r="HW144" i="43"/>
  <c r="HX144" i="43"/>
  <c r="HY144" i="43"/>
  <c r="HZ144" i="43"/>
  <c r="IA144" i="43"/>
  <c r="IB144" i="43"/>
  <c r="IC144" i="43"/>
  <c r="ID144" i="43"/>
  <c r="IE144" i="43"/>
  <c r="IF144" i="43"/>
  <c r="IG144" i="43"/>
  <c r="IH144" i="43"/>
  <c r="II144" i="43"/>
  <c r="IJ144" i="43"/>
  <c r="IK144" i="43"/>
  <c r="IL144" i="43"/>
  <c r="IM144" i="43"/>
  <c r="IN144" i="43"/>
  <c r="IO144" i="43"/>
  <c r="IP144" i="43"/>
  <c r="IQ144" i="43"/>
  <c r="IR144" i="43"/>
  <c r="IS144" i="43"/>
  <c r="IT144" i="43"/>
  <c r="IU144" i="43"/>
  <c r="IV144" i="43"/>
  <c r="A143" i="43"/>
  <c r="B143" i="43"/>
  <c r="C143" i="43"/>
  <c r="D143" i="43"/>
  <c r="E143" i="43"/>
  <c r="F143" i="43"/>
  <c r="G143" i="43"/>
  <c r="H143" i="43"/>
  <c r="I143" i="43"/>
  <c r="J143" i="43"/>
  <c r="K143" i="43"/>
  <c r="L143" i="43"/>
  <c r="M143" i="43"/>
  <c r="N143" i="43"/>
  <c r="O143" i="43"/>
  <c r="P143" i="43"/>
  <c r="Q143" i="43"/>
  <c r="R143" i="43"/>
  <c r="S143" i="43"/>
  <c r="T143" i="43"/>
  <c r="U143" i="43"/>
  <c r="V143" i="43"/>
  <c r="W143" i="43"/>
  <c r="X143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AT143" i="43"/>
  <c r="AU143" i="43"/>
  <c r="AV143" i="43"/>
  <c r="AW143" i="43"/>
  <c r="AX143" i="43"/>
  <c r="AY143" i="43"/>
  <c r="AZ143" i="43"/>
  <c r="BA143" i="43"/>
  <c r="BB143" i="43"/>
  <c r="BC143" i="43"/>
  <c r="BD143" i="43"/>
  <c r="BE143" i="43"/>
  <c r="BF143" i="43"/>
  <c r="BG143" i="43"/>
  <c r="BH143" i="43"/>
  <c r="BI143" i="43"/>
  <c r="BJ143" i="43"/>
  <c r="BK143" i="43"/>
  <c r="BL143" i="43"/>
  <c r="BM143" i="43"/>
  <c r="BN143" i="43"/>
  <c r="BO143" i="43"/>
  <c r="BP143" i="43"/>
  <c r="BQ143" i="43"/>
  <c r="BR143" i="43"/>
  <c r="BS143" i="43"/>
  <c r="BT143" i="43"/>
  <c r="BU143" i="43"/>
  <c r="BV143" i="43"/>
  <c r="BW143" i="43"/>
  <c r="BX143" i="43"/>
  <c r="BY143" i="43"/>
  <c r="BZ143" i="43"/>
  <c r="CA143" i="43"/>
  <c r="CB143" i="43"/>
  <c r="CC143" i="43"/>
  <c r="CD143" i="43"/>
  <c r="CE143" i="43"/>
  <c r="CF143" i="43"/>
  <c r="CG143" i="43"/>
  <c r="CH143" i="43"/>
  <c r="CI143" i="43"/>
  <c r="CJ143" i="43"/>
  <c r="CK143" i="43"/>
  <c r="CL143" i="43"/>
  <c r="CM143" i="43"/>
  <c r="CN143" i="43"/>
  <c r="CO143" i="43"/>
  <c r="CP143" i="43"/>
  <c r="CQ143" i="43"/>
  <c r="CR143" i="43"/>
  <c r="CS143" i="43"/>
  <c r="CT143" i="43"/>
  <c r="CU143" i="43"/>
  <c r="CV143" i="43"/>
  <c r="CW143" i="43"/>
  <c r="CX143" i="43"/>
  <c r="CY143" i="43"/>
  <c r="CZ143" i="43"/>
  <c r="DA143" i="43"/>
  <c r="DB143" i="43"/>
  <c r="DC143" i="43"/>
  <c r="DD143" i="43"/>
  <c r="DE143" i="43"/>
  <c r="DF143" i="43"/>
  <c r="DG143" i="43"/>
  <c r="DH143" i="43"/>
  <c r="DI143" i="43"/>
  <c r="DJ143" i="43"/>
  <c r="DK143" i="43"/>
  <c r="DL143" i="43"/>
  <c r="DM143" i="43"/>
  <c r="DN143" i="43"/>
  <c r="DO143" i="43"/>
  <c r="DP143" i="43"/>
  <c r="DQ143" i="43"/>
  <c r="DR143" i="43"/>
  <c r="DS143" i="43"/>
  <c r="DT143" i="43"/>
  <c r="DU143" i="43"/>
  <c r="DV143" i="43"/>
  <c r="DW143" i="43"/>
  <c r="DX143" i="43"/>
  <c r="DY143" i="43"/>
  <c r="DZ143" i="43"/>
  <c r="EA143" i="43"/>
  <c r="EB143" i="43"/>
  <c r="EC143" i="43"/>
  <c r="ED143" i="43"/>
  <c r="EE143" i="43"/>
  <c r="EF143" i="43"/>
  <c r="EG143" i="43"/>
  <c r="EH143" i="43"/>
  <c r="EI143" i="43"/>
  <c r="EJ143" i="43"/>
  <c r="EK143" i="43"/>
  <c r="EL143" i="43"/>
  <c r="EM143" i="43"/>
  <c r="EN143" i="43"/>
  <c r="EO143" i="43"/>
  <c r="EP143" i="43"/>
  <c r="EQ143" i="43"/>
  <c r="ER143" i="43"/>
  <c r="ES143" i="43"/>
  <c r="ET143" i="43"/>
  <c r="EU143" i="43"/>
  <c r="EV143" i="43"/>
  <c r="EW143" i="43"/>
  <c r="EX143" i="43"/>
  <c r="EY143" i="43"/>
  <c r="EZ143" i="43"/>
  <c r="FA143" i="43"/>
  <c r="FB143" i="43"/>
  <c r="FC143" i="43"/>
  <c r="FD143" i="43"/>
  <c r="FE143" i="43"/>
  <c r="FF143" i="43"/>
  <c r="FG143" i="43"/>
  <c r="FH143" i="43"/>
  <c r="FI143" i="43"/>
  <c r="FJ143" i="43"/>
  <c r="FK143" i="43"/>
  <c r="FL143" i="43"/>
  <c r="FM143" i="43"/>
  <c r="FN143" i="43"/>
  <c r="FO143" i="43"/>
  <c r="FP143" i="43"/>
  <c r="FQ143" i="43"/>
  <c r="FR143" i="43"/>
  <c r="FS143" i="43"/>
  <c r="FT143" i="43"/>
  <c r="FU143" i="43"/>
  <c r="FV143" i="43"/>
  <c r="FW143" i="43"/>
  <c r="FX143" i="43"/>
  <c r="FY143" i="43"/>
  <c r="FZ143" i="43"/>
  <c r="GA143" i="43"/>
  <c r="GB143" i="43"/>
  <c r="GC143" i="43"/>
  <c r="GD143" i="43"/>
  <c r="GE143" i="43"/>
  <c r="GF143" i="43"/>
  <c r="GG143" i="43"/>
  <c r="GH143" i="43"/>
  <c r="GI143" i="43"/>
  <c r="GJ143" i="43"/>
  <c r="GK143" i="43"/>
  <c r="GL143" i="43"/>
  <c r="GM143" i="43"/>
  <c r="GN143" i="43"/>
  <c r="GO143" i="43"/>
  <c r="GP143" i="43"/>
  <c r="GQ143" i="43"/>
  <c r="GR143" i="43"/>
  <c r="GS143" i="43"/>
  <c r="GT143" i="43"/>
  <c r="GU143" i="43"/>
  <c r="GV143" i="43"/>
  <c r="GW143" i="43"/>
  <c r="GX143" i="43"/>
  <c r="GY143" i="43"/>
  <c r="GZ143" i="43"/>
  <c r="HA143" i="43"/>
  <c r="HB143" i="43"/>
  <c r="HC143" i="43"/>
  <c r="HD143" i="43"/>
  <c r="HE143" i="43"/>
  <c r="HF143" i="43"/>
  <c r="HG143" i="43"/>
  <c r="HH143" i="43"/>
  <c r="HI143" i="43"/>
  <c r="HJ143" i="43"/>
  <c r="HK143" i="43"/>
  <c r="HL143" i="43"/>
  <c r="HM143" i="43"/>
  <c r="HN143" i="43"/>
  <c r="HO143" i="43"/>
  <c r="HP143" i="43"/>
  <c r="HQ143" i="43"/>
  <c r="HR143" i="43"/>
  <c r="HS143" i="43"/>
  <c r="HT143" i="43"/>
  <c r="HU143" i="43"/>
  <c r="HV143" i="43"/>
  <c r="HW143" i="43"/>
  <c r="HX143" i="43"/>
  <c r="HY143" i="43"/>
  <c r="HZ143" i="43"/>
  <c r="IA143" i="43"/>
  <c r="IB143" i="43"/>
  <c r="IC143" i="43"/>
  <c r="ID143" i="43"/>
  <c r="IE143" i="43"/>
  <c r="IF143" i="43"/>
  <c r="IG143" i="43"/>
  <c r="IH143" i="43"/>
  <c r="II143" i="43"/>
  <c r="IJ143" i="43"/>
  <c r="IK143" i="43"/>
  <c r="IL143" i="43"/>
  <c r="IM143" i="43"/>
  <c r="IN143" i="43"/>
  <c r="IO143" i="43"/>
  <c r="IP143" i="43"/>
  <c r="IQ143" i="43"/>
  <c r="IR143" i="43"/>
  <c r="IS143" i="43"/>
  <c r="IT143" i="43"/>
  <c r="IU143" i="43"/>
  <c r="IV143" i="43"/>
  <c r="A142" i="43"/>
  <c r="B142" i="43"/>
  <c r="C142" i="43"/>
  <c r="D142" i="43"/>
  <c r="E142" i="43"/>
  <c r="F142" i="43"/>
  <c r="G142" i="43"/>
  <c r="H142" i="43"/>
  <c r="I142" i="43"/>
  <c r="J142" i="43"/>
  <c r="K142" i="43"/>
  <c r="L142" i="43"/>
  <c r="M142" i="43"/>
  <c r="N142" i="43"/>
  <c r="O142" i="43"/>
  <c r="P142" i="43"/>
  <c r="Q142" i="43"/>
  <c r="R142" i="43"/>
  <c r="S142" i="43"/>
  <c r="T142" i="43"/>
  <c r="U142" i="43"/>
  <c r="V142" i="43"/>
  <c r="W142" i="43"/>
  <c r="X142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AT142" i="43"/>
  <c r="AU142" i="43"/>
  <c r="AV142" i="43"/>
  <c r="AW142" i="43"/>
  <c r="AX142" i="43"/>
  <c r="AY142" i="43"/>
  <c r="AZ142" i="43"/>
  <c r="BA142" i="43"/>
  <c r="BB142" i="43"/>
  <c r="BC142" i="43"/>
  <c r="BD142" i="43"/>
  <c r="BE142" i="43"/>
  <c r="BF142" i="43"/>
  <c r="BG142" i="43"/>
  <c r="BH142" i="43"/>
  <c r="BI142" i="43"/>
  <c r="BJ142" i="43"/>
  <c r="BK142" i="43"/>
  <c r="BL142" i="43"/>
  <c r="BM142" i="43"/>
  <c r="BN142" i="43"/>
  <c r="BO142" i="43"/>
  <c r="BP142" i="43"/>
  <c r="BQ142" i="43"/>
  <c r="BR142" i="43"/>
  <c r="BS142" i="43"/>
  <c r="BT142" i="43"/>
  <c r="BU142" i="43"/>
  <c r="BV142" i="43"/>
  <c r="BW142" i="43"/>
  <c r="BX142" i="43"/>
  <c r="BY142" i="43"/>
  <c r="BZ142" i="43"/>
  <c r="CA142" i="43"/>
  <c r="CB142" i="43"/>
  <c r="CC142" i="43"/>
  <c r="CD142" i="43"/>
  <c r="CE142" i="43"/>
  <c r="CF142" i="43"/>
  <c r="CG142" i="43"/>
  <c r="CH142" i="43"/>
  <c r="CI142" i="43"/>
  <c r="CJ142" i="43"/>
  <c r="CK142" i="43"/>
  <c r="CL142" i="43"/>
  <c r="CM142" i="43"/>
  <c r="CN142" i="43"/>
  <c r="CO142" i="43"/>
  <c r="CP142" i="43"/>
  <c r="CQ142" i="43"/>
  <c r="CR142" i="43"/>
  <c r="CS142" i="43"/>
  <c r="CT142" i="43"/>
  <c r="CU142" i="43"/>
  <c r="CV142" i="43"/>
  <c r="CW142" i="43"/>
  <c r="CX142" i="43"/>
  <c r="CY142" i="43"/>
  <c r="CZ142" i="43"/>
  <c r="DA142" i="43"/>
  <c r="DB142" i="43"/>
  <c r="DC142" i="43"/>
  <c r="DD142" i="43"/>
  <c r="DE142" i="43"/>
  <c r="DF142" i="43"/>
  <c r="DG142" i="43"/>
  <c r="DH142" i="43"/>
  <c r="DI142" i="43"/>
  <c r="DJ142" i="43"/>
  <c r="DK142" i="43"/>
  <c r="DL142" i="43"/>
  <c r="DM142" i="43"/>
  <c r="DN142" i="43"/>
  <c r="DO142" i="43"/>
  <c r="DP142" i="43"/>
  <c r="DQ142" i="43"/>
  <c r="DR142" i="43"/>
  <c r="DS142" i="43"/>
  <c r="DT142" i="43"/>
  <c r="DU142" i="43"/>
  <c r="DV142" i="43"/>
  <c r="DW142" i="43"/>
  <c r="DX142" i="43"/>
  <c r="DY142" i="43"/>
  <c r="DZ142" i="43"/>
  <c r="EA142" i="43"/>
  <c r="EB142" i="43"/>
  <c r="EC142" i="43"/>
  <c r="ED142" i="43"/>
  <c r="EE142" i="43"/>
  <c r="EF142" i="43"/>
  <c r="EG142" i="43"/>
  <c r="EH142" i="43"/>
  <c r="EI142" i="43"/>
  <c r="EJ142" i="43"/>
  <c r="EK142" i="43"/>
  <c r="EL142" i="43"/>
  <c r="EM142" i="43"/>
  <c r="EN142" i="43"/>
  <c r="EO142" i="43"/>
  <c r="EP142" i="43"/>
  <c r="EQ142" i="43"/>
  <c r="ER142" i="43"/>
  <c r="ES142" i="43"/>
  <c r="ET142" i="43"/>
  <c r="EU142" i="43"/>
  <c r="EV142" i="43"/>
  <c r="EW142" i="43"/>
  <c r="EX142" i="43"/>
  <c r="EY142" i="43"/>
  <c r="EZ142" i="43"/>
  <c r="FA142" i="43"/>
  <c r="FB142" i="43"/>
  <c r="FC142" i="43"/>
  <c r="FD142" i="43"/>
  <c r="FE142" i="43"/>
  <c r="FF142" i="43"/>
  <c r="FG142" i="43"/>
  <c r="FH142" i="43"/>
  <c r="FI142" i="43"/>
  <c r="FJ142" i="43"/>
  <c r="FK142" i="43"/>
  <c r="FL142" i="43"/>
  <c r="FM142" i="43"/>
  <c r="FN142" i="43"/>
  <c r="FO142" i="43"/>
  <c r="FP142" i="43"/>
  <c r="FQ142" i="43"/>
  <c r="FR142" i="43"/>
  <c r="FS142" i="43"/>
  <c r="FT142" i="43"/>
  <c r="FU142" i="43"/>
  <c r="FV142" i="43"/>
  <c r="FW142" i="43"/>
  <c r="FX142" i="43"/>
  <c r="FY142" i="43"/>
  <c r="FZ142" i="43"/>
  <c r="GA142" i="43"/>
  <c r="GB142" i="43"/>
  <c r="GC142" i="43"/>
  <c r="GD142" i="43"/>
  <c r="GE142" i="43"/>
  <c r="GF142" i="43"/>
  <c r="GG142" i="43"/>
  <c r="GH142" i="43"/>
  <c r="GI142" i="43"/>
  <c r="GJ142" i="43"/>
  <c r="GK142" i="43"/>
  <c r="GL142" i="43"/>
  <c r="GM142" i="43"/>
  <c r="GN142" i="43"/>
  <c r="GO142" i="43"/>
  <c r="GP142" i="43"/>
  <c r="GQ142" i="43"/>
  <c r="GR142" i="43"/>
  <c r="GS142" i="43"/>
  <c r="GT142" i="43"/>
  <c r="GU142" i="43"/>
  <c r="GV142" i="43"/>
  <c r="GW142" i="43"/>
  <c r="GX142" i="43"/>
  <c r="GY142" i="43"/>
  <c r="GZ142" i="43"/>
  <c r="HA142" i="43"/>
  <c r="HB142" i="43"/>
  <c r="HC142" i="43"/>
  <c r="HD142" i="43"/>
  <c r="HE142" i="43"/>
  <c r="HF142" i="43"/>
  <c r="HG142" i="43"/>
  <c r="HH142" i="43"/>
  <c r="HI142" i="43"/>
  <c r="HJ142" i="43"/>
  <c r="HK142" i="43"/>
  <c r="HL142" i="43"/>
  <c r="HM142" i="43"/>
  <c r="HN142" i="43"/>
  <c r="HO142" i="43"/>
  <c r="HP142" i="43"/>
  <c r="HQ142" i="43"/>
  <c r="HR142" i="43"/>
  <c r="HS142" i="43"/>
  <c r="HT142" i="43"/>
  <c r="HU142" i="43"/>
  <c r="HV142" i="43"/>
  <c r="HW142" i="43"/>
  <c r="HX142" i="43"/>
  <c r="HY142" i="43"/>
  <c r="HZ142" i="43"/>
  <c r="IA142" i="43"/>
  <c r="IB142" i="43"/>
  <c r="IC142" i="43"/>
  <c r="ID142" i="43"/>
  <c r="IE142" i="43"/>
  <c r="IF142" i="43"/>
  <c r="IG142" i="43"/>
  <c r="IH142" i="43"/>
  <c r="II142" i="43"/>
  <c r="IJ142" i="43"/>
  <c r="IK142" i="43"/>
  <c r="IL142" i="43"/>
  <c r="IM142" i="43"/>
  <c r="IN142" i="43"/>
  <c r="IO142" i="43"/>
  <c r="IP142" i="43"/>
  <c r="IQ142" i="43"/>
  <c r="IR142" i="43"/>
  <c r="IS142" i="43"/>
  <c r="IT142" i="43"/>
  <c r="IU142" i="43"/>
  <c r="IV142" i="43"/>
  <c r="A141" i="43"/>
  <c r="B141" i="43"/>
  <c r="C141" i="43"/>
  <c r="D141" i="43"/>
  <c r="E141" i="43"/>
  <c r="F141" i="43"/>
  <c r="G141" i="43"/>
  <c r="H141" i="43"/>
  <c r="I141" i="43"/>
  <c r="J141" i="43"/>
  <c r="K141" i="43"/>
  <c r="L141" i="43"/>
  <c r="M141" i="43"/>
  <c r="N141" i="43"/>
  <c r="O141" i="43"/>
  <c r="P141" i="43"/>
  <c r="Q141" i="43"/>
  <c r="R141" i="43"/>
  <c r="S141" i="43"/>
  <c r="T141" i="43"/>
  <c r="U141" i="43"/>
  <c r="V141" i="43"/>
  <c r="W141" i="43"/>
  <c r="X141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AT141" i="43"/>
  <c r="AU141" i="43"/>
  <c r="AV141" i="43"/>
  <c r="AW141" i="43"/>
  <c r="AX141" i="43"/>
  <c r="AY141" i="43"/>
  <c r="AZ141" i="43"/>
  <c r="BA141" i="43"/>
  <c r="BB141" i="43"/>
  <c r="BC141" i="43"/>
  <c r="BD141" i="43"/>
  <c r="BE141" i="43"/>
  <c r="BF141" i="43"/>
  <c r="BG141" i="43"/>
  <c r="BH141" i="43"/>
  <c r="BI141" i="43"/>
  <c r="BJ141" i="43"/>
  <c r="BK141" i="43"/>
  <c r="BL141" i="43"/>
  <c r="BM141" i="43"/>
  <c r="BN141" i="43"/>
  <c r="BO141" i="43"/>
  <c r="BP141" i="43"/>
  <c r="BQ141" i="43"/>
  <c r="BR141" i="43"/>
  <c r="BS141" i="43"/>
  <c r="BT141" i="43"/>
  <c r="BU141" i="43"/>
  <c r="BV141" i="43"/>
  <c r="BW141" i="43"/>
  <c r="BX141" i="43"/>
  <c r="BY141" i="43"/>
  <c r="BZ141" i="43"/>
  <c r="CA141" i="43"/>
  <c r="CB141" i="43"/>
  <c r="CC141" i="43"/>
  <c r="CD141" i="43"/>
  <c r="CE141" i="43"/>
  <c r="CF141" i="43"/>
  <c r="CG141" i="43"/>
  <c r="CH141" i="43"/>
  <c r="CI141" i="43"/>
  <c r="CJ141" i="43"/>
  <c r="CK141" i="43"/>
  <c r="CL141" i="43"/>
  <c r="CM141" i="43"/>
  <c r="CN141" i="43"/>
  <c r="CO141" i="43"/>
  <c r="CP141" i="43"/>
  <c r="CQ141" i="43"/>
  <c r="CR141" i="43"/>
  <c r="CS141" i="43"/>
  <c r="CT141" i="43"/>
  <c r="CU141" i="43"/>
  <c r="CV141" i="43"/>
  <c r="CW141" i="43"/>
  <c r="CX141" i="43"/>
  <c r="CY141" i="43"/>
  <c r="CZ141" i="43"/>
  <c r="DA141" i="43"/>
  <c r="DB141" i="43"/>
  <c r="DC141" i="43"/>
  <c r="DD141" i="43"/>
  <c r="DE141" i="43"/>
  <c r="DF141" i="43"/>
  <c r="DG141" i="43"/>
  <c r="DH141" i="43"/>
  <c r="DI141" i="43"/>
  <c r="DJ141" i="43"/>
  <c r="DK141" i="43"/>
  <c r="DL141" i="43"/>
  <c r="DM141" i="43"/>
  <c r="DN141" i="43"/>
  <c r="DO141" i="43"/>
  <c r="DP141" i="43"/>
  <c r="DQ141" i="43"/>
  <c r="DR141" i="43"/>
  <c r="DS141" i="43"/>
  <c r="DT141" i="43"/>
  <c r="DU141" i="43"/>
  <c r="DV141" i="43"/>
  <c r="DW141" i="43"/>
  <c r="DX141" i="43"/>
  <c r="DY141" i="43"/>
  <c r="DZ141" i="43"/>
  <c r="EA141" i="43"/>
  <c r="EB141" i="43"/>
  <c r="EC141" i="43"/>
  <c r="ED141" i="43"/>
  <c r="EE141" i="43"/>
  <c r="EF141" i="43"/>
  <c r="EG141" i="43"/>
  <c r="EH141" i="43"/>
  <c r="EI141" i="43"/>
  <c r="EJ141" i="43"/>
  <c r="EK141" i="43"/>
  <c r="EL141" i="43"/>
  <c r="EM141" i="43"/>
  <c r="EN141" i="43"/>
  <c r="EO141" i="43"/>
  <c r="EP141" i="43"/>
  <c r="EQ141" i="43"/>
  <c r="ER141" i="43"/>
  <c r="ES141" i="43"/>
  <c r="ET141" i="43"/>
  <c r="EU141" i="43"/>
  <c r="EV141" i="43"/>
  <c r="EW141" i="43"/>
  <c r="EX141" i="43"/>
  <c r="EY141" i="43"/>
  <c r="EZ141" i="43"/>
  <c r="FA141" i="43"/>
  <c r="FB141" i="43"/>
  <c r="FC141" i="43"/>
  <c r="FD141" i="43"/>
  <c r="FE141" i="43"/>
  <c r="FF141" i="43"/>
  <c r="FG141" i="43"/>
  <c r="FH141" i="43"/>
  <c r="FI141" i="43"/>
  <c r="FJ141" i="43"/>
  <c r="FK141" i="43"/>
  <c r="FL141" i="43"/>
  <c r="FM141" i="43"/>
  <c r="FN141" i="43"/>
  <c r="FO141" i="43"/>
  <c r="FP141" i="43"/>
  <c r="FQ141" i="43"/>
  <c r="FR141" i="43"/>
  <c r="FS141" i="43"/>
  <c r="FT141" i="43"/>
  <c r="FU141" i="43"/>
  <c r="FV141" i="43"/>
  <c r="FW141" i="43"/>
  <c r="FX141" i="43"/>
  <c r="FY141" i="43"/>
  <c r="FZ141" i="43"/>
  <c r="GA141" i="43"/>
  <c r="GB141" i="43"/>
  <c r="GC141" i="43"/>
  <c r="GD141" i="43"/>
  <c r="GE141" i="43"/>
  <c r="GF141" i="43"/>
  <c r="GG141" i="43"/>
  <c r="GH141" i="43"/>
  <c r="GI141" i="43"/>
  <c r="GJ141" i="43"/>
  <c r="GK141" i="43"/>
  <c r="GL141" i="43"/>
  <c r="GM141" i="43"/>
  <c r="GN141" i="43"/>
  <c r="GO141" i="43"/>
  <c r="GP141" i="43"/>
  <c r="GQ141" i="43"/>
  <c r="GR141" i="43"/>
  <c r="GS141" i="43"/>
  <c r="GT141" i="43"/>
  <c r="GU141" i="43"/>
  <c r="GV141" i="43"/>
  <c r="GW141" i="43"/>
  <c r="GX141" i="43"/>
  <c r="GY141" i="43"/>
  <c r="GZ141" i="43"/>
  <c r="HA141" i="43"/>
  <c r="HB141" i="43"/>
  <c r="HC141" i="43"/>
  <c r="HD141" i="43"/>
  <c r="HE141" i="43"/>
  <c r="HF141" i="43"/>
  <c r="HG141" i="43"/>
  <c r="HH141" i="43"/>
  <c r="HI141" i="43"/>
  <c r="HJ141" i="43"/>
  <c r="HK141" i="43"/>
  <c r="HL141" i="43"/>
  <c r="HM141" i="43"/>
  <c r="HN141" i="43"/>
  <c r="HO141" i="43"/>
  <c r="HP141" i="43"/>
  <c r="HQ141" i="43"/>
  <c r="HR141" i="43"/>
  <c r="HS141" i="43"/>
  <c r="HT141" i="43"/>
  <c r="HU141" i="43"/>
  <c r="HV141" i="43"/>
  <c r="HW141" i="43"/>
  <c r="HX141" i="43"/>
  <c r="HY141" i="43"/>
  <c r="HZ141" i="43"/>
  <c r="IA141" i="43"/>
  <c r="IB141" i="43"/>
  <c r="IC141" i="43"/>
  <c r="ID141" i="43"/>
  <c r="IE141" i="43"/>
  <c r="IF141" i="43"/>
  <c r="IG141" i="43"/>
  <c r="IH141" i="43"/>
  <c r="II141" i="43"/>
  <c r="IJ141" i="43"/>
  <c r="IK141" i="43"/>
  <c r="IL141" i="43"/>
  <c r="IM141" i="43"/>
  <c r="IN141" i="43"/>
  <c r="IO141" i="43"/>
  <c r="IP141" i="43"/>
  <c r="IQ141" i="43"/>
  <c r="IR141" i="43"/>
  <c r="IS141" i="43"/>
  <c r="IT141" i="43"/>
  <c r="IU141" i="43"/>
  <c r="IV141" i="43"/>
  <c r="A140" i="43"/>
  <c r="B140" i="43"/>
  <c r="C140" i="43"/>
  <c r="D140" i="43"/>
  <c r="E140" i="43"/>
  <c r="F140" i="43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S140" i="43"/>
  <c r="T140" i="43"/>
  <c r="U140" i="43"/>
  <c r="V140" i="43"/>
  <c r="W140" i="43"/>
  <c r="X140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AT140" i="43"/>
  <c r="AU140" i="43"/>
  <c r="AV140" i="43"/>
  <c r="AW140" i="43"/>
  <c r="AX140" i="43"/>
  <c r="AY140" i="43"/>
  <c r="AZ140" i="43"/>
  <c r="BA140" i="43"/>
  <c r="BB140" i="43"/>
  <c r="BC140" i="43"/>
  <c r="BD140" i="43"/>
  <c r="BE140" i="43"/>
  <c r="BF140" i="43"/>
  <c r="BG140" i="43"/>
  <c r="BH140" i="43"/>
  <c r="BI140" i="43"/>
  <c r="BJ140" i="43"/>
  <c r="BK140" i="43"/>
  <c r="BL140" i="43"/>
  <c r="BM140" i="43"/>
  <c r="BN140" i="43"/>
  <c r="BO140" i="43"/>
  <c r="BP140" i="43"/>
  <c r="BQ140" i="43"/>
  <c r="BR140" i="43"/>
  <c r="BS140" i="43"/>
  <c r="BT140" i="43"/>
  <c r="BU140" i="43"/>
  <c r="BV140" i="43"/>
  <c r="BW140" i="43"/>
  <c r="BX140" i="43"/>
  <c r="BY140" i="43"/>
  <c r="BZ140" i="43"/>
  <c r="CA140" i="43"/>
  <c r="CB140" i="43"/>
  <c r="CC140" i="43"/>
  <c r="CD140" i="43"/>
  <c r="CE140" i="43"/>
  <c r="CF140" i="43"/>
  <c r="CG140" i="43"/>
  <c r="CH140" i="43"/>
  <c r="CI140" i="43"/>
  <c r="CJ140" i="43"/>
  <c r="CK140" i="43"/>
  <c r="CL140" i="43"/>
  <c r="CM140" i="43"/>
  <c r="CN140" i="43"/>
  <c r="CO140" i="43"/>
  <c r="CP140" i="43"/>
  <c r="CQ140" i="43"/>
  <c r="CR140" i="43"/>
  <c r="CS140" i="43"/>
  <c r="CT140" i="43"/>
  <c r="CU140" i="43"/>
  <c r="CV140" i="43"/>
  <c r="CW140" i="43"/>
  <c r="CX140" i="43"/>
  <c r="CY140" i="43"/>
  <c r="CZ140" i="43"/>
  <c r="DA140" i="43"/>
  <c r="DB140" i="43"/>
  <c r="DC140" i="43"/>
  <c r="DD140" i="43"/>
  <c r="DE140" i="43"/>
  <c r="DF140" i="43"/>
  <c r="DG140" i="43"/>
  <c r="DH140" i="43"/>
  <c r="DI140" i="43"/>
  <c r="DJ140" i="43"/>
  <c r="DK140" i="43"/>
  <c r="DL140" i="43"/>
  <c r="DM140" i="43"/>
  <c r="DN140" i="43"/>
  <c r="DO140" i="43"/>
  <c r="DP140" i="43"/>
  <c r="DQ140" i="43"/>
  <c r="DR140" i="43"/>
  <c r="DS140" i="43"/>
  <c r="DT140" i="43"/>
  <c r="DU140" i="43"/>
  <c r="DV140" i="43"/>
  <c r="DW140" i="43"/>
  <c r="DX140" i="43"/>
  <c r="DY140" i="43"/>
  <c r="DZ140" i="43"/>
  <c r="EA140" i="43"/>
  <c r="EB140" i="43"/>
  <c r="EC140" i="43"/>
  <c r="ED140" i="43"/>
  <c r="EE140" i="43"/>
  <c r="EF140" i="43"/>
  <c r="EG140" i="43"/>
  <c r="EH140" i="43"/>
  <c r="EI140" i="43"/>
  <c r="EJ140" i="43"/>
  <c r="EK140" i="43"/>
  <c r="EL140" i="43"/>
  <c r="EM140" i="43"/>
  <c r="EN140" i="43"/>
  <c r="EO140" i="43"/>
  <c r="EP140" i="43"/>
  <c r="EQ140" i="43"/>
  <c r="ER140" i="43"/>
  <c r="ES140" i="43"/>
  <c r="ET140" i="43"/>
  <c r="EU140" i="43"/>
  <c r="EV140" i="43"/>
  <c r="EW140" i="43"/>
  <c r="EX140" i="43"/>
  <c r="EY140" i="43"/>
  <c r="EZ140" i="43"/>
  <c r="FA140" i="43"/>
  <c r="FB140" i="43"/>
  <c r="FC140" i="43"/>
  <c r="FD140" i="43"/>
  <c r="FE140" i="43"/>
  <c r="FF140" i="43"/>
  <c r="FG140" i="43"/>
  <c r="FH140" i="43"/>
  <c r="FI140" i="43"/>
  <c r="FJ140" i="43"/>
  <c r="FK140" i="43"/>
  <c r="FL140" i="43"/>
  <c r="FM140" i="43"/>
  <c r="FN140" i="43"/>
  <c r="FO140" i="43"/>
  <c r="FP140" i="43"/>
  <c r="FQ140" i="43"/>
  <c r="FR140" i="43"/>
  <c r="FS140" i="43"/>
  <c r="FT140" i="43"/>
  <c r="FU140" i="43"/>
  <c r="FV140" i="43"/>
  <c r="FW140" i="43"/>
  <c r="FX140" i="43"/>
  <c r="FY140" i="43"/>
  <c r="FZ140" i="43"/>
  <c r="GA140" i="43"/>
  <c r="GB140" i="43"/>
  <c r="GC140" i="43"/>
  <c r="GD140" i="43"/>
  <c r="GE140" i="43"/>
  <c r="GF140" i="43"/>
  <c r="GG140" i="43"/>
  <c r="GH140" i="43"/>
  <c r="GI140" i="43"/>
  <c r="GJ140" i="43"/>
  <c r="GK140" i="43"/>
  <c r="GL140" i="43"/>
  <c r="GM140" i="43"/>
  <c r="GN140" i="43"/>
  <c r="GO140" i="43"/>
  <c r="GP140" i="43"/>
  <c r="GQ140" i="43"/>
  <c r="GR140" i="43"/>
  <c r="GS140" i="43"/>
  <c r="GT140" i="43"/>
  <c r="GU140" i="43"/>
  <c r="GV140" i="43"/>
  <c r="GW140" i="43"/>
  <c r="GX140" i="43"/>
  <c r="GY140" i="43"/>
  <c r="GZ140" i="43"/>
  <c r="HA140" i="43"/>
  <c r="HB140" i="43"/>
  <c r="HC140" i="43"/>
  <c r="HD140" i="43"/>
  <c r="HE140" i="43"/>
  <c r="HF140" i="43"/>
  <c r="HG140" i="43"/>
  <c r="HH140" i="43"/>
  <c r="HI140" i="43"/>
  <c r="HJ140" i="43"/>
  <c r="HK140" i="43"/>
  <c r="HL140" i="43"/>
  <c r="HM140" i="43"/>
  <c r="HN140" i="43"/>
  <c r="HO140" i="43"/>
  <c r="HP140" i="43"/>
  <c r="HQ140" i="43"/>
  <c r="HR140" i="43"/>
  <c r="HS140" i="43"/>
  <c r="HT140" i="43"/>
  <c r="HU140" i="43"/>
  <c r="HV140" i="43"/>
  <c r="HW140" i="43"/>
  <c r="HX140" i="43"/>
  <c r="HY140" i="43"/>
  <c r="HZ140" i="43"/>
  <c r="IA140" i="43"/>
  <c r="IB140" i="43"/>
  <c r="IC140" i="43"/>
  <c r="ID140" i="43"/>
  <c r="IE140" i="43"/>
  <c r="IF140" i="43"/>
  <c r="IG140" i="43"/>
  <c r="IH140" i="43"/>
  <c r="II140" i="43"/>
  <c r="IJ140" i="43"/>
  <c r="IK140" i="43"/>
  <c r="IL140" i="43"/>
  <c r="IM140" i="43"/>
  <c r="IN140" i="43"/>
  <c r="IO140" i="43"/>
  <c r="IP140" i="43"/>
  <c r="IQ140" i="43"/>
  <c r="IR140" i="43"/>
  <c r="IS140" i="43"/>
  <c r="IT140" i="43"/>
  <c r="IU140" i="43"/>
  <c r="IV140" i="43"/>
  <c r="A139" i="43"/>
  <c r="B139" i="43"/>
  <c r="C139" i="43"/>
  <c r="D139" i="43"/>
  <c r="E139" i="43"/>
  <c r="F139" i="43"/>
  <c r="G139" i="43"/>
  <c r="H139" i="43"/>
  <c r="I139" i="43"/>
  <c r="J139" i="43"/>
  <c r="K139" i="43"/>
  <c r="L139" i="43"/>
  <c r="M139" i="43"/>
  <c r="N139" i="43"/>
  <c r="O139" i="43"/>
  <c r="P139" i="43"/>
  <c r="Q139" i="43"/>
  <c r="R139" i="43"/>
  <c r="S139" i="43"/>
  <c r="T139" i="43"/>
  <c r="U139" i="43"/>
  <c r="V139" i="43"/>
  <c r="W139" i="43"/>
  <c r="X139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AT139" i="43"/>
  <c r="AU139" i="43"/>
  <c r="AV139" i="43"/>
  <c r="AW139" i="43"/>
  <c r="AX139" i="43"/>
  <c r="AY139" i="43"/>
  <c r="AZ139" i="43"/>
  <c r="BA139" i="43"/>
  <c r="BB139" i="43"/>
  <c r="BC139" i="43"/>
  <c r="BD139" i="43"/>
  <c r="BE139" i="43"/>
  <c r="BF139" i="43"/>
  <c r="BG139" i="43"/>
  <c r="BH139" i="43"/>
  <c r="BI139" i="43"/>
  <c r="BJ139" i="43"/>
  <c r="BK139" i="43"/>
  <c r="BL139" i="43"/>
  <c r="BM139" i="43"/>
  <c r="BN139" i="43"/>
  <c r="BO139" i="43"/>
  <c r="BP139" i="43"/>
  <c r="BQ139" i="43"/>
  <c r="BR139" i="43"/>
  <c r="BS139" i="43"/>
  <c r="BT139" i="43"/>
  <c r="BU139" i="43"/>
  <c r="BV139" i="43"/>
  <c r="BW139" i="43"/>
  <c r="BX139" i="43"/>
  <c r="BY139" i="43"/>
  <c r="BZ139" i="43"/>
  <c r="CA139" i="43"/>
  <c r="CB139" i="43"/>
  <c r="CC139" i="43"/>
  <c r="CD139" i="43"/>
  <c r="CE139" i="43"/>
  <c r="CF139" i="43"/>
  <c r="CG139" i="43"/>
  <c r="CH139" i="43"/>
  <c r="CI139" i="43"/>
  <c r="CJ139" i="43"/>
  <c r="CK139" i="43"/>
  <c r="CL139" i="43"/>
  <c r="CM139" i="43"/>
  <c r="CN139" i="43"/>
  <c r="CO139" i="43"/>
  <c r="CP139" i="43"/>
  <c r="CQ139" i="43"/>
  <c r="CR139" i="43"/>
  <c r="CS139" i="43"/>
  <c r="CT139" i="43"/>
  <c r="CU139" i="43"/>
  <c r="CV139" i="43"/>
  <c r="CW139" i="43"/>
  <c r="CX139" i="43"/>
  <c r="CY139" i="43"/>
  <c r="CZ139" i="43"/>
  <c r="DA139" i="43"/>
  <c r="DB139" i="43"/>
  <c r="DC139" i="43"/>
  <c r="DD139" i="43"/>
  <c r="DE139" i="43"/>
  <c r="DF139" i="43"/>
  <c r="DG139" i="43"/>
  <c r="DH139" i="43"/>
  <c r="DI139" i="43"/>
  <c r="DJ139" i="43"/>
  <c r="DK139" i="43"/>
  <c r="DL139" i="43"/>
  <c r="DM139" i="43"/>
  <c r="DN139" i="43"/>
  <c r="DO139" i="43"/>
  <c r="DP139" i="43"/>
  <c r="DQ139" i="43"/>
  <c r="DR139" i="43"/>
  <c r="DS139" i="43"/>
  <c r="DT139" i="43"/>
  <c r="DU139" i="43"/>
  <c r="DV139" i="43"/>
  <c r="DW139" i="43"/>
  <c r="DX139" i="43"/>
  <c r="DY139" i="43"/>
  <c r="DZ139" i="43"/>
  <c r="EA139" i="43"/>
  <c r="EB139" i="43"/>
  <c r="EC139" i="43"/>
  <c r="ED139" i="43"/>
  <c r="EE139" i="43"/>
  <c r="EF139" i="43"/>
  <c r="EG139" i="43"/>
  <c r="EH139" i="43"/>
  <c r="EI139" i="43"/>
  <c r="EJ139" i="43"/>
  <c r="EK139" i="43"/>
  <c r="EL139" i="43"/>
  <c r="EM139" i="43"/>
  <c r="EN139" i="43"/>
  <c r="EO139" i="43"/>
  <c r="EP139" i="43"/>
  <c r="EQ139" i="43"/>
  <c r="ER139" i="43"/>
  <c r="ES139" i="43"/>
  <c r="ET139" i="43"/>
  <c r="EU139" i="43"/>
  <c r="EV139" i="43"/>
  <c r="EW139" i="43"/>
  <c r="EX139" i="43"/>
  <c r="EY139" i="43"/>
  <c r="EZ139" i="43"/>
  <c r="FA139" i="43"/>
  <c r="FB139" i="43"/>
  <c r="FC139" i="43"/>
  <c r="FD139" i="43"/>
  <c r="FE139" i="43"/>
  <c r="FF139" i="43"/>
  <c r="FG139" i="43"/>
  <c r="FH139" i="43"/>
  <c r="FI139" i="43"/>
  <c r="FJ139" i="43"/>
  <c r="FK139" i="43"/>
  <c r="FL139" i="43"/>
  <c r="FM139" i="43"/>
  <c r="FN139" i="43"/>
  <c r="FO139" i="43"/>
  <c r="FP139" i="43"/>
  <c r="FQ139" i="43"/>
  <c r="FR139" i="43"/>
  <c r="FS139" i="43"/>
  <c r="FT139" i="43"/>
  <c r="FU139" i="43"/>
  <c r="FV139" i="43"/>
  <c r="FW139" i="43"/>
  <c r="FX139" i="43"/>
  <c r="FY139" i="43"/>
  <c r="FZ139" i="43"/>
  <c r="GA139" i="43"/>
  <c r="GB139" i="43"/>
  <c r="GC139" i="43"/>
  <c r="GD139" i="43"/>
  <c r="GE139" i="43"/>
  <c r="GF139" i="43"/>
  <c r="GG139" i="43"/>
  <c r="GH139" i="43"/>
  <c r="GI139" i="43"/>
  <c r="GJ139" i="43"/>
  <c r="GK139" i="43"/>
  <c r="GL139" i="43"/>
  <c r="GM139" i="43"/>
  <c r="GN139" i="43"/>
  <c r="GO139" i="43"/>
  <c r="GP139" i="43"/>
  <c r="GQ139" i="43"/>
  <c r="GR139" i="43"/>
  <c r="GS139" i="43"/>
  <c r="GT139" i="43"/>
  <c r="GU139" i="43"/>
  <c r="GV139" i="43"/>
  <c r="GW139" i="43"/>
  <c r="GX139" i="43"/>
  <c r="GY139" i="43"/>
  <c r="GZ139" i="43"/>
  <c r="HA139" i="43"/>
  <c r="HB139" i="43"/>
  <c r="HC139" i="43"/>
  <c r="HD139" i="43"/>
  <c r="HE139" i="43"/>
  <c r="HF139" i="43"/>
  <c r="HG139" i="43"/>
  <c r="HH139" i="43"/>
  <c r="HI139" i="43"/>
  <c r="HJ139" i="43"/>
  <c r="HK139" i="43"/>
  <c r="HL139" i="43"/>
  <c r="HM139" i="43"/>
  <c r="HN139" i="43"/>
  <c r="HO139" i="43"/>
  <c r="HP139" i="43"/>
  <c r="HQ139" i="43"/>
  <c r="HR139" i="43"/>
  <c r="HS139" i="43"/>
  <c r="HT139" i="43"/>
  <c r="HU139" i="43"/>
  <c r="HV139" i="43"/>
  <c r="HW139" i="43"/>
  <c r="HX139" i="43"/>
  <c r="HY139" i="43"/>
  <c r="HZ139" i="43"/>
  <c r="IA139" i="43"/>
  <c r="IB139" i="43"/>
  <c r="IC139" i="43"/>
  <c r="ID139" i="43"/>
  <c r="IE139" i="43"/>
  <c r="IF139" i="43"/>
  <c r="IG139" i="43"/>
  <c r="IH139" i="43"/>
  <c r="II139" i="43"/>
  <c r="IJ139" i="43"/>
  <c r="IK139" i="43"/>
  <c r="IL139" i="43"/>
  <c r="IM139" i="43"/>
  <c r="IN139" i="43"/>
  <c r="IO139" i="43"/>
  <c r="IP139" i="43"/>
  <c r="IQ139" i="43"/>
  <c r="IR139" i="43"/>
  <c r="IS139" i="43"/>
  <c r="IT139" i="43"/>
  <c r="IU139" i="43"/>
  <c r="IV139" i="43"/>
  <c r="A138" i="43"/>
  <c r="B138" i="43"/>
  <c r="C138" i="43"/>
  <c r="D138" i="43"/>
  <c r="E138" i="43"/>
  <c r="F138" i="43"/>
  <c r="G138" i="43"/>
  <c r="H138" i="43"/>
  <c r="I138" i="43"/>
  <c r="J138" i="43"/>
  <c r="K138" i="43"/>
  <c r="L138" i="43"/>
  <c r="M138" i="43"/>
  <c r="N138" i="43"/>
  <c r="O138" i="43"/>
  <c r="P138" i="43"/>
  <c r="Q138" i="43"/>
  <c r="R138" i="43"/>
  <c r="S138" i="43"/>
  <c r="T138" i="43"/>
  <c r="U138" i="43"/>
  <c r="V138" i="43"/>
  <c r="W138" i="43"/>
  <c r="X138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AT138" i="43"/>
  <c r="AU138" i="43"/>
  <c r="AV138" i="43"/>
  <c r="AW138" i="43"/>
  <c r="AX138" i="43"/>
  <c r="AY138" i="43"/>
  <c r="AZ138" i="43"/>
  <c r="BA138" i="43"/>
  <c r="BB138" i="43"/>
  <c r="BC138" i="43"/>
  <c r="BD138" i="43"/>
  <c r="BE138" i="43"/>
  <c r="BF138" i="43"/>
  <c r="BG138" i="43"/>
  <c r="BH138" i="43"/>
  <c r="BI138" i="43"/>
  <c r="BJ138" i="43"/>
  <c r="BK138" i="43"/>
  <c r="BL138" i="43"/>
  <c r="BM138" i="43"/>
  <c r="BN138" i="43"/>
  <c r="BO138" i="43"/>
  <c r="BP138" i="43"/>
  <c r="BQ138" i="43"/>
  <c r="BR138" i="43"/>
  <c r="BS138" i="43"/>
  <c r="BT138" i="43"/>
  <c r="BU138" i="43"/>
  <c r="BV138" i="43"/>
  <c r="BW138" i="43"/>
  <c r="BX138" i="43"/>
  <c r="BY138" i="43"/>
  <c r="BZ138" i="43"/>
  <c r="CA138" i="43"/>
  <c r="CB138" i="43"/>
  <c r="CC138" i="43"/>
  <c r="CD138" i="43"/>
  <c r="CE138" i="43"/>
  <c r="CF138" i="43"/>
  <c r="CG138" i="43"/>
  <c r="CH138" i="43"/>
  <c r="CI138" i="43"/>
  <c r="CJ138" i="43"/>
  <c r="CK138" i="43"/>
  <c r="CL138" i="43"/>
  <c r="CM138" i="43"/>
  <c r="CN138" i="43"/>
  <c r="CO138" i="43"/>
  <c r="CP138" i="43"/>
  <c r="CQ138" i="43"/>
  <c r="CR138" i="43"/>
  <c r="CS138" i="43"/>
  <c r="CT138" i="43"/>
  <c r="CU138" i="43"/>
  <c r="CV138" i="43"/>
  <c r="CW138" i="43"/>
  <c r="CX138" i="43"/>
  <c r="CY138" i="43"/>
  <c r="CZ138" i="43"/>
  <c r="DA138" i="43"/>
  <c r="DB138" i="43"/>
  <c r="DC138" i="43"/>
  <c r="DD138" i="43"/>
  <c r="DE138" i="43"/>
  <c r="DF138" i="43"/>
  <c r="DG138" i="43"/>
  <c r="DH138" i="43"/>
  <c r="DI138" i="43"/>
  <c r="DJ138" i="43"/>
  <c r="DK138" i="43"/>
  <c r="DL138" i="43"/>
  <c r="DM138" i="43"/>
  <c r="DN138" i="43"/>
  <c r="DO138" i="43"/>
  <c r="DP138" i="43"/>
  <c r="DQ138" i="43"/>
  <c r="DR138" i="43"/>
  <c r="DS138" i="43"/>
  <c r="DT138" i="43"/>
  <c r="DU138" i="43"/>
  <c r="DV138" i="43"/>
  <c r="DW138" i="43"/>
  <c r="DX138" i="43"/>
  <c r="DY138" i="43"/>
  <c r="DZ138" i="43"/>
  <c r="EA138" i="43"/>
  <c r="EB138" i="43"/>
  <c r="EC138" i="43"/>
  <c r="ED138" i="43"/>
  <c r="EE138" i="43"/>
  <c r="EF138" i="43"/>
  <c r="EG138" i="43"/>
  <c r="EH138" i="43"/>
  <c r="EI138" i="43"/>
  <c r="EJ138" i="43"/>
  <c r="EK138" i="43"/>
  <c r="EL138" i="43"/>
  <c r="EM138" i="43"/>
  <c r="EN138" i="43"/>
  <c r="EO138" i="43"/>
  <c r="EP138" i="43"/>
  <c r="EQ138" i="43"/>
  <c r="ER138" i="43"/>
  <c r="ES138" i="43"/>
  <c r="ET138" i="43"/>
  <c r="EU138" i="43"/>
  <c r="EV138" i="43"/>
  <c r="EW138" i="43"/>
  <c r="EX138" i="43"/>
  <c r="EY138" i="43"/>
  <c r="EZ138" i="43"/>
  <c r="FA138" i="43"/>
  <c r="FB138" i="43"/>
  <c r="FC138" i="43"/>
  <c r="FD138" i="43"/>
  <c r="FE138" i="43"/>
  <c r="FF138" i="43"/>
  <c r="FG138" i="43"/>
  <c r="FH138" i="43"/>
  <c r="FI138" i="43"/>
  <c r="FJ138" i="43"/>
  <c r="FK138" i="43"/>
  <c r="FL138" i="43"/>
  <c r="FM138" i="43"/>
  <c r="FN138" i="43"/>
  <c r="FO138" i="43"/>
  <c r="FP138" i="43"/>
  <c r="FQ138" i="43"/>
  <c r="FR138" i="43"/>
  <c r="FS138" i="43"/>
  <c r="FT138" i="43"/>
  <c r="FU138" i="43"/>
  <c r="FV138" i="43"/>
  <c r="FW138" i="43"/>
  <c r="FX138" i="43"/>
  <c r="FY138" i="43"/>
  <c r="FZ138" i="43"/>
  <c r="GA138" i="43"/>
  <c r="GB138" i="43"/>
  <c r="GC138" i="43"/>
  <c r="GD138" i="43"/>
  <c r="GE138" i="43"/>
  <c r="GF138" i="43"/>
  <c r="GG138" i="43"/>
  <c r="GH138" i="43"/>
  <c r="GI138" i="43"/>
  <c r="GJ138" i="43"/>
  <c r="GK138" i="43"/>
  <c r="GL138" i="43"/>
  <c r="GM138" i="43"/>
  <c r="GN138" i="43"/>
  <c r="GO138" i="43"/>
  <c r="GP138" i="43"/>
  <c r="GQ138" i="43"/>
  <c r="GR138" i="43"/>
  <c r="GS138" i="43"/>
  <c r="GT138" i="43"/>
  <c r="GU138" i="43"/>
  <c r="GV138" i="43"/>
  <c r="GW138" i="43"/>
  <c r="GX138" i="43"/>
  <c r="GY138" i="43"/>
  <c r="GZ138" i="43"/>
  <c r="HA138" i="43"/>
  <c r="HB138" i="43"/>
  <c r="HC138" i="43"/>
  <c r="HD138" i="43"/>
  <c r="HE138" i="43"/>
  <c r="HF138" i="43"/>
  <c r="HG138" i="43"/>
  <c r="HH138" i="43"/>
  <c r="HI138" i="43"/>
  <c r="HJ138" i="43"/>
  <c r="HK138" i="43"/>
  <c r="HL138" i="43"/>
  <c r="HM138" i="43"/>
  <c r="HN138" i="43"/>
  <c r="HO138" i="43"/>
  <c r="HP138" i="43"/>
  <c r="HQ138" i="43"/>
  <c r="HR138" i="43"/>
  <c r="HS138" i="43"/>
  <c r="HT138" i="43"/>
  <c r="HU138" i="43"/>
  <c r="HV138" i="43"/>
  <c r="HW138" i="43"/>
  <c r="HX138" i="43"/>
  <c r="HY138" i="43"/>
  <c r="HZ138" i="43"/>
  <c r="IA138" i="43"/>
  <c r="IB138" i="43"/>
  <c r="IC138" i="43"/>
  <c r="ID138" i="43"/>
  <c r="IE138" i="43"/>
  <c r="IF138" i="43"/>
  <c r="IG138" i="43"/>
  <c r="IH138" i="43"/>
  <c r="II138" i="43"/>
  <c r="IJ138" i="43"/>
  <c r="IK138" i="43"/>
  <c r="IL138" i="43"/>
  <c r="IM138" i="43"/>
  <c r="IN138" i="43"/>
  <c r="IO138" i="43"/>
  <c r="IP138" i="43"/>
  <c r="IQ138" i="43"/>
  <c r="IR138" i="43"/>
  <c r="IS138" i="43"/>
  <c r="IT138" i="43"/>
  <c r="IU138" i="43"/>
  <c r="IV138" i="43"/>
  <c r="A137" i="43"/>
  <c r="B137" i="43"/>
  <c r="C137" i="43"/>
  <c r="D137" i="43"/>
  <c r="E137" i="43"/>
  <c r="F137" i="43"/>
  <c r="G137" i="43"/>
  <c r="H137" i="43"/>
  <c r="I137" i="43"/>
  <c r="J137" i="43"/>
  <c r="K137" i="43"/>
  <c r="L137" i="43"/>
  <c r="M137" i="43"/>
  <c r="N137" i="43"/>
  <c r="O137" i="43"/>
  <c r="P137" i="43"/>
  <c r="Q137" i="43"/>
  <c r="R137" i="43"/>
  <c r="S137" i="43"/>
  <c r="T137" i="43"/>
  <c r="U137" i="43"/>
  <c r="V137" i="43"/>
  <c r="W137" i="43"/>
  <c r="X137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AT137" i="43"/>
  <c r="AU137" i="43"/>
  <c r="AV137" i="43"/>
  <c r="AW137" i="43"/>
  <c r="AX137" i="43"/>
  <c r="AY137" i="43"/>
  <c r="AZ137" i="43"/>
  <c r="BA137" i="43"/>
  <c r="BB137" i="43"/>
  <c r="BC137" i="43"/>
  <c r="BD137" i="43"/>
  <c r="BE137" i="43"/>
  <c r="BF137" i="43"/>
  <c r="BG137" i="43"/>
  <c r="BH137" i="43"/>
  <c r="BI137" i="43"/>
  <c r="BJ137" i="43"/>
  <c r="BK137" i="43"/>
  <c r="BL137" i="43"/>
  <c r="BM137" i="43"/>
  <c r="BN137" i="43"/>
  <c r="BO137" i="43"/>
  <c r="BP137" i="43"/>
  <c r="BQ137" i="43"/>
  <c r="BR137" i="43"/>
  <c r="BS137" i="43"/>
  <c r="BT137" i="43"/>
  <c r="BU137" i="43"/>
  <c r="BV137" i="43"/>
  <c r="BW137" i="43"/>
  <c r="BX137" i="43"/>
  <c r="BY137" i="43"/>
  <c r="BZ137" i="43"/>
  <c r="CA137" i="43"/>
  <c r="CB137" i="43"/>
  <c r="CC137" i="43"/>
  <c r="CD137" i="43"/>
  <c r="CE137" i="43"/>
  <c r="CF137" i="43"/>
  <c r="CG137" i="43"/>
  <c r="CH137" i="43"/>
  <c r="CI137" i="43"/>
  <c r="CJ137" i="43"/>
  <c r="CK137" i="43"/>
  <c r="CL137" i="43"/>
  <c r="CM137" i="43"/>
  <c r="CN137" i="43"/>
  <c r="CO137" i="43"/>
  <c r="CP137" i="43"/>
  <c r="CQ137" i="43"/>
  <c r="CR137" i="43"/>
  <c r="CS137" i="43"/>
  <c r="CT137" i="43"/>
  <c r="CU137" i="43"/>
  <c r="CV137" i="43"/>
  <c r="CW137" i="43"/>
  <c r="CX137" i="43"/>
  <c r="CY137" i="43"/>
  <c r="CZ137" i="43"/>
  <c r="DA137" i="43"/>
  <c r="DB137" i="43"/>
  <c r="DC137" i="43"/>
  <c r="DD137" i="43"/>
  <c r="DE137" i="43"/>
  <c r="DF137" i="43"/>
  <c r="DG137" i="43"/>
  <c r="DH137" i="43"/>
  <c r="DI137" i="43"/>
  <c r="DJ137" i="43"/>
  <c r="DK137" i="43"/>
  <c r="DL137" i="43"/>
  <c r="DM137" i="43"/>
  <c r="DN137" i="43"/>
  <c r="DO137" i="43"/>
  <c r="DP137" i="43"/>
  <c r="DQ137" i="43"/>
  <c r="DR137" i="43"/>
  <c r="DS137" i="43"/>
  <c r="DT137" i="43"/>
  <c r="DU137" i="43"/>
  <c r="DV137" i="43"/>
  <c r="DW137" i="43"/>
  <c r="DX137" i="43"/>
  <c r="DY137" i="43"/>
  <c r="DZ137" i="43"/>
  <c r="EA137" i="43"/>
  <c r="EB137" i="43"/>
  <c r="EC137" i="43"/>
  <c r="ED137" i="43"/>
  <c r="EE137" i="43"/>
  <c r="EF137" i="43"/>
  <c r="EG137" i="43"/>
  <c r="EH137" i="43"/>
  <c r="EI137" i="43"/>
  <c r="EJ137" i="43"/>
  <c r="EK137" i="43"/>
  <c r="EL137" i="43"/>
  <c r="EM137" i="43"/>
  <c r="EN137" i="43"/>
  <c r="EO137" i="43"/>
  <c r="EP137" i="43"/>
  <c r="EQ137" i="43"/>
  <c r="ER137" i="43"/>
  <c r="ES137" i="43"/>
  <c r="ET137" i="43"/>
  <c r="EU137" i="43"/>
  <c r="EV137" i="43"/>
  <c r="EW137" i="43"/>
  <c r="EX137" i="43"/>
  <c r="EY137" i="43"/>
  <c r="EZ137" i="43"/>
  <c r="FA137" i="43"/>
  <c r="FB137" i="43"/>
  <c r="FC137" i="43"/>
  <c r="FD137" i="43"/>
  <c r="FE137" i="43"/>
  <c r="FF137" i="43"/>
  <c r="FG137" i="43"/>
  <c r="FH137" i="43"/>
  <c r="FI137" i="43"/>
  <c r="FJ137" i="43"/>
  <c r="FK137" i="43"/>
  <c r="FL137" i="43"/>
  <c r="FM137" i="43"/>
  <c r="FN137" i="43"/>
  <c r="FO137" i="43"/>
  <c r="FP137" i="43"/>
  <c r="FQ137" i="43"/>
  <c r="FR137" i="43"/>
  <c r="FS137" i="43"/>
  <c r="FT137" i="43"/>
  <c r="FU137" i="43"/>
  <c r="FV137" i="43"/>
  <c r="FW137" i="43"/>
  <c r="FX137" i="43"/>
  <c r="FY137" i="43"/>
  <c r="FZ137" i="43"/>
  <c r="GA137" i="43"/>
  <c r="GB137" i="43"/>
  <c r="GC137" i="43"/>
  <c r="GD137" i="43"/>
  <c r="GE137" i="43"/>
  <c r="GF137" i="43"/>
  <c r="GG137" i="43"/>
  <c r="GH137" i="43"/>
  <c r="GI137" i="43"/>
  <c r="GJ137" i="43"/>
  <c r="GK137" i="43"/>
  <c r="GL137" i="43"/>
  <c r="GM137" i="43"/>
  <c r="GN137" i="43"/>
  <c r="GO137" i="43"/>
  <c r="GP137" i="43"/>
  <c r="GQ137" i="43"/>
  <c r="GR137" i="43"/>
  <c r="GS137" i="43"/>
  <c r="GT137" i="43"/>
  <c r="GU137" i="43"/>
  <c r="GV137" i="43"/>
  <c r="GW137" i="43"/>
  <c r="GX137" i="43"/>
  <c r="GY137" i="43"/>
  <c r="GZ137" i="43"/>
  <c r="HA137" i="43"/>
  <c r="HB137" i="43"/>
  <c r="HC137" i="43"/>
  <c r="HD137" i="43"/>
  <c r="HE137" i="43"/>
  <c r="HF137" i="43"/>
  <c r="HG137" i="43"/>
  <c r="HH137" i="43"/>
  <c r="HI137" i="43"/>
  <c r="HJ137" i="43"/>
  <c r="HK137" i="43"/>
  <c r="HL137" i="43"/>
  <c r="HM137" i="43"/>
  <c r="HN137" i="43"/>
  <c r="HO137" i="43"/>
  <c r="HP137" i="43"/>
  <c r="HQ137" i="43"/>
  <c r="HR137" i="43"/>
  <c r="HS137" i="43"/>
  <c r="HT137" i="43"/>
  <c r="HU137" i="43"/>
  <c r="HV137" i="43"/>
  <c r="HW137" i="43"/>
  <c r="HX137" i="43"/>
  <c r="HY137" i="43"/>
  <c r="HZ137" i="43"/>
  <c r="IA137" i="43"/>
  <c r="IB137" i="43"/>
  <c r="IC137" i="43"/>
  <c r="ID137" i="43"/>
  <c r="IE137" i="43"/>
  <c r="IF137" i="43"/>
  <c r="IG137" i="43"/>
  <c r="IH137" i="43"/>
  <c r="II137" i="43"/>
  <c r="IJ137" i="43"/>
  <c r="IK137" i="43"/>
  <c r="IL137" i="43"/>
  <c r="IM137" i="43"/>
  <c r="IN137" i="43"/>
  <c r="IO137" i="43"/>
  <c r="IP137" i="43"/>
  <c r="IQ137" i="43"/>
  <c r="IR137" i="43"/>
  <c r="IS137" i="43"/>
  <c r="IT137" i="43"/>
  <c r="IU137" i="43"/>
  <c r="IV137" i="43"/>
  <c r="A136" i="43"/>
  <c r="B136" i="43"/>
  <c r="C136" i="43"/>
  <c r="D136" i="43"/>
  <c r="E136" i="43"/>
  <c r="F136" i="43"/>
  <c r="G136" i="43"/>
  <c r="H136" i="43"/>
  <c r="I136" i="43"/>
  <c r="J136" i="43"/>
  <c r="K136" i="43"/>
  <c r="L136" i="43"/>
  <c r="M136" i="43"/>
  <c r="N136" i="43"/>
  <c r="O136" i="43"/>
  <c r="P136" i="43"/>
  <c r="Q136" i="43"/>
  <c r="R136" i="43"/>
  <c r="S136" i="43"/>
  <c r="T136" i="43"/>
  <c r="U136" i="43"/>
  <c r="V136" i="43"/>
  <c r="W136" i="43"/>
  <c r="X136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AT136" i="43"/>
  <c r="AU136" i="43"/>
  <c r="AV136" i="43"/>
  <c r="AW136" i="43"/>
  <c r="AX136" i="43"/>
  <c r="AY136" i="43"/>
  <c r="AZ136" i="43"/>
  <c r="BA136" i="43"/>
  <c r="BB136" i="43"/>
  <c r="BC136" i="43"/>
  <c r="BD136" i="43"/>
  <c r="BE136" i="43"/>
  <c r="BF136" i="43"/>
  <c r="BG136" i="43"/>
  <c r="BH136" i="43"/>
  <c r="BI136" i="43"/>
  <c r="BJ136" i="43"/>
  <c r="BK136" i="43"/>
  <c r="BL136" i="43"/>
  <c r="BM136" i="43"/>
  <c r="BN136" i="43"/>
  <c r="BO136" i="43"/>
  <c r="BP136" i="43"/>
  <c r="BQ136" i="43"/>
  <c r="BR136" i="43"/>
  <c r="BS136" i="43"/>
  <c r="BT136" i="43"/>
  <c r="BU136" i="43"/>
  <c r="BV136" i="43"/>
  <c r="BW136" i="43"/>
  <c r="BX136" i="43"/>
  <c r="BY136" i="43"/>
  <c r="BZ136" i="43"/>
  <c r="CA136" i="43"/>
  <c r="CB136" i="43"/>
  <c r="CC136" i="43"/>
  <c r="CD136" i="43"/>
  <c r="CE136" i="43"/>
  <c r="CF136" i="43"/>
  <c r="CG136" i="43"/>
  <c r="CH136" i="43"/>
  <c r="CI136" i="43"/>
  <c r="CJ136" i="43"/>
  <c r="CK136" i="43"/>
  <c r="CL136" i="43"/>
  <c r="CM136" i="43"/>
  <c r="CN136" i="43"/>
  <c r="CO136" i="43"/>
  <c r="CP136" i="43"/>
  <c r="CQ136" i="43"/>
  <c r="CR136" i="43"/>
  <c r="CS136" i="43"/>
  <c r="CT136" i="43"/>
  <c r="CU136" i="43"/>
  <c r="CV136" i="43"/>
  <c r="CW136" i="43"/>
  <c r="CX136" i="43"/>
  <c r="CY136" i="43"/>
  <c r="CZ136" i="43"/>
  <c r="DA136" i="43"/>
  <c r="DB136" i="43"/>
  <c r="DC136" i="43"/>
  <c r="DD136" i="43"/>
  <c r="DE136" i="43"/>
  <c r="DF136" i="43"/>
  <c r="DG136" i="43"/>
  <c r="DH136" i="43"/>
  <c r="DI136" i="43"/>
  <c r="DJ136" i="43"/>
  <c r="DK136" i="43"/>
  <c r="DL136" i="43"/>
  <c r="DM136" i="43"/>
  <c r="DN136" i="43"/>
  <c r="DO136" i="43"/>
  <c r="DP136" i="43"/>
  <c r="DQ136" i="43"/>
  <c r="DR136" i="43"/>
  <c r="DS136" i="43"/>
  <c r="DT136" i="43"/>
  <c r="DU136" i="43"/>
  <c r="DV136" i="43"/>
  <c r="DW136" i="43"/>
  <c r="DX136" i="43"/>
  <c r="DY136" i="43"/>
  <c r="DZ136" i="43"/>
  <c r="EA136" i="43"/>
  <c r="EB136" i="43"/>
  <c r="EC136" i="43"/>
  <c r="ED136" i="43"/>
  <c r="EE136" i="43"/>
  <c r="EF136" i="43"/>
  <c r="EG136" i="43"/>
  <c r="EH136" i="43"/>
  <c r="EI136" i="43"/>
  <c r="EJ136" i="43"/>
  <c r="EK136" i="43"/>
  <c r="EL136" i="43"/>
  <c r="EM136" i="43"/>
  <c r="EN136" i="43"/>
  <c r="EO136" i="43"/>
  <c r="EP136" i="43"/>
  <c r="EQ136" i="43"/>
  <c r="ER136" i="43"/>
  <c r="ES136" i="43"/>
  <c r="ET136" i="43"/>
  <c r="EU136" i="43"/>
  <c r="EV136" i="43"/>
  <c r="EW136" i="43"/>
  <c r="EX136" i="43"/>
  <c r="EY136" i="43"/>
  <c r="EZ136" i="43"/>
  <c r="FA136" i="43"/>
  <c r="FB136" i="43"/>
  <c r="FC136" i="43"/>
  <c r="FD136" i="43"/>
  <c r="FE136" i="43"/>
  <c r="FF136" i="43"/>
  <c r="FG136" i="43"/>
  <c r="FH136" i="43"/>
  <c r="FI136" i="43"/>
  <c r="FJ136" i="43"/>
  <c r="FK136" i="43"/>
  <c r="FL136" i="43"/>
  <c r="FM136" i="43"/>
  <c r="FN136" i="43"/>
  <c r="FO136" i="43"/>
  <c r="FP136" i="43"/>
  <c r="FQ136" i="43"/>
  <c r="FR136" i="43"/>
  <c r="FS136" i="43"/>
  <c r="FT136" i="43"/>
  <c r="FU136" i="43"/>
  <c r="FV136" i="43"/>
  <c r="FW136" i="43"/>
  <c r="FX136" i="43"/>
  <c r="FY136" i="43"/>
  <c r="FZ136" i="43"/>
  <c r="GA136" i="43"/>
  <c r="GB136" i="43"/>
  <c r="GC136" i="43"/>
  <c r="GD136" i="43"/>
  <c r="GE136" i="43"/>
  <c r="GF136" i="43"/>
  <c r="GG136" i="43"/>
  <c r="GH136" i="43"/>
  <c r="GI136" i="43"/>
  <c r="GJ136" i="43"/>
  <c r="GK136" i="43"/>
  <c r="GL136" i="43"/>
  <c r="GM136" i="43"/>
  <c r="GN136" i="43"/>
  <c r="GO136" i="43"/>
  <c r="GP136" i="43"/>
  <c r="GQ136" i="43"/>
  <c r="GR136" i="43"/>
  <c r="GS136" i="43"/>
  <c r="GT136" i="43"/>
  <c r="GU136" i="43"/>
  <c r="GV136" i="43"/>
  <c r="GW136" i="43"/>
  <c r="GX136" i="43"/>
  <c r="GY136" i="43"/>
  <c r="GZ136" i="43"/>
  <c r="HA136" i="43"/>
  <c r="HB136" i="43"/>
  <c r="HC136" i="43"/>
  <c r="HD136" i="43"/>
  <c r="HE136" i="43"/>
  <c r="HF136" i="43"/>
  <c r="HG136" i="43"/>
  <c r="HH136" i="43"/>
  <c r="HI136" i="43"/>
  <c r="HJ136" i="43"/>
  <c r="HK136" i="43"/>
  <c r="HL136" i="43"/>
  <c r="HM136" i="43"/>
  <c r="HN136" i="43"/>
  <c r="HO136" i="43"/>
  <c r="HP136" i="43"/>
  <c r="HQ136" i="43"/>
  <c r="HR136" i="43"/>
  <c r="HS136" i="43"/>
  <c r="HT136" i="43"/>
  <c r="HU136" i="43"/>
  <c r="HV136" i="43"/>
  <c r="HW136" i="43"/>
  <c r="HX136" i="43"/>
  <c r="HY136" i="43"/>
  <c r="HZ136" i="43"/>
  <c r="IA136" i="43"/>
  <c r="IB136" i="43"/>
  <c r="IC136" i="43"/>
  <c r="ID136" i="43"/>
  <c r="IE136" i="43"/>
  <c r="IF136" i="43"/>
  <c r="IG136" i="43"/>
  <c r="IH136" i="43"/>
  <c r="II136" i="43"/>
  <c r="IJ136" i="43"/>
  <c r="IK136" i="43"/>
  <c r="IL136" i="43"/>
  <c r="IM136" i="43"/>
  <c r="IN136" i="43"/>
  <c r="IO136" i="43"/>
  <c r="IP136" i="43"/>
  <c r="IQ136" i="43"/>
  <c r="IR136" i="43"/>
  <c r="IS136" i="43"/>
  <c r="IT136" i="43"/>
  <c r="IU136" i="43"/>
  <c r="IV136" i="43"/>
  <c r="A135" i="43"/>
  <c r="B135" i="43"/>
  <c r="C135" i="43"/>
  <c r="D135" i="43"/>
  <c r="E135" i="43"/>
  <c r="F135" i="43"/>
  <c r="G135" i="43"/>
  <c r="H135" i="43"/>
  <c r="I135" i="43"/>
  <c r="J135" i="43"/>
  <c r="K135" i="43"/>
  <c r="L135" i="43"/>
  <c r="M135" i="43"/>
  <c r="N135" i="43"/>
  <c r="O135" i="43"/>
  <c r="P135" i="43"/>
  <c r="Q135" i="43"/>
  <c r="R135" i="43"/>
  <c r="S135" i="43"/>
  <c r="T135" i="43"/>
  <c r="U135" i="43"/>
  <c r="V135" i="43"/>
  <c r="W135" i="43"/>
  <c r="X135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AT135" i="43"/>
  <c r="AU135" i="43"/>
  <c r="AV135" i="43"/>
  <c r="AW135" i="43"/>
  <c r="AX135" i="43"/>
  <c r="AY135" i="43"/>
  <c r="AZ135" i="43"/>
  <c r="BA135" i="43"/>
  <c r="BB135" i="43"/>
  <c r="BC135" i="43"/>
  <c r="BD135" i="43"/>
  <c r="BE135" i="43"/>
  <c r="BF135" i="43"/>
  <c r="BG135" i="43"/>
  <c r="BH135" i="43"/>
  <c r="BI135" i="43"/>
  <c r="BJ135" i="43"/>
  <c r="BK135" i="43"/>
  <c r="BL135" i="43"/>
  <c r="BM135" i="43"/>
  <c r="BN135" i="43"/>
  <c r="BO135" i="43"/>
  <c r="BP135" i="43"/>
  <c r="BQ135" i="43"/>
  <c r="BR135" i="43"/>
  <c r="BS135" i="43"/>
  <c r="BT135" i="43"/>
  <c r="BU135" i="43"/>
  <c r="BV135" i="43"/>
  <c r="BW135" i="43"/>
  <c r="BX135" i="43"/>
  <c r="BY135" i="43"/>
  <c r="BZ135" i="43"/>
  <c r="CA135" i="43"/>
  <c r="CB135" i="43"/>
  <c r="CC135" i="43"/>
  <c r="CD135" i="43"/>
  <c r="CE135" i="43"/>
  <c r="CF135" i="43"/>
  <c r="CG135" i="43"/>
  <c r="CH135" i="43"/>
  <c r="CI135" i="43"/>
  <c r="CJ135" i="43"/>
  <c r="CK135" i="43"/>
  <c r="CL135" i="43"/>
  <c r="CM135" i="43"/>
  <c r="CN135" i="43"/>
  <c r="CO135" i="43"/>
  <c r="CP135" i="43"/>
  <c r="CQ135" i="43"/>
  <c r="CR135" i="43"/>
  <c r="CS135" i="43"/>
  <c r="CT135" i="43"/>
  <c r="CU135" i="43"/>
  <c r="CV135" i="43"/>
  <c r="CW135" i="43"/>
  <c r="CX135" i="43"/>
  <c r="CY135" i="43"/>
  <c r="CZ135" i="43"/>
  <c r="DA135" i="43"/>
  <c r="DB135" i="43"/>
  <c r="DC135" i="43"/>
  <c r="DD135" i="43"/>
  <c r="DE135" i="43"/>
  <c r="DF135" i="43"/>
  <c r="DG135" i="43"/>
  <c r="DH135" i="43"/>
  <c r="DI135" i="43"/>
  <c r="DJ135" i="43"/>
  <c r="DK135" i="43"/>
  <c r="DL135" i="43"/>
  <c r="DM135" i="43"/>
  <c r="DN135" i="43"/>
  <c r="DO135" i="43"/>
  <c r="DP135" i="43"/>
  <c r="DQ135" i="43"/>
  <c r="DR135" i="43"/>
  <c r="DS135" i="43"/>
  <c r="DT135" i="43"/>
  <c r="DU135" i="43"/>
  <c r="DV135" i="43"/>
  <c r="DW135" i="43"/>
  <c r="DX135" i="43"/>
  <c r="DY135" i="43"/>
  <c r="DZ135" i="43"/>
  <c r="EA135" i="43"/>
  <c r="EB135" i="43"/>
  <c r="EC135" i="43"/>
  <c r="ED135" i="43"/>
  <c r="EE135" i="43"/>
  <c r="EF135" i="43"/>
  <c r="EG135" i="43"/>
  <c r="EH135" i="43"/>
  <c r="EI135" i="43"/>
  <c r="EJ135" i="43"/>
  <c r="EK135" i="43"/>
  <c r="EL135" i="43"/>
  <c r="EM135" i="43"/>
  <c r="EN135" i="43"/>
  <c r="EO135" i="43"/>
  <c r="EP135" i="43"/>
  <c r="EQ135" i="43"/>
  <c r="ER135" i="43"/>
  <c r="ES135" i="43"/>
  <c r="ET135" i="43"/>
  <c r="EU135" i="43"/>
  <c r="EV135" i="43"/>
  <c r="EW135" i="43"/>
  <c r="EX135" i="43"/>
  <c r="EY135" i="43"/>
  <c r="EZ135" i="43"/>
  <c r="FA135" i="43"/>
  <c r="FB135" i="43"/>
  <c r="FC135" i="43"/>
  <c r="FD135" i="43"/>
  <c r="FE135" i="43"/>
  <c r="FF135" i="43"/>
  <c r="FG135" i="43"/>
  <c r="FH135" i="43"/>
  <c r="FI135" i="43"/>
  <c r="FJ135" i="43"/>
  <c r="FK135" i="43"/>
  <c r="FL135" i="43"/>
  <c r="FM135" i="43"/>
  <c r="FN135" i="43"/>
  <c r="FO135" i="43"/>
  <c r="FP135" i="43"/>
  <c r="FQ135" i="43"/>
  <c r="FR135" i="43"/>
  <c r="FS135" i="43"/>
  <c r="FT135" i="43"/>
  <c r="FU135" i="43"/>
  <c r="FV135" i="43"/>
  <c r="FW135" i="43"/>
  <c r="FX135" i="43"/>
  <c r="FY135" i="43"/>
  <c r="FZ135" i="43"/>
  <c r="GA135" i="43"/>
  <c r="GB135" i="43"/>
  <c r="GC135" i="43"/>
  <c r="GD135" i="43"/>
  <c r="GE135" i="43"/>
  <c r="GF135" i="43"/>
  <c r="GG135" i="43"/>
  <c r="GH135" i="43"/>
  <c r="GI135" i="43"/>
  <c r="GJ135" i="43"/>
  <c r="GK135" i="43"/>
  <c r="GL135" i="43"/>
  <c r="GM135" i="43"/>
  <c r="GN135" i="43"/>
  <c r="GO135" i="43"/>
  <c r="GP135" i="43"/>
  <c r="GQ135" i="43"/>
  <c r="GR135" i="43"/>
  <c r="GS135" i="43"/>
  <c r="GT135" i="43"/>
  <c r="GU135" i="43"/>
  <c r="GV135" i="43"/>
  <c r="GW135" i="43"/>
  <c r="GX135" i="43"/>
  <c r="GY135" i="43"/>
  <c r="GZ135" i="43"/>
  <c r="HA135" i="43"/>
  <c r="HB135" i="43"/>
  <c r="HC135" i="43"/>
  <c r="HD135" i="43"/>
  <c r="HE135" i="43"/>
  <c r="HF135" i="43"/>
  <c r="HG135" i="43"/>
  <c r="HH135" i="43"/>
  <c r="HI135" i="43"/>
  <c r="HJ135" i="43"/>
  <c r="HK135" i="43"/>
  <c r="HL135" i="43"/>
  <c r="HM135" i="43"/>
  <c r="HN135" i="43"/>
  <c r="HO135" i="43"/>
  <c r="HP135" i="43"/>
  <c r="HQ135" i="43"/>
  <c r="HR135" i="43"/>
  <c r="HS135" i="43"/>
  <c r="HT135" i="43"/>
  <c r="HU135" i="43"/>
  <c r="HV135" i="43"/>
  <c r="HW135" i="43"/>
  <c r="HX135" i="43"/>
  <c r="HY135" i="43"/>
  <c r="HZ135" i="43"/>
  <c r="IA135" i="43"/>
  <c r="IB135" i="43"/>
  <c r="IC135" i="43"/>
  <c r="ID135" i="43"/>
  <c r="IE135" i="43"/>
  <c r="IF135" i="43"/>
  <c r="IG135" i="43"/>
  <c r="IH135" i="43"/>
  <c r="II135" i="43"/>
  <c r="IJ135" i="43"/>
  <c r="IK135" i="43"/>
  <c r="IL135" i="43"/>
  <c r="IM135" i="43"/>
  <c r="IN135" i="43"/>
  <c r="IO135" i="43"/>
  <c r="IP135" i="43"/>
  <c r="IQ135" i="43"/>
  <c r="IR135" i="43"/>
  <c r="IS135" i="43"/>
  <c r="IT135" i="43"/>
  <c r="IU135" i="43"/>
  <c r="IV135" i="43"/>
  <c r="A134" i="43"/>
  <c r="B134" i="43"/>
  <c r="C134" i="43"/>
  <c r="D134" i="43"/>
  <c r="E134" i="43"/>
  <c r="F134" i="43"/>
  <c r="G134" i="43"/>
  <c r="H134" i="43"/>
  <c r="I134" i="43"/>
  <c r="J134" i="43"/>
  <c r="K134" i="43"/>
  <c r="L134" i="43"/>
  <c r="M134" i="43"/>
  <c r="N134" i="43"/>
  <c r="O134" i="43"/>
  <c r="P134" i="43"/>
  <c r="Q134" i="43"/>
  <c r="R134" i="43"/>
  <c r="S134" i="43"/>
  <c r="T134" i="43"/>
  <c r="U134" i="43"/>
  <c r="V134" i="43"/>
  <c r="W134" i="43"/>
  <c r="X134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AT134" i="43"/>
  <c r="AU134" i="43"/>
  <c r="AV134" i="43"/>
  <c r="AW134" i="43"/>
  <c r="AX134" i="43"/>
  <c r="AY134" i="43"/>
  <c r="AZ134" i="43"/>
  <c r="BA134" i="43"/>
  <c r="BB134" i="43"/>
  <c r="BC134" i="43"/>
  <c r="BD134" i="43"/>
  <c r="BE134" i="43"/>
  <c r="BF134" i="43"/>
  <c r="BG134" i="43"/>
  <c r="BH134" i="43"/>
  <c r="BI134" i="43"/>
  <c r="BJ134" i="43"/>
  <c r="BK134" i="43"/>
  <c r="BL134" i="43"/>
  <c r="BM134" i="43"/>
  <c r="BN134" i="43"/>
  <c r="BO134" i="43"/>
  <c r="BP134" i="43"/>
  <c r="BQ134" i="43"/>
  <c r="BR134" i="43"/>
  <c r="BS134" i="43"/>
  <c r="BT134" i="43"/>
  <c r="BU134" i="43"/>
  <c r="BV134" i="43"/>
  <c r="BW134" i="43"/>
  <c r="BX134" i="43"/>
  <c r="BY134" i="43"/>
  <c r="BZ134" i="43"/>
  <c r="CA134" i="43"/>
  <c r="CB134" i="43"/>
  <c r="CC134" i="43"/>
  <c r="CD134" i="43"/>
  <c r="CE134" i="43"/>
  <c r="CF134" i="43"/>
  <c r="CG134" i="43"/>
  <c r="CH134" i="43"/>
  <c r="CI134" i="43"/>
  <c r="CJ134" i="43"/>
  <c r="CK134" i="43"/>
  <c r="CL134" i="43"/>
  <c r="CM134" i="43"/>
  <c r="CN134" i="43"/>
  <c r="CO134" i="43"/>
  <c r="CP134" i="43"/>
  <c r="CQ134" i="43"/>
  <c r="CR134" i="43"/>
  <c r="CS134" i="43"/>
  <c r="CT134" i="43"/>
  <c r="CU134" i="43"/>
  <c r="CV134" i="43"/>
  <c r="CW134" i="43"/>
  <c r="CX134" i="43"/>
  <c r="CY134" i="43"/>
  <c r="CZ134" i="43"/>
  <c r="DA134" i="43"/>
  <c r="DB134" i="43"/>
  <c r="DC134" i="43"/>
  <c r="DD134" i="43"/>
  <c r="DE134" i="43"/>
  <c r="DF134" i="43"/>
  <c r="DG134" i="43"/>
  <c r="DH134" i="43"/>
  <c r="DI134" i="43"/>
  <c r="DJ134" i="43"/>
  <c r="DK134" i="43"/>
  <c r="DL134" i="43"/>
  <c r="DM134" i="43"/>
  <c r="DN134" i="43"/>
  <c r="DO134" i="43"/>
  <c r="DP134" i="43"/>
  <c r="DQ134" i="43"/>
  <c r="DR134" i="43"/>
  <c r="DS134" i="43"/>
  <c r="DT134" i="43"/>
  <c r="DU134" i="43"/>
  <c r="DV134" i="43"/>
  <c r="DW134" i="43"/>
  <c r="DX134" i="43"/>
  <c r="DY134" i="43"/>
  <c r="DZ134" i="43"/>
  <c r="EA134" i="43"/>
  <c r="EB134" i="43"/>
  <c r="EC134" i="43"/>
  <c r="ED134" i="43"/>
  <c r="EE134" i="43"/>
  <c r="EF134" i="43"/>
  <c r="EG134" i="43"/>
  <c r="EH134" i="43"/>
  <c r="EI134" i="43"/>
  <c r="EJ134" i="43"/>
  <c r="EK134" i="43"/>
  <c r="EL134" i="43"/>
  <c r="EM134" i="43"/>
  <c r="EN134" i="43"/>
  <c r="EO134" i="43"/>
  <c r="EP134" i="43"/>
  <c r="EQ134" i="43"/>
  <c r="ER134" i="43"/>
  <c r="ES134" i="43"/>
  <c r="ET134" i="43"/>
  <c r="EU134" i="43"/>
  <c r="EV134" i="43"/>
  <c r="EW134" i="43"/>
  <c r="EX134" i="43"/>
  <c r="EY134" i="43"/>
  <c r="EZ134" i="43"/>
  <c r="FA134" i="43"/>
  <c r="FB134" i="43"/>
  <c r="FC134" i="43"/>
  <c r="FD134" i="43"/>
  <c r="FE134" i="43"/>
  <c r="FF134" i="43"/>
  <c r="FG134" i="43"/>
  <c r="FH134" i="43"/>
  <c r="FI134" i="43"/>
  <c r="FJ134" i="43"/>
  <c r="FK134" i="43"/>
  <c r="FL134" i="43"/>
  <c r="FM134" i="43"/>
  <c r="FN134" i="43"/>
  <c r="FO134" i="43"/>
  <c r="FP134" i="43"/>
  <c r="FQ134" i="43"/>
  <c r="FR134" i="43"/>
  <c r="FS134" i="43"/>
  <c r="FT134" i="43"/>
  <c r="FU134" i="43"/>
  <c r="FV134" i="43"/>
  <c r="FW134" i="43"/>
  <c r="FX134" i="43"/>
  <c r="FY134" i="43"/>
  <c r="FZ134" i="43"/>
  <c r="GA134" i="43"/>
  <c r="GB134" i="43"/>
  <c r="GC134" i="43"/>
  <c r="GD134" i="43"/>
  <c r="GE134" i="43"/>
  <c r="GF134" i="43"/>
  <c r="GG134" i="43"/>
  <c r="GH134" i="43"/>
  <c r="GI134" i="43"/>
  <c r="GJ134" i="43"/>
  <c r="GK134" i="43"/>
  <c r="GL134" i="43"/>
  <c r="GM134" i="43"/>
  <c r="GN134" i="43"/>
  <c r="GO134" i="43"/>
  <c r="GP134" i="43"/>
  <c r="GQ134" i="43"/>
  <c r="GR134" i="43"/>
  <c r="GS134" i="43"/>
  <c r="GT134" i="43"/>
  <c r="GU134" i="43"/>
  <c r="GV134" i="43"/>
  <c r="GW134" i="43"/>
  <c r="GX134" i="43"/>
  <c r="GY134" i="43"/>
  <c r="GZ134" i="43"/>
  <c r="HA134" i="43"/>
  <c r="HB134" i="43"/>
  <c r="HC134" i="43"/>
  <c r="HD134" i="43"/>
  <c r="HE134" i="43"/>
  <c r="HF134" i="43"/>
  <c r="HG134" i="43"/>
  <c r="HH134" i="43"/>
  <c r="HI134" i="43"/>
  <c r="HJ134" i="43"/>
  <c r="HK134" i="43"/>
  <c r="HL134" i="43"/>
  <c r="HM134" i="43"/>
  <c r="HN134" i="43"/>
  <c r="HO134" i="43"/>
  <c r="HP134" i="43"/>
  <c r="HQ134" i="43"/>
  <c r="HR134" i="43"/>
  <c r="HS134" i="43"/>
  <c r="HT134" i="43"/>
  <c r="HU134" i="43"/>
  <c r="HV134" i="43"/>
  <c r="HW134" i="43"/>
  <c r="HX134" i="43"/>
  <c r="HY134" i="43"/>
  <c r="HZ134" i="43"/>
  <c r="IA134" i="43"/>
  <c r="IB134" i="43"/>
  <c r="IC134" i="43"/>
  <c r="ID134" i="43"/>
  <c r="IE134" i="43"/>
  <c r="IF134" i="43"/>
  <c r="IG134" i="43"/>
  <c r="IH134" i="43"/>
  <c r="II134" i="43"/>
  <c r="IJ134" i="43"/>
  <c r="IK134" i="43"/>
  <c r="IL134" i="43"/>
  <c r="IM134" i="43"/>
  <c r="IN134" i="43"/>
  <c r="IO134" i="43"/>
  <c r="IP134" i="43"/>
  <c r="IQ134" i="43"/>
  <c r="IR134" i="43"/>
  <c r="IS134" i="43"/>
  <c r="IT134" i="43"/>
  <c r="IU134" i="43"/>
  <c r="IV134" i="43"/>
  <c r="A133" i="43"/>
  <c r="B133" i="43"/>
  <c r="C133" i="43"/>
  <c r="D133" i="43"/>
  <c r="E133" i="43"/>
  <c r="F133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S133" i="43"/>
  <c r="T133" i="43"/>
  <c r="U133" i="43"/>
  <c r="V133" i="43"/>
  <c r="W133" i="43"/>
  <c r="X133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AT133" i="43"/>
  <c r="AU133" i="43"/>
  <c r="AV133" i="43"/>
  <c r="AW133" i="43"/>
  <c r="AX133" i="43"/>
  <c r="AY133" i="43"/>
  <c r="AZ133" i="43"/>
  <c r="BA133" i="43"/>
  <c r="BB133" i="43"/>
  <c r="BC133" i="43"/>
  <c r="BD133" i="43"/>
  <c r="BE133" i="43"/>
  <c r="BF133" i="43"/>
  <c r="BG133" i="43"/>
  <c r="BH133" i="43"/>
  <c r="BI133" i="43"/>
  <c r="BJ133" i="43"/>
  <c r="BK133" i="43"/>
  <c r="BL133" i="43"/>
  <c r="BM133" i="43"/>
  <c r="BN133" i="43"/>
  <c r="BO133" i="43"/>
  <c r="BP133" i="43"/>
  <c r="BQ133" i="43"/>
  <c r="BR133" i="43"/>
  <c r="BS133" i="43"/>
  <c r="BT133" i="43"/>
  <c r="BU133" i="43"/>
  <c r="BV133" i="43"/>
  <c r="BW133" i="43"/>
  <c r="BX133" i="43"/>
  <c r="BY133" i="43"/>
  <c r="BZ133" i="43"/>
  <c r="CA133" i="43"/>
  <c r="CB133" i="43"/>
  <c r="CC133" i="43"/>
  <c r="CD133" i="43"/>
  <c r="CE133" i="43"/>
  <c r="CF133" i="43"/>
  <c r="CG133" i="43"/>
  <c r="CH133" i="43"/>
  <c r="CI133" i="43"/>
  <c r="CJ133" i="43"/>
  <c r="CK133" i="43"/>
  <c r="CL133" i="43"/>
  <c r="CM133" i="43"/>
  <c r="CN133" i="43"/>
  <c r="CO133" i="43"/>
  <c r="CP133" i="43"/>
  <c r="CQ133" i="43"/>
  <c r="CR133" i="43"/>
  <c r="CS133" i="43"/>
  <c r="CT133" i="43"/>
  <c r="CU133" i="43"/>
  <c r="CV133" i="43"/>
  <c r="CW133" i="43"/>
  <c r="CX133" i="43"/>
  <c r="CY133" i="43"/>
  <c r="CZ133" i="43"/>
  <c r="DA133" i="43"/>
  <c r="DB133" i="43"/>
  <c r="DC133" i="43"/>
  <c r="DD133" i="43"/>
  <c r="DE133" i="43"/>
  <c r="DF133" i="43"/>
  <c r="DG133" i="43"/>
  <c r="DH133" i="43"/>
  <c r="DI133" i="43"/>
  <c r="DJ133" i="43"/>
  <c r="DK133" i="43"/>
  <c r="DL133" i="43"/>
  <c r="DM133" i="43"/>
  <c r="DN133" i="43"/>
  <c r="DO133" i="43"/>
  <c r="DP133" i="43"/>
  <c r="DQ133" i="43"/>
  <c r="DR133" i="43"/>
  <c r="DS133" i="43"/>
  <c r="DT133" i="43"/>
  <c r="DU133" i="43"/>
  <c r="DV133" i="43"/>
  <c r="DW133" i="43"/>
  <c r="DX133" i="43"/>
  <c r="DY133" i="43"/>
  <c r="DZ133" i="43"/>
  <c r="EA133" i="43"/>
  <c r="EB133" i="43"/>
  <c r="EC133" i="43"/>
  <c r="ED133" i="43"/>
  <c r="EE133" i="43"/>
  <c r="EF133" i="43"/>
  <c r="EG133" i="43"/>
  <c r="EH133" i="43"/>
  <c r="EI133" i="43"/>
  <c r="EJ133" i="43"/>
  <c r="EK133" i="43"/>
  <c r="EL133" i="43"/>
  <c r="EM133" i="43"/>
  <c r="EN133" i="43"/>
  <c r="EO133" i="43"/>
  <c r="EP133" i="43"/>
  <c r="EQ133" i="43"/>
  <c r="ER133" i="43"/>
  <c r="ES133" i="43"/>
  <c r="ET133" i="43"/>
  <c r="EU133" i="43"/>
  <c r="EV133" i="43"/>
  <c r="EW133" i="43"/>
  <c r="EX133" i="43"/>
  <c r="EY133" i="43"/>
  <c r="EZ133" i="43"/>
  <c r="FA133" i="43"/>
  <c r="FB133" i="43"/>
  <c r="FC133" i="43"/>
  <c r="FD133" i="43"/>
  <c r="FE133" i="43"/>
  <c r="FF133" i="43"/>
  <c r="FG133" i="43"/>
  <c r="FH133" i="43"/>
  <c r="FI133" i="43"/>
  <c r="FJ133" i="43"/>
  <c r="FK133" i="43"/>
  <c r="FL133" i="43"/>
  <c r="FM133" i="43"/>
  <c r="FN133" i="43"/>
  <c r="FO133" i="43"/>
  <c r="FP133" i="43"/>
  <c r="FQ133" i="43"/>
  <c r="FR133" i="43"/>
  <c r="FS133" i="43"/>
  <c r="FT133" i="43"/>
  <c r="FU133" i="43"/>
  <c r="FV133" i="43"/>
  <c r="FW133" i="43"/>
  <c r="FX133" i="43"/>
  <c r="FY133" i="43"/>
  <c r="FZ133" i="43"/>
  <c r="GA133" i="43"/>
  <c r="GB133" i="43"/>
  <c r="GC133" i="43"/>
  <c r="GD133" i="43"/>
  <c r="GE133" i="43"/>
  <c r="GF133" i="43"/>
  <c r="GG133" i="43"/>
  <c r="GH133" i="43"/>
  <c r="GI133" i="43"/>
  <c r="GJ133" i="43"/>
  <c r="GK133" i="43"/>
  <c r="GL133" i="43"/>
  <c r="GM133" i="43"/>
  <c r="GN133" i="43"/>
  <c r="GO133" i="43"/>
  <c r="GP133" i="43"/>
  <c r="GQ133" i="43"/>
  <c r="GR133" i="43"/>
  <c r="GS133" i="43"/>
  <c r="GT133" i="43"/>
  <c r="GU133" i="43"/>
  <c r="GV133" i="43"/>
  <c r="GW133" i="43"/>
  <c r="GX133" i="43"/>
  <c r="GY133" i="43"/>
  <c r="GZ133" i="43"/>
  <c r="HA133" i="43"/>
  <c r="HB133" i="43"/>
  <c r="HC133" i="43"/>
  <c r="HD133" i="43"/>
  <c r="HE133" i="43"/>
  <c r="HF133" i="43"/>
  <c r="HG133" i="43"/>
  <c r="HH133" i="43"/>
  <c r="HI133" i="43"/>
  <c r="HJ133" i="43"/>
  <c r="HK133" i="43"/>
  <c r="HL133" i="43"/>
  <c r="HM133" i="43"/>
  <c r="HN133" i="43"/>
  <c r="HO133" i="43"/>
  <c r="HP133" i="43"/>
  <c r="HQ133" i="43"/>
  <c r="HR133" i="43"/>
  <c r="HS133" i="43"/>
  <c r="HT133" i="43"/>
  <c r="HU133" i="43"/>
  <c r="HV133" i="43"/>
  <c r="HW133" i="43"/>
  <c r="HX133" i="43"/>
  <c r="HY133" i="43"/>
  <c r="HZ133" i="43"/>
  <c r="IA133" i="43"/>
  <c r="IB133" i="43"/>
  <c r="IC133" i="43"/>
  <c r="ID133" i="43"/>
  <c r="IE133" i="43"/>
  <c r="IF133" i="43"/>
  <c r="IG133" i="43"/>
  <c r="IH133" i="43"/>
  <c r="II133" i="43"/>
  <c r="IJ133" i="43"/>
  <c r="IK133" i="43"/>
  <c r="IL133" i="43"/>
  <c r="IM133" i="43"/>
  <c r="IN133" i="43"/>
  <c r="IO133" i="43"/>
  <c r="IP133" i="43"/>
  <c r="IQ133" i="43"/>
  <c r="IR133" i="43"/>
  <c r="IS133" i="43"/>
  <c r="IT133" i="43"/>
  <c r="IU133" i="43"/>
  <c r="IV133" i="43"/>
  <c r="A132" i="43"/>
  <c r="B132" i="43"/>
  <c r="C132" i="43"/>
  <c r="D132" i="43"/>
  <c r="E132" i="43"/>
  <c r="F132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S132" i="43"/>
  <c r="T132" i="43"/>
  <c r="U132" i="43"/>
  <c r="V132" i="43"/>
  <c r="W132" i="43"/>
  <c r="X132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AT132" i="43"/>
  <c r="AU132" i="43"/>
  <c r="AV132" i="43"/>
  <c r="AW132" i="43"/>
  <c r="AX132" i="43"/>
  <c r="AY132" i="43"/>
  <c r="AZ132" i="43"/>
  <c r="BA132" i="43"/>
  <c r="BB132" i="43"/>
  <c r="BC132" i="43"/>
  <c r="BD132" i="43"/>
  <c r="BE132" i="43"/>
  <c r="BF132" i="43"/>
  <c r="BG132" i="43"/>
  <c r="BH132" i="43"/>
  <c r="BI132" i="43"/>
  <c r="BJ132" i="43"/>
  <c r="BK132" i="43"/>
  <c r="BL132" i="43"/>
  <c r="BM132" i="43"/>
  <c r="BN132" i="43"/>
  <c r="BO132" i="43"/>
  <c r="BP132" i="43"/>
  <c r="BQ132" i="43"/>
  <c r="BR132" i="43"/>
  <c r="BS132" i="43"/>
  <c r="BT132" i="43"/>
  <c r="BU132" i="43"/>
  <c r="BV132" i="43"/>
  <c r="BW132" i="43"/>
  <c r="BX132" i="43"/>
  <c r="BY132" i="43"/>
  <c r="BZ132" i="43"/>
  <c r="CA132" i="43"/>
  <c r="CB132" i="43"/>
  <c r="CC132" i="43"/>
  <c r="CD132" i="43"/>
  <c r="CE132" i="43"/>
  <c r="CF132" i="43"/>
  <c r="CG132" i="43"/>
  <c r="CH132" i="43"/>
  <c r="CI132" i="43"/>
  <c r="CJ132" i="43"/>
  <c r="CK132" i="43"/>
  <c r="CL132" i="43"/>
  <c r="CM132" i="43"/>
  <c r="CN132" i="43"/>
  <c r="CO132" i="43"/>
  <c r="CP132" i="43"/>
  <c r="CQ132" i="43"/>
  <c r="CR132" i="43"/>
  <c r="CS132" i="43"/>
  <c r="CT132" i="43"/>
  <c r="CU132" i="43"/>
  <c r="CV132" i="43"/>
  <c r="CW132" i="43"/>
  <c r="CX132" i="43"/>
  <c r="CY132" i="43"/>
  <c r="CZ132" i="43"/>
  <c r="DA132" i="43"/>
  <c r="DB132" i="43"/>
  <c r="DC132" i="43"/>
  <c r="DD132" i="43"/>
  <c r="DE132" i="43"/>
  <c r="DF132" i="43"/>
  <c r="DG132" i="43"/>
  <c r="DH132" i="43"/>
  <c r="DI132" i="43"/>
  <c r="DJ132" i="43"/>
  <c r="DK132" i="43"/>
  <c r="DL132" i="43"/>
  <c r="DM132" i="43"/>
  <c r="DN132" i="43"/>
  <c r="DO132" i="43"/>
  <c r="DP132" i="43"/>
  <c r="DQ132" i="43"/>
  <c r="DR132" i="43"/>
  <c r="DS132" i="43"/>
  <c r="DT132" i="43"/>
  <c r="DU132" i="43"/>
  <c r="DV132" i="43"/>
  <c r="DW132" i="43"/>
  <c r="DX132" i="43"/>
  <c r="DY132" i="43"/>
  <c r="DZ132" i="43"/>
  <c r="EA132" i="43"/>
  <c r="EB132" i="43"/>
  <c r="EC132" i="43"/>
  <c r="ED132" i="43"/>
  <c r="EE132" i="43"/>
  <c r="EF132" i="43"/>
  <c r="EG132" i="43"/>
  <c r="EH132" i="43"/>
  <c r="EI132" i="43"/>
  <c r="EJ132" i="43"/>
  <c r="EK132" i="43"/>
  <c r="EL132" i="43"/>
  <c r="EM132" i="43"/>
  <c r="EN132" i="43"/>
  <c r="EO132" i="43"/>
  <c r="EP132" i="43"/>
  <c r="EQ132" i="43"/>
  <c r="ER132" i="43"/>
  <c r="ES132" i="43"/>
  <c r="ET132" i="43"/>
  <c r="EU132" i="43"/>
  <c r="EV132" i="43"/>
  <c r="EW132" i="43"/>
  <c r="EX132" i="43"/>
  <c r="EY132" i="43"/>
  <c r="EZ132" i="43"/>
  <c r="FA132" i="43"/>
  <c r="FB132" i="43"/>
  <c r="FC132" i="43"/>
  <c r="FD132" i="43"/>
  <c r="FE132" i="43"/>
  <c r="FF132" i="43"/>
  <c r="FG132" i="43"/>
  <c r="FH132" i="43"/>
  <c r="FI132" i="43"/>
  <c r="FJ132" i="43"/>
  <c r="FK132" i="43"/>
  <c r="FL132" i="43"/>
  <c r="FM132" i="43"/>
  <c r="FN132" i="43"/>
  <c r="FO132" i="43"/>
  <c r="FP132" i="43"/>
  <c r="FQ132" i="43"/>
  <c r="FR132" i="43"/>
  <c r="FS132" i="43"/>
  <c r="FT132" i="43"/>
  <c r="FU132" i="43"/>
  <c r="FV132" i="43"/>
  <c r="FW132" i="43"/>
  <c r="FX132" i="43"/>
  <c r="FY132" i="43"/>
  <c r="FZ132" i="43"/>
  <c r="GA132" i="43"/>
  <c r="GB132" i="43"/>
  <c r="GC132" i="43"/>
  <c r="GD132" i="43"/>
  <c r="GE132" i="43"/>
  <c r="GF132" i="43"/>
  <c r="GG132" i="43"/>
  <c r="GH132" i="43"/>
  <c r="GI132" i="43"/>
  <c r="GJ132" i="43"/>
  <c r="GK132" i="43"/>
  <c r="GL132" i="43"/>
  <c r="GM132" i="43"/>
  <c r="GN132" i="43"/>
  <c r="GO132" i="43"/>
  <c r="GP132" i="43"/>
  <c r="GQ132" i="43"/>
  <c r="GR132" i="43"/>
  <c r="GS132" i="43"/>
  <c r="GT132" i="43"/>
  <c r="GU132" i="43"/>
  <c r="GV132" i="43"/>
  <c r="GW132" i="43"/>
  <c r="GX132" i="43"/>
  <c r="GY132" i="43"/>
  <c r="GZ132" i="43"/>
  <c r="HA132" i="43"/>
  <c r="HB132" i="43"/>
  <c r="HC132" i="43"/>
  <c r="HD132" i="43"/>
  <c r="HE132" i="43"/>
  <c r="HF132" i="43"/>
  <c r="HG132" i="43"/>
  <c r="HH132" i="43"/>
  <c r="HI132" i="43"/>
  <c r="HJ132" i="43"/>
  <c r="HK132" i="43"/>
  <c r="HL132" i="43"/>
  <c r="HM132" i="43"/>
  <c r="HN132" i="43"/>
  <c r="HO132" i="43"/>
  <c r="HP132" i="43"/>
  <c r="HQ132" i="43"/>
  <c r="HR132" i="43"/>
  <c r="HS132" i="43"/>
  <c r="HT132" i="43"/>
  <c r="HU132" i="43"/>
  <c r="HV132" i="43"/>
  <c r="HW132" i="43"/>
  <c r="HX132" i="43"/>
  <c r="HY132" i="43"/>
  <c r="HZ132" i="43"/>
  <c r="IA132" i="43"/>
  <c r="IB132" i="43"/>
  <c r="IC132" i="43"/>
  <c r="ID132" i="43"/>
  <c r="IE132" i="43"/>
  <c r="IF132" i="43"/>
  <c r="IG132" i="43"/>
  <c r="IH132" i="43"/>
  <c r="II132" i="43"/>
  <c r="IJ132" i="43"/>
  <c r="IK132" i="43"/>
  <c r="IL132" i="43"/>
  <c r="IM132" i="43"/>
  <c r="IN132" i="43"/>
  <c r="IO132" i="43"/>
  <c r="IP132" i="43"/>
  <c r="IQ132" i="43"/>
  <c r="IR132" i="43"/>
  <c r="IS132" i="43"/>
  <c r="IT132" i="43"/>
  <c r="IU132" i="43"/>
  <c r="IV132" i="43"/>
  <c r="A131" i="43"/>
  <c r="B131" i="43"/>
  <c r="C131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Q131" i="43"/>
  <c r="R131" i="43"/>
  <c r="S131" i="43"/>
  <c r="T131" i="43"/>
  <c r="U131" i="43"/>
  <c r="V131" i="43"/>
  <c r="W131" i="43"/>
  <c r="X131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AT131" i="43"/>
  <c r="AU131" i="43"/>
  <c r="AV131" i="43"/>
  <c r="AW131" i="43"/>
  <c r="AX131" i="43"/>
  <c r="AY131" i="43"/>
  <c r="AZ131" i="43"/>
  <c r="BA131" i="43"/>
  <c r="BB131" i="43"/>
  <c r="BC131" i="43"/>
  <c r="BD131" i="43"/>
  <c r="BE131" i="43"/>
  <c r="BF131" i="43"/>
  <c r="BG131" i="43"/>
  <c r="BH131" i="43"/>
  <c r="BI131" i="43"/>
  <c r="BJ131" i="43"/>
  <c r="BK131" i="43"/>
  <c r="BL131" i="43"/>
  <c r="BM131" i="43"/>
  <c r="BN131" i="43"/>
  <c r="BO131" i="43"/>
  <c r="BP131" i="43"/>
  <c r="BQ131" i="43"/>
  <c r="BR131" i="43"/>
  <c r="BS131" i="43"/>
  <c r="BT131" i="43"/>
  <c r="BU131" i="43"/>
  <c r="BV131" i="43"/>
  <c r="BW131" i="43"/>
  <c r="BX131" i="43"/>
  <c r="BY131" i="43"/>
  <c r="BZ131" i="43"/>
  <c r="CA131" i="43"/>
  <c r="CB131" i="43"/>
  <c r="CC131" i="43"/>
  <c r="CD131" i="43"/>
  <c r="CE131" i="43"/>
  <c r="CF131" i="43"/>
  <c r="CG131" i="43"/>
  <c r="CH131" i="43"/>
  <c r="CI131" i="43"/>
  <c r="CJ131" i="43"/>
  <c r="CK131" i="43"/>
  <c r="CL131" i="43"/>
  <c r="CM131" i="43"/>
  <c r="CN131" i="43"/>
  <c r="CO131" i="43"/>
  <c r="CP131" i="43"/>
  <c r="CQ131" i="43"/>
  <c r="CR131" i="43"/>
  <c r="CS131" i="43"/>
  <c r="CT131" i="43"/>
  <c r="CU131" i="43"/>
  <c r="CV131" i="43"/>
  <c r="CW131" i="43"/>
  <c r="CX131" i="43"/>
  <c r="CY131" i="43"/>
  <c r="CZ131" i="43"/>
  <c r="DA131" i="43"/>
  <c r="DB131" i="43"/>
  <c r="DC131" i="43"/>
  <c r="DD131" i="43"/>
  <c r="DE131" i="43"/>
  <c r="DF131" i="43"/>
  <c r="DG131" i="43"/>
  <c r="DH131" i="43"/>
  <c r="DI131" i="43"/>
  <c r="DJ131" i="43"/>
  <c r="DK131" i="43"/>
  <c r="DL131" i="43"/>
  <c r="DM131" i="43"/>
  <c r="DN131" i="43"/>
  <c r="DO131" i="43"/>
  <c r="DP131" i="43"/>
  <c r="DQ131" i="43"/>
  <c r="DR131" i="43"/>
  <c r="DS131" i="43"/>
  <c r="DT131" i="43"/>
  <c r="DU131" i="43"/>
  <c r="DV131" i="43"/>
  <c r="DW131" i="43"/>
  <c r="DX131" i="43"/>
  <c r="DY131" i="43"/>
  <c r="DZ131" i="43"/>
  <c r="EA131" i="43"/>
  <c r="EB131" i="43"/>
  <c r="EC131" i="43"/>
  <c r="ED131" i="43"/>
  <c r="EE131" i="43"/>
  <c r="EF131" i="43"/>
  <c r="EG131" i="43"/>
  <c r="EH131" i="43"/>
  <c r="EI131" i="43"/>
  <c r="EJ131" i="43"/>
  <c r="EK131" i="43"/>
  <c r="EL131" i="43"/>
  <c r="EM131" i="43"/>
  <c r="EN131" i="43"/>
  <c r="EO131" i="43"/>
  <c r="EP131" i="43"/>
  <c r="EQ131" i="43"/>
  <c r="ER131" i="43"/>
  <c r="ES131" i="43"/>
  <c r="ET131" i="43"/>
  <c r="EU131" i="43"/>
  <c r="EV131" i="43"/>
  <c r="EW131" i="43"/>
  <c r="EX131" i="43"/>
  <c r="EY131" i="43"/>
  <c r="EZ131" i="43"/>
  <c r="FA131" i="43"/>
  <c r="FB131" i="43"/>
  <c r="FC131" i="43"/>
  <c r="FD131" i="43"/>
  <c r="FE131" i="43"/>
  <c r="FF131" i="43"/>
  <c r="FG131" i="43"/>
  <c r="FH131" i="43"/>
  <c r="FI131" i="43"/>
  <c r="FJ131" i="43"/>
  <c r="FK131" i="43"/>
  <c r="FL131" i="43"/>
  <c r="FM131" i="43"/>
  <c r="FN131" i="43"/>
  <c r="FO131" i="43"/>
  <c r="FP131" i="43"/>
  <c r="FQ131" i="43"/>
  <c r="FR131" i="43"/>
  <c r="FS131" i="43"/>
  <c r="FT131" i="43"/>
  <c r="FU131" i="43"/>
  <c r="FV131" i="43"/>
  <c r="FW131" i="43"/>
  <c r="FX131" i="43"/>
  <c r="FY131" i="43"/>
  <c r="FZ131" i="43"/>
  <c r="GA131" i="43"/>
  <c r="GB131" i="43"/>
  <c r="GC131" i="43"/>
  <c r="GD131" i="43"/>
  <c r="GE131" i="43"/>
  <c r="GF131" i="43"/>
  <c r="GG131" i="43"/>
  <c r="GH131" i="43"/>
  <c r="GI131" i="43"/>
  <c r="GJ131" i="43"/>
  <c r="GK131" i="43"/>
  <c r="GL131" i="43"/>
  <c r="GM131" i="43"/>
  <c r="GN131" i="43"/>
  <c r="GO131" i="43"/>
  <c r="GP131" i="43"/>
  <c r="GQ131" i="43"/>
  <c r="GR131" i="43"/>
  <c r="GS131" i="43"/>
  <c r="GT131" i="43"/>
  <c r="GU131" i="43"/>
  <c r="GV131" i="43"/>
  <c r="GW131" i="43"/>
  <c r="GX131" i="43"/>
  <c r="GY131" i="43"/>
  <c r="GZ131" i="43"/>
  <c r="HA131" i="43"/>
  <c r="HB131" i="43"/>
  <c r="HC131" i="43"/>
  <c r="HD131" i="43"/>
  <c r="HE131" i="43"/>
  <c r="HF131" i="43"/>
  <c r="HG131" i="43"/>
  <c r="HH131" i="43"/>
  <c r="HI131" i="43"/>
  <c r="HJ131" i="43"/>
  <c r="HK131" i="43"/>
  <c r="HL131" i="43"/>
  <c r="HM131" i="43"/>
  <c r="HN131" i="43"/>
  <c r="HO131" i="43"/>
  <c r="HP131" i="43"/>
  <c r="HQ131" i="43"/>
  <c r="HR131" i="43"/>
  <c r="HS131" i="43"/>
  <c r="HT131" i="43"/>
  <c r="HU131" i="43"/>
  <c r="HV131" i="43"/>
  <c r="HW131" i="43"/>
  <c r="HX131" i="43"/>
  <c r="HY131" i="43"/>
  <c r="HZ131" i="43"/>
  <c r="IA131" i="43"/>
  <c r="IB131" i="43"/>
  <c r="IC131" i="43"/>
  <c r="ID131" i="43"/>
  <c r="IE131" i="43"/>
  <c r="IF131" i="43"/>
  <c r="IG131" i="43"/>
  <c r="IH131" i="43"/>
  <c r="II131" i="43"/>
  <c r="IJ131" i="43"/>
  <c r="IK131" i="43"/>
  <c r="IL131" i="43"/>
  <c r="IM131" i="43"/>
  <c r="IN131" i="43"/>
  <c r="IO131" i="43"/>
  <c r="IP131" i="43"/>
  <c r="IQ131" i="43"/>
  <c r="IR131" i="43"/>
  <c r="IS131" i="43"/>
  <c r="IT131" i="43"/>
  <c r="IU131" i="43"/>
  <c r="IV131" i="43"/>
  <c r="A130" i="43"/>
  <c r="B130" i="43"/>
  <c r="C130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BD130" i="43"/>
  <c r="BE130" i="43"/>
  <c r="BF130" i="43"/>
  <c r="BG130" i="43"/>
  <c r="BH130" i="43"/>
  <c r="BI130" i="43"/>
  <c r="BJ130" i="43"/>
  <c r="BK130" i="43"/>
  <c r="BL130" i="43"/>
  <c r="BM130" i="43"/>
  <c r="BN130" i="43"/>
  <c r="BO130" i="43"/>
  <c r="BP130" i="43"/>
  <c r="BQ130" i="43"/>
  <c r="BR130" i="43"/>
  <c r="BS130" i="43"/>
  <c r="BT130" i="43"/>
  <c r="BU130" i="43"/>
  <c r="BV130" i="43"/>
  <c r="BW130" i="43"/>
  <c r="BX130" i="43"/>
  <c r="BY130" i="43"/>
  <c r="BZ130" i="43"/>
  <c r="CA130" i="43"/>
  <c r="CB130" i="43"/>
  <c r="CC130" i="43"/>
  <c r="CD130" i="43"/>
  <c r="CE130" i="43"/>
  <c r="CF130" i="43"/>
  <c r="CG130" i="43"/>
  <c r="CH130" i="43"/>
  <c r="CI130" i="43"/>
  <c r="CJ130" i="43"/>
  <c r="CK130" i="43"/>
  <c r="CL130" i="43"/>
  <c r="CM130" i="43"/>
  <c r="CN130" i="43"/>
  <c r="CO130" i="43"/>
  <c r="CP130" i="43"/>
  <c r="CQ130" i="43"/>
  <c r="CR130" i="43"/>
  <c r="CS130" i="43"/>
  <c r="CT130" i="43"/>
  <c r="CU130" i="43"/>
  <c r="CV130" i="43"/>
  <c r="CW130" i="43"/>
  <c r="CX130" i="43"/>
  <c r="CY130" i="43"/>
  <c r="CZ130" i="43"/>
  <c r="DA130" i="43"/>
  <c r="DB130" i="43"/>
  <c r="DC130" i="43"/>
  <c r="DD130" i="43"/>
  <c r="DE130" i="43"/>
  <c r="DF130" i="43"/>
  <c r="DG130" i="43"/>
  <c r="DH130" i="43"/>
  <c r="DI130" i="43"/>
  <c r="DJ130" i="43"/>
  <c r="DK130" i="43"/>
  <c r="DL130" i="43"/>
  <c r="DM130" i="43"/>
  <c r="DN130" i="43"/>
  <c r="DO130" i="43"/>
  <c r="DP130" i="43"/>
  <c r="DQ130" i="43"/>
  <c r="DR130" i="43"/>
  <c r="DS130" i="43"/>
  <c r="DT130" i="43"/>
  <c r="DU130" i="43"/>
  <c r="DV130" i="43"/>
  <c r="DW130" i="43"/>
  <c r="DX130" i="43"/>
  <c r="DY130" i="43"/>
  <c r="DZ130" i="43"/>
  <c r="EA130" i="43"/>
  <c r="EB130" i="43"/>
  <c r="EC130" i="43"/>
  <c r="ED130" i="43"/>
  <c r="EE130" i="43"/>
  <c r="EF130" i="43"/>
  <c r="EG130" i="43"/>
  <c r="EH130" i="43"/>
  <c r="EI130" i="43"/>
  <c r="EJ130" i="43"/>
  <c r="EK130" i="43"/>
  <c r="EL130" i="43"/>
  <c r="EM130" i="43"/>
  <c r="EN130" i="43"/>
  <c r="EO130" i="43"/>
  <c r="EP130" i="43"/>
  <c r="EQ130" i="43"/>
  <c r="ER130" i="43"/>
  <c r="ES130" i="43"/>
  <c r="ET130" i="43"/>
  <c r="EU130" i="43"/>
  <c r="EV130" i="43"/>
  <c r="EW130" i="43"/>
  <c r="EX130" i="43"/>
  <c r="EY130" i="43"/>
  <c r="EZ130" i="43"/>
  <c r="FA130" i="43"/>
  <c r="FB130" i="43"/>
  <c r="FC130" i="43"/>
  <c r="FD130" i="43"/>
  <c r="FE130" i="43"/>
  <c r="FF130" i="43"/>
  <c r="FG130" i="43"/>
  <c r="FH130" i="43"/>
  <c r="FI130" i="43"/>
  <c r="FJ130" i="43"/>
  <c r="FK130" i="43"/>
  <c r="FL130" i="43"/>
  <c r="FM130" i="43"/>
  <c r="FN130" i="43"/>
  <c r="FO130" i="43"/>
  <c r="FP130" i="43"/>
  <c r="FQ130" i="43"/>
  <c r="FR130" i="43"/>
  <c r="FS130" i="43"/>
  <c r="FT130" i="43"/>
  <c r="FU130" i="43"/>
  <c r="FV130" i="43"/>
  <c r="FW130" i="43"/>
  <c r="FX130" i="43"/>
  <c r="FY130" i="43"/>
  <c r="FZ130" i="43"/>
  <c r="GA130" i="43"/>
  <c r="GB130" i="43"/>
  <c r="GC130" i="43"/>
  <c r="GD130" i="43"/>
  <c r="GE130" i="43"/>
  <c r="GF130" i="43"/>
  <c r="GG130" i="43"/>
  <c r="GH130" i="43"/>
  <c r="GI130" i="43"/>
  <c r="GJ130" i="43"/>
  <c r="GK130" i="43"/>
  <c r="GL130" i="43"/>
  <c r="GM130" i="43"/>
  <c r="GN130" i="43"/>
  <c r="GO130" i="43"/>
  <c r="GP130" i="43"/>
  <c r="GQ130" i="43"/>
  <c r="GR130" i="43"/>
  <c r="GS130" i="43"/>
  <c r="GT130" i="43"/>
  <c r="GU130" i="43"/>
  <c r="GV130" i="43"/>
  <c r="GW130" i="43"/>
  <c r="GX130" i="43"/>
  <c r="GY130" i="43"/>
  <c r="GZ130" i="43"/>
  <c r="HA130" i="43"/>
  <c r="HB130" i="43"/>
  <c r="HC130" i="43"/>
  <c r="HD130" i="43"/>
  <c r="HE130" i="43"/>
  <c r="HF130" i="43"/>
  <c r="HG130" i="43"/>
  <c r="HH130" i="43"/>
  <c r="HI130" i="43"/>
  <c r="HJ130" i="43"/>
  <c r="HK130" i="43"/>
  <c r="HL130" i="43"/>
  <c r="HM130" i="43"/>
  <c r="HN130" i="43"/>
  <c r="HO130" i="43"/>
  <c r="HP130" i="43"/>
  <c r="HQ130" i="43"/>
  <c r="HR130" i="43"/>
  <c r="HS130" i="43"/>
  <c r="HT130" i="43"/>
  <c r="HU130" i="43"/>
  <c r="HV130" i="43"/>
  <c r="HW130" i="43"/>
  <c r="HX130" i="43"/>
  <c r="HY130" i="43"/>
  <c r="HZ130" i="43"/>
  <c r="IA130" i="43"/>
  <c r="IB130" i="43"/>
  <c r="IC130" i="43"/>
  <c r="ID130" i="43"/>
  <c r="IE130" i="43"/>
  <c r="IF130" i="43"/>
  <c r="IG130" i="43"/>
  <c r="IH130" i="43"/>
  <c r="II130" i="43"/>
  <c r="IJ130" i="43"/>
  <c r="IK130" i="43"/>
  <c r="IL130" i="43"/>
  <c r="IM130" i="43"/>
  <c r="IN130" i="43"/>
  <c r="IO130" i="43"/>
  <c r="IP130" i="43"/>
  <c r="IQ130" i="43"/>
  <c r="IR130" i="43"/>
  <c r="IS130" i="43"/>
  <c r="IT130" i="43"/>
  <c r="IU130" i="43"/>
  <c r="IV130" i="43"/>
  <c r="A129" i="43"/>
  <c r="B129" i="43"/>
  <c r="C129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BD129" i="43"/>
  <c r="BE129" i="43"/>
  <c r="BF129" i="43"/>
  <c r="BG129" i="43"/>
  <c r="BH129" i="43"/>
  <c r="BI129" i="43"/>
  <c r="BJ129" i="43"/>
  <c r="BK129" i="43"/>
  <c r="BL129" i="43"/>
  <c r="BM129" i="43"/>
  <c r="BN129" i="43"/>
  <c r="BO129" i="43"/>
  <c r="BP129" i="43"/>
  <c r="BQ129" i="43"/>
  <c r="BR129" i="43"/>
  <c r="BS129" i="43"/>
  <c r="BT129" i="43"/>
  <c r="BU129" i="43"/>
  <c r="BV129" i="43"/>
  <c r="BW129" i="43"/>
  <c r="BX129" i="43"/>
  <c r="BY129" i="43"/>
  <c r="BZ129" i="43"/>
  <c r="CA129" i="43"/>
  <c r="CB129" i="43"/>
  <c r="CC129" i="43"/>
  <c r="CD129" i="43"/>
  <c r="CE129" i="43"/>
  <c r="CF129" i="43"/>
  <c r="CG129" i="43"/>
  <c r="CH129" i="43"/>
  <c r="CI129" i="43"/>
  <c r="CJ129" i="43"/>
  <c r="CK129" i="43"/>
  <c r="CL129" i="43"/>
  <c r="CM129" i="43"/>
  <c r="CN129" i="43"/>
  <c r="CO129" i="43"/>
  <c r="CP129" i="43"/>
  <c r="CQ129" i="43"/>
  <c r="CR129" i="43"/>
  <c r="CS129" i="43"/>
  <c r="CT129" i="43"/>
  <c r="CU129" i="43"/>
  <c r="CV129" i="43"/>
  <c r="CW129" i="43"/>
  <c r="CX129" i="43"/>
  <c r="CY129" i="43"/>
  <c r="CZ129" i="43"/>
  <c r="DA129" i="43"/>
  <c r="DB129" i="43"/>
  <c r="DC129" i="43"/>
  <c r="DD129" i="43"/>
  <c r="DE129" i="43"/>
  <c r="DF129" i="43"/>
  <c r="DG129" i="43"/>
  <c r="DH129" i="43"/>
  <c r="DI129" i="43"/>
  <c r="DJ129" i="43"/>
  <c r="DK129" i="43"/>
  <c r="DL129" i="43"/>
  <c r="DM129" i="43"/>
  <c r="DN129" i="43"/>
  <c r="DO129" i="43"/>
  <c r="DP129" i="43"/>
  <c r="DQ129" i="43"/>
  <c r="DR129" i="43"/>
  <c r="DS129" i="43"/>
  <c r="DT129" i="43"/>
  <c r="DU129" i="43"/>
  <c r="DV129" i="43"/>
  <c r="DW129" i="43"/>
  <c r="DX129" i="43"/>
  <c r="DY129" i="43"/>
  <c r="DZ129" i="43"/>
  <c r="EA129" i="43"/>
  <c r="EB129" i="43"/>
  <c r="EC129" i="43"/>
  <c r="ED129" i="43"/>
  <c r="EE129" i="43"/>
  <c r="EF129" i="43"/>
  <c r="EG129" i="43"/>
  <c r="EH129" i="43"/>
  <c r="EI129" i="43"/>
  <c r="EJ129" i="43"/>
  <c r="EK129" i="43"/>
  <c r="EL129" i="43"/>
  <c r="EM129" i="43"/>
  <c r="EN129" i="43"/>
  <c r="EO129" i="43"/>
  <c r="EP129" i="43"/>
  <c r="EQ129" i="43"/>
  <c r="ER129" i="43"/>
  <c r="ES129" i="43"/>
  <c r="ET129" i="43"/>
  <c r="EU129" i="43"/>
  <c r="EV129" i="43"/>
  <c r="EW129" i="43"/>
  <c r="EX129" i="43"/>
  <c r="EY129" i="43"/>
  <c r="EZ129" i="43"/>
  <c r="FA129" i="43"/>
  <c r="FB129" i="43"/>
  <c r="FC129" i="43"/>
  <c r="FD129" i="43"/>
  <c r="FE129" i="43"/>
  <c r="FF129" i="43"/>
  <c r="FG129" i="43"/>
  <c r="FH129" i="43"/>
  <c r="FI129" i="43"/>
  <c r="FJ129" i="43"/>
  <c r="FK129" i="43"/>
  <c r="FL129" i="43"/>
  <c r="FM129" i="43"/>
  <c r="FN129" i="43"/>
  <c r="FO129" i="43"/>
  <c r="FP129" i="43"/>
  <c r="FQ129" i="43"/>
  <c r="FR129" i="43"/>
  <c r="FS129" i="43"/>
  <c r="FT129" i="43"/>
  <c r="FU129" i="43"/>
  <c r="FV129" i="43"/>
  <c r="FW129" i="43"/>
  <c r="FX129" i="43"/>
  <c r="FY129" i="43"/>
  <c r="FZ129" i="43"/>
  <c r="GA129" i="43"/>
  <c r="GB129" i="43"/>
  <c r="GC129" i="43"/>
  <c r="GD129" i="43"/>
  <c r="GE129" i="43"/>
  <c r="GF129" i="43"/>
  <c r="GG129" i="43"/>
  <c r="GH129" i="43"/>
  <c r="GI129" i="43"/>
  <c r="GJ129" i="43"/>
  <c r="GK129" i="43"/>
  <c r="GL129" i="43"/>
  <c r="GM129" i="43"/>
  <c r="GN129" i="43"/>
  <c r="GO129" i="43"/>
  <c r="GP129" i="43"/>
  <c r="GQ129" i="43"/>
  <c r="GR129" i="43"/>
  <c r="GS129" i="43"/>
  <c r="GT129" i="43"/>
  <c r="GU129" i="43"/>
  <c r="GV129" i="43"/>
  <c r="GW129" i="43"/>
  <c r="GX129" i="43"/>
  <c r="GY129" i="43"/>
  <c r="GZ129" i="43"/>
  <c r="HA129" i="43"/>
  <c r="HB129" i="43"/>
  <c r="HC129" i="43"/>
  <c r="HD129" i="43"/>
  <c r="HE129" i="43"/>
  <c r="HF129" i="43"/>
  <c r="HG129" i="43"/>
  <c r="HH129" i="43"/>
  <c r="HI129" i="43"/>
  <c r="HJ129" i="43"/>
  <c r="HK129" i="43"/>
  <c r="HL129" i="43"/>
  <c r="HM129" i="43"/>
  <c r="HN129" i="43"/>
  <c r="HO129" i="43"/>
  <c r="HP129" i="43"/>
  <c r="HQ129" i="43"/>
  <c r="HR129" i="43"/>
  <c r="HS129" i="43"/>
  <c r="HT129" i="43"/>
  <c r="HU129" i="43"/>
  <c r="HV129" i="43"/>
  <c r="HW129" i="43"/>
  <c r="HX129" i="43"/>
  <c r="HY129" i="43"/>
  <c r="HZ129" i="43"/>
  <c r="IA129" i="43"/>
  <c r="IB129" i="43"/>
  <c r="IC129" i="43"/>
  <c r="ID129" i="43"/>
  <c r="IE129" i="43"/>
  <c r="IF129" i="43"/>
  <c r="IG129" i="43"/>
  <c r="IH129" i="43"/>
  <c r="II129" i="43"/>
  <c r="IJ129" i="43"/>
  <c r="IK129" i="43"/>
  <c r="IL129" i="43"/>
  <c r="IM129" i="43"/>
  <c r="IN129" i="43"/>
  <c r="IO129" i="43"/>
  <c r="IP129" i="43"/>
  <c r="IQ129" i="43"/>
  <c r="IR129" i="43"/>
  <c r="IS129" i="43"/>
  <c r="IT129" i="43"/>
  <c r="IU129" i="43"/>
  <c r="IV129" i="43"/>
  <c r="A128" i="43"/>
  <c r="B128" i="43"/>
  <c r="C128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BD128" i="43"/>
  <c r="BE128" i="43"/>
  <c r="BF128" i="43"/>
  <c r="BG128" i="43"/>
  <c r="BH128" i="43"/>
  <c r="BI128" i="43"/>
  <c r="BJ128" i="43"/>
  <c r="BK128" i="43"/>
  <c r="BL128" i="43"/>
  <c r="BM128" i="43"/>
  <c r="BN128" i="43"/>
  <c r="BO128" i="43"/>
  <c r="BP128" i="43"/>
  <c r="BQ128" i="43"/>
  <c r="BR128" i="43"/>
  <c r="BS128" i="43"/>
  <c r="BT128" i="43"/>
  <c r="BU128" i="43"/>
  <c r="BV128" i="43"/>
  <c r="BW128" i="43"/>
  <c r="BX128" i="43"/>
  <c r="BY128" i="43"/>
  <c r="BZ128" i="43"/>
  <c r="CA128" i="43"/>
  <c r="CB128" i="43"/>
  <c r="CC128" i="43"/>
  <c r="CD128" i="43"/>
  <c r="CE128" i="43"/>
  <c r="CF128" i="43"/>
  <c r="CG128" i="43"/>
  <c r="CH128" i="43"/>
  <c r="CI128" i="43"/>
  <c r="CJ128" i="43"/>
  <c r="CK128" i="43"/>
  <c r="CL128" i="43"/>
  <c r="CM128" i="43"/>
  <c r="CN128" i="43"/>
  <c r="CO128" i="43"/>
  <c r="CP128" i="43"/>
  <c r="CQ128" i="43"/>
  <c r="CR128" i="43"/>
  <c r="CS128" i="43"/>
  <c r="CT128" i="43"/>
  <c r="CU128" i="43"/>
  <c r="CV128" i="43"/>
  <c r="CW128" i="43"/>
  <c r="CX128" i="43"/>
  <c r="CY128" i="43"/>
  <c r="CZ128" i="43"/>
  <c r="DA128" i="43"/>
  <c r="DB128" i="43"/>
  <c r="DC128" i="43"/>
  <c r="DD128" i="43"/>
  <c r="DE128" i="43"/>
  <c r="DF128" i="43"/>
  <c r="DG128" i="43"/>
  <c r="DH128" i="43"/>
  <c r="DI128" i="43"/>
  <c r="DJ128" i="43"/>
  <c r="DK128" i="43"/>
  <c r="DL128" i="43"/>
  <c r="DM128" i="43"/>
  <c r="DN128" i="43"/>
  <c r="DO128" i="43"/>
  <c r="DP128" i="43"/>
  <c r="DQ128" i="43"/>
  <c r="DR128" i="43"/>
  <c r="DS128" i="43"/>
  <c r="DT128" i="43"/>
  <c r="DU128" i="43"/>
  <c r="DV128" i="43"/>
  <c r="DW128" i="43"/>
  <c r="DX128" i="43"/>
  <c r="DY128" i="43"/>
  <c r="DZ128" i="43"/>
  <c r="EA128" i="43"/>
  <c r="EB128" i="43"/>
  <c r="EC128" i="43"/>
  <c r="ED128" i="43"/>
  <c r="EE128" i="43"/>
  <c r="EF128" i="43"/>
  <c r="EG128" i="43"/>
  <c r="EH128" i="43"/>
  <c r="EI128" i="43"/>
  <c r="EJ128" i="43"/>
  <c r="EK128" i="43"/>
  <c r="EL128" i="43"/>
  <c r="EM128" i="43"/>
  <c r="EN128" i="43"/>
  <c r="EO128" i="43"/>
  <c r="EP128" i="43"/>
  <c r="EQ128" i="43"/>
  <c r="ER128" i="43"/>
  <c r="ES128" i="43"/>
  <c r="ET128" i="43"/>
  <c r="EU128" i="43"/>
  <c r="EV128" i="43"/>
  <c r="EW128" i="43"/>
  <c r="EX128" i="43"/>
  <c r="EY128" i="43"/>
  <c r="EZ128" i="43"/>
  <c r="FA128" i="43"/>
  <c r="FB128" i="43"/>
  <c r="FC128" i="43"/>
  <c r="FD128" i="43"/>
  <c r="FE128" i="43"/>
  <c r="FF128" i="43"/>
  <c r="FG128" i="43"/>
  <c r="FH128" i="43"/>
  <c r="FI128" i="43"/>
  <c r="FJ128" i="43"/>
  <c r="FK128" i="43"/>
  <c r="FL128" i="43"/>
  <c r="FM128" i="43"/>
  <c r="FN128" i="43"/>
  <c r="FO128" i="43"/>
  <c r="FP128" i="43"/>
  <c r="FQ128" i="43"/>
  <c r="FR128" i="43"/>
  <c r="FS128" i="43"/>
  <c r="FT128" i="43"/>
  <c r="FU128" i="43"/>
  <c r="FV128" i="43"/>
  <c r="FW128" i="43"/>
  <c r="FX128" i="43"/>
  <c r="FY128" i="43"/>
  <c r="FZ128" i="43"/>
  <c r="GA128" i="43"/>
  <c r="GB128" i="43"/>
  <c r="GC128" i="43"/>
  <c r="GD128" i="43"/>
  <c r="GE128" i="43"/>
  <c r="GF128" i="43"/>
  <c r="GG128" i="43"/>
  <c r="GH128" i="43"/>
  <c r="GI128" i="43"/>
  <c r="GJ128" i="43"/>
  <c r="GK128" i="43"/>
  <c r="GL128" i="43"/>
  <c r="GM128" i="43"/>
  <c r="GN128" i="43"/>
  <c r="GO128" i="43"/>
  <c r="GP128" i="43"/>
  <c r="GQ128" i="43"/>
  <c r="GR128" i="43"/>
  <c r="GS128" i="43"/>
  <c r="GT128" i="43"/>
  <c r="GU128" i="43"/>
  <c r="GV128" i="43"/>
  <c r="GW128" i="43"/>
  <c r="GX128" i="43"/>
  <c r="GY128" i="43"/>
  <c r="GZ128" i="43"/>
  <c r="HA128" i="43"/>
  <c r="HB128" i="43"/>
  <c r="HC128" i="43"/>
  <c r="HD128" i="43"/>
  <c r="HE128" i="43"/>
  <c r="HF128" i="43"/>
  <c r="HG128" i="43"/>
  <c r="HH128" i="43"/>
  <c r="HI128" i="43"/>
  <c r="HJ128" i="43"/>
  <c r="HK128" i="43"/>
  <c r="HL128" i="43"/>
  <c r="HM128" i="43"/>
  <c r="HN128" i="43"/>
  <c r="HO128" i="43"/>
  <c r="HP128" i="43"/>
  <c r="HQ128" i="43"/>
  <c r="HR128" i="43"/>
  <c r="HS128" i="43"/>
  <c r="HT128" i="43"/>
  <c r="HU128" i="43"/>
  <c r="HV128" i="43"/>
  <c r="HW128" i="43"/>
  <c r="HX128" i="43"/>
  <c r="HY128" i="43"/>
  <c r="HZ128" i="43"/>
  <c r="IA128" i="43"/>
  <c r="IB128" i="43"/>
  <c r="IC128" i="43"/>
  <c r="ID128" i="43"/>
  <c r="IE128" i="43"/>
  <c r="IF128" i="43"/>
  <c r="IG128" i="43"/>
  <c r="IH128" i="43"/>
  <c r="II128" i="43"/>
  <c r="IJ128" i="43"/>
  <c r="IK128" i="43"/>
  <c r="IL128" i="43"/>
  <c r="IM128" i="43"/>
  <c r="IN128" i="43"/>
  <c r="IO128" i="43"/>
  <c r="IP128" i="43"/>
  <c r="IQ128" i="43"/>
  <c r="IR128" i="43"/>
  <c r="IS128" i="43"/>
  <c r="IT128" i="43"/>
  <c r="IU128" i="43"/>
  <c r="IV128" i="43"/>
  <c r="A127" i="43"/>
  <c r="B127" i="43"/>
  <c r="C127" i="43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BD127" i="43"/>
  <c r="BE127" i="43"/>
  <c r="BF127" i="43"/>
  <c r="BG127" i="43"/>
  <c r="BH127" i="43"/>
  <c r="BI127" i="43"/>
  <c r="BJ127" i="43"/>
  <c r="BK127" i="43"/>
  <c r="BL127" i="43"/>
  <c r="BM127" i="43"/>
  <c r="BN127" i="43"/>
  <c r="BO127" i="43"/>
  <c r="BP127" i="43"/>
  <c r="BQ127" i="43"/>
  <c r="BR127" i="43"/>
  <c r="BS127" i="43"/>
  <c r="BT127" i="43"/>
  <c r="BU127" i="43"/>
  <c r="BV127" i="43"/>
  <c r="BW127" i="43"/>
  <c r="BX127" i="43"/>
  <c r="BY127" i="43"/>
  <c r="BZ127" i="43"/>
  <c r="CA127" i="43"/>
  <c r="CB127" i="43"/>
  <c r="CC127" i="43"/>
  <c r="CD127" i="43"/>
  <c r="CE127" i="43"/>
  <c r="CF127" i="43"/>
  <c r="CG127" i="43"/>
  <c r="CH127" i="43"/>
  <c r="CI127" i="43"/>
  <c r="CJ127" i="43"/>
  <c r="CK127" i="43"/>
  <c r="CL127" i="43"/>
  <c r="CM127" i="43"/>
  <c r="CN127" i="43"/>
  <c r="CO127" i="43"/>
  <c r="CP127" i="43"/>
  <c r="CQ127" i="43"/>
  <c r="CR127" i="43"/>
  <c r="CS127" i="43"/>
  <c r="CT127" i="43"/>
  <c r="CU127" i="43"/>
  <c r="CV127" i="43"/>
  <c r="CW127" i="43"/>
  <c r="CX127" i="43"/>
  <c r="CY127" i="43"/>
  <c r="CZ127" i="43"/>
  <c r="DA127" i="43"/>
  <c r="DB127" i="43"/>
  <c r="DC127" i="43"/>
  <c r="DD127" i="43"/>
  <c r="DE127" i="43"/>
  <c r="DF127" i="43"/>
  <c r="DG127" i="43"/>
  <c r="DH127" i="43"/>
  <c r="DI127" i="43"/>
  <c r="DJ127" i="43"/>
  <c r="DK127" i="43"/>
  <c r="DL127" i="43"/>
  <c r="DM127" i="43"/>
  <c r="DN127" i="43"/>
  <c r="DO127" i="43"/>
  <c r="DP127" i="43"/>
  <c r="DQ127" i="43"/>
  <c r="DR127" i="43"/>
  <c r="DS127" i="43"/>
  <c r="DT127" i="43"/>
  <c r="DU127" i="43"/>
  <c r="DV127" i="43"/>
  <c r="DW127" i="43"/>
  <c r="DX127" i="43"/>
  <c r="DY127" i="43"/>
  <c r="DZ127" i="43"/>
  <c r="EA127" i="43"/>
  <c r="EB127" i="43"/>
  <c r="EC127" i="43"/>
  <c r="ED127" i="43"/>
  <c r="EE127" i="43"/>
  <c r="EF127" i="43"/>
  <c r="EG127" i="43"/>
  <c r="EH127" i="43"/>
  <c r="EI127" i="43"/>
  <c r="EJ127" i="43"/>
  <c r="EK127" i="43"/>
  <c r="EL127" i="43"/>
  <c r="EM127" i="43"/>
  <c r="EN127" i="43"/>
  <c r="EO127" i="43"/>
  <c r="EP127" i="43"/>
  <c r="EQ127" i="43"/>
  <c r="ER127" i="43"/>
  <c r="ES127" i="43"/>
  <c r="ET127" i="43"/>
  <c r="EU127" i="43"/>
  <c r="EV127" i="43"/>
  <c r="EW127" i="43"/>
  <c r="EX127" i="43"/>
  <c r="EY127" i="43"/>
  <c r="EZ127" i="43"/>
  <c r="FA127" i="43"/>
  <c r="FB127" i="43"/>
  <c r="FC127" i="43"/>
  <c r="FD127" i="43"/>
  <c r="FE127" i="43"/>
  <c r="FF127" i="43"/>
  <c r="FG127" i="43"/>
  <c r="FH127" i="43"/>
  <c r="FI127" i="43"/>
  <c r="FJ127" i="43"/>
  <c r="FK127" i="43"/>
  <c r="FL127" i="43"/>
  <c r="FM127" i="43"/>
  <c r="FN127" i="43"/>
  <c r="FO127" i="43"/>
  <c r="FP127" i="43"/>
  <c r="FQ127" i="43"/>
  <c r="FR127" i="43"/>
  <c r="FS127" i="43"/>
  <c r="FT127" i="43"/>
  <c r="FU127" i="43"/>
  <c r="FV127" i="43"/>
  <c r="FW127" i="43"/>
  <c r="FX127" i="43"/>
  <c r="FY127" i="43"/>
  <c r="FZ127" i="43"/>
  <c r="GA127" i="43"/>
  <c r="GB127" i="43"/>
  <c r="GC127" i="43"/>
  <c r="GD127" i="43"/>
  <c r="GE127" i="43"/>
  <c r="GF127" i="43"/>
  <c r="GG127" i="43"/>
  <c r="GH127" i="43"/>
  <c r="GI127" i="43"/>
  <c r="GJ127" i="43"/>
  <c r="GK127" i="43"/>
  <c r="GL127" i="43"/>
  <c r="GM127" i="43"/>
  <c r="GN127" i="43"/>
  <c r="GO127" i="43"/>
  <c r="GP127" i="43"/>
  <c r="GQ127" i="43"/>
  <c r="GR127" i="43"/>
  <c r="GS127" i="43"/>
  <c r="GT127" i="43"/>
  <c r="GU127" i="43"/>
  <c r="GV127" i="43"/>
  <c r="GW127" i="43"/>
  <c r="GX127" i="43"/>
  <c r="GY127" i="43"/>
  <c r="GZ127" i="43"/>
  <c r="HA127" i="43"/>
  <c r="HB127" i="43"/>
  <c r="HC127" i="43"/>
  <c r="HD127" i="43"/>
  <c r="HE127" i="43"/>
  <c r="HF127" i="43"/>
  <c r="HG127" i="43"/>
  <c r="HH127" i="43"/>
  <c r="HI127" i="43"/>
  <c r="HJ127" i="43"/>
  <c r="HK127" i="43"/>
  <c r="HL127" i="43"/>
  <c r="HM127" i="43"/>
  <c r="HN127" i="43"/>
  <c r="HO127" i="43"/>
  <c r="HP127" i="43"/>
  <c r="HQ127" i="43"/>
  <c r="HR127" i="43"/>
  <c r="HS127" i="43"/>
  <c r="HT127" i="43"/>
  <c r="HU127" i="43"/>
  <c r="HV127" i="43"/>
  <c r="HW127" i="43"/>
  <c r="HX127" i="43"/>
  <c r="HY127" i="43"/>
  <c r="HZ127" i="43"/>
  <c r="IA127" i="43"/>
  <c r="IB127" i="43"/>
  <c r="IC127" i="43"/>
  <c r="ID127" i="43"/>
  <c r="IE127" i="43"/>
  <c r="IF127" i="43"/>
  <c r="IG127" i="43"/>
  <c r="IH127" i="43"/>
  <c r="II127" i="43"/>
  <c r="IJ127" i="43"/>
  <c r="IK127" i="43"/>
  <c r="IL127" i="43"/>
  <c r="IM127" i="43"/>
  <c r="IN127" i="43"/>
  <c r="IO127" i="43"/>
  <c r="IP127" i="43"/>
  <c r="IQ127" i="43"/>
  <c r="IR127" i="43"/>
  <c r="IS127" i="43"/>
  <c r="IT127" i="43"/>
  <c r="IU127" i="43"/>
  <c r="IV127" i="43"/>
  <c r="A126" i="43"/>
  <c r="B126" i="43"/>
  <c r="C126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BD126" i="43"/>
  <c r="BE126" i="43"/>
  <c r="BF126" i="43"/>
  <c r="BG126" i="43"/>
  <c r="BH126" i="43"/>
  <c r="BI126" i="43"/>
  <c r="BJ126" i="43"/>
  <c r="BK126" i="43"/>
  <c r="BL126" i="43"/>
  <c r="BM126" i="43"/>
  <c r="BN126" i="43"/>
  <c r="BO126" i="43"/>
  <c r="BP126" i="43"/>
  <c r="BQ126" i="43"/>
  <c r="BR126" i="43"/>
  <c r="BS126" i="43"/>
  <c r="BT126" i="43"/>
  <c r="BU126" i="43"/>
  <c r="BV126" i="43"/>
  <c r="BW126" i="43"/>
  <c r="BX126" i="43"/>
  <c r="BY126" i="43"/>
  <c r="BZ126" i="43"/>
  <c r="CA126" i="43"/>
  <c r="CB126" i="43"/>
  <c r="CC126" i="43"/>
  <c r="CD126" i="43"/>
  <c r="CE126" i="43"/>
  <c r="CF126" i="43"/>
  <c r="CG126" i="43"/>
  <c r="CH126" i="43"/>
  <c r="CI126" i="43"/>
  <c r="CJ126" i="43"/>
  <c r="CK126" i="43"/>
  <c r="CL126" i="43"/>
  <c r="CM126" i="43"/>
  <c r="CN126" i="43"/>
  <c r="CO126" i="43"/>
  <c r="CP126" i="43"/>
  <c r="CQ126" i="43"/>
  <c r="CR126" i="43"/>
  <c r="CS126" i="43"/>
  <c r="CT126" i="43"/>
  <c r="CU126" i="43"/>
  <c r="CV126" i="43"/>
  <c r="CW126" i="43"/>
  <c r="CX126" i="43"/>
  <c r="CY126" i="43"/>
  <c r="CZ126" i="43"/>
  <c r="DA126" i="43"/>
  <c r="DB126" i="43"/>
  <c r="DC126" i="43"/>
  <c r="DD126" i="43"/>
  <c r="DE126" i="43"/>
  <c r="DF126" i="43"/>
  <c r="DG126" i="43"/>
  <c r="DH126" i="43"/>
  <c r="DI126" i="43"/>
  <c r="DJ126" i="43"/>
  <c r="DK126" i="43"/>
  <c r="DL126" i="43"/>
  <c r="DM126" i="43"/>
  <c r="DN126" i="43"/>
  <c r="DO126" i="43"/>
  <c r="DP126" i="43"/>
  <c r="DQ126" i="43"/>
  <c r="DR126" i="43"/>
  <c r="DS126" i="43"/>
  <c r="DT126" i="43"/>
  <c r="DU126" i="43"/>
  <c r="DV126" i="43"/>
  <c r="DW126" i="43"/>
  <c r="DX126" i="43"/>
  <c r="DY126" i="43"/>
  <c r="DZ126" i="43"/>
  <c r="EA126" i="43"/>
  <c r="EB126" i="43"/>
  <c r="EC126" i="43"/>
  <c r="ED126" i="43"/>
  <c r="EE126" i="43"/>
  <c r="EF126" i="43"/>
  <c r="EG126" i="43"/>
  <c r="EH126" i="43"/>
  <c r="EI126" i="43"/>
  <c r="EJ126" i="43"/>
  <c r="EK126" i="43"/>
  <c r="EL126" i="43"/>
  <c r="EM126" i="43"/>
  <c r="EN126" i="43"/>
  <c r="EO126" i="43"/>
  <c r="EP126" i="43"/>
  <c r="EQ126" i="43"/>
  <c r="ER126" i="43"/>
  <c r="ES126" i="43"/>
  <c r="ET126" i="43"/>
  <c r="EU126" i="43"/>
  <c r="EV126" i="43"/>
  <c r="EW126" i="43"/>
  <c r="EX126" i="43"/>
  <c r="EY126" i="43"/>
  <c r="EZ126" i="43"/>
  <c r="FA126" i="43"/>
  <c r="FB126" i="43"/>
  <c r="FC126" i="43"/>
  <c r="FD126" i="43"/>
  <c r="FE126" i="43"/>
  <c r="FF126" i="43"/>
  <c r="FG126" i="43"/>
  <c r="FH126" i="43"/>
  <c r="FI126" i="43"/>
  <c r="FJ126" i="43"/>
  <c r="FK126" i="43"/>
  <c r="FL126" i="43"/>
  <c r="FM126" i="43"/>
  <c r="FN126" i="43"/>
  <c r="FO126" i="43"/>
  <c r="FP126" i="43"/>
  <c r="FQ126" i="43"/>
  <c r="FR126" i="43"/>
  <c r="FS126" i="43"/>
  <c r="FT126" i="43"/>
  <c r="FU126" i="43"/>
  <c r="FV126" i="43"/>
  <c r="FW126" i="43"/>
  <c r="FX126" i="43"/>
  <c r="FY126" i="43"/>
  <c r="FZ126" i="43"/>
  <c r="GA126" i="43"/>
  <c r="GB126" i="43"/>
  <c r="GC126" i="43"/>
  <c r="GD126" i="43"/>
  <c r="GE126" i="43"/>
  <c r="GF126" i="43"/>
  <c r="GG126" i="43"/>
  <c r="GH126" i="43"/>
  <c r="GI126" i="43"/>
  <c r="GJ126" i="43"/>
  <c r="GK126" i="43"/>
  <c r="GL126" i="43"/>
  <c r="GM126" i="43"/>
  <c r="GN126" i="43"/>
  <c r="GO126" i="43"/>
  <c r="GP126" i="43"/>
  <c r="GQ126" i="43"/>
  <c r="GR126" i="43"/>
  <c r="GS126" i="43"/>
  <c r="GT126" i="43"/>
  <c r="GU126" i="43"/>
  <c r="GV126" i="43"/>
  <c r="GW126" i="43"/>
  <c r="GX126" i="43"/>
  <c r="GY126" i="43"/>
  <c r="GZ126" i="43"/>
  <c r="HA126" i="43"/>
  <c r="HB126" i="43"/>
  <c r="HC126" i="43"/>
  <c r="HD126" i="43"/>
  <c r="HE126" i="43"/>
  <c r="HF126" i="43"/>
  <c r="HG126" i="43"/>
  <c r="HH126" i="43"/>
  <c r="HI126" i="43"/>
  <c r="HJ126" i="43"/>
  <c r="HK126" i="43"/>
  <c r="HL126" i="43"/>
  <c r="HM126" i="43"/>
  <c r="HN126" i="43"/>
  <c r="HO126" i="43"/>
  <c r="HP126" i="43"/>
  <c r="HQ126" i="43"/>
  <c r="HR126" i="43"/>
  <c r="HS126" i="43"/>
  <c r="HT126" i="43"/>
  <c r="HU126" i="43"/>
  <c r="HV126" i="43"/>
  <c r="HW126" i="43"/>
  <c r="HX126" i="43"/>
  <c r="HY126" i="43"/>
  <c r="HZ126" i="43"/>
  <c r="IA126" i="43"/>
  <c r="IB126" i="43"/>
  <c r="IC126" i="43"/>
  <c r="ID126" i="43"/>
  <c r="IE126" i="43"/>
  <c r="IF126" i="43"/>
  <c r="IG126" i="43"/>
  <c r="IH126" i="43"/>
  <c r="II126" i="43"/>
  <c r="IJ126" i="43"/>
  <c r="IK126" i="43"/>
  <c r="IL126" i="43"/>
  <c r="IM126" i="43"/>
  <c r="IN126" i="43"/>
  <c r="IO126" i="43"/>
  <c r="IP126" i="43"/>
  <c r="IQ126" i="43"/>
  <c r="IR126" i="43"/>
  <c r="IS126" i="43"/>
  <c r="IT126" i="43"/>
  <c r="IU126" i="43"/>
  <c r="IV126" i="43"/>
  <c r="A125" i="43"/>
  <c r="B125" i="43"/>
  <c r="C125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BD125" i="43"/>
  <c r="BE125" i="43"/>
  <c r="BF125" i="43"/>
  <c r="BG125" i="43"/>
  <c r="BH125" i="43"/>
  <c r="BI125" i="43"/>
  <c r="BJ125" i="43"/>
  <c r="BK125" i="43"/>
  <c r="BL125" i="43"/>
  <c r="BM125" i="43"/>
  <c r="BN125" i="43"/>
  <c r="BO125" i="43"/>
  <c r="BP125" i="43"/>
  <c r="BQ125" i="43"/>
  <c r="BR125" i="43"/>
  <c r="BS125" i="43"/>
  <c r="BT125" i="43"/>
  <c r="BU125" i="43"/>
  <c r="BV125" i="43"/>
  <c r="BW125" i="43"/>
  <c r="BX125" i="43"/>
  <c r="BY125" i="43"/>
  <c r="BZ125" i="43"/>
  <c r="CA125" i="43"/>
  <c r="CB125" i="43"/>
  <c r="CC125" i="43"/>
  <c r="CD125" i="43"/>
  <c r="CE125" i="43"/>
  <c r="CF125" i="43"/>
  <c r="CG125" i="43"/>
  <c r="CH125" i="43"/>
  <c r="CI125" i="43"/>
  <c r="CJ125" i="43"/>
  <c r="CK125" i="43"/>
  <c r="CL125" i="43"/>
  <c r="CM125" i="43"/>
  <c r="CN125" i="43"/>
  <c r="CO125" i="43"/>
  <c r="CP125" i="43"/>
  <c r="CQ125" i="43"/>
  <c r="CR125" i="43"/>
  <c r="CS125" i="43"/>
  <c r="CT125" i="43"/>
  <c r="CU125" i="43"/>
  <c r="CV125" i="43"/>
  <c r="CW125" i="43"/>
  <c r="CX125" i="43"/>
  <c r="CY125" i="43"/>
  <c r="CZ125" i="43"/>
  <c r="DA125" i="43"/>
  <c r="DB125" i="43"/>
  <c r="DC125" i="43"/>
  <c r="DD125" i="43"/>
  <c r="DE125" i="43"/>
  <c r="DF125" i="43"/>
  <c r="DG125" i="43"/>
  <c r="DH125" i="43"/>
  <c r="DI125" i="43"/>
  <c r="DJ125" i="43"/>
  <c r="DK125" i="43"/>
  <c r="DL125" i="43"/>
  <c r="DM125" i="43"/>
  <c r="DN125" i="43"/>
  <c r="DO125" i="43"/>
  <c r="DP125" i="43"/>
  <c r="DQ125" i="43"/>
  <c r="DR125" i="43"/>
  <c r="DS125" i="43"/>
  <c r="DT125" i="43"/>
  <c r="DU125" i="43"/>
  <c r="DV125" i="43"/>
  <c r="DW125" i="43"/>
  <c r="DX125" i="43"/>
  <c r="DY125" i="43"/>
  <c r="DZ125" i="43"/>
  <c r="EA125" i="43"/>
  <c r="EB125" i="43"/>
  <c r="EC125" i="43"/>
  <c r="ED125" i="43"/>
  <c r="EE125" i="43"/>
  <c r="EF125" i="43"/>
  <c r="EG125" i="43"/>
  <c r="EH125" i="43"/>
  <c r="EI125" i="43"/>
  <c r="EJ125" i="43"/>
  <c r="EK125" i="43"/>
  <c r="EL125" i="43"/>
  <c r="EM125" i="43"/>
  <c r="EN125" i="43"/>
  <c r="EO125" i="43"/>
  <c r="EP125" i="43"/>
  <c r="EQ125" i="43"/>
  <c r="ER125" i="43"/>
  <c r="ES125" i="43"/>
  <c r="ET125" i="43"/>
  <c r="EU125" i="43"/>
  <c r="EV125" i="43"/>
  <c r="EW125" i="43"/>
  <c r="EX125" i="43"/>
  <c r="EY125" i="43"/>
  <c r="EZ125" i="43"/>
  <c r="FA125" i="43"/>
  <c r="FB125" i="43"/>
  <c r="FC125" i="43"/>
  <c r="FD125" i="43"/>
  <c r="FE125" i="43"/>
  <c r="FF125" i="43"/>
  <c r="FG125" i="43"/>
  <c r="FH125" i="43"/>
  <c r="FI125" i="43"/>
  <c r="FJ125" i="43"/>
  <c r="FK125" i="43"/>
  <c r="FL125" i="43"/>
  <c r="FM125" i="43"/>
  <c r="FN125" i="43"/>
  <c r="FO125" i="43"/>
  <c r="FP125" i="43"/>
  <c r="FQ125" i="43"/>
  <c r="FR125" i="43"/>
  <c r="FS125" i="43"/>
  <c r="FT125" i="43"/>
  <c r="FU125" i="43"/>
  <c r="FV125" i="43"/>
  <c r="FW125" i="43"/>
  <c r="FX125" i="43"/>
  <c r="FY125" i="43"/>
  <c r="FZ125" i="43"/>
  <c r="GA125" i="43"/>
  <c r="GB125" i="43"/>
  <c r="GC125" i="43"/>
  <c r="GD125" i="43"/>
  <c r="GE125" i="43"/>
  <c r="GF125" i="43"/>
  <c r="GG125" i="43"/>
  <c r="GH125" i="43"/>
  <c r="GI125" i="43"/>
  <c r="GJ125" i="43"/>
  <c r="GK125" i="43"/>
  <c r="GL125" i="43"/>
  <c r="GM125" i="43"/>
  <c r="GN125" i="43"/>
  <c r="GO125" i="43"/>
  <c r="GP125" i="43"/>
  <c r="GQ125" i="43"/>
  <c r="GR125" i="43"/>
  <c r="GS125" i="43"/>
  <c r="GT125" i="43"/>
  <c r="GU125" i="43"/>
  <c r="GV125" i="43"/>
  <c r="GW125" i="43"/>
  <c r="GX125" i="43"/>
  <c r="GY125" i="43"/>
  <c r="GZ125" i="43"/>
  <c r="HA125" i="43"/>
  <c r="HB125" i="43"/>
  <c r="HC125" i="43"/>
  <c r="HD125" i="43"/>
  <c r="HE125" i="43"/>
  <c r="HF125" i="43"/>
  <c r="HG125" i="43"/>
  <c r="HH125" i="43"/>
  <c r="HI125" i="43"/>
  <c r="HJ125" i="43"/>
  <c r="HK125" i="43"/>
  <c r="HL125" i="43"/>
  <c r="HM125" i="43"/>
  <c r="HN125" i="43"/>
  <c r="HO125" i="43"/>
  <c r="HP125" i="43"/>
  <c r="HQ125" i="43"/>
  <c r="HR125" i="43"/>
  <c r="HS125" i="43"/>
  <c r="HT125" i="43"/>
  <c r="HU125" i="43"/>
  <c r="HV125" i="43"/>
  <c r="HW125" i="43"/>
  <c r="HX125" i="43"/>
  <c r="HY125" i="43"/>
  <c r="HZ125" i="43"/>
  <c r="IA125" i="43"/>
  <c r="IB125" i="43"/>
  <c r="IC125" i="43"/>
  <c r="ID125" i="43"/>
  <c r="IE125" i="43"/>
  <c r="IF125" i="43"/>
  <c r="IG125" i="43"/>
  <c r="IH125" i="43"/>
  <c r="II125" i="43"/>
  <c r="IJ125" i="43"/>
  <c r="IK125" i="43"/>
  <c r="IL125" i="43"/>
  <c r="IM125" i="43"/>
  <c r="IN125" i="43"/>
  <c r="IO125" i="43"/>
  <c r="IP125" i="43"/>
  <c r="IQ125" i="43"/>
  <c r="IR125" i="43"/>
  <c r="IS125" i="43"/>
  <c r="IT125" i="43"/>
  <c r="IU125" i="43"/>
  <c r="IV125" i="43"/>
  <c r="A124" i="43"/>
  <c r="B124" i="43"/>
  <c r="C124" i="43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BD124" i="43"/>
  <c r="BE124" i="43"/>
  <c r="BF124" i="43"/>
  <c r="BG124" i="43"/>
  <c r="BH124" i="43"/>
  <c r="BI124" i="43"/>
  <c r="BJ124" i="43"/>
  <c r="BK124" i="43"/>
  <c r="BL124" i="43"/>
  <c r="BM124" i="43"/>
  <c r="BN124" i="43"/>
  <c r="BO124" i="43"/>
  <c r="BP124" i="43"/>
  <c r="BQ124" i="43"/>
  <c r="BR124" i="43"/>
  <c r="BS124" i="43"/>
  <c r="BT124" i="43"/>
  <c r="BU124" i="43"/>
  <c r="BV124" i="43"/>
  <c r="BW124" i="43"/>
  <c r="BX124" i="43"/>
  <c r="BY124" i="43"/>
  <c r="BZ124" i="43"/>
  <c r="CA124" i="43"/>
  <c r="CB124" i="43"/>
  <c r="CC124" i="43"/>
  <c r="CD124" i="43"/>
  <c r="CE124" i="43"/>
  <c r="CF124" i="43"/>
  <c r="CG124" i="43"/>
  <c r="CH124" i="43"/>
  <c r="CI124" i="43"/>
  <c r="CJ124" i="43"/>
  <c r="CK124" i="43"/>
  <c r="CL124" i="43"/>
  <c r="CM124" i="43"/>
  <c r="CN124" i="43"/>
  <c r="CO124" i="43"/>
  <c r="CP124" i="43"/>
  <c r="CQ124" i="43"/>
  <c r="CR124" i="43"/>
  <c r="CS124" i="43"/>
  <c r="CT124" i="43"/>
  <c r="CU124" i="43"/>
  <c r="CV124" i="43"/>
  <c r="CW124" i="43"/>
  <c r="CX124" i="43"/>
  <c r="CY124" i="43"/>
  <c r="CZ124" i="43"/>
  <c r="DA124" i="43"/>
  <c r="DB124" i="43"/>
  <c r="DC124" i="43"/>
  <c r="DD124" i="43"/>
  <c r="DE124" i="43"/>
  <c r="DF124" i="43"/>
  <c r="DG124" i="43"/>
  <c r="DH124" i="43"/>
  <c r="DI124" i="43"/>
  <c r="DJ124" i="43"/>
  <c r="DK124" i="43"/>
  <c r="DL124" i="43"/>
  <c r="DM124" i="43"/>
  <c r="DN124" i="43"/>
  <c r="DO124" i="43"/>
  <c r="DP124" i="43"/>
  <c r="DQ124" i="43"/>
  <c r="DR124" i="43"/>
  <c r="DS124" i="43"/>
  <c r="DT124" i="43"/>
  <c r="DU124" i="43"/>
  <c r="DV124" i="43"/>
  <c r="DW124" i="43"/>
  <c r="DX124" i="43"/>
  <c r="DY124" i="43"/>
  <c r="DZ124" i="43"/>
  <c r="EA124" i="43"/>
  <c r="EB124" i="43"/>
  <c r="EC124" i="43"/>
  <c r="ED124" i="43"/>
  <c r="EE124" i="43"/>
  <c r="EF124" i="43"/>
  <c r="EG124" i="43"/>
  <c r="EH124" i="43"/>
  <c r="EI124" i="43"/>
  <c r="EJ124" i="43"/>
  <c r="EK124" i="43"/>
  <c r="EL124" i="43"/>
  <c r="EM124" i="43"/>
  <c r="EN124" i="43"/>
  <c r="EO124" i="43"/>
  <c r="EP124" i="43"/>
  <c r="EQ124" i="43"/>
  <c r="ER124" i="43"/>
  <c r="ES124" i="43"/>
  <c r="ET124" i="43"/>
  <c r="EU124" i="43"/>
  <c r="EV124" i="43"/>
  <c r="EW124" i="43"/>
  <c r="EX124" i="43"/>
  <c r="EY124" i="43"/>
  <c r="EZ124" i="43"/>
  <c r="FA124" i="43"/>
  <c r="FB124" i="43"/>
  <c r="FC124" i="43"/>
  <c r="FD124" i="43"/>
  <c r="FE124" i="43"/>
  <c r="FF124" i="43"/>
  <c r="FG124" i="43"/>
  <c r="FH124" i="43"/>
  <c r="FI124" i="43"/>
  <c r="FJ124" i="43"/>
  <c r="FK124" i="43"/>
  <c r="FL124" i="43"/>
  <c r="FM124" i="43"/>
  <c r="FN124" i="43"/>
  <c r="FO124" i="43"/>
  <c r="FP124" i="43"/>
  <c r="FQ124" i="43"/>
  <c r="FR124" i="43"/>
  <c r="FS124" i="43"/>
  <c r="FT124" i="43"/>
  <c r="FU124" i="43"/>
  <c r="FV124" i="43"/>
  <c r="FW124" i="43"/>
  <c r="FX124" i="43"/>
  <c r="FY124" i="43"/>
  <c r="FZ124" i="43"/>
  <c r="GA124" i="43"/>
  <c r="GB124" i="43"/>
  <c r="GC124" i="43"/>
  <c r="GD124" i="43"/>
  <c r="GE124" i="43"/>
  <c r="GF124" i="43"/>
  <c r="GG124" i="43"/>
  <c r="GH124" i="43"/>
  <c r="GI124" i="43"/>
  <c r="GJ124" i="43"/>
  <c r="GK124" i="43"/>
  <c r="GL124" i="43"/>
  <c r="GM124" i="43"/>
  <c r="GN124" i="43"/>
  <c r="GO124" i="43"/>
  <c r="GP124" i="43"/>
  <c r="GQ124" i="43"/>
  <c r="GR124" i="43"/>
  <c r="GS124" i="43"/>
  <c r="GT124" i="43"/>
  <c r="GU124" i="43"/>
  <c r="GV124" i="43"/>
  <c r="GW124" i="43"/>
  <c r="GX124" i="43"/>
  <c r="GY124" i="43"/>
  <c r="GZ124" i="43"/>
  <c r="HA124" i="43"/>
  <c r="HB124" i="43"/>
  <c r="HC124" i="43"/>
  <c r="HD124" i="43"/>
  <c r="HE124" i="43"/>
  <c r="HF124" i="43"/>
  <c r="HG124" i="43"/>
  <c r="HH124" i="43"/>
  <c r="HI124" i="43"/>
  <c r="HJ124" i="43"/>
  <c r="HK124" i="43"/>
  <c r="HL124" i="43"/>
  <c r="HM124" i="43"/>
  <c r="HN124" i="43"/>
  <c r="HO124" i="43"/>
  <c r="HP124" i="43"/>
  <c r="HQ124" i="43"/>
  <c r="HR124" i="43"/>
  <c r="HS124" i="43"/>
  <c r="HT124" i="43"/>
  <c r="HU124" i="43"/>
  <c r="HV124" i="43"/>
  <c r="HW124" i="43"/>
  <c r="HX124" i="43"/>
  <c r="HY124" i="43"/>
  <c r="HZ124" i="43"/>
  <c r="IA124" i="43"/>
  <c r="IB124" i="43"/>
  <c r="IC124" i="43"/>
  <c r="ID124" i="43"/>
  <c r="IE124" i="43"/>
  <c r="IF124" i="43"/>
  <c r="IG124" i="43"/>
  <c r="IH124" i="43"/>
  <c r="II124" i="43"/>
  <c r="IJ124" i="43"/>
  <c r="IK124" i="43"/>
  <c r="IL124" i="43"/>
  <c r="IM124" i="43"/>
  <c r="IN124" i="43"/>
  <c r="IO124" i="43"/>
  <c r="IP124" i="43"/>
  <c r="IQ124" i="43"/>
  <c r="IR124" i="43"/>
  <c r="IS124" i="43"/>
  <c r="IT124" i="43"/>
  <c r="IU124" i="43"/>
  <c r="IV124" i="43"/>
  <c r="A123" i="43"/>
  <c r="B123" i="43"/>
  <c r="C123" i="43"/>
  <c r="D123" i="43"/>
  <c r="E123" i="43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AW123" i="43"/>
  <c r="AX123" i="43"/>
  <c r="AY123" i="43"/>
  <c r="AZ123" i="43"/>
  <c r="BA123" i="43"/>
  <c r="BB123" i="43"/>
  <c r="BC123" i="43"/>
  <c r="BD123" i="43"/>
  <c r="BE123" i="43"/>
  <c r="BF123" i="43"/>
  <c r="BG123" i="43"/>
  <c r="BH123" i="43"/>
  <c r="BI123" i="43"/>
  <c r="BJ123" i="43"/>
  <c r="BK123" i="43"/>
  <c r="BL123" i="43"/>
  <c r="BM123" i="43"/>
  <c r="BN123" i="43"/>
  <c r="BO123" i="43"/>
  <c r="BP123" i="43"/>
  <c r="BQ123" i="43"/>
  <c r="BR123" i="43"/>
  <c r="BS123" i="43"/>
  <c r="BT123" i="43"/>
  <c r="BU123" i="43"/>
  <c r="BV123" i="43"/>
  <c r="BW123" i="43"/>
  <c r="BX123" i="43"/>
  <c r="BY123" i="43"/>
  <c r="BZ123" i="43"/>
  <c r="CA123" i="43"/>
  <c r="CB123" i="43"/>
  <c r="CC123" i="43"/>
  <c r="CD123" i="43"/>
  <c r="CE123" i="43"/>
  <c r="CF123" i="43"/>
  <c r="CG123" i="43"/>
  <c r="CH123" i="43"/>
  <c r="CI123" i="43"/>
  <c r="CJ123" i="43"/>
  <c r="CK123" i="43"/>
  <c r="CL123" i="43"/>
  <c r="CM123" i="43"/>
  <c r="CN123" i="43"/>
  <c r="CO123" i="43"/>
  <c r="CP123" i="43"/>
  <c r="CQ123" i="43"/>
  <c r="CR123" i="43"/>
  <c r="CS123" i="43"/>
  <c r="CT123" i="43"/>
  <c r="CU123" i="43"/>
  <c r="CV123" i="43"/>
  <c r="CW123" i="43"/>
  <c r="CX123" i="43"/>
  <c r="CY123" i="43"/>
  <c r="CZ123" i="43"/>
  <c r="DA123" i="43"/>
  <c r="DB123" i="43"/>
  <c r="DC123" i="43"/>
  <c r="DD123" i="43"/>
  <c r="DE123" i="43"/>
  <c r="DF123" i="43"/>
  <c r="DG123" i="43"/>
  <c r="DH123" i="43"/>
  <c r="DI123" i="43"/>
  <c r="DJ123" i="43"/>
  <c r="DK123" i="43"/>
  <c r="DL123" i="43"/>
  <c r="DM123" i="43"/>
  <c r="DN123" i="43"/>
  <c r="DO123" i="43"/>
  <c r="DP123" i="43"/>
  <c r="DQ123" i="43"/>
  <c r="DR123" i="43"/>
  <c r="DS123" i="43"/>
  <c r="DT123" i="43"/>
  <c r="DU123" i="43"/>
  <c r="DV123" i="43"/>
  <c r="DW123" i="43"/>
  <c r="DX123" i="43"/>
  <c r="DY123" i="43"/>
  <c r="DZ123" i="43"/>
  <c r="EA123" i="43"/>
  <c r="EB123" i="43"/>
  <c r="EC123" i="43"/>
  <c r="ED123" i="43"/>
  <c r="EE123" i="43"/>
  <c r="EF123" i="43"/>
  <c r="EG123" i="43"/>
  <c r="EH123" i="43"/>
  <c r="EI123" i="43"/>
  <c r="EJ123" i="43"/>
  <c r="EK123" i="43"/>
  <c r="EL123" i="43"/>
  <c r="EM123" i="43"/>
  <c r="EN123" i="43"/>
  <c r="EO123" i="43"/>
  <c r="EP123" i="43"/>
  <c r="EQ123" i="43"/>
  <c r="ER123" i="43"/>
  <c r="ES123" i="43"/>
  <c r="ET123" i="43"/>
  <c r="EU123" i="43"/>
  <c r="EV123" i="43"/>
  <c r="EW123" i="43"/>
  <c r="EX123" i="43"/>
  <c r="EY123" i="43"/>
  <c r="EZ123" i="43"/>
  <c r="FA123" i="43"/>
  <c r="FB123" i="43"/>
  <c r="FC123" i="43"/>
  <c r="FD123" i="43"/>
  <c r="FE123" i="43"/>
  <c r="FF123" i="43"/>
  <c r="FG123" i="43"/>
  <c r="FH123" i="43"/>
  <c r="FI123" i="43"/>
  <c r="FJ123" i="43"/>
  <c r="FK123" i="43"/>
  <c r="FL123" i="43"/>
  <c r="FM123" i="43"/>
  <c r="FN123" i="43"/>
  <c r="FO123" i="43"/>
  <c r="FP123" i="43"/>
  <c r="FQ123" i="43"/>
  <c r="FR123" i="43"/>
  <c r="FS123" i="43"/>
  <c r="FT123" i="43"/>
  <c r="FU123" i="43"/>
  <c r="FV123" i="43"/>
  <c r="FW123" i="43"/>
  <c r="FX123" i="43"/>
  <c r="FY123" i="43"/>
  <c r="FZ123" i="43"/>
  <c r="GA123" i="43"/>
  <c r="GB123" i="43"/>
  <c r="GC123" i="43"/>
  <c r="GD123" i="43"/>
  <c r="GE123" i="43"/>
  <c r="GF123" i="43"/>
  <c r="GG123" i="43"/>
  <c r="GH123" i="43"/>
  <c r="GI123" i="43"/>
  <c r="GJ123" i="43"/>
  <c r="GK123" i="43"/>
  <c r="GL123" i="43"/>
  <c r="GM123" i="43"/>
  <c r="GN123" i="43"/>
  <c r="GO123" i="43"/>
  <c r="GP123" i="43"/>
  <c r="GQ123" i="43"/>
  <c r="GR123" i="43"/>
  <c r="GS123" i="43"/>
  <c r="GT123" i="43"/>
  <c r="GU123" i="43"/>
  <c r="GV123" i="43"/>
  <c r="GW123" i="43"/>
  <c r="GX123" i="43"/>
  <c r="GY123" i="43"/>
  <c r="GZ123" i="43"/>
  <c r="HA123" i="43"/>
  <c r="HB123" i="43"/>
  <c r="HC123" i="43"/>
  <c r="HD123" i="43"/>
  <c r="HE123" i="43"/>
  <c r="HF123" i="43"/>
  <c r="HG123" i="43"/>
  <c r="HH123" i="43"/>
  <c r="HI123" i="43"/>
  <c r="HJ123" i="43"/>
  <c r="HK123" i="43"/>
  <c r="HL123" i="43"/>
  <c r="HM123" i="43"/>
  <c r="HN123" i="43"/>
  <c r="HO123" i="43"/>
  <c r="HP123" i="43"/>
  <c r="HQ123" i="43"/>
  <c r="HR123" i="43"/>
  <c r="HS123" i="43"/>
  <c r="HT123" i="43"/>
  <c r="HU123" i="43"/>
  <c r="HV123" i="43"/>
  <c r="HW123" i="43"/>
  <c r="HX123" i="43"/>
  <c r="HY123" i="43"/>
  <c r="HZ123" i="43"/>
  <c r="IA123" i="43"/>
  <c r="IB123" i="43"/>
  <c r="IC123" i="43"/>
  <c r="ID123" i="43"/>
  <c r="IE123" i="43"/>
  <c r="IF123" i="43"/>
  <c r="IG123" i="43"/>
  <c r="IH123" i="43"/>
  <c r="II123" i="43"/>
  <c r="IJ123" i="43"/>
  <c r="IK123" i="43"/>
  <c r="IL123" i="43"/>
  <c r="IM123" i="43"/>
  <c r="IN123" i="43"/>
  <c r="IO123" i="43"/>
  <c r="IP123" i="43"/>
  <c r="IQ123" i="43"/>
  <c r="IR123" i="43"/>
  <c r="IS123" i="43"/>
  <c r="IT123" i="43"/>
  <c r="IU123" i="43"/>
  <c r="IV123" i="43"/>
  <c r="A122" i="43"/>
  <c r="B122" i="43"/>
  <c r="C122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AW122" i="43"/>
  <c r="AX122" i="43"/>
  <c r="AY122" i="43"/>
  <c r="AZ122" i="43"/>
  <c r="BA122" i="43"/>
  <c r="BB122" i="43"/>
  <c r="BC122" i="43"/>
  <c r="BD122" i="43"/>
  <c r="BE122" i="43"/>
  <c r="BF122" i="43"/>
  <c r="BG122" i="43"/>
  <c r="BH122" i="43"/>
  <c r="BI122" i="43"/>
  <c r="BJ122" i="43"/>
  <c r="BK122" i="43"/>
  <c r="BL122" i="43"/>
  <c r="BM122" i="43"/>
  <c r="BN122" i="43"/>
  <c r="BO122" i="43"/>
  <c r="BP122" i="43"/>
  <c r="BQ122" i="43"/>
  <c r="BR122" i="43"/>
  <c r="BS122" i="43"/>
  <c r="BT122" i="43"/>
  <c r="BU122" i="43"/>
  <c r="BV122" i="43"/>
  <c r="BW122" i="43"/>
  <c r="BX122" i="43"/>
  <c r="BY122" i="43"/>
  <c r="BZ122" i="43"/>
  <c r="CA122" i="43"/>
  <c r="CB122" i="43"/>
  <c r="CC122" i="43"/>
  <c r="CD122" i="43"/>
  <c r="CE122" i="43"/>
  <c r="CF122" i="43"/>
  <c r="CG122" i="43"/>
  <c r="CH122" i="43"/>
  <c r="CI122" i="43"/>
  <c r="CJ122" i="43"/>
  <c r="CK122" i="43"/>
  <c r="CL122" i="43"/>
  <c r="CM122" i="43"/>
  <c r="CN122" i="43"/>
  <c r="CO122" i="43"/>
  <c r="CP122" i="43"/>
  <c r="CQ122" i="43"/>
  <c r="CR122" i="43"/>
  <c r="CS122" i="43"/>
  <c r="CT122" i="43"/>
  <c r="CU122" i="43"/>
  <c r="CV122" i="43"/>
  <c r="CW122" i="43"/>
  <c r="CX122" i="43"/>
  <c r="CY122" i="43"/>
  <c r="CZ122" i="43"/>
  <c r="DA122" i="43"/>
  <c r="DB122" i="43"/>
  <c r="DC122" i="43"/>
  <c r="DD122" i="43"/>
  <c r="DE122" i="43"/>
  <c r="DF122" i="43"/>
  <c r="DG122" i="43"/>
  <c r="DH122" i="43"/>
  <c r="DI122" i="43"/>
  <c r="DJ122" i="43"/>
  <c r="DK122" i="43"/>
  <c r="DL122" i="43"/>
  <c r="DM122" i="43"/>
  <c r="DN122" i="43"/>
  <c r="DO122" i="43"/>
  <c r="DP122" i="43"/>
  <c r="DQ122" i="43"/>
  <c r="DR122" i="43"/>
  <c r="DS122" i="43"/>
  <c r="DT122" i="43"/>
  <c r="DU122" i="43"/>
  <c r="DV122" i="43"/>
  <c r="DW122" i="43"/>
  <c r="DX122" i="43"/>
  <c r="DY122" i="43"/>
  <c r="DZ122" i="43"/>
  <c r="EA122" i="43"/>
  <c r="EB122" i="43"/>
  <c r="EC122" i="43"/>
  <c r="ED122" i="43"/>
  <c r="EE122" i="43"/>
  <c r="EF122" i="43"/>
  <c r="EG122" i="43"/>
  <c r="EH122" i="43"/>
  <c r="EI122" i="43"/>
  <c r="EJ122" i="43"/>
  <c r="EK122" i="43"/>
  <c r="EL122" i="43"/>
  <c r="EM122" i="43"/>
  <c r="EN122" i="43"/>
  <c r="EO122" i="43"/>
  <c r="EP122" i="43"/>
  <c r="EQ122" i="43"/>
  <c r="ER122" i="43"/>
  <c r="ES122" i="43"/>
  <c r="ET122" i="43"/>
  <c r="EU122" i="43"/>
  <c r="EV122" i="43"/>
  <c r="EW122" i="43"/>
  <c r="EX122" i="43"/>
  <c r="EY122" i="43"/>
  <c r="EZ122" i="43"/>
  <c r="FA122" i="43"/>
  <c r="FB122" i="43"/>
  <c r="FC122" i="43"/>
  <c r="FD122" i="43"/>
  <c r="FE122" i="43"/>
  <c r="FF122" i="43"/>
  <c r="FG122" i="43"/>
  <c r="FH122" i="43"/>
  <c r="FI122" i="43"/>
  <c r="FJ122" i="43"/>
  <c r="FK122" i="43"/>
  <c r="FL122" i="43"/>
  <c r="FM122" i="43"/>
  <c r="FN122" i="43"/>
  <c r="FO122" i="43"/>
  <c r="FP122" i="43"/>
  <c r="FQ122" i="43"/>
  <c r="FR122" i="43"/>
  <c r="FS122" i="43"/>
  <c r="FT122" i="43"/>
  <c r="FU122" i="43"/>
  <c r="FV122" i="43"/>
  <c r="FW122" i="43"/>
  <c r="FX122" i="43"/>
  <c r="FY122" i="43"/>
  <c r="FZ122" i="43"/>
  <c r="GA122" i="43"/>
  <c r="GB122" i="43"/>
  <c r="GC122" i="43"/>
  <c r="GD122" i="43"/>
  <c r="GE122" i="43"/>
  <c r="GF122" i="43"/>
  <c r="GG122" i="43"/>
  <c r="GH122" i="43"/>
  <c r="GI122" i="43"/>
  <c r="GJ122" i="43"/>
  <c r="GK122" i="43"/>
  <c r="GL122" i="43"/>
  <c r="GM122" i="43"/>
  <c r="GN122" i="43"/>
  <c r="GO122" i="43"/>
  <c r="GP122" i="43"/>
  <c r="GQ122" i="43"/>
  <c r="GR122" i="43"/>
  <c r="GS122" i="43"/>
  <c r="GT122" i="43"/>
  <c r="GU122" i="43"/>
  <c r="GV122" i="43"/>
  <c r="GW122" i="43"/>
  <c r="GX122" i="43"/>
  <c r="GY122" i="43"/>
  <c r="GZ122" i="43"/>
  <c r="HA122" i="43"/>
  <c r="HB122" i="43"/>
  <c r="HC122" i="43"/>
  <c r="HD122" i="43"/>
  <c r="HE122" i="43"/>
  <c r="HF122" i="43"/>
  <c r="HG122" i="43"/>
  <c r="HH122" i="43"/>
  <c r="HI122" i="43"/>
  <c r="HJ122" i="43"/>
  <c r="HK122" i="43"/>
  <c r="HL122" i="43"/>
  <c r="HM122" i="43"/>
  <c r="HN122" i="43"/>
  <c r="HO122" i="43"/>
  <c r="HP122" i="43"/>
  <c r="HQ122" i="43"/>
  <c r="HR122" i="43"/>
  <c r="HS122" i="43"/>
  <c r="HT122" i="43"/>
  <c r="HU122" i="43"/>
  <c r="HV122" i="43"/>
  <c r="HW122" i="43"/>
  <c r="HX122" i="43"/>
  <c r="HY122" i="43"/>
  <c r="HZ122" i="43"/>
  <c r="IA122" i="43"/>
  <c r="IB122" i="43"/>
  <c r="IC122" i="43"/>
  <c r="ID122" i="43"/>
  <c r="IE122" i="43"/>
  <c r="IF122" i="43"/>
  <c r="IG122" i="43"/>
  <c r="IH122" i="43"/>
  <c r="II122" i="43"/>
  <c r="IJ122" i="43"/>
  <c r="IK122" i="43"/>
  <c r="IL122" i="43"/>
  <c r="IM122" i="43"/>
  <c r="IN122" i="43"/>
  <c r="IO122" i="43"/>
  <c r="IP122" i="43"/>
  <c r="IQ122" i="43"/>
  <c r="IR122" i="43"/>
  <c r="IS122" i="43"/>
  <c r="IT122" i="43"/>
  <c r="IU122" i="43"/>
  <c r="IV122" i="43"/>
  <c r="A121" i="43"/>
  <c r="B121" i="43"/>
  <c r="C121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AW121" i="43"/>
  <c r="AX121" i="43"/>
  <c r="AY121" i="43"/>
  <c r="AZ121" i="43"/>
  <c r="BA121" i="43"/>
  <c r="BB121" i="43"/>
  <c r="BC121" i="43"/>
  <c r="BD121" i="43"/>
  <c r="BE121" i="43"/>
  <c r="BF121" i="43"/>
  <c r="BG121" i="43"/>
  <c r="BH121" i="43"/>
  <c r="BI121" i="43"/>
  <c r="BJ121" i="43"/>
  <c r="BK121" i="43"/>
  <c r="BL121" i="43"/>
  <c r="BM121" i="43"/>
  <c r="BN121" i="43"/>
  <c r="BO121" i="43"/>
  <c r="BP121" i="43"/>
  <c r="BQ121" i="43"/>
  <c r="BR121" i="43"/>
  <c r="BS121" i="43"/>
  <c r="BT121" i="43"/>
  <c r="BU121" i="43"/>
  <c r="BV121" i="43"/>
  <c r="BW121" i="43"/>
  <c r="BX121" i="43"/>
  <c r="BY121" i="43"/>
  <c r="BZ121" i="43"/>
  <c r="CA121" i="43"/>
  <c r="CB121" i="43"/>
  <c r="CC121" i="43"/>
  <c r="CD121" i="43"/>
  <c r="CE121" i="43"/>
  <c r="CF121" i="43"/>
  <c r="CG121" i="43"/>
  <c r="CH121" i="43"/>
  <c r="CI121" i="43"/>
  <c r="CJ121" i="43"/>
  <c r="CK121" i="43"/>
  <c r="CL121" i="43"/>
  <c r="CM121" i="43"/>
  <c r="CN121" i="43"/>
  <c r="CO121" i="43"/>
  <c r="CP121" i="43"/>
  <c r="CQ121" i="43"/>
  <c r="CR121" i="43"/>
  <c r="CS121" i="43"/>
  <c r="CT121" i="43"/>
  <c r="CU121" i="43"/>
  <c r="CV121" i="43"/>
  <c r="CW121" i="43"/>
  <c r="CX121" i="43"/>
  <c r="CY121" i="43"/>
  <c r="CZ121" i="43"/>
  <c r="DA121" i="43"/>
  <c r="DB121" i="43"/>
  <c r="DC121" i="43"/>
  <c r="DD121" i="43"/>
  <c r="DE121" i="43"/>
  <c r="DF121" i="43"/>
  <c r="DG121" i="43"/>
  <c r="DH121" i="43"/>
  <c r="DI121" i="43"/>
  <c r="DJ121" i="43"/>
  <c r="DK121" i="43"/>
  <c r="DL121" i="43"/>
  <c r="DM121" i="43"/>
  <c r="DN121" i="43"/>
  <c r="DO121" i="43"/>
  <c r="DP121" i="43"/>
  <c r="DQ121" i="43"/>
  <c r="DR121" i="43"/>
  <c r="DS121" i="43"/>
  <c r="DT121" i="43"/>
  <c r="DU121" i="43"/>
  <c r="DV121" i="43"/>
  <c r="DW121" i="43"/>
  <c r="DX121" i="43"/>
  <c r="DY121" i="43"/>
  <c r="DZ121" i="43"/>
  <c r="EA121" i="43"/>
  <c r="EB121" i="43"/>
  <c r="EC121" i="43"/>
  <c r="ED121" i="43"/>
  <c r="EE121" i="43"/>
  <c r="EF121" i="43"/>
  <c r="EG121" i="43"/>
  <c r="EH121" i="43"/>
  <c r="EI121" i="43"/>
  <c r="EJ121" i="43"/>
  <c r="EK121" i="43"/>
  <c r="EL121" i="43"/>
  <c r="EM121" i="43"/>
  <c r="EN121" i="43"/>
  <c r="EO121" i="43"/>
  <c r="EP121" i="43"/>
  <c r="EQ121" i="43"/>
  <c r="ER121" i="43"/>
  <c r="ES121" i="43"/>
  <c r="ET121" i="43"/>
  <c r="EU121" i="43"/>
  <c r="EV121" i="43"/>
  <c r="EW121" i="43"/>
  <c r="EX121" i="43"/>
  <c r="EY121" i="43"/>
  <c r="EZ121" i="43"/>
  <c r="FA121" i="43"/>
  <c r="FB121" i="43"/>
  <c r="FC121" i="43"/>
  <c r="FD121" i="43"/>
  <c r="FE121" i="43"/>
  <c r="FF121" i="43"/>
  <c r="FG121" i="43"/>
  <c r="FH121" i="43"/>
  <c r="FI121" i="43"/>
  <c r="FJ121" i="43"/>
  <c r="FK121" i="43"/>
  <c r="FL121" i="43"/>
  <c r="FM121" i="43"/>
  <c r="FN121" i="43"/>
  <c r="FO121" i="43"/>
  <c r="FP121" i="43"/>
  <c r="FQ121" i="43"/>
  <c r="FR121" i="43"/>
  <c r="FS121" i="43"/>
  <c r="FT121" i="43"/>
  <c r="FU121" i="43"/>
  <c r="FV121" i="43"/>
  <c r="FW121" i="43"/>
  <c r="FX121" i="43"/>
  <c r="FY121" i="43"/>
  <c r="FZ121" i="43"/>
  <c r="GA121" i="43"/>
  <c r="GB121" i="43"/>
  <c r="GC121" i="43"/>
  <c r="GD121" i="43"/>
  <c r="GE121" i="43"/>
  <c r="GF121" i="43"/>
  <c r="GG121" i="43"/>
  <c r="GH121" i="43"/>
  <c r="GI121" i="43"/>
  <c r="GJ121" i="43"/>
  <c r="GK121" i="43"/>
  <c r="GL121" i="43"/>
  <c r="GM121" i="43"/>
  <c r="GN121" i="43"/>
  <c r="GO121" i="43"/>
  <c r="GP121" i="43"/>
  <c r="GQ121" i="43"/>
  <c r="GR121" i="43"/>
  <c r="GS121" i="43"/>
  <c r="GT121" i="43"/>
  <c r="GU121" i="43"/>
  <c r="GV121" i="43"/>
  <c r="GW121" i="43"/>
  <c r="GX121" i="43"/>
  <c r="GY121" i="43"/>
  <c r="GZ121" i="43"/>
  <c r="HA121" i="43"/>
  <c r="HB121" i="43"/>
  <c r="HC121" i="43"/>
  <c r="HD121" i="43"/>
  <c r="HE121" i="43"/>
  <c r="HF121" i="43"/>
  <c r="HG121" i="43"/>
  <c r="HH121" i="43"/>
  <c r="HI121" i="43"/>
  <c r="HJ121" i="43"/>
  <c r="HK121" i="43"/>
  <c r="HL121" i="43"/>
  <c r="HM121" i="43"/>
  <c r="HN121" i="43"/>
  <c r="HO121" i="43"/>
  <c r="HP121" i="43"/>
  <c r="HQ121" i="43"/>
  <c r="HR121" i="43"/>
  <c r="HS121" i="43"/>
  <c r="HT121" i="43"/>
  <c r="HU121" i="43"/>
  <c r="HV121" i="43"/>
  <c r="HW121" i="43"/>
  <c r="HX121" i="43"/>
  <c r="HY121" i="43"/>
  <c r="HZ121" i="43"/>
  <c r="IA121" i="43"/>
  <c r="IB121" i="43"/>
  <c r="IC121" i="43"/>
  <c r="ID121" i="43"/>
  <c r="IE121" i="43"/>
  <c r="IF121" i="43"/>
  <c r="IG121" i="43"/>
  <c r="IH121" i="43"/>
  <c r="II121" i="43"/>
  <c r="IJ121" i="43"/>
  <c r="IK121" i="43"/>
  <c r="IL121" i="43"/>
  <c r="IM121" i="43"/>
  <c r="IN121" i="43"/>
  <c r="IO121" i="43"/>
  <c r="IP121" i="43"/>
  <c r="IQ121" i="43"/>
  <c r="IR121" i="43"/>
  <c r="IS121" i="43"/>
  <c r="IT121" i="43"/>
  <c r="IU121" i="43"/>
  <c r="IV121" i="43"/>
  <c r="A120" i="43"/>
  <c r="B120" i="43"/>
  <c r="C120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AW120" i="43"/>
  <c r="AX120" i="43"/>
  <c r="AY120" i="43"/>
  <c r="AZ120" i="43"/>
  <c r="BA120" i="43"/>
  <c r="BB120" i="43"/>
  <c r="BC120" i="43"/>
  <c r="BD120" i="43"/>
  <c r="BE120" i="43"/>
  <c r="BF120" i="43"/>
  <c r="BG120" i="43"/>
  <c r="BH120" i="43"/>
  <c r="BI120" i="43"/>
  <c r="BJ120" i="43"/>
  <c r="BK120" i="43"/>
  <c r="BL120" i="43"/>
  <c r="BM120" i="43"/>
  <c r="BN120" i="43"/>
  <c r="BO120" i="43"/>
  <c r="BP120" i="43"/>
  <c r="BQ120" i="43"/>
  <c r="BR120" i="43"/>
  <c r="BS120" i="43"/>
  <c r="BT120" i="43"/>
  <c r="BU120" i="43"/>
  <c r="BV120" i="43"/>
  <c r="BW120" i="43"/>
  <c r="BX120" i="43"/>
  <c r="BY120" i="43"/>
  <c r="BZ120" i="43"/>
  <c r="CA120" i="43"/>
  <c r="CB120" i="43"/>
  <c r="CC120" i="43"/>
  <c r="CD120" i="43"/>
  <c r="CE120" i="43"/>
  <c r="CF120" i="43"/>
  <c r="CG120" i="43"/>
  <c r="CH120" i="43"/>
  <c r="CI120" i="43"/>
  <c r="CJ120" i="43"/>
  <c r="CK120" i="43"/>
  <c r="CL120" i="43"/>
  <c r="CM120" i="43"/>
  <c r="CN120" i="43"/>
  <c r="CO120" i="43"/>
  <c r="CP120" i="43"/>
  <c r="CQ120" i="43"/>
  <c r="CR120" i="43"/>
  <c r="CS120" i="43"/>
  <c r="CT120" i="43"/>
  <c r="CU120" i="43"/>
  <c r="CV120" i="43"/>
  <c r="CW120" i="43"/>
  <c r="CX120" i="43"/>
  <c r="CY120" i="43"/>
  <c r="CZ120" i="43"/>
  <c r="DA120" i="43"/>
  <c r="DB120" i="43"/>
  <c r="DC120" i="43"/>
  <c r="DD120" i="43"/>
  <c r="DE120" i="43"/>
  <c r="DF120" i="43"/>
  <c r="DG120" i="43"/>
  <c r="DH120" i="43"/>
  <c r="DI120" i="43"/>
  <c r="DJ120" i="43"/>
  <c r="DK120" i="43"/>
  <c r="DL120" i="43"/>
  <c r="DM120" i="43"/>
  <c r="DN120" i="43"/>
  <c r="DO120" i="43"/>
  <c r="DP120" i="43"/>
  <c r="DQ120" i="43"/>
  <c r="DR120" i="43"/>
  <c r="DS120" i="43"/>
  <c r="DT120" i="43"/>
  <c r="DU120" i="43"/>
  <c r="DV120" i="43"/>
  <c r="DW120" i="43"/>
  <c r="DX120" i="43"/>
  <c r="DY120" i="43"/>
  <c r="DZ120" i="43"/>
  <c r="EA120" i="43"/>
  <c r="EB120" i="43"/>
  <c r="EC120" i="43"/>
  <c r="ED120" i="43"/>
  <c r="EE120" i="43"/>
  <c r="EF120" i="43"/>
  <c r="EG120" i="43"/>
  <c r="EH120" i="43"/>
  <c r="EI120" i="43"/>
  <c r="EJ120" i="43"/>
  <c r="EK120" i="43"/>
  <c r="EL120" i="43"/>
  <c r="EM120" i="43"/>
  <c r="EN120" i="43"/>
  <c r="EO120" i="43"/>
  <c r="EP120" i="43"/>
  <c r="EQ120" i="43"/>
  <c r="ER120" i="43"/>
  <c r="ES120" i="43"/>
  <c r="ET120" i="43"/>
  <c r="EU120" i="43"/>
  <c r="EV120" i="43"/>
  <c r="EW120" i="43"/>
  <c r="EX120" i="43"/>
  <c r="EY120" i="43"/>
  <c r="EZ120" i="43"/>
  <c r="FA120" i="43"/>
  <c r="FB120" i="43"/>
  <c r="FC120" i="43"/>
  <c r="FD120" i="43"/>
  <c r="FE120" i="43"/>
  <c r="FF120" i="43"/>
  <c r="FG120" i="43"/>
  <c r="FH120" i="43"/>
  <c r="FI120" i="43"/>
  <c r="FJ120" i="43"/>
  <c r="FK120" i="43"/>
  <c r="FL120" i="43"/>
  <c r="FM120" i="43"/>
  <c r="FN120" i="43"/>
  <c r="FO120" i="43"/>
  <c r="FP120" i="43"/>
  <c r="FQ120" i="43"/>
  <c r="FR120" i="43"/>
  <c r="FS120" i="43"/>
  <c r="FT120" i="43"/>
  <c r="FU120" i="43"/>
  <c r="FV120" i="43"/>
  <c r="FW120" i="43"/>
  <c r="FX120" i="43"/>
  <c r="FY120" i="43"/>
  <c r="FZ120" i="43"/>
  <c r="GA120" i="43"/>
  <c r="GB120" i="43"/>
  <c r="GC120" i="43"/>
  <c r="GD120" i="43"/>
  <c r="GE120" i="43"/>
  <c r="GF120" i="43"/>
  <c r="GG120" i="43"/>
  <c r="GH120" i="43"/>
  <c r="GI120" i="43"/>
  <c r="GJ120" i="43"/>
  <c r="GK120" i="43"/>
  <c r="GL120" i="43"/>
  <c r="GM120" i="43"/>
  <c r="GN120" i="43"/>
  <c r="GO120" i="43"/>
  <c r="GP120" i="43"/>
  <c r="GQ120" i="43"/>
  <c r="GR120" i="43"/>
  <c r="GS120" i="43"/>
  <c r="GT120" i="43"/>
  <c r="GU120" i="43"/>
  <c r="GV120" i="43"/>
  <c r="GW120" i="43"/>
  <c r="GX120" i="43"/>
  <c r="GY120" i="43"/>
  <c r="GZ120" i="43"/>
  <c r="HA120" i="43"/>
  <c r="HB120" i="43"/>
  <c r="HC120" i="43"/>
  <c r="HD120" i="43"/>
  <c r="HE120" i="43"/>
  <c r="HF120" i="43"/>
  <c r="HG120" i="43"/>
  <c r="HH120" i="43"/>
  <c r="HI120" i="43"/>
  <c r="HJ120" i="43"/>
  <c r="HK120" i="43"/>
  <c r="HL120" i="43"/>
  <c r="HM120" i="43"/>
  <c r="HN120" i="43"/>
  <c r="HO120" i="43"/>
  <c r="HP120" i="43"/>
  <c r="HQ120" i="43"/>
  <c r="HR120" i="43"/>
  <c r="HS120" i="43"/>
  <c r="HT120" i="43"/>
  <c r="HU120" i="43"/>
  <c r="HV120" i="43"/>
  <c r="HW120" i="43"/>
  <c r="HX120" i="43"/>
  <c r="HY120" i="43"/>
  <c r="HZ120" i="43"/>
  <c r="IA120" i="43"/>
  <c r="IB120" i="43"/>
  <c r="IC120" i="43"/>
  <c r="ID120" i="43"/>
  <c r="IE120" i="43"/>
  <c r="IF120" i="43"/>
  <c r="IG120" i="43"/>
  <c r="IH120" i="43"/>
  <c r="II120" i="43"/>
  <c r="IJ120" i="43"/>
  <c r="IK120" i="43"/>
  <c r="IL120" i="43"/>
  <c r="IM120" i="43"/>
  <c r="IN120" i="43"/>
  <c r="IO120" i="43"/>
  <c r="IP120" i="43"/>
  <c r="IQ120" i="43"/>
  <c r="IR120" i="43"/>
  <c r="IS120" i="43"/>
  <c r="IT120" i="43"/>
  <c r="IU120" i="43"/>
  <c r="IV120" i="43"/>
  <c r="A119" i="43"/>
  <c r="B119" i="43"/>
  <c r="C119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AW119" i="43"/>
  <c r="AX119" i="43"/>
  <c r="AY119" i="43"/>
  <c r="AZ119" i="43"/>
  <c r="BA119" i="43"/>
  <c r="BB119" i="43"/>
  <c r="BC119" i="43"/>
  <c r="BD119" i="43"/>
  <c r="BE119" i="43"/>
  <c r="BF119" i="43"/>
  <c r="BG119" i="43"/>
  <c r="BH119" i="43"/>
  <c r="BI119" i="43"/>
  <c r="BJ119" i="43"/>
  <c r="BK119" i="43"/>
  <c r="BL119" i="43"/>
  <c r="BM119" i="43"/>
  <c r="BN119" i="43"/>
  <c r="BO119" i="43"/>
  <c r="BP119" i="43"/>
  <c r="BQ119" i="43"/>
  <c r="BR119" i="43"/>
  <c r="BS119" i="43"/>
  <c r="BT119" i="43"/>
  <c r="BU119" i="43"/>
  <c r="BV119" i="43"/>
  <c r="BW119" i="43"/>
  <c r="BX119" i="43"/>
  <c r="BY119" i="43"/>
  <c r="BZ119" i="43"/>
  <c r="CA119" i="43"/>
  <c r="CB119" i="43"/>
  <c r="CC119" i="43"/>
  <c r="CD119" i="43"/>
  <c r="CE119" i="43"/>
  <c r="CF119" i="43"/>
  <c r="CG119" i="43"/>
  <c r="CH119" i="43"/>
  <c r="CI119" i="43"/>
  <c r="CJ119" i="43"/>
  <c r="CK119" i="43"/>
  <c r="CL119" i="43"/>
  <c r="CM119" i="43"/>
  <c r="CN119" i="43"/>
  <c r="CO119" i="43"/>
  <c r="CP119" i="43"/>
  <c r="CQ119" i="43"/>
  <c r="CR119" i="43"/>
  <c r="CS119" i="43"/>
  <c r="CT119" i="43"/>
  <c r="CU119" i="43"/>
  <c r="CV119" i="43"/>
  <c r="CW119" i="43"/>
  <c r="CX119" i="43"/>
  <c r="CY119" i="43"/>
  <c r="CZ119" i="43"/>
  <c r="DA119" i="43"/>
  <c r="DB119" i="43"/>
  <c r="DC119" i="43"/>
  <c r="DD119" i="43"/>
  <c r="DE119" i="43"/>
  <c r="DF119" i="43"/>
  <c r="DG119" i="43"/>
  <c r="DH119" i="43"/>
  <c r="DI119" i="43"/>
  <c r="DJ119" i="43"/>
  <c r="DK119" i="43"/>
  <c r="DL119" i="43"/>
  <c r="DM119" i="43"/>
  <c r="DN119" i="43"/>
  <c r="DO119" i="43"/>
  <c r="DP119" i="43"/>
  <c r="DQ119" i="43"/>
  <c r="DR119" i="43"/>
  <c r="DS119" i="43"/>
  <c r="DT119" i="43"/>
  <c r="DU119" i="43"/>
  <c r="DV119" i="43"/>
  <c r="DW119" i="43"/>
  <c r="DX119" i="43"/>
  <c r="DY119" i="43"/>
  <c r="DZ119" i="43"/>
  <c r="EA119" i="43"/>
  <c r="EB119" i="43"/>
  <c r="EC119" i="43"/>
  <c r="ED119" i="43"/>
  <c r="EE119" i="43"/>
  <c r="EF119" i="43"/>
  <c r="EG119" i="43"/>
  <c r="EH119" i="43"/>
  <c r="EI119" i="43"/>
  <c r="EJ119" i="43"/>
  <c r="EK119" i="43"/>
  <c r="EL119" i="43"/>
  <c r="EM119" i="43"/>
  <c r="EN119" i="43"/>
  <c r="EO119" i="43"/>
  <c r="EP119" i="43"/>
  <c r="EQ119" i="43"/>
  <c r="ER119" i="43"/>
  <c r="ES119" i="43"/>
  <c r="ET119" i="43"/>
  <c r="EU119" i="43"/>
  <c r="EV119" i="43"/>
  <c r="EW119" i="43"/>
  <c r="EX119" i="43"/>
  <c r="EY119" i="43"/>
  <c r="EZ119" i="43"/>
  <c r="FA119" i="43"/>
  <c r="FB119" i="43"/>
  <c r="FC119" i="43"/>
  <c r="FD119" i="43"/>
  <c r="FE119" i="43"/>
  <c r="FF119" i="43"/>
  <c r="FG119" i="43"/>
  <c r="FH119" i="43"/>
  <c r="FI119" i="43"/>
  <c r="FJ119" i="43"/>
  <c r="FK119" i="43"/>
  <c r="FL119" i="43"/>
  <c r="FM119" i="43"/>
  <c r="FN119" i="43"/>
  <c r="FO119" i="43"/>
  <c r="FP119" i="43"/>
  <c r="FQ119" i="43"/>
  <c r="FR119" i="43"/>
  <c r="FS119" i="43"/>
  <c r="FT119" i="43"/>
  <c r="FU119" i="43"/>
  <c r="FV119" i="43"/>
  <c r="FW119" i="43"/>
  <c r="FX119" i="43"/>
  <c r="FY119" i="43"/>
  <c r="FZ119" i="43"/>
  <c r="GA119" i="43"/>
  <c r="GB119" i="43"/>
  <c r="GC119" i="43"/>
  <c r="GD119" i="43"/>
  <c r="GE119" i="43"/>
  <c r="GF119" i="43"/>
  <c r="GG119" i="43"/>
  <c r="GH119" i="43"/>
  <c r="GI119" i="43"/>
  <c r="GJ119" i="43"/>
  <c r="GK119" i="43"/>
  <c r="GL119" i="43"/>
  <c r="GM119" i="43"/>
  <c r="GN119" i="43"/>
  <c r="GO119" i="43"/>
  <c r="GP119" i="43"/>
  <c r="GQ119" i="43"/>
  <c r="GR119" i="43"/>
  <c r="GS119" i="43"/>
  <c r="GT119" i="43"/>
  <c r="GU119" i="43"/>
  <c r="GV119" i="43"/>
  <c r="GW119" i="43"/>
  <c r="GX119" i="43"/>
  <c r="GY119" i="43"/>
  <c r="GZ119" i="43"/>
  <c r="HA119" i="43"/>
  <c r="HB119" i="43"/>
  <c r="HC119" i="43"/>
  <c r="HD119" i="43"/>
  <c r="HE119" i="43"/>
  <c r="HF119" i="43"/>
  <c r="HG119" i="43"/>
  <c r="HH119" i="43"/>
  <c r="HI119" i="43"/>
  <c r="HJ119" i="43"/>
  <c r="HK119" i="43"/>
  <c r="HL119" i="43"/>
  <c r="HM119" i="43"/>
  <c r="HN119" i="43"/>
  <c r="HO119" i="43"/>
  <c r="HP119" i="43"/>
  <c r="HQ119" i="43"/>
  <c r="HR119" i="43"/>
  <c r="HS119" i="43"/>
  <c r="HT119" i="43"/>
  <c r="HU119" i="43"/>
  <c r="HV119" i="43"/>
  <c r="HW119" i="43"/>
  <c r="HX119" i="43"/>
  <c r="HY119" i="43"/>
  <c r="HZ119" i="43"/>
  <c r="IA119" i="43"/>
  <c r="IB119" i="43"/>
  <c r="IC119" i="43"/>
  <c r="ID119" i="43"/>
  <c r="IE119" i="43"/>
  <c r="IF119" i="43"/>
  <c r="IG119" i="43"/>
  <c r="IH119" i="43"/>
  <c r="II119" i="43"/>
  <c r="IJ119" i="43"/>
  <c r="IK119" i="43"/>
  <c r="IL119" i="43"/>
  <c r="IM119" i="43"/>
  <c r="IN119" i="43"/>
  <c r="IO119" i="43"/>
  <c r="IP119" i="43"/>
  <c r="IQ119" i="43"/>
  <c r="IR119" i="43"/>
  <c r="IS119" i="43"/>
  <c r="IT119" i="43"/>
  <c r="IU119" i="43"/>
  <c r="IV119" i="43"/>
  <c r="A118" i="43"/>
  <c r="B118" i="43"/>
  <c r="C118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AW118" i="43"/>
  <c r="AX118" i="43"/>
  <c r="AY118" i="43"/>
  <c r="AZ118" i="43"/>
  <c r="BA118" i="43"/>
  <c r="BB118" i="43"/>
  <c r="BC118" i="43"/>
  <c r="BD118" i="43"/>
  <c r="BE118" i="43"/>
  <c r="BF118" i="43"/>
  <c r="BG118" i="43"/>
  <c r="BH118" i="43"/>
  <c r="BI118" i="43"/>
  <c r="BJ118" i="43"/>
  <c r="BK118" i="43"/>
  <c r="BL118" i="43"/>
  <c r="BM118" i="43"/>
  <c r="BN118" i="43"/>
  <c r="BO118" i="43"/>
  <c r="BP118" i="43"/>
  <c r="BQ118" i="43"/>
  <c r="BR118" i="43"/>
  <c r="BS118" i="43"/>
  <c r="BT118" i="43"/>
  <c r="BU118" i="43"/>
  <c r="BV118" i="43"/>
  <c r="BW118" i="43"/>
  <c r="BX118" i="43"/>
  <c r="BY118" i="43"/>
  <c r="BZ118" i="43"/>
  <c r="CA118" i="43"/>
  <c r="CB118" i="43"/>
  <c r="CC118" i="43"/>
  <c r="CD118" i="43"/>
  <c r="CE118" i="43"/>
  <c r="CF118" i="43"/>
  <c r="CG118" i="43"/>
  <c r="CH118" i="43"/>
  <c r="CI118" i="43"/>
  <c r="CJ118" i="43"/>
  <c r="CK118" i="43"/>
  <c r="CL118" i="43"/>
  <c r="CM118" i="43"/>
  <c r="CN118" i="43"/>
  <c r="CO118" i="43"/>
  <c r="CP118" i="43"/>
  <c r="CQ118" i="43"/>
  <c r="CR118" i="43"/>
  <c r="CS118" i="43"/>
  <c r="CT118" i="43"/>
  <c r="CU118" i="43"/>
  <c r="CV118" i="43"/>
  <c r="CW118" i="43"/>
  <c r="CX118" i="43"/>
  <c r="CY118" i="43"/>
  <c r="CZ118" i="43"/>
  <c r="DA118" i="43"/>
  <c r="DB118" i="43"/>
  <c r="DC118" i="43"/>
  <c r="DD118" i="43"/>
  <c r="DE118" i="43"/>
  <c r="DF118" i="43"/>
  <c r="DG118" i="43"/>
  <c r="DH118" i="43"/>
  <c r="DI118" i="43"/>
  <c r="DJ118" i="43"/>
  <c r="DK118" i="43"/>
  <c r="DL118" i="43"/>
  <c r="DM118" i="43"/>
  <c r="DN118" i="43"/>
  <c r="DO118" i="43"/>
  <c r="DP118" i="43"/>
  <c r="DQ118" i="43"/>
  <c r="DR118" i="43"/>
  <c r="DS118" i="43"/>
  <c r="DT118" i="43"/>
  <c r="DU118" i="43"/>
  <c r="DV118" i="43"/>
  <c r="DW118" i="43"/>
  <c r="DX118" i="43"/>
  <c r="DY118" i="43"/>
  <c r="DZ118" i="43"/>
  <c r="EA118" i="43"/>
  <c r="EB118" i="43"/>
  <c r="EC118" i="43"/>
  <c r="ED118" i="43"/>
  <c r="EE118" i="43"/>
  <c r="EF118" i="43"/>
  <c r="EG118" i="43"/>
  <c r="EH118" i="43"/>
  <c r="EI118" i="43"/>
  <c r="EJ118" i="43"/>
  <c r="EK118" i="43"/>
  <c r="EL118" i="43"/>
  <c r="EM118" i="43"/>
  <c r="EN118" i="43"/>
  <c r="EO118" i="43"/>
  <c r="EP118" i="43"/>
  <c r="EQ118" i="43"/>
  <c r="ER118" i="43"/>
  <c r="ES118" i="43"/>
  <c r="ET118" i="43"/>
  <c r="EU118" i="43"/>
  <c r="EV118" i="43"/>
  <c r="EW118" i="43"/>
  <c r="EX118" i="43"/>
  <c r="EY118" i="43"/>
  <c r="EZ118" i="43"/>
  <c r="FA118" i="43"/>
  <c r="FB118" i="43"/>
  <c r="FC118" i="43"/>
  <c r="FD118" i="43"/>
  <c r="FE118" i="43"/>
  <c r="FF118" i="43"/>
  <c r="FG118" i="43"/>
  <c r="FH118" i="43"/>
  <c r="FI118" i="43"/>
  <c r="FJ118" i="43"/>
  <c r="FK118" i="43"/>
  <c r="FL118" i="43"/>
  <c r="FM118" i="43"/>
  <c r="FN118" i="43"/>
  <c r="FO118" i="43"/>
  <c r="FP118" i="43"/>
  <c r="FQ118" i="43"/>
  <c r="FR118" i="43"/>
  <c r="FS118" i="43"/>
  <c r="FT118" i="43"/>
  <c r="FU118" i="43"/>
  <c r="FV118" i="43"/>
  <c r="FW118" i="43"/>
  <c r="FX118" i="43"/>
  <c r="FY118" i="43"/>
  <c r="FZ118" i="43"/>
  <c r="GA118" i="43"/>
  <c r="GB118" i="43"/>
  <c r="GC118" i="43"/>
  <c r="GD118" i="43"/>
  <c r="GE118" i="43"/>
  <c r="GF118" i="43"/>
  <c r="GG118" i="43"/>
  <c r="GH118" i="43"/>
  <c r="GI118" i="43"/>
  <c r="GJ118" i="43"/>
  <c r="GK118" i="43"/>
  <c r="GL118" i="43"/>
  <c r="GM118" i="43"/>
  <c r="GN118" i="43"/>
  <c r="GO118" i="43"/>
  <c r="GP118" i="43"/>
  <c r="GQ118" i="43"/>
  <c r="GR118" i="43"/>
  <c r="GS118" i="43"/>
  <c r="GT118" i="43"/>
  <c r="GU118" i="43"/>
  <c r="GV118" i="43"/>
  <c r="GW118" i="43"/>
  <c r="GX118" i="43"/>
  <c r="GY118" i="43"/>
  <c r="GZ118" i="43"/>
  <c r="HA118" i="43"/>
  <c r="HB118" i="43"/>
  <c r="HC118" i="43"/>
  <c r="HD118" i="43"/>
  <c r="HE118" i="43"/>
  <c r="HF118" i="43"/>
  <c r="HG118" i="43"/>
  <c r="HH118" i="43"/>
  <c r="HI118" i="43"/>
  <c r="HJ118" i="43"/>
  <c r="HK118" i="43"/>
  <c r="HL118" i="43"/>
  <c r="HM118" i="43"/>
  <c r="HN118" i="43"/>
  <c r="HO118" i="43"/>
  <c r="HP118" i="43"/>
  <c r="HQ118" i="43"/>
  <c r="HR118" i="43"/>
  <c r="HS118" i="43"/>
  <c r="HT118" i="43"/>
  <c r="HU118" i="43"/>
  <c r="HV118" i="43"/>
  <c r="HW118" i="43"/>
  <c r="HX118" i="43"/>
  <c r="HY118" i="43"/>
  <c r="HZ118" i="43"/>
  <c r="IA118" i="43"/>
  <c r="IB118" i="43"/>
  <c r="IC118" i="43"/>
  <c r="ID118" i="43"/>
  <c r="IE118" i="43"/>
  <c r="IF118" i="43"/>
  <c r="IG118" i="43"/>
  <c r="IH118" i="43"/>
  <c r="II118" i="43"/>
  <c r="IJ118" i="43"/>
  <c r="IK118" i="43"/>
  <c r="IL118" i="43"/>
  <c r="IM118" i="43"/>
  <c r="IN118" i="43"/>
  <c r="IO118" i="43"/>
  <c r="IP118" i="43"/>
  <c r="IQ118" i="43"/>
  <c r="IR118" i="43"/>
  <c r="IS118" i="43"/>
  <c r="IT118" i="43"/>
  <c r="IU118" i="43"/>
  <c r="IV118" i="43"/>
  <c r="A117" i="43"/>
  <c r="B117" i="43"/>
  <c r="C117" i="43"/>
  <c r="D117" i="43"/>
  <c r="E117" i="43"/>
  <c r="F117" i="43"/>
  <c r="G117" i="43"/>
  <c r="H117" i="43"/>
  <c r="I117" i="43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AW117" i="43"/>
  <c r="AX117" i="43"/>
  <c r="AY117" i="43"/>
  <c r="AZ117" i="43"/>
  <c r="BA117" i="43"/>
  <c r="BB117" i="43"/>
  <c r="BC117" i="43"/>
  <c r="BD117" i="43"/>
  <c r="BE117" i="43"/>
  <c r="BF117" i="43"/>
  <c r="BG117" i="43"/>
  <c r="BH117" i="43"/>
  <c r="BI117" i="43"/>
  <c r="BJ117" i="43"/>
  <c r="BK117" i="43"/>
  <c r="BL117" i="43"/>
  <c r="BM117" i="43"/>
  <c r="BN117" i="43"/>
  <c r="BO117" i="43"/>
  <c r="BP117" i="43"/>
  <c r="BQ117" i="43"/>
  <c r="BR117" i="43"/>
  <c r="BS117" i="43"/>
  <c r="BT117" i="43"/>
  <c r="BU117" i="43"/>
  <c r="BV117" i="43"/>
  <c r="BW117" i="43"/>
  <c r="BX117" i="43"/>
  <c r="BY117" i="43"/>
  <c r="BZ117" i="43"/>
  <c r="CA117" i="43"/>
  <c r="CB117" i="43"/>
  <c r="CC117" i="43"/>
  <c r="CD117" i="43"/>
  <c r="CE117" i="43"/>
  <c r="CF117" i="43"/>
  <c r="CG117" i="43"/>
  <c r="CH117" i="43"/>
  <c r="CI117" i="43"/>
  <c r="CJ117" i="43"/>
  <c r="CK117" i="43"/>
  <c r="CL117" i="43"/>
  <c r="CM117" i="43"/>
  <c r="CN117" i="43"/>
  <c r="CO117" i="43"/>
  <c r="CP117" i="43"/>
  <c r="CQ117" i="43"/>
  <c r="CR117" i="43"/>
  <c r="CS117" i="43"/>
  <c r="CT117" i="43"/>
  <c r="CU117" i="43"/>
  <c r="CV117" i="43"/>
  <c r="CW117" i="43"/>
  <c r="CX117" i="43"/>
  <c r="CY117" i="43"/>
  <c r="CZ117" i="43"/>
  <c r="DA117" i="43"/>
  <c r="DB117" i="43"/>
  <c r="DC117" i="43"/>
  <c r="DD117" i="43"/>
  <c r="DE117" i="43"/>
  <c r="DF117" i="43"/>
  <c r="DG117" i="43"/>
  <c r="DH117" i="43"/>
  <c r="DI117" i="43"/>
  <c r="DJ117" i="43"/>
  <c r="DK117" i="43"/>
  <c r="DL117" i="43"/>
  <c r="DM117" i="43"/>
  <c r="DN117" i="43"/>
  <c r="DO117" i="43"/>
  <c r="DP117" i="43"/>
  <c r="DQ117" i="43"/>
  <c r="DR117" i="43"/>
  <c r="DS117" i="43"/>
  <c r="DT117" i="43"/>
  <c r="DU117" i="43"/>
  <c r="DV117" i="43"/>
  <c r="DW117" i="43"/>
  <c r="DX117" i="43"/>
  <c r="DY117" i="43"/>
  <c r="DZ117" i="43"/>
  <c r="EA117" i="43"/>
  <c r="EB117" i="43"/>
  <c r="EC117" i="43"/>
  <c r="ED117" i="43"/>
  <c r="EE117" i="43"/>
  <c r="EF117" i="43"/>
  <c r="EG117" i="43"/>
  <c r="EH117" i="43"/>
  <c r="EI117" i="43"/>
  <c r="EJ117" i="43"/>
  <c r="EK117" i="43"/>
  <c r="EL117" i="43"/>
  <c r="EM117" i="43"/>
  <c r="EN117" i="43"/>
  <c r="EO117" i="43"/>
  <c r="EP117" i="43"/>
  <c r="EQ117" i="43"/>
  <c r="ER117" i="43"/>
  <c r="ES117" i="43"/>
  <c r="ET117" i="43"/>
  <c r="EU117" i="43"/>
  <c r="EV117" i="43"/>
  <c r="EW117" i="43"/>
  <c r="EX117" i="43"/>
  <c r="EY117" i="43"/>
  <c r="EZ117" i="43"/>
  <c r="FA117" i="43"/>
  <c r="FB117" i="43"/>
  <c r="FC117" i="43"/>
  <c r="FD117" i="43"/>
  <c r="FE117" i="43"/>
  <c r="FF117" i="43"/>
  <c r="FG117" i="43"/>
  <c r="FH117" i="43"/>
  <c r="FI117" i="43"/>
  <c r="FJ117" i="43"/>
  <c r="FK117" i="43"/>
  <c r="FL117" i="43"/>
  <c r="FM117" i="43"/>
  <c r="FN117" i="43"/>
  <c r="FO117" i="43"/>
  <c r="FP117" i="43"/>
  <c r="FQ117" i="43"/>
  <c r="FR117" i="43"/>
  <c r="FS117" i="43"/>
  <c r="FT117" i="43"/>
  <c r="FU117" i="43"/>
  <c r="FV117" i="43"/>
  <c r="FW117" i="43"/>
  <c r="FX117" i="43"/>
  <c r="FY117" i="43"/>
  <c r="FZ117" i="43"/>
  <c r="GA117" i="43"/>
  <c r="GB117" i="43"/>
  <c r="GC117" i="43"/>
  <c r="GD117" i="43"/>
  <c r="GE117" i="43"/>
  <c r="GF117" i="43"/>
  <c r="GG117" i="43"/>
  <c r="GH117" i="43"/>
  <c r="GI117" i="43"/>
  <c r="GJ117" i="43"/>
  <c r="GK117" i="43"/>
  <c r="GL117" i="43"/>
  <c r="GM117" i="43"/>
  <c r="GN117" i="43"/>
  <c r="GO117" i="43"/>
  <c r="GP117" i="43"/>
  <c r="GQ117" i="43"/>
  <c r="GR117" i="43"/>
  <c r="GS117" i="43"/>
  <c r="GT117" i="43"/>
  <c r="GU117" i="43"/>
  <c r="GV117" i="43"/>
  <c r="GW117" i="43"/>
  <c r="GX117" i="43"/>
  <c r="GY117" i="43"/>
  <c r="GZ117" i="43"/>
  <c r="HA117" i="43"/>
  <c r="HB117" i="43"/>
  <c r="HC117" i="43"/>
  <c r="HD117" i="43"/>
  <c r="HE117" i="43"/>
  <c r="HF117" i="43"/>
  <c r="HG117" i="43"/>
  <c r="HH117" i="43"/>
  <c r="HI117" i="43"/>
  <c r="HJ117" i="43"/>
  <c r="HK117" i="43"/>
  <c r="HL117" i="43"/>
  <c r="HM117" i="43"/>
  <c r="HN117" i="43"/>
  <c r="HO117" i="43"/>
  <c r="HP117" i="43"/>
  <c r="HQ117" i="43"/>
  <c r="HR117" i="43"/>
  <c r="HS117" i="43"/>
  <c r="HT117" i="43"/>
  <c r="HU117" i="43"/>
  <c r="HV117" i="43"/>
  <c r="HW117" i="43"/>
  <c r="HX117" i="43"/>
  <c r="HY117" i="43"/>
  <c r="HZ117" i="43"/>
  <c r="IA117" i="43"/>
  <c r="IB117" i="43"/>
  <c r="IC117" i="43"/>
  <c r="ID117" i="43"/>
  <c r="IE117" i="43"/>
  <c r="IF117" i="43"/>
  <c r="IG117" i="43"/>
  <c r="IH117" i="43"/>
  <c r="II117" i="43"/>
  <c r="IJ117" i="43"/>
  <c r="IK117" i="43"/>
  <c r="IL117" i="43"/>
  <c r="IM117" i="43"/>
  <c r="IN117" i="43"/>
  <c r="IO117" i="43"/>
  <c r="IP117" i="43"/>
  <c r="IQ117" i="43"/>
  <c r="IR117" i="43"/>
  <c r="IS117" i="43"/>
  <c r="IT117" i="43"/>
  <c r="IU117" i="43"/>
  <c r="IV117" i="43"/>
  <c r="A116" i="43"/>
  <c r="B116" i="43"/>
  <c r="C116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AW116" i="43"/>
  <c r="AX116" i="43"/>
  <c r="AY116" i="43"/>
  <c r="AZ116" i="43"/>
  <c r="BA116" i="43"/>
  <c r="BB116" i="43"/>
  <c r="BC116" i="43"/>
  <c r="BD116" i="43"/>
  <c r="BE116" i="43"/>
  <c r="BF116" i="43"/>
  <c r="BG116" i="43"/>
  <c r="BH116" i="43"/>
  <c r="BI116" i="43"/>
  <c r="BJ116" i="43"/>
  <c r="BK116" i="43"/>
  <c r="BL116" i="43"/>
  <c r="BM116" i="43"/>
  <c r="BN116" i="43"/>
  <c r="BO116" i="43"/>
  <c r="BP116" i="43"/>
  <c r="BQ116" i="43"/>
  <c r="BR116" i="43"/>
  <c r="BS116" i="43"/>
  <c r="BT116" i="43"/>
  <c r="BU116" i="43"/>
  <c r="BV116" i="43"/>
  <c r="BW116" i="43"/>
  <c r="BX116" i="43"/>
  <c r="BY116" i="43"/>
  <c r="BZ116" i="43"/>
  <c r="CA116" i="43"/>
  <c r="CB116" i="43"/>
  <c r="CC116" i="43"/>
  <c r="CD116" i="43"/>
  <c r="CE116" i="43"/>
  <c r="CF116" i="43"/>
  <c r="CG116" i="43"/>
  <c r="CH116" i="43"/>
  <c r="CI116" i="43"/>
  <c r="CJ116" i="43"/>
  <c r="CK116" i="43"/>
  <c r="CL116" i="43"/>
  <c r="CM116" i="43"/>
  <c r="CN116" i="43"/>
  <c r="CO116" i="43"/>
  <c r="CP116" i="43"/>
  <c r="CQ116" i="43"/>
  <c r="CR116" i="43"/>
  <c r="CS116" i="43"/>
  <c r="CT116" i="43"/>
  <c r="CU116" i="43"/>
  <c r="CV116" i="43"/>
  <c r="CW116" i="43"/>
  <c r="CX116" i="43"/>
  <c r="CY116" i="43"/>
  <c r="CZ116" i="43"/>
  <c r="DA116" i="43"/>
  <c r="DB116" i="43"/>
  <c r="DC116" i="43"/>
  <c r="DD116" i="43"/>
  <c r="DE116" i="43"/>
  <c r="DF116" i="43"/>
  <c r="DG116" i="43"/>
  <c r="DH116" i="43"/>
  <c r="DI116" i="43"/>
  <c r="DJ116" i="43"/>
  <c r="DK116" i="43"/>
  <c r="DL116" i="43"/>
  <c r="DM116" i="43"/>
  <c r="DN116" i="43"/>
  <c r="DO116" i="43"/>
  <c r="DP116" i="43"/>
  <c r="DQ116" i="43"/>
  <c r="DR116" i="43"/>
  <c r="DS116" i="43"/>
  <c r="DT116" i="43"/>
  <c r="DU116" i="43"/>
  <c r="DV116" i="43"/>
  <c r="DW116" i="43"/>
  <c r="DX116" i="43"/>
  <c r="DY116" i="43"/>
  <c r="DZ116" i="43"/>
  <c r="EA116" i="43"/>
  <c r="EB116" i="43"/>
  <c r="EC116" i="43"/>
  <c r="ED116" i="43"/>
  <c r="EE116" i="43"/>
  <c r="EF116" i="43"/>
  <c r="EG116" i="43"/>
  <c r="EH116" i="43"/>
  <c r="EI116" i="43"/>
  <c r="EJ116" i="43"/>
  <c r="EK116" i="43"/>
  <c r="EL116" i="43"/>
  <c r="EM116" i="43"/>
  <c r="EN116" i="43"/>
  <c r="EO116" i="43"/>
  <c r="EP116" i="43"/>
  <c r="EQ116" i="43"/>
  <c r="ER116" i="43"/>
  <c r="ES116" i="43"/>
  <c r="ET116" i="43"/>
  <c r="EU116" i="43"/>
  <c r="EV116" i="43"/>
  <c r="EW116" i="43"/>
  <c r="EX116" i="43"/>
  <c r="EY116" i="43"/>
  <c r="EZ116" i="43"/>
  <c r="FA116" i="43"/>
  <c r="FB116" i="43"/>
  <c r="FC116" i="43"/>
  <c r="FD116" i="43"/>
  <c r="FE116" i="43"/>
  <c r="FF116" i="43"/>
  <c r="FG116" i="43"/>
  <c r="FH116" i="43"/>
  <c r="FI116" i="43"/>
  <c r="FJ116" i="43"/>
  <c r="FK116" i="43"/>
  <c r="FL116" i="43"/>
  <c r="FM116" i="43"/>
  <c r="FN116" i="43"/>
  <c r="FO116" i="43"/>
  <c r="FP116" i="43"/>
  <c r="FQ116" i="43"/>
  <c r="FR116" i="43"/>
  <c r="FS116" i="43"/>
  <c r="FT116" i="43"/>
  <c r="FU116" i="43"/>
  <c r="FV116" i="43"/>
  <c r="FW116" i="43"/>
  <c r="FX116" i="43"/>
  <c r="FY116" i="43"/>
  <c r="FZ116" i="43"/>
  <c r="GA116" i="43"/>
  <c r="GB116" i="43"/>
  <c r="GC116" i="43"/>
  <c r="GD116" i="43"/>
  <c r="GE116" i="43"/>
  <c r="GF116" i="43"/>
  <c r="GG116" i="43"/>
  <c r="GH116" i="43"/>
  <c r="GI116" i="43"/>
  <c r="GJ116" i="43"/>
  <c r="GK116" i="43"/>
  <c r="GL116" i="43"/>
  <c r="GM116" i="43"/>
  <c r="GN116" i="43"/>
  <c r="GO116" i="43"/>
  <c r="GP116" i="43"/>
  <c r="GQ116" i="43"/>
  <c r="GR116" i="43"/>
  <c r="GS116" i="43"/>
  <c r="GT116" i="43"/>
  <c r="GU116" i="43"/>
  <c r="GV116" i="43"/>
  <c r="GW116" i="43"/>
  <c r="GX116" i="43"/>
  <c r="GY116" i="43"/>
  <c r="GZ116" i="43"/>
  <c r="HA116" i="43"/>
  <c r="HB116" i="43"/>
  <c r="HC116" i="43"/>
  <c r="HD116" i="43"/>
  <c r="HE116" i="43"/>
  <c r="HF116" i="43"/>
  <c r="HG116" i="43"/>
  <c r="HH116" i="43"/>
  <c r="HI116" i="43"/>
  <c r="HJ116" i="43"/>
  <c r="HK116" i="43"/>
  <c r="HL116" i="43"/>
  <c r="HM116" i="43"/>
  <c r="HN116" i="43"/>
  <c r="HO116" i="43"/>
  <c r="HP116" i="43"/>
  <c r="HQ116" i="43"/>
  <c r="HR116" i="43"/>
  <c r="HS116" i="43"/>
  <c r="HT116" i="43"/>
  <c r="HU116" i="43"/>
  <c r="HV116" i="43"/>
  <c r="HW116" i="43"/>
  <c r="HX116" i="43"/>
  <c r="HY116" i="43"/>
  <c r="HZ116" i="43"/>
  <c r="IA116" i="43"/>
  <c r="IB116" i="43"/>
  <c r="IC116" i="43"/>
  <c r="ID116" i="43"/>
  <c r="IE116" i="43"/>
  <c r="IF116" i="43"/>
  <c r="IG116" i="43"/>
  <c r="IH116" i="43"/>
  <c r="II116" i="43"/>
  <c r="IJ116" i="43"/>
  <c r="IK116" i="43"/>
  <c r="IL116" i="43"/>
  <c r="IM116" i="43"/>
  <c r="IN116" i="43"/>
  <c r="IO116" i="43"/>
  <c r="IP116" i="43"/>
  <c r="IQ116" i="43"/>
  <c r="IR116" i="43"/>
  <c r="IS116" i="43"/>
  <c r="IT116" i="43"/>
  <c r="IU116" i="43"/>
  <c r="IV116" i="43"/>
  <c r="A115" i="43"/>
  <c r="B115" i="43"/>
  <c r="C115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AW115" i="43"/>
  <c r="AX115" i="43"/>
  <c r="AY115" i="43"/>
  <c r="AZ115" i="43"/>
  <c r="BA115" i="43"/>
  <c r="BB115" i="43"/>
  <c r="BC115" i="43"/>
  <c r="BD115" i="43"/>
  <c r="BE115" i="43"/>
  <c r="BF115" i="43"/>
  <c r="BG115" i="43"/>
  <c r="BH115" i="43"/>
  <c r="BI115" i="43"/>
  <c r="BJ115" i="43"/>
  <c r="BK115" i="43"/>
  <c r="BL115" i="43"/>
  <c r="BM115" i="43"/>
  <c r="BN115" i="43"/>
  <c r="BO115" i="43"/>
  <c r="BP115" i="43"/>
  <c r="BQ115" i="43"/>
  <c r="BR115" i="43"/>
  <c r="BS115" i="43"/>
  <c r="BT115" i="43"/>
  <c r="BU115" i="43"/>
  <c r="BV115" i="43"/>
  <c r="BW115" i="43"/>
  <c r="BX115" i="43"/>
  <c r="BY115" i="43"/>
  <c r="BZ115" i="43"/>
  <c r="CA115" i="43"/>
  <c r="CB115" i="43"/>
  <c r="CC115" i="43"/>
  <c r="CD115" i="43"/>
  <c r="CE115" i="43"/>
  <c r="CF115" i="43"/>
  <c r="CG115" i="43"/>
  <c r="CH115" i="43"/>
  <c r="CI115" i="43"/>
  <c r="CJ115" i="43"/>
  <c r="CK115" i="43"/>
  <c r="CL115" i="43"/>
  <c r="CM115" i="43"/>
  <c r="CN115" i="43"/>
  <c r="CO115" i="43"/>
  <c r="CP115" i="43"/>
  <c r="CQ115" i="43"/>
  <c r="CR115" i="43"/>
  <c r="CS115" i="43"/>
  <c r="CT115" i="43"/>
  <c r="CU115" i="43"/>
  <c r="CV115" i="43"/>
  <c r="CW115" i="43"/>
  <c r="CX115" i="43"/>
  <c r="CY115" i="43"/>
  <c r="CZ115" i="43"/>
  <c r="DA115" i="43"/>
  <c r="DB115" i="43"/>
  <c r="DC115" i="43"/>
  <c r="DD115" i="43"/>
  <c r="DE115" i="43"/>
  <c r="DF115" i="43"/>
  <c r="DG115" i="43"/>
  <c r="DH115" i="43"/>
  <c r="DI115" i="43"/>
  <c r="DJ115" i="43"/>
  <c r="DK115" i="43"/>
  <c r="DL115" i="43"/>
  <c r="DM115" i="43"/>
  <c r="DN115" i="43"/>
  <c r="DO115" i="43"/>
  <c r="DP115" i="43"/>
  <c r="DQ115" i="43"/>
  <c r="DR115" i="43"/>
  <c r="DS115" i="43"/>
  <c r="DT115" i="43"/>
  <c r="DU115" i="43"/>
  <c r="DV115" i="43"/>
  <c r="DW115" i="43"/>
  <c r="DX115" i="43"/>
  <c r="DY115" i="43"/>
  <c r="DZ115" i="43"/>
  <c r="EA115" i="43"/>
  <c r="EB115" i="43"/>
  <c r="EC115" i="43"/>
  <c r="ED115" i="43"/>
  <c r="EE115" i="43"/>
  <c r="EF115" i="43"/>
  <c r="EG115" i="43"/>
  <c r="EH115" i="43"/>
  <c r="EI115" i="43"/>
  <c r="EJ115" i="43"/>
  <c r="EK115" i="43"/>
  <c r="EL115" i="43"/>
  <c r="EM115" i="43"/>
  <c r="EN115" i="43"/>
  <c r="EO115" i="43"/>
  <c r="EP115" i="43"/>
  <c r="EQ115" i="43"/>
  <c r="ER115" i="43"/>
  <c r="ES115" i="43"/>
  <c r="ET115" i="43"/>
  <c r="EU115" i="43"/>
  <c r="EV115" i="43"/>
  <c r="EW115" i="43"/>
  <c r="EX115" i="43"/>
  <c r="EY115" i="43"/>
  <c r="EZ115" i="43"/>
  <c r="FA115" i="43"/>
  <c r="FB115" i="43"/>
  <c r="FC115" i="43"/>
  <c r="FD115" i="43"/>
  <c r="FE115" i="43"/>
  <c r="FF115" i="43"/>
  <c r="FG115" i="43"/>
  <c r="FH115" i="43"/>
  <c r="FI115" i="43"/>
  <c r="FJ115" i="43"/>
  <c r="FK115" i="43"/>
  <c r="FL115" i="43"/>
  <c r="FM115" i="43"/>
  <c r="FN115" i="43"/>
  <c r="FO115" i="43"/>
  <c r="FP115" i="43"/>
  <c r="FQ115" i="43"/>
  <c r="FR115" i="43"/>
  <c r="FS115" i="43"/>
  <c r="FT115" i="43"/>
  <c r="FU115" i="43"/>
  <c r="FV115" i="43"/>
  <c r="FW115" i="43"/>
  <c r="FX115" i="43"/>
  <c r="FY115" i="43"/>
  <c r="FZ115" i="43"/>
  <c r="GA115" i="43"/>
  <c r="GB115" i="43"/>
  <c r="GC115" i="43"/>
  <c r="GD115" i="43"/>
  <c r="GE115" i="43"/>
  <c r="GF115" i="43"/>
  <c r="GG115" i="43"/>
  <c r="GH115" i="43"/>
  <c r="GI115" i="43"/>
  <c r="GJ115" i="43"/>
  <c r="GK115" i="43"/>
  <c r="GL115" i="43"/>
  <c r="GM115" i="43"/>
  <c r="GN115" i="43"/>
  <c r="GO115" i="43"/>
  <c r="GP115" i="43"/>
  <c r="GQ115" i="43"/>
  <c r="GR115" i="43"/>
  <c r="GS115" i="43"/>
  <c r="GT115" i="43"/>
  <c r="GU115" i="43"/>
  <c r="GV115" i="43"/>
  <c r="GW115" i="43"/>
  <c r="GX115" i="43"/>
  <c r="GY115" i="43"/>
  <c r="GZ115" i="43"/>
  <c r="HA115" i="43"/>
  <c r="HB115" i="43"/>
  <c r="HC115" i="43"/>
  <c r="HD115" i="43"/>
  <c r="HE115" i="43"/>
  <c r="HF115" i="43"/>
  <c r="HG115" i="43"/>
  <c r="HH115" i="43"/>
  <c r="HI115" i="43"/>
  <c r="HJ115" i="43"/>
  <c r="HK115" i="43"/>
  <c r="HL115" i="43"/>
  <c r="HM115" i="43"/>
  <c r="HN115" i="43"/>
  <c r="HO115" i="43"/>
  <c r="HP115" i="43"/>
  <c r="HQ115" i="43"/>
  <c r="HR115" i="43"/>
  <c r="HS115" i="43"/>
  <c r="HT115" i="43"/>
  <c r="HU115" i="43"/>
  <c r="HV115" i="43"/>
  <c r="HW115" i="43"/>
  <c r="HX115" i="43"/>
  <c r="HY115" i="43"/>
  <c r="HZ115" i="43"/>
  <c r="IA115" i="43"/>
  <c r="IB115" i="43"/>
  <c r="IC115" i="43"/>
  <c r="ID115" i="43"/>
  <c r="IE115" i="43"/>
  <c r="IF115" i="43"/>
  <c r="IG115" i="43"/>
  <c r="IH115" i="43"/>
  <c r="II115" i="43"/>
  <c r="IJ115" i="43"/>
  <c r="IK115" i="43"/>
  <c r="IL115" i="43"/>
  <c r="IM115" i="43"/>
  <c r="IN115" i="43"/>
  <c r="IO115" i="43"/>
  <c r="IP115" i="43"/>
  <c r="IQ115" i="43"/>
  <c r="IR115" i="43"/>
  <c r="IS115" i="43"/>
  <c r="IT115" i="43"/>
  <c r="IU115" i="43"/>
  <c r="IV115" i="43"/>
  <c r="A114" i="43"/>
  <c r="B114" i="43"/>
  <c r="C114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AW114" i="43"/>
  <c r="AX114" i="43"/>
  <c r="AY114" i="43"/>
  <c r="AZ114" i="43"/>
  <c r="BA114" i="43"/>
  <c r="BB114" i="43"/>
  <c r="BC114" i="43"/>
  <c r="BD114" i="43"/>
  <c r="BE114" i="43"/>
  <c r="BF114" i="43"/>
  <c r="BG114" i="43"/>
  <c r="BH114" i="43"/>
  <c r="BI114" i="43"/>
  <c r="BJ114" i="43"/>
  <c r="BK114" i="43"/>
  <c r="BL114" i="43"/>
  <c r="BM114" i="43"/>
  <c r="BN114" i="43"/>
  <c r="BO114" i="43"/>
  <c r="BP114" i="43"/>
  <c r="BQ114" i="43"/>
  <c r="BR114" i="43"/>
  <c r="BS114" i="43"/>
  <c r="BT114" i="43"/>
  <c r="BU114" i="43"/>
  <c r="BV114" i="43"/>
  <c r="BW114" i="43"/>
  <c r="BX114" i="43"/>
  <c r="BY114" i="43"/>
  <c r="BZ114" i="43"/>
  <c r="CA114" i="43"/>
  <c r="CB114" i="43"/>
  <c r="CC114" i="43"/>
  <c r="CD114" i="43"/>
  <c r="CE114" i="43"/>
  <c r="CF114" i="43"/>
  <c r="CG114" i="43"/>
  <c r="CH114" i="43"/>
  <c r="CI114" i="43"/>
  <c r="CJ114" i="43"/>
  <c r="CK114" i="43"/>
  <c r="CL114" i="43"/>
  <c r="CM114" i="43"/>
  <c r="CN114" i="43"/>
  <c r="CO114" i="43"/>
  <c r="CP114" i="43"/>
  <c r="CQ114" i="43"/>
  <c r="CR114" i="43"/>
  <c r="CS114" i="43"/>
  <c r="CT114" i="43"/>
  <c r="CU114" i="43"/>
  <c r="CV114" i="43"/>
  <c r="CW114" i="43"/>
  <c r="CX114" i="43"/>
  <c r="CY114" i="43"/>
  <c r="CZ114" i="43"/>
  <c r="DA114" i="43"/>
  <c r="DB114" i="43"/>
  <c r="DC114" i="43"/>
  <c r="DD114" i="43"/>
  <c r="DE114" i="43"/>
  <c r="DF114" i="43"/>
  <c r="DG114" i="43"/>
  <c r="DH114" i="43"/>
  <c r="DI114" i="43"/>
  <c r="DJ114" i="43"/>
  <c r="DK114" i="43"/>
  <c r="DL114" i="43"/>
  <c r="DM114" i="43"/>
  <c r="DN114" i="43"/>
  <c r="DO114" i="43"/>
  <c r="DP114" i="43"/>
  <c r="DQ114" i="43"/>
  <c r="DR114" i="43"/>
  <c r="DS114" i="43"/>
  <c r="DT114" i="43"/>
  <c r="DU114" i="43"/>
  <c r="DV114" i="43"/>
  <c r="DW114" i="43"/>
  <c r="DX114" i="43"/>
  <c r="DY114" i="43"/>
  <c r="DZ114" i="43"/>
  <c r="EA114" i="43"/>
  <c r="EB114" i="43"/>
  <c r="EC114" i="43"/>
  <c r="ED114" i="43"/>
  <c r="EE114" i="43"/>
  <c r="EF114" i="43"/>
  <c r="EG114" i="43"/>
  <c r="EH114" i="43"/>
  <c r="EI114" i="43"/>
  <c r="EJ114" i="43"/>
  <c r="EK114" i="43"/>
  <c r="EL114" i="43"/>
  <c r="EM114" i="43"/>
  <c r="EN114" i="43"/>
  <c r="EO114" i="43"/>
  <c r="EP114" i="43"/>
  <c r="EQ114" i="43"/>
  <c r="ER114" i="43"/>
  <c r="ES114" i="43"/>
  <c r="ET114" i="43"/>
  <c r="EU114" i="43"/>
  <c r="EV114" i="43"/>
  <c r="EW114" i="43"/>
  <c r="EX114" i="43"/>
  <c r="EY114" i="43"/>
  <c r="EZ114" i="43"/>
  <c r="FA114" i="43"/>
  <c r="FB114" i="43"/>
  <c r="FC114" i="43"/>
  <c r="FD114" i="43"/>
  <c r="FE114" i="43"/>
  <c r="FF114" i="43"/>
  <c r="FG114" i="43"/>
  <c r="FH114" i="43"/>
  <c r="FI114" i="43"/>
  <c r="FJ114" i="43"/>
  <c r="FK114" i="43"/>
  <c r="FL114" i="43"/>
  <c r="FM114" i="43"/>
  <c r="FN114" i="43"/>
  <c r="FO114" i="43"/>
  <c r="FP114" i="43"/>
  <c r="FQ114" i="43"/>
  <c r="FR114" i="43"/>
  <c r="FS114" i="43"/>
  <c r="FT114" i="43"/>
  <c r="FU114" i="43"/>
  <c r="FV114" i="43"/>
  <c r="FW114" i="43"/>
  <c r="FX114" i="43"/>
  <c r="FY114" i="43"/>
  <c r="FZ114" i="43"/>
  <c r="GA114" i="43"/>
  <c r="GB114" i="43"/>
  <c r="GC114" i="43"/>
  <c r="GD114" i="43"/>
  <c r="GE114" i="43"/>
  <c r="GF114" i="43"/>
  <c r="GG114" i="43"/>
  <c r="GH114" i="43"/>
  <c r="GI114" i="43"/>
  <c r="GJ114" i="43"/>
  <c r="GK114" i="43"/>
  <c r="GL114" i="43"/>
  <c r="GM114" i="43"/>
  <c r="GN114" i="43"/>
  <c r="GO114" i="43"/>
  <c r="GP114" i="43"/>
  <c r="GQ114" i="43"/>
  <c r="GR114" i="43"/>
  <c r="GS114" i="43"/>
  <c r="GT114" i="43"/>
  <c r="GU114" i="43"/>
  <c r="GV114" i="43"/>
  <c r="GW114" i="43"/>
  <c r="GX114" i="43"/>
  <c r="GY114" i="43"/>
  <c r="GZ114" i="43"/>
  <c r="HA114" i="43"/>
  <c r="HB114" i="43"/>
  <c r="HC114" i="43"/>
  <c r="HD114" i="43"/>
  <c r="HE114" i="43"/>
  <c r="HF114" i="43"/>
  <c r="HG114" i="43"/>
  <c r="HH114" i="43"/>
  <c r="HI114" i="43"/>
  <c r="HJ114" i="43"/>
  <c r="HK114" i="43"/>
  <c r="HL114" i="43"/>
  <c r="HM114" i="43"/>
  <c r="HN114" i="43"/>
  <c r="HO114" i="43"/>
  <c r="HP114" i="43"/>
  <c r="HQ114" i="43"/>
  <c r="HR114" i="43"/>
  <c r="HS114" i="43"/>
  <c r="HT114" i="43"/>
  <c r="HU114" i="43"/>
  <c r="HV114" i="43"/>
  <c r="HW114" i="43"/>
  <c r="HX114" i="43"/>
  <c r="HY114" i="43"/>
  <c r="HZ114" i="43"/>
  <c r="IA114" i="43"/>
  <c r="IB114" i="43"/>
  <c r="IC114" i="43"/>
  <c r="ID114" i="43"/>
  <c r="IE114" i="43"/>
  <c r="IF114" i="43"/>
  <c r="IG114" i="43"/>
  <c r="IH114" i="43"/>
  <c r="II114" i="43"/>
  <c r="IJ114" i="43"/>
  <c r="IK114" i="43"/>
  <c r="IL114" i="43"/>
  <c r="IM114" i="43"/>
  <c r="IN114" i="43"/>
  <c r="IO114" i="43"/>
  <c r="IP114" i="43"/>
  <c r="IQ114" i="43"/>
  <c r="IR114" i="43"/>
  <c r="IS114" i="43"/>
  <c r="IT114" i="43"/>
  <c r="IU114" i="43"/>
  <c r="IV114" i="43"/>
  <c r="A113" i="43"/>
  <c r="B113" i="43"/>
  <c r="C113" i="43"/>
  <c r="D113" i="43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AW113" i="43"/>
  <c r="AX113" i="43"/>
  <c r="AY113" i="43"/>
  <c r="AZ113" i="43"/>
  <c r="BA113" i="43"/>
  <c r="BB113" i="43"/>
  <c r="BC113" i="43"/>
  <c r="BD113" i="43"/>
  <c r="BE113" i="43"/>
  <c r="BF113" i="43"/>
  <c r="BG113" i="43"/>
  <c r="BH113" i="43"/>
  <c r="BI113" i="43"/>
  <c r="BJ113" i="43"/>
  <c r="BK113" i="43"/>
  <c r="BL113" i="43"/>
  <c r="BM113" i="43"/>
  <c r="BN113" i="43"/>
  <c r="BO113" i="43"/>
  <c r="BP113" i="43"/>
  <c r="BQ113" i="43"/>
  <c r="BR113" i="43"/>
  <c r="BS113" i="43"/>
  <c r="BT113" i="43"/>
  <c r="BU113" i="43"/>
  <c r="BV113" i="43"/>
  <c r="BW113" i="43"/>
  <c r="BX113" i="43"/>
  <c r="BY113" i="43"/>
  <c r="BZ113" i="43"/>
  <c r="CA113" i="43"/>
  <c r="CB113" i="43"/>
  <c r="CC113" i="43"/>
  <c r="CD113" i="43"/>
  <c r="CE113" i="43"/>
  <c r="CF113" i="43"/>
  <c r="CG113" i="43"/>
  <c r="CH113" i="43"/>
  <c r="CI113" i="43"/>
  <c r="CJ113" i="43"/>
  <c r="CK113" i="43"/>
  <c r="CL113" i="43"/>
  <c r="CM113" i="43"/>
  <c r="CN113" i="43"/>
  <c r="CO113" i="43"/>
  <c r="CP113" i="43"/>
  <c r="CQ113" i="43"/>
  <c r="CR113" i="43"/>
  <c r="CS113" i="43"/>
  <c r="CT113" i="43"/>
  <c r="CU113" i="43"/>
  <c r="CV113" i="43"/>
  <c r="CW113" i="43"/>
  <c r="CX113" i="43"/>
  <c r="CY113" i="43"/>
  <c r="CZ113" i="43"/>
  <c r="DA113" i="43"/>
  <c r="DB113" i="43"/>
  <c r="DC113" i="43"/>
  <c r="DD113" i="43"/>
  <c r="DE113" i="43"/>
  <c r="DF113" i="43"/>
  <c r="DG113" i="43"/>
  <c r="DH113" i="43"/>
  <c r="DI113" i="43"/>
  <c r="DJ113" i="43"/>
  <c r="DK113" i="43"/>
  <c r="DL113" i="43"/>
  <c r="DM113" i="43"/>
  <c r="DN113" i="43"/>
  <c r="DO113" i="43"/>
  <c r="DP113" i="43"/>
  <c r="DQ113" i="43"/>
  <c r="DR113" i="43"/>
  <c r="DS113" i="43"/>
  <c r="DT113" i="43"/>
  <c r="DU113" i="43"/>
  <c r="DV113" i="43"/>
  <c r="DW113" i="43"/>
  <c r="DX113" i="43"/>
  <c r="DY113" i="43"/>
  <c r="DZ113" i="43"/>
  <c r="EA113" i="43"/>
  <c r="EB113" i="43"/>
  <c r="EC113" i="43"/>
  <c r="ED113" i="43"/>
  <c r="EE113" i="43"/>
  <c r="EF113" i="43"/>
  <c r="EG113" i="43"/>
  <c r="EH113" i="43"/>
  <c r="EI113" i="43"/>
  <c r="EJ113" i="43"/>
  <c r="EK113" i="43"/>
  <c r="EL113" i="43"/>
  <c r="EM113" i="43"/>
  <c r="EN113" i="43"/>
  <c r="EO113" i="43"/>
  <c r="EP113" i="43"/>
  <c r="EQ113" i="43"/>
  <c r="ER113" i="43"/>
  <c r="ES113" i="43"/>
  <c r="ET113" i="43"/>
  <c r="EU113" i="43"/>
  <c r="EV113" i="43"/>
  <c r="EW113" i="43"/>
  <c r="EX113" i="43"/>
  <c r="EY113" i="43"/>
  <c r="EZ113" i="43"/>
  <c r="FA113" i="43"/>
  <c r="FB113" i="43"/>
  <c r="FC113" i="43"/>
  <c r="FD113" i="43"/>
  <c r="FE113" i="43"/>
  <c r="FF113" i="43"/>
  <c r="FG113" i="43"/>
  <c r="FH113" i="43"/>
  <c r="FI113" i="43"/>
  <c r="FJ113" i="43"/>
  <c r="FK113" i="43"/>
  <c r="FL113" i="43"/>
  <c r="FM113" i="43"/>
  <c r="FN113" i="43"/>
  <c r="FO113" i="43"/>
  <c r="FP113" i="43"/>
  <c r="FQ113" i="43"/>
  <c r="FR113" i="43"/>
  <c r="FS113" i="43"/>
  <c r="FT113" i="43"/>
  <c r="FU113" i="43"/>
  <c r="FV113" i="43"/>
  <c r="FW113" i="43"/>
  <c r="FX113" i="43"/>
  <c r="FY113" i="43"/>
  <c r="FZ113" i="43"/>
  <c r="GA113" i="43"/>
  <c r="GB113" i="43"/>
  <c r="GC113" i="43"/>
  <c r="GD113" i="43"/>
  <c r="GE113" i="43"/>
  <c r="GF113" i="43"/>
  <c r="GG113" i="43"/>
  <c r="GH113" i="43"/>
  <c r="GI113" i="43"/>
  <c r="GJ113" i="43"/>
  <c r="GK113" i="43"/>
  <c r="GL113" i="43"/>
  <c r="GM113" i="43"/>
  <c r="GN113" i="43"/>
  <c r="GO113" i="43"/>
  <c r="GP113" i="43"/>
  <c r="GQ113" i="43"/>
  <c r="GR113" i="43"/>
  <c r="GS113" i="43"/>
  <c r="GT113" i="43"/>
  <c r="GU113" i="43"/>
  <c r="GV113" i="43"/>
  <c r="GW113" i="43"/>
  <c r="GX113" i="43"/>
  <c r="GY113" i="43"/>
  <c r="GZ113" i="43"/>
  <c r="HA113" i="43"/>
  <c r="HB113" i="43"/>
  <c r="HC113" i="43"/>
  <c r="HD113" i="43"/>
  <c r="HE113" i="43"/>
  <c r="HF113" i="43"/>
  <c r="HG113" i="43"/>
  <c r="HH113" i="43"/>
  <c r="HI113" i="43"/>
  <c r="HJ113" i="43"/>
  <c r="HK113" i="43"/>
  <c r="HL113" i="43"/>
  <c r="HM113" i="43"/>
  <c r="HN113" i="43"/>
  <c r="HO113" i="43"/>
  <c r="HP113" i="43"/>
  <c r="HQ113" i="43"/>
  <c r="HR113" i="43"/>
  <c r="HS113" i="43"/>
  <c r="HT113" i="43"/>
  <c r="HU113" i="43"/>
  <c r="HV113" i="43"/>
  <c r="HW113" i="43"/>
  <c r="HX113" i="43"/>
  <c r="HY113" i="43"/>
  <c r="HZ113" i="43"/>
  <c r="IA113" i="43"/>
  <c r="IB113" i="43"/>
  <c r="IC113" i="43"/>
  <c r="ID113" i="43"/>
  <c r="IE113" i="43"/>
  <c r="IF113" i="43"/>
  <c r="IG113" i="43"/>
  <c r="IH113" i="43"/>
  <c r="II113" i="43"/>
  <c r="IJ113" i="43"/>
  <c r="IK113" i="43"/>
  <c r="IL113" i="43"/>
  <c r="IM113" i="43"/>
  <c r="IN113" i="43"/>
  <c r="IO113" i="43"/>
  <c r="IP113" i="43"/>
  <c r="IQ113" i="43"/>
  <c r="IR113" i="43"/>
  <c r="IS113" i="43"/>
  <c r="IT113" i="43"/>
  <c r="IU113" i="43"/>
  <c r="IV113" i="43"/>
  <c r="A112" i="43"/>
  <c r="B112" i="43"/>
  <c r="C112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AW112" i="43"/>
  <c r="AX112" i="43"/>
  <c r="AY112" i="43"/>
  <c r="AZ112" i="43"/>
  <c r="BA112" i="43"/>
  <c r="BB112" i="43"/>
  <c r="BC112" i="43"/>
  <c r="BD112" i="43"/>
  <c r="BE112" i="43"/>
  <c r="BF112" i="43"/>
  <c r="BG112" i="43"/>
  <c r="BH112" i="43"/>
  <c r="BI112" i="43"/>
  <c r="BJ112" i="43"/>
  <c r="BK112" i="43"/>
  <c r="BL112" i="43"/>
  <c r="BM112" i="43"/>
  <c r="BN112" i="43"/>
  <c r="BO112" i="43"/>
  <c r="BP112" i="43"/>
  <c r="BQ112" i="43"/>
  <c r="BR112" i="43"/>
  <c r="BS112" i="43"/>
  <c r="BT112" i="43"/>
  <c r="BU112" i="43"/>
  <c r="BV112" i="43"/>
  <c r="BW112" i="43"/>
  <c r="BX112" i="43"/>
  <c r="BY112" i="43"/>
  <c r="BZ112" i="43"/>
  <c r="CA112" i="43"/>
  <c r="CB112" i="43"/>
  <c r="CC112" i="43"/>
  <c r="CD112" i="43"/>
  <c r="CE112" i="43"/>
  <c r="CF112" i="43"/>
  <c r="CG112" i="43"/>
  <c r="CH112" i="43"/>
  <c r="CI112" i="43"/>
  <c r="CJ112" i="43"/>
  <c r="CK112" i="43"/>
  <c r="CL112" i="43"/>
  <c r="CM112" i="43"/>
  <c r="CN112" i="43"/>
  <c r="CO112" i="43"/>
  <c r="CP112" i="43"/>
  <c r="CQ112" i="43"/>
  <c r="CR112" i="43"/>
  <c r="CS112" i="43"/>
  <c r="CT112" i="43"/>
  <c r="CU112" i="43"/>
  <c r="CV112" i="43"/>
  <c r="CW112" i="43"/>
  <c r="CX112" i="43"/>
  <c r="CY112" i="43"/>
  <c r="CZ112" i="43"/>
  <c r="DA112" i="43"/>
  <c r="DB112" i="43"/>
  <c r="DC112" i="43"/>
  <c r="DD112" i="43"/>
  <c r="DE112" i="43"/>
  <c r="DF112" i="43"/>
  <c r="DG112" i="43"/>
  <c r="DH112" i="43"/>
  <c r="DI112" i="43"/>
  <c r="DJ112" i="43"/>
  <c r="DK112" i="43"/>
  <c r="DL112" i="43"/>
  <c r="DM112" i="43"/>
  <c r="DN112" i="43"/>
  <c r="DO112" i="43"/>
  <c r="DP112" i="43"/>
  <c r="DQ112" i="43"/>
  <c r="DR112" i="43"/>
  <c r="DS112" i="43"/>
  <c r="DT112" i="43"/>
  <c r="DU112" i="43"/>
  <c r="DV112" i="43"/>
  <c r="DW112" i="43"/>
  <c r="DX112" i="43"/>
  <c r="DY112" i="43"/>
  <c r="DZ112" i="43"/>
  <c r="EA112" i="43"/>
  <c r="EB112" i="43"/>
  <c r="EC112" i="43"/>
  <c r="ED112" i="43"/>
  <c r="EE112" i="43"/>
  <c r="EF112" i="43"/>
  <c r="EG112" i="43"/>
  <c r="EH112" i="43"/>
  <c r="EI112" i="43"/>
  <c r="EJ112" i="43"/>
  <c r="EK112" i="43"/>
  <c r="EL112" i="43"/>
  <c r="EM112" i="43"/>
  <c r="EN112" i="43"/>
  <c r="EO112" i="43"/>
  <c r="EP112" i="43"/>
  <c r="EQ112" i="43"/>
  <c r="ER112" i="43"/>
  <c r="ES112" i="43"/>
  <c r="ET112" i="43"/>
  <c r="EU112" i="43"/>
  <c r="EV112" i="43"/>
  <c r="EW112" i="43"/>
  <c r="EX112" i="43"/>
  <c r="EY112" i="43"/>
  <c r="EZ112" i="43"/>
  <c r="FA112" i="43"/>
  <c r="FB112" i="43"/>
  <c r="FC112" i="43"/>
  <c r="FD112" i="43"/>
  <c r="FE112" i="43"/>
  <c r="FF112" i="43"/>
  <c r="FG112" i="43"/>
  <c r="FH112" i="43"/>
  <c r="FI112" i="43"/>
  <c r="FJ112" i="43"/>
  <c r="FK112" i="43"/>
  <c r="FL112" i="43"/>
  <c r="FM112" i="43"/>
  <c r="FN112" i="43"/>
  <c r="FO112" i="43"/>
  <c r="FP112" i="43"/>
  <c r="FQ112" i="43"/>
  <c r="FR112" i="43"/>
  <c r="FS112" i="43"/>
  <c r="FT112" i="43"/>
  <c r="FU112" i="43"/>
  <c r="FV112" i="43"/>
  <c r="FW112" i="43"/>
  <c r="FX112" i="43"/>
  <c r="FY112" i="43"/>
  <c r="FZ112" i="43"/>
  <c r="GA112" i="43"/>
  <c r="GB112" i="43"/>
  <c r="GC112" i="43"/>
  <c r="GD112" i="43"/>
  <c r="GE112" i="43"/>
  <c r="GF112" i="43"/>
  <c r="GG112" i="43"/>
  <c r="GH112" i="43"/>
  <c r="GI112" i="43"/>
  <c r="GJ112" i="43"/>
  <c r="GK112" i="43"/>
  <c r="GL112" i="43"/>
  <c r="GM112" i="43"/>
  <c r="GN112" i="43"/>
  <c r="GO112" i="43"/>
  <c r="GP112" i="43"/>
  <c r="GQ112" i="43"/>
  <c r="GR112" i="43"/>
  <c r="GS112" i="43"/>
  <c r="GT112" i="43"/>
  <c r="GU112" i="43"/>
  <c r="GV112" i="43"/>
  <c r="GW112" i="43"/>
  <c r="GX112" i="43"/>
  <c r="GY112" i="43"/>
  <c r="GZ112" i="43"/>
  <c r="HA112" i="43"/>
  <c r="HB112" i="43"/>
  <c r="HC112" i="43"/>
  <c r="HD112" i="43"/>
  <c r="HE112" i="43"/>
  <c r="HF112" i="43"/>
  <c r="HG112" i="43"/>
  <c r="HH112" i="43"/>
  <c r="HI112" i="43"/>
  <c r="HJ112" i="43"/>
  <c r="HK112" i="43"/>
  <c r="HL112" i="43"/>
  <c r="HM112" i="43"/>
  <c r="HN112" i="43"/>
  <c r="HO112" i="43"/>
  <c r="HP112" i="43"/>
  <c r="HQ112" i="43"/>
  <c r="HR112" i="43"/>
  <c r="HS112" i="43"/>
  <c r="HT112" i="43"/>
  <c r="HU112" i="43"/>
  <c r="HV112" i="43"/>
  <c r="HW112" i="43"/>
  <c r="HX112" i="43"/>
  <c r="HY112" i="43"/>
  <c r="HZ112" i="43"/>
  <c r="IA112" i="43"/>
  <c r="IB112" i="43"/>
  <c r="IC112" i="43"/>
  <c r="ID112" i="43"/>
  <c r="IE112" i="43"/>
  <c r="IF112" i="43"/>
  <c r="IG112" i="43"/>
  <c r="IH112" i="43"/>
  <c r="II112" i="43"/>
  <c r="IJ112" i="43"/>
  <c r="IK112" i="43"/>
  <c r="IL112" i="43"/>
  <c r="IM112" i="43"/>
  <c r="IN112" i="43"/>
  <c r="IO112" i="43"/>
  <c r="IP112" i="43"/>
  <c r="IQ112" i="43"/>
  <c r="IR112" i="43"/>
  <c r="IS112" i="43"/>
  <c r="IT112" i="43"/>
  <c r="IU112" i="43"/>
  <c r="IV112" i="43"/>
  <c r="A111" i="43"/>
  <c r="B111" i="43"/>
  <c r="C111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AW111" i="43"/>
  <c r="AX111" i="43"/>
  <c r="AY111" i="43"/>
  <c r="AZ111" i="43"/>
  <c r="BA111" i="43"/>
  <c r="BB111" i="43"/>
  <c r="BC111" i="43"/>
  <c r="BD111" i="43"/>
  <c r="BE111" i="43"/>
  <c r="BF111" i="43"/>
  <c r="BG111" i="43"/>
  <c r="BH111" i="43"/>
  <c r="BI111" i="43"/>
  <c r="BJ111" i="43"/>
  <c r="BK111" i="43"/>
  <c r="BL111" i="43"/>
  <c r="BM111" i="43"/>
  <c r="BN111" i="43"/>
  <c r="BO111" i="43"/>
  <c r="BP111" i="43"/>
  <c r="BQ111" i="43"/>
  <c r="BR111" i="43"/>
  <c r="BS111" i="43"/>
  <c r="BT111" i="43"/>
  <c r="BU111" i="43"/>
  <c r="BV111" i="43"/>
  <c r="BW111" i="43"/>
  <c r="BX111" i="43"/>
  <c r="BY111" i="43"/>
  <c r="BZ111" i="43"/>
  <c r="CA111" i="43"/>
  <c r="CB111" i="43"/>
  <c r="CC111" i="43"/>
  <c r="CD111" i="43"/>
  <c r="CE111" i="43"/>
  <c r="CF111" i="43"/>
  <c r="CG111" i="43"/>
  <c r="CH111" i="43"/>
  <c r="CI111" i="43"/>
  <c r="CJ111" i="43"/>
  <c r="CK111" i="43"/>
  <c r="CL111" i="43"/>
  <c r="CM111" i="43"/>
  <c r="CN111" i="43"/>
  <c r="CO111" i="43"/>
  <c r="CP111" i="43"/>
  <c r="CQ111" i="43"/>
  <c r="CR111" i="43"/>
  <c r="CS111" i="43"/>
  <c r="CT111" i="43"/>
  <c r="CU111" i="43"/>
  <c r="CV111" i="43"/>
  <c r="CW111" i="43"/>
  <c r="CX111" i="43"/>
  <c r="CY111" i="43"/>
  <c r="CZ111" i="43"/>
  <c r="DA111" i="43"/>
  <c r="DB111" i="43"/>
  <c r="DC111" i="43"/>
  <c r="DD111" i="43"/>
  <c r="DE111" i="43"/>
  <c r="DF111" i="43"/>
  <c r="DG111" i="43"/>
  <c r="DH111" i="43"/>
  <c r="DI111" i="43"/>
  <c r="DJ111" i="43"/>
  <c r="DK111" i="43"/>
  <c r="DL111" i="43"/>
  <c r="DM111" i="43"/>
  <c r="DN111" i="43"/>
  <c r="DO111" i="43"/>
  <c r="DP111" i="43"/>
  <c r="DQ111" i="43"/>
  <c r="DR111" i="43"/>
  <c r="DS111" i="43"/>
  <c r="DT111" i="43"/>
  <c r="DU111" i="43"/>
  <c r="DV111" i="43"/>
  <c r="DW111" i="43"/>
  <c r="DX111" i="43"/>
  <c r="DY111" i="43"/>
  <c r="DZ111" i="43"/>
  <c r="EA111" i="43"/>
  <c r="EB111" i="43"/>
  <c r="EC111" i="43"/>
  <c r="ED111" i="43"/>
  <c r="EE111" i="43"/>
  <c r="EF111" i="43"/>
  <c r="EG111" i="43"/>
  <c r="EH111" i="43"/>
  <c r="EI111" i="43"/>
  <c r="EJ111" i="43"/>
  <c r="EK111" i="43"/>
  <c r="EL111" i="43"/>
  <c r="EM111" i="43"/>
  <c r="EN111" i="43"/>
  <c r="EO111" i="43"/>
  <c r="EP111" i="43"/>
  <c r="EQ111" i="43"/>
  <c r="ER111" i="43"/>
  <c r="ES111" i="43"/>
  <c r="ET111" i="43"/>
  <c r="EU111" i="43"/>
  <c r="EV111" i="43"/>
  <c r="EW111" i="43"/>
  <c r="EX111" i="43"/>
  <c r="EY111" i="43"/>
  <c r="EZ111" i="43"/>
  <c r="FA111" i="43"/>
  <c r="FB111" i="43"/>
  <c r="FC111" i="43"/>
  <c r="FD111" i="43"/>
  <c r="FE111" i="43"/>
  <c r="FF111" i="43"/>
  <c r="FG111" i="43"/>
  <c r="FH111" i="43"/>
  <c r="FI111" i="43"/>
  <c r="FJ111" i="43"/>
  <c r="FK111" i="43"/>
  <c r="FL111" i="43"/>
  <c r="FM111" i="43"/>
  <c r="FN111" i="43"/>
  <c r="FO111" i="43"/>
  <c r="FP111" i="43"/>
  <c r="FQ111" i="43"/>
  <c r="FR111" i="43"/>
  <c r="FS111" i="43"/>
  <c r="FT111" i="43"/>
  <c r="FU111" i="43"/>
  <c r="FV111" i="43"/>
  <c r="FW111" i="43"/>
  <c r="FX111" i="43"/>
  <c r="FY111" i="43"/>
  <c r="FZ111" i="43"/>
  <c r="GA111" i="43"/>
  <c r="GB111" i="43"/>
  <c r="GC111" i="43"/>
  <c r="GD111" i="43"/>
  <c r="GE111" i="43"/>
  <c r="GF111" i="43"/>
  <c r="GG111" i="43"/>
  <c r="GH111" i="43"/>
  <c r="GI111" i="43"/>
  <c r="GJ111" i="43"/>
  <c r="GK111" i="43"/>
  <c r="GL111" i="43"/>
  <c r="GM111" i="43"/>
  <c r="GN111" i="43"/>
  <c r="GO111" i="43"/>
  <c r="GP111" i="43"/>
  <c r="GQ111" i="43"/>
  <c r="GR111" i="43"/>
  <c r="GS111" i="43"/>
  <c r="GT111" i="43"/>
  <c r="GU111" i="43"/>
  <c r="GV111" i="43"/>
  <c r="GW111" i="43"/>
  <c r="GX111" i="43"/>
  <c r="GY111" i="43"/>
  <c r="GZ111" i="43"/>
  <c r="HA111" i="43"/>
  <c r="HB111" i="43"/>
  <c r="HC111" i="43"/>
  <c r="HD111" i="43"/>
  <c r="HE111" i="43"/>
  <c r="HF111" i="43"/>
  <c r="HG111" i="43"/>
  <c r="HH111" i="43"/>
  <c r="HI111" i="43"/>
  <c r="HJ111" i="43"/>
  <c r="HK111" i="43"/>
  <c r="HL111" i="43"/>
  <c r="HM111" i="43"/>
  <c r="HN111" i="43"/>
  <c r="HO111" i="43"/>
  <c r="HP111" i="43"/>
  <c r="HQ111" i="43"/>
  <c r="HR111" i="43"/>
  <c r="HS111" i="43"/>
  <c r="HT111" i="43"/>
  <c r="HU111" i="43"/>
  <c r="HV111" i="43"/>
  <c r="HW111" i="43"/>
  <c r="HX111" i="43"/>
  <c r="HY111" i="43"/>
  <c r="HZ111" i="43"/>
  <c r="IA111" i="43"/>
  <c r="IB111" i="43"/>
  <c r="IC111" i="43"/>
  <c r="ID111" i="43"/>
  <c r="IE111" i="43"/>
  <c r="IF111" i="43"/>
  <c r="IG111" i="43"/>
  <c r="IH111" i="43"/>
  <c r="II111" i="43"/>
  <c r="IJ111" i="43"/>
  <c r="IK111" i="43"/>
  <c r="IL111" i="43"/>
  <c r="IM111" i="43"/>
  <c r="IN111" i="43"/>
  <c r="IO111" i="43"/>
  <c r="IP111" i="43"/>
  <c r="IQ111" i="43"/>
  <c r="IR111" i="43"/>
  <c r="IS111" i="43"/>
  <c r="IT111" i="43"/>
  <c r="IU111" i="43"/>
  <c r="IV111" i="43"/>
  <c r="A110" i="43"/>
  <c r="B110" i="43"/>
  <c r="C110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AW110" i="43"/>
  <c r="AX110" i="43"/>
  <c r="AY110" i="43"/>
  <c r="AZ110" i="43"/>
  <c r="BA110" i="43"/>
  <c r="BB110" i="43"/>
  <c r="BC110" i="43"/>
  <c r="BD110" i="43"/>
  <c r="BE110" i="43"/>
  <c r="BF110" i="43"/>
  <c r="BG110" i="43"/>
  <c r="BH110" i="43"/>
  <c r="BI110" i="43"/>
  <c r="BJ110" i="43"/>
  <c r="BK110" i="43"/>
  <c r="BL110" i="43"/>
  <c r="BM110" i="43"/>
  <c r="BN110" i="43"/>
  <c r="BO110" i="43"/>
  <c r="BP110" i="43"/>
  <c r="BQ110" i="43"/>
  <c r="BR110" i="43"/>
  <c r="BS110" i="43"/>
  <c r="BT110" i="43"/>
  <c r="BU110" i="43"/>
  <c r="BV110" i="43"/>
  <c r="BW110" i="43"/>
  <c r="BX110" i="43"/>
  <c r="BY110" i="43"/>
  <c r="BZ110" i="43"/>
  <c r="CA110" i="43"/>
  <c r="CB110" i="43"/>
  <c r="CC110" i="43"/>
  <c r="CD110" i="43"/>
  <c r="CE110" i="43"/>
  <c r="CF110" i="43"/>
  <c r="CG110" i="43"/>
  <c r="CH110" i="43"/>
  <c r="CI110" i="43"/>
  <c r="CJ110" i="43"/>
  <c r="CK110" i="43"/>
  <c r="CL110" i="43"/>
  <c r="CM110" i="43"/>
  <c r="CN110" i="43"/>
  <c r="CO110" i="43"/>
  <c r="CP110" i="43"/>
  <c r="CQ110" i="43"/>
  <c r="CR110" i="43"/>
  <c r="CS110" i="43"/>
  <c r="CT110" i="43"/>
  <c r="CU110" i="43"/>
  <c r="CV110" i="43"/>
  <c r="CW110" i="43"/>
  <c r="CX110" i="43"/>
  <c r="CY110" i="43"/>
  <c r="CZ110" i="43"/>
  <c r="DA110" i="43"/>
  <c r="DB110" i="43"/>
  <c r="DC110" i="43"/>
  <c r="DD110" i="43"/>
  <c r="DE110" i="43"/>
  <c r="DF110" i="43"/>
  <c r="DG110" i="43"/>
  <c r="DH110" i="43"/>
  <c r="DI110" i="43"/>
  <c r="DJ110" i="43"/>
  <c r="DK110" i="43"/>
  <c r="DL110" i="43"/>
  <c r="DM110" i="43"/>
  <c r="DN110" i="43"/>
  <c r="DO110" i="43"/>
  <c r="DP110" i="43"/>
  <c r="DQ110" i="43"/>
  <c r="DR110" i="43"/>
  <c r="DS110" i="43"/>
  <c r="DT110" i="43"/>
  <c r="DU110" i="43"/>
  <c r="DV110" i="43"/>
  <c r="DW110" i="43"/>
  <c r="DX110" i="43"/>
  <c r="DY110" i="43"/>
  <c r="DZ110" i="43"/>
  <c r="EA110" i="43"/>
  <c r="EB110" i="43"/>
  <c r="EC110" i="43"/>
  <c r="ED110" i="43"/>
  <c r="EE110" i="43"/>
  <c r="EF110" i="43"/>
  <c r="EG110" i="43"/>
  <c r="EH110" i="43"/>
  <c r="EI110" i="43"/>
  <c r="EJ110" i="43"/>
  <c r="EK110" i="43"/>
  <c r="EL110" i="43"/>
  <c r="EM110" i="43"/>
  <c r="EN110" i="43"/>
  <c r="EO110" i="43"/>
  <c r="EP110" i="43"/>
  <c r="EQ110" i="43"/>
  <c r="ER110" i="43"/>
  <c r="ES110" i="43"/>
  <c r="ET110" i="43"/>
  <c r="EU110" i="43"/>
  <c r="EV110" i="43"/>
  <c r="EW110" i="43"/>
  <c r="EX110" i="43"/>
  <c r="EY110" i="43"/>
  <c r="EZ110" i="43"/>
  <c r="FA110" i="43"/>
  <c r="FB110" i="43"/>
  <c r="FC110" i="43"/>
  <c r="FD110" i="43"/>
  <c r="FE110" i="43"/>
  <c r="FF110" i="43"/>
  <c r="FG110" i="43"/>
  <c r="FH110" i="43"/>
  <c r="FI110" i="43"/>
  <c r="FJ110" i="43"/>
  <c r="FK110" i="43"/>
  <c r="FL110" i="43"/>
  <c r="FM110" i="43"/>
  <c r="FN110" i="43"/>
  <c r="FO110" i="43"/>
  <c r="FP110" i="43"/>
  <c r="FQ110" i="43"/>
  <c r="FR110" i="43"/>
  <c r="FS110" i="43"/>
  <c r="FT110" i="43"/>
  <c r="FU110" i="43"/>
  <c r="FV110" i="43"/>
  <c r="FW110" i="43"/>
  <c r="FX110" i="43"/>
  <c r="FY110" i="43"/>
  <c r="FZ110" i="43"/>
  <c r="GA110" i="43"/>
  <c r="GB110" i="43"/>
  <c r="GC110" i="43"/>
  <c r="GD110" i="43"/>
  <c r="GE110" i="43"/>
  <c r="GF110" i="43"/>
  <c r="GG110" i="43"/>
  <c r="GH110" i="43"/>
  <c r="GI110" i="43"/>
  <c r="GJ110" i="43"/>
  <c r="GK110" i="43"/>
  <c r="GL110" i="43"/>
  <c r="GM110" i="43"/>
  <c r="GN110" i="43"/>
  <c r="GO110" i="43"/>
  <c r="GP110" i="43"/>
  <c r="GQ110" i="43"/>
  <c r="GR110" i="43"/>
  <c r="GS110" i="43"/>
  <c r="GT110" i="43"/>
  <c r="GU110" i="43"/>
  <c r="GV110" i="43"/>
  <c r="GW110" i="43"/>
  <c r="GX110" i="43"/>
  <c r="GY110" i="43"/>
  <c r="GZ110" i="43"/>
  <c r="HA110" i="43"/>
  <c r="HB110" i="43"/>
  <c r="HC110" i="43"/>
  <c r="HD110" i="43"/>
  <c r="HE110" i="43"/>
  <c r="HF110" i="43"/>
  <c r="HG110" i="43"/>
  <c r="HH110" i="43"/>
  <c r="HI110" i="43"/>
  <c r="HJ110" i="43"/>
  <c r="HK110" i="43"/>
  <c r="HL110" i="43"/>
  <c r="HM110" i="43"/>
  <c r="HN110" i="43"/>
  <c r="HO110" i="43"/>
  <c r="HP110" i="43"/>
  <c r="HQ110" i="43"/>
  <c r="HR110" i="43"/>
  <c r="HS110" i="43"/>
  <c r="HT110" i="43"/>
  <c r="HU110" i="43"/>
  <c r="HV110" i="43"/>
  <c r="HW110" i="43"/>
  <c r="HX110" i="43"/>
  <c r="HY110" i="43"/>
  <c r="HZ110" i="43"/>
  <c r="IA110" i="43"/>
  <c r="IB110" i="43"/>
  <c r="IC110" i="43"/>
  <c r="ID110" i="43"/>
  <c r="IE110" i="43"/>
  <c r="IF110" i="43"/>
  <c r="IG110" i="43"/>
  <c r="IH110" i="43"/>
  <c r="II110" i="43"/>
  <c r="IJ110" i="43"/>
  <c r="IK110" i="43"/>
  <c r="IL110" i="43"/>
  <c r="IM110" i="43"/>
  <c r="IN110" i="43"/>
  <c r="IO110" i="43"/>
  <c r="IP110" i="43"/>
  <c r="IQ110" i="43"/>
  <c r="IR110" i="43"/>
  <c r="IS110" i="43"/>
  <c r="IT110" i="43"/>
  <c r="IU110" i="43"/>
  <c r="IV110" i="43"/>
  <c r="A109" i="43"/>
  <c r="B109" i="43"/>
  <c r="C109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Y109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AW109" i="43"/>
  <c r="AX109" i="43"/>
  <c r="AY109" i="43"/>
  <c r="AZ109" i="43"/>
  <c r="BA109" i="43"/>
  <c r="BB109" i="43"/>
  <c r="BC109" i="43"/>
  <c r="BD109" i="43"/>
  <c r="BE109" i="43"/>
  <c r="BF109" i="43"/>
  <c r="BG109" i="43"/>
  <c r="BH109" i="43"/>
  <c r="BI109" i="43"/>
  <c r="BJ109" i="43"/>
  <c r="BK109" i="43"/>
  <c r="BL109" i="43"/>
  <c r="BM109" i="43"/>
  <c r="BN109" i="43"/>
  <c r="BO109" i="43"/>
  <c r="BP109" i="43"/>
  <c r="BQ109" i="43"/>
  <c r="BR109" i="43"/>
  <c r="BS109" i="43"/>
  <c r="BT109" i="43"/>
  <c r="BU109" i="43"/>
  <c r="BV109" i="43"/>
  <c r="BW109" i="43"/>
  <c r="BX109" i="43"/>
  <c r="BY109" i="43"/>
  <c r="BZ109" i="43"/>
  <c r="CA109" i="43"/>
  <c r="CB109" i="43"/>
  <c r="CC109" i="43"/>
  <c r="CD109" i="43"/>
  <c r="CE109" i="43"/>
  <c r="CF109" i="43"/>
  <c r="CG109" i="43"/>
  <c r="CH109" i="43"/>
  <c r="CI109" i="43"/>
  <c r="CJ109" i="43"/>
  <c r="CK109" i="43"/>
  <c r="CL109" i="43"/>
  <c r="CM109" i="43"/>
  <c r="CN109" i="43"/>
  <c r="CO109" i="43"/>
  <c r="CP109" i="43"/>
  <c r="CQ109" i="43"/>
  <c r="CR109" i="43"/>
  <c r="CS109" i="43"/>
  <c r="CT109" i="43"/>
  <c r="CU109" i="43"/>
  <c r="CV109" i="43"/>
  <c r="CW109" i="43"/>
  <c r="CX109" i="43"/>
  <c r="CY109" i="43"/>
  <c r="CZ109" i="43"/>
  <c r="DA109" i="43"/>
  <c r="DB109" i="43"/>
  <c r="DC109" i="43"/>
  <c r="DD109" i="43"/>
  <c r="DE109" i="43"/>
  <c r="DF109" i="43"/>
  <c r="DG109" i="43"/>
  <c r="DH109" i="43"/>
  <c r="DI109" i="43"/>
  <c r="DJ109" i="43"/>
  <c r="DK109" i="43"/>
  <c r="DL109" i="43"/>
  <c r="DM109" i="43"/>
  <c r="DN109" i="43"/>
  <c r="DO109" i="43"/>
  <c r="DP109" i="43"/>
  <c r="DQ109" i="43"/>
  <c r="DR109" i="43"/>
  <c r="DS109" i="43"/>
  <c r="DT109" i="43"/>
  <c r="DU109" i="43"/>
  <c r="DV109" i="43"/>
  <c r="DW109" i="43"/>
  <c r="DX109" i="43"/>
  <c r="DY109" i="43"/>
  <c r="DZ109" i="43"/>
  <c r="EA109" i="43"/>
  <c r="EB109" i="43"/>
  <c r="EC109" i="43"/>
  <c r="ED109" i="43"/>
  <c r="EE109" i="43"/>
  <c r="EF109" i="43"/>
  <c r="EG109" i="43"/>
  <c r="EH109" i="43"/>
  <c r="EI109" i="43"/>
  <c r="EJ109" i="43"/>
  <c r="EK109" i="43"/>
  <c r="EL109" i="43"/>
  <c r="EM109" i="43"/>
  <c r="EN109" i="43"/>
  <c r="EO109" i="43"/>
  <c r="EP109" i="43"/>
  <c r="EQ109" i="43"/>
  <c r="ER109" i="43"/>
  <c r="ES109" i="43"/>
  <c r="ET109" i="43"/>
  <c r="EU109" i="43"/>
  <c r="EV109" i="43"/>
  <c r="EW109" i="43"/>
  <c r="EX109" i="43"/>
  <c r="EY109" i="43"/>
  <c r="EZ109" i="43"/>
  <c r="FA109" i="43"/>
  <c r="FB109" i="43"/>
  <c r="FC109" i="43"/>
  <c r="FD109" i="43"/>
  <c r="FE109" i="43"/>
  <c r="FF109" i="43"/>
  <c r="FG109" i="43"/>
  <c r="FH109" i="43"/>
  <c r="FI109" i="43"/>
  <c r="FJ109" i="43"/>
  <c r="FK109" i="43"/>
  <c r="FL109" i="43"/>
  <c r="FM109" i="43"/>
  <c r="FN109" i="43"/>
  <c r="FO109" i="43"/>
  <c r="FP109" i="43"/>
  <c r="FQ109" i="43"/>
  <c r="FR109" i="43"/>
  <c r="FS109" i="43"/>
  <c r="FT109" i="43"/>
  <c r="FU109" i="43"/>
  <c r="FV109" i="43"/>
  <c r="FW109" i="43"/>
  <c r="FX109" i="43"/>
  <c r="FY109" i="43"/>
  <c r="FZ109" i="43"/>
  <c r="GA109" i="43"/>
  <c r="GB109" i="43"/>
  <c r="GC109" i="43"/>
  <c r="GD109" i="43"/>
  <c r="GE109" i="43"/>
  <c r="GF109" i="43"/>
  <c r="GG109" i="43"/>
  <c r="GH109" i="43"/>
  <c r="GI109" i="43"/>
  <c r="GJ109" i="43"/>
  <c r="GK109" i="43"/>
  <c r="GL109" i="43"/>
  <c r="GM109" i="43"/>
  <c r="GN109" i="43"/>
  <c r="GO109" i="43"/>
  <c r="GP109" i="43"/>
  <c r="GQ109" i="43"/>
  <c r="GR109" i="43"/>
  <c r="GS109" i="43"/>
  <c r="GT109" i="43"/>
  <c r="GU109" i="43"/>
  <c r="GV109" i="43"/>
  <c r="GW109" i="43"/>
  <c r="GX109" i="43"/>
  <c r="GY109" i="43"/>
  <c r="GZ109" i="43"/>
  <c r="HA109" i="43"/>
  <c r="HB109" i="43"/>
  <c r="HC109" i="43"/>
  <c r="HD109" i="43"/>
  <c r="HE109" i="43"/>
  <c r="HF109" i="43"/>
  <c r="HG109" i="43"/>
  <c r="HH109" i="43"/>
  <c r="HI109" i="43"/>
  <c r="HJ109" i="43"/>
  <c r="HK109" i="43"/>
  <c r="HL109" i="43"/>
  <c r="HM109" i="43"/>
  <c r="HN109" i="43"/>
  <c r="HO109" i="43"/>
  <c r="HP109" i="43"/>
  <c r="HQ109" i="43"/>
  <c r="HR109" i="43"/>
  <c r="HS109" i="43"/>
  <c r="HT109" i="43"/>
  <c r="HU109" i="43"/>
  <c r="HV109" i="43"/>
  <c r="HW109" i="43"/>
  <c r="HX109" i="43"/>
  <c r="HY109" i="43"/>
  <c r="HZ109" i="43"/>
  <c r="IA109" i="43"/>
  <c r="IB109" i="43"/>
  <c r="IC109" i="43"/>
  <c r="ID109" i="43"/>
  <c r="IE109" i="43"/>
  <c r="IF109" i="43"/>
  <c r="IG109" i="43"/>
  <c r="IH109" i="43"/>
  <c r="II109" i="43"/>
  <c r="IJ109" i="43"/>
  <c r="IK109" i="43"/>
  <c r="IL109" i="43"/>
  <c r="IM109" i="43"/>
  <c r="IN109" i="43"/>
  <c r="IO109" i="43"/>
  <c r="IP109" i="43"/>
  <c r="IQ109" i="43"/>
  <c r="IR109" i="43"/>
  <c r="IS109" i="43"/>
  <c r="IT109" i="43"/>
  <c r="IU109" i="43"/>
  <c r="IV109" i="43"/>
  <c r="A108" i="43"/>
  <c r="B108" i="43"/>
  <c r="C108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BD108" i="43"/>
  <c r="BE108" i="43"/>
  <c r="BF108" i="43"/>
  <c r="BG108" i="43"/>
  <c r="BH108" i="43"/>
  <c r="BI108" i="43"/>
  <c r="BJ108" i="43"/>
  <c r="BK108" i="43"/>
  <c r="BL108" i="43"/>
  <c r="BM108" i="43"/>
  <c r="BN108" i="43"/>
  <c r="BO108" i="43"/>
  <c r="BP108" i="43"/>
  <c r="BQ108" i="43"/>
  <c r="BR108" i="43"/>
  <c r="BS108" i="43"/>
  <c r="BT108" i="43"/>
  <c r="BU108" i="43"/>
  <c r="BV108" i="43"/>
  <c r="BW108" i="43"/>
  <c r="BX108" i="43"/>
  <c r="BY108" i="43"/>
  <c r="BZ108" i="43"/>
  <c r="CA108" i="43"/>
  <c r="CB108" i="43"/>
  <c r="CC108" i="43"/>
  <c r="CD108" i="43"/>
  <c r="CE108" i="43"/>
  <c r="CF108" i="43"/>
  <c r="CG108" i="43"/>
  <c r="CH108" i="43"/>
  <c r="CI108" i="43"/>
  <c r="CJ108" i="43"/>
  <c r="CK108" i="43"/>
  <c r="CL108" i="43"/>
  <c r="CM108" i="43"/>
  <c r="CN108" i="43"/>
  <c r="CO108" i="43"/>
  <c r="CP108" i="43"/>
  <c r="CQ108" i="43"/>
  <c r="CR108" i="43"/>
  <c r="CS108" i="43"/>
  <c r="CT108" i="43"/>
  <c r="CU108" i="43"/>
  <c r="CV108" i="43"/>
  <c r="CW108" i="43"/>
  <c r="CX108" i="43"/>
  <c r="CY108" i="43"/>
  <c r="CZ108" i="43"/>
  <c r="DA108" i="43"/>
  <c r="DB108" i="43"/>
  <c r="DC108" i="43"/>
  <c r="DD108" i="43"/>
  <c r="DE108" i="43"/>
  <c r="DF108" i="43"/>
  <c r="DG108" i="43"/>
  <c r="DH108" i="43"/>
  <c r="DI108" i="43"/>
  <c r="DJ108" i="43"/>
  <c r="DK108" i="43"/>
  <c r="DL108" i="43"/>
  <c r="DM108" i="43"/>
  <c r="DN108" i="43"/>
  <c r="DO108" i="43"/>
  <c r="DP108" i="43"/>
  <c r="DQ108" i="43"/>
  <c r="DR108" i="43"/>
  <c r="DS108" i="43"/>
  <c r="DT108" i="43"/>
  <c r="DU108" i="43"/>
  <c r="DV108" i="43"/>
  <c r="DW108" i="43"/>
  <c r="DX108" i="43"/>
  <c r="DY108" i="43"/>
  <c r="DZ108" i="43"/>
  <c r="EA108" i="43"/>
  <c r="EB108" i="43"/>
  <c r="EC108" i="43"/>
  <c r="ED108" i="43"/>
  <c r="EE108" i="43"/>
  <c r="EF108" i="43"/>
  <c r="EG108" i="43"/>
  <c r="EH108" i="43"/>
  <c r="EI108" i="43"/>
  <c r="EJ108" i="43"/>
  <c r="EK108" i="43"/>
  <c r="EL108" i="43"/>
  <c r="EM108" i="43"/>
  <c r="EN108" i="43"/>
  <c r="EO108" i="43"/>
  <c r="EP108" i="43"/>
  <c r="EQ108" i="43"/>
  <c r="ER108" i="43"/>
  <c r="ES108" i="43"/>
  <c r="ET108" i="43"/>
  <c r="EU108" i="43"/>
  <c r="EV108" i="43"/>
  <c r="EW108" i="43"/>
  <c r="EX108" i="43"/>
  <c r="EY108" i="43"/>
  <c r="EZ108" i="43"/>
  <c r="FA108" i="43"/>
  <c r="FB108" i="43"/>
  <c r="FC108" i="43"/>
  <c r="FD108" i="43"/>
  <c r="FE108" i="43"/>
  <c r="FF108" i="43"/>
  <c r="FG108" i="43"/>
  <c r="FH108" i="43"/>
  <c r="FI108" i="43"/>
  <c r="FJ108" i="43"/>
  <c r="FK108" i="43"/>
  <c r="FL108" i="43"/>
  <c r="FM108" i="43"/>
  <c r="FN108" i="43"/>
  <c r="FO108" i="43"/>
  <c r="FP108" i="43"/>
  <c r="FQ108" i="43"/>
  <c r="FR108" i="43"/>
  <c r="FS108" i="43"/>
  <c r="FT108" i="43"/>
  <c r="FU108" i="43"/>
  <c r="FV108" i="43"/>
  <c r="FW108" i="43"/>
  <c r="FX108" i="43"/>
  <c r="FY108" i="43"/>
  <c r="FZ108" i="43"/>
  <c r="GA108" i="43"/>
  <c r="GB108" i="43"/>
  <c r="GC108" i="43"/>
  <c r="GD108" i="43"/>
  <c r="GE108" i="43"/>
  <c r="GF108" i="43"/>
  <c r="GG108" i="43"/>
  <c r="GH108" i="43"/>
  <c r="GI108" i="43"/>
  <c r="GJ108" i="43"/>
  <c r="GK108" i="43"/>
  <c r="GL108" i="43"/>
  <c r="GM108" i="43"/>
  <c r="GN108" i="43"/>
  <c r="GO108" i="43"/>
  <c r="GP108" i="43"/>
  <c r="GQ108" i="43"/>
  <c r="GR108" i="43"/>
  <c r="GS108" i="43"/>
  <c r="GT108" i="43"/>
  <c r="GU108" i="43"/>
  <c r="GV108" i="43"/>
  <c r="GW108" i="43"/>
  <c r="GX108" i="43"/>
  <c r="GY108" i="43"/>
  <c r="GZ108" i="43"/>
  <c r="HA108" i="43"/>
  <c r="HB108" i="43"/>
  <c r="HC108" i="43"/>
  <c r="HD108" i="43"/>
  <c r="HE108" i="43"/>
  <c r="HF108" i="43"/>
  <c r="HG108" i="43"/>
  <c r="HH108" i="43"/>
  <c r="HI108" i="43"/>
  <c r="HJ108" i="43"/>
  <c r="HK108" i="43"/>
  <c r="HL108" i="43"/>
  <c r="HM108" i="43"/>
  <c r="HN108" i="43"/>
  <c r="HO108" i="43"/>
  <c r="HP108" i="43"/>
  <c r="HQ108" i="43"/>
  <c r="HR108" i="43"/>
  <c r="HS108" i="43"/>
  <c r="HT108" i="43"/>
  <c r="HU108" i="43"/>
  <c r="HV108" i="43"/>
  <c r="HW108" i="43"/>
  <c r="HX108" i="43"/>
  <c r="HY108" i="43"/>
  <c r="HZ108" i="43"/>
  <c r="IA108" i="43"/>
  <c r="IB108" i="43"/>
  <c r="IC108" i="43"/>
  <c r="ID108" i="43"/>
  <c r="IE108" i="43"/>
  <c r="IF108" i="43"/>
  <c r="IG108" i="43"/>
  <c r="IH108" i="43"/>
  <c r="II108" i="43"/>
  <c r="IJ108" i="43"/>
  <c r="IK108" i="43"/>
  <c r="IL108" i="43"/>
  <c r="IM108" i="43"/>
  <c r="IN108" i="43"/>
  <c r="IO108" i="43"/>
  <c r="IP108" i="43"/>
  <c r="IQ108" i="43"/>
  <c r="IR108" i="43"/>
  <c r="IS108" i="43"/>
  <c r="IT108" i="43"/>
  <c r="IU108" i="43"/>
  <c r="IV108" i="43"/>
  <c r="A107" i="43"/>
  <c r="B107" i="43"/>
  <c r="C107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BD107" i="43"/>
  <c r="BE107" i="43"/>
  <c r="BF107" i="43"/>
  <c r="BG107" i="43"/>
  <c r="BH107" i="43"/>
  <c r="BI107" i="43"/>
  <c r="BJ107" i="43"/>
  <c r="BK107" i="43"/>
  <c r="BL107" i="43"/>
  <c r="BM107" i="43"/>
  <c r="BN107" i="43"/>
  <c r="BO107" i="43"/>
  <c r="BP107" i="43"/>
  <c r="BQ107" i="43"/>
  <c r="BR107" i="43"/>
  <c r="BS107" i="43"/>
  <c r="BT107" i="43"/>
  <c r="BU107" i="43"/>
  <c r="BV107" i="43"/>
  <c r="BW107" i="43"/>
  <c r="BX107" i="43"/>
  <c r="BY107" i="43"/>
  <c r="BZ107" i="43"/>
  <c r="CA107" i="43"/>
  <c r="CB107" i="43"/>
  <c r="CC107" i="43"/>
  <c r="CD107" i="43"/>
  <c r="CE107" i="43"/>
  <c r="CF107" i="43"/>
  <c r="CG107" i="43"/>
  <c r="CH107" i="43"/>
  <c r="CI107" i="43"/>
  <c r="CJ107" i="43"/>
  <c r="CK107" i="43"/>
  <c r="CL107" i="43"/>
  <c r="CM107" i="43"/>
  <c r="CN107" i="43"/>
  <c r="CO107" i="43"/>
  <c r="CP107" i="43"/>
  <c r="CQ107" i="43"/>
  <c r="CR107" i="43"/>
  <c r="CS107" i="43"/>
  <c r="CT107" i="43"/>
  <c r="CU107" i="43"/>
  <c r="CV107" i="43"/>
  <c r="CW107" i="43"/>
  <c r="CX107" i="43"/>
  <c r="CY107" i="43"/>
  <c r="CZ107" i="43"/>
  <c r="DA107" i="43"/>
  <c r="DB107" i="43"/>
  <c r="DC107" i="43"/>
  <c r="DD107" i="43"/>
  <c r="DE107" i="43"/>
  <c r="DF107" i="43"/>
  <c r="DG107" i="43"/>
  <c r="DH107" i="43"/>
  <c r="DI107" i="43"/>
  <c r="DJ107" i="43"/>
  <c r="DK107" i="43"/>
  <c r="DL107" i="43"/>
  <c r="DM107" i="43"/>
  <c r="DN107" i="43"/>
  <c r="DO107" i="43"/>
  <c r="DP107" i="43"/>
  <c r="DQ107" i="43"/>
  <c r="DR107" i="43"/>
  <c r="DS107" i="43"/>
  <c r="DT107" i="43"/>
  <c r="DU107" i="43"/>
  <c r="DV107" i="43"/>
  <c r="DW107" i="43"/>
  <c r="DX107" i="43"/>
  <c r="DY107" i="43"/>
  <c r="DZ107" i="43"/>
  <c r="EA107" i="43"/>
  <c r="EB107" i="43"/>
  <c r="EC107" i="43"/>
  <c r="ED107" i="43"/>
  <c r="EE107" i="43"/>
  <c r="EF107" i="43"/>
  <c r="EG107" i="43"/>
  <c r="EH107" i="43"/>
  <c r="EI107" i="43"/>
  <c r="EJ107" i="43"/>
  <c r="EK107" i="43"/>
  <c r="EL107" i="43"/>
  <c r="EM107" i="43"/>
  <c r="EN107" i="43"/>
  <c r="EO107" i="43"/>
  <c r="EP107" i="43"/>
  <c r="EQ107" i="43"/>
  <c r="ER107" i="43"/>
  <c r="ES107" i="43"/>
  <c r="ET107" i="43"/>
  <c r="EU107" i="43"/>
  <c r="EV107" i="43"/>
  <c r="EW107" i="43"/>
  <c r="EX107" i="43"/>
  <c r="EY107" i="43"/>
  <c r="EZ107" i="43"/>
  <c r="FA107" i="43"/>
  <c r="FB107" i="43"/>
  <c r="FC107" i="43"/>
  <c r="FD107" i="43"/>
  <c r="FE107" i="43"/>
  <c r="FF107" i="43"/>
  <c r="FG107" i="43"/>
  <c r="FH107" i="43"/>
  <c r="FI107" i="43"/>
  <c r="FJ107" i="43"/>
  <c r="FK107" i="43"/>
  <c r="FL107" i="43"/>
  <c r="FM107" i="43"/>
  <c r="FN107" i="43"/>
  <c r="FO107" i="43"/>
  <c r="FP107" i="43"/>
  <c r="FQ107" i="43"/>
  <c r="FR107" i="43"/>
  <c r="FS107" i="43"/>
  <c r="FT107" i="43"/>
  <c r="FU107" i="43"/>
  <c r="FV107" i="43"/>
  <c r="FW107" i="43"/>
  <c r="FX107" i="43"/>
  <c r="FY107" i="43"/>
  <c r="FZ107" i="43"/>
  <c r="GA107" i="43"/>
  <c r="GB107" i="43"/>
  <c r="GC107" i="43"/>
  <c r="GD107" i="43"/>
  <c r="GE107" i="43"/>
  <c r="GF107" i="43"/>
  <c r="GG107" i="43"/>
  <c r="GH107" i="43"/>
  <c r="GI107" i="43"/>
  <c r="GJ107" i="43"/>
  <c r="GK107" i="43"/>
  <c r="GL107" i="43"/>
  <c r="GM107" i="43"/>
  <c r="GN107" i="43"/>
  <c r="GO107" i="43"/>
  <c r="GP107" i="43"/>
  <c r="GQ107" i="43"/>
  <c r="GR107" i="43"/>
  <c r="GS107" i="43"/>
  <c r="GT107" i="43"/>
  <c r="GU107" i="43"/>
  <c r="GV107" i="43"/>
  <c r="GW107" i="43"/>
  <c r="GX107" i="43"/>
  <c r="GY107" i="43"/>
  <c r="GZ107" i="43"/>
  <c r="HA107" i="43"/>
  <c r="HB107" i="43"/>
  <c r="HC107" i="43"/>
  <c r="HD107" i="43"/>
  <c r="HE107" i="43"/>
  <c r="HF107" i="43"/>
  <c r="HG107" i="43"/>
  <c r="HH107" i="43"/>
  <c r="HI107" i="43"/>
  <c r="HJ107" i="43"/>
  <c r="HK107" i="43"/>
  <c r="HL107" i="43"/>
  <c r="HM107" i="43"/>
  <c r="HN107" i="43"/>
  <c r="HO107" i="43"/>
  <c r="HP107" i="43"/>
  <c r="HQ107" i="43"/>
  <c r="HR107" i="43"/>
  <c r="HS107" i="43"/>
  <c r="HT107" i="43"/>
  <c r="HU107" i="43"/>
  <c r="HV107" i="43"/>
  <c r="HW107" i="43"/>
  <c r="HX107" i="43"/>
  <c r="HY107" i="43"/>
  <c r="HZ107" i="43"/>
  <c r="IA107" i="43"/>
  <c r="IB107" i="43"/>
  <c r="IC107" i="43"/>
  <c r="ID107" i="43"/>
  <c r="IE107" i="43"/>
  <c r="IF107" i="43"/>
  <c r="IG107" i="43"/>
  <c r="IH107" i="43"/>
  <c r="II107" i="43"/>
  <c r="IJ107" i="43"/>
  <c r="IK107" i="43"/>
  <c r="IL107" i="43"/>
  <c r="IM107" i="43"/>
  <c r="IN107" i="43"/>
  <c r="IO107" i="43"/>
  <c r="IP107" i="43"/>
  <c r="IQ107" i="43"/>
  <c r="IR107" i="43"/>
  <c r="IS107" i="43"/>
  <c r="IT107" i="43"/>
  <c r="IU107" i="43"/>
  <c r="IV107" i="43"/>
  <c r="A106" i="43"/>
  <c r="B106" i="43"/>
  <c r="C106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BD106" i="43"/>
  <c r="BE106" i="43"/>
  <c r="BF106" i="43"/>
  <c r="BG106" i="43"/>
  <c r="BH106" i="43"/>
  <c r="BI106" i="43"/>
  <c r="BJ106" i="43"/>
  <c r="BK106" i="43"/>
  <c r="BL106" i="43"/>
  <c r="BM106" i="43"/>
  <c r="BN106" i="43"/>
  <c r="BO106" i="43"/>
  <c r="BP106" i="43"/>
  <c r="BQ106" i="43"/>
  <c r="BR106" i="43"/>
  <c r="BS106" i="43"/>
  <c r="BT106" i="43"/>
  <c r="BU106" i="43"/>
  <c r="BV106" i="43"/>
  <c r="BW106" i="43"/>
  <c r="BX106" i="43"/>
  <c r="BY106" i="43"/>
  <c r="BZ106" i="43"/>
  <c r="CA106" i="43"/>
  <c r="CB106" i="43"/>
  <c r="CC106" i="43"/>
  <c r="CD106" i="43"/>
  <c r="CE106" i="43"/>
  <c r="CF106" i="43"/>
  <c r="CG106" i="43"/>
  <c r="CH106" i="43"/>
  <c r="CI106" i="43"/>
  <c r="CJ106" i="43"/>
  <c r="CK106" i="43"/>
  <c r="CL106" i="43"/>
  <c r="CM106" i="43"/>
  <c r="CN106" i="43"/>
  <c r="CO106" i="43"/>
  <c r="CP106" i="43"/>
  <c r="CQ106" i="43"/>
  <c r="CR106" i="43"/>
  <c r="CS106" i="43"/>
  <c r="CT106" i="43"/>
  <c r="CU106" i="43"/>
  <c r="CV106" i="43"/>
  <c r="CW106" i="43"/>
  <c r="CX106" i="43"/>
  <c r="CY106" i="43"/>
  <c r="CZ106" i="43"/>
  <c r="DA106" i="43"/>
  <c r="DB106" i="43"/>
  <c r="DC106" i="43"/>
  <c r="DD106" i="43"/>
  <c r="DE106" i="43"/>
  <c r="DF106" i="43"/>
  <c r="DG106" i="43"/>
  <c r="DH106" i="43"/>
  <c r="DI106" i="43"/>
  <c r="DJ106" i="43"/>
  <c r="DK106" i="43"/>
  <c r="DL106" i="43"/>
  <c r="DM106" i="43"/>
  <c r="DN106" i="43"/>
  <c r="DO106" i="43"/>
  <c r="DP106" i="43"/>
  <c r="DQ106" i="43"/>
  <c r="DR106" i="43"/>
  <c r="DS106" i="43"/>
  <c r="DT106" i="43"/>
  <c r="DU106" i="43"/>
  <c r="DV106" i="43"/>
  <c r="DW106" i="43"/>
  <c r="DX106" i="43"/>
  <c r="DY106" i="43"/>
  <c r="DZ106" i="43"/>
  <c r="EA106" i="43"/>
  <c r="EB106" i="43"/>
  <c r="EC106" i="43"/>
  <c r="ED106" i="43"/>
  <c r="EE106" i="43"/>
  <c r="EF106" i="43"/>
  <c r="EG106" i="43"/>
  <c r="EH106" i="43"/>
  <c r="EI106" i="43"/>
  <c r="EJ106" i="43"/>
  <c r="EK106" i="43"/>
  <c r="EL106" i="43"/>
  <c r="EM106" i="43"/>
  <c r="EN106" i="43"/>
  <c r="EO106" i="43"/>
  <c r="EP106" i="43"/>
  <c r="EQ106" i="43"/>
  <c r="ER106" i="43"/>
  <c r="ES106" i="43"/>
  <c r="ET106" i="43"/>
  <c r="EU106" i="43"/>
  <c r="EV106" i="43"/>
  <c r="EW106" i="43"/>
  <c r="EX106" i="43"/>
  <c r="EY106" i="43"/>
  <c r="EZ106" i="43"/>
  <c r="FA106" i="43"/>
  <c r="FB106" i="43"/>
  <c r="FC106" i="43"/>
  <c r="FD106" i="43"/>
  <c r="FE106" i="43"/>
  <c r="FF106" i="43"/>
  <c r="FG106" i="43"/>
  <c r="FH106" i="43"/>
  <c r="FI106" i="43"/>
  <c r="FJ106" i="43"/>
  <c r="FK106" i="43"/>
  <c r="FL106" i="43"/>
  <c r="FM106" i="43"/>
  <c r="FN106" i="43"/>
  <c r="FO106" i="43"/>
  <c r="FP106" i="43"/>
  <c r="FQ106" i="43"/>
  <c r="FR106" i="43"/>
  <c r="FS106" i="43"/>
  <c r="FT106" i="43"/>
  <c r="FU106" i="43"/>
  <c r="FV106" i="43"/>
  <c r="FW106" i="43"/>
  <c r="FX106" i="43"/>
  <c r="FY106" i="43"/>
  <c r="FZ106" i="43"/>
  <c r="GA106" i="43"/>
  <c r="GB106" i="43"/>
  <c r="GC106" i="43"/>
  <c r="GD106" i="43"/>
  <c r="GE106" i="43"/>
  <c r="GF106" i="43"/>
  <c r="GG106" i="43"/>
  <c r="GH106" i="43"/>
  <c r="GI106" i="43"/>
  <c r="GJ106" i="43"/>
  <c r="GK106" i="43"/>
  <c r="GL106" i="43"/>
  <c r="GM106" i="43"/>
  <c r="GN106" i="43"/>
  <c r="GO106" i="43"/>
  <c r="GP106" i="43"/>
  <c r="GQ106" i="43"/>
  <c r="GR106" i="43"/>
  <c r="GS106" i="43"/>
  <c r="GT106" i="43"/>
  <c r="GU106" i="43"/>
  <c r="GV106" i="43"/>
  <c r="GW106" i="43"/>
  <c r="GX106" i="43"/>
  <c r="GY106" i="43"/>
  <c r="GZ106" i="43"/>
  <c r="HA106" i="43"/>
  <c r="HB106" i="43"/>
  <c r="HC106" i="43"/>
  <c r="HD106" i="43"/>
  <c r="HE106" i="43"/>
  <c r="HF106" i="43"/>
  <c r="HG106" i="43"/>
  <c r="HH106" i="43"/>
  <c r="HI106" i="43"/>
  <c r="HJ106" i="43"/>
  <c r="HK106" i="43"/>
  <c r="HL106" i="43"/>
  <c r="HM106" i="43"/>
  <c r="HN106" i="43"/>
  <c r="HO106" i="43"/>
  <c r="HP106" i="43"/>
  <c r="HQ106" i="43"/>
  <c r="HR106" i="43"/>
  <c r="HS106" i="43"/>
  <c r="HT106" i="43"/>
  <c r="HU106" i="43"/>
  <c r="HV106" i="43"/>
  <c r="HW106" i="43"/>
  <c r="HX106" i="43"/>
  <c r="HY106" i="43"/>
  <c r="HZ106" i="43"/>
  <c r="IA106" i="43"/>
  <c r="IB106" i="43"/>
  <c r="IC106" i="43"/>
  <c r="ID106" i="43"/>
  <c r="IE106" i="43"/>
  <c r="IF106" i="43"/>
  <c r="IG106" i="43"/>
  <c r="IH106" i="43"/>
  <c r="II106" i="43"/>
  <c r="IJ106" i="43"/>
  <c r="IK106" i="43"/>
  <c r="IL106" i="43"/>
  <c r="IM106" i="43"/>
  <c r="IN106" i="43"/>
  <c r="IO106" i="43"/>
  <c r="IP106" i="43"/>
  <c r="IQ106" i="43"/>
  <c r="IR106" i="43"/>
  <c r="IS106" i="43"/>
  <c r="IT106" i="43"/>
  <c r="IU106" i="43"/>
  <c r="IV106" i="43"/>
  <c r="A105" i="43"/>
  <c r="B105" i="43"/>
  <c r="C105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BD105" i="43"/>
  <c r="BE105" i="43"/>
  <c r="BF105" i="43"/>
  <c r="BG105" i="43"/>
  <c r="BH105" i="43"/>
  <c r="BI105" i="43"/>
  <c r="BJ105" i="43"/>
  <c r="BK105" i="43"/>
  <c r="BL105" i="43"/>
  <c r="BM105" i="43"/>
  <c r="BN105" i="43"/>
  <c r="BO105" i="43"/>
  <c r="BP105" i="43"/>
  <c r="BQ105" i="43"/>
  <c r="BR105" i="43"/>
  <c r="BS105" i="43"/>
  <c r="BT105" i="43"/>
  <c r="BU105" i="43"/>
  <c r="BV105" i="43"/>
  <c r="BW105" i="43"/>
  <c r="BX105" i="43"/>
  <c r="BY105" i="43"/>
  <c r="BZ105" i="43"/>
  <c r="CA105" i="43"/>
  <c r="CB105" i="43"/>
  <c r="CC105" i="43"/>
  <c r="CD105" i="43"/>
  <c r="CE105" i="43"/>
  <c r="CF105" i="43"/>
  <c r="CG105" i="43"/>
  <c r="CH105" i="43"/>
  <c r="CI105" i="43"/>
  <c r="CJ105" i="43"/>
  <c r="CK105" i="43"/>
  <c r="CL105" i="43"/>
  <c r="CM105" i="43"/>
  <c r="CN105" i="43"/>
  <c r="CO105" i="43"/>
  <c r="CP105" i="43"/>
  <c r="CQ105" i="43"/>
  <c r="CR105" i="43"/>
  <c r="CS105" i="43"/>
  <c r="CT105" i="43"/>
  <c r="CU105" i="43"/>
  <c r="CV105" i="43"/>
  <c r="CW105" i="43"/>
  <c r="CX105" i="43"/>
  <c r="CY105" i="43"/>
  <c r="CZ105" i="43"/>
  <c r="DA105" i="43"/>
  <c r="DB105" i="43"/>
  <c r="DC105" i="43"/>
  <c r="DD105" i="43"/>
  <c r="DE105" i="43"/>
  <c r="DF105" i="43"/>
  <c r="DG105" i="43"/>
  <c r="DH105" i="43"/>
  <c r="DI105" i="43"/>
  <c r="DJ105" i="43"/>
  <c r="DK105" i="43"/>
  <c r="DL105" i="43"/>
  <c r="DM105" i="43"/>
  <c r="DN105" i="43"/>
  <c r="DO105" i="43"/>
  <c r="DP105" i="43"/>
  <c r="DQ105" i="43"/>
  <c r="DR105" i="43"/>
  <c r="DS105" i="43"/>
  <c r="DT105" i="43"/>
  <c r="DU105" i="43"/>
  <c r="DV105" i="43"/>
  <c r="DW105" i="43"/>
  <c r="DX105" i="43"/>
  <c r="DY105" i="43"/>
  <c r="DZ105" i="43"/>
  <c r="EA105" i="43"/>
  <c r="EB105" i="43"/>
  <c r="EC105" i="43"/>
  <c r="ED105" i="43"/>
  <c r="EE105" i="43"/>
  <c r="EF105" i="43"/>
  <c r="EG105" i="43"/>
  <c r="EH105" i="43"/>
  <c r="EI105" i="43"/>
  <c r="EJ105" i="43"/>
  <c r="EK105" i="43"/>
  <c r="EL105" i="43"/>
  <c r="EM105" i="43"/>
  <c r="EN105" i="43"/>
  <c r="EO105" i="43"/>
  <c r="EP105" i="43"/>
  <c r="EQ105" i="43"/>
  <c r="ER105" i="43"/>
  <c r="ES105" i="43"/>
  <c r="ET105" i="43"/>
  <c r="EU105" i="43"/>
  <c r="EV105" i="43"/>
  <c r="EW105" i="43"/>
  <c r="EX105" i="43"/>
  <c r="EY105" i="43"/>
  <c r="EZ105" i="43"/>
  <c r="FA105" i="43"/>
  <c r="FB105" i="43"/>
  <c r="FC105" i="43"/>
  <c r="FD105" i="43"/>
  <c r="FE105" i="43"/>
  <c r="FF105" i="43"/>
  <c r="FG105" i="43"/>
  <c r="FH105" i="43"/>
  <c r="FI105" i="43"/>
  <c r="FJ105" i="43"/>
  <c r="FK105" i="43"/>
  <c r="FL105" i="43"/>
  <c r="FM105" i="43"/>
  <c r="FN105" i="43"/>
  <c r="FO105" i="43"/>
  <c r="FP105" i="43"/>
  <c r="FQ105" i="43"/>
  <c r="FR105" i="43"/>
  <c r="FS105" i="43"/>
  <c r="FT105" i="43"/>
  <c r="FU105" i="43"/>
  <c r="FV105" i="43"/>
  <c r="FW105" i="43"/>
  <c r="FX105" i="43"/>
  <c r="FY105" i="43"/>
  <c r="FZ105" i="43"/>
  <c r="GA105" i="43"/>
  <c r="GB105" i="43"/>
  <c r="GC105" i="43"/>
  <c r="GD105" i="43"/>
  <c r="GE105" i="43"/>
  <c r="GF105" i="43"/>
  <c r="GG105" i="43"/>
  <c r="GH105" i="43"/>
  <c r="GI105" i="43"/>
  <c r="GJ105" i="43"/>
  <c r="GK105" i="43"/>
  <c r="GL105" i="43"/>
  <c r="GM105" i="43"/>
  <c r="GN105" i="43"/>
  <c r="GO105" i="43"/>
  <c r="GP105" i="43"/>
  <c r="GQ105" i="43"/>
  <c r="GR105" i="43"/>
  <c r="GS105" i="43"/>
  <c r="GT105" i="43"/>
  <c r="GU105" i="43"/>
  <c r="GV105" i="43"/>
  <c r="GW105" i="43"/>
  <c r="GX105" i="43"/>
  <c r="GY105" i="43"/>
  <c r="GZ105" i="43"/>
  <c r="HA105" i="43"/>
  <c r="HB105" i="43"/>
  <c r="HC105" i="43"/>
  <c r="HD105" i="43"/>
  <c r="HE105" i="43"/>
  <c r="HF105" i="43"/>
  <c r="HG105" i="43"/>
  <c r="HH105" i="43"/>
  <c r="HI105" i="43"/>
  <c r="HJ105" i="43"/>
  <c r="HK105" i="43"/>
  <c r="HL105" i="43"/>
  <c r="HM105" i="43"/>
  <c r="HN105" i="43"/>
  <c r="HO105" i="43"/>
  <c r="HP105" i="43"/>
  <c r="HQ105" i="43"/>
  <c r="HR105" i="43"/>
  <c r="HS105" i="43"/>
  <c r="HT105" i="43"/>
  <c r="HU105" i="43"/>
  <c r="HV105" i="43"/>
  <c r="HW105" i="43"/>
  <c r="HX105" i="43"/>
  <c r="HY105" i="43"/>
  <c r="HZ105" i="43"/>
  <c r="IA105" i="43"/>
  <c r="IB105" i="43"/>
  <c r="IC105" i="43"/>
  <c r="ID105" i="43"/>
  <c r="IE105" i="43"/>
  <c r="IF105" i="43"/>
  <c r="IG105" i="43"/>
  <c r="IH105" i="43"/>
  <c r="II105" i="43"/>
  <c r="IJ105" i="43"/>
  <c r="IK105" i="43"/>
  <c r="IL105" i="43"/>
  <c r="IM105" i="43"/>
  <c r="IN105" i="43"/>
  <c r="IO105" i="43"/>
  <c r="IP105" i="43"/>
  <c r="IQ105" i="43"/>
  <c r="IR105" i="43"/>
  <c r="IS105" i="43"/>
  <c r="IT105" i="43"/>
  <c r="IU105" i="43"/>
  <c r="IV105" i="43"/>
  <c r="A104" i="43"/>
  <c r="B104" i="43"/>
  <c r="C104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BD104" i="43"/>
  <c r="BE104" i="43"/>
  <c r="BF104" i="43"/>
  <c r="BG104" i="43"/>
  <c r="BH104" i="43"/>
  <c r="BI104" i="43"/>
  <c r="BJ104" i="43"/>
  <c r="BK104" i="43"/>
  <c r="BL104" i="43"/>
  <c r="BM104" i="43"/>
  <c r="BN104" i="43"/>
  <c r="BO104" i="43"/>
  <c r="BP104" i="43"/>
  <c r="BQ104" i="43"/>
  <c r="BR104" i="43"/>
  <c r="BS104" i="43"/>
  <c r="BT104" i="43"/>
  <c r="BU104" i="43"/>
  <c r="BV104" i="43"/>
  <c r="BW104" i="43"/>
  <c r="BX104" i="43"/>
  <c r="BY104" i="43"/>
  <c r="BZ104" i="43"/>
  <c r="CA104" i="43"/>
  <c r="CB104" i="43"/>
  <c r="CC104" i="43"/>
  <c r="CD104" i="43"/>
  <c r="CE104" i="43"/>
  <c r="CF104" i="43"/>
  <c r="CG104" i="43"/>
  <c r="CH104" i="43"/>
  <c r="CI104" i="43"/>
  <c r="CJ104" i="43"/>
  <c r="CK104" i="43"/>
  <c r="CL104" i="43"/>
  <c r="CM104" i="43"/>
  <c r="CN104" i="43"/>
  <c r="CO104" i="43"/>
  <c r="CP104" i="43"/>
  <c r="CQ104" i="43"/>
  <c r="CR104" i="43"/>
  <c r="CS104" i="43"/>
  <c r="CT104" i="43"/>
  <c r="CU104" i="43"/>
  <c r="CV104" i="43"/>
  <c r="CW104" i="43"/>
  <c r="CX104" i="43"/>
  <c r="CY104" i="43"/>
  <c r="CZ104" i="43"/>
  <c r="DA104" i="43"/>
  <c r="DB104" i="43"/>
  <c r="DC104" i="43"/>
  <c r="DD104" i="43"/>
  <c r="DE104" i="43"/>
  <c r="DF104" i="43"/>
  <c r="DG104" i="43"/>
  <c r="DH104" i="43"/>
  <c r="DI104" i="43"/>
  <c r="DJ104" i="43"/>
  <c r="DK104" i="43"/>
  <c r="DL104" i="43"/>
  <c r="DM104" i="43"/>
  <c r="DN104" i="43"/>
  <c r="DO104" i="43"/>
  <c r="DP104" i="43"/>
  <c r="DQ104" i="43"/>
  <c r="DR104" i="43"/>
  <c r="DS104" i="43"/>
  <c r="DT104" i="43"/>
  <c r="DU104" i="43"/>
  <c r="DV104" i="43"/>
  <c r="DW104" i="43"/>
  <c r="DX104" i="43"/>
  <c r="DY104" i="43"/>
  <c r="DZ104" i="43"/>
  <c r="EA104" i="43"/>
  <c r="EB104" i="43"/>
  <c r="EC104" i="43"/>
  <c r="ED104" i="43"/>
  <c r="EE104" i="43"/>
  <c r="EF104" i="43"/>
  <c r="EG104" i="43"/>
  <c r="EH104" i="43"/>
  <c r="EI104" i="43"/>
  <c r="EJ104" i="43"/>
  <c r="EK104" i="43"/>
  <c r="EL104" i="43"/>
  <c r="EM104" i="43"/>
  <c r="EN104" i="43"/>
  <c r="EO104" i="43"/>
  <c r="EP104" i="43"/>
  <c r="EQ104" i="43"/>
  <c r="ER104" i="43"/>
  <c r="ES104" i="43"/>
  <c r="ET104" i="43"/>
  <c r="EU104" i="43"/>
  <c r="EV104" i="43"/>
  <c r="EW104" i="43"/>
  <c r="EX104" i="43"/>
  <c r="EY104" i="43"/>
  <c r="EZ104" i="43"/>
  <c r="FA104" i="43"/>
  <c r="FB104" i="43"/>
  <c r="FC104" i="43"/>
  <c r="FD104" i="43"/>
  <c r="FE104" i="43"/>
  <c r="FF104" i="43"/>
  <c r="FG104" i="43"/>
  <c r="FH104" i="43"/>
  <c r="FI104" i="43"/>
  <c r="FJ104" i="43"/>
  <c r="FK104" i="43"/>
  <c r="FL104" i="43"/>
  <c r="FM104" i="43"/>
  <c r="FN104" i="43"/>
  <c r="FO104" i="43"/>
  <c r="FP104" i="43"/>
  <c r="FQ104" i="43"/>
  <c r="FR104" i="43"/>
  <c r="FS104" i="43"/>
  <c r="FT104" i="43"/>
  <c r="FU104" i="43"/>
  <c r="FV104" i="43"/>
  <c r="FW104" i="43"/>
  <c r="FX104" i="43"/>
  <c r="FY104" i="43"/>
  <c r="FZ104" i="43"/>
  <c r="GA104" i="43"/>
  <c r="GB104" i="43"/>
  <c r="GC104" i="43"/>
  <c r="GD104" i="43"/>
  <c r="GE104" i="43"/>
  <c r="GF104" i="43"/>
  <c r="GG104" i="43"/>
  <c r="GH104" i="43"/>
  <c r="GI104" i="43"/>
  <c r="GJ104" i="43"/>
  <c r="GK104" i="43"/>
  <c r="GL104" i="43"/>
  <c r="GM104" i="43"/>
  <c r="GN104" i="43"/>
  <c r="GO104" i="43"/>
  <c r="GP104" i="43"/>
  <c r="GQ104" i="43"/>
  <c r="GR104" i="43"/>
  <c r="GS104" i="43"/>
  <c r="GT104" i="43"/>
  <c r="GU104" i="43"/>
  <c r="GV104" i="43"/>
  <c r="GW104" i="43"/>
  <c r="GX104" i="43"/>
  <c r="GY104" i="43"/>
  <c r="GZ104" i="43"/>
  <c r="HA104" i="43"/>
  <c r="HB104" i="43"/>
  <c r="HC104" i="43"/>
  <c r="HD104" i="43"/>
  <c r="HE104" i="43"/>
  <c r="HF104" i="43"/>
  <c r="HG104" i="43"/>
  <c r="HH104" i="43"/>
  <c r="HI104" i="43"/>
  <c r="HJ104" i="43"/>
  <c r="HK104" i="43"/>
  <c r="HL104" i="43"/>
  <c r="HM104" i="43"/>
  <c r="HN104" i="43"/>
  <c r="HO104" i="43"/>
  <c r="HP104" i="43"/>
  <c r="HQ104" i="43"/>
  <c r="HR104" i="43"/>
  <c r="HS104" i="43"/>
  <c r="HT104" i="43"/>
  <c r="HU104" i="43"/>
  <c r="HV104" i="43"/>
  <c r="HW104" i="43"/>
  <c r="HX104" i="43"/>
  <c r="HY104" i="43"/>
  <c r="HZ104" i="43"/>
  <c r="IA104" i="43"/>
  <c r="IB104" i="43"/>
  <c r="IC104" i="43"/>
  <c r="ID104" i="43"/>
  <c r="IE104" i="43"/>
  <c r="IF104" i="43"/>
  <c r="IG104" i="43"/>
  <c r="IH104" i="43"/>
  <c r="II104" i="43"/>
  <c r="IJ104" i="43"/>
  <c r="IK104" i="43"/>
  <c r="IL104" i="43"/>
  <c r="IM104" i="43"/>
  <c r="IN104" i="43"/>
  <c r="IO104" i="43"/>
  <c r="IP104" i="43"/>
  <c r="IQ104" i="43"/>
  <c r="IR104" i="43"/>
  <c r="IS104" i="43"/>
  <c r="IT104" i="43"/>
  <c r="IU104" i="43"/>
  <c r="IV104" i="43"/>
  <c r="A103" i="43"/>
  <c r="B103" i="43"/>
  <c r="C103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BD103" i="43"/>
  <c r="BE103" i="43"/>
  <c r="BF103" i="43"/>
  <c r="BG103" i="43"/>
  <c r="BH103" i="43"/>
  <c r="BI103" i="43"/>
  <c r="BJ103" i="43"/>
  <c r="BK103" i="43"/>
  <c r="BL103" i="43"/>
  <c r="BM103" i="43"/>
  <c r="BN103" i="43"/>
  <c r="BO103" i="43"/>
  <c r="BP103" i="43"/>
  <c r="BQ103" i="43"/>
  <c r="BR103" i="43"/>
  <c r="BS103" i="43"/>
  <c r="BT103" i="43"/>
  <c r="BU103" i="43"/>
  <c r="BV103" i="43"/>
  <c r="BW103" i="43"/>
  <c r="BX103" i="43"/>
  <c r="BY103" i="43"/>
  <c r="BZ103" i="43"/>
  <c r="CA103" i="43"/>
  <c r="CB103" i="43"/>
  <c r="CC103" i="43"/>
  <c r="CD103" i="43"/>
  <c r="CE103" i="43"/>
  <c r="CF103" i="43"/>
  <c r="CG103" i="43"/>
  <c r="CH103" i="43"/>
  <c r="CI103" i="43"/>
  <c r="CJ103" i="43"/>
  <c r="CK103" i="43"/>
  <c r="CL103" i="43"/>
  <c r="CM103" i="43"/>
  <c r="CN103" i="43"/>
  <c r="CO103" i="43"/>
  <c r="CP103" i="43"/>
  <c r="CQ103" i="43"/>
  <c r="CR103" i="43"/>
  <c r="CS103" i="43"/>
  <c r="CT103" i="43"/>
  <c r="CU103" i="43"/>
  <c r="CV103" i="43"/>
  <c r="CW103" i="43"/>
  <c r="CX103" i="43"/>
  <c r="CY103" i="43"/>
  <c r="CZ103" i="43"/>
  <c r="DA103" i="43"/>
  <c r="DB103" i="43"/>
  <c r="DC103" i="43"/>
  <c r="DD103" i="43"/>
  <c r="DE103" i="43"/>
  <c r="DF103" i="43"/>
  <c r="DG103" i="43"/>
  <c r="DH103" i="43"/>
  <c r="DI103" i="43"/>
  <c r="DJ103" i="43"/>
  <c r="DK103" i="43"/>
  <c r="DL103" i="43"/>
  <c r="DM103" i="43"/>
  <c r="DN103" i="43"/>
  <c r="DO103" i="43"/>
  <c r="DP103" i="43"/>
  <c r="DQ103" i="43"/>
  <c r="DR103" i="43"/>
  <c r="DS103" i="43"/>
  <c r="DT103" i="43"/>
  <c r="DU103" i="43"/>
  <c r="DV103" i="43"/>
  <c r="DW103" i="43"/>
  <c r="DX103" i="43"/>
  <c r="DY103" i="43"/>
  <c r="DZ103" i="43"/>
  <c r="EA103" i="43"/>
  <c r="EB103" i="43"/>
  <c r="EC103" i="43"/>
  <c r="ED103" i="43"/>
  <c r="EE103" i="43"/>
  <c r="EF103" i="43"/>
  <c r="EG103" i="43"/>
  <c r="EH103" i="43"/>
  <c r="EI103" i="43"/>
  <c r="EJ103" i="43"/>
  <c r="EK103" i="43"/>
  <c r="EL103" i="43"/>
  <c r="EM103" i="43"/>
  <c r="EN103" i="43"/>
  <c r="EO103" i="43"/>
  <c r="EP103" i="43"/>
  <c r="EQ103" i="43"/>
  <c r="ER103" i="43"/>
  <c r="ES103" i="43"/>
  <c r="ET103" i="43"/>
  <c r="EU103" i="43"/>
  <c r="EV103" i="43"/>
  <c r="EW103" i="43"/>
  <c r="EX103" i="43"/>
  <c r="EY103" i="43"/>
  <c r="EZ103" i="43"/>
  <c r="FA103" i="43"/>
  <c r="FB103" i="43"/>
  <c r="FC103" i="43"/>
  <c r="FD103" i="43"/>
  <c r="FE103" i="43"/>
  <c r="FF103" i="43"/>
  <c r="FG103" i="43"/>
  <c r="FH103" i="43"/>
  <c r="FI103" i="43"/>
  <c r="FJ103" i="43"/>
  <c r="FK103" i="43"/>
  <c r="FL103" i="43"/>
  <c r="FM103" i="43"/>
  <c r="FN103" i="43"/>
  <c r="FO103" i="43"/>
  <c r="FP103" i="43"/>
  <c r="FQ103" i="43"/>
  <c r="FR103" i="43"/>
  <c r="FS103" i="43"/>
  <c r="FT103" i="43"/>
  <c r="FU103" i="43"/>
  <c r="FV103" i="43"/>
  <c r="FW103" i="43"/>
  <c r="FX103" i="43"/>
  <c r="FY103" i="43"/>
  <c r="FZ103" i="43"/>
  <c r="GA103" i="43"/>
  <c r="GB103" i="43"/>
  <c r="GC103" i="43"/>
  <c r="GD103" i="43"/>
  <c r="GE103" i="43"/>
  <c r="GF103" i="43"/>
  <c r="GG103" i="43"/>
  <c r="GH103" i="43"/>
  <c r="GI103" i="43"/>
  <c r="GJ103" i="43"/>
  <c r="GK103" i="43"/>
  <c r="GL103" i="43"/>
  <c r="GM103" i="43"/>
  <c r="GN103" i="43"/>
  <c r="GO103" i="43"/>
  <c r="GP103" i="43"/>
  <c r="GQ103" i="43"/>
  <c r="GR103" i="43"/>
  <c r="GS103" i="43"/>
  <c r="GT103" i="43"/>
  <c r="GU103" i="43"/>
  <c r="GV103" i="43"/>
  <c r="GW103" i="43"/>
  <c r="GX103" i="43"/>
  <c r="GY103" i="43"/>
  <c r="GZ103" i="43"/>
  <c r="HA103" i="43"/>
  <c r="HB103" i="43"/>
  <c r="HC103" i="43"/>
  <c r="HD103" i="43"/>
  <c r="HE103" i="43"/>
  <c r="HF103" i="43"/>
  <c r="HG103" i="43"/>
  <c r="HH103" i="43"/>
  <c r="HI103" i="43"/>
  <c r="HJ103" i="43"/>
  <c r="HK103" i="43"/>
  <c r="HL103" i="43"/>
  <c r="HM103" i="43"/>
  <c r="HN103" i="43"/>
  <c r="HO103" i="43"/>
  <c r="HP103" i="43"/>
  <c r="HQ103" i="43"/>
  <c r="HR103" i="43"/>
  <c r="HS103" i="43"/>
  <c r="HT103" i="43"/>
  <c r="HU103" i="43"/>
  <c r="HV103" i="43"/>
  <c r="HW103" i="43"/>
  <c r="HX103" i="43"/>
  <c r="HY103" i="43"/>
  <c r="HZ103" i="43"/>
  <c r="IA103" i="43"/>
  <c r="IB103" i="43"/>
  <c r="IC103" i="43"/>
  <c r="ID103" i="43"/>
  <c r="IE103" i="43"/>
  <c r="IF103" i="43"/>
  <c r="IG103" i="43"/>
  <c r="IH103" i="43"/>
  <c r="II103" i="43"/>
  <c r="IJ103" i="43"/>
  <c r="IK103" i="43"/>
  <c r="IL103" i="43"/>
  <c r="IM103" i="43"/>
  <c r="IN103" i="43"/>
  <c r="IO103" i="43"/>
  <c r="IP103" i="43"/>
  <c r="IQ103" i="43"/>
  <c r="IR103" i="43"/>
  <c r="IS103" i="43"/>
  <c r="IT103" i="43"/>
  <c r="IU103" i="43"/>
  <c r="IV103" i="43"/>
  <c r="A102" i="43"/>
  <c r="B102" i="43"/>
  <c r="C102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BD102" i="43"/>
  <c r="BE102" i="43"/>
  <c r="BF102" i="43"/>
  <c r="BG102" i="43"/>
  <c r="BH102" i="43"/>
  <c r="BI102" i="43"/>
  <c r="BJ102" i="43"/>
  <c r="BK102" i="43"/>
  <c r="BL102" i="43"/>
  <c r="BM102" i="43"/>
  <c r="BN102" i="43"/>
  <c r="BO102" i="43"/>
  <c r="BP102" i="43"/>
  <c r="BQ102" i="43"/>
  <c r="BR102" i="43"/>
  <c r="BS102" i="43"/>
  <c r="BT102" i="43"/>
  <c r="BU102" i="43"/>
  <c r="BV102" i="43"/>
  <c r="BW102" i="43"/>
  <c r="BX102" i="43"/>
  <c r="BY102" i="43"/>
  <c r="BZ102" i="43"/>
  <c r="CA102" i="43"/>
  <c r="CB102" i="43"/>
  <c r="CC102" i="43"/>
  <c r="CD102" i="43"/>
  <c r="CE102" i="43"/>
  <c r="CF102" i="43"/>
  <c r="CG102" i="43"/>
  <c r="CH102" i="43"/>
  <c r="CI102" i="43"/>
  <c r="CJ102" i="43"/>
  <c r="CK102" i="43"/>
  <c r="CL102" i="43"/>
  <c r="CM102" i="43"/>
  <c r="CN102" i="43"/>
  <c r="CO102" i="43"/>
  <c r="CP102" i="43"/>
  <c r="CQ102" i="43"/>
  <c r="CR102" i="43"/>
  <c r="CS102" i="43"/>
  <c r="CT102" i="43"/>
  <c r="CU102" i="43"/>
  <c r="CV102" i="43"/>
  <c r="CW102" i="43"/>
  <c r="CX102" i="43"/>
  <c r="CY102" i="43"/>
  <c r="CZ102" i="43"/>
  <c r="DA102" i="43"/>
  <c r="DB102" i="43"/>
  <c r="DC102" i="43"/>
  <c r="DD102" i="43"/>
  <c r="DE102" i="43"/>
  <c r="DF102" i="43"/>
  <c r="DG102" i="43"/>
  <c r="DH102" i="43"/>
  <c r="DI102" i="43"/>
  <c r="DJ102" i="43"/>
  <c r="DK102" i="43"/>
  <c r="DL102" i="43"/>
  <c r="DM102" i="43"/>
  <c r="DN102" i="43"/>
  <c r="DO102" i="43"/>
  <c r="DP102" i="43"/>
  <c r="DQ102" i="43"/>
  <c r="DR102" i="43"/>
  <c r="DS102" i="43"/>
  <c r="DT102" i="43"/>
  <c r="DU102" i="43"/>
  <c r="DV102" i="43"/>
  <c r="DW102" i="43"/>
  <c r="DX102" i="43"/>
  <c r="DY102" i="43"/>
  <c r="DZ102" i="43"/>
  <c r="EA102" i="43"/>
  <c r="EB102" i="43"/>
  <c r="EC102" i="43"/>
  <c r="ED102" i="43"/>
  <c r="EE102" i="43"/>
  <c r="EF102" i="43"/>
  <c r="EG102" i="43"/>
  <c r="EH102" i="43"/>
  <c r="EI102" i="43"/>
  <c r="EJ102" i="43"/>
  <c r="EK102" i="43"/>
  <c r="EL102" i="43"/>
  <c r="EM102" i="43"/>
  <c r="EN102" i="43"/>
  <c r="EO102" i="43"/>
  <c r="EP102" i="43"/>
  <c r="EQ102" i="43"/>
  <c r="ER102" i="43"/>
  <c r="ES102" i="43"/>
  <c r="ET102" i="43"/>
  <c r="EU102" i="43"/>
  <c r="EV102" i="43"/>
  <c r="EW102" i="43"/>
  <c r="EX102" i="43"/>
  <c r="EY102" i="43"/>
  <c r="EZ102" i="43"/>
  <c r="FA102" i="43"/>
  <c r="FB102" i="43"/>
  <c r="FC102" i="43"/>
  <c r="FD102" i="43"/>
  <c r="FE102" i="43"/>
  <c r="FF102" i="43"/>
  <c r="FG102" i="43"/>
  <c r="FH102" i="43"/>
  <c r="FI102" i="43"/>
  <c r="FJ102" i="43"/>
  <c r="FK102" i="43"/>
  <c r="FL102" i="43"/>
  <c r="FM102" i="43"/>
  <c r="FN102" i="43"/>
  <c r="FO102" i="43"/>
  <c r="FP102" i="43"/>
  <c r="FQ102" i="43"/>
  <c r="FR102" i="43"/>
  <c r="FS102" i="43"/>
  <c r="FT102" i="43"/>
  <c r="FU102" i="43"/>
  <c r="FV102" i="43"/>
  <c r="FW102" i="43"/>
  <c r="FX102" i="43"/>
  <c r="FY102" i="43"/>
  <c r="FZ102" i="43"/>
  <c r="GA102" i="43"/>
  <c r="GB102" i="43"/>
  <c r="GC102" i="43"/>
  <c r="GD102" i="43"/>
  <c r="GE102" i="43"/>
  <c r="GF102" i="43"/>
  <c r="GG102" i="43"/>
  <c r="GH102" i="43"/>
  <c r="GI102" i="43"/>
  <c r="GJ102" i="43"/>
  <c r="GK102" i="43"/>
  <c r="GL102" i="43"/>
  <c r="GM102" i="43"/>
  <c r="GN102" i="43"/>
  <c r="GO102" i="43"/>
  <c r="GP102" i="43"/>
  <c r="GQ102" i="43"/>
  <c r="GR102" i="43"/>
  <c r="GS102" i="43"/>
  <c r="GT102" i="43"/>
  <c r="GU102" i="43"/>
  <c r="GV102" i="43"/>
  <c r="GW102" i="43"/>
  <c r="GX102" i="43"/>
  <c r="GY102" i="43"/>
  <c r="GZ102" i="43"/>
  <c r="HA102" i="43"/>
  <c r="HB102" i="43"/>
  <c r="HC102" i="43"/>
  <c r="HD102" i="43"/>
  <c r="HE102" i="43"/>
  <c r="HF102" i="43"/>
  <c r="HG102" i="43"/>
  <c r="HH102" i="43"/>
  <c r="HI102" i="43"/>
  <c r="HJ102" i="43"/>
  <c r="HK102" i="43"/>
  <c r="HL102" i="43"/>
  <c r="HM102" i="43"/>
  <c r="HN102" i="43"/>
  <c r="HO102" i="43"/>
  <c r="HP102" i="43"/>
  <c r="HQ102" i="43"/>
  <c r="HR102" i="43"/>
  <c r="HS102" i="43"/>
  <c r="HT102" i="43"/>
  <c r="HU102" i="43"/>
  <c r="HV102" i="43"/>
  <c r="HW102" i="43"/>
  <c r="HX102" i="43"/>
  <c r="HY102" i="43"/>
  <c r="HZ102" i="43"/>
  <c r="IA102" i="43"/>
  <c r="IB102" i="43"/>
  <c r="IC102" i="43"/>
  <c r="ID102" i="43"/>
  <c r="IE102" i="43"/>
  <c r="IF102" i="43"/>
  <c r="IG102" i="43"/>
  <c r="IH102" i="43"/>
  <c r="II102" i="43"/>
  <c r="IJ102" i="43"/>
  <c r="IK102" i="43"/>
  <c r="IL102" i="43"/>
  <c r="IM102" i="43"/>
  <c r="IN102" i="43"/>
  <c r="IO102" i="43"/>
  <c r="IP102" i="43"/>
  <c r="IQ102" i="43"/>
  <c r="IR102" i="43"/>
  <c r="IS102" i="43"/>
  <c r="IT102" i="43"/>
  <c r="IU102" i="43"/>
  <c r="IV102" i="43"/>
  <c r="A101" i="43"/>
  <c r="B101" i="43"/>
  <c r="C101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BD101" i="43"/>
  <c r="BE101" i="43"/>
  <c r="BF101" i="43"/>
  <c r="BG101" i="43"/>
  <c r="BH101" i="43"/>
  <c r="BI101" i="43"/>
  <c r="BJ101" i="43"/>
  <c r="BK101" i="43"/>
  <c r="BL101" i="43"/>
  <c r="BM101" i="43"/>
  <c r="BN101" i="43"/>
  <c r="BO101" i="43"/>
  <c r="BP101" i="43"/>
  <c r="BQ101" i="43"/>
  <c r="BR101" i="43"/>
  <c r="BS101" i="43"/>
  <c r="BT101" i="43"/>
  <c r="BU101" i="43"/>
  <c r="BV101" i="43"/>
  <c r="BW101" i="43"/>
  <c r="BX101" i="43"/>
  <c r="BY101" i="43"/>
  <c r="BZ101" i="43"/>
  <c r="CA101" i="43"/>
  <c r="CB101" i="43"/>
  <c r="CC101" i="43"/>
  <c r="CD101" i="43"/>
  <c r="CE101" i="43"/>
  <c r="CF101" i="43"/>
  <c r="CG101" i="43"/>
  <c r="CH101" i="43"/>
  <c r="CI101" i="43"/>
  <c r="CJ101" i="43"/>
  <c r="CK101" i="43"/>
  <c r="CL101" i="43"/>
  <c r="CM101" i="43"/>
  <c r="CN101" i="43"/>
  <c r="CO101" i="43"/>
  <c r="CP101" i="43"/>
  <c r="CQ101" i="43"/>
  <c r="CR101" i="43"/>
  <c r="CS101" i="43"/>
  <c r="CT101" i="43"/>
  <c r="CU101" i="43"/>
  <c r="CV101" i="43"/>
  <c r="CW101" i="43"/>
  <c r="CX101" i="43"/>
  <c r="CY101" i="43"/>
  <c r="CZ101" i="43"/>
  <c r="DA101" i="43"/>
  <c r="DB101" i="43"/>
  <c r="DC101" i="43"/>
  <c r="DD101" i="43"/>
  <c r="DE101" i="43"/>
  <c r="DF101" i="43"/>
  <c r="DG101" i="43"/>
  <c r="DH101" i="43"/>
  <c r="DI101" i="43"/>
  <c r="DJ101" i="43"/>
  <c r="DK101" i="43"/>
  <c r="DL101" i="43"/>
  <c r="DM101" i="43"/>
  <c r="DN101" i="43"/>
  <c r="DO101" i="43"/>
  <c r="DP101" i="43"/>
  <c r="DQ101" i="43"/>
  <c r="DR101" i="43"/>
  <c r="DS101" i="43"/>
  <c r="DT101" i="43"/>
  <c r="DU101" i="43"/>
  <c r="DV101" i="43"/>
  <c r="DW101" i="43"/>
  <c r="DX101" i="43"/>
  <c r="DY101" i="43"/>
  <c r="DZ101" i="43"/>
  <c r="EA101" i="43"/>
  <c r="EB101" i="43"/>
  <c r="EC101" i="43"/>
  <c r="ED101" i="43"/>
  <c r="EE101" i="43"/>
  <c r="EF101" i="43"/>
  <c r="EG101" i="43"/>
  <c r="EH101" i="43"/>
  <c r="EI101" i="43"/>
  <c r="EJ101" i="43"/>
  <c r="EK101" i="43"/>
  <c r="EL101" i="43"/>
  <c r="EM101" i="43"/>
  <c r="EN101" i="43"/>
  <c r="EO101" i="43"/>
  <c r="EP101" i="43"/>
  <c r="EQ101" i="43"/>
  <c r="ER101" i="43"/>
  <c r="ES101" i="43"/>
  <c r="ET101" i="43"/>
  <c r="EU101" i="43"/>
  <c r="EV101" i="43"/>
  <c r="EW101" i="43"/>
  <c r="EX101" i="43"/>
  <c r="EY101" i="43"/>
  <c r="EZ101" i="43"/>
  <c r="FA101" i="43"/>
  <c r="FB101" i="43"/>
  <c r="FC101" i="43"/>
  <c r="FD101" i="43"/>
  <c r="FE101" i="43"/>
  <c r="FF101" i="43"/>
  <c r="FG101" i="43"/>
  <c r="FH101" i="43"/>
  <c r="FI101" i="43"/>
  <c r="FJ101" i="43"/>
  <c r="FK101" i="43"/>
  <c r="FL101" i="43"/>
  <c r="FM101" i="43"/>
  <c r="FN101" i="43"/>
  <c r="FO101" i="43"/>
  <c r="FP101" i="43"/>
  <c r="FQ101" i="43"/>
  <c r="FR101" i="43"/>
  <c r="FS101" i="43"/>
  <c r="FT101" i="43"/>
  <c r="FU101" i="43"/>
  <c r="FV101" i="43"/>
  <c r="FW101" i="43"/>
  <c r="FX101" i="43"/>
  <c r="FY101" i="43"/>
  <c r="FZ101" i="43"/>
  <c r="GA101" i="43"/>
  <c r="GB101" i="43"/>
  <c r="GC101" i="43"/>
  <c r="GD101" i="43"/>
  <c r="GE101" i="43"/>
  <c r="GF101" i="43"/>
  <c r="GG101" i="43"/>
  <c r="GH101" i="43"/>
  <c r="GI101" i="43"/>
  <c r="GJ101" i="43"/>
  <c r="GK101" i="43"/>
  <c r="GL101" i="43"/>
  <c r="GM101" i="43"/>
  <c r="GN101" i="43"/>
  <c r="GO101" i="43"/>
  <c r="GP101" i="43"/>
  <c r="GQ101" i="43"/>
  <c r="GR101" i="43"/>
  <c r="GS101" i="43"/>
  <c r="GT101" i="43"/>
  <c r="GU101" i="43"/>
  <c r="GV101" i="43"/>
  <c r="GW101" i="43"/>
  <c r="GX101" i="43"/>
  <c r="GY101" i="43"/>
  <c r="GZ101" i="43"/>
  <c r="HA101" i="43"/>
  <c r="HB101" i="43"/>
  <c r="HC101" i="43"/>
  <c r="HD101" i="43"/>
  <c r="HE101" i="43"/>
  <c r="HF101" i="43"/>
  <c r="HG101" i="43"/>
  <c r="HH101" i="43"/>
  <c r="HI101" i="43"/>
  <c r="HJ101" i="43"/>
  <c r="HK101" i="43"/>
  <c r="HL101" i="43"/>
  <c r="HM101" i="43"/>
  <c r="HN101" i="43"/>
  <c r="HO101" i="43"/>
  <c r="HP101" i="43"/>
  <c r="HQ101" i="43"/>
  <c r="HR101" i="43"/>
  <c r="HS101" i="43"/>
  <c r="HT101" i="43"/>
  <c r="HU101" i="43"/>
  <c r="HV101" i="43"/>
  <c r="HW101" i="43"/>
  <c r="HX101" i="43"/>
  <c r="HY101" i="43"/>
  <c r="HZ101" i="43"/>
  <c r="IA101" i="43"/>
  <c r="IB101" i="43"/>
  <c r="IC101" i="43"/>
  <c r="ID101" i="43"/>
  <c r="IE101" i="43"/>
  <c r="IF101" i="43"/>
  <c r="IG101" i="43"/>
  <c r="IH101" i="43"/>
  <c r="II101" i="43"/>
  <c r="IJ101" i="43"/>
  <c r="IK101" i="43"/>
  <c r="IL101" i="43"/>
  <c r="IM101" i="43"/>
  <c r="IN101" i="43"/>
  <c r="IO101" i="43"/>
  <c r="IP101" i="43"/>
  <c r="IQ101" i="43"/>
  <c r="IR101" i="43"/>
  <c r="IS101" i="43"/>
  <c r="IT101" i="43"/>
  <c r="IU101" i="43"/>
  <c r="IV101" i="43"/>
  <c r="A100" i="43"/>
  <c r="B100" i="43"/>
  <c r="C100" i="43"/>
  <c r="D100" i="43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Y100" i="43"/>
  <c r="Z100" i="43"/>
  <c r="AA100" i="43"/>
  <c r="AB100" i="43"/>
  <c r="AC100" i="43"/>
  <c r="AD100" i="43"/>
  <c r="AE100" i="43"/>
  <c r="AF100" i="43"/>
  <c r="AG100" i="43"/>
  <c r="AH100" i="43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AW100" i="43"/>
  <c r="AX100" i="43"/>
  <c r="AY100" i="43"/>
  <c r="AZ100" i="43"/>
  <c r="BA100" i="43"/>
  <c r="BB100" i="43"/>
  <c r="BC100" i="43"/>
  <c r="BD100" i="43"/>
  <c r="BE100" i="43"/>
  <c r="BF100" i="43"/>
  <c r="BG100" i="43"/>
  <c r="BH100" i="43"/>
  <c r="BI100" i="43"/>
  <c r="BJ100" i="43"/>
  <c r="BK100" i="43"/>
  <c r="BL100" i="43"/>
  <c r="BM100" i="43"/>
  <c r="BN100" i="43"/>
  <c r="BO100" i="43"/>
  <c r="BP100" i="43"/>
  <c r="BQ100" i="43"/>
  <c r="BR100" i="43"/>
  <c r="BS100" i="43"/>
  <c r="BT100" i="43"/>
  <c r="BU100" i="43"/>
  <c r="BV100" i="43"/>
  <c r="BW100" i="43"/>
  <c r="BX100" i="43"/>
  <c r="BY100" i="43"/>
  <c r="BZ100" i="43"/>
  <c r="CA100" i="43"/>
  <c r="CB100" i="43"/>
  <c r="CC100" i="43"/>
  <c r="CD100" i="43"/>
  <c r="CE100" i="43"/>
  <c r="CF100" i="43"/>
  <c r="CG100" i="43"/>
  <c r="CH100" i="43"/>
  <c r="CI100" i="43"/>
  <c r="CJ100" i="43"/>
  <c r="CK100" i="43"/>
  <c r="CL100" i="43"/>
  <c r="CM100" i="43"/>
  <c r="CN100" i="43"/>
  <c r="CO100" i="43"/>
  <c r="CP100" i="43"/>
  <c r="CQ100" i="43"/>
  <c r="CR100" i="43"/>
  <c r="CS100" i="43"/>
  <c r="CT100" i="43"/>
  <c r="CU100" i="43"/>
  <c r="CV100" i="43"/>
  <c r="CW100" i="43"/>
  <c r="CX100" i="43"/>
  <c r="CY100" i="43"/>
  <c r="CZ100" i="43"/>
  <c r="DA100" i="43"/>
  <c r="DB100" i="43"/>
  <c r="DC100" i="43"/>
  <c r="DD100" i="43"/>
  <c r="DE100" i="43"/>
  <c r="DF100" i="43"/>
  <c r="DG100" i="43"/>
  <c r="DH100" i="43"/>
  <c r="DI100" i="43"/>
  <c r="DJ100" i="43"/>
  <c r="DK100" i="43"/>
  <c r="DL100" i="43"/>
  <c r="DM100" i="43"/>
  <c r="DN100" i="43"/>
  <c r="DO100" i="43"/>
  <c r="DP100" i="43"/>
  <c r="DQ100" i="43"/>
  <c r="DR100" i="43"/>
  <c r="DS100" i="43"/>
  <c r="DT100" i="43"/>
  <c r="DU100" i="43"/>
  <c r="DV100" i="43"/>
  <c r="DW100" i="43"/>
  <c r="DX100" i="43"/>
  <c r="DY100" i="43"/>
  <c r="DZ100" i="43"/>
  <c r="EA100" i="43"/>
  <c r="EB100" i="43"/>
  <c r="EC100" i="43"/>
  <c r="ED100" i="43"/>
  <c r="EE100" i="43"/>
  <c r="EF100" i="43"/>
  <c r="EG100" i="43"/>
  <c r="EH100" i="43"/>
  <c r="EI100" i="43"/>
  <c r="EJ100" i="43"/>
  <c r="EK100" i="43"/>
  <c r="EL100" i="43"/>
  <c r="EM100" i="43"/>
  <c r="EN100" i="43"/>
  <c r="EO100" i="43"/>
  <c r="EP100" i="43"/>
  <c r="EQ100" i="43"/>
  <c r="ER100" i="43"/>
  <c r="ES100" i="43"/>
  <c r="ET100" i="43"/>
  <c r="EU100" i="43"/>
  <c r="EV100" i="43"/>
  <c r="EW100" i="43"/>
  <c r="EX100" i="43"/>
  <c r="EY100" i="43"/>
  <c r="EZ100" i="43"/>
  <c r="FA100" i="43"/>
  <c r="FB100" i="43"/>
  <c r="FC100" i="43"/>
  <c r="FD100" i="43"/>
  <c r="FE100" i="43"/>
  <c r="FF100" i="43"/>
  <c r="FG100" i="43"/>
  <c r="FH100" i="43"/>
  <c r="FI100" i="43"/>
  <c r="FJ100" i="43"/>
  <c r="FK100" i="43"/>
  <c r="FL100" i="43"/>
  <c r="FM100" i="43"/>
  <c r="FN100" i="43"/>
  <c r="FO100" i="43"/>
  <c r="FP100" i="43"/>
  <c r="FQ100" i="43"/>
  <c r="FR100" i="43"/>
  <c r="FS100" i="43"/>
  <c r="FT100" i="43"/>
  <c r="FU100" i="43"/>
  <c r="FV100" i="43"/>
  <c r="FW100" i="43"/>
  <c r="FX100" i="43"/>
  <c r="FY100" i="43"/>
  <c r="FZ100" i="43"/>
  <c r="GA100" i="43"/>
  <c r="GB100" i="43"/>
  <c r="GC100" i="43"/>
  <c r="GD100" i="43"/>
  <c r="GE100" i="43"/>
  <c r="GF100" i="43"/>
  <c r="GG100" i="43"/>
  <c r="GH100" i="43"/>
  <c r="GI100" i="43"/>
  <c r="GJ100" i="43"/>
  <c r="GK100" i="43"/>
  <c r="GL100" i="43"/>
  <c r="GM100" i="43"/>
  <c r="GN100" i="43"/>
  <c r="GO100" i="43"/>
  <c r="GP100" i="43"/>
  <c r="GQ100" i="43"/>
  <c r="GR100" i="43"/>
  <c r="GS100" i="43"/>
  <c r="GT100" i="43"/>
  <c r="GU100" i="43"/>
  <c r="GV100" i="43"/>
  <c r="GW100" i="43"/>
  <c r="GX100" i="43"/>
  <c r="GY100" i="43"/>
  <c r="GZ100" i="43"/>
  <c r="HA100" i="43"/>
  <c r="HB100" i="43"/>
  <c r="HC100" i="43"/>
  <c r="HD100" i="43"/>
  <c r="HE100" i="43"/>
  <c r="HF100" i="43"/>
  <c r="HG100" i="43"/>
  <c r="HH100" i="43"/>
  <c r="HI100" i="43"/>
  <c r="HJ100" i="43"/>
  <c r="HK100" i="43"/>
  <c r="HL100" i="43"/>
  <c r="HM100" i="43"/>
  <c r="HN100" i="43"/>
  <c r="HO100" i="43"/>
  <c r="HP100" i="43"/>
  <c r="HQ100" i="43"/>
  <c r="HR100" i="43"/>
  <c r="HS100" i="43"/>
  <c r="HT100" i="43"/>
  <c r="HU100" i="43"/>
  <c r="HV100" i="43"/>
  <c r="HW100" i="43"/>
  <c r="HX100" i="43"/>
  <c r="HY100" i="43"/>
  <c r="HZ100" i="43"/>
  <c r="IA100" i="43"/>
  <c r="IB100" i="43"/>
  <c r="IC100" i="43"/>
  <c r="ID100" i="43"/>
  <c r="IE100" i="43"/>
  <c r="IF100" i="43"/>
  <c r="IG100" i="43"/>
  <c r="IH100" i="43"/>
  <c r="II100" i="43"/>
  <c r="IJ100" i="43"/>
  <c r="IK100" i="43"/>
  <c r="IL100" i="43"/>
  <c r="IM100" i="43"/>
  <c r="IN100" i="43"/>
  <c r="IO100" i="43"/>
  <c r="IP100" i="43"/>
  <c r="IQ100" i="43"/>
  <c r="IR100" i="43"/>
  <c r="IS100" i="43"/>
  <c r="IT100" i="43"/>
  <c r="IU100" i="43"/>
  <c r="IV100" i="43"/>
  <c r="A99" i="43"/>
  <c r="B99" i="43"/>
  <c r="C99" i="43"/>
  <c r="D99" i="43"/>
  <c r="E99" i="43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Y99" i="43"/>
  <c r="Z99" i="43"/>
  <c r="AA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AW99" i="43"/>
  <c r="AX99" i="43"/>
  <c r="AY99" i="43"/>
  <c r="AZ99" i="43"/>
  <c r="BA99" i="43"/>
  <c r="BB99" i="43"/>
  <c r="BC99" i="43"/>
  <c r="BD99" i="43"/>
  <c r="BE99" i="43"/>
  <c r="BF99" i="43"/>
  <c r="BG99" i="43"/>
  <c r="BH99" i="43"/>
  <c r="BI99" i="43"/>
  <c r="BJ99" i="43"/>
  <c r="BK99" i="43"/>
  <c r="BL99" i="43"/>
  <c r="BM99" i="43"/>
  <c r="BN99" i="43"/>
  <c r="BO99" i="43"/>
  <c r="BP99" i="43"/>
  <c r="BQ99" i="43"/>
  <c r="BR99" i="43"/>
  <c r="BS99" i="43"/>
  <c r="BT99" i="43"/>
  <c r="BU99" i="43"/>
  <c r="BV99" i="43"/>
  <c r="BW99" i="43"/>
  <c r="BX99" i="43"/>
  <c r="BY99" i="43"/>
  <c r="BZ99" i="43"/>
  <c r="CA99" i="43"/>
  <c r="CB99" i="43"/>
  <c r="CC99" i="43"/>
  <c r="CD99" i="43"/>
  <c r="CE99" i="43"/>
  <c r="CF99" i="43"/>
  <c r="CG99" i="43"/>
  <c r="CH99" i="43"/>
  <c r="CI99" i="43"/>
  <c r="CJ99" i="43"/>
  <c r="CK99" i="43"/>
  <c r="CL99" i="43"/>
  <c r="CM99" i="43"/>
  <c r="CN99" i="43"/>
  <c r="CO99" i="43"/>
  <c r="CP99" i="43"/>
  <c r="CQ99" i="43"/>
  <c r="CR99" i="43"/>
  <c r="CS99" i="43"/>
  <c r="CT99" i="43"/>
  <c r="CU99" i="43"/>
  <c r="CV99" i="43"/>
  <c r="CW99" i="43"/>
  <c r="CX99" i="43"/>
  <c r="CY99" i="43"/>
  <c r="CZ99" i="43"/>
  <c r="DA99" i="43"/>
  <c r="DB99" i="43"/>
  <c r="DC99" i="43"/>
  <c r="DD99" i="43"/>
  <c r="DE99" i="43"/>
  <c r="DF99" i="43"/>
  <c r="DG99" i="43"/>
  <c r="DH99" i="43"/>
  <c r="DI99" i="43"/>
  <c r="DJ99" i="43"/>
  <c r="DK99" i="43"/>
  <c r="DL99" i="43"/>
  <c r="DM99" i="43"/>
  <c r="DN99" i="43"/>
  <c r="DO99" i="43"/>
  <c r="DP99" i="43"/>
  <c r="DQ99" i="43"/>
  <c r="DR99" i="43"/>
  <c r="DS99" i="43"/>
  <c r="DT99" i="43"/>
  <c r="DU99" i="43"/>
  <c r="DV99" i="43"/>
  <c r="DW99" i="43"/>
  <c r="DX99" i="43"/>
  <c r="DY99" i="43"/>
  <c r="DZ99" i="43"/>
  <c r="EA99" i="43"/>
  <c r="EB99" i="43"/>
  <c r="EC99" i="43"/>
  <c r="ED99" i="43"/>
  <c r="EE99" i="43"/>
  <c r="EF99" i="43"/>
  <c r="EG99" i="43"/>
  <c r="EH99" i="43"/>
  <c r="EI99" i="43"/>
  <c r="EJ99" i="43"/>
  <c r="EK99" i="43"/>
  <c r="EL99" i="43"/>
  <c r="EM99" i="43"/>
  <c r="EN99" i="43"/>
  <c r="EO99" i="43"/>
  <c r="EP99" i="43"/>
  <c r="EQ99" i="43"/>
  <c r="ER99" i="43"/>
  <c r="ES99" i="43"/>
  <c r="ET99" i="43"/>
  <c r="EU99" i="43"/>
  <c r="EV99" i="43"/>
  <c r="EW99" i="43"/>
  <c r="EX99" i="43"/>
  <c r="EY99" i="43"/>
  <c r="EZ99" i="43"/>
  <c r="FA99" i="43"/>
  <c r="FB99" i="43"/>
  <c r="FC99" i="43"/>
  <c r="FD99" i="43"/>
  <c r="FE99" i="43"/>
  <c r="FF99" i="43"/>
  <c r="FG99" i="43"/>
  <c r="FH99" i="43"/>
  <c r="FI99" i="43"/>
  <c r="FJ99" i="43"/>
  <c r="FK99" i="43"/>
  <c r="FL99" i="43"/>
  <c r="FM99" i="43"/>
  <c r="FN99" i="43"/>
  <c r="FO99" i="43"/>
  <c r="FP99" i="43"/>
  <c r="FQ99" i="43"/>
  <c r="FR99" i="43"/>
  <c r="FS99" i="43"/>
  <c r="FT99" i="43"/>
  <c r="FU99" i="43"/>
  <c r="FV99" i="43"/>
  <c r="FW99" i="43"/>
  <c r="FX99" i="43"/>
  <c r="FY99" i="43"/>
  <c r="FZ99" i="43"/>
  <c r="GA99" i="43"/>
  <c r="GB99" i="43"/>
  <c r="GC99" i="43"/>
  <c r="GD99" i="43"/>
  <c r="GE99" i="43"/>
  <c r="GF99" i="43"/>
  <c r="GG99" i="43"/>
  <c r="GH99" i="43"/>
  <c r="GI99" i="43"/>
  <c r="GJ99" i="43"/>
  <c r="GK99" i="43"/>
  <c r="GL99" i="43"/>
  <c r="GM99" i="43"/>
  <c r="GN99" i="43"/>
  <c r="GO99" i="43"/>
  <c r="GP99" i="43"/>
  <c r="GQ99" i="43"/>
  <c r="GR99" i="43"/>
  <c r="GS99" i="43"/>
  <c r="GT99" i="43"/>
  <c r="GU99" i="43"/>
  <c r="GV99" i="43"/>
  <c r="GW99" i="43"/>
  <c r="GX99" i="43"/>
  <c r="GY99" i="43"/>
  <c r="GZ99" i="43"/>
  <c r="HA99" i="43"/>
  <c r="HB99" i="43"/>
  <c r="HC99" i="43"/>
  <c r="HD99" i="43"/>
  <c r="HE99" i="43"/>
  <c r="HF99" i="43"/>
  <c r="HG99" i="43"/>
  <c r="HH99" i="43"/>
  <c r="HI99" i="43"/>
  <c r="HJ99" i="43"/>
  <c r="HK99" i="43"/>
  <c r="HL99" i="43"/>
  <c r="HM99" i="43"/>
  <c r="HN99" i="43"/>
  <c r="HO99" i="43"/>
  <c r="HP99" i="43"/>
  <c r="HQ99" i="43"/>
  <c r="HR99" i="43"/>
  <c r="HS99" i="43"/>
  <c r="HT99" i="43"/>
  <c r="HU99" i="43"/>
  <c r="HV99" i="43"/>
  <c r="HW99" i="43"/>
  <c r="HX99" i="43"/>
  <c r="HY99" i="43"/>
  <c r="HZ99" i="43"/>
  <c r="IA99" i="43"/>
  <c r="IB99" i="43"/>
  <c r="IC99" i="43"/>
  <c r="ID99" i="43"/>
  <c r="IE99" i="43"/>
  <c r="IF99" i="43"/>
  <c r="IG99" i="43"/>
  <c r="IH99" i="43"/>
  <c r="II99" i="43"/>
  <c r="IJ99" i="43"/>
  <c r="IK99" i="43"/>
  <c r="IL99" i="43"/>
  <c r="IM99" i="43"/>
  <c r="IN99" i="43"/>
  <c r="IO99" i="43"/>
  <c r="IP99" i="43"/>
  <c r="IQ99" i="43"/>
  <c r="IR99" i="43"/>
  <c r="IS99" i="43"/>
  <c r="IT99" i="43"/>
  <c r="IU99" i="43"/>
  <c r="IV99" i="43"/>
  <c r="A98" i="43"/>
  <c r="B98" i="43"/>
  <c r="C98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AW98" i="43"/>
  <c r="AX98" i="43"/>
  <c r="AY98" i="43"/>
  <c r="AZ98" i="43"/>
  <c r="BA98" i="43"/>
  <c r="BB98" i="43"/>
  <c r="BC98" i="43"/>
  <c r="BD98" i="43"/>
  <c r="BE98" i="43"/>
  <c r="BF98" i="43"/>
  <c r="BG98" i="43"/>
  <c r="BH98" i="43"/>
  <c r="BI98" i="43"/>
  <c r="BJ98" i="43"/>
  <c r="BK98" i="43"/>
  <c r="BL98" i="43"/>
  <c r="BM98" i="43"/>
  <c r="BN98" i="43"/>
  <c r="BO98" i="43"/>
  <c r="BP98" i="43"/>
  <c r="BQ98" i="43"/>
  <c r="BR98" i="43"/>
  <c r="BS98" i="43"/>
  <c r="BT98" i="43"/>
  <c r="BU98" i="43"/>
  <c r="BV98" i="43"/>
  <c r="BW98" i="43"/>
  <c r="BX98" i="43"/>
  <c r="BY98" i="43"/>
  <c r="BZ98" i="43"/>
  <c r="CA98" i="43"/>
  <c r="CB98" i="43"/>
  <c r="CC98" i="43"/>
  <c r="CD98" i="43"/>
  <c r="CE98" i="43"/>
  <c r="CF98" i="43"/>
  <c r="CG98" i="43"/>
  <c r="CH98" i="43"/>
  <c r="CI98" i="43"/>
  <c r="CJ98" i="43"/>
  <c r="CK98" i="43"/>
  <c r="CL98" i="43"/>
  <c r="CM98" i="43"/>
  <c r="CN98" i="43"/>
  <c r="CO98" i="43"/>
  <c r="CP98" i="43"/>
  <c r="CQ98" i="43"/>
  <c r="CR98" i="43"/>
  <c r="CS98" i="43"/>
  <c r="CT98" i="43"/>
  <c r="CU98" i="43"/>
  <c r="CV98" i="43"/>
  <c r="CW98" i="43"/>
  <c r="CX98" i="43"/>
  <c r="CY98" i="43"/>
  <c r="CZ98" i="43"/>
  <c r="DA98" i="43"/>
  <c r="DB98" i="43"/>
  <c r="DC98" i="43"/>
  <c r="DD98" i="43"/>
  <c r="DE98" i="43"/>
  <c r="DF98" i="43"/>
  <c r="DG98" i="43"/>
  <c r="DH98" i="43"/>
  <c r="DI98" i="43"/>
  <c r="DJ98" i="43"/>
  <c r="DK98" i="43"/>
  <c r="DL98" i="43"/>
  <c r="DM98" i="43"/>
  <c r="DN98" i="43"/>
  <c r="DO98" i="43"/>
  <c r="DP98" i="43"/>
  <c r="DQ98" i="43"/>
  <c r="DR98" i="43"/>
  <c r="DS98" i="43"/>
  <c r="DT98" i="43"/>
  <c r="DU98" i="43"/>
  <c r="DV98" i="43"/>
  <c r="DW98" i="43"/>
  <c r="DX98" i="43"/>
  <c r="DY98" i="43"/>
  <c r="DZ98" i="43"/>
  <c r="EA98" i="43"/>
  <c r="EB98" i="43"/>
  <c r="EC98" i="43"/>
  <c r="ED98" i="43"/>
  <c r="EE98" i="43"/>
  <c r="EF98" i="43"/>
  <c r="EG98" i="43"/>
  <c r="EH98" i="43"/>
  <c r="EI98" i="43"/>
  <c r="EJ98" i="43"/>
  <c r="EK98" i="43"/>
  <c r="EL98" i="43"/>
  <c r="EM98" i="43"/>
  <c r="EN98" i="43"/>
  <c r="EO98" i="43"/>
  <c r="EP98" i="43"/>
  <c r="EQ98" i="43"/>
  <c r="ER98" i="43"/>
  <c r="ES98" i="43"/>
  <c r="ET98" i="43"/>
  <c r="EU98" i="43"/>
  <c r="EV98" i="43"/>
  <c r="EW98" i="43"/>
  <c r="EX98" i="43"/>
  <c r="EY98" i="43"/>
  <c r="EZ98" i="43"/>
  <c r="FA98" i="43"/>
  <c r="FB98" i="43"/>
  <c r="FC98" i="43"/>
  <c r="FD98" i="43"/>
  <c r="FE98" i="43"/>
  <c r="FF98" i="43"/>
  <c r="FG98" i="43"/>
  <c r="FH98" i="43"/>
  <c r="FI98" i="43"/>
  <c r="FJ98" i="43"/>
  <c r="FK98" i="43"/>
  <c r="FL98" i="43"/>
  <c r="FM98" i="43"/>
  <c r="FN98" i="43"/>
  <c r="FO98" i="43"/>
  <c r="FP98" i="43"/>
  <c r="FQ98" i="43"/>
  <c r="FR98" i="43"/>
  <c r="FS98" i="43"/>
  <c r="FT98" i="43"/>
  <c r="FU98" i="43"/>
  <c r="FV98" i="43"/>
  <c r="FW98" i="43"/>
  <c r="FX98" i="43"/>
  <c r="FY98" i="43"/>
  <c r="FZ98" i="43"/>
  <c r="GA98" i="43"/>
  <c r="GB98" i="43"/>
  <c r="GC98" i="43"/>
  <c r="GD98" i="43"/>
  <c r="GE98" i="43"/>
  <c r="GF98" i="43"/>
  <c r="GG98" i="43"/>
  <c r="GH98" i="43"/>
  <c r="GI98" i="43"/>
  <c r="GJ98" i="43"/>
  <c r="GK98" i="43"/>
  <c r="GL98" i="43"/>
  <c r="GM98" i="43"/>
  <c r="GN98" i="43"/>
  <c r="GO98" i="43"/>
  <c r="GP98" i="43"/>
  <c r="GQ98" i="43"/>
  <c r="GR98" i="43"/>
  <c r="GS98" i="43"/>
  <c r="GT98" i="43"/>
  <c r="GU98" i="43"/>
  <c r="GV98" i="43"/>
  <c r="GW98" i="43"/>
  <c r="GX98" i="43"/>
  <c r="GY98" i="43"/>
  <c r="GZ98" i="43"/>
  <c r="HA98" i="43"/>
  <c r="HB98" i="43"/>
  <c r="HC98" i="43"/>
  <c r="HD98" i="43"/>
  <c r="HE98" i="43"/>
  <c r="HF98" i="43"/>
  <c r="HG98" i="43"/>
  <c r="HH98" i="43"/>
  <c r="HI98" i="43"/>
  <c r="HJ98" i="43"/>
  <c r="HK98" i="43"/>
  <c r="HL98" i="43"/>
  <c r="HM98" i="43"/>
  <c r="HN98" i="43"/>
  <c r="HO98" i="43"/>
  <c r="HP98" i="43"/>
  <c r="HQ98" i="43"/>
  <c r="HR98" i="43"/>
  <c r="HS98" i="43"/>
  <c r="HT98" i="43"/>
  <c r="HU98" i="43"/>
  <c r="HV98" i="43"/>
  <c r="HW98" i="43"/>
  <c r="HX98" i="43"/>
  <c r="HY98" i="43"/>
  <c r="HZ98" i="43"/>
  <c r="IA98" i="43"/>
  <c r="IB98" i="43"/>
  <c r="IC98" i="43"/>
  <c r="ID98" i="43"/>
  <c r="IE98" i="43"/>
  <c r="IF98" i="43"/>
  <c r="IG98" i="43"/>
  <c r="IH98" i="43"/>
  <c r="II98" i="43"/>
  <c r="IJ98" i="43"/>
  <c r="IK98" i="43"/>
  <c r="IL98" i="43"/>
  <c r="IM98" i="43"/>
  <c r="IN98" i="43"/>
  <c r="IO98" i="43"/>
  <c r="IP98" i="43"/>
  <c r="IQ98" i="43"/>
  <c r="IR98" i="43"/>
  <c r="IS98" i="43"/>
  <c r="IT98" i="43"/>
  <c r="IU98" i="43"/>
  <c r="IV98" i="43"/>
  <c r="A97" i="43"/>
  <c r="B97" i="43"/>
  <c r="C97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Y97" i="43"/>
  <c r="Z97" i="43"/>
  <c r="AA97" i="43"/>
  <c r="AB97" i="43"/>
  <c r="AC97" i="43"/>
  <c r="AD97" i="43"/>
  <c r="AE97" i="43"/>
  <c r="AF97" i="43"/>
  <c r="AG97" i="43"/>
  <c r="AH97" i="43"/>
  <c r="AI97" i="43"/>
  <c r="AJ97" i="43"/>
  <c r="AK97" i="43"/>
  <c r="AL97" i="43"/>
  <c r="AM97" i="43"/>
  <c r="AN97" i="43"/>
  <c r="AO97" i="43"/>
  <c r="AP97" i="43"/>
  <c r="AQ97" i="43"/>
  <c r="AR97" i="43"/>
  <c r="AS97" i="43"/>
  <c r="AT97" i="43"/>
  <c r="AU97" i="43"/>
  <c r="AV97" i="43"/>
  <c r="AW97" i="43"/>
  <c r="AX97" i="43"/>
  <c r="AY97" i="43"/>
  <c r="AZ97" i="43"/>
  <c r="BA97" i="43"/>
  <c r="BB97" i="43"/>
  <c r="BC97" i="43"/>
  <c r="BD97" i="43"/>
  <c r="BE97" i="43"/>
  <c r="BF97" i="43"/>
  <c r="BG97" i="43"/>
  <c r="BH97" i="43"/>
  <c r="BI97" i="43"/>
  <c r="BJ97" i="43"/>
  <c r="BK97" i="43"/>
  <c r="BL97" i="43"/>
  <c r="BM97" i="43"/>
  <c r="BN97" i="43"/>
  <c r="BO97" i="43"/>
  <c r="BP97" i="43"/>
  <c r="BQ97" i="43"/>
  <c r="BR97" i="43"/>
  <c r="BS97" i="43"/>
  <c r="BT97" i="43"/>
  <c r="BU97" i="43"/>
  <c r="BV97" i="43"/>
  <c r="BW97" i="43"/>
  <c r="BX97" i="43"/>
  <c r="BY97" i="43"/>
  <c r="BZ97" i="43"/>
  <c r="CA97" i="43"/>
  <c r="CB97" i="43"/>
  <c r="CC97" i="43"/>
  <c r="CD97" i="43"/>
  <c r="CE97" i="43"/>
  <c r="CF97" i="43"/>
  <c r="CG97" i="43"/>
  <c r="CH97" i="43"/>
  <c r="CI97" i="43"/>
  <c r="CJ97" i="43"/>
  <c r="CK97" i="43"/>
  <c r="CL97" i="43"/>
  <c r="CM97" i="43"/>
  <c r="CN97" i="43"/>
  <c r="CO97" i="43"/>
  <c r="CP97" i="43"/>
  <c r="CQ97" i="43"/>
  <c r="CR97" i="43"/>
  <c r="CS97" i="43"/>
  <c r="CT97" i="43"/>
  <c r="CU97" i="43"/>
  <c r="CV97" i="43"/>
  <c r="CW97" i="43"/>
  <c r="CX97" i="43"/>
  <c r="CY97" i="43"/>
  <c r="CZ97" i="43"/>
  <c r="DA97" i="43"/>
  <c r="DB97" i="43"/>
  <c r="DC97" i="43"/>
  <c r="DD97" i="43"/>
  <c r="DE97" i="43"/>
  <c r="DF97" i="43"/>
  <c r="DG97" i="43"/>
  <c r="DH97" i="43"/>
  <c r="DI97" i="43"/>
  <c r="DJ97" i="43"/>
  <c r="DK97" i="43"/>
  <c r="DL97" i="43"/>
  <c r="DM97" i="43"/>
  <c r="DN97" i="43"/>
  <c r="DO97" i="43"/>
  <c r="DP97" i="43"/>
  <c r="DQ97" i="43"/>
  <c r="DR97" i="43"/>
  <c r="DS97" i="43"/>
  <c r="DT97" i="43"/>
  <c r="DU97" i="43"/>
  <c r="DV97" i="43"/>
  <c r="DW97" i="43"/>
  <c r="DX97" i="43"/>
  <c r="DY97" i="43"/>
  <c r="DZ97" i="43"/>
  <c r="EA97" i="43"/>
  <c r="EB97" i="43"/>
  <c r="EC97" i="43"/>
  <c r="ED97" i="43"/>
  <c r="EE97" i="43"/>
  <c r="EF97" i="43"/>
  <c r="EG97" i="43"/>
  <c r="EH97" i="43"/>
  <c r="EI97" i="43"/>
  <c r="EJ97" i="43"/>
  <c r="EK97" i="43"/>
  <c r="EL97" i="43"/>
  <c r="EM97" i="43"/>
  <c r="EN97" i="43"/>
  <c r="EO97" i="43"/>
  <c r="EP97" i="43"/>
  <c r="EQ97" i="43"/>
  <c r="ER97" i="43"/>
  <c r="ES97" i="43"/>
  <c r="ET97" i="43"/>
  <c r="EU97" i="43"/>
  <c r="EV97" i="43"/>
  <c r="EW97" i="43"/>
  <c r="EX97" i="43"/>
  <c r="EY97" i="43"/>
  <c r="EZ97" i="43"/>
  <c r="FA97" i="43"/>
  <c r="FB97" i="43"/>
  <c r="FC97" i="43"/>
  <c r="FD97" i="43"/>
  <c r="FE97" i="43"/>
  <c r="FF97" i="43"/>
  <c r="FG97" i="43"/>
  <c r="FH97" i="43"/>
  <c r="FI97" i="43"/>
  <c r="FJ97" i="43"/>
  <c r="FK97" i="43"/>
  <c r="FL97" i="43"/>
  <c r="FM97" i="43"/>
  <c r="FN97" i="43"/>
  <c r="FO97" i="43"/>
  <c r="FP97" i="43"/>
  <c r="FQ97" i="43"/>
  <c r="FR97" i="43"/>
  <c r="FS97" i="43"/>
  <c r="FT97" i="43"/>
  <c r="FU97" i="43"/>
  <c r="FV97" i="43"/>
  <c r="FW97" i="43"/>
  <c r="FX97" i="43"/>
  <c r="FY97" i="43"/>
  <c r="FZ97" i="43"/>
  <c r="GA97" i="43"/>
  <c r="GB97" i="43"/>
  <c r="GC97" i="43"/>
  <c r="GD97" i="43"/>
  <c r="GE97" i="43"/>
  <c r="GF97" i="43"/>
  <c r="GG97" i="43"/>
  <c r="GH97" i="43"/>
  <c r="GI97" i="43"/>
  <c r="GJ97" i="43"/>
  <c r="GK97" i="43"/>
  <c r="GL97" i="43"/>
  <c r="GM97" i="43"/>
  <c r="GN97" i="43"/>
  <c r="GO97" i="43"/>
  <c r="GP97" i="43"/>
  <c r="GQ97" i="43"/>
  <c r="GR97" i="43"/>
  <c r="GS97" i="43"/>
  <c r="GT97" i="43"/>
  <c r="GU97" i="43"/>
  <c r="GV97" i="43"/>
  <c r="GW97" i="43"/>
  <c r="GX97" i="43"/>
  <c r="GY97" i="43"/>
  <c r="GZ97" i="43"/>
  <c r="HA97" i="43"/>
  <c r="HB97" i="43"/>
  <c r="HC97" i="43"/>
  <c r="HD97" i="43"/>
  <c r="HE97" i="43"/>
  <c r="HF97" i="43"/>
  <c r="HG97" i="43"/>
  <c r="HH97" i="43"/>
  <c r="HI97" i="43"/>
  <c r="HJ97" i="43"/>
  <c r="HK97" i="43"/>
  <c r="HL97" i="43"/>
  <c r="HM97" i="43"/>
  <c r="HN97" i="43"/>
  <c r="HO97" i="43"/>
  <c r="HP97" i="43"/>
  <c r="HQ97" i="43"/>
  <c r="HR97" i="43"/>
  <c r="HS97" i="43"/>
  <c r="HT97" i="43"/>
  <c r="HU97" i="43"/>
  <c r="HV97" i="43"/>
  <c r="HW97" i="43"/>
  <c r="HX97" i="43"/>
  <c r="HY97" i="43"/>
  <c r="HZ97" i="43"/>
  <c r="IA97" i="43"/>
  <c r="IB97" i="43"/>
  <c r="IC97" i="43"/>
  <c r="ID97" i="43"/>
  <c r="IE97" i="43"/>
  <c r="IF97" i="43"/>
  <c r="IG97" i="43"/>
  <c r="IH97" i="43"/>
  <c r="II97" i="43"/>
  <c r="IJ97" i="43"/>
  <c r="IK97" i="43"/>
  <c r="IL97" i="43"/>
  <c r="IM97" i="43"/>
  <c r="IN97" i="43"/>
  <c r="IO97" i="43"/>
  <c r="IP97" i="43"/>
  <c r="IQ97" i="43"/>
  <c r="IR97" i="43"/>
  <c r="IS97" i="43"/>
  <c r="IT97" i="43"/>
  <c r="IU97" i="43"/>
  <c r="IV97" i="43"/>
  <c r="A96" i="43"/>
  <c r="B96" i="43"/>
  <c r="C96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AO96" i="43"/>
  <c r="AP96" i="43"/>
  <c r="AQ96" i="43"/>
  <c r="AR96" i="43"/>
  <c r="AS96" i="43"/>
  <c r="AT96" i="43"/>
  <c r="AU96" i="43"/>
  <c r="AV96" i="43"/>
  <c r="AW96" i="43"/>
  <c r="AX96" i="43"/>
  <c r="AY96" i="43"/>
  <c r="AZ96" i="43"/>
  <c r="BA96" i="43"/>
  <c r="BB96" i="43"/>
  <c r="BC96" i="43"/>
  <c r="BD96" i="43"/>
  <c r="BE96" i="43"/>
  <c r="BF96" i="43"/>
  <c r="BG96" i="43"/>
  <c r="BH96" i="43"/>
  <c r="BI96" i="43"/>
  <c r="BJ96" i="43"/>
  <c r="BK96" i="43"/>
  <c r="BL96" i="43"/>
  <c r="BM96" i="43"/>
  <c r="BN96" i="43"/>
  <c r="BO96" i="43"/>
  <c r="BP96" i="43"/>
  <c r="BQ96" i="43"/>
  <c r="BR96" i="43"/>
  <c r="BS96" i="43"/>
  <c r="BT96" i="43"/>
  <c r="BU96" i="43"/>
  <c r="BV96" i="43"/>
  <c r="BW96" i="43"/>
  <c r="BX96" i="43"/>
  <c r="BY96" i="43"/>
  <c r="BZ96" i="43"/>
  <c r="CA96" i="43"/>
  <c r="CB96" i="43"/>
  <c r="CC96" i="43"/>
  <c r="CD96" i="43"/>
  <c r="CE96" i="43"/>
  <c r="CF96" i="43"/>
  <c r="CG96" i="43"/>
  <c r="CH96" i="43"/>
  <c r="CI96" i="43"/>
  <c r="CJ96" i="43"/>
  <c r="CK96" i="43"/>
  <c r="CL96" i="43"/>
  <c r="CM96" i="43"/>
  <c r="CN96" i="43"/>
  <c r="CO96" i="43"/>
  <c r="CP96" i="43"/>
  <c r="CQ96" i="43"/>
  <c r="CR96" i="43"/>
  <c r="CS96" i="43"/>
  <c r="CT96" i="43"/>
  <c r="CU96" i="43"/>
  <c r="CV96" i="43"/>
  <c r="CW96" i="43"/>
  <c r="CX96" i="43"/>
  <c r="CY96" i="43"/>
  <c r="CZ96" i="43"/>
  <c r="DA96" i="43"/>
  <c r="DB96" i="43"/>
  <c r="DC96" i="43"/>
  <c r="DD96" i="43"/>
  <c r="DE96" i="43"/>
  <c r="DF96" i="43"/>
  <c r="DG96" i="43"/>
  <c r="DH96" i="43"/>
  <c r="DI96" i="43"/>
  <c r="DJ96" i="43"/>
  <c r="DK96" i="43"/>
  <c r="DL96" i="43"/>
  <c r="DM96" i="43"/>
  <c r="DN96" i="43"/>
  <c r="DO96" i="43"/>
  <c r="DP96" i="43"/>
  <c r="DQ96" i="43"/>
  <c r="DR96" i="43"/>
  <c r="DS96" i="43"/>
  <c r="DT96" i="43"/>
  <c r="DU96" i="43"/>
  <c r="DV96" i="43"/>
  <c r="DW96" i="43"/>
  <c r="DX96" i="43"/>
  <c r="DY96" i="43"/>
  <c r="DZ96" i="43"/>
  <c r="EA96" i="43"/>
  <c r="EB96" i="43"/>
  <c r="EC96" i="43"/>
  <c r="ED96" i="43"/>
  <c r="EE96" i="43"/>
  <c r="EF96" i="43"/>
  <c r="EG96" i="43"/>
  <c r="EH96" i="43"/>
  <c r="EI96" i="43"/>
  <c r="EJ96" i="43"/>
  <c r="EK96" i="43"/>
  <c r="EL96" i="43"/>
  <c r="EM96" i="43"/>
  <c r="EN96" i="43"/>
  <c r="EO96" i="43"/>
  <c r="EP96" i="43"/>
  <c r="EQ96" i="43"/>
  <c r="ER96" i="43"/>
  <c r="ES96" i="43"/>
  <c r="ET96" i="43"/>
  <c r="EU96" i="43"/>
  <c r="EV96" i="43"/>
  <c r="EW96" i="43"/>
  <c r="EX96" i="43"/>
  <c r="EY96" i="43"/>
  <c r="EZ96" i="43"/>
  <c r="FA96" i="43"/>
  <c r="FB96" i="43"/>
  <c r="FC96" i="43"/>
  <c r="FD96" i="43"/>
  <c r="FE96" i="43"/>
  <c r="FF96" i="43"/>
  <c r="FG96" i="43"/>
  <c r="FH96" i="43"/>
  <c r="FI96" i="43"/>
  <c r="FJ96" i="43"/>
  <c r="FK96" i="43"/>
  <c r="FL96" i="43"/>
  <c r="FM96" i="43"/>
  <c r="FN96" i="43"/>
  <c r="FO96" i="43"/>
  <c r="FP96" i="43"/>
  <c r="FQ96" i="43"/>
  <c r="FR96" i="43"/>
  <c r="FS96" i="43"/>
  <c r="FT96" i="43"/>
  <c r="FU96" i="43"/>
  <c r="FV96" i="43"/>
  <c r="FW96" i="43"/>
  <c r="FX96" i="43"/>
  <c r="FY96" i="43"/>
  <c r="FZ96" i="43"/>
  <c r="GA96" i="43"/>
  <c r="GB96" i="43"/>
  <c r="GC96" i="43"/>
  <c r="GD96" i="43"/>
  <c r="GE96" i="43"/>
  <c r="GF96" i="43"/>
  <c r="GG96" i="43"/>
  <c r="GH96" i="43"/>
  <c r="GI96" i="43"/>
  <c r="GJ96" i="43"/>
  <c r="GK96" i="43"/>
  <c r="GL96" i="43"/>
  <c r="GM96" i="43"/>
  <c r="GN96" i="43"/>
  <c r="GO96" i="43"/>
  <c r="GP96" i="43"/>
  <c r="GQ96" i="43"/>
  <c r="GR96" i="43"/>
  <c r="GS96" i="43"/>
  <c r="GT96" i="43"/>
  <c r="GU96" i="43"/>
  <c r="GV96" i="43"/>
  <c r="GW96" i="43"/>
  <c r="GX96" i="43"/>
  <c r="GY96" i="43"/>
  <c r="GZ96" i="43"/>
  <c r="HA96" i="43"/>
  <c r="HB96" i="43"/>
  <c r="HC96" i="43"/>
  <c r="HD96" i="43"/>
  <c r="HE96" i="43"/>
  <c r="HF96" i="43"/>
  <c r="HG96" i="43"/>
  <c r="HH96" i="43"/>
  <c r="HI96" i="43"/>
  <c r="HJ96" i="43"/>
  <c r="HK96" i="43"/>
  <c r="HL96" i="43"/>
  <c r="HM96" i="43"/>
  <c r="HN96" i="43"/>
  <c r="HO96" i="43"/>
  <c r="HP96" i="43"/>
  <c r="HQ96" i="43"/>
  <c r="HR96" i="43"/>
  <c r="HS96" i="43"/>
  <c r="HT96" i="43"/>
  <c r="HU96" i="43"/>
  <c r="HV96" i="43"/>
  <c r="HW96" i="43"/>
  <c r="HX96" i="43"/>
  <c r="HY96" i="43"/>
  <c r="HZ96" i="43"/>
  <c r="IA96" i="43"/>
  <c r="IB96" i="43"/>
  <c r="IC96" i="43"/>
  <c r="ID96" i="43"/>
  <c r="IE96" i="43"/>
  <c r="IF96" i="43"/>
  <c r="IG96" i="43"/>
  <c r="IH96" i="43"/>
  <c r="II96" i="43"/>
  <c r="IJ96" i="43"/>
  <c r="IK96" i="43"/>
  <c r="IL96" i="43"/>
  <c r="IM96" i="43"/>
  <c r="IN96" i="43"/>
  <c r="IO96" i="43"/>
  <c r="IP96" i="43"/>
  <c r="IQ96" i="43"/>
  <c r="IR96" i="43"/>
  <c r="IS96" i="43"/>
  <c r="IT96" i="43"/>
  <c r="IU96" i="43"/>
  <c r="IV96" i="43"/>
  <c r="A95" i="43"/>
  <c r="B95" i="43"/>
  <c r="C95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Y95" i="43"/>
  <c r="Z95" i="43"/>
  <c r="AA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AW95" i="43"/>
  <c r="AX95" i="43"/>
  <c r="AY95" i="43"/>
  <c r="AZ95" i="43"/>
  <c r="BA95" i="43"/>
  <c r="BB95" i="43"/>
  <c r="BC95" i="43"/>
  <c r="BD95" i="43"/>
  <c r="BE95" i="43"/>
  <c r="BF95" i="43"/>
  <c r="BG95" i="43"/>
  <c r="BH95" i="43"/>
  <c r="BI95" i="43"/>
  <c r="BJ95" i="43"/>
  <c r="BK95" i="43"/>
  <c r="BL95" i="43"/>
  <c r="BM95" i="43"/>
  <c r="BN95" i="43"/>
  <c r="BO95" i="43"/>
  <c r="BP95" i="43"/>
  <c r="BQ95" i="43"/>
  <c r="BR95" i="43"/>
  <c r="BS95" i="43"/>
  <c r="BT95" i="43"/>
  <c r="BU95" i="43"/>
  <c r="BV95" i="43"/>
  <c r="BW95" i="43"/>
  <c r="BX95" i="43"/>
  <c r="BY95" i="43"/>
  <c r="BZ95" i="43"/>
  <c r="CA95" i="43"/>
  <c r="CB95" i="43"/>
  <c r="CC95" i="43"/>
  <c r="CD95" i="43"/>
  <c r="CE95" i="43"/>
  <c r="CF95" i="43"/>
  <c r="CG95" i="43"/>
  <c r="CH95" i="43"/>
  <c r="CI95" i="43"/>
  <c r="CJ95" i="43"/>
  <c r="CK95" i="43"/>
  <c r="CL95" i="43"/>
  <c r="CM95" i="43"/>
  <c r="CN95" i="43"/>
  <c r="CO95" i="43"/>
  <c r="CP95" i="43"/>
  <c r="CQ95" i="43"/>
  <c r="CR95" i="43"/>
  <c r="CS95" i="43"/>
  <c r="CT95" i="43"/>
  <c r="CU95" i="43"/>
  <c r="CV95" i="43"/>
  <c r="CW95" i="43"/>
  <c r="CX95" i="43"/>
  <c r="CY95" i="43"/>
  <c r="CZ95" i="43"/>
  <c r="DA95" i="43"/>
  <c r="DB95" i="43"/>
  <c r="DC95" i="43"/>
  <c r="DD95" i="43"/>
  <c r="DE95" i="43"/>
  <c r="DF95" i="43"/>
  <c r="DG95" i="43"/>
  <c r="DH95" i="43"/>
  <c r="DI95" i="43"/>
  <c r="DJ95" i="43"/>
  <c r="DK95" i="43"/>
  <c r="DL95" i="43"/>
  <c r="DM95" i="43"/>
  <c r="DN95" i="43"/>
  <c r="DO95" i="43"/>
  <c r="DP95" i="43"/>
  <c r="DQ95" i="43"/>
  <c r="DR95" i="43"/>
  <c r="DS95" i="43"/>
  <c r="DT95" i="43"/>
  <c r="DU95" i="43"/>
  <c r="DV95" i="43"/>
  <c r="DW95" i="43"/>
  <c r="DX95" i="43"/>
  <c r="DY95" i="43"/>
  <c r="DZ95" i="43"/>
  <c r="EA95" i="43"/>
  <c r="EB95" i="43"/>
  <c r="EC95" i="43"/>
  <c r="ED95" i="43"/>
  <c r="EE95" i="43"/>
  <c r="EF95" i="43"/>
  <c r="EG95" i="43"/>
  <c r="EH95" i="43"/>
  <c r="EI95" i="43"/>
  <c r="EJ95" i="43"/>
  <c r="EK95" i="43"/>
  <c r="EL95" i="43"/>
  <c r="EM95" i="43"/>
  <c r="EN95" i="43"/>
  <c r="EO95" i="43"/>
  <c r="EP95" i="43"/>
  <c r="EQ95" i="43"/>
  <c r="ER95" i="43"/>
  <c r="ES95" i="43"/>
  <c r="ET95" i="43"/>
  <c r="EU95" i="43"/>
  <c r="EV95" i="43"/>
  <c r="EW95" i="43"/>
  <c r="EX95" i="43"/>
  <c r="EY95" i="43"/>
  <c r="EZ95" i="43"/>
  <c r="FA95" i="43"/>
  <c r="FB95" i="43"/>
  <c r="FC95" i="43"/>
  <c r="FD95" i="43"/>
  <c r="FE95" i="43"/>
  <c r="FF95" i="43"/>
  <c r="FG95" i="43"/>
  <c r="FH95" i="43"/>
  <c r="FI95" i="43"/>
  <c r="FJ95" i="43"/>
  <c r="FK95" i="43"/>
  <c r="FL95" i="43"/>
  <c r="FM95" i="43"/>
  <c r="FN95" i="43"/>
  <c r="FO95" i="43"/>
  <c r="FP95" i="43"/>
  <c r="FQ95" i="43"/>
  <c r="FR95" i="43"/>
  <c r="FS95" i="43"/>
  <c r="FT95" i="43"/>
  <c r="FU95" i="43"/>
  <c r="FV95" i="43"/>
  <c r="FW95" i="43"/>
  <c r="FX95" i="43"/>
  <c r="FY95" i="43"/>
  <c r="FZ95" i="43"/>
  <c r="GA95" i="43"/>
  <c r="GB95" i="43"/>
  <c r="GC95" i="43"/>
  <c r="GD95" i="43"/>
  <c r="GE95" i="43"/>
  <c r="GF95" i="43"/>
  <c r="GG95" i="43"/>
  <c r="GH95" i="43"/>
  <c r="GI95" i="43"/>
  <c r="GJ95" i="43"/>
  <c r="GK95" i="43"/>
  <c r="GL95" i="43"/>
  <c r="GM95" i="43"/>
  <c r="GN95" i="43"/>
  <c r="GO95" i="43"/>
  <c r="GP95" i="43"/>
  <c r="GQ95" i="43"/>
  <c r="GR95" i="43"/>
  <c r="GS95" i="43"/>
  <c r="GT95" i="43"/>
  <c r="GU95" i="43"/>
  <c r="GV95" i="43"/>
  <c r="GW95" i="43"/>
  <c r="GX95" i="43"/>
  <c r="GY95" i="43"/>
  <c r="GZ95" i="43"/>
  <c r="HA95" i="43"/>
  <c r="HB95" i="43"/>
  <c r="HC95" i="43"/>
  <c r="HD95" i="43"/>
  <c r="HE95" i="43"/>
  <c r="HF95" i="43"/>
  <c r="HG95" i="43"/>
  <c r="HH95" i="43"/>
  <c r="HI95" i="43"/>
  <c r="HJ95" i="43"/>
  <c r="HK95" i="43"/>
  <c r="HL95" i="43"/>
  <c r="HM95" i="43"/>
  <c r="HN95" i="43"/>
  <c r="HO95" i="43"/>
  <c r="HP95" i="43"/>
  <c r="HQ95" i="43"/>
  <c r="HR95" i="43"/>
  <c r="HS95" i="43"/>
  <c r="HT95" i="43"/>
  <c r="HU95" i="43"/>
  <c r="HV95" i="43"/>
  <c r="HW95" i="43"/>
  <c r="HX95" i="43"/>
  <c r="HY95" i="43"/>
  <c r="HZ95" i="43"/>
  <c r="IA95" i="43"/>
  <c r="IB95" i="43"/>
  <c r="IC95" i="43"/>
  <c r="ID95" i="43"/>
  <c r="IE95" i="43"/>
  <c r="IF95" i="43"/>
  <c r="IG95" i="43"/>
  <c r="IH95" i="43"/>
  <c r="II95" i="43"/>
  <c r="IJ95" i="43"/>
  <c r="IK95" i="43"/>
  <c r="IL95" i="43"/>
  <c r="IM95" i="43"/>
  <c r="IN95" i="43"/>
  <c r="IO95" i="43"/>
  <c r="IP95" i="43"/>
  <c r="IQ95" i="43"/>
  <c r="IR95" i="43"/>
  <c r="IS95" i="43"/>
  <c r="IT95" i="43"/>
  <c r="IU95" i="43"/>
  <c r="IV95" i="43"/>
  <c r="A94" i="43"/>
  <c r="B94" i="43"/>
  <c r="C94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AZ94" i="43"/>
  <c r="BA94" i="43"/>
  <c r="BB94" i="43"/>
  <c r="BC94" i="43"/>
  <c r="BD94" i="43"/>
  <c r="BE94" i="43"/>
  <c r="BF94" i="43"/>
  <c r="BG94" i="43"/>
  <c r="BH94" i="43"/>
  <c r="BI94" i="43"/>
  <c r="BJ94" i="43"/>
  <c r="BK94" i="43"/>
  <c r="BL94" i="43"/>
  <c r="BM94" i="43"/>
  <c r="BN94" i="43"/>
  <c r="BO94" i="43"/>
  <c r="BP94" i="43"/>
  <c r="BQ94" i="43"/>
  <c r="BR94" i="43"/>
  <c r="BS94" i="43"/>
  <c r="BT94" i="43"/>
  <c r="BU94" i="43"/>
  <c r="BV94" i="43"/>
  <c r="BW94" i="43"/>
  <c r="BX94" i="43"/>
  <c r="BY94" i="43"/>
  <c r="BZ94" i="43"/>
  <c r="CA94" i="43"/>
  <c r="CB94" i="43"/>
  <c r="CC94" i="43"/>
  <c r="CD94" i="43"/>
  <c r="CE94" i="43"/>
  <c r="CF94" i="43"/>
  <c r="CG94" i="43"/>
  <c r="CH94" i="43"/>
  <c r="CI94" i="43"/>
  <c r="CJ94" i="43"/>
  <c r="CK94" i="43"/>
  <c r="CL94" i="43"/>
  <c r="CM94" i="43"/>
  <c r="CN94" i="43"/>
  <c r="CO94" i="43"/>
  <c r="CP94" i="43"/>
  <c r="CQ94" i="43"/>
  <c r="CR94" i="43"/>
  <c r="CS94" i="43"/>
  <c r="CT94" i="43"/>
  <c r="CU94" i="43"/>
  <c r="CV94" i="43"/>
  <c r="CW94" i="43"/>
  <c r="CX94" i="43"/>
  <c r="CY94" i="43"/>
  <c r="CZ94" i="43"/>
  <c r="DA94" i="43"/>
  <c r="DB94" i="43"/>
  <c r="DC94" i="43"/>
  <c r="DD94" i="43"/>
  <c r="DE94" i="43"/>
  <c r="DF94" i="43"/>
  <c r="DG94" i="43"/>
  <c r="DH94" i="43"/>
  <c r="DI94" i="43"/>
  <c r="DJ94" i="43"/>
  <c r="DK94" i="43"/>
  <c r="DL94" i="43"/>
  <c r="DM94" i="43"/>
  <c r="DN94" i="43"/>
  <c r="DO94" i="43"/>
  <c r="DP94" i="43"/>
  <c r="DQ94" i="43"/>
  <c r="DR94" i="43"/>
  <c r="DS94" i="43"/>
  <c r="DT94" i="43"/>
  <c r="DU94" i="43"/>
  <c r="DV94" i="43"/>
  <c r="DW94" i="43"/>
  <c r="DX94" i="43"/>
  <c r="DY94" i="43"/>
  <c r="DZ94" i="43"/>
  <c r="EA94" i="43"/>
  <c r="EB94" i="43"/>
  <c r="EC94" i="43"/>
  <c r="ED94" i="43"/>
  <c r="EE94" i="43"/>
  <c r="EF94" i="43"/>
  <c r="EG94" i="43"/>
  <c r="EH94" i="43"/>
  <c r="EI94" i="43"/>
  <c r="EJ94" i="43"/>
  <c r="EK94" i="43"/>
  <c r="EL94" i="43"/>
  <c r="EM94" i="43"/>
  <c r="EN94" i="43"/>
  <c r="EO94" i="43"/>
  <c r="EP94" i="43"/>
  <c r="EQ94" i="43"/>
  <c r="ER94" i="43"/>
  <c r="ES94" i="43"/>
  <c r="ET94" i="43"/>
  <c r="EU94" i="43"/>
  <c r="EV94" i="43"/>
  <c r="EW94" i="43"/>
  <c r="EX94" i="43"/>
  <c r="EY94" i="43"/>
  <c r="EZ94" i="43"/>
  <c r="FA94" i="43"/>
  <c r="FB94" i="43"/>
  <c r="FC94" i="43"/>
  <c r="FD94" i="43"/>
  <c r="FE94" i="43"/>
  <c r="FF94" i="43"/>
  <c r="FG94" i="43"/>
  <c r="FH94" i="43"/>
  <c r="FI94" i="43"/>
  <c r="FJ94" i="43"/>
  <c r="FK94" i="43"/>
  <c r="FL94" i="43"/>
  <c r="FM94" i="43"/>
  <c r="FN94" i="43"/>
  <c r="FO94" i="43"/>
  <c r="FP94" i="43"/>
  <c r="FQ94" i="43"/>
  <c r="FR94" i="43"/>
  <c r="FS94" i="43"/>
  <c r="FT94" i="43"/>
  <c r="FU94" i="43"/>
  <c r="FV94" i="43"/>
  <c r="FW94" i="43"/>
  <c r="FX94" i="43"/>
  <c r="FY94" i="43"/>
  <c r="FZ94" i="43"/>
  <c r="GA94" i="43"/>
  <c r="GB94" i="43"/>
  <c r="GC94" i="43"/>
  <c r="GD94" i="43"/>
  <c r="GE94" i="43"/>
  <c r="GF94" i="43"/>
  <c r="GG94" i="43"/>
  <c r="GH94" i="43"/>
  <c r="GI94" i="43"/>
  <c r="GJ94" i="43"/>
  <c r="GK94" i="43"/>
  <c r="GL94" i="43"/>
  <c r="GM94" i="43"/>
  <c r="GN94" i="43"/>
  <c r="GO94" i="43"/>
  <c r="GP94" i="43"/>
  <c r="GQ94" i="43"/>
  <c r="GR94" i="43"/>
  <c r="GS94" i="43"/>
  <c r="GT94" i="43"/>
  <c r="GU94" i="43"/>
  <c r="GV94" i="43"/>
  <c r="GW94" i="43"/>
  <c r="GX94" i="43"/>
  <c r="GY94" i="43"/>
  <c r="GZ94" i="43"/>
  <c r="HA94" i="43"/>
  <c r="HB94" i="43"/>
  <c r="HC94" i="43"/>
  <c r="HD94" i="43"/>
  <c r="HE94" i="43"/>
  <c r="HF94" i="43"/>
  <c r="HG94" i="43"/>
  <c r="HH94" i="43"/>
  <c r="HI94" i="43"/>
  <c r="HJ94" i="43"/>
  <c r="HK94" i="43"/>
  <c r="HL94" i="43"/>
  <c r="HM94" i="43"/>
  <c r="HN94" i="43"/>
  <c r="HO94" i="43"/>
  <c r="HP94" i="43"/>
  <c r="HQ94" i="43"/>
  <c r="HR94" i="43"/>
  <c r="HS94" i="43"/>
  <c r="HT94" i="43"/>
  <c r="HU94" i="43"/>
  <c r="HV94" i="43"/>
  <c r="HW94" i="43"/>
  <c r="HX94" i="43"/>
  <c r="HY94" i="43"/>
  <c r="HZ94" i="43"/>
  <c r="IA94" i="43"/>
  <c r="IB94" i="43"/>
  <c r="IC94" i="43"/>
  <c r="ID94" i="43"/>
  <c r="IE94" i="43"/>
  <c r="IF94" i="43"/>
  <c r="IG94" i="43"/>
  <c r="IH94" i="43"/>
  <c r="II94" i="43"/>
  <c r="IJ94" i="43"/>
  <c r="IK94" i="43"/>
  <c r="IL94" i="43"/>
  <c r="IM94" i="43"/>
  <c r="IN94" i="43"/>
  <c r="IO94" i="43"/>
  <c r="IP94" i="43"/>
  <c r="IQ94" i="43"/>
  <c r="IR94" i="43"/>
  <c r="IS94" i="43"/>
  <c r="IT94" i="43"/>
  <c r="IU94" i="43"/>
  <c r="IV94" i="43"/>
  <c r="A93" i="43"/>
  <c r="B93" i="43"/>
  <c r="C93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BD93" i="43"/>
  <c r="BE93" i="43"/>
  <c r="BF93" i="43"/>
  <c r="BG93" i="43"/>
  <c r="BH93" i="43"/>
  <c r="BI93" i="43"/>
  <c r="BJ93" i="43"/>
  <c r="BK93" i="43"/>
  <c r="BL93" i="43"/>
  <c r="BM93" i="43"/>
  <c r="BN93" i="43"/>
  <c r="BO93" i="43"/>
  <c r="BP93" i="43"/>
  <c r="BQ93" i="43"/>
  <c r="BR93" i="43"/>
  <c r="BS93" i="43"/>
  <c r="BT93" i="43"/>
  <c r="BU93" i="43"/>
  <c r="BV93" i="43"/>
  <c r="BW93" i="43"/>
  <c r="BX93" i="43"/>
  <c r="BY93" i="43"/>
  <c r="BZ93" i="43"/>
  <c r="CA93" i="43"/>
  <c r="CB93" i="43"/>
  <c r="CC93" i="43"/>
  <c r="CD93" i="43"/>
  <c r="CE93" i="43"/>
  <c r="CF93" i="43"/>
  <c r="CG93" i="43"/>
  <c r="CH93" i="43"/>
  <c r="CI93" i="43"/>
  <c r="CJ93" i="43"/>
  <c r="CK93" i="43"/>
  <c r="CL93" i="43"/>
  <c r="CM93" i="43"/>
  <c r="CN93" i="43"/>
  <c r="CO93" i="43"/>
  <c r="CP93" i="43"/>
  <c r="CQ93" i="43"/>
  <c r="CR93" i="43"/>
  <c r="CS93" i="43"/>
  <c r="CT93" i="43"/>
  <c r="CU93" i="43"/>
  <c r="CV93" i="43"/>
  <c r="CW93" i="43"/>
  <c r="CX93" i="43"/>
  <c r="CY93" i="43"/>
  <c r="CZ93" i="43"/>
  <c r="DA93" i="43"/>
  <c r="DB93" i="43"/>
  <c r="DC93" i="43"/>
  <c r="DD93" i="43"/>
  <c r="DE93" i="43"/>
  <c r="DF93" i="43"/>
  <c r="DG93" i="43"/>
  <c r="DH93" i="43"/>
  <c r="DI93" i="43"/>
  <c r="DJ93" i="43"/>
  <c r="DK93" i="43"/>
  <c r="DL93" i="43"/>
  <c r="DM93" i="43"/>
  <c r="DN93" i="43"/>
  <c r="DO93" i="43"/>
  <c r="DP93" i="43"/>
  <c r="DQ93" i="43"/>
  <c r="DR93" i="43"/>
  <c r="DS93" i="43"/>
  <c r="DT93" i="43"/>
  <c r="DU93" i="43"/>
  <c r="DV93" i="43"/>
  <c r="DW93" i="43"/>
  <c r="DX93" i="43"/>
  <c r="DY93" i="43"/>
  <c r="DZ93" i="43"/>
  <c r="EA93" i="43"/>
  <c r="EB93" i="43"/>
  <c r="EC93" i="43"/>
  <c r="ED93" i="43"/>
  <c r="EE93" i="43"/>
  <c r="EF93" i="43"/>
  <c r="EG93" i="43"/>
  <c r="EH93" i="43"/>
  <c r="EI93" i="43"/>
  <c r="EJ93" i="43"/>
  <c r="EK93" i="43"/>
  <c r="EL93" i="43"/>
  <c r="EM93" i="43"/>
  <c r="EN93" i="43"/>
  <c r="EO93" i="43"/>
  <c r="EP93" i="43"/>
  <c r="EQ93" i="43"/>
  <c r="ER93" i="43"/>
  <c r="ES93" i="43"/>
  <c r="ET93" i="43"/>
  <c r="EU93" i="43"/>
  <c r="EV93" i="43"/>
  <c r="EW93" i="43"/>
  <c r="EX93" i="43"/>
  <c r="EY93" i="43"/>
  <c r="EZ93" i="43"/>
  <c r="FA93" i="43"/>
  <c r="FB93" i="43"/>
  <c r="FC93" i="43"/>
  <c r="FD93" i="43"/>
  <c r="FE93" i="43"/>
  <c r="FF93" i="43"/>
  <c r="FG93" i="43"/>
  <c r="FH93" i="43"/>
  <c r="FI93" i="43"/>
  <c r="FJ93" i="43"/>
  <c r="FK93" i="43"/>
  <c r="FL93" i="43"/>
  <c r="FM93" i="43"/>
  <c r="FN93" i="43"/>
  <c r="FO93" i="43"/>
  <c r="FP93" i="43"/>
  <c r="FQ93" i="43"/>
  <c r="FR93" i="43"/>
  <c r="FS93" i="43"/>
  <c r="FT93" i="43"/>
  <c r="FU93" i="43"/>
  <c r="FV93" i="43"/>
  <c r="FW93" i="43"/>
  <c r="FX93" i="43"/>
  <c r="FY93" i="43"/>
  <c r="FZ93" i="43"/>
  <c r="GA93" i="43"/>
  <c r="GB93" i="43"/>
  <c r="GC93" i="43"/>
  <c r="GD93" i="43"/>
  <c r="GE93" i="43"/>
  <c r="GF93" i="43"/>
  <c r="GG93" i="43"/>
  <c r="GH93" i="43"/>
  <c r="GI93" i="43"/>
  <c r="GJ93" i="43"/>
  <c r="GK93" i="43"/>
  <c r="GL93" i="43"/>
  <c r="GM93" i="43"/>
  <c r="GN93" i="43"/>
  <c r="GO93" i="43"/>
  <c r="GP93" i="43"/>
  <c r="GQ93" i="43"/>
  <c r="GR93" i="43"/>
  <c r="GS93" i="43"/>
  <c r="GT93" i="43"/>
  <c r="GU93" i="43"/>
  <c r="GV93" i="43"/>
  <c r="GW93" i="43"/>
  <c r="GX93" i="43"/>
  <c r="GY93" i="43"/>
  <c r="GZ93" i="43"/>
  <c r="HA93" i="43"/>
  <c r="HB93" i="43"/>
  <c r="HC93" i="43"/>
  <c r="HD93" i="43"/>
  <c r="HE93" i="43"/>
  <c r="HF93" i="43"/>
  <c r="HG93" i="43"/>
  <c r="HH93" i="43"/>
  <c r="HI93" i="43"/>
  <c r="HJ93" i="43"/>
  <c r="HK93" i="43"/>
  <c r="HL93" i="43"/>
  <c r="HM93" i="43"/>
  <c r="HN93" i="43"/>
  <c r="HO93" i="43"/>
  <c r="HP93" i="43"/>
  <c r="HQ93" i="43"/>
  <c r="HR93" i="43"/>
  <c r="HS93" i="43"/>
  <c r="HT93" i="43"/>
  <c r="HU93" i="43"/>
  <c r="HV93" i="43"/>
  <c r="HW93" i="43"/>
  <c r="HX93" i="43"/>
  <c r="HY93" i="43"/>
  <c r="HZ93" i="43"/>
  <c r="IA93" i="43"/>
  <c r="IB93" i="43"/>
  <c r="IC93" i="43"/>
  <c r="ID93" i="43"/>
  <c r="IE93" i="43"/>
  <c r="IF93" i="43"/>
  <c r="IG93" i="43"/>
  <c r="IH93" i="43"/>
  <c r="II93" i="43"/>
  <c r="IJ93" i="43"/>
  <c r="IK93" i="43"/>
  <c r="IL93" i="43"/>
  <c r="IM93" i="43"/>
  <c r="IN93" i="43"/>
  <c r="IO93" i="43"/>
  <c r="IP93" i="43"/>
  <c r="IQ93" i="43"/>
  <c r="IR93" i="43"/>
  <c r="IS93" i="43"/>
  <c r="IT93" i="43"/>
  <c r="IU93" i="43"/>
  <c r="IV93" i="43"/>
  <c r="A92" i="43"/>
  <c r="B92" i="43"/>
  <c r="C92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BD92" i="43"/>
  <c r="BE92" i="43"/>
  <c r="BF92" i="43"/>
  <c r="BG92" i="43"/>
  <c r="BH92" i="43"/>
  <c r="BI92" i="43"/>
  <c r="BJ92" i="43"/>
  <c r="BK92" i="43"/>
  <c r="BL92" i="43"/>
  <c r="BM92" i="43"/>
  <c r="BN92" i="43"/>
  <c r="BO92" i="43"/>
  <c r="BP92" i="43"/>
  <c r="BQ92" i="43"/>
  <c r="BR92" i="43"/>
  <c r="BS92" i="43"/>
  <c r="BT92" i="43"/>
  <c r="BU92" i="43"/>
  <c r="BV92" i="43"/>
  <c r="BW92" i="43"/>
  <c r="BX92" i="43"/>
  <c r="BY92" i="43"/>
  <c r="BZ92" i="43"/>
  <c r="CA92" i="43"/>
  <c r="CB92" i="43"/>
  <c r="CC92" i="43"/>
  <c r="CD92" i="43"/>
  <c r="CE92" i="43"/>
  <c r="CF92" i="43"/>
  <c r="CG92" i="43"/>
  <c r="CH92" i="43"/>
  <c r="CI92" i="43"/>
  <c r="CJ92" i="43"/>
  <c r="CK92" i="43"/>
  <c r="CL92" i="43"/>
  <c r="CM92" i="43"/>
  <c r="CN92" i="43"/>
  <c r="CO92" i="43"/>
  <c r="CP92" i="43"/>
  <c r="CQ92" i="43"/>
  <c r="CR92" i="43"/>
  <c r="CS92" i="43"/>
  <c r="CT92" i="43"/>
  <c r="CU92" i="43"/>
  <c r="CV92" i="43"/>
  <c r="CW92" i="43"/>
  <c r="CX92" i="43"/>
  <c r="CY92" i="43"/>
  <c r="CZ92" i="43"/>
  <c r="DA92" i="43"/>
  <c r="DB92" i="43"/>
  <c r="DC92" i="43"/>
  <c r="DD92" i="43"/>
  <c r="DE92" i="43"/>
  <c r="DF92" i="43"/>
  <c r="DG92" i="43"/>
  <c r="DH92" i="43"/>
  <c r="DI92" i="43"/>
  <c r="DJ92" i="43"/>
  <c r="DK92" i="43"/>
  <c r="DL92" i="43"/>
  <c r="DM92" i="43"/>
  <c r="DN92" i="43"/>
  <c r="DO92" i="43"/>
  <c r="DP92" i="43"/>
  <c r="DQ92" i="43"/>
  <c r="DR92" i="43"/>
  <c r="DS92" i="43"/>
  <c r="DT92" i="43"/>
  <c r="DU92" i="43"/>
  <c r="DV92" i="43"/>
  <c r="DW92" i="43"/>
  <c r="DX92" i="43"/>
  <c r="DY92" i="43"/>
  <c r="DZ92" i="43"/>
  <c r="EA92" i="43"/>
  <c r="EB92" i="43"/>
  <c r="EC92" i="43"/>
  <c r="ED92" i="43"/>
  <c r="EE92" i="43"/>
  <c r="EF92" i="43"/>
  <c r="EG92" i="43"/>
  <c r="EH92" i="43"/>
  <c r="EI92" i="43"/>
  <c r="EJ92" i="43"/>
  <c r="EK92" i="43"/>
  <c r="EL92" i="43"/>
  <c r="EM92" i="43"/>
  <c r="EN92" i="43"/>
  <c r="EO92" i="43"/>
  <c r="EP92" i="43"/>
  <c r="EQ92" i="43"/>
  <c r="ER92" i="43"/>
  <c r="ES92" i="43"/>
  <c r="ET92" i="43"/>
  <c r="EU92" i="43"/>
  <c r="EV92" i="43"/>
  <c r="EW92" i="43"/>
  <c r="EX92" i="43"/>
  <c r="EY92" i="43"/>
  <c r="EZ92" i="43"/>
  <c r="FA92" i="43"/>
  <c r="FB92" i="43"/>
  <c r="FC92" i="43"/>
  <c r="FD92" i="43"/>
  <c r="FE92" i="43"/>
  <c r="FF92" i="43"/>
  <c r="FG92" i="43"/>
  <c r="FH92" i="43"/>
  <c r="FI92" i="43"/>
  <c r="FJ92" i="43"/>
  <c r="FK92" i="43"/>
  <c r="FL92" i="43"/>
  <c r="FM92" i="43"/>
  <c r="FN92" i="43"/>
  <c r="FO92" i="43"/>
  <c r="FP92" i="43"/>
  <c r="FQ92" i="43"/>
  <c r="FR92" i="43"/>
  <c r="FS92" i="43"/>
  <c r="FT92" i="43"/>
  <c r="FU92" i="43"/>
  <c r="FV92" i="43"/>
  <c r="FW92" i="43"/>
  <c r="FX92" i="43"/>
  <c r="FY92" i="43"/>
  <c r="FZ92" i="43"/>
  <c r="GA92" i="43"/>
  <c r="GB92" i="43"/>
  <c r="GC92" i="43"/>
  <c r="GD92" i="43"/>
  <c r="GE92" i="43"/>
  <c r="GF92" i="43"/>
  <c r="GG92" i="43"/>
  <c r="GH92" i="43"/>
  <c r="GI92" i="43"/>
  <c r="GJ92" i="43"/>
  <c r="GK92" i="43"/>
  <c r="GL92" i="43"/>
  <c r="GM92" i="43"/>
  <c r="GN92" i="43"/>
  <c r="GO92" i="43"/>
  <c r="GP92" i="43"/>
  <c r="GQ92" i="43"/>
  <c r="GR92" i="43"/>
  <c r="GS92" i="43"/>
  <c r="GT92" i="43"/>
  <c r="GU92" i="43"/>
  <c r="GV92" i="43"/>
  <c r="GW92" i="43"/>
  <c r="GX92" i="43"/>
  <c r="GY92" i="43"/>
  <c r="GZ92" i="43"/>
  <c r="HA92" i="43"/>
  <c r="HB92" i="43"/>
  <c r="HC92" i="43"/>
  <c r="HD92" i="43"/>
  <c r="HE92" i="43"/>
  <c r="HF92" i="43"/>
  <c r="HG92" i="43"/>
  <c r="HH92" i="43"/>
  <c r="HI92" i="43"/>
  <c r="HJ92" i="43"/>
  <c r="HK92" i="43"/>
  <c r="HL92" i="43"/>
  <c r="HM92" i="43"/>
  <c r="HN92" i="43"/>
  <c r="HO92" i="43"/>
  <c r="HP92" i="43"/>
  <c r="HQ92" i="43"/>
  <c r="HR92" i="43"/>
  <c r="HS92" i="43"/>
  <c r="HT92" i="43"/>
  <c r="HU92" i="43"/>
  <c r="HV92" i="43"/>
  <c r="HW92" i="43"/>
  <c r="HX92" i="43"/>
  <c r="HY92" i="43"/>
  <c r="HZ92" i="43"/>
  <c r="IA92" i="43"/>
  <c r="IB92" i="43"/>
  <c r="IC92" i="43"/>
  <c r="ID92" i="43"/>
  <c r="IE92" i="43"/>
  <c r="IF92" i="43"/>
  <c r="IG92" i="43"/>
  <c r="IH92" i="43"/>
  <c r="II92" i="43"/>
  <c r="IJ92" i="43"/>
  <c r="IK92" i="43"/>
  <c r="IL92" i="43"/>
  <c r="IM92" i="43"/>
  <c r="IN92" i="43"/>
  <c r="IO92" i="43"/>
  <c r="IP92" i="43"/>
  <c r="IQ92" i="43"/>
  <c r="IR92" i="43"/>
  <c r="IS92" i="43"/>
  <c r="IT92" i="43"/>
  <c r="IU92" i="43"/>
  <c r="IV92" i="43"/>
  <c r="A91" i="43"/>
  <c r="B91" i="43"/>
  <c r="C91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BD91" i="43"/>
  <c r="BE91" i="43"/>
  <c r="BF91" i="43"/>
  <c r="BG91" i="43"/>
  <c r="BH91" i="43"/>
  <c r="BI91" i="43"/>
  <c r="BJ91" i="43"/>
  <c r="BK91" i="43"/>
  <c r="BL91" i="43"/>
  <c r="BM91" i="43"/>
  <c r="BN91" i="43"/>
  <c r="BO91" i="43"/>
  <c r="BP91" i="43"/>
  <c r="BQ91" i="43"/>
  <c r="BR91" i="43"/>
  <c r="BS91" i="43"/>
  <c r="BT91" i="43"/>
  <c r="BU91" i="43"/>
  <c r="BV91" i="43"/>
  <c r="BW91" i="43"/>
  <c r="BX91" i="43"/>
  <c r="BY91" i="43"/>
  <c r="BZ91" i="43"/>
  <c r="CA91" i="43"/>
  <c r="CB91" i="43"/>
  <c r="CC91" i="43"/>
  <c r="CD91" i="43"/>
  <c r="CE91" i="43"/>
  <c r="CF91" i="43"/>
  <c r="CG91" i="43"/>
  <c r="CH91" i="43"/>
  <c r="CI91" i="43"/>
  <c r="CJ91" i="43"/>
  <c r="CK91" i="43"/>
  <c r="CL91" i="43"/>
  <c r="CM91" i="43"/>
  <c r="CN91" i="43"/>
  <c r="CO91" i="43"/>
  <c r="CP91" i="43"/>
  <c r="CQ91" i="43"/>
  <c r="CR91" i="43"/>
  <c r="CS91" i="43"/>
  <c r="CT91" i="43"/>
  <c r="CU91" i="43"/>
  <c r="CV91" i="43"/>
  <c r="CW91" i="43"/>
  <c r="CX91" i="43"/>
  <c r="CY91" i="43"/>
  <c r="CZ91" i="43"/>
  <c r="DA91" i="43"/>
  <c r="DB91" i="43"/>
  <c r="DC91" i="43"/>
  <c r="DD91" i="43"/>
  <c r="DE91" i="43"/>
  <c r="DF91" i="43"/>
  <c r="DG91" i="43"/>
  <c r="DH91" i="43"/>
  <c r="DI91" i="43"/>
  <c r="DJ91" i="43"/>
  <c r="DK91" i="43"/>
  <c r="DL91" i="43"/>
  <c r="DM91" i="43"/>
  <c r="DN91" i="43"/>
  <c r="DO91" i="43"/>
  <c r="DP91" i="43"/>
  <c r="DQ91" i="43"/>
  <c r="DR91" i="43"/>
  <c r="DS91" i="43"/>
  <c r="DT91" i="43"/>
  <c r="DU91" i="43"/>
  <c r="DV91" i="43"/>
  <c r="DW91" i="43"/>
  <c r="DX91" i="43"/>
  <c r="DY91" i="43"/>
  <c r="DZ91" i="43"/>
  <c r="EA91" i="43"/>
  <c r="EB91" i="43"/>
  <c r="EC91" i="43"/>
  <c r="ED91" i="43"/>
  <c r="EE91" i="43"/>
  <c r="EF91" i="43"/>
  <c r="EG91" i="43"/>
  <c r="EH91" i="43"/>
  <c r="EI91" i="43"/>
  <c r="EJ91" i="43"/>
  <c r="EK91" i="43"/>
  <c r="EL91" i="43"/>
  <c r="EM91" i="43"/>
  <c r="EN91" i="43"/>
  <c r="EO91" i="43"/>
  <c r="EP91" i="43"/>
  <c r="EQ91" i="43"/>
  <c r="ER91" i="43"/>
  <c r="ES91" i="43"/>
  <c r="ET91" i="43"/>
  <c r="EU91" i="43"/>
  <c r="EV91" i="43"/>
  <c r="EW91" i="43"/>
  <c r="EX91" i="43"/>
  <c r="EY91" i="43"/>
  <c r="EZ91" i="43"/>
  <c r="FA91" i="43"/>
  <c r="FB91" i="43"/>
  <c r="FC91" i="43"/>
  <c r="FD91" i="43"/>
  <c r="FE91" i="43"/>
  <c r="FF91" i="43"/>
  <c r="FG91" i="43"/>
  <c r="FH91" i="43"/>
  <c r="FI91" i="43"/>
  <c r="FJ91" i="43"/>
  <c r="FK91" i="43"/>
  <c r="FL91" i="43"/>
  <c r="FM91" i="43"/>
  <c r="FN91" i="43"/>
  <c r="FO91" i="43"/>
  <c r="FP91" i="43"/>
  <c r="FQ91" i="43"/>
  <c r="FR91" i="43"/>
  <c r="FS91" i="43"/>
  <c r="FT91" i="43"/>
  <c r="FU91" i="43"/>
  <c r="FV91" i="43"/>
  <c r="FW91" i="43"/>
  <c r="FX91" i="43"/>
  <c r="FY91" i="43"/>
  <c r="FZ91" i="43"/>
  <c r="GA91" i="43"/>
  <c r="GB91" i="43"/>
  <c r="GC91" i="43"/>
  <c r="GD91" i="43"/>
  <c r="GE91" i="43"/>
  <c r="GF91" i="43"/>
  <c r="GG91" i="43"/>
  <c r="GH91" i="43"/>
  <c r="GI91" i="43"/>
  <c r="GJ91" i="43"/>
  <c r="GK91" i="43"/>
  <c r="GL91" i="43"/>
  <c r="GM91" i="43"/>
  <c r="GN91" i="43"/>
  <c r="GO91" i="43"/>
  <c r="GP91" i="43"/>
  <c r="GQ91" i="43"/>
  <c r="GR91" i="43"/>
  <c r="GS91" i="43"/>
  <c r="GT91" i="43"/>
  <c r="GU91" i="43"/>
  <c r="GV91" i="43"/>
  <c r="GW91" i="43"/>
  <c r="GX91" i="43"/>
  <c r="GY91" i="43"/>
  <c r="GZ91" i="43"/>
  <c r="HA91" i="43"/>
  <c r="HB91" i="43"/>
  <c r="HC91" i="43"/>
  <c r="HD91" i="43"/>
  <c r="HE91" i="43"/>
  <c r="HF91" i="43"/>
  <c r="HG91" i="43"/>
  <c r="HH91" i="43"/>
  <c r="HI91" i="43"/>
  <c r="HJ91" i="43"/>
  <c r="HK91" i="43"/>
  <c r="HL91" i="43"/>
  <c r="HM91" i="43"/>
  <c r="HN91" i="43"/>
  <c r="HO91" i="43"/>
  <c r="HP91" i="43"/>
  <c r="HQ91" i="43"/>
  <c r="HR91" i="43"/>
  <c r="HS91" i="43"/>
  <c r="HT91" i="43"/>
  <c r="HU91" i="43"/>
  <c r="HV91" i="43"/>
  <c r="HW91" i="43"/>
  <c r="HX91" i="43"/>
  <c r="HY91" i="43"/>
  <c r="HZ91" i="43"/>
  <c r="IA91" i="43"/>
  <c r="IB91" i="43"/>
  <c r="IC91" i="43"/>
  <c r="ID91" i="43"/>
  <c r="IE91" i="43"/>
  <c r="IF91" i="43"/>
  <c r="IG91" i="43"/>
  <c r="IH91" i="43"/>
  <c r="II91" i="43"/>
  <c r="IJ91" i="43"/>
  <c r="IK91" i="43"/>
  <c r="IL91" i="43"/>
  <c r="IM91" i="43"/>
  <c r="IN91" i="43"/>
  <c r="IO91" i="43"/>
  <c r="IP91" i="43"/>
  <c r="IQ91" i="43"/>
  <c r="IR91" i="43"/>
  <c r="IS91" i="43"/>
  <c r="IT91" i="43"/>
  <c r="IU91" i="43"/>
  <c r="IV91" i="43"/>
  <c r="A90" i="43"/>
  <c r="B90" i="43"/>
  <c r="C90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BD90" i="43"/>
  <c r="BE90" i="43"/>
  <c r="BF90" i="43"/>
  <c r="BG90" i="43"/>
  <c r="BH90" i="43"/>
  <c r="BI90" i="43"/>
  <c r="BJ90" i="43"/>
  <c r="BK90" i="43"/>
  <c r="BL90" i="43"/>
  <c r="BM90" i="43"/>
  <c r="BN90" i="43"/>
  <c r="BO90" i="43"/>
  <c r="BP90" i="43"/>
  <c r="BQ90" i="43"/>
  <c r="BR90" i="43"/>
  <c r="BS90" i="43"/>
  <c r="BT90" i="43"/>
  <c r="BU90" i="43"/>
  <c r="BV90" i="43"/>
  <c r="BW90" i="43"/>
  <c r="BX90" i="43"/>
  <c r="BY90" i="43"/>
  <c r="BZ90" i="43"/>
  <c r="CA90" i="43"/>
  <c r="CB90" i="43"/>
  <c r="CC90" i="43"/>
  <c r="CD90" i="43"/>
  <c r="CE90" i="43"/>
  <c r="CF90" i="43"/>
  <c r="CG90" i="43"/>
  <c r="CH90" i="43"/>
  <c r="CI90" i="43"/>
  <c r="CJ90" i="43"/>
  <c r="CK90" i="43"/>
  <c r="CL90" i="43"/>
  <c r="CM90" i="43"/>
  <c r="CN90" i="43"/>
  <c r="CO90" i="43"/>
  <c r="CP90" i="43"/>
  <c r="CQ90" i="43"/>
  <c r="CR90" i="43"/>
  <c r="CS90" i="43"/>
  <c r="CT90" i="43"/>
  <c r="CU90" i="43"/>
  <c r="CV90" i="43"/>
  <c r="CW90" i="43"/>
  <c r="CX90" i="43"/>
  <c r="CY90" i="43"/>
  <c r="CZ90" i="43"/>
  <c r="DA90" i="43"/>
  <c r="DB90" i="43"/>
  <c r="DC90" i="43"/>
  <c r="DD90" i="43"/>
  <c r="DE90" i="43"/>
  <c r="DF90" i="43"/>
  <c r="DG90" i="43"/>
  <c r="DH90" i="43"/>
  <c r="DI90" i="43"/>
  <c r="DJ90" i="43"/>
  <c r="DK90" i="43"/>
  <c r="DL90" i="43"/>
  <c r="DM90" i="43"/>
  <c r="DN90" i="43"/>
  <c r="DO90" i="43"/>
  <c r="DP90" i="43"/>
  <c r="DQ90" i="43"/>
  <c r="DR90" i="43"/>
  <c r="DS90" i="43"/>
  <c r="DT90" i="43"/>
  <c r="DU90" i="43"/>
  <c r="DV90" i="43"/>
  <c r="DW90" i="43"/>
  <c r="DX90" i="43"/>
  <c r="DY90" i="43"/>
  <c r="DZ90" i="43"/>
  <c r="EA90" i="43"/>
  <c r="EB90" i="43"/>
  <c r="EC90" i="43"/>
  <c r="ED90" i="43"/>
  <c r="EE90" i="43"/>
  <c r="EF90" i="43"/>
  <c r="EG90" i="43"/>
  <c r="EH90" i="43"/>
  <c r="EI90" i="43"/>
  <c r="EJ90" i="43"/>
  <c r="EK90" i="43"/>
  <c r="EL90" i="43"/>
  <c r="EM90" i="43"/>
  <c r="EN90" i="43"/>
  <c r="EO90" i="43"/>
  <c r="EP90" i="43"/>
  <c r="EQ90" i="43"/>
  <c r="ER90" i="43"/>
  <c r="ES90" i="43"/>
  <c r="ET90" i="43"/>
  <c r="EU90" i="43"/>
  <c r="EV90" i="43"/>
  <c r="EW90" i="43"/>
  <c r="EX90" i="43"/>
  <c r="EY90" i="43"/>
  <c r="EZ90" i="43"/>
  <c r="FA90" i="43"/>
  <c r="FB90" i="43"/>
  <c r="FC90" i="43"/>
  <c r="FD90" i="43"/>
  <c r="FE90" i="43"/>
  <c r="FF90" i="43"/>
  <c r="FG90" i="43"/>
  <c r="FH90" i="43"/>
  <c r="FI90" i="43"/>
  <c r="FJ90" i="43"/>
  <c r="FK90" i="43"/>
  <c r="FL90" i="43"/>
  <c r="FM90" i="43"/>
  <c r="FN90" i="43"/>
  <c r="FO90" i="43"/>
  <c r="FP90" i="43"/>
  <c r="FQ90" i="43"/>
  <c r="FR90" i="43"/>
  <c r="FS90" i="43"/>
  <c r="FT90" i="43"/>
  <c r="FU90" i="43"/>
  <c r="FV90" i="43"/>
  <c r="FW90" i="43"/>
  <c r="FX90" i="43"/>
  <c r="FY90" i="43"/>
  <c r="FZ90" i="43"/>
  <c r="GA90" i="43"/>
  <c r="GB90" i="43"/>
  <c r="GC90" i="43"/>
  <c r="GD90" i="43"/>
  <c r="GE90" i="43"/>
  <c r="GF90" i="43"/>
  <c r="GG90" i="43"/>
  <c r="GH90" i="43"/>
  <c r="GI90" i="43"/>
  <c r="GJ90" i="43"/>
  <c r="GK90" i="43"/>
  <c r="GL90" i="43"/>
  <c r="GM90" i="43"/>
  <c r="GN90" i="43"/>
  <c r="GO90" i="43"/>
  <c r="GP90" i="43"/>
  <c r="GQ90" i="43"/>
  <c r="GR90" i="43"/>
  <c r="GS90" i="43"/>
  <c r="GT90" i="43"/>
  <c r="GU90" i="43"/>
  <c r="GV90" i="43"/>
  <c r="GW90" i="43"/>
  <c r="GX90" i="43"/>
  <c r="GY90" i="43"/>
  <c r="GZ90" i="43"/>
  <c r="HA90" i="43"/>
  <c r="HB90" i="43"/>
  <c r="HC90" i="43"/>
  <c r="HD90" i="43"/>
  <c r="HE90" i="43"/>
  <c r="HF90" i="43"/>
  <c r="HG90" i="43"/>
  <c r="HH90" i="43"/>
  <c r="HI90" i="43"/>
  <c r="HJ90" i="43"/>
  <c r="HK90" i="43"/>
  <c r="HL90" i="43"/>
  <c r="HM90" i="43"/>
  <c r="HN90" i="43"/>
  <c r="HO90" i="43"/>
  <c r="HP90" i="43"/>
  <c r="HQ90" i="43"/>
  <c r="HR90" i="43"/>
  <c r="HS90" i="43"/>
  <c r="HT90" i="43"/>
  <c r="HU90" i="43"/>
  <c r="HV90" i="43"/>
  <c r="HW90" i="43"/>
  <c r="HX90" i="43"/>
  <c r="HY90" i="43"/>
  <c r="HZ90" i="43"/>
  <c r="IA90" i="43"/>
  <c r="IB90" i="43"/>
  <c r="IC90" i="43"/>
  <c r="ID90" i="43"/>
  <c r="IE90" i="43"/>
  <c r="IF90" i="43"/>
  <c r="IG90" i="43"/>
  <c r="IH90" i="43"/>
  <c r="II90" i="43"/>
  <c r="IJ90" i="43"/>
  <c r="IK90" i="43"/>
  <c r="IL90" i="43"/>
  <c r="IM90" i="43"/>
  <c r="IN90" i="43"/>
  <c r="IO90" i="43"/>
  <c r="IP90" i="43"/>
  <c r="IQ90" i="43"/>
  <c r="IR90" i="43"/>
  <c r="IS90" i="43"/>
  <c r="IT90" i="43"/>
  <c r="IU90" i="43"/>
  <c r="IV90" i="43"/>
  <c r="A89" i="43"/>
  <c r="B89" i="43"/>
  <c r="C89" i="43"/>
  <c r="D89" i="43"/>
  <c r="E89" i="43"/>
  <c r="F89" i="43"/>
  <c r="G89" i="43"/>
  <c r="H89" i="43"/>
  <c r="I89" i="43"/>
  <c r="J89" i="43"/>
  <c r="K89" i="43"/>
  <c r="L89" i="43"/>
  <c r="M89" i="43"/>
  <c r="N89" i="43"/>
  <c r="O89" i="43"/>
  <c r="P89" i="43"/>
  <c r="Q89" i="43"/>
  <c r="R89" i="43"/>
  <c r="S89" i="43"/>
  <c r="T89" i="43"/>
  <c r="U89" i="43"/>
  <c r="V89" i="43"/>
  <c r="W89" i="43"/>
  <c r="X89" i="43"/>
  <c r="Y89" i="43"/>
  <c r="Z89" i="43"/>
  <c r="AA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AW89" i="43"/>
  <c r="AX89" i="43"/>
  <c r="AY89" i="43"/>
  <c r="AZ89" i="43"/>
  <c r="BA89" i="43"/>
  <c r="BB89" i="43"/>
  <c r="BC89" i="43"/>
  <c r="BD89" i="43"/>
  <c r="BE89" i="43"/>
  <c r="BF89" i="43"/>
  <c r="BG89" i="43"/>
  <c r="BH89" i="43"/>
  <c r="BI89" i="43"/>
  <c r="BJ89" i="43"/>
  <c r="BK89" i="43"/>
  <c r="BL89" i="43"/>
  <c r="BM89" i="43"/>
  <c r="BN89" i="43"/>
  <c r="BO89" i="43"/>
  <c r="BP89" i="43"/>
  <c r="BQ89" i="43"/>
  <c r="BR89" i="43"/>
  <c r="BS89" i="43"/>
  <c r="BT89" i="43"/>
  <c r="BU89" i="43"/>
  <c r="BV89" i="43"/>
  <c r="BW89" i="43"/>
  <c r="BX89" i="43"/>
  <c r="BY89" i="43"/>
  <c r="BZ89" i="43"/>
  <c r="CA89" i="43"/>
  <c r="CB89" i="43"/>
  <c r="CC89" i="43"/>
  <c r="CD89" i="43"/>
  <c r="CE89" i="43"/>
  <c r="CF89" i="43"/>
  <c r="CG89" i="43"/>
  <c r="CH89" i="43"/>
  <c r="CI89" i="43"/>
  <c r="CJ89" i="43"/>
  <c r="CK89" i="43"/>
  <c r="CL89" i="43"/>
  <c r="CM89" i="43"/>
  <c r="CN89" i="43"/>
  <c r="CO89" i="43"/>
  <c r="CP89" i="43"/>
  <c r="CQ89" i="43"/>
  <c r="CR89" i="43"/>
  <c r="CS89" i="43"/>
  <c r="CT89" i="43"/>
  <c r="CU89" i="43"/>
  <c r="CV89" i="43"/>
  <c r="CW89" i="43"/>
  <c r="CX89" i="43"/>
  <c r="CY89" i="43"/>
  <c r="CZ89" i="43"/>
  <c r="DA89" i="43"/>
  <c r="DB89" i="43"/>
  <c r="DC89" i="43"/>
  <c r="DD89" i="43"/>
  <c r="DE89" i="43"/>
  <c r="DF89" i="43"/>
  <c r="DG89" i="43"/>
  <c r="DH89" i="43"/>
  <c r="DI89" i="43"/>
  <c r="DJ89" i="43"/>
  <c r="DK89" i="43"/>
  <c r="DL89" i="43"/>
  <c r="DM89" i="43"/>
  <c r="DN89" i="43"/>
  <c r="DO89" i="43"/>
  <c r="DP89" i="43"/>
  <c r="DQ89" i="43"/>
  <c r="DR89" i="43"/>
  <c r="DS89" i="43"/>
  <c r="DT89" i="43"/>
  <c r="DU89" i="43"/>
  <c r="DV89" i="43"/>
  <c r="DW89" i="43"/>
  <c r="DX89" i="43"/>
  <c r="DY89" i="43"/>
  <c r="DZ89" i="43"/>
  <c r="EA89" i="43"/>
  <c r="EB89" i="43"/>
  <c r="EC89" i="43"/>
  <c r="ED89" i="43"/>
  <c r="EE89" i="43"/>
  <c r="EF89" i="43"/>
  <c r="EG89" i="43"/>
  <c r="EH89" i="43"/>
  <c r="EI89" i="43"/>
  <c r="EJ89" i="43"/>
  <c r="EK89" i="43"/>
  <c r="EL89" i="43"/>
  <c r="EM89" i="43"/>
  <c r="EN89" i="43"/>
  <c r="EO89" i="43"/>
  <c r="EP89" i="43"/>
  <c r="EQ89" i="43"/>
  <c r="ER89" i="43"/>
  <c r="ES89" i="43"/>
  <c r="ET89" i="43"/>
  <c r="EU89" i="43"/>
  <c r="EV89" i="43"/>
  <c r="EW89" i="43"/>
  <c r="EX89" i="43"/>
  <c r="EY89" i="43"/>
  <c r="EZ89" i="43"/>
  <c r="FA89" i="43"/>
  <c r="FB89" i="43"/>
  <c r="FC89" i="43"/>
  <c r="FD89" i="43"/>
  <c r="FE89" i="43"/>
  <c r="FF89" i="43"/>
  <c r="FG89" i="43"/>
  <c r="FH89" i="43"/>
  <c r="FI89" i="43"/>
  <c r="FJ89" i="43"/>
  <c r="FK89" i="43"/>
  <c r="FL89" i="43"/>
  <c r="FM89" i="43"/>
  <c r="FN89" i="43"/>
  <c r="FO89" i="43"/>
  <c r="FP89" i="43"/>
  <c r="FQ89" i="43"/>
  <c r="FR89" i="43"/>
  <c r="FS89" i="43"/>
  <c r="FT89" i="43"/>
  <c r="FU89" i="43"/>
  <c r="FV89" i="43"/>
  <c r="FW89" i="43"/>
  <c r="FX89" i="43"/>
  <c r="FY89" i="43"/>
  <c r="FZ89" i="43"/>
  <c r="GA89" i="43"/>
  <c r="GB89" i="43"/>
  <c r="GC89" i="43"/>
  <c r="GD89" i="43"/>
  <c r="GE89" i="43"/>
  <c r="GF89" i="43"/>
  <c r="GG89" i="43"/>
  <c r="GH89" i="43"/>
  <c r="GI89" i="43"/>
  <c r="GJ89" i="43"/>
  <c r="GK89" i="43"/>
  <c r="GL89" i="43"/>
  <c r="GM89" i="43"/>
  <c r="GN89" i="43"/>
  <c r="GO89" i="43"/>
  <c r="GP89" i="43"/>
  <c r="GQ89" i="43"/>
  <c r="GR89" i="43"/>
  <c r="GS89" i="43"/>
  <c r="GT89" i="43"/>
  <c r="GU89" i="43"/>
  <c r="GV89" i="43"/>
  <c r="GW89" i="43"/>
  <c r="GX89" i="43"/>
  <c r="GY89" i="43"/>
  <c r="GZ89" i="43"/>
  <c r="HA89" i="43"/>
  <c r="HB89" i="43"/>
  <c r="HC89" i="43"/>
  <c r="HD89" i="43"/>
  <c r="HE89" i="43"/>
  <c r="HF89" i="43"/>
  <c r="HG89" i="43"/>
  <c r="HH89" i="43"/>
  <c r="HI89" i="43"/>
  <c r="HJ89" i="43"/>
  <c r="HK89" i="43"/>
  <c r="HL89" i="43"/>
  <c r="HM89" i="43"/>
  <c r="HN89" i="43"/>
  <c r="HO89" i="43"/>
  <c r="HP89" i="43"/>
  <c r="HQ89" i="43"/>
  <c r="HR89" i="43"/>
  <c r="HS89" i="43"/>
  <c r="HT89" i="43"/>
  <c r="HU89" i="43"/>
  <c r="HV89" i="43"/>
  <c r="HW89" i="43"/>
  <c r="HX89" i="43"/>
  <c r="HY89" i="43"/>
  <c r="HZ89" i="43"/>
  <c r="IA89" i="43"/>
  <c r="IB89" i="43"/>
  <c r="IC89" i="43"/>
  <c r="ID89" i="43"/>
  <c r="IE89" i="43"/>
  <c r="IF89" i="43"/>
  <c r="IG89" i="43"/>
  <c r="IH89" i="43"/>
  <c r="II89" i="43"/>
  <c r="IJ89" i="43"/>
  <c r="IK89" i="43"/>
  <c r="IL89" i="43"/>
  <c r="IM89" i="43"/>
  <c r="IN89" i="43"/>
  <c r="IO89" i="43"/>
  <c r="IP89" i="43"/>
  <c r="IQ89" i="43"/>
  <c r="IR89" i="43"/>
  <c r="IS89" i="43"/>
  <c r="IT89" i="43"/>
  <c r="IU89" i="43"/>
  <c r="IV89" i="43"/>
  <c r="A88" i="43"/>
  <c r="B88" i="43"/>
  <c r="C88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Y88" i="43"/>
  <c r="Z88" i="43"/>
  <c r="AA88" i="43"/>
  <c r="AB88" i="43"/>
  <c r="AC88" i="43"/>
  <c r="AD88" i="43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AW88" i="43"/>
  <c r="AX88" i="43"/>
  <c r="AY88" i="43"/>
  <c r="AZ88" i="43"/>
  <c r="BA88" i="43"/>
  <c r="BB88" i="43"/>
  <c r="BC88" i="43"/>
  <c r="BD88" i="43"/>
  <c r="BE88" i="43"/>
  <c r="BF88" i="43"/>
  <c r="BG88" i="43"/>
  <c r="BH88" i="43"/>
  <c r="BI88" i="43"/>
  <c r="BJ88" i="43"/>
  <c r="BK88" i="43"/>
  <c r="BL88" i="43"/>
  <c r="BM88" i="43"/>
  <c r="BN88" i="43"/>
  <c r="BO88" i="43"/>
  <c r="BP88" i="43"/>
  <c r="BQ88" i="43"/>
  <c r="BR88" i="43"/>
  <c r="BS88" i="43"/>
  <c r="BT88" i="43"/>
  <c r="BU88" i="43"/>
  <c r="BV88" i="43"/>
  <c r="BW88" i="43"/>
  <c r="BX88" i="43"/>
  <c r="BY88" i="43"/>
  <c r="BZ88" i="43"/>
  <c r="CA88" i="43"/>
  <c r="CB88" i="43"/>
  <c r="CC88" i="43"/>
  <c r="CD88" i="43"/>
  <c r="CE88" i="43"/>
  <c r="CF88" i="43"/>
  <c r="CG88" i="43"/>
  <c r="CH88" i="43"/>
  <c r="CI88" i="43"/>
  <c r="CJ88" i="43"/>
  <c r="CK88" i="43"/>
  <c r="CL88" i="43"/>
  <c r="CM88" i="43"/>
  <c r="CN88" i="43"/>
  <c r="CO88" i="43"/>
  <c r="CP88" i="43"/>
  <c r="CQ88" i="43"/>
  <c r="CR88" i="43"/>
  <c r="CS88" i="43"/>
  <c r="CT88" i="43"/>
  <c r="CU88" i="43"/>
  <c r="CV88" i="43"/>
  <c r="CW88" i="43"/>
  <c r="CX88" i="43"/>
  <c r="CY88" i="43"/>
  <c r="CZ88" i="43"/>
  <c r="DA88" i="43"/>
  <c r="DB88" i="43"/>
  <c r="DC88" i="43"/>
  <c r="DD88" i="43"/>
  <c r="DE88" i="43"/>
  <c r="DF88" i="43"/>
  <c r="DG88" i="43"/>
  <c r="DH88" i="43"/>
  <c r="DI88" i="43"/>
  <c r="DJ88" i="43"/>
  <c r="DK88" i="43"/>
  <c r="DL88" i="43"/>
  <c r="DM88" i="43"/>
  <c r="DN88" i="43"/>
  <c r="DO88" i="43"/>
  <c r="DP88" i="43"/>
  <c r="DQ88" i="43"/>
  <c r="DR88" i="43"/>
  <c r="DS88" i="43"/>
  <c r="DT88" i="43"/>
  <c r="DU88" i="43"/>
  <c r="DV88" i="43"/>
  <c r="DW88" i="43"/>
  <c r="DX88" i="43"/>
  <c r="DY88" i="43"/>
  <c r="DZ88" i="43"/>
  <c r="EA88" i="43"/>
  <c r="EB88" i="43"/>
  <c r="EC88" i="43"/>
  <c r="ED88" i="43"/>
  <c r="EE88" i="43"/>
  <c r="EF88" i="43"/>
  <c r="EG88" i="43"/>
  <c r="EH88" i="43"/>
  <c r="EI88" i="43"/>
  <c r="EJ88" i="43"/>
  <c r="EK88" i="43"/>
  <c r="EL88" i="43"/>
  <c r="EM88" i="43"/>
  <c r="EN88" i="43"/>
  <c r="EO88" i="43"/>
  <c r="EP88" i="43"/>
  <c r="EQ88" i="43"/>
  <c r="ER88" i="43"/>
  <c r="ES88" i="43"/>
  <c r="ET88" i="43"/>
  <c r="EU88" i="43"/>
  <c r="EV88" i="43"/>
  <c r="EW88" i="43"/>
  <c r="EX88" i="43"/>
  <c r="EY88" i="43"/>
  <c r="EZ88" i="43"/>
  <c r="FA88" i="43"/>
  <c r="FB88" i="43"/>
  <c r="FC88" i="43"/>
  <c r="FD88" i="43"/>
  <c r="FE88" i="43"/>
  <c r="FF88" i="43"/>
  <c r="FG88" i="43"/>
  <c r="FH88" i="43"/>
  <c r="FI88" i="43"/>
  <c r="FJ88" i="43"/>
  <c r="FK88" i="43"/>
  <c r="FL88" i="43"/>
  <c r="FM88" i="43"/>
  <c r="FN88" i="43"/>
  <c r="FO88" i="43"/>
  <c r="FP88" i="43"/>
  <c r="FQ88" i="43"/>
  <c r="FR88" i="43"/>
  <c r="FS88" i="43"/>
  <c r="FT88" i="43"/>
  <c r="FU88" i="43"/>
  <c r="FV88" i="43"/>
  <c r="FW88" i="43"/>
  <c r="FX88" i="43"/>
  <c r="FY88" i="43"/>
  <c r="FZ88" i="43"/>
  <c r="GA88" i="43"/>
  <c r="GB88" i="43"/>
  <c r="GC88" i="43"/>
  <c r="GD88" i="43"/>
  <c r="GE88" i="43"/>
  <c r="GF88" i="43"/>
  <c r="GG88" i="43"/>
  <c r="GH88" i="43"/>
  <c r="GI88" i="43"/>
  <c r="GJ88" i="43"/>
  <c r="GK88" i="43"/>
  <c r="GL88" i="43"/>
  <c r="GM88" i="43"/>
  <c r="GN88" i="43"/>
  <c r="GO88" i="43"/>
  <c r="GP88" i="43"/>
  <c r="GQ88" i="43"/>
  <c r="GR88" i="43"/>
  <c r="GS88" i="43"/>
  <c r="GT88" i="43"/>
  <c r="GU88" i="43"/>
  <c r="GV88" i="43"/>
  <c r="GW88" i="43"/>
  <c r="GX88" i="43"/>
  <c r="GY88" i="43"/>
  <c r="GZ88" i="43"/>
  <c r="HA88" i="43"/>
  <c r="HB88" i="43"/>
  <c r="HC88" i="43"/>
  <c r="HD88" i="43"/>
  <c r="HE88" i="43"/>
  <c r="HF88" i="43"/>
  <c r="HG88" i="43"/>
  <c r="HH88" i="43"/>
  <c r="HI88" i="43"/>
  <c r="HJ88" i="43"/>
  <c r="HK88" i="43"/>
  <c r="HL88" i="43"/>
  <c r="HM88" i="43"/>
  <c r="HN88" i="43"/>
  <c r="HO88" i="43"/>
  <c r="HP88" i="43"/>
  <c r="HQ88" i="43"/>
  <c r="HR88" i="43"/>
  <c r="HS88" i="43"/>
  <c r="HT88" i="43"/>
  <c r="HU88" i="43"/>
  <c r="HV88" i="43"/>
  <c r="HW88" i="43"/>
  <c r="HX88" i="43"/>
  <c r="HY88" i="43"/>
  <c r="HZ88" i="43"/>
  <c r="IA88" i="43"/>
  <c r="IB88" i="43"/>
  <c r="IC88" i="43"/>
  <c r="ID88" i="43"/>
  <c r="IE88" i="43"/>
  <c r="IF88" i="43"/>
  <c r="IG88" i="43"/>
  <c r="IH88" i="43"/>
  <c r="II88" i="43"/>
  <c r="IJ88" i="43"/>
  <c r="IK88" i="43"/>
  <c r="IL88" i="43"/>
  <c r="IM88" i="43"/>
  <c r="IN88" i="43"/>
  <c r="IO88" i="43"/>
  <c r="IP88" i="43"/>
  <c r="IQ88" i="43"/>
  <c r="IR88" i="43"/>
  <c r="IS88" i="43"/>
  <c r="IT88" i="43"/>
  <c r="IU88" i="43"/>
  <c r="IV88" i="43"/>
  <c r="A87" i="43"/>
  <c r="B87" i="43"/>
  <c r="C87" i="43"/>
  <c r="D87" i="43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AW87" i="43"/>
  <c r="AX87" i="43"/>
  <c r="AY87" i="43"/>
  <c r="AZ87" i="43"/>
  <c r="BA87" i="43"/>
  <c r="BB87" i="43"/>
  <c r="BC87" i="43"/>
  <c r="BD87" i="43"/>
  <c r="BE87" i="43"/>
  <c r="BF87" i="43"/>
  <c r="BG87" i="43"/>
  <c r="BH87" i="43"/>
  <c r="BI87" i="43"/>
  <c r="BJ87" i="43"/>
  <c r="BK87" i="43"/>
  <c r="BL87" i="43"/>
  <c r="BM87" i="43"/>
  <c r="BN87" i="43"/>
  <c r="BO87" i="43"/>
  <c r="BP87" i="43"/>
  <c r="BQ87" i="43"/>
  <c r="BR87" i="43"/>
  <c r="BS87" i="43"/>
  <c r="BT87" i="43"/>
  <c r="BU87" i="43"/>
  <c r="BV87" i="43"/>
  <c r="BW87" i="43"/>
  <c r="BX87" i="43"/>
  <c r="BY87" i="43"/>
  <c r="BZ87" i="43"/>
  <c r="CA87" i="43"/>
  <c r="CB87" i="43"/>
  <c r="CC87" i="43"/>
  <c r="CD87" i="43"/>
  <c r="CE87" i="43"/>
  <c r="CF87" i="43"/>
  <c r="CG87" i="43"/>
  <c r="CH87" i="43"/>
  <c r="CI87" i="43"/>
  <c r="CJ87" i="43"/>
  <c r="CK87" i="43"/>
  <c r="CL87" i="43"/>
  <c r="CM87" i="43"/>
  <c r="CN87" i="43"/>
  <c r="CO87" i="43"/>
  <c r="CP87" i="43"/>
  <c r="CQ87" i="43"/>
  <c r="CR87" i="43"/>
  <c r="CS87" i="43"/>
  <c r="CT87" i="43"/>
  <c r="CU87" i="43"/>
  <c r="CV87" i="43"/>
  <c r="CW87" i="43"/>
  <c r="CX87" i="43"/>
  <c r="CY87" i="43"/>
  <c r="CZ87" i="43"/>
  <c r="DA87" i="43"/>
  <c r="DB87" i="43"/>
  <c r="DC87" i="43"/>
  <c r="DD87" i="43"/>
  <c r="DE87" i="43"/>
  <c r="DF87" i="43"/>
  <c r="DG87" i="43"/>
  <c r="DH87" i="43"/>
  <c r="DI87" i="43"/>
  <c r="DJ87" i="43"/>
  <c r="DK87" i="43"/>
  <c r="DL87" i="43"/>
  <c r="DM87" i="43"/>
  <c r="DN87" i="43"/>
  <c r="DO87" i="43"/>
  <c r="DP87" i="43"/>
  <c r="DQ87" i="43"/>
  <c r="DR87" i="43"/>
  <c r="DS87" i="43"/>
  <c r="DT87" i="43"/>
  <c r="DU87" i="43"/>
  <c r="DV87" i="43"/>
  <c r="DW87" i="43"/>
  <c r="DX87" i="43"/>
  <c r="DY87" i="43"/>
  <c r="DZ87" i="43"/>
  <c r="EA87" i="43"/>
  <c r="EB87" i="43"/>
  <c r="EC87" i="43"/>
  <c r="ED87" i="43"/>
  <c r="EE87" i="43"/>
  <c r="EF87" i="43"/>
  <c r="EG87" i="43"/>
  <c r="EH87" i="43"/>
  <c r="EI87" i="43"/>
  <c r="EJ87" i="43"/>
  <c r="EK87" i="43"/>
  <c r="EL87" i="43"/>
  <c r="EM87" i="43"/>
  <c r="EN87" i="43"/>
  <c r="EO87" i="43"/>
  <c r="EP87" i="43"/>
  <c r="EQ87" i="43"/>
  <c r="ER87" i="43"/>
  <c r="ES87" i="43"/>
  <c r="ET87" i="43"/>
  <c r="EU87" i="43"/>
  <c r="EV87" i="43"/>
  <c r="EW87" i="43"/>
  <c r="EX87" i="43"/>
  <c r="EY87" i="43"/>
  <c r="EZ87" i="43"/>
  <c r="FA87" i="43"/>
  <c r="FB87" i="43"/>
  <c r="FC87" i="43"/>
  <c r="FD87" i="43"/>
  <c r="FE87" i="43"/>
  <c r="FF87" i="43"/>
  <c r="FG87" i="43"/>
  <c r="FH87" i="43"/>
  <c r="FI87" i="43"/>
  <c r="FJ87" i="43"/>
  <c r="FK87" i="43"/>
  <c r="FL87" i="43"/>
  <c r="FM87" i="43"/>
  <c r="FN87" i="43"/>
  <c r="FO87" i="43"/>
  <c r="FP87" i="43"/>
  <c r="FQ87" i="43"/>
  <c r="FR87" i="43"/>
  <c r="FS87" i="43"/>
  <c r="FT87" i="43"/>
  <c r="FU87" i="43"/>
  <c r="FV87" i="43"/>
  <c r="FW87" i="43"/>
  <c r="FX87" i="43"/>
  <c r="FY87" i="43"/>
  <c r="FZ87" i="43"/>
  <c r="GA87" i="43"/>
  <c r="GB87" i="43"/>
  <c r="GC87" i="43"/>
  <c r="GD87" i="43"/>
  <c r="GE87" i="43"/>
  <c r="GF87" i="43"/>
  <c r="GG87" i="43"/>
  <c r="GH87" i="43"/>
  <c r="GI87" i="43"/>
  <c r="GJ87" i="43"/>
  <c r="GK87" i="43"/>
  <c r="GL87" i="43"/>
  <c r="GM87" i="43"/>
  <c r="GN87" i="43"/>
  <c r="GO87" i="43"/>
  <c r="GP87" i="43"/>
  <c r="GQ87" i="43"/>
  <c r="GR87" i="43"/>
  <c r="GS87" i="43"/>
  <c r="GT87" i="43"/>
  <c r="GU87" i="43"/>
  <c r="GV87" i="43"/>
  <c r="GW87" i="43"/>
  <c r="GX87" i="43"/>
  <c r="GY87" i="43"/>
  <c r="GZ87" i="43"/>
  <c r="HA87" i="43"/>
  <c r="HB87" i="43"/>
  <c r="HC87" i="43"/>
  <c r="HD87" i="43"/>
  <c r="HE87" i="43"/>
  <c r="HF87" i="43"/>
  <c r="HG87" i="43"/>
  <c r="HH87" i="43"/>
  <c r="HI87" i="43"/>
  <c r="HJ87" i="43"/>
  <c r="HK87" i="43"/>
  <c r="HL87" i="43"/>
  <c r="HM87" i="43"/>
  <c r="HN87" i="43"/>
  <c r="HO87" i="43"/>
  <c r="HP87" i="43"/>
  <c r="HQ87" i="43"/>
  <c r="HR87" i="43"/>
  <c r="HS87" i="43"/>
  <c r="HT87" i="43"/>
  <c r="HU87" i="43"/>
  <c r="HV87" i="43"/>
  <c r="HW87" i="43"/>
  <c r="HX87" i="43"/>
  <c r="HY87" i="43"/>
  <c r="HZ87" i="43"/>
  <c r="IA87" i="43"/>
  <c r="IB87" i="43"/>
  <c r="IC87" i="43"/>
  <c r="ID87" i="43"/>
  <c r="IE87" i="43"/>
  <c r="IF87" i="43"/>
  <c r="IG87" i="43"/>
  <c r="IH87" i="43"/>
  <c r="II87" i="43"/>
  <c r="IJ87" i="43"/>
  <c r="IK87" i="43"/>
  <c r="IL87" i="43"/>
  <c r="IM87" i="43"/>
  <c r="IN87" i="43"/>
  <c r="IO87" i="43"/>
  <c r="IP87" i="43"/>
  <c r="IQ87" i="43"/>
  <c r="IR87" i="43"/>
  <c r="IS87" i="43"/>
  <c r="IT87" i="43"/>
  <c r="IU87" i="43"/>
  <c r="IV87" i="43"/>
  <c r="A86" i="43"/>
  <c r="B86" i="43"/>
  <c r="C86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Y86" i="43"/>
  <c r="Z86" i="43"/>
  <c r="AA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AW86" i="43"/>
  <c r="AX86" i="43"/>
  <c r="AY86" i="43"/>
  <c r="AZ86" i="43"/>
  <c r="BA86" i="43"/>
  <c r="BB86" i="43"/>
  <c r="BC86" i="43"/>
  <c r="BD86" i="43"/>
  <c r="BE86" i="43"/>
  <c r="BF86" i="43"/>
  <c r="BG86" i="43"/>
  <c r="BH86" i="43"/>
  <c r="BI86" i="43"/>
  <c r="BJ86" i="43"/>
  <c r="BK86" i="43"/>
  <c r="BL86" i="43"/>
  <c r="BM86" i="43"/>
  <c r="BN86" i="43"/>
  <c r="BO86" i="43"/>
  <c r="BP86" i="43"/>
  <c r="BQ86" i="43"/>
  <c r="BR86" i="43"/>
  <c r="BS86" i="43"/>
  <c r="BT86" i="43"/>
  <c r="BU86" i="43"/>
  <c r="BV86" i="43"/>
  <c r="BW86" i="43"/>
  <c r="BX86" i="43"/>
  <c r="BY86" i="43"/>
  <c r="BZ86" i="43"/>
  <c r="CA86" i="43"/>
  <c r="CB86" i="43"/>
  <c r="CC86" i="43"/>
  <c r="CD86" i="43"/>
  <c r="CE86" i="43"/>
  <c r="CF86" i="43"/>
  <c r="CG86" i="43"/>
  <c r="CH86" i="43"/>
  <c r="CI86" i="43"/>
  <c r="CJ86" i="43"/>
  <c r="CK86" i="43"/>
  <c r="CL86" i="43"/>
  <c r="CM86" i="43"/>
  <c r="CN86" i="43"/>
  <c r="CO86" i="43"/>
  <c r="CP86" i="43"/>
  <c r="CQ86" i="43"/>
  <c r="CR86" i="43"/>
  <c r="CS86" i="43"/>
  <c r="CT86" i="43"/>
  <c r="CU86" i="43"/>
  <c r="CV86" i="43"/>
  <c r="CW86" i="43"/>
  <c r="CX86" i="43"/>
  <c r="CY86" i="43"/>
  <c r="CZ86" i="43"/>
  <c r="DA86" i="43"/>
  <c r="DB86" i="43"/>
  <c r="DC86" i="43"/>
  <c r="DD86" i="43"/>
  <c r="DE86" i="43"/>
  <c r="DF86" i="43"/>
  <c r="DG86" i="43"/>
  <c r="DH86" i="43"/>
  <c r="DI86" i="43"/>
  <c r="DJ86" i="43"/>
  <c r="DK86" i="43"/>
  <c r="DL86" i="43"/>
  <c r="DM86" i="43"/>
  <c r="DN86" i="43"/>
  <c r="DO86" i="43"/>
  <c r="DP86" i="43"/>
  <c r="DQ86" i="43"/>
  <c r="DR86" i="43"/>
  <c r="DS86" i="43"/>
  <c r="DT86" i="43"/>
  <c r="DU86" i="43"/>
  <c r="DV86" i="43"/>
  <c r="DW86" i="43"/>
  <c r="DX86" i="43"/>
  <c r="DY86" i="43"/>
  <c r="DZ86" i="43"/>
  <c r="EA86" i="43"/>
  <c r="EB86" i="43"/>
  <c r="EC86" i="43"/>
  <c r="ED86" i="43"/>
  <c r="EE86" i="43"/>
  <c r="EF86" i="43"/>
  <c r="EG86" i="43"/>
  <c r="EH86" i="43"/>
  <c r="EI86" i="43"/>
  <c r="EJ86" i="43"/>
  <c r="EK86" i="43"/>
  <c r="EL86" i="43"/>
  <c r="EM86" i="43"/>
  <c r="EN86" i="43"/>
  <c r="EO86" i="43"/>
  <c r="EP86" i="43"/>
  <c r="EQ86" i="43"/>
  <c r="ER86" i="43"/>
  <c r="ES86" i="43"/>
  <c r="ET86" i="43"/>
  <c r="EU86" i="43"/>
  <c r="EV86" i="43"/>
  <c r="EW86" i="43"/>
  <c r="EX86" i="43"/>
  <c r="EY86" i="43"/>
  <c r="EZ86" i="43"/>
  <c r="FA86" i="43"/>
  <c r="FB86" i="43"/>
  <c r="FC86" i="43"/>
  <c r="FD86" i="43"/>
  <c r="FE86" i="43"/>
  <c r="FF86" i="43"/>
  <c r="FG86" i="43"/>
  <c r="FH86" i="43"/>
  <c r="FI86" i="43"/>
  <c r="FJ86" i="43"/>
  <c r="FK86" i="43"/>
  <c r="FL86" i="43"/>
  <c r="FM86" i="43"/>
  <c r="FN86" i="43"/>
  <c r="FO86" i="43"/>
  <c r="FP86" i="43"/>
  <c r="FQ86" i="43"/>
  <c r="FR86" i="43"/>
  <c r="FS86" i="43"/>
  <c r="FT86" i="43"/>
  <c r="FU86" i="43"/>
  <c r="FV86" i="43"/>
  <c r="FW86" i="43"/>
  <c r="FX86" i="43"/>
  <c r="FY86" i="43"/>
  <c r="FZ86" i="43"/>
  <c r="GA86" i="43"/>
  <c r="GB86" i="43"/>
  <c r="GC86" i="43"/>
  <c r="GD86" i="43"/>
  <c r="GE86" i="43"/>
  <c r="GF86" i="43"/>
  <c r="GG86" i="43"/>
  <c r="GH86" i="43"/>
  <c r="GI86" i="43"/>
  <c r="GJ86" i="43"/>
  <c r="GK86" i="43"/>
  <c r="GL86" i="43"/>
  <c r="GM86" i="43"/>
  <c r="GN86" i="43"/>
  <c r="GO86" i="43"/>
  <c r="GP86" i="43"/>
  <c r="GQ86" i="43"/>
  <c r="GR86" i="43"/>
  <c r="GS86" i="43"/>
  <c r="GT86" i="43"/>
  <c r="GU86" i="43"/>
  <c r="GV86" i="43"/>
  <c r="GW86" i="43"/>
  <c r="GX86" i="43"/>
  <c r="GY86" i="43"/>
  <c r="GZ86" i="43"/>
  <c r="HA86" i="43"/>
  <c r="HB86" i="43"/>
  <c r="HC86" i="43"/>
  <c r="HD86" i="43"/>
  <c r="HE86" i="43"/>
  <c r="HF86" i="43"/>
  <c r="HG86" i="43"/>
  <c r="HH86" i="43"/>
  <c r="HI86" i="43"/>
  <c r="HJ86" i="43"/>
  <c r="HK86" i="43"/>
  <c r="HL86" i="43"/>
  <c r="HM86" i="43"/>
  <c r="HN86" i="43"/>
  <c r="HO86" i="43"/>
  <c r="HP86" i="43"/>
  <c r="HQ86" i="43"/>
  <c r="HR86" i="43"/>
  <c r="HS86" i="43"/>
  <c r="HT86" i="43"/>
  <c r="HU86" i="43"/>
  <c r="HV86" i="43"/>
  <c r="HW86" i="43"/>
  <c r="HX86" i="43"/>
  <c r="HY86" i="43"/>
  <c r="HZ86" i="43"/>
  <c r="IA86" i="43"/>
  <c r="IB86" i="43"/>
  <c r="IC86" i="43"/>
  <c r="ID86" i="43"/>
  <c r="IE86" i="43"/>
  <c r="IF86" i="43"/>
  <c r="IG86" i="43"/>
  <c r="IH86" i="43"/>
  <c r="II86" i="43"/>
  <c r="IJ86" i="43"/>
  <c r="IK86" i="43"/>
  <c r="IL86" i="43"/>
  <c r="IM86" i="43"/>
  <c r="IN86" i="43"/>
  <c r="IO86" i="43"/>
  <c r="IP86" i="43"/>
  <c r="IQ86" i="43"/>
  <c r="IR86" i="43"/>
  <c r="IS86" i="43"/>
  <c r="IT86" i="43"/>
  <c r="IU86" i="43"/>
  <c r="IV86" i="43"/>
  <c r="A85" i="43"/>
  <c r="B85" i="43"/>
  <c r="C85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AW85" i="43"/>
  <c r="AX85" i="43"/>
  <c r="AY85" i="43"/>
  <c r="AZ85" i="43"/>
  <c r="BA85" i="43"/>
  <c r="BB85" i="43"/>
  <c r="BC85" i="43"/>
  <c r="BD85" i="43"/>
  <c r="BE85" i="43"/>
  <c r="BF85" i="43"/>
  <c r="BG85" i="43"/>
  <c r="BH85" i="43"/>
  <c r="BI85" i="43"/>
  <c r="BJ85" i="43"/>
  <c r="BK85" i="43"/>
  <c r="BL85" i="43"/>
  <c r="BM85" i="43"/>
  <c r="BN85" i="43"/>
  <c r="BO85" i="43"/>
  <c r="BP85" i="43"/>
  <c r="BQ85" i="43"/>
  <c r="BR85" i="43"/>
  <c r="BS85" i="43"/>
  <c r="BT85" i="43"/>
  <c r="BU85" i="43"/>
  <c r="BV85" i="43"/>
  <c r="BW85" i="43"/>
  <c r="BX85" i="43"/>
  <c r="BY85" i="43"/>
  <c r="BZ85" i="43"/>
  <c r="CA85" i="43"/>
  <c r="CB85" i="43"/>
  <c r="CC85" i="43"/>
  <c r="CD85" i="43"/>
  <c r="CE85" i="43"/>
  <c r="CF85" i="43"/>
  <c r="CG85" i="43"/>
  <c r="CH85" i="43"/>
  <c r="CI85" i="43"/>
  <c r="CJ85" i="43"/>
  <c r="CK85" i="43"/>
  <c r="CL85" i="43"/>
  <c r="CM85" i="43"/>
  <c r="CN85" i="43"/>
  <c r="CO85" i="43"/>
  <c r="CP85" i="43"/>
  <c r="CQ85" i="43"/>
  <c r="CR85" i="43"/>
  <c r="CS85" i="43"/>
  <c r="CT85" i="43"/>
  <c r="CU85" i="43"/>
  <c r="CV85" i="43"/>
  <c r="CW85" i="43"/>
  <c r="CX85" i="43"/>
  <c r="CY85" i="43"/>
  <c r="CZ85" i="43"/>
  <c r="DA85" i="43"/>
  <c r="DB85" i="43"/>
  <c r="DC85" i="43"/>
  <c r="DD85" i="43"/>
  <c r="DE85" i="43"/>
  <c r="DF85" i="43"/>
  <c r="DG85" i="43"/>
  <c r="DH85" i="43"/>
  <c r="DI85" i="43"/>
  <c r="DJ85" i="43"/>
  <c r="DK85" i="43"/>
  <c r="DL85" i="43"/>
  <c r="DM85" i="43"/>
  <c r="DN85" i="43"/>
  <c r="DO85" i="43"/>
  <c r="DP85" i="43"/>
  <c r="DQ85" i="43"/>
  <c r="DR85" i="43"/>
  <c r="DS85" i="43"/>
  <c r="DT85" i="43"/>
  <c r="DU85" i="43"/>
  <c r="DV85" i="43"/>
  <c r="DW85" i="43"/>
  <c r="DX85" i="43"/>
  <c r="DY85" i="43"/>
  <c r="DZ85" i="43"/>
  <c r="EA85" i="43"/>
  <c r="EB85" i="43"/>
  <c r="EC85" i="43"/>
  <c r="ED85" i="43"/>
  <c r="EE85" i="43"/>
  <c r="EF85" i="43"/>
  <c r="EG85" i="43"/>
  <c r="EH85" i="43"/>
  <c r="EI85" i="43"/>
  <c r="EJ85" i="43"/>
  <c r="EK85" i="43"/>
  <c r="EL85" i="43"/>
  <c r="EM85" i="43"/>
  <c r="EN85" i="43"/>
  <c r="EO85" i="43"/>
  <c r="EP85" i="43"/>
  <c r="EQ85" i="43"/>
  <c r="ER85" i="43"/>
  <c r="ES85" i="43"/>
  <c r="ET85" i="43"/>
  <c r="EU85" i="43"/>
  <c r="EV85" i="43"/>
  <c r="EW85" i="43"/>
  <c r="EX85" i="43"/>
  <c r="EY85" i="43"/>
  <c r="EZ85" i="43"/>
  <c r="FA85" i="43"/>
  <c r="FB85" i="43"/>
  <c r="FC85" i="43"/>
  <c r="FD85" i="43"/>
  <c r="FE85" i="43"/>
  <c r="FF85" i="43"/>
  <c r="FG85" i="43"/>
  <c r="FH85" i="43"/>
  <c r="FI85" i="43"/>
  <c r="FJ85" i="43"/>
  <c r="FK85" i="43"/>
  <c r="FL85" i="43"/>
  <c r="FM85" i="43"/>
  <c r="FN85" i="43"/>
  <c r="FO85" i="43"/>
  <c r="FP85" i="43"/>
  <c r="FQ85" i="43"/>
  <c r="FR85" i="43"/>
  <c r="FS85" i="43"/>
  <c r="FT85" i="43"/>
  <c r="FU85" i="43"/>
  <c r="FV85" i="43"/>
  <c r="FW85" i="43"/>
  <c r="FX85" i="43"/>
  <c r="FY85" i="43"/>
  <c r="FZ85" i="43"/>
  <c r="GA85" i="43"/>
  <c r="GB85" i="43"/>
  <c r="GC85" i="43"/>
  <c r="GD85" i="43"/>
  <c r="GE85" i="43"/>
  <c r="GF85" i="43"/>
  <c r="GG85" i="43"/>
  <c r="GH85" i="43"/>
  <c r="GI85" i="43"/>
  <c r="GJ85" i="43"/>
  <c r="GK85" i="43"/>
  <c r="GL85" i="43"/>
  <c r="GM85" i="43"/>
  <c r="GN85" i="43"/>
  <c r="GO85" i="43"/>
  <c r="GP85" i="43"/>
  <c r="GQ85" i="43"/>
  <c r="GR85" i="43"/>
  <c r="GS85" i="43"/>
  <c r="GT85" i="43"/>
  <c r="GU85" i="43"/>
  <c r="GV85" i="43"/>
  <c r="GW85" i="43"/>
  <c r="GX85" i="43"/>
  <c r="GY85" i="43"/>
  <c r="GZ85" i="43"/>
  <c r="HA85" i="43"/>
  <c r="HB85" i="43"/>
  <c r="HC85" i="43"/>
  <c r="HD85" i="43"/>
  <c r="HE85" i="43"/>
  <c r="HF85" i="43"/>
  <c r="HG85" i="43"/>
  <c r="HH85" i="43"/>
  <c r="HI85" i="43"/>
  <c r="HJ85" i="43"/>
  <c r="HK85" i="43"/>
  <c r="HL85" i="43"/>
  <c r="HM85" i="43"/>
  <c r="HN85" i="43"/>
  <c r="HO85" i="43"/>
  <c r="HP85" i="43"/>
  <c r="HQ85" i="43"/>
  <c r="HR85" i="43"/>
  <c r="HS85" i="43"/>
  <c r="HT85" i="43"/>
  <c r="HU85" i="43"/>
  <c r="HV85" i="43"/>
  <c r="HW85" i="43"/>
  <c r="HX85" i="43"/>
  <c r="HY85" i="43"/>
  <c r="HZ85" i="43"/>
  <c r="IA85" i="43"/>
  <c r="IB85" i="43"/>
  <c r="IC85" i="43"/>
  <c r="ID85" i="43"/>
  <c r="IE85" i="43"/>
  <c r="IF85" i="43"/>
  <c r="IG85" i="43"/>
  <c r="IH85" i="43"/>
  <c r="II85" i="43"/>
  <c r="IJ85" i="43"/>
  <c r="IK85" i="43"/>
  <c r="IL85" i="43"/>
  <c r="IM85" i="43"/>
  <c r="IN85" i="43"/>
  <c r="IO85" i="43"/>
  <c r="IP85" i="43"/>
  <c r="IQ85" i="43"/>
  <c r="IR85" i="43"/>
  <c r="IS85" i="43"/>
  <c r="IT85" i="43"/>
  <c r="IU85" i="43"/>
  <c r="IV85" i="43"/>
  <c r="A84" i="43"/>
  <c r="B84" i="43"/>
  <c r="C84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Y84" i="43"/>
  <c r="Z84" i="43"/>
  <c r="AA84" i="43"/>
  <c r="AB84" i="43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AW84" i="43"/>
  <c r="AX84" i="43"/>
  <c r="AY84" i="43"/>
  <c r="AZ84" i="43"/>
  <c r="BA84" i="43"/>
  <c r="BB84" i="43"/>
  <c r="BC84" i="43"/>
  <c r="BD84" i="43"/>
  <c r="BE84" i="43"/>
  <c r="BF84" i="43"/>
  <c r="BG84" i="43"/>
  <c r="BH84" i="43"/>
  <c r="BI84" i="43"/>
  <c r="BJ84" i="43"/>
  <c r="BK84" i="43"/>
  <c r="BL84" i="43"/>
  <c r="BM84" i="43"/>
  <c r="BN84" i="43"/>
  <c r="BO84" i="43"/>
  <c r="BP84" i="43"/>
  <c r="BQ84" i="43"/>
  <c r="BR84" i="43"/>
  <c r="BS84" i="43"/>
  <c r="BT84" i="43"/>
  <c r="BU84" i="43"/>
  <c r="BV84" i="43"/>
  <c r="BW84" i="43"/>
  <c r="BX84" i="43"/>
  <c r="BY84" i="43"/>
  <c r="BZ84" i="43"/>
  <c r="CA84" i="43"/>
  <c r="CB84" i="43"/>
  <c r="CC84" i="43"/>
  <c r="CD84" i="43"/>
  <c r="CE84" i="43"/>
  <c r="CF84" i="43"/>
  <c r="CG84" i="43"/>
  <c r="CH84" i="43"/>
  <c r="CI84" i="43"/>
  <c r="CJ84" i="43"/>
  <c r="CK84" i="43"/>
  <c r="CL84" i="43"/>
  <c r="CM84" i="43"/>
  <c r="CN84" i="43"/>
  <c r="CO84" i="43"/>
  <c r="CP84" i="43"/>
  <c r="CQ84" i="43"/>
  <c r="CR84" i="43"/>
  <c r="CS84" i="43"/>
  <c r="CT84" i="43"/>
  <c r="CU84" i="43"/>
  <c r="CV84" i="43"/>
  <c r="CW84" i="43"/>
  <c r="CX84" i="43"/>
  <c r="CY84" i="43"/>
  <c r="CZ84" i="43"/>
  <c r="DA84" i="43"/>
  <c r="DB84" i="43"/>
  <c r="DC84" i="43"/>
  <c r="DD84" i="43"/>
  <c r="DE84" i="43"/>
  <c r="DF84" i="43"/>
  <c r="DG84" i="43"/>
  <c r="DH84" i="43"/>
  <c r="DI84" i="43"/>
  <c r="DJ84" i="43"/>
  <c r="DK84" i="43"/>
  <c r="DL84" i="43"/>
  <c r="DM84" i="43"/>
  <c r="DN84" i="43"/>
  <c r="DO84" i="43"/>
  <c r="DP84" i="43"/>
  <c r="DQ84" i="43"/>
  <c r="DR84" i="43"/>
  <c r="DS84" i="43"/>
  <c r="DT84" i="43"/>
  <c r="DU84" i="43"/>
  <c r="DV84" i="43"/>
  <c r="DW84" i="43"/>
  <c r="DX84" i="43"/>
  <c r="DY84" i="43"/>
  <c r="DZ84" i="43"/>
  <c r="EA84" i="43"/>
  <c r="EB84" i="43"/>
  <c r="EC84" i="43"/>
  <c r="ED84" i="43"/>
  <c r="EE84" i="43"/>
  <c r="EF84" i="43"/>
  <c r="EG84" i="43"/>
  <c r="EH84" i="43"/>
  <c r="EI84" i="43"/>
  <c r="EJ84" i="43"/>
  <c r="EK84" i="43"/>
  <c r="EL84" i="43"/>
  <c r="EM84" i="43"/>
  <c r="EN84" i="43"/>
  <c r="EO84" i="43"/>
  <c r="EP84" i="43"/>
  <c r="EQ84" i="43"/>
  <c r="ER84" i="43"/>
  <c r="ES84" i="43"/>
  <c r="ET84" i="43"/>
  <c r="EU84" i="43"/>
  <c r="EV84" i="43"/>
  <c r="EW84" i="43"/>
  <c r="EX84" i="43"/>
  <c r="EY84" i="43"/>
  <c r="EZ84" i="43"/>
  <c r="FA84" i="43"/>
  <c r="FB84" i="43"/>
  <c r="FC84" i="43"/>
  <c r="FD84" i="43"/>
  <c r="FE84" i="43"/>
  <c r="FF84" i="43"/>
  <c r="FG84" i="43"/>
  <c r="FH84" i="43"/>
  <c r="FI84" i="43"/>
  <c r="FJ84" i="43"/>
  <c r="FK84" i="43"/>
  <c r="FL84" i="43"/>
  <c r="FM84" i="43"/>
  <c r="FN84" i="43"/>
  <c r="FO84" i="43"/>
  <c r="FP84" i="43"/>
  <c r="FQ84" i="43"/>
  <c r="FR84" i="43"/>
  <c r="FS84" i="43"/>
  <c r="FT84" i="43"/>
  <c r="FU84" i="43"/>
  <c r="FV84" i="43"/>
  <c r="FW84" i="43"/>
  <c r="FX84" i="43"/>
  <c r="FY84" i="43"/>
  <c r="FZ84" i="43"/>
  <c r="GA84" i="43"/>
  <c r="GB84" i="43"/>
  <c r="GC84" i="43"/>
  <c r="GD84" i="43"/>
  <c r="GE84" i="43"/>
  <c r="GF84" i="43"/>
  <c r="GG84" i="43"/>
  <c r="GH84" i="43"/>
  <c r="GI84" i="43"/>
  <c r="GJ84" i="43"/>
  <c r="GK84" i="43"/>
  <c r="GL84" i="43"/>
  <c r="GM84" i="43"/>
  <c r="GN84" i="43"/>
  <c r="GO84" i="43"/>
  <c r="GP84" i="43"/>
  <c r="GQ84" i="43"/>
  <c r="GR84" i="43"/>
  <c r="GS84" i="43"/>
  <c r="GT84" i="43"/>
  <c r="GU84" i="43"/>
  <c r="GV84" i="43"/>
  <c r="GW84" i="43"/>
  <c r="GX84" i="43"/>
  <c r="GY84" i="43"/>
  <c r="GZ84" i="43"/>
  <c r="HA84" i="43"/>
  <c r="HB84" i="43"/>
  <c r="HC84" i="43"/>
  <c r="HD84" i="43"/>
  <c r="HE84" i="43"/>
  <c r="HF84" i="43"/>
  <c r="HG84" i="43"/>
  <c r="HH84" i="43"/>
  <c r="HI84" i="43"/>
  <c r="HJ84" i="43"/>
  <c r="HK84" i="43"/>
  <c r="HL84" i="43"/>
  <c r="HM84" i="43"/>
  <c r="HN84" i="43"/>
  <c r="HO84" i="43"/>
  <c r="HP84" i="43"/>
  <c r="HQ84" i="43"/>
  <c r="HR84" i="43"/>
  <c r="HS84" i="43"/>
  <c r="HT84" i="43"/>
  <c r="HU84" i="43"/>
  <c r="HV84" i="43"/>
  <c r="HW84" i="43"/>
  <c r="HX84" i="43"/>
  <c r="HY84" i="43"/>
  <c r="HZ84" i="43"/>
  <c r="IA84" i="43"/>
  <c r="IB84" i="43"/>
  <c r="IC84" i="43"/>
  <c r="ID84" i="43"/>
  <c r="IE84" i="43"/>
  <c r="IF84" i="43"/>
  <c r="IG84" i="43"/>
  <c r="IH84" i="43"/>
  <c r="II84" i="43"/>
  <c r="IJ84" i="43"/>
  <c r="IK84" i="43"/>
  <c r="IL84" i="43"/>
  <c r="IM84" i="43"/>
  <c r="IN84" i="43"/>
  <c r="IO84" i="43"/>
  <c r="IP84" i="43"/>
  <c r="IQ84" i="43"/>
  <c r="IR84" i="43"/>
  <c r="IS84" i="43"/>
  <c r="IT84" i="43"/>
  <c r="IU84" i="43"/>
  <c r="IV84" i="43"/>
  <c r="A83" i="43"/>
  <c r="B83" i="43"/>
  <c r="C83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AW83" i="43"/>
  <c r="AX83" i="43"/>
  <c r="AY83" i="43"/>
  <c r="AZ83" i="43"/>
  <c r="BA83" i="43"/>
  <c r="BB83" i="43"/>
  <c r="BC83" i="43"/>
  <c r="BD83" i="43"/>
  <c r="BE83" i="43"/>
  <c r="BF83" i="43"/>
  <c r="BG83" i="43"/>
  <c r="BH83" i="43"/>
  <c r="BI83" i="43"/>
  <c r="BJ83" i="43"/>
  <c r="BK83" i="43"/>
  <c r="BL83" i="43"/>
  <c r="BM83" i="43"/>
  <c r="BN83" i="43"/>
  <c r="BO83" i="43"/>
  <c r="BP83" i="43"/>
  <c r="BQ83" i="43"/>
  <c r="BR83" i="43"/>
  <c r="BS83" i="43"/>
  <c r="BT83" i="43"/>
  <c r="BU83" i="43"/>
  <c r="BV83" i="43"/>
  <c r="BW83" i="43"/>
  <c r="BX83" i="43"/>
  <c r="BY83" i="43"/>
  <c r="BZ83" i="43"/>
  <c r="CA83" i="43"/>
  <c r="CB83" i="43"/>
  <c r="CC83" i="43"/>
  <c r="CD83" i="43"/>
  <c r="CE83" i="43"/>
  <c r="CF83" i="43"/>
  <c r="CG83" i="43"/>
  <c r="CH83" i="43"/>
  <c r="CI83" i="43"/>
  <c r="CJ83" i="43"/>
  <c r="CK83" i="43"/>
  <c r="CL83" i="43"/>
  <c r="CM83" i="43"/>
  <c r="CN83" i="43"/>
  <c r="CO83" i="43"/>
  <c r="CP83" i="43"/>
  <c r="CQ83" i="43"/>
  <c r="CR83" i="43"/>
  <c r="CS83" i="43"/>
  <c r="CT83" i="43"/>
  <c r="CU83" i="43"/>
  <c r="CV83" i="43"/>
  <c r="CW83" i="43"/>
  <c r="CX83" i="43"/>
  <c r="CY83" i="43"/>
  <c r="CZ83" i="43"/>
  <c r="DA83" i="43"/>
  <c r="DB83" i="43"/>
  <c r="DC83" i="43"/>
  <c r="DD83" i="43"/>
  <c r="DE83" i="43"/>
  <c r="DF83" i="43"/>
  <c r="DG83" i="43"/>
  <c r="DH83" i="43"/>
  <c r="DI83" i="43"/>
  <c r="DJ83" i="43"/>
  <c r="DK83" i="43"/>
  <c r="DL83" i="43"/>
  <c r="DM83" i="43"/>
  <c r="DN83" i="43"/>
  <c r="DO83" i="43"/>
  <c r="DP83" i="43"/>
  <c r="DQ83" i="43"/>
  <c r="DR83" i="43"/>
  <c r="DS83" i="43"/>
  <c r="DT83" i="43"/>
  <c r="DU83" i="43"/>
  <c r="DV83" i="43"/>
  <c r="DW83" i="43"/>
  <c r="DX83" i="43"/>
  <c r="DY83" i="43"/>
  <c r="DZ83" i="43"/>
  <c r="EA83" i="43"/>
  <c r="EB83" i="43"/>
  <c r="EC83" i="43"/>
  <c r="ED83" i="43"/>
  <c r="EE83" i="43"/>
  <c r="EF83" i="43"/>
  <c r="EG83" i="43"/>
  <c r="EH83" i="43"/>
  <c r="EI83" i="43"/>
  <c r="EJ83" i="43"/>
  <c r="EK83" i="43"/>
  <c r="EL83" i="43"/>
  <c r="EM83" i="43"/>
  <c r="EN83" i="43"/>
  <c r="EO83" i="43"/>
  <c r="EP83" i="43"/>
  <c r="EQ83" i="43"/>
  <c r="ER83" i="43"/>
  <c r="ES83" i="43"/>
  <c r="ET83" i="43"/>
  <c r="EU83" i="43"/>
  <c r="EV83" i="43"/>
  <c r="EW83" i="43"/>
  <c r="EX83" i="43"/>
  <c r="EY83" i="43"/>
  <c r="EZ83" i="43"/>
  <c r="FA83" i="43"/>
  <c r="FB83" i="43"/>
  <c r="FC83" i="43"/>
  <c r="FD83" i="43"/>
  <c r="FE83" i="43"/>
  <c r="FF83" i="43"/>
  <c r="FG83" i="43"/>
  <c r="FH83" i="43"/>
  <c r="FI83" i="43"/>
  <c r="FJ83" i="43"/>
  <c r="FK83" i="43"/>
  <c r="FL83" i="43"/>
  <c r="FM83" i="43"/>
  <c r="FN83" i="43"/>
  <c r="FO83" i="43"/>
  <c r="FP83" i="43"/>
  <c r="FQ83" i="43"/>
  <c r="FR83" i="43"/>
  <c r="FS83" i="43"/>
  <c r="FT83" i="43"/>
  <c r="FU83" i="43"/>
  <c r="FV83" i="43"/>
  <c r="FW83" i="43"/>
  <c r="FX83" i="43"/>
  <c r="FY83" i="43"/>
  <c r="FZ83" i="43"/>
  <c r="GA83" i="43"/>
  <c r="GB83" i="43"/>
  <c r="GC83" i="43"/>
  <c r="GD83" i="43"/>
  <c r="GE83" i="43"/>
  <c r="GF83" i="43"/>
  <c r="GG83" i="43"/>
  <c r="GH83" i="43"/>
  <c r="GI83" i="43"/>
  <c r="GJ83" i="43"/>
  <c r="GK83" i="43"/>
  <c r="GL83" i="43"/>
  <c r="GM83" i="43"/>
  <c r="GN83" i="43"/>
  <c r="GO83" i="43"/>
  <c r="GP83" i="43"/>
  <c r="GQ83" i="43"/>
  <c r="GR83" i="43"/>
  <c r="GS83" i="43"/>
  <c r="GT83" i="43"/>
  <c r="GU83" i="43"/>
  <c r="GV83" i="43"/>
  <c r="GW83" i="43"/>
  <c r="GX83" i="43"/>
  <c r="GY83" i="43"/>
  <c r="GZ83" i="43"/>
  <c r="HA83" i="43"/>
  <c r="HB83" i="43"/>
  <c r="HC83" i="43"/>
  <c r="HD83" i="43"/>
  <c r="HE83" i="43"/>
  <c r="HF83" i="43"/>
  <c r="HG83" i="43"/>
  <c r="HH83" i="43"/>
  <c r="HI83" i="43"/>
  <c r="HJ83" i="43"/>
  <c r="HK83" i="43"/>
  <c r="HL83" i="43"/>
  <c r="HM83" i="43"/>
  <c r="HN83" i="43"/>
  <c r="HO83" i="43"/>
  <c r="HP83" i="43"/>
  <c r="HQ83" i="43"/>
  <c r="HR83" i="43"/>
  <c r="HS83" i="43"/>
  <c r="HT83" i="43"/>
  <c r="HU83" i="43"/>
  <c r="HV83" i="43"/>
  <c r="HW83" i="43"/>
  <c r="HX83" i="43"/>
  <c r="HY83" i="43"/>
  <c r="HZ83" i="43"/>
  <c r="IA83" i="43"/>
  <c r="IB83" i="43"/>
  <c r="IC83" i="43"/>
  <c r="ID83" i="43"/>
  <c r="IE83" i="43"/>
  <c r="IF83" i="43"/>
  <c r="IG83" i="43"/>
  <c r="IH83" i="43"/>
  <c r="II83" i="43"/>
  <c r="IJ83" i="43"/>
  <c r="IK83" i="43"/>
  <c r="IL83" i="43"/>
  <c r="IM83" i="43"/>
  <c r="IN83" i="43"/>
  <c r="IO83" i="43"/>
  <c r="IP83" i="43"/>
  <c r="IQ83" i="43"/>
  <c r="IR83" i="43"/>
  <c r="IS83" i="43"/>
  <c r="IT83" i="43"/>
  <c r="IU83" i="43"/>
  <c r="IV83" i="43"/>
  <c r="A82" i="43"/>
  <c r="B82" i="43"/>
  <c r="C82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AZ82" i="43"/>
  <c r="BA82" i="43"/>
  <c r="BB82" i="43"/>
  <c r="BC82" i="43"/>
  <c r="BD82" i="43"/>
  <c r="BE82" i="43"/>
  <c r="BF82" i="43"/>
  <c r="BG82" i="43"/>
  <c r="BH82" i="43"/>
  <c r="BI82" i="43"/>
  <c r="BJ82" i="43"/>
  <c r="BK82" i="43"/>
  <c r="BL82" i="43"/>
  <c r="BM82" i="43"/>
  <c r="BN82" i="43"/>
  <c r="BO82" i="43"/>
  <c r="BP82" i="43"/>
  <c r="BQ82" i="43"/>
  <c r="BR82" i="43"/>
  <c r="BS82" i="43"/>
  <c r="BT82" i="43"/>
  <c r="BU82" i="43"/>
  <c r="BV82" i="43"/>
  <c r="BW82" i="43"/>
  <c r="BX82" i="43"/>
  <c r="BY82" i="43"/>
  <c r="BZ82" i="43"/>
  <c r="CA82" i="43"/>
  <c r="CB82" i="43"/>
  <c r="CC82" i="43"/>
  <c r="CD82" i="43"/>
  <c r="CE82" i="43"/>
  <c r="CF82" i="43"/>
  <c r="CG82" i="43"/>
  <c r="CH82" i="43"/>
  <c r="CI82" i="43"/>
  <c r="CJ82" i="43"/>
  <c r="CK82" i="43"/>
  <c r="CL82" i="43"/>
  <c r="CM82" i="43"/>
  <c r="CN82" i="43"/>
  <c r="CO82" i="43"/>
  <c r="CP82" i="43"/>
  <c r="CQ82" i="43"/>
  <c r="CR82" i="43"/>
  <c r="CS82" i="43"/>
  <c r="CT82" i="43"/>
  <c r="CU82" i="43"/>
  <c r="CV82" i="43"/>
  <c r="CW82" i="43"/>
  <c r="CX82" i="43"/>
  <c r="CY82" i="43"/>
  <c r="CZ82" i="43"/>
  <c r="DA82" i="43"/>
  <c r="DB82" i="43"/>
  <c r="DC82" i="43"/>
  <c r="DD82" i="43"/>
  <c r="DE82" i="43"/>
  <c r="DF82" i="43"/>
  <c r="DG82" i="43"/>
  <c r="DH82" i="43"/>
  <c r="DI82" i="43"/>
  <c r="DJ82" i="43"/>
  <c r="DK82" i="43"/>
  <c r="DL82" i="43"/>
  <c r="DM82" i="43"/>
  <c r="DN82" i="43"/>
  <c r="DO82" i="43"/>
  <c r="DP82" i="43"/>
  <c r="DQ82" i="43"/>
  <c r="DR82" i="43"/>
  <c r="DS82" i="43"/>
  <c r="DT82" i="43"/>
  <c r="DU82" i="43"/>
  <c r="DV82" i="43"/>
  <c r="DW82" i="43"/>
  <c r="DX82" i="43"/>
  <c r="DY82" i="43"/>
  <c r="DZ82" i="43"/>
  <c r="EA82" i="43"/>
  <c r="EB82" i="43"/>
  <c r="EC82" i="43"/>
  <c r="ED82" i="43"/>
  <c r="EE82" i="43"/>
  <c r="EF82" i="43"/>
  <c r="EG82" i="43"/>
  <c r="EH82" i="43"/>
  <c r="EI82" i="43"/>
  <c r="EJ82" i="43"/>
  <c r="EK82" i="43"/>
  <c r="EL82" i="43"/>
  <c r="EM82" i="43"/>
  <c r="EN82" i="43"/>
  <c r="EO82" i="43"/>
  <c r="EP82" i="43"/>
  <c r="EQ82" i="43"/>
  <c r="ER82" i="43"/>
  <c r="ES82" i="43"/>
  <c r="ET82" i="43"/>
  <c r="EU82" i="43"/>
  <c r="EV82" i="43"/>
  <c r="EW82" i="43"/>
  <c r="EX82" i="43"/>
  <c r="EY82" i="43"/>
  <c r="EZ82" i="43"/>
  <c r="FA82" i="43"/>
  <c r="FB82" i="43"/>
  <c r="FC82" i="43"/>
  <c r="FD82" i="43"/>
  <c r="FE82" i="43"/>
  <c r="FF82" i="43"/>
  <c r="FG82" i="43"/>
  <c r="FH82" i="43"/>
  <c r="FI82" i="43"/>
  <c r="FJ82" i="43"/>
  <c r="FK82" i="43"/>
  <c r="FL82" i="43"/>
  <c r="FM82" i="43"/>
  <c r="FN82" i="43"/>
  <c r="FO82" i="43"/>
  <c r="FP82" i="43"/>
  <c r="FQ82" i="43"/>
  <c r="FR82" i="43"/>
  <c r="FS82" i="43"/>
  <c r="FT82" i="43"/>
  <c r="FU82" i="43"/>
  <c r="FV82" i="43"/>
  <c r="FW82" i="43"/>
  <c r="FX82" i="43"/>
  <c r="FY82" i="43"/>
  <c r="FZ82" i="43"/>
  <c r="GA82" i="43"/>
  <c r="GB82" i="43"/>
  <c r="GC82" i="43"/>
  <c r="GD82" i="43"/>
  <c r="GE82" i="43"/>
  <c r="GF82" i="43"/>
  <c r="GG82" i="43"/>
  <c r="GH82" i="43"/>
  <c r="GI82" i="43"/>
  <c r="GJ82" i="43"/>
  <c r="GK82" i="43"/>
  <c r="GL82" i="43"/>
  <c r="GM82" i="43"/>
  <c r="GN82" i="43"/>
  <c r="GO82" i="43"/>
  <c r="GP82" i="43"/>
  <c r="GQ82" i="43"/>
  <c r="GR82" i="43"/>
  <c r="GS82" i="43"/>
  <c r="GT82" i="43"/>
  <c r="GU82" i="43"/>
  <c r="GV82" i="43"/>
  <c r="GW82" i="43"/>
  <c r="GX82" i="43"/>
  <c r="GY82" i="43"/>
  <c r="GZ82" i="43"/>
  <c r="HA82" i="43"/>
  <c r="HB82" i="43"/>
  <c r="HC82" i="43"/>
  <c r="HD82" i="43"/>
  <c r="HE82" i="43"/>
  <c r="HF82" i="43"/>
  <c r="HG82" i="43"/>
  <c r="HH82" i="43"/>
  <c r="HI82" i="43"/>
  <c r="HJ82" i="43"/>
  <c r="HK82" i="43"/>
  <c r="HL82" i="43"/>
  <c r="HM82" i="43"/>
  <c r="HN82" i="43"/>
  <c r="HO82" i="43"/>
  <c r="HP82" i="43"/>
  <c r="HQ82" i="43"/>
  <c r="HR82" i="43"/>
  <c r="HS82" i="43"/>
  <c r="HT82" i="43"/>
  <c r="HU82" i="43"/>
  <c r="HV82" i="43"/>
  <c r="HW82" i="43"/>
  <c r="HX82" i="43"/>
  <c r="HY82" i="43"/>
  <c r="HZ82" i="43"/>
  <c r="IA82" i="43"/>
  <c r="IB82" i="43"/>
  <c r="IC82" i="43"/>
  <c r="ID82" i="43"/>
  <c r="IE82" i="43"/>
  <c r="IF82" i="43"/>
  <c r="IG82" i="43"/>
  <c r="IH82" i="43"/>
  <c r="II82" i="43"/>
  <c r="IJ82" i="43"/>
  <c r="IK82" i="43"/>
  <c r="IL82" i="43"/>
  <c r="IM82" i="43"/>
  <c r="IN82" i="43"/>
  <c r="IO82" i="43"/>
  <c r="IP82" i="43"/>
  <c r="IQ82" i="43"/>
  <c r="IR82" i="43"/>
  <c r="IS82" i="43"/>
  <c r="IT82" i="43"/>
  <c r="IU82" i="43"/>
  <c r="IV82" i="43"/>
  <c r="A81" i="43"/>
  <c r="B81" i="43"/>
  <c r="C81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AW81" i="43"/>
  <c r="AX81" i="43"/>
  <c r="AY81" i="43"/>
  <c r="AZ81" i="43"/>
  <c r="BA81" i="43"/>
  <c r="BB81" i="43"/>
  <c r="BC81" i="43"/>
  <c r="BD81" i="43"/>
  <c r="BE81" i="43"/>
  <c r="BF81" i="43"/>
  <c r="BG81" i="43"/>
  <c r="BH81" i="43"/>
  <c r="BI81" i="43"/>
  <c r="BJ81" i="43"/>
  <c r="BK81" i="43"/>
  <c r="BL81" i="43"/>
  <c r="BM81" i="43"/>
  <c r="BN81" i="43"/>
  <c r="BO81" i="43"/>
  <c r="BP81" i="43"/>
  <c r="BQ81" i="43"/>
  <c r="BR81" i="43"/>
  <c r="BS81" i="43"/>
  <c r="BT81" i="43"/>
  <c r="BU81" i="43"/>
  <c r="BV81" i="43"/>
  <c r="BW81" i="43"/>
  <c r="BX81" i="43"/>
  <c r="BY81" i="43"/>
  <c r="BZ81" i="43"/>
  <c r="CA81" i="43"/>
  <c r="CB81" i="43"/>
  <c r="CC81" i="43"/>
  <c r="CD81" i="43"/>
  <c r="CE81" i="43"/>
  <c r="CF81" i="43"/>
  <c r="CG81" i="43"/>
  <c r="CH81" i="43"/>
  <c r="CI81" i="43"/>
  <c r="CJ81" i="43"/>
  <c r="CK81" i="43"/>
  <c r="CL81" i="43"/>
  <c r="CM81" i="43"/>
  <c r="CN81" i="43"/>
  <c r="CO81" i="43"/>
  <c r="CP81" i="43"/>
  <c r="CQ81" i="43"/>
  <c r="CR81" i="43"/>
  <c r="CS81" i="43"/>
  <c r="CT81" i="43"/>
  <c r="CU81" i="43"/>
  <c r="CV81" i="43"/>
  <c r="CW81" i="43"/>
  <c r="CX81" i="43"/>
  <c r="CY81" i="43"/>
  <c r="CZ81" i="43"/>
  <c r="DA81" i="43"/>
  <c r="DB81" i="43"/>
  <c r="DC81" i="43"/>
  <c r="DD81" i="43"/>
  <c r="DE81" i="43"/>
  <c r="DF81" i="43"/>
  <c r="DG81" i="43"/>
  <c r="DH81" i="43"/>
  <c r="DI81" i="43"/>
  <c r="DJ81" i="43"/>
  <c r="DK81" i="43"/>
  <c r="DL81" i="43"/>
  <c r="DM81" i="43"/>
  <c r="DN81" i="43"/>
  <c r="DO81" i="43"/>
  <c r="DP81" i="43"/>
  <c r="DQ81" i="43"/>
  <c r="DR81" i="43"/>
  <c r="DS81" i="43"/>
  <c r="DT81" i="43"/>
  <c r="DU81" i="43"/>
  <c r="DV81" i="43"/>
  <c r="DW81" i="43"/>
  <c r="DX81" i="43"/>
  <c r="DY81" i="43"/>
  <c r="DZ81" i="43"/>
  <c r="EA81" i="43"/>
  <c r="EB81" i="43"/>
  <c r="EC81" i="43"/>
  <c r="ED81" i="43"/>
  <c r="EE81" i="43"/>
  <c r="EF81" i="43"/>
  <c r="EG81" i="43"/>
  <c r="EH81" i="43"/>
  <c r="EI81" i="43"/>
  <c r="EJ81" i="43"/>
  <c r="EK81" i="43"/>
  <c r="EL81" i="43"/>
  <c r="EM81" i="43"/>
  <c r="EN81" i="43"/>
  <c r="EO81" i="43"/>
  <c r="EP81" i="43"/>
  <c r="EQ81" i="43"/>
  <c r="ER81" i="43"/>
  <c r="ES81" i="43"/>
  <c r="ET81" i="43"/>
  <c r="EU81" i="43"/>
  <c r="EV81" i="43"/>
  <c r="EW81" i="43"/>
  <c r="EX81" i="43"/>
  <c r="EY81" i="43"/>
  <c r="EZ81" i="43"/>
  <c r="FA81" i="43"/>
  <c r="FB81" i="43"/>
  <c r="FC81" i="43"/>
  <c r="FD81" i="43"/>
  <c r="FE81" i="43"/>
  <c r="FF81" i="43"/>
  <c r="FG81" i="43"/>
  <c r="FH81" i="43"/>
  <c r="FI81" i="43"/>
  <c r="FJ81" i="43"/>
  <c r="FK81" i="43"/>
  <c r="FL81" i="43"/>
  <c r="FM81" i="43"/>
  <c r="FN81" i="43"/>
  <c r="FO81" i="43"/>
  <c r="FP81" i="43"/>
  <c r="FQ81" i="43"/>
  <c r="FR81" i="43"/>
  <c r="FS81" i="43"/>
  <c r="FT81" i="43"/>
  <c r="FU81" i="43"/>
  <c r="FV81" i="43"/>
  <c r="FW81" i="43"/>
  <c r="FX81" i="43"/>
  <c r="FY81" i="43"/>
  <c r="FZ81" i="43"/>
  <c r="GA81" i="43"/>
  <c r="GB81" i="43"/>
  <c r="GC81" i="43"/>
  <c r="GD81" i="43"/>
  <c r="GE81" i="43"/>
  <c r="GF81" i="43"/>
  <c r="GG81" i="43"/>
  <c r="GH81" i="43"/>
  <c r="GI81" i="43"/>
  <c r="GJ81" i="43"/>
  <c r="GK81" i="43"/>
  <c r="GL81" i="43"/>
  <c r="GM81" i="43"/>
  <c r="GN81" i="43"/>
  <c r="GO81" i="43"/>
  <c r="GP81" i="43"/>
  <c r="GQ81" i="43"/>
  <c r="GR81" i="43"/>
  <c r="GS81" i="43"/>
  <c r="GT81" i="43"/>
  <c r="GU81" i="43"/>
  <c r="GV81" i="43"/>
  <c r="GW81" i="43"/>
  <c r="GX81" i="43"/>
  <c r="GY81" i="43"/>
  <c r="GZ81" i="43"/>
  <c r="HA81" i="43"/>
  <c r="HB81" i="43"/>
  <c r="HC81" i="43"/>
  <c r="HD81" i="43"/>
  <c r="HE81" i="43"/>
  <c r="HF81" i="43"/>
  <c r="HG81" i="43"/>
  <c r="HH81" i="43"/>
  <c r="HI81" i="43"/>
  <c r="HJ81" i="43"/>
  <c r="HK81" i="43"/>
  <c r="HL81" i="43"/>
  <c r="HM81" i="43"/>
  <c r="HN81" i="43"/>
  <c r="HO81" i="43"/>
  <c r="HP81" i="43"/>
  <c r="HQ81" i="43"/>
  <c r="HR81" i="43"/>
  <c r="HS81" i="43"/>
  <c r="HT81" i="43"/>
  <c r="HU81" i="43"/>
  <c r="HV81" i="43"/>
  <c r="HW81" i="43"/>
  <c r="HX81" i="43"/>
  <c r="HY81" i="43"/>
  <c r="HZ81" i="43"/>
  <c r="IA81" i="43"/>
  <c r="IB81" i="43"/>
  <c r="IC81" i="43"/>
  <c r="ID81" i="43"/>
  <c r="IE81" i="43"/>
  <c r="IF81" i="43"/>
  <c r="IG81" i="43"/>
  <c r="IH81" i="43"/>
  <c r="II81" i="43"/>
  <c r="IJ81" i="43"/>
  <c r="IK81" i="43"/>
  <c r="IL81" i="43"/>
  <c r="IM81" i="43"/>
  <c r="IN81" i="43"/>
  <c r="IO81" i="43"/>
  <c r="IP81" i="43"/>
  <c r="IQ81" i="43"/>
  <c r="IR81" i="43"/>
  <c r="IS81" i="43"/>
  <c r="IT81" i="43"/>
  <c r="IU81" i="43"/>
  <c r="IV81" i="43"/>
  <c r="A80" i="43"/>
  <c r="B80" i="43"/>
  <c r="C80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BD80" i="43"/>
  <c r="BE80" i="43"/>
  <c r="BF80" i="43"/>
  <c r="BG80" i="43"/>
  <c r="BH80" i="43"/>
  <c r="BI80" i="43"/>
  <c r="BJ80" i="43"/>
  <c r="BK80" i="43"/>
  <c r="BL80" i="43"/>
  <c r="BM80" i="43"/>
  <c r="BN80" i="43"/>
  <c r="BO80" i="43"/>
  <c r="BP80" i="43"/>
  <c r="BQ80" i="43"/>
  <c r="BR80" i="43"/>
  <c r="BS80" i="43"/>
  <c r="BT80" i="43"/>
  <c r="BU80" i="43"/>
  <c r="BV80" i="43"/>
  <c r="BW80" i="43"/>
  <c r="BX80" i="43"/>
  <c r="BY80" i="43"/>
  <c r="BZ80" i="43"/>
  <c r="CA80" i="43"/>
  <c r="CB80" i="43"/>
  <c r="CC80" i="43"/>
  <c r="CD80" i="43"/>
  <c r="CE80" i="43"/>
  <c r="CF80" i="43"/>
  <c r="CG80" i="43"/>
  <c r="CH80" i="43"/>
  <c r="CI80" i="43"/>
  <c r="CJ80" i="43"/>
  <c r="CK80" i="43"/>
  <c r="CL80" i="43"/>
  <c r="CM80" i="43"/>
  <c r="CN80" i="43"/>
  <c r="CO80" i="43"/>
  <c r="CP80" i="43"/>
  <c r="CQ80" i="43"/>
  <c r="CR80" i="43"/>
  <c r="CS80" i="43"/>
  <c r="CT80" i="43"/>
  <c r="CU80" i="43"/>
  <c r="CV80" i="43"/>
  <c r="CW80" i="43"/>
  <c r="CX80" i="43"/>
  <c r="CY80" i="43"/>
  <c r="CZ80" i="43"/>
  <c r="DA80" i="43"/>
  <c r="DB80" i="43"/>
  <c r="DC80" i="43"/>
  <c r="DD80" i="43"/>
  <c r="DE80" i="43"/>
  <c r="DF80" i="43"/>
  <c r="DG80" i="43"/>
  <c r="DH80" i="43"/>
  <c r="DI80" i="43"/>
  <c r="DJ80" i="43"/>
  <c r="DK80" i="43"/>
  <c r="DL80" i="43"/>
  <c r="DM80" i="43"/>
  <c r="DN80" i="43"/>
  <c r="DO80" i="43"/>
  <c r="DP80" i="43"/>
  <c r="DQ80" i="43"/>
  <c r="DR80" i="43"/>
  <c r="DS80" i="43"/>
  <c r="DT80" i="43"/>
  <c r="DU80" i="43"/>
  <c r="DV80" i="43"/>
  <c r="DW80" i="43"/>
  <c r="DX80" i="43"/>
  <c r="DY80" i="43"/>
  <c r="DZ80" i="43"/>
  <c r="EA80" i="43"/>
  <c r="EB80" i="43"/>
  <c r="EC80" i="43"/>
  <c r="ED80" i="43"/>
  <c r="EE80" i="43"/>
  <c r="EF80" i="43"/>
  <c r="EG80" i="43"/>
  <c r="EH80" i="43"/>
  <c r="EI80" i="43"/>
  <c r="EJ80" i="43"/>
  <c r="EK80" i="43"/>
  <c r="EL80" i="43"/>
  <c r="EM80" i="43"/>
  <c r="EN80" i="43"/>
  <c r="EO80" i="43"/>
  <c r="EP80" i="43"/>
  <c r="EQ80" i="43"/>
  <c r="ER80" i="43"/>
  <c r="ES80" i="43"/>
  <c r="ET80" i="43"/>
  <c r="EU80" i="43"/>
  <c r="EV80" i="43"/>
  <c r="EW80" i="43"/>
  <c r="EX80" i="43"/>
  <c r="EY80" i="43"/>
  <c r="EZ80" i="43"/>
  <c r="FA80" i="43"/>
  <c r="FB80" i="43"/>
  <c r="FC80" i="43"/>
  <c r="FD80" i="43"/>
  <c r="FE80" i="43"/>
  <c r="FF80" i="43"/>
  <c r="FG80" i="43"/>
  <c r="FH80" i="43"/>
  <c r="FI80" i="43"/>
  <c r="FJ80" i="43"/>
  <c r="FK80" i="43"/>
  <c r="FL80" i="43"/>
  <c r="FM80" i="43"/>
  <c r="FN80" i="43"/>
  <c r="FO80" i="43"/>
  <c r="FP80" i="43"/>
  <c r="FQ80" i="43"/>
  <c r="FR80" i="43"/>
  <c r="FS80" i="43"/>
  <c r="FT80" i="43"/>
  <c r="FU80" i="43"/>
  <c r="FV80" i="43"/>
  <c r="FW80" i="43"/>
  <c r="FX80" i="43"/>
  <c r="FY80" i="43"/>
  <c r="FZ80" i="43"/>
  <c r="GA80" i="43"/>
  <c r="GB80" i="43"/>
  <c r="GC80" i="43"/>
  <c r="GD80" i="43"/>
  <c r="GE80" i="43"/>
  <c r="GF80" i="43"/>
  <c r="GG80" i="43"/>
  <c r="GH80" i="43"/>
  <c r="GI80" i="43"/>
  <c r="GJ80" i="43"/>
  <c r="GK80" i="43"/>
  <c r="GL80" i="43"/>
  <c r="GM80" i="43"/>
  <c r="GN80" i="43"/>
  <c r="GO80" i="43"/>
  <c r="GP80" i="43"/>
  <c r="GQ80" i="43"/>
  <c r="GR80" i="43"/>
  <c r="GS80" i="43"/>
  <c r="GT80" i="43"/>
  <c r="GU80" i="43"/>
  <c r="GV80" i="43"/>
  <c r="GW80" i="43"/>
  <c r="GX80" i="43"/>
  <c r="GY80" i="43"/>
  <c r="GZ80" i="43"/>
  <c r="HA80" i="43"/>
  <c r="HB80" i="43"/>
  <c r="HC80" i="43"/>
  <c r="HD80" i="43"/>
  <c r="HE80" i="43"/>
  <c r="HF80" i="43"/>
  <c r="HG80" i="43"/>
  <c r="HH80" i="43"/>
  <c r="HI80" i="43"/>
  <c r="HJ80" i="43"/>
  <c r="HK80" i="43"/>
  <c r="HL80" i="43"/>
  <c r="HM80" i="43"/>
  <c r="HN80" i="43"/>
  <c r="HO80" i="43"/>
  <c r="HP80" i="43"/>
  <c r="HQ80" i="43"/>
  <c r="HR80" i="43"/>
  <c r="HS80" i="43"/>
  <c r="HT80" i="43"/>
  <c r="HU80" i="43"/>
  <c r="HV80" i="43"/>
  <c r="HW80" i="43"/>
  <c r="HX80" i="43"/>
  <c r="HY80" i="43"/>
  <c r="HZ80" i="43"/>
  <c r="IA80" i="43"/>
  <c r="IB80" i="43"/>
  <c r="IC80" i="43"/>
  <c r="ID80" i="43"/>
  <c r="IE80" i="43"/>
  <c r="IF80" i="43"/>
  <c r="IG80" i="43"/>
  <c r="IH80" i="43"/>
  <c r="II80" i="43"/>
  <c r="IJ80" i="43"/>
  <c r="IK80" i="43"/>
  <c r="IL80" i="43"/>
  <c r="IM80" i="43"/>
  <c r="IN80" i="43"/>
  <c r="IO80" i="43"/>
  <c r="IP80" i="43"/>
  <c r="IQ80" i="43"/>
  <c r="IR80" i="43"/>
  <c r="IS80" i="43"/>
  <c r="IT80" i="43"/>
  <c r="IU80" i="43"/>
  <c r="IV80" i="43"/>
  <c r="A79" i="43"/>
  <c r="B79" i="43"/>
  <c r="C79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BD79" i="43"/>
  <c r="BE79" i="43"/>
  <c r="BF79" i="43"/>
  <c r="BG79" i="43"/>
  <c r="BH79" i="43"/>
  <c r="BI79" i="43"/>
  <c r="BJ79" i="43"/>
  <c r="BK79" i="43"/>
  <c r="BL79" i="43"/>
  <c r="BM79" i="43"/>
  <c r="BN79" i="43"/>
  <c r="BO79" i="43"/>
  <c r="BP79" i="43"/>
  <c r="BQ79" i="43"/>
  <c r="BR79" i="43"/>
  <c r="BS79" i="43"/>
  <c r="BT79" i="43"/>
  <c r="BU79" i="43"/>
  <c r="BV79" i="43"/>
  <c r="BW79" i="43"/>
  <c r="BX79" i="43"/>
  <c r="BY79" i="43"/>
  <c r="BZ79" i="43"/>
  <c r="CA79" i="43"/>
  <c r="CB79" i="43"/>
  <c r="CC79" i="43"/>
  <c r="CD79" i="43"/>
  <c r="CE79" i="43"/>
  <c r="CF79" i="43"/>
  <c r="CG79" i="43"/>
  <c r="CH79" i="43"/>
  <c r="CI79" i="43"/>
  <c r="CJ79" i="43"/>
  <c r="CK79" i="43"/>
  <c r="CL79" i="43"/>
  <c r="CM79" i="43"/>
  <c r="CN79" i="43"/>
  <c r="CO79" i="43"/>
  <c r="CP79" i="43"/>
  <c r="CQ79" i="43"/>
  <c r="CR79" i="43"/>
  <c r="CS79" i="43"/>
  <c r="CT79" i="43"/>
  <c r="CU79" i="43"/>
  <c r="CV79" i="43"/>
  <c r="CW79" i="43"/>
  <c r="CX79" i="43"/>
  <c r="CY79" i="43"/>
  <c r="CZ79" i="43"/>
  <c r="DA79" i="43"/>
  <c r="DB79" i="43"/>
  <c r="DC79" i="43"/>
  <c r="DD79" i="43"/>
  <c r="DE79" i="43"/>
  <c r="DF79" i="43"/>
  <c r="DG79" i="43"/>
  <c r="DH79" i="43"/>
  <c r="DI79" i="43"/>
  <c r="DJ79" i="43"/>
  <c r="DK79" i="43"/>
  <c r="DL79" i="43"/>
  <c r="DM79" i="43"/>
  <c r="DN79" i="43"/>
  <c r="DO79" i="43"/>
  <c r="DP79" i="43"/>
  <c r="DQ79" i="43"/>
  <c r="DR79" i="43"/>
  <c r="DS79" i="43"/>
  <c r="DT79" i="43"/>
  <c r="DU79" i="43"/>
  <c r="DV79" i="43"/>
  <c r="DW79" i="43"/>
  <c r="DX79" i="43"/>
  <c r="DY79" i="43"/>
  <c r="DZ79" i="43"/>
  <c r="EA79" i="43"/>
  <c r="EB79" i="43"/>
  <c r="EC79" i="43"/>
  <c r="ED79" i="43"/>
  <c r="EE79" i="43"/>
  <c r="EF79" i="43"/>
  <c r="EG79" i="43"/>
  <c r="EH79" i="43"/>
  <c r="EI79" i="43"/>
  <c r="EJ79" i="43"/>
  <c r="EK79" i="43"/>
  <c r="EL79" i="43"/>
  <c r="EM79" i="43"/>
  <c r="EN79" i="43"/>
  <c r="EO79" i="43"/>
  <c r="EP79" i="43"/>
  <c r="EQ79" i="43"/>
  <c r="ER79" i="43"/>
  <c r="ES79" i="43"/>
  <c r="ET79" i="43"/>
  <c r="EU79" i="43"/>
  <c r="EV79" i="43"/>
  <c r="EW79" i="43"/>
  <c r="EX79" i="43"/>
  <c r="EY79" i="43"/>
  <c r="EZ79" i="43"/>
  <c r="FA79" i="43"/>
  <c r="FB79" i="43"/>
  <c r="FC79" i="43"/>
  <c r="FD79" i="43"/>
  <c r="FE79" i="43"/>
  <c r="FF79" i="43"/>
  <c r="FG79" i="43"/>
  <c r="FH79" i="43"/>
  <c r="FI79" i="43"/>
  <c r="FJ79" i="43"/>
  <c r="FK79" i="43"/>
  <c r="FL79" i="43"/>
  <c r="FM79" i="43"/>
  <c r="FN79" i="43"/>
  <c r="FO79" i="43"/>
  <c r="FP79" i="43"/>
  <c r="FQ79" i="43"/>
  <c r="FR79" i="43"/>
  <c r="FS79" i="43"/>
  <c r="FT79" i="43"/>
  <c r="FU79" i="43"/>
  <c r="FV79" i="43"/>
  <c r="FW79" i="43"/>
  <c r="FX79" i="43"/>
  <c r="FY79" i="43"/>
  <c r="FZ79" i="43"/>
  <c r="GA79" i="43"/>
  <c r="GB79" i="43"/>
  <c r="GC79" i="43"/>
  <c r="GD79" i="43"/>
  <c r="GE79" i="43"/>
  <c r="GF79" i="43"/>
  <c r="GG79" i="43"/>
  <c r="GH79" i="43"/>
  <c r="GI79" i="43"/>
  <c r="GJ79" i="43"/>
  <c r="GK79" i="43"/>
  <c r="GL79" i="43"/>
  <c r="GM79" i="43"/>
  <c r="GN79" i="43"/>
  <c r="GO79" i="43"/>
  <c r="GP79" i="43"/>
  <c r="GQ79" i="43"/>
  <c r="GR79" i="43"/>
  <c r="GS79" i="43"/>
  <c r="GT79" i="43"/>
  <c r="GU79" i="43"/>
  <c r="GV79" i="43"/>
  <c r="GW79" i="43"/>
  <c r="GX79" i="43"/>
  <c r="GY79" i="43"/>
  <c r="GZ79" i="43"/>
  <c r="HA79" i="43"/>
  <c r="HB79" i="43"/>
  <c r="HC79" i="43"/>
  <c r="HD79" i="43"/>
  <c r="HE79" i="43"/>
  <c r="HF79" i="43"/>
  <c r="HG79" i="43"/>
  <c r="HH79" i="43"/>
  <c r="HI79" i="43"/>
  <c r="HJ79" i="43"/>
  <c r="HK79" i="43"/>
  <c r="HL79" i="43"/>
  <c r="HM79" i="43"/>
  <c r="HN79" i="43"/>
  <c r="HO79" i="43"/>
  <c r="HP79" i="43"/>
  <c r="HQ79" i="43"/>
  <c r="HR79" i="43"/>
  <c r="HS79" i="43"/>
  <c r="HT79" i="43"/>
  <c r="HU79" i="43"/>
  <c r="HV79" i="43"/>
  <c r="HW79" i="43"/>
  <c r="HX79" i="43"/>
  <c r="HY79" i="43"/>
  <c r="HZ79" i="43"/>
  <c r="IA79" i="43"/>
  <c r="IB79" i="43"/>
  <c r="IC79" i="43"/>
  <c r="ID79" i="43"/>
  <c r="IE79" i="43"/>
  <c r="IF79" i="43"/>
  <c r="IG79" i="43"/>
  <c r="IH79" i="43"/>
  <c r="II79" i="43"/>
  <c r="IJ79" i="43"/>
  <c r="IK79" i="43"/>
  <c r="IL79" i="43"/>
  <c r="IM79" i="43"/>
  <c r="IN79" i="43"/>
  <c r="IO79" i="43"/>
  <c r="IP79" i="43"/>
  <c r="IQ79" i="43"/>
  <c r="IR79" i="43"/>
  <c r="IS79" i="43"/>
  <c r="IT79" i="43"/>
  <c r="IU79" i="43"/>
  <c r="IV79" i="43"/>
  <c r="A78" i="43"/>
  <c r="B78" i="43"/>
  <c r="C78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BD78" i="43"/>
  <c r="BE78" i="43"/>
  <c r="BF78" i="43"/>
  <c r="BG78" i="43"/>
  <c r="BH78" i="43"/>
  <c r="BI78" i="43"/>
  <c r="BJ78" i="43"/>
  <c r="BK78" i="43"/>
  <c r="BL78" i="43"/>
  <c r="BM78" i="43"/>
  <c r="BN78" i="43"/>
  <c r="BO78" i="43"/>
  <c r="BP78" i="43"/>
  <c r="BQ78" i="43"/>
  <c r="BR78" i="43"/>
  <c r="BS78" i="43"/>
  <c r="BT78" i="43"/>
  <c r="BU78" i="43"/>
  <c r="BV78" i="43"/>
  <c r="BW78" i="43"/>
  <c r="BX78" i="43"/>
  <c r="BY78" i="43"/>
  <c r="BZ78" i="43"/>
  <c r="CA78" i="43"/>
  <c r="CB78" i="43"/>
  <c r="CC78" i="43"/>
  <c r="CD78" i="43"/>
  <c r="CE78" i="43"/>
  <c r="CF78" i="43"/>
  <c r="CG78" i="43"/>
  <c r="CH78" i="43"/>
  <c r="CI78" i="43"/>
  <c r="CJ78" i="43"/>
  <c r="CK78" i="43"/>
  <c r="CL78" i="43"/>
  <c r="CM78" i="43"/>
  <c r="CN78" i="43"/>
  <c r="CO78" i="43"/>
  <c r="CP78" i="43"/>
  <c r="CQ78" i="43"/>
  <c r="CR78" i="43"/>
  <c r="CS78" i="43"/>
  <c r="CT78" i="43"/>
  <c r="CU78" i="43"/>
  <c r="CV78" i="43"/>
  <c r="CW78" i="43"/>
  <c r="CX78" i="43"/>
  <c r="CY78" i="43"/>
  <c r="CZ78" i="43"/>
  <c r="DA78" i="43"/>
  <c r="DB78" i="43"/>
  <c r="DC78" i="43"/>
  <c r="DD78" i="43"/>
  <c r="DE78" i="43"/>
  <c r="DF78" i="43"/>
  <c r="DG78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EL78" i="43"/>
  <c r="EM78" i="43"/>
  <c r="EN78" i="43"/>
  <c r="EO78" i="43"/>
  <c r="EP78" i="43"/>
  <c r="EQ78" i="43"/>
  <c r="ER78" i="43"/>
  <c r="ES78" i="43"/>
  <c r="ET78" i="43"/>
  <c r="EU78" i="43"/>
  <c r="EV78" i="43"/>
  <c r="EW78" i="43"/>
  <c r="EX78" i="43"/>
  <c r="EY78" i="43"/>
  <c r="EZ78" i="43"/>
  <c r="FA78" i="43"/>
  <c r="FB78" i="43"/>
  <c r="FC78" i="43"/>
  <c r="FD78" i="43"/>
  <c r="FE78" i="43"/>
  <c r="FF78" i="43"/>
  <c r="FG78" i="43"/>
  <c r="FH78" i="43"/>
  <c r="FI78" i="43"/>
  <c r="FJ78" i="43"/>
  <c r="FK78" i="43"/>
  <c r="FL78" i="43"/>
  <c r="FM78" i="43"/>
  <c r="FN78" i="43"/>
  <c r="FO78" i="43"/>
  <c r="FP78" i="43"/>
  <c r="FQ78" i="43"/>
  <c r="FR78" i="43"/>
  <c r="FS78" i="43"/>
  <c r="FT78" i="43"/>
  <c r="FU78" i="43"/>
  <c r="FV78" i="43"/>
  <c r="FW78" i="43"/>
  <c r="FX78" i="43"/>
  <c r="FY78" i="43"/>
  <c r="FZ78" i="43"/>
  <c r="GA78" i="43"/>
  <c r="GB78" i="43"/>
  <c r="GC78" i="43"/>
  <c r="GD78" i="43"/>
  <c r="GE78" i="43"/>
  <c r="GF78" i="43"/>
  <c r="GG78" i="43"/>
  <c r="GH78" i="43"/>
  <c r="GI78" i="43"/>
  <c r="GJ78" i="43"/>
  <c r="GK78" i="43"/>
  <c r="GL78" i="43"/>
  <c r="GM78" i="43"/>
  <c r="GN78" i="43"/>
  <c r="GO78" i="43"/>
  <c r="GP78" i="43"/>
  <c r="GQ78" i="43"/>
  <c r="GR78" i="43"/>
  <c r="GS78" i="43"/>
  <c r="GT78" i="43"/>
  <c r="GU78" i="43"/>
  <c r="GV78" i="43"/>
  <c r="GW78" i="43"/>
  <c r="GX78" i="43"/>
  <c r="GY78" i="43"/>
  <c r="GZ78" i="43"/>
  <c r="HA78" i="43"/>
  <c r="HB78" i="43"/>
  <c r="HC78" i="43"/>
  <c r="HD78" i="43"/>
  <c r="HE78" i="43"/>
  <c r="HF78" i="43"/>
  <c r="HG78" i="43"/>
  <c r="HH78" i="43"/>
  <c r="HI78" i="43"/>
  <c r="HJ78" i="43"/>
  <c r="HK78" i="43"/>
  <c r="HL78" i="43"/>
  <c r="HM78" i="43"/>
  <c r="HN78" i="43"/>
  <c r="HO78" i="43"/>
  <c r="HP78" i="43"/>
  <c r="HQ78" i="43"/>
  <c r="HR78" i="43"/>
  <c r="HS78" i="43"/>
  <c r="HT78" i="43"/>
  <c r="HU78" i="43"/>
  <c r="HV78" i="43"/>
  <c r="HW78" i="43"/>
  <c r="HX78" i="43"/>
  <c r="HY78" i="43"/>
  <c r="HZ78" i="43"/>
  <c r="IA78" i="43"/>
  <c r="IB78" i="43"/>
  <c r="IC78" i="43"/>
  <c r="ID78" i="43"/>
  <c r="IE78" i="43"/>
  <c r="IF78" i="43"/>
  <c r="IG78" i="43"/>
  <c r="IH78" i="43"/>
  <c r="II78" i="43"/>
  <c r="IJ78" i="43"/>
  <c r="IK78" i="43"/>
  <c r="IL78" i="43"/>
  <c r="IM78" i="43"/>
  <c r="IN78" i="43"/>
  <c r="IO78" i="43"/>
  <c r="IP78" i="43"/>
  <c r="IQ78" i="43"/>
  <c r="IR78" i="43"/>
  <c r="IS78" i="43"/>
  <c r="IT78" i="43"/>
  <c r="IU78" i="43"/>
  <c r="IV78" i="43"/>
  <c r="A77" i="43"/>
  <c r="B77" i="43"/>
  <c r="C77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BD77" i="43"/>
  <c r="BE77" i="43"/>
  <c r="BF77" i="43"/>
  <c r="BG77" i="43"/>
  <c r="BH77" i="43"/>
  <c r="BI77" i="43"/>
  <c r="BJ77" i="43"/>
  <c r="BK77" i="43"/>
  <c r="BL77" i="43"/>
  <c r="BM77" i="43"/>
  <c r="BN77" i="43"/>
  <c r="BO77" i="43"/>
  <c r="BP77" i="43"/>
  <c r="BQ77" i="43"/>
  <c r="BR77" i="43"/>
  <c r="BS77" i="43"/>
  <c r="BT77" i="43"/>
  <c r="BU77" i="43"/>
  <c r="BV77" i="43"/>
  <c r="BW77" i="43"/>
  <c r="BX77" i="43"/>
  <c r="BY77" i="43"/>
  <c r="BZ77" i="43"/>
  <c r="CA77" i="43"/>
  <c r="CB77" i="43"/>
  <c r="CC77" i="43"/>
  <c r="CD77" i="43"/>
  <c r="CE77" i="43"/>
  <c r="CF77" i="43"/>
  <c r="CG77" i="43"/>
  <c r="CH77" i="43"/>
  <c r="CI77" i="43"/>
  <c r="CJ77" i="43"/>
  <c r="CK77" i="43"/>
  <c r="CL77" i="43"/>
  <c r="CM77" i="43"/>
  <c r="CN77" i="43"/>
  <c r="CO77" i="43"/>
  <c r="CP77" i="43"/>
  <c r="CQ77" i="43"/>
  <c r="CR77" i="43"/>
  <c r="CS77" i="43"/>
  <c r="CT77" i="43"/>
  <c r="CU77" i="43"/>
  <c r="CV77" i="43"/>
  <c r="CW77" i="43"/>
  <c r="CX77" i="43"/>
  <c r="CY77" i="43"/>
  <c r="CZ77" i="43"/>
  <c r="DA77" i="43"/>
  <c r="DB77" i="43"/>
  <c r="DC77" i="43"/>
  <c r="DD77" i="43"/>
  <c r="DE77" i="43"/>
  <c r="DF77" i="43"/>
  <c r="DG77" i="43"/>
  <c r="DH77" i="43"/>
  <c r="DI77" i="43"/>
  <c r="DJ77" i="43"/>
  <c r="DK77" i="43"/>
  <c r="DL77" i="43"/>
  <c r="DM77" i="43"/>
  <c r="DN77" i="43"/>
  <c r="DO77" i="43"/>
  <c r="DP77" i="43"/>
  <c r="DQ77" i="43"/>
  <c r="DR77" i="43"/>
  <c r="DS77" i="43"/>
  <c r="DT77" i="43"/>
  <c r="DU77" i="43"/>
  <c r="DV77" i="43"/>
  <c r="DW77" i="43"/>
  <c r="DX77" i="43"/>
  <c r="DY77" i="43"/>
  <c r="DZ77" i="43"/>
  <c r="EA77" i="43"/>
  <c r="EB77" i="43"/>
  <c r="EC77" i="43"/>
  <c r="ED77" i="43"/>
  <c r="EE77" i="43"/>
  <c r="EF77" i="43"/>
  <c r="EG77" i="43"/>
  <c r="EH77" i="43"/>
  <c r="EI77" i="43"/>
  <c r="EJ77" i="43"/>
  <c r="EK77" i="43"/>
  <c r="EL77" i="43"/>
  <c r="EM77" i="43"/>
  <c r="EN77" i="43"/>
  <c r="EO77" i="43"/>
  <c r="EP77" i="43"/>
  <c r="EQ77" i="43"/>
  <c r="ER77" i="43"/>
  <c r="ES77" i="43"/>
  <c r="ET77" i="43"/>
  <c r="EU77" i="43"/>
  <c r="EV77" i="43"/>
  <c r="EW77" i="43"/>
  <c r="EX77" i="43"/>
  <c r="EY77" i="43"/>
  <c r="EZ77" i="43"/>
  <c r="FA77" i="43"/>
  <c r="FB77" i="43"/>
  <c r="FC77" i="43"/>
  <c r="FD77" i="43"/>
  <c r="FE77" i="43"/>
  <c r="FF77" i="43"/>
  <c r="FG77" i="43"/>
  <c r="FH77" i="43"/>
  <c r="FI77" i="43"/>
  <c r="FJ77" i="43"/>
  <c r="FK77" i="43"/>
  <c r="FL77" i="43"/>
  <c r="FM77" i="43"/>
  <c r="FN77" i="43"/>
  <c r="FO77" i="43"/>
  <c r="FP77" i="43"/>
  <c r="FQ77" i="43"/>
  <c r="FR77" i="43"/>
  <c r="FS77" i="43"/>
  <c r="FT77" i="43"/>
  <c r="FU77" i="43"/>
  <c r="FV77" i="43"/>
  <c r="FW77" i="43"/>
  <c r="FX77" i="43"/>
  <c r="FY77" i="43"/>
  <c r="FZ77" i="43"/>
  <c r="GA77" i="43"/>
  <c r="GB77" i="43"/>
  <c r="GC77" i="43"/>
  <c r="GD77" i="43"/>
  <c r="GE77" i="43"/>
  <c r="GF77" i="43"/>
  <c r="GG77" i="43"/>
  <c r="GH77" i="43"/>
  <c r="GI77" i="43"/>
  <c r="GJ77" i="43"/>
  <c r="GK77" i="43"/>
  <c r="GL77" i="43"/>
  <c r="GM77" i="43"/>
  <c r="GN77" i="43"/>
  <c r="GO77" i="43"/>
  <c r="GP77" i="43"/>
  <c r="GQ77" i="43"/>
  <c r="GR77" i="43"/>
  <c r="GS77" i="43"/>
  <c r="GT77" i="43"/>
  <c r="GU77" i="43"/>
  <c r="GV77" i="43"/>
  <c r="GW77" i="43"/>
  <c r="GX77" i="43"/>
  <c r="GY77" i="43"/>
  <c r="GZ77" i="43"/>
  <c r="HA77" i="43"/>
  <c r="HB77" i="43"/>
  <c r="HC77" i="43"/>
  <c r="HD77" i="43"/>
  <c r="HE77" i="43"/>
  <c r="HF77" i="43"/>
  <c r="HG77" i="43"/>
  <c r="HH77" i="43"/>
  <c r="HI77" i="43"/>
  <c r="HJ77" i="43"/>
  <c r="HK77" i="43"/>
  <c r="HL77" i="43"/>
  <c r="HM77" i="43"/>
  <c r="HN77" i="43"/>
  <c r="HO77" i="43"/>
  <c r="HP77" i="43"/>
  <c r="HQ77" i="43"/>
  <c r="HR77" i="43"/>
  <c r="HS77" i="43"/>
  <c r="HT77" i="43"/>
  <c r="HU77" i="43"/>
  <c r="HV77" i="43"/>
  <c r="HW77" i="43"/>
  <c r="HX77" i="43"/>
  <c r="HY77" i="43"/>
  <c r="HZ77" i="43"/>
  <c r="IA77" i="43"/>
  <c r="IB77" i="43"/>
  <c r="IC77" i="43"/>
  <c r="ID77" i="43"/>
  <c r="IE77" i="43"/>
  <c r="IF77" i="43"/>
  <c r="IG77" i="43"/>
  <c r="IH77" i="43"/>
  <c r="II77" i="43"/>
  <c r="IJ77" i="43"/>
  <c r="IK77" i="43"/>
  <c r="IL77" i="43"/>
  <c r="IM77" i="43"/>
  <c r="IN77" i="43"/>
  <c r="IO77" i="43"/>
  <c r="IP77" i="43"/>
  <c r="IQ77" i="43"/>
  <c r="IR77" i="43"/>
  <c r="IS77" i="43"/>
  <c r="IT77" i="43"/>
  <c r="IU77" i="43"/>
  <c r="IV77" i="43"/>
  <c r="A76" i="43"/>
  <c r="B76" i="43"/>
  <c r="C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BD76" i="43"/>
  <c r="BE76" i="43"/>
  <c r="BF76" i="43"/>
  <c r="BG76" i="43"/>
  <c r="BH76" i="43"/>
  <c r="BI76" i="43"/>
  <c r="BJ76" i="43"/>
  <c r="BK76" i="43"/>
  <c r="BL76" i="43"/>
  <c r="BM76" i="43"/>
  <c r="BN76" i="43"/>
  <c r="BO76" i="43"/>
  <c r="BP76" i="43"/>
  <c r="BQ76" i="43"/>
  <c r="BR76" i="43"/>
  <c r="BS76" i="43"/>
  <c r="BT76" i="43"/>
  <c r="BU76" i="43"/>
  <c r="BV76" i="43"/>
  <c r="BW76" i="43"/>
  <c r="BX76" i="43"/>
  <c r="BY76" i="43"/>
  <c r="BZ76" i="43"/>
  <c r="CA76" i="43"/>
  <c r="CB76" i="43"/>
  <c r="CC76" i="43"/>
  <c r="CD76" i="43"/>
  <c r="CE76" i="43"/>
  <c r="CF76" i="43"/>
  <c r="CG76" i="43"/>
  <c r="CH76" i="43"/>
  <c r="CI76" i="43"/>
  <c r="CJ76" i="43"/>
  <c r="CK76" i="43"/>
  <c r="CL76" i="43"/>
  <c r="CM76" i="43"/>
  <c r="CN76" i="43"/>
  <c r="CO76" i="43"/>
  <c r="CP76" i="43"/>
  <c r="CQ76" i="43"/>
  <c r="CR76" i="43"/>
  <c r="CS76" i="43"/>
  <c r="CT76" i="43"/>
  <c r="CU76" i="43"/>
  <c r="CV76" i="43"/>
  <c r="CW76" i="43"/>
  <c r="CX76" i="43"/>
  <c r="CY76" i="43"/>
  <c r="CZ76" i="43"/>
  <c r="DA76" i="43"/>
  <c r="DB76" i="43"/>
  <c r="DC76" i="43"/>
  <c r="DD76" i="43"/>
  <c r="DE76" i="43"/>
  <c r="DF76" i="43"/>
  <c r="DG76" i="43"/>
  <c r="DH76" i="43"/>
  <c r="DI76" i="43"/>
  <c r="DJ76" i="43"/>
  <c r="DK76" i="43"/>
  <c r="DL76" i="43"/>
  <c r="DM76" i="43"/>
  <c r="DN76" i="43"/>
  <c r="DO76" i="43"/>
  <c r="DP76" i="43"/>
  <c r="DQ76" i="43"/>
  <c r="DR76" i="43"/>
  <c r="DS76" i="43"/>
  <c r="DT76" i="43"/>
  <c r="DU76" i="43"/>
  <c r="DV76" i="43"/>
  <c r="DW76" i="43"/>
  <c r="DX76" i="43"/>
  <c r="DY76" i="43"/>
  <c r="DZ76" i="43"/>
  <c r="EA76" i="43"/>
  <c r="EB76" i="43"/>
  <c r="EC76" i="43"/>
  <c r="ED76" i="43"/>
  <c r="EE76" i="43"/>
  <c r="EF76" i="43"/>
  <c r="EG76" i="43"/>
  <c r="EH76" i="43"/>
  <c r="EI76" i="43"/>
  <c r="EJ76" i="43"/>
  <c r="EK76" i="43"/>
  <c r="EL76" i="43"/>
  <c r="EM76" i="43"/>
  <c r="EN76" i="43"/>
  <c r="EO76" i="43"/>
  <c r="EP76" i="43"/>
  <c r="EQ76" i="43"/>
  <c r="ER76" i="43"/>
  <c r="ES76" i="43"/>
  <c r="ET76" i="43"/>
  <c r="EU76" i="43"/>
  <c r="EV76" i="43"/>
  <c r="EW76" i="43"/>
  <c r="EX76" i="43"/>
  <c r="EY76" i="43"/>
  <c r="EZ76" i="43"/>
  <c r="FA76" i="43"/>
  <c r="FB76" i="43"/>
  <c r="FC76" i="43"/>
  <c r="FD76" i="43"/>
  <c r="FE76" i="43"/>
  <c r="FF76" i="43"/>
  <c r="FG76" i="43"/>
  <c r="FH76" i="43"/>
  <c r="FI76" i="43"/>
  <c r="FJ76" i="43"/>
  <c r="FK76" i="43"/>
  <c r="FL76" i="43"/>
  <c r="FM76" i="43"/>
  <c r="FN76" i="43"/>
  <c r="FO76" i="43"/>
  <c r="FP76" i="43"/>
  <c r="FQ76" i="43"/>
  <c r="FR76" i="43"/>
  <c r="FS76" i="43"/>
  <c r="FT76" i="43"/>
  <c r="FU76" i="43"/>
  <c r="FV76" i="43"/>
  <c r="FW76" i="43"/>
  <c r="FX76" i="43"/>
  <c r="FY76" i="43"/>
  <c r="FZ76" i="43"/>
  <c r="GA76" i="43"/>
  <c r="GB76" i="43"/>
  <c r="GC76" i="43"/>
  <c r="GD76" i="43"/>
  <c r="GE76" i="43"/>
  <c r="GF76" i="43"/>
  <c r="GG76" i="43"/>
  <c r="GH76" i="43"/>
  <c r="GI76" i="43"/>
  <c r="GJ76" i="43"/>
  <c r="GK76" i="43"/>
  <c r="GL76" i="43"/>
  <c r="GM76" i="43"/>
  <c r="GN76" i="43"/>
  <c r="GO76" i="43"/>
  <c r="GP76" i="43"/>
  <c r="GQ76" i="43"/>
  <c r="GR76" i="43"/>
  <c r="GS76" i="43"/>
  <c r="GT76" i="43"/>
  <c r="GU76" i="43"/>
  <c r="GV76" i="43"/>
  <c r="GW76" i="43"/>
  <c r="GX76" i="43"/>
  <c r="GY76" i="43"/>
  <c r="GZ76" i="43"/>
  <c r="HA76" i="43"/>
  <c r="HB76" i="43"/>
  <c r="HC76" i="43"/>
  <c r="HD76" i="43"/>
  <c r="HE76" i="43"/>
  <c r="HF76" i="43"/>
  <c r="HG76" i="43"/>
  <c r="HH76" i="43"/>
  <c r="HI76" i="43"/>
  <c r="HJ76" i="43"/>
  <c r="HK76" i="43"/>
  <c r="HL76" i="43"/>
  <c r="HM76" i="43"/>
  <c r="HN76" i="43"/>
  <c r="HO76" i="43"/>
  <c r="HP76" i="43"/>
  <c r="HQ76" i="43"/>
  <c r="HR76" i="43"/>
  <c r="HS76" i="43"/>
  <c r="HT76" i="43"/>
  <c r="HU76" i="43"/>
  <c r="HV76" i="43"/>
  <c r="HW76" i="43"/>
  <c r="HX76" i="43"/>
  <c r="HY76" i="43"/>
  <c r="HZ76" i="43"/>
  <c r="IA76" i="43"/>
  <c r="IB76" i="43"/>
  <c r="IC76" i="43"/>
  <c r="ID76" i="43"/>
  <c r="IE76" i="43"/>
  <c r="IF76" i="43"/>
  <c r="IG76" i="43"/>
  <c r="IH76" i="43"/>
  <c r="II76" i="43"/>
  <c r="IJ76" i="43"/>
  <c r="IK76" i="43"/>
  <c r="IL76" i="43"/>
  <c r="IM76" i="43"/>
  <c r="IN76" i="43"/>
  <c r="IO76" i="43"/>
  <c r="IP76" i="43"/>
  <c r="IQ76" i="43"/>
  <c r="IR76" i="43"/>
  <c r="IS76" i="43"/>
  <c r="IT76" i="43"/>
  <c r="IU76" i="43"/>
  <c r="IV76" i="43"/>
  <c r="A75" i="43"/>
  <c r="B75" i="43"/>
  <c r="C75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BD75" i="43"/>
  <c r="BE75" i="43"/>
  <c r="BF75" i="43"/>
  <c r="BG75" i="43"/>
  <c r="BH75" i="43"/>
  <c r="BI75" i="43"/>
  <c r="BJ75" i="43"/>
  <c r="BK75" i="43"/>
  <c r="BL75" i="43"/>
  <c r="BM75" i="43"/>
  <c r="BN75" i="43"/>
  <c r="BO75" i="43"/>
  <c r="BP75" i="43"/>
  <c r="BQ75" i="43"/>
  <c r="BR75" i="43"/>
  <c r="BS75" i="43"/>
  <c r="BT75" i="43"/>
  <c r="BU75" i="43"/>
  <c r="BV75" i="43"/>
  <c r="BW75" i="43"/>
  <c r="BX75" i="43"/>
  <c r="BY75" i="43"/>
  <c r="BZ75" i="43"/>
  <c r="CA75" i="43"/>
  <c r="CB75" i="43"/>
  <c r="CC75" i="43"/>
  <c r="CD75" i="43"/>
  <c r="CE75" i="43"/>
  <c r="CF75" i="43"/>
  <c r="CG75" i="43"/>
  <c r="CH75" i="43"/>
  <c r="CI75" i="43"/>
  <c r="CJ75" i="43"/>
  <c r="CK75" i="43"/>
  <c r="CL75" i="43"/>
  <c r="CM75" i="43"/>
  <c r="CN75" i="43"/>
  <c r="CO75" i="43"/>
  <c r="CP75" i="43"/>
  <c r="CQ75" i="43"/>
  <c r="CR75" i="43"/>
  <c r="CS75" i="43"/>
  <c r="CT75" i="43"/>
  <c r="CU75" i="43"/>
  <c r="CV75" i="43"/>
  <c r="CW75" i="43"/>
  <c r="CX75" i="43"/>
  <c r="CY75" i="43"/>
  <c r="CZ75" i="43"/>
  <c r="DA75" i="43"/>
  <c r="DB75" i="43"/>
  <c r="DC75" i="43"/>
  <c r="DD75" i="43"/>
  <c r="DE75" i="43"/>
  <c r="DF75" i="43"/>
  <c r="DG75" i="43"/>
  <c r="DH75" i="43"/>
  <c r="DI75" i="43"/>
  <c r="DJ75" i="43"/>
  <c r="DK75" i="43"/>
  <c r="DL75" i="43"/>
  <c r="DM75" i="43"/>
  <c r="DN75" i="43"/>
  <c r="DO75" i="43"/>
  <c r="DP75" i="43"/>
  <c r="DQ75" i="43"/>
  <c r="DR75" i="43"/>
  <c r="DS75" i="43"/>
  <c r="DT75" i="43"/>
  <c r="DU75" i="43"/>
  <c r="DV75" i="43"/>
  <c r="DW75" i="43"/>
  <c r="DX75" i="43"/>
  <c r="DY75" i="43"/>
  <c r="DZ75" i="43"/>
  <c r="EA75" i="43"/>
  <c r="EB75" i="43"/>
  <c r="EC75" i="43"/>
  <c r="ED75" i="43"/>
  <c r="EE75" i="43"/>
  <c r="EF75" i="43"/>
  <c r="EG75" i="43"/>
  <c r="EH75" i="43"/>
  <c r="EI75" i="43"/>
  <c r="EJ75" i="43"/>
  <c r="EK75" i="43"/>
  <c r="EL75" i="43"/>
  <c r="EM75" i="43"/>
  <c r="EN75" i="43"/>
  <c r="EO75" i="43"/>
  <c r="EP75" i="43"/>
  <c r="EQ75" i="43"/>
  <c r="ER75" i="43"/>
  <c r="ES75" i="43"/>
  <c r="ET75" i="43"/>
  <c r="EU75" i="43"/>
  <c r="EV75" i="43"/>
  <c r="EW75" i="43"/>
  <c r="EX75" i="43"/>
  <c r="EY75" i="43"/>
  <c r="EZ75" i="43"/>
  <c r="FA75" i="43"/>
  <c r="FB75" i="43"/>
  <c r="FC75" i="43"/>
  <c r="FD75" i="43"/>
  <c r="FE75" i="43"/>
  <c r="FF75" i="43"/>
  <c r="FG75" i="43"/>
  <c r="FH75" i="43"/>
  <c r="FI75" i="43"/>
  <c r="FJ75" i="43"/>
  <c r="FK75" i="43"/>
  <c r="FL75" i="43"/>
  <c r="FM75" i="43"/>
  <c r="FN75" i="43"/>
  <c r="FO75" i="43"/>
  <c r="FP75" i="43"/>
  <c r="FQ75" i="43"/>
  <c r="FR75" i="43"/>
  <c r="FS75" i="43"/>
  <c r="FT75" i="43"/>
  <c r="FU75" i="43"/>
  <c r="FV75" i="43"/>
  <c r="FW75" i="43"/>
  <c r="FX75" i="43"/>
  <c r="FY75" i="43"/>
  <c r="FZ75" i="43"/>
  <c r="GA75" i="43"/>
  <c r="GB75" i="43"/>
  <c r="GC75" i="43"/>
  <c r="GD75" i="43"/>
  <c r="GE75" i="43"/>
  <c r="GF75" i="43"/>
  <c r="GG75" i="43"/>
  <c r="GH75" i="43"/>
  <c r="GI75" i="43"/>
  <c r="GJ75" i="43"/>
  <c r="GK75" i="43"/>
  <c r="GL75" i="43"/>
  <c r="GM75" i="43"/>
  <c r="GN75" i="43"/>
  <c r="GO75" i="43"/>
  <c r="GP75" i="43"/>
  <c r="GQ75" i="43"/>
  <c r="GR75" i="43"/>
  <c r="GS75" i="43"/>
  <c r="GT75" i="43"/>
  <c r="GU75" i="43"/>
  <c r="GV75" i="43"/>
  <c r="GW75" i="43"/>
  <c r="GX75" i="43"/>
  <c r="GY75" i="43"/>
  <c r="GZ75" i="43"/>
  <c r="HA75" i="43"/>
  <c r="HB75" i="43"/>
  <c r="HC75" i="43"/>
  <c r="HD75" i="43"/>
  <c r="HE75" i="43"/>
  <c r="HF75" i="43"/>
  <c r="HG75" i="43"/>
  <c r="HH75" i="43"/>
  <c r="HI75" i="43"/>
  <c r="HJ75" i="43"/>
  <c r="HK75" i="43"/>
  <c r="HL75" i="43"/>
  <c r="HM75" i="43"/>
  <c r="HN75" i="43"/>
  <c r="HO75" i="43"/>
  <c r="HP75" i="43"/>
  <c r="HQ75" i="43"/>
  <c r="HR75" i="43"/>
  <c r="HS75" i="43"/>
  <c r="HT75" i="43"/>
  <c r="HU75" i="43"/>
  <c r="HV75" i="43"/>
  <c r="HW75" i="43"/>
  <c r="HX75" i="43"/>
  <c r="HY75" i="43"/>
  <c r="HZ75" i="43"/>
  <c r="IA75" i="43"/>
  <c r="IB75" i="43"/>
  <c r="IC75" i="43"/>
  <c r="ID75" i="43"/>
  <c r="IE75" i="43"/>
  <c r="IF75" i="43"/>
  <c r="IG75" i="43"/>
  <c r="IH75" i="43"/>
  <c r="II75" i="43"/>
  <c r="IJ75" i="43"/>
  <c r="IK75" i="43"/>
  <c r="IL75" i="43"/>
  <c r="IM75" i="43"/>
  <c r="IN75" i="43"/>
  <c r="IO75" i="43"/>
  <c r="IP75" i="43"/>
  <c r="IQ75" i="43"/>
  <c r="IR75" i="43"/>
  <c r="IS75" i="43"/>
  <c r="IT75" i="43"/>
  <c r="IU75" i="43"/>
  <c r="IV75" i="43"/>
  <c r="A74" i="43"/>
  <c r="B74" i="43"/>
  <c r="C74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BD74" i="43"/>
  <c r="BE74" i="43"/>
  <c r="BF74" i="43"/>
  <c r="BG74" i="43"/>
  <c r="BH74" i="43"/>
  <c r="BI74" i="43"/>
  <c r="BJ74" i="43"/>
  <c r="BK74" i="43"/>
  <c r="BL74" i="43"/>
  <c r="BM74" i="43"/>
  <c r="BN74" i="43"/>
  <c r="BO74" i="43"/>
  <c r="BP74" i="43"/>
  <c r="BQ74" i="43"/>
  <c r="BR74" i="43"/>
  <c r="BS74" i="43"/>
  <c r="BT74" i="43"/>
  <c r="BU74" i="43"/>
  <c r="BV74" i="43"/>
  <c r="BW74" i="43"/>
  <c r="BX74" i="43"/>
  <c r="BY74" i="43"/>
  <c r="BZ74" i="43"/>
  <c r="CA74" i="43"/>
  <c r="CB74" i="43"/>
  <c r="CC74" i="43"/>
  <c r="CD74" i="43"/>
  <c r="CE74" i="43"/>
  <c r="CF74" i="43"/>
  <c r="CG74" i="43"/>
  <c r="CH74" i="43"/>
  <c r="CI74" i="43"/>
  <c r="CJ74" i="43"/>
  <c r="CK74" i="43"/>
  <c r="CL74" i="43"/>
  <c r="CM74" i="43"/>
  <c r="CN74" i="43"/>
  <c r="CO74" i="43"/>
  <c r="CP74" i="43"/>
  <c r="CQ74" i="43"/>
  <c r="CR74" i="43"/>
  <c r="CS74" i="43"/>
  <c r="CT74" i="43"/>
  <c r="CU74" i="43"/>
  <c r="CV74" i="43"/>
  <c r="CW74" i="43"/>
  <c r="CX74" i="43"/>
  <c r="CY74" i="43"/>
  <c r="CZ74" i="43"/>
  <c r="DA74" i="43"/>
  <c r="DB74" i="43"/>
  <c r="DC74" i="43"/>
  <c r="DD74" i="43"/>
  <c r="DE74" i="43"/>
  <c r="DF74" i="43"/>
  <c r="DG74" i="43"/>
  <c r="DH74" i="43"/>
  <c r="DI74" i="43"/>
  <c r="DJ74" i="43"/>
  <c r="DK74" i="43"/>
  <c r="DL74" i="43"/>
  <c r="DM74" i="43"/>
  <c r="DN74" i="43"/>
  <c r="DO74" i="43"/>
  <c r="DP74" i="43"/>
  <c r="DQ74" i="43"/>
  <c r="DR74" i="43"/>
  <c r="DS74" i="43"/>
  <c r="DT74" i="43"/>
  <c r="DU74" i="43"/>
  <c r="DV74" i="43"/>
  <c r="DW74" i="43"/>
  <c r="DX74" i="43"/>
  <c r="DY74" i="43"/>
  <c r="DZ74" i="43"/>
  <c r="EA74" i="43"/>
  <c r="EB74" i="43"/>
  <c r="EC74" i="43"/>
  <c r="ED74" i="43"/>
  <c r="EE74" i="43"/>
  <c r="EF74" i="43"/>
  <c r="EG74" i="43"/>
  <c r="EH74" i="43"/>
  <c r="EI74" i="43"/>
  <c r="EJ74" i="43"/>
  <c r="EK74" i="43"/>
  <c r="EL74" i="43"/>
  <c r="EM74" i="43"/>
  <c r="EN74" i="43"/>
  <c r="EO74" i="43"/>
  <c r="EP74" i="43"/>
  <c r="EQ74" i="43"/>
  <c r="ER74" i="43"/>
  <c r="ES74" i="43"/>
  <c r="ET74" i="43"/>
  <c r="EU74" i="43"/>
  <c r="EV74" i="43"/>
  <c r="EW74" i="43"/>
  <c r="EX74" i="43"/>
  <c r="EY74" i="43"/>
  <c r="EZ74" i="43"/>
  <c r="FA74" i="43"/>
  <c r="FB74" i="43"/>
  <c r="FC74" i="43"/>
  <c r="FD74" i="43"/>
  <c r="FE74" i="43"/>
  <c r="FF74" i="43"/>
  <c r="FG74" i="43"/>
  <c r="FH74" i="43"/>
  <c r="FI74" i="43"/>
  <c r="FJ74" i="43"/>
  <c r="FK74" i="43"/>
  <c r="FL74" i="43"/>
  <c r="FM74" i="43"/>
  <c r="FN74" i="43"/>
  <c r="FO74" i="43"/>
  <c r="FP74" i="43"/>
  <c r="FQ74" i="43"/>
  <c r="FR74" i="43"/>
  <c r="FS74" i="43"/>
  <c r="FT74" i="43"/>
  <c r="FU74" i="43"/>
  <c r="FV74" i="43"/>
  <c r="FW74" i="43"/>
  <c r="FX74" i="43"/>
  <c r="FY74" i="43"/>
  <c r="FZ74" i="43"/>
  <c r="GA74" i="43"/>
  <c r="GB74" i="43"/>
  <c r="GC74" i="43"/>
  <c r="GD74" i="43"/>
  <c r="GE74" i="43"/>
  <c r="GF74" i="43"/>
  <c r="GG74" i="43"/>
  <c r="GH74" i="43"/>
  <c r="GI74" i="43"/>
  <c r="GJ74" i="43"/>
  <c r="GK74" i="43"/>
  <c r="GL74" i="43"/>
  <c r="GM74" i="43"/>
  <c r="GN74" i="43"/>
  <c r="GO74" i="43"/>
  <c r="GP74" i="43"/>
  <c r="GQ74" i="43"/>
  <c r="GR74" i="43"/>
  <c r="GS74" i="43"/>
  <c r="GT74" i="43"/>
  <c r="GU74" i="43"/>
  <c r="GV74" i="43"/>
  <c r="GW74" i="43"/>
  <c r="GX74" i="43"/>
  <c r="GY74" i="43"/>
  <c r="GZ74" i="43"/>
  <c r="HA74" i="43"/>
  <c r="HB74" i="43"/>
  <c r="HC74" i="43"/>
  <c r="HD74" i="43"/>
  <c r="HE74" i="43"/>
  <c r="HF74" i="43"/>
  <c r="HG74" i="43"/>
  <c r="HH74" i="43"/>
  <c r="HI74" i="43"/>
  <c r="HJ74" i="43"/>
  <c r="HK74" i="43"/>
  <c r="HL74" i="43"/>
  <c r="HM74" i="43"/>
  <c r="HN74" i="43"/>
  <c r="HO74" i="43"/>
  <c r="HP74" i="43"/>
  <c r="HQ74" i="43"/>
  <c r="HR74" i="43"/>
  <c r="HS74" i="43"/>
  <c r="HT74" i="43"/>
  <c r="HU74" i="43"/>
  <c r="HV74" i="43"/>
  <c r="HW74" i="43"/>
  <c r="HX74" i="43"/>
  <c r="HY74" i="43"/>
  <c r="HZ74" i="43"/>
  <c r="IA74" i="43"/>
  <c r="IB74" i="43"/>
  <c r="IC74" i="43"/>
  <c r="ID74" i="43"/>
  <c r="IE74" i="43"/>
  <c r="IF74" i="43"/>
  <c r="IG74" i="43"/>
  <c r="IH74" i="43"/>
  <c r="II74" i="43"/>
  <c r="IJ74" i="43"/>
  <c r="IK74" i="43"/>
  <c r="IL74" i="43"/>
  <c r="IM74" i="43"/>
  <c r="IN74" i="43"/>
  <c r="IO74" i="43"/>
  <c r="IP74" i="43"/>
  <c r="IQ74" i="43"/>
  <c r="IR74" i="43"/>
  <c r="IS74" i="43"/>
  <c r="IT74" i="43"/>
  <c r="IU74" i="43"/>
  <c r="IV74" i="43"/>
  <c r="A73" i="43"/>
  <c r="B73" i="43"/>
  <c r="C73" i="43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BD73" i="43"/>
  <c r="BE73" i="43"/>
  <c r="BF73" i="43"/>
  <c r="BG73" i="43"/>
  <c r="BH73" i="43"/>
  <c r="BI73" i="43"/>
  <c r="BJ73" i="43"/>
  <c r="BK73" i="43"/>
  <c r="BL73" i="43"/>
  <c r="BM73" i="43"/>
  <c r="BN73" i="43"/>
  <c r="BO73" i="43"/>
  <c r="BP73" i="43"/>
  <c r="BQ73" i="43"/>
  <c r="BR73" i="43"/>
  <c r="BS73" i="43"/>
  <c r="BT73" i="43"/>
  <c r="BU73" i="43"/>
  <c r="BV73" i="43"/>
  <c r="BW73" i="43"/>
  <c r="BX73" i="43"/>
  <c r="BY73" i="43"/>
  <c r="BZ73" i="43"/>
  <c r="CA73" i="43"/>
  <c r="CB73" i="43"/>
  <c r="CC73" i="43"/>
  <c r="CD73" i="43"/>
  <c r="CE73" i="43"/>
  <c r="CF73" i="43"/>
  <c r="CG73" i="43"/>
  <c r="CH73" i="43"/>
  <c r="CI73" i="43"/>
  <c r="CJ73" i="43"/>
  <c r="CK73" i="43"/>
  <c r="CL73" i="43"/>
  <c r="CM73" i="43"/>
  <c r="CN73" i="43"/>
  <c r="CO73" i="43"/>
  <c r="CP73" i="43"/>
  <c r="CQ73" i="43"/>
  <c r="CR73" i="43"/>
  <c r="CS73" i="43"/>
  <c r="CT73" i="43"/>
  <c r="CU73" i="43"/>
  <c r="CV73" i="43"/>
  <c r="CW73" i="43"/>
  <c r="CX73" i="43"/>
  <c r="CY73" i="43"/>
  <c r="CZ73" i="43"/>
  <c r="DA73" i="43"/>
  <c r="DB73" i="43"/>
  <c r="DC73" i="43"/>
  <c r="DD73" i="43"/>
  <c r="DE73" i="43"/>
  <c r="DF73" i="43"/>
  <c r="DG73" i="43"/>
  <c r="DH73" i="43"/>
  <c r="DI73" i="43"/>
  <c r="DJ73" i="43"/>
  <c r="DK73" i="43"/>
  <c r="DL73" i="43"/>
  <c r="DM73" i="43"/>
  <c r="DN73" i="43"/>
  <c r="DO73" i="43"/>
  <c r="DP73" i="43"/>
  <c r="DQ73" i="43"/>
  <c r="DR73" i="43"/>
  <c r="DS73" i="43"/>
  <c r="DT73" i="43"/>
  <c r="DU73" i="43"/>
  <c r="DV73" i="43"/>
  <c r="DW73" i="43"/>
  <c r="DX73" i="43"/>
  <c r="DY73" i="43"/>
  <c r="DZ73" i="43"/>
  <c r="EA73" i="43"/>
  <c r="EB73" i="43"/>
  <c r="EC73" i="43"/>
  <c r="ED73" i="43"/>
  <c r="EE73" i="43"/>
  <c r="EF73" i="43"/>
  <c r="EG73" i="43"/>
  <c r="EH73" i="43"/>
  <c r="EI73" i="43"/>
  <c r="EJ73" i="43"/>
  <c r="EK73" i="43"/>
  <c r="EL73" i="43"/>
  <c r="EM73" i="43"/>
  <c r="EN73" i="43"/>
  <c r="EO73" i="43"/>
  <c r="EP73" i="43"/>
  <c r="EQ73" i="43"/>
  <c r="ER73" i="43"/>
  <c r="ES73" i="43"/>
  <c r="ET73" i="43"/>
  <c r="EU73" i="43"/>
  <c r="EV73" i="43"/>
  <c r="EW73" i="43"/>
  <c r="EX73" i="43"/>
  <c r="EY73" i="43"/>
  <c r="EZ73" i="43"/>
  <c r="FA73" i="43"/>
  <c r="FB73" i="43"/>
  <c r="FC73" i="43"/>
  <c r="FD73" i="43"/>
  <c r="FE73" i="43"/>
  <c r="FF73" i="43"/>
  <c r="FG73" i="43"/>
  <c r="FH73" i="43"/>
  <c r="FI73" i="43"/>
  <c r="FJ73" i="43"/>
  <c r="FK73" i="43"/>
  <c r="FL73" i="43"/>
  <c r="FM73" i="43"/>
  <c r="FN73" i="43"/>
  <c r="FO73" i="43"/>
  <c r="FP73" i="43"/>
  <c r="FQ73" i="43"/>
  <c r="FR73" i="43"/>
  <c r="FS73" i="43"/>
  <c r="FT73" i="43"/>
  <c r="FU73" i="43"/>
  <c r="FV73" i="43"/>
  <c r="FW73" i="43"/>
  <c r="FX73" i="43"/>
  <c r="FY73" i="43"/>
  <c r="FZ73" i="43"/>
  <c r="GA73" i="43"/>
  <c r="GB73" i="43"/>
  <c r="GC73" i="43"/>
  <c r="GD73" i="43"/>
  <c r="GE73" i="43"/>
  <c r="GF73" i="43"/>
  <c r="GG73" i="43"/>
  <c r="GH73" i="43"/>
  <c r="GI73" i="43"/>
  <c r="GJ73" i="43"/>
  <c r="GK73" i="43"/>
  <c r="GL73" i="43"/>
  <c r="GM73" i="43"/>
  <c r="GN73" i="43"/>
  <c r="GO73" i="43"/>
  <c r="GP73" i="43"/>
  <c r="GQ73" i="43"/>
  <c r="GR73" i="43"/>
  <c r="GS73" i="43"/>
  <c r="GT73" i="43"/>
  <c r="GU73" i="43"/>
  <c r="GV73" i="43"/>
  <c r="GW73" i="43"/>
  <c r="GX73" i="43"/>
  <c r="GY73" i="43"/>
  <c r="GZ73" i="43"/>
  <c r="HA73" i="43"/>
  <c r="HB73" i="43"/>
  <c r="HC73" i="43"/>
  <c r="HD73" i="43"/>
  <c r="HE73" i="43"/>
  <c r="HF73" i="43"/>
  <c r="HG73" i="43"/>
  <c r="HH73" i="43"/>
  <c r="HI73" i="43"/>
  <c r="HJ73" i="43"/>
  <c r="HK73" i="43"/>
  <c r="HL73" i="43"/>
  <c r="HM73" i="43"/>
  <c r="HN73" i="43"/>
  <c r="HO73" i="43"/>
  <c r="HP73" i="43"/>
  <c r="HQ73" i="43"/>
  <c r="HR73" i="43"/>
  <c r="HS73" i="43"/>
  <c r="HT73" i="43"/>
  <c r="HU73" i="43"/>
  <c r="HV73" i="43"/>
  <c r="HW73" i="43"/>
  <c r="HX73" i="43"/>
  <c r="HY73" i="43"/>
  <c r="HZ73" i="43"/>
  <c r="IA73" i="43"/>
  <c r="IB73" i="43"/>
  <c r="IC73" i="43"/>
  <c r="ID73" i="43"/>
  <c r="IE73" i="43"/>
  <c r="IF73" i="43"/>
  <c r="IG73" i="43"/>
  <c r="IH73" i="43"/>
  <c r="II73" i="43"/>
  <c r="IJ73" i="43"/>
  <c r="IK73" i="43"/>
  <c r="IL73" i="43"/>
  <c r="IM73" i="43"/>
  <c r="IN73" i="43"/>
  <c r="IO73" i="43"/>
  <c r="IP73" i="43"/>
  <c r="IQ73" i="43"/>
  <c r="IR73" i="43"/>
  <c r="IS73" i="43"/>
  <c r="IT73" i="43"/>
  <c r="IU73" i="43"/>
  <c r="IV73" i="43"/>
  <c r="A72" i="43"/>
  <c r="B72" i="43"/>
  <c r="C72" i="43"/>
  <c r="D72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AW72" i="43"/>
  <c r="AX72" i="43"/>
  <c r="AY72" i="43"/>
  <c r="AZ72" i="43"/>
  <c r="BA72" i="43"/>
  <c r="BB72" i="43"/>
  <c r="BC72" i="43"/>
  <c r="BD72" i="43"/>
  <c r="BE72" i="43"/>
  <c r="BF72" i="43"/>
  <c r="BG72" i="43"/>
  <c r="BH72" i="43"/>
  <c r="BI72" i="43"/>
  <c r="BJ72" i="43"/>
  <c r="BK72" i="43"/>
  <c r="BL72" i="43"/>
  <c r="BM72" i="43"/>
  <c r="BN72" i="43"/>
  <c r="BO72" i="43"/>
  <c r="BP72" i="43"/>
  <c r="BQ72" i="43"/>
  <c r="BR72" i="43"/>
  <c r="BS72" i="43"/>
  <c r="BT72" i="43"/>
  <c r="BU72" i="43"/>
  <c r="BV72" i="43"/>
  <c r="BW72" i="43"/>
  <c r="BX72" i="43"/>
  <c r="BY72" i="43"/>
  <c r="BZ72" i="43"/>
  <c r="CA72" i="43"/>
  <c r="CB72" i="43"/>
  <c r="CC72" i="43"/>
  <c r="CD72" i="43"/>
  <c r="CE72" i="43"/>
  <c r="CF72" i="43"/>
  <c r="CG72" i="43"/>
  <c r="CH72" i="43"/>
  <c r="CI72" i="43"/>
  <c r="CJ72" i="43"/>
  <c r="CK72" i="43"/>
  <c r="CL72" i="43"/>
  <c r="CM72" i="43"/>
  <c r="CN72" i="43"/>
  <c r="CO72" i="43"/>
  <c r="CP72" i="43"/>
  <c r="CQ72" i="43"/>
  <c r="CR72" i="43"/>
  <c r="CS72" i="43"/>
  <c r="CT72" i="43"/>
  <c r="CU72" i="43"/>
  <c r="CV72" i="43"/>
  <c r="CW72" i="43"/>
  <c r="CX72" i="43"/>
  <c r="CY72" i="43"/>
  <c r="CZ72" i="43"/>
  <c r="DA72" i="43"/>
  <c r="DB72" i="43"/>
  <c r="DC72" i="43"/>
  <c r="DD72" i="43"/>
  <c r="DE72" i="43"/>
  <c r="DF72" i="43"/>
  <c r="DG72" i="43"/>
  <c r="DH72" i="43"/>
  <c r="DI72" i="43"/>
  <c r="DJ72" i="43"/>
  <c r="DK72" i="43"/>
  <c r="DL72" i="43"/>
  <c r="DM72" i="43"/>
  <c r="DN72" i="43"/>
  <c r="DO72" i="43"/>
  <c r="DP72" i="43"/>
  <c r="DQ72" i="43"/>
  <c r="DR72" i="43"/>
  <c r="DS72" i="43"/>
  <c r="DT72" i="43"/>
  <c r="DU72" i="43"/>
  <c r="DV72" i="43"/>
  <c r="DW72" i="43"/>
  <c r="DX72" i="43"/>
  <c r="DY72" i="43"/>
  <c r="DZ72" i="43"/>
  <c r="EA72" i="43"/>
  <c r="EB72" i="43"/>
  <c r="EC72" i="43"/>
  <c r="ED72" i="43"/>
  <c r="EE72" i="43"/>
  <c r="EF72" i="43"/>
  <c r="EG72" i="43"/>
  <c r="EH72" i="43"/>
  <c r="EI72" i="43"/>
  <c r="EJ72" i="43"/>
  <c r="EK72" i="43"/>
  <c r="EL72" i="43"/>
  <c r="EM72" i="43"/>
  <c r="EN72" i="43"/>
  <c r="EO72" i="43"/>
  <c r="EP72" i="43"/>
  <c r="EQ72" i="43"/>
  <c r="ER72" i="43"/>
  <c r="ES72" i="43"/>
  <c r="ET72" i="43"/>
  <c r="EU72" i="43"/>
  <c r="EV72" i="43"/>
  <c r="EW72" i="43"/>
  <c r="EX72" i="43"/>
  <c r="EY72" i="43"/>
  <c r="EZ72" i="43"/>
  <c r="FA72" i="43"/>
  <c r="FB72" i="43"/>
  <c r="FC72" i="43"/>
  <c r="FD72" i="43"/>
  <c r="FE72" i="43"/>
  <c r="FF72" i="43"/>
  <c r="FG72" i="43"/>
  <c r="FH72" i="43"/>
  <c r="FI72" i="43"/>
  <c r="FJ72" i="43"/>
  <c r="FK72" i="43"/>
  <c r="FL72" i="43"/>
  <c r="FM72" i="43"/>
  <c r="FN72" i="43"/>
  <c r="FO72" i="43"/>
  <c r="FP72" i="43"/>
  <c r="FQ72" i="43"/>
  <c r="FR72" i="43"/>
  <c r="FS72" i="43"/>
  <c r="FT72" i="43"/>
  <c r="FU72" i="43"/>
  <c r="FV72" i="43"/>
  <c r="FW72" i="43"/>
  <c r="FX72" i="43"/>
  <c r="FY72" i="43"/>
  <c r="FZ72" i="43"/>
  <c r="GA72" i="43"/>
  <c r="GB72" i="43"/>
  <c r="GC72" i="43"/>
  <c r="GD72" i="43"/>
  <c r="GE72" i="43"/>
  <c r="GF72" i="43"/>
  <c r="GG72" i="43"/>
  <c r="GH72" i="43"/>
  <c r="GI72" i="43"/>
  <c r="GJ72" i="43"/>
  <c r="GK72" i="43"/>
  <c r="GL72" i="43"/>
  <c r="GM72" i="43"/>
  <c r="GN72" i="43"/>
  <c r="GO72" i="43"/>
  <c r="GP72" i="43"/>
  <c r="GQ72" i="43"/>
  <c r="GR72" i="43"/>
  <c r="GS72" i="43"/>
  <c r="GT72" i="43"/>
  <c r="GU72" i="43"/>
  <c r="GV72" i="43"/>
  <c r="GW72" i="43"/>
  <c r="GX72" i="43"/>
  <c r="GY72" i="43"/>
  <c r="GZ72" i="43"/>
  <c r="HA72" i="43"/>
  <c r="HB72" i="43"/>
  <c r="HC72" i="43"/>
  <c r="HD72" i="43"/>
  <c r="HE72" i="43"/>
  <c r="HF72" i="43"/>
  <c r="HG72" i="43"/>
  <c r="HH72" i="43"/>
  <c r="HI72" i="43"/>
  <c r="HJ72" i="43"/>
  <c r="HK72" i="43"/>
  <c r="HL72" i="43"/>
  <c r="HM72" i="43"/>
  <c r="HN72" i="43"/>
  <c r="HO72" i="43"/>
  <c r="HP72" i="43"/>
  <c r="HQ72" i="43"/>
  <c r="HR72" i="43"/>
  <c r="HS72" i="43"/>
  <c r="HT72" i="43"/>
  <c r="HU72" i="43"/>
  <c r="HV72" i="43"/>
  <c r="HW72" i="43"/>
  <c r="HX72" i="43"/>
  <c r="HY72" i="43"/>
  <c r="HZ72" i="43"/>
  <c r="IA72" i="43"/>
  <c r="IB72" i="43"/>
  <c r="IC72" i="43"/>
  <c r="ID72" i="43"/>
  <c r="IE72" i="43"/>
  <c r="IF72" i="43"/>
  <c r="IG72" i="43"/>
  <c r="IH72" i="43"/>
  <c r="II72" i="43"/>
  <c r="IJ72" i="43"/>
  <c r="IK72" i="43"/>
  <c r="IL72" i="43"/>
  <c r="IM72" i="43"/>
  <c r="IN72" i="43"/>
  <c r="IO72" i="43"/>
  <c r="IP72" i="43"/>
  <c r="IQ72" i="43"/>
  <c r="IR72" i="43"/>
  <c r="IS72" i="43"/>
  <c r="IT72" i="43"/>
  <c r="IU72" i="43"/>
  <c r="IV72" i="43"/>
  <c r="A71" i="43"/>
  <c r="B71" i="43"/>
  <c r="C71" i="43"/>
  <c r="D71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AW71" i="43"/>
  <c r="AX71" i="43"/>
  <c r="AY71" i="43"/>
  <c r="AZ71" i="43"/>
  <c r="BA71" i="43"/>
  <c r="BB71" i="43"/>
  <c r="BC71" i="43"/>
  <c r="BD71" i="43"/>
  <c r="BE71" i="43"/>
  <c r="BF71" i="43"/>
  <c r="BG71" i="43"/>
  <c r="BH71" i="43"/>
  <c r="BI71" i="43"/>
  <c r="BJ71" i="43"/>
  <c r="BK71" i="43"/>
  <c r="BL71" i="43"/>
  <c r="BM71" i="43"/>
  <c r="BN71" i="43"/>
  <c r="BO71" i="43"/>
  <c r="BP71" i="43"/>
  <c r="BQ71" i="43"/>
  <c r="BR71" i="43"/>
  <c r="BS71" i="43"/>
  <c r="BT71" i="43"/>
  <c r="BU71" i="43"/>
  <c r="BV71" i="43"/>
  <c r="BW71" i="43"/>
  <c r="BX71" i="43"/>
  <c r="BY71" i="43"/>
  <c r="BZ71" i="43"/>
  <c r="CA71" i="43"/>
  <c r="CB71" i="43"/>
  <c r="CC71" i="43"/>
  <c r="CD71" i="43"/>
  <c r="CE71" i="43"/>
  <c r="CF71" i="43"/>
  <c r="CG71" i="43"/>
  <c r="CH71" i="43"/>
  <c r="CI71" i="43"/>
  <c r="CJ71" i="43"/>
  <c r="CK71" i="43"/>
  <c r="CL71" i="43"/>
  <c r="CM71" i="43"/>
  <c r="CN71" i="43"/>
  <c r="CO71" i="43"/>
  <c r="CP71" i="43"/>
  <c r="CQ71" i="43"/>
  <c r="CR71" i="43"/>
  <c r="CS71" i="43"/>
  <c r="CT71" i="43"/>
  <c r="CU71" i="43"/>
  <c r="CV71" i="43"/>
  <c r="CW71" i="43"/>
  <c r="CX71" i="43"/>
  <c r="CY71" i="43"/>
  <c r="CZ71" i="43"/>
  <c r="DA71" i="43"/>
  <c r="DB71" i="43"/>
  <c r="DC71" i="43"/>
  <c r="DD71" i="43"/>
  <c r="DE71" i="43"/>
  <c r="DF71" i="43"/>
  <c r="DG71" i="43"/>
  <c r="DH71" i="43"/>
  <c r="DI71" i="43"/>
  <c r="DJ71" i="43"/>
  <c r="DK71" i="43"/>
  <c r="DL71" i="43"/>
  <c r="DM71" i="43"/>
  <c r="DN71" i="43"/>
  <c r="DO71" i="43"/>
  <c r="DP71" i="43"/>
  <c r="DQ71" i="43"/>
  <c r="DR71" i="43"/>
  <c r="DS71" i="43"/>
  <c r="DT71" i="43"/>
  <c r="DU71" i="43"/>
  <c r="DV71" i="43"/>
  <c r="DW71" i="43"/>
  <c r="DX71" i="43"/>
  <c r="DY71" i="43"/>
  <c r="DZ71" i="43"/>
  <c r="EA71" i="43"/>
  <c r="EB71" i="43"/>
  <c r="EC71" i="43"/>
  <c r="ED71" i="43"/>
  <c r="EE71" i="43"/>
  <c r="EF71" i="43"/>
  <c r="EG71" i="43"/>
  <c r="EH71" i="43"/>
  <c r="EI71" i="43"/>
  <c r="EJ71" i="43"/>
  <c r="EK71" i="43"/>
  <c r="EL71" i="43"/>
  <c r="EM71" i="43"/>
  <c r="EN71" i="43"/>
  <c r="EO71" i="43"/>
  <c r="EP71" i="43"/>
  <c r="EQ71" i="43"/>
  <c r="ER71" i="43"/>
  <c r="ES71" i="43"/>
  <c r="ET71" i="43"/>
  <c r="EU71" i="43"/>
  <c r="EV71" i="43"/>
  <c r="EW71" i="43"/>
  <c r="EX71" i="43"/>
  <c r="EY71" i="43"/>
  <c r="EZ71" i="43"/>
  <c r="FA71" i="43"/>
  <c r="FB71" i="43"/>
  <c r="FC71" i="43"/>
  <c r="FD71" i="43"/>
  <c r="FE71" i="43"/>
  <c r="FF71" i="43"/>
  <c r="FG71" i="43"/>
  <c r="FH71" i="43"/>
  <c r="FI71" i="43"/>
  <c r="FJ71" i="43"/>
  <c r="FK71" i="43"/>
  <c r="FL71" i="43"/>
  <c r="FM71" i="43"/>
  <c r="FN71" i="43"/>
  <c r="FO71" i="43"/>
  <c r="FP71" i="43"/>
  <c r="FQ71" i="43"/>
  <c r="FR71" i="43"/>
  <c r="FS71" i="43"/>
  <c r="FT71" i="43"/>
  <c r="FU71" i="43"/>
  <c r="FV71" i="43"/>
  <c r="FW71" i="43"/>
  <c r="FX71" i="43"/>
  <c r="FY71" i="43"/>
  <c r="FZ71" i="43"/>
  <c r="GA71" i="43"/>
  <c r="GB71" i="43"/>
  <c r="GC71" i="43"/>
  <c r="GD71" i="43"/>
  <c r="GE71" i="43"/>
  <c r="GF71" i="43"/>
  <c r="GG71" i="43"/>
  <c r="GH71" i="43"/>
  <c r="GI71" i="43"/>
  <c r="GJ71" i="43"/>
  <c r="GK71" i="43"/>
  <c r="GL71" i="43"/>
  <c r="GM71" i="43"/>
  <c r="GN71" i="43"/>
  <c r="GO71" i="43"/>
  <c r="GP71" i="43"/>
  <c r="GQ71" i="43"/>
  <c r="GR71" i="43"/>
  <c r="GS71" i="43"/>
  <c r="GT71" i="43"/>
  <c r="GU71" i="43"/>
  <c r="GV71" i="43"/>
  <c r="GW71" i="43"/>
  <c r="GX71" i="43"/>
  <c r="GY71" i="43"/>
  <c r="GZ71" i="43"/>
  <c r="HA71" i="43"/>
  <c r="HB71" i="43"/>
  <c r="HC71" i="43"/>
  <c r="HD71" i="43"/>
  <c r="HE71" i="43"/>
  <c r="HF71" i="43"/>
  <c r="HG71" i="43"/>
  <c r="HH71" i="43"/>
  <c r="HI71" i="43"/>
  <c r="HJ71" i="43"/>
  <c r="HK71" i="43"/>
  <c r="HL71" i="43"/>
  <c r="HM71" i="43"/>
  <c r="HN71" i="43"/>
  <c r="HO71" i="43"/>
  <c r="HP71" i="43"/>
  <c r="HQ71" i="43"/>
  <c r="HR71" i="43"/>
  <c r="HS71" i="43"/>
  <c r="HT71" i="43"/>
  <c r="HU71" i="43"/>
  <c r="HV71" i="43"/>
  <c r="HW71" i="43"/>
  <c r="HX71" i="43"/>
  <c r="HY71" i="43"/>
  <c r="HZ71" i="43"/>
  <c r="IA71" i="43"/>
  <c r="IB71" i="43"/>
  <c r="IC71" i="43"/>
  <c r="ID71" i="43"/>
  <c r="IE71" i="43"/>
  <c r="IF71" i="43"/>
  <c r="IG71" i="43"/>
  <c r="IH71" i="43"/>
  <c r="II71" i="43"/>
  <c r="IJ71" i="43"/>
  <c r="IK71" i="43"/>
  <c r="IL71" i="43"/>
  <c r="IM71" i="43"/>
  <c r="IN71" i="43"/>
  <c r="IO71" i="43"/>
  <c r="IP71" i="43"/>
  <c r="IQ71" i="43"/>
  <c r="IR71" i="43"/>
  <c r="IS71" i="43"/>
  <c r="IT71" i="43"/>
  <c r="IU71" i="43"/>
  <c r="IV71" i="43"/>
  <c r="A70" i="43"/>
  <c r="B70" i="43"/>
  <c r="C70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AW70" i="43"/>
  <c r="AX70" i="43"/>
  <c r="AY70" i="43"/>
  <c r="AZ70" i="43"/>
  <c r="BA70" i="43"/>
  <c r="BB70" i="43"/>
  <c r="BC70" i="43"/>
  <c r="BD70" i="43"/>
  <c r="BE70" i="43"/>
  <c r="BF70" i="43"/>
  <c r="BG70" i="43"/>
  <c r="BH70" i="43"/>
  <c r="BI70" i="43"/>
  <c r="BJ70" i="43"/>
  <c r="BK70" i="43"/>
  <c r="BL70" i="43"/>
  <c r="BM70" i="43"/>
  <c r="BN70" i="43"/>
  <c r="BO70" i="43"/>
  <c r="BP70" i="43"/>
  <c r="BQ70" i="43"/>
  <c r="BR70" i="43"/>
  <c r="BS70" i="43"/>
  <c r="BT70" i="43"/>
  <c r="BU70" i="43"/>
  <c r="BV70" i="43"/>
  <c r="BW70" i="43"/>
  <c r="BX70" i="43"/>
  <c r="BY70" i="43"/>
  <c r="BZ70" i="43"/>
  <c r="CA70" i="43"/>
  <c r="CB70" i="43"/>
  <c r="CC70" i="43"/>
  <c r="CD70" i="43"/>
  <c r="CE70" i="43"/>
  <c r="CF70" i="43"/>
  <c r="CG70" i="43"/>
  <c r="CH70" i="43"/>
  <c r="CI70" i="43"/>
  <c r="CJ70" i="43"/>
  <c r="CK70" i="43"/>
  <c r="CL70" i="43"/>
  <c r="CM70" i="43"/>
  <c r="CN70" i="43"/>
  <c r="CO70" i="43"/>
  <c r="CP70" i="43"/>
  <c r="CQ70" i="43"/>
  <c r="CR70" i="43"/>
  <c r="CS70" i="43"/>
  <c r="CT70" i="43"/>
  <c r="CU70" i="43"/>
  <c r="CV70" i="43"/>
  <c r="CW70" i="43"/>
  <c r="CX70" i="43"/>
  <c r="CY70" i="43"/>
  <c r="CZ70" i="43"/>
  <c r="DA70" i="43"/>
  <c r="DB70" i="43"/>
  <c r="DC70" i="43"/>
  <c r="DD70" i="43"/>
  <c r="DE70" i="43"/>
  <c r="DF70" i="43"/>
  <c r="DG70" i="43"/>
  <c r="DH70" i="43"/>
  <c r="DI70" i="43"/>
  <c r="DJ70" i="43"/>
  <c r="DK70" i="43"/>
  <c r="DL70" i="43"/>
  <c r="DM70" i="43"/>
  <c r="DN70" i="43"/>
  <c r="DO70" i="43"/>
  <c r="DP70" i="43"/>
  <c r="DQ70" i="43"/>
  <c r="DR70" i="43"/>
  <c r="DS70" i="43"/>
  <c r="DT70" i="43"/>
  <c r="DU70" i="43"/>
  <c r="DV70" i="43"/>
  <c r="DW70" i="43"/>
  <c r="DX70" i="43"/>
  <c r="DY70" i="43"/>
  <c r="DZ70" i="43"/>
  <c r="EA70" i="43"/>
  <c r="EB70" i="43"/>
  <c r="EC70" i="43"/>
  <c r="ED70" i="43"/>
  <c r="EE70" i="43"/>
  <c r="EF70" i="43"/>
  <c r="EG70" i="43"/>
  <c r="EH70" i="43"/>
  <c r="EI70" i="43"/>
  <c r="EJ70" i="43"/>
  <c r="EK70" i="43"/>
  <c r="EL70" i="43"/>
  <c r="EM70" i="43"/>
  <c r="EN70" i="43"/>
  <c r="EO70" i="43"/>
  <c r="EP70" i="43"/>
  <c r="EQ70" i="43"/>
  <c r="ER70" i="43"/>
  <c r="ES70" i="43"/>
  <c r="ET70" i="43"/>
  <c r="EU70" i="43"/>
  <c r="EV70" i="43"/>
  <c r="EW70" i="43"/>
  <c r="EX70" i="43"/>
  <c r="EY70" i="43"/>
  <c r="EZ70" i="43"/>
  <c r="FA70" i="43"/>
  <c r="FB70" i="43"/>
  <c r="FC70" i="43"/>
  <c r="FD70" i="43"/>
  <c r="FE70" i="43"/>
  <c r="FF70" i="43"/>
  <c r="FG70" i="43"/>
  <c r="FH70" i="43"/>
  <c r="FI70" i="43"/>
  <c r="FJ70" i="43"/>
  <c r="FK70" i="43"/>
  <c r="FL70" i="43"/>
  <c r="FM70" i="43"/>
  <c r="FN70" i="43"/>
  <c r="FO70" i="43"/>
  <c r="FP70" i="43"/>
  <c r="FQ70" i="43"/>
  <c r="FR70" i="43"/>
  <c r="FS70" i="43"/>
  <c r="FT70" i="43"/>
  <c r="FU70" i="43"/>
  <c r="FV70" i="43"/>
  <c r="FW70" i="43"/>
  <c r="FX70" i="43"/>
  <c r="FY70" i="43"/>
  <c r="FZ70" i="43"/>
  <c r="GA70" i="43"/>
  <c r="GB70" i="43"/>
  <c r="GC70" i="43"/>
  <c r="GD70" i="43"/>
  <c r="GE70" i="43"/>
  <c r="GF70" i="43"/>
  <c r="GG70" i="43"/>
  <c r="GH70" i="43"/>
  <c r="GI70" i="43"/>
  <c r="GJ70" i="43"/>
  <c r="GK70" i="43"/>
  <c r="GL70" i="43"/>
  <c r="GM70" i="43"/>
  <c r="GN70" i="43"/>
  <c r="GO70" i="43"/>
  <c r="GP70" i="43"/>
  <c r="GQ70" i="43"/>
  <c r="GR70" i="43"/>
  <c r="GS70" i="43"/>
  <c r="GT70" i="43"/>
  <c r="GU70" i="43"/>
  <c r="GV70" i="43"/>
  <c r="GW70" i="43"/>
  <c r="GX70" i="43"/>
  <c r="GY70" i="43"/>
  <c r="GZ70" i="43"/>
  <c r="HA70" i="43"/>
  <c r="HB70" i="43"/>
  <c r="HC70" i="43"/>
  <c r="HD70" i="43"/>
  <c r="HE70" i="43"/>
  <c r="HF70" i="43"/>
  <c r="HG70" i="43"/>
  <c r="HH70" i="43"/>
  <c r="HI70" i="43"/>
  <c r="HJ70" i="43"/>
  <c r="HK70" i="43"/>
  <c r="HL70" i="43"/>
  <c r="HM70" i="43"/>
  <c r="HN70" i="43"/>
  <c r="HO70" i="43"/>
  <c r="HP70" i="43"/>
  <c r="HQ70" i="43"/>
  <c r="HR70" i="43"/>
  <c r="HS70" i="43"/>
  <c r="HT70" i="43"/>
  <c r="HU70" i="43"/>
  <c r="HV70" i="43"/>
  <c r="HW70" i="43"/>
  <c r="HX70" i="43"/>
  <c r="HY70" i="43"/>
  <c r="HZ70" i="43"/>
  <c r="IA70" i="43"/>
  <c r="IB70" i="43"/>
  <c r="IC70" i="43"/>
  <c r="ID70" i="43"/>
  <c r="IE70" i="43"/>
  <c r="IF70" i="43"/>
  <c r="IG70" i="43"/>
  <c r="IH70" i="43"/>
  <c r="II70" i="43"/>
  <c r="IJ70" i="43"/>
  <c r="IK70" i="43"/>
  <c r="IL70" i="43"/>
  <c r="IM70" i="43"/>
  <c r="IN70" i="43"/>
  <c r="IO70" i="43"/>
  <c r="IP70" i="43"/>
  <c r="IQ70" i="43"/>
  <c r="IR70" i="43"/>
  <c r="IS70" i="43"/>
  <c r="IT70" i="43"/>
  <c r="IU70" i="43"/>
  <c r="IV70" i="43"/>
  <c r="A69" i="43"/>
  <c r="B69" i="43"/>
  <c r="C69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AW69" i="43"/>
  <c r="AX69" i="43"/>
  <c r="AY69" i="43"/>
  <c r="AZ69" i="43"/>
  <c r="BA69" i="43"/>
  <c r="BB69" i="43"/>
  <c r="BC69" i="43"/>
  <c r="BD69" i="43"/>
  <c r="BE69" i="43"/>
  <c r="BF69" i="43"/>
  <c r="BG69" i="43"/>
  <c r="BH69" i="43"/>
  <c r="BI69" i="43"/>
  <c r="BJ69" i="43"/>
  <c r="BK69" i="43"/>
  <c r="BL69" i="43"/>
  <c r="BM69" i="43"/>
  <c r="BN69" i="43"/>
  <c r="BO69" i="43"/>
  <c r="BP69" i="43"/>
  <c r="BQ69" i="43"/>
  <c r="BR69" i="43"/>
  <c r="BS69" i="43"/>
  <c r="BT69" i="43"/>
  <c r="BU69" i="43"/>
  <c r="BV69" i="43"/>
  <c r="BW69" i="43"/>
  <c r="BX69" i="43"/>
  <c r="BY69" i="43"/>
  <c r="BZ69" i="43"/>
  <c r="CA69" i="43"/>
  <c r="CB69" i="43"/>
  <c r="CC69" i="43"/>
  <c r="CD69" i="43"/>
  <c r="CE69" i="43"/>
  <c r="CF69" i="43"/>
  <c r="CG69" i="43"/>
  <c r="CH69" i="43"/>
  <c r="CI69" i="43"/>
  <c r="CJ69" i="43"/>
  <c r="CK69" i="43"/>
  <c r="CL69" i="43"/>
  <c r="CM69" i="43"/>
  <c r="CN69" i="43"/>
  <c r="CO69" i="43"/>
  <c r="CP69" i="43"/>
  <c r="CQ69" i="43"/>
  <c r="CR69" i="43"/>
  <c r="CS69" i="43"/>
  <c r="CT69" i="43"/>
  <c r="CU69" i="43"/>
  <c r="CV69" i="43"/>
  <c r="CW69" i="43"/>
  <c r="CX69" i="43"/>
  <c r="CY69" i="43"/>
  <c r="CZ69" i="43"/>
  <c r="DA69" i="43"/>
  <c r="DB69" i="43"/>
  <c r="DC69" i="43"/>
  <c r="DD69" i="43"/>
  <c r="DE69" i="43"/>
  <c r="DF69" i="43"/>
  <c r="DG69" i="43"/>
  <c r="DH69" i="43"/>
  <c r="DI69" i="43"/>
  <c r="DJ69" i="43"/>
  <c r="DK69" i="43"/>
  <c r="DL69" i="43"/>
  <c r="DM69" i="43"/>
  <c r="DN69" i="43"/>
  <c r="DO69" i="43"/>
  <c r="DP69" i="43"/>
  <c r="DQ69" i="43"/>
  <c r="DR69" i="43"/>
  <c r="DS69" i="43"/>
  <c r="DT69" i="43"/>
  <c r="DU69" i="43"/>
  <c r="DV69" i="43"/>
  <c r="DW69" i="43"/>
  <c r="DX69" i="43"/>
  <c r="DY69" i="43"/>
  <c r="DZ69" i="43"/>
  <c r="EA69" i="43"/>
  <c r="EB69" i="43"/>
  <c r="EC69" i="43"/>
  <c r="ED69" i="43"/>
  <c r="EE69" i="43"/>
  <c r="EF69" i="43"/>
  <c r="EG69" i="43"/>
  <c r="EH69" i="43"/>
  <c r="EI69" i="43"/>
  <c r="EJ69" i="43"/>
  <c r="EK69" i="43"/>
  <c r="EL69" i="43"/>
  <c r="EM69" i="43"/>
  <c r="EN69" i="43"/>
  <c r="EO69" i="43"/>
  <c r="EP69" i="43"/>
  <c r="EQ69" i="43"/>
  <c r="ER69" i="43"/>
  <c r="ES69" i="43"/>
  <c r="ET69" i="43"/>
  <c r="EU69" i="43"/>
  <c r="EV69" i="43"/>
  <c r="EW69" i="43"/>
  <c r="EX69" i="43"/>
  <c r="EY69" i="43"/>
  <c r="EZ69" i="43"/>
  <c r="FA69" i="43"/>
  <c r="FB69" i="43"/>
  <c r="FC69" i="43"/>
  <c r="FD69" i="43"/>
  <c r="FE69" i="43"/>
  <c r="FF69" i="43"/>
  <c r="FG69" i="43"/>
  <c r="FH69" i="43"/>
  <c r="FI69" i="43"/>
  <c r="FJ69" i="43"/>
  <c r="FK69" i="43"/>
  <c r="FL69" i="43"/>
  <c r="FM69" i="43"/>
  <c r="FN69" i="43"/>
  <c r="FO69" i="43"/>
  <c r="FP69" i="43"/>
  <c r="FQ69" i="43"/>
  <c r="FR69" i="43"/>
  <c r="FS69" i="43"/>
  <c r="FT69" i="43"/>
  <c r="FU69" i="43"/>
  <c r="FV69" i="43"/>
  <c r="FW69" i="43"/>
  <c r="FX69" i="43"/>
  <c r="FY69" i="43"/>
  <c r="FZ69" i="43"/>
  <c r="GA69" i="43"/>
  <c r="GB69" i="43"/>
  <c r="GC69" i="43"/>
  <c r="GD69" i="43"/>
  <c r="GE69" i="43"/>
  <c r="GF69" i="43"/>
  <c r="GG69" i="43"/>
  <c r="GH69" i="43"/>
  <c r="GI69" i="43"/>
  <c r="GJ69" i="43"/>
  <c r="GK69" i="43"/>
  <c r="GL69" i="43"/>
  <c r="GM69" i="43"/>
  <c r="GN69" i="43"/>
  <c r="GO69" i="43"/>
  <c r="GP69" i="43"/>
  <c r="GQ69" i="43"/>
  <c r="GR69" i="43"/>
  <c r="GS69" i="43"/>
  <c r="GT69" i="43"/>
  <c r="GU69" i="43"/>
  <c r="GV69" i="43"/>
  <c r="GW69" i="43"/>
  <c r="GX69" i="43"/>
  <c r="GY69" i="43"/>
  <c r="GZ69" i="43"/>
  <c r="HA69" i="43"/>
  <c r="HB69" i="43"/>
  <c r="HC69" i="43"/>
  <c r="HD69" i="43"/>
  <c r="HE69" i="43"/>
  <c r="HF69" i="43"/>
  <c r="HG69" i="43"/>
  <c r="HH69" i="43"/>
  <c r="HI69" i="43"/>
  <c r="HJ69" i="43"/>
  <c r="HK69" i="43"/>
  <c r="HL69" i="43"/>
  <c r="HM69" i="43"/>
  <c r="HN69" i="43"/>
  <c r="HO69" i="43"/>
  <c r="HP69" i="43"/>
  <c r="HQ69" i="43"/>
  <c r="HR69" i="43"/>
  <c r="HS69" i="43"/>
  <c r="HT69" i="43"/>
  <c r="HU69" i="43"/>
  <c r="HV69" i="43"/>
  <c r="HW69" i="43"/>
  <c r="HX69" i="43"/>
  <c r="HY69" i="43"/>
  <c r="HZ69" i="43"/>
  <c r="IA69" i="43"/>
  <c r="IB69" i="43"/>
  <c r="IC69" i="43"/>
  <c r="ID69" i="43"/>
  <c r="IE69" i="43"/>
  <c r="IF69" i="43"/>
  <c r="IG69" i="43"/>
  <c r="IH69" i="43"/>
  <c r="II69" i="43"/>
  <c r="IJ69" i="43"/>
  <c r="IK69" i="43"/>
  <c r="IL69" i="43"/>
  <c r="IM69" i="43"/>
  <c r="IN69" i="43"/>
  <c r="IO69" i="43"/>
  <c r="IP69" i="43"/>
  <c r="IQ69" i="43"/>
  <c r="IR69" i="43"/>
  <c r="IS69" i="43"/>
  <c r="IT69" i="43"/>
  <c r="IU69" i="43"/>
  <c r="IV69" i="43"/>
  <c r="A68" i="43"/>
  <c r="B68" i="43"/>
  <c r="C68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BC68" i="43"/>
  <c r="BD68" i="43"/>
  <c r="BE68" i="43"/>
  <c r="BF68" i="43"/>
  <c r="BG68" i="43"/>
  <c r="BH68" i="43"/>
  <c r="BI68" i="43"/>
  <c r="BJ68" i="43"/>
  <c r="BK68" i="43"/>
  <c r="BL68" i="43"/>
  <c r="BM68" i="43"/>
  <c r="BN68" i="43"/>
  <c r="BO68" i="43"/>
  <c r="BP68" i="43"/>
  <c r="BQ68" i="43"/>
  <c r="BR68" i="43"/>
  <c r="BS68" i="43"/>
  <c r="BT68" i="43"/>
  <c r="BU68" i="43"/>
  <c r="BV68" i="43"/>
  <c r="BW68" i="43"/>
  <c r="BX68" i="43"/>
  <c r="BY68" i="43"/>
  <c r="BZ68" i="43"/>
  <c r="CA68" i="43"/>
  <c r="CB68" i="43"/>
  <c r="CC68" i="43"/>
  <c r="CD68" i="43"/>
  <c r="CE68" i="43"/>
  <c r="CF68" i="43"/>
  <c r="CG68" i="43"/>
  <c r="CH68" i="43"/>
  <c r="CI68" i="43"/>
  <c r="CJ68" i="43"/>
  <c r="CK68" i="43"/>
  <c r="CL68" i="43"/>
  <c r="CM68" i="43"/>
  <c r="CN68" i="43"/>
  <c r="CO68" i="43"/>
  <c r="CP68" i="43"/>
  <c r="CQ68" i="43"/>
  <c r="CR68" i="43"/>
  <c r="CS68" i="43"/>
  <c r="CT68" i="43"/>
  <c r="CU68" i="43"/>
  <c r="CV68" i="43"/>
  <c r="CW68" i="43"/>
  <c r="CX68" i="43"/>
  <c r="CY68" i="43"/>
  <c r="CZ68" i="43"/>
  <c r="DA68" i="43"/>
  <c r="DB68" i="43"/>
  <c r="DC68" i="43"/>
  <c r="DD68" i="43"/>
  <c r="DE68" i="43"/>
  <c r="DF68" i="43"/>
  <c r="DG68" i="43"/>
  <c r="DH68" i="43"/>
  <c r="DI68" i="43"/>
  <c r="DJ68" i="43"/>
  <c r="DK68" i="43"/>
  <c r="DL68" i="43"/>
  <c r="DM68" i="43"/>
  <c r="DN68" i="43"/>
  <c r="DO68" i="43"/>
  <c r="DP68" i="43"/>
  <c r="DQ68" i="43"/>
  <c r="DR68" i="43"/>
  <c r="DS68" i="43"/>
  <c r="DT68" i="43"/>
  <c r="DU68" i="43"/>
  <c r="DV68" i="43"/>
  <c r="DW68" i="43"/>
  <c r="DX68" i="43"/>
  <c r="DY68" i="43"/>
  <c r="DZ68" i="43"/>
  <c r="EA68" i="43"/>
  <c r="EB68" i="43"/>
  <c r="EC68" i="43"/>
  <c r="ED68" i="43"/>
  <c r="EE68" i="43"/>
  <c r="EF68" i="43"/>
  <c r="EG68" i="43"/>
  <c r="EH68" i="43"/>
  <c r="EI68" i="43"/>
  <c r="EJ68" i="43"/>
  <c r="EK68" i="43"/>
  <c r="EL68" i="43"/>
  <c r="EM68" i="43"/>
  <c r="EN68" i="43"/>
  <c r="EO68" i="43"/>
  <c r="EP68" i="43"/>
  <c r="EQ68" i="43"/>
  <c r="ER68" i="43"/>
  <c r="ES68" i="43"/>
  <c r="ET68" i="43"/>
  <c r="EU68" i="43"/>
  <c r="EV68" i="43"/>
  <c r="EW68" i="43"/>
  <c r="EX68" i="43"/>
  <c r="EY68" i="43"/>
  <c r="EZ68" i="43"/>
  <c r="FA68" i="43"/>
  <c r="FB68" i="43"/>
  <c r="FC68" i="43"/>
  <c r="FD68" i="43"/>
  <c r="FE68" i="43"/>
  <c r="FF68" i="43"/>
  <c r="FG68" i="43"/>
  <c r="FH68" i="43"/>
  <c r="FI68" i="43"/>
  <c r="FJ68" i="43"/>
  <c r="FK68" i="43"/>
  <c r="FL68" i="43"/>
  <c r="FM68" i="43"/>
  <c r="FN68" i="43"/>
  <c r="FO68" i="43"/>
  <c r="FP68" i="43"/>
  <c r="FQ68" i="43"/>
  <c r="FR68" i="43"/>
  <c r="FS68" i="43"/>
  <c r="FT68" i="43"/>
  <c r="FU68" i="43"/>
  <c r="FV68" i="43"/>
  <c r="FW68" i="43"/>
  <c r="FX68" i="43"/>
  <c r="FY68" i="43"/>
  <c r="FZ68" i="43"/>
  <c r="GA68" i="43"/>
  <c r="GB68" i="43"/>
  <c r="GC68" i="43"/>
  <c r="GD68" i="43"/>
  <c r="GE68" i="43"/>
  <c r="GF68" i="43"/>
  <c r="GG68" i="43"/>
  <c r="GH68" i="43"/>
  <c r="GI68" i="43"/>
  <c r="GJ68" i="43"/>
  <c r="GK68" i="43"/>
  <c r="GL68" i="43"/>
  <c r="GM68" i="43"/>
  <c r="GN68" i="43"/>
  <c r="GO68" i="43"/>
  <c r="GP68" i="43"/>
  <c r="GQ68" i="43"/>
  <c r="GR68" i="43"/>
  <c r="GS68" i="43"/>
  <c r="GT68" i="43"/>
  <c r="GU68" i="43"/>
  <c r="GV68" i="43"/>
  <c r="GW68" i="43"/>
  <c r="GX68" i="43"/>
  <c r="GY68" i="43"/>
  <c r="GZ68" i="43"/>
  <c r="HA68" i="43"/>
  <c r="HB68" i="43"/>
  <c r="HC68" i="43"/>
  <c r="HD68" i="43"/>
  <c r="HE68" i="43"/>
  <c r="HF68" i="43"/>
  <c r="HG68" i="43"/>
  <c r="HH68" i="43"/>
  <c r="HI68" i="43"/>
  <c r="HJ68" i="43"/>
  <c r="HK68" i="43"/>
  <c r="HL68" i="43"/>
  <c r="HM68" i="43"/>
  <c r="HN68" i="43"/>
  <c r="HO68" i="43"/>
  <c r="HP68" i="43"/>
  <c r="HQ68" i="43"/>
  <c r="HR68" i="43"/>
  <c r="HS68" i="43"/>
  <c r="HT68" i="43"/>
  <c r="HU68" i="43"/>
  <c r="HV68" i="43"/>
  <c r="HW68" i="43"/>
  <c r="HX68" i="43"/>
  <c r="HY68" i="43"/>
  <c r="HZ68" i="43"/>
  <c r="IA68" i="43"/>
  <c r="IB68" i="43"/>
  <c r="IC68" i="43"/>
  <c r="ID68" i="43"/>
  <c r="IE68" i="43"/>
  <c r="IF68" i="43"/>
  <c r="IG68" i="43"/>
  <c r="IH68" i="43"/>
  <c r="II68" i="43"/>
  <c r="IJ68" i="43"/>
  <c r="IK68" i="43"/>
  <c r="IL68" i="43"/>
  <c r="IM68" i="43"/>
  <c r="IN68" i="43"/>
  <c r="IO68" i="43"/>
  <c r="IP68" i="43"/>
  <c r="IQ68" i="43"/>
  <c r="IR68" i="43"/>
  <c r="IS68" i="43"/>
  <c r="IT68" i="43"/>
  <c r="IU68" i="43"/>
  <c r="IV68" i="43"/>
  <c r="A67" i="43"/>
  <c r="B67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AZ67" i="43"/>
  <c r="BA67" i="43"/>
  <c r="BB67" i="43"/>
  <c r="BC67" i="43"/>
  <c r="BD67" i="43"/>
  <c r="BE67" i="43"/>
  <c r="BF67" i="43"/>
  <c r="BG67" i="43"/>
  <c r="BH67" i="43"/>
  <c r="BI67" i="43"/>
  <c r="BJ67" i="43"/>
  <c r="BK67" i="43"/>
  <c r="BL67" i="43"/>
  <c r="BM67" i="43"/>
  <c r="BN67" i="43"/>
  <c r="BO67" i="43"/>
  <c r="BP67" i="43"/>
  <c r="BQ67" i="43"/>
  <c r="BR67" i="43"/>
  <c r="BS67" i="43"/>
  <c r="BT67" i="43"/>
  <c r="BU67" i="43"/>
  <c r="BV67" i="43"/>
  <c r="BW67" i="43"/>
  <c r="BX67" i="43"/>
  <c r="BY67" i="43"/>
  <c r="BZ67" i="43"/>
  <c r="CA67" i="43"/>
  <c r="CB67" i="43"/>
  <c r="CC67" i="43"/>
  <c r="CD67" i="43"/>
  <c r="CE67" i="43"/>
  <c r="CF67" i="43"/>
  <c r="CG67" i="43"/>
  <c r="CH67" i="43"/>
  <c r="CI67" i="43"/>
  <c r="CJ67" i="43"/>
  <c r="CK67" i="43"/>
  <c r="CL67" i="43"/>
  <c r="CM67" i="43"/>
  <c r="CN67" i="43"/>
  <c r="CO67" i="43"/>
  <c r="CP67" i="43"/>
  <c r="CQ67" i="43"/>
  <c r="CR67" i="43"/>
  <c r="CS67" i="43"/>
  <c r="CT67" i="43"/>
  <c r="CU67" i="43"/>
  <c r="CV67" i="43"/>
  <c r="CW67" i="43"/>
  <c r="CX67" i="43"/>
  <c r="CY67" i="43"/>
  <c r="CZ67" i="43"/>
  <c r="DA67" i="43"/>
  <c r="DB67" i="43"/>
  <c r="DC67" i="43"/>
  <c r="DD67" i="43"/>
  <c r="DE67" i="43"/>
  <c r="DF67" i="43"/>
  <c r="DG67" i="43"/>
  <c r="DH67" i="43"/>
  <c r="DI67" i="43"/>
  <c r="DJ67" i="43"/>
  <c r="DK67" i="43"/>
  <c r="DL67" i="43"/>
  <c r="DM67" i="43"/>
  <c r="DN67" i="43"/>
  <c r="DO67" i="43"/>
  <c r="DP67" i="43"/>
  <c r="DQ67" i="43"/>
  <c r="DR67" i="43"/>
  <c r="DS67" i="43"/>
  <c r="DT67" i="43"/>
  <c r="DU67" i="43"/>
  <c r="DV67" i="43"/>
  <c r="DW67" i="43"/>
  <c r="DX67" i="43"/>
  <c r="DY67" i="43"/>
  <c r="DZ67" i="43"/>
  <c r="EA67" i="43"/>
  <c r="EB67" i="43"/>
  <c r="EC67" i="43"/>
  <c r="ED67" i="43"/>
  <c r="EE67" i="43"/>
  <c r="EF67" i="43"/>
  <c r="EG67" i="43"/>
  <c r="EH67" i="43"/>
  <c r="EI67" i="43"/>
  <c r="EJ67" i="43"/>
  <c r="EK67" i="43"/>
  <c r="EL67" i="43"/>
  <c r="EM67" i="43"/>
  <c r="EN67" i="43"/>
  <c r="EO67" i="43"/>
  <c r="EP67" i="43"/>
  <c r="EQ67" i="43"/>
  <c r="ER67" i="43"/>
  <c r="ES67" i="43"/>
  <c r="ET67" i="43"/>
  <c r="EU67" i="43"/>
  <c r="EV67" i="43"/>
  <c r="EW67" i="43"/>
  <c r="EX67" i="43"/>
  <c r="EY67" i="43"/>
  <c r="EZ67" i="43"/>
  <c r="FA67" i="43"/>
  <c r="FB67" i="43"/>
  <c r="FC67" i="43"/>
  <c r="FD67" i="43"/>
  <c r="FE67" i="43"/>
  <c r="FF67" i="43"/>
  <c r="FG67" i="43"/>
  <c r="FH67" i="43"/>
  <c r="FI67" i="43"/>
  <c r="FJ67" i="43"/>
  <c r="FK67" i="43"/>
  <c r="FL67" i="43"/>
  <c r="FM67" i="43"/>
  <c r="FN67" i="43"/>
  <c r="FO67" i="43"/>
  <c r="FP67" i="43"/>
  <c r="FQ67" i="43"/>
  <c r="FR67" i="43"/>
  <c r="FS67" i="43"/>
  <c r="FT67" i="43"/>
  <c r="FU67" i="43"/>
  <c r="FV67" i="43"/>
  <c r="FW67" i="43"/>
  <c r="FX67" i="43"/>
  <c r="FY67" i="43"/>
  <c r="FZ67" i="43"/>
  <c r="GA67" i="43"/>
  <c r="GB67" i="43"/>
  <c r="GC67" i="43"/>
  <c r="GD67" i="43"/>
  <c r="GE67" i="43"/>
  <c r="GF67" i="43"/>
  <c r="GG67" i="43"/>
  <c r="GH67" i="43"/>
  <c r="GI67" i="43"/>
  <c r="GJ67" i="43"/>
  <c r="GK67" i="43"/>
  <c r="GL67" i="43"/>
  <c r="GM67" i="43"/>
  <c r="GN67" i="43"/>
  <c r="GO67" i="43"/>
  <c r="GP67" i="43"/>
  <c r="GQ67" i="43"/>
  <c r="GR67" i="43"/>
  <c r="GS67" i="43"/>
  <c r="GT67" i="43"/>
  <c r="GU67" i="43"/>
  <c r="GV67" i="43"/>
  <c r="GW67" i="43"/>
  <c r="GX67" i="43"/>
  <c r="GY67" i="43"/>
  <c r="GZ67" i="43"/>
  <c r="HA67" i="43"/>
  <c r="HB67" i="43"/>
  <c r="HC67" i="43"/>
  <c r="HD67" i="43"/>
  <c r="HE67" i="43"/>
  <c r="HF67" i="43"/>
  <c r="HG67" i="43"/>
  <c r="HH67" i="43"/>
  <c r="HI67" i="43"/>
  <c r="HJ67" i="43"/>
  <c r="HK67" i="43"/>
  <c r="HL67" i="43"/>
  <c r="HM67" i="43"/>
  <c r="HN67" i="43"/>
  <c r="HO67" i="43"/>
  <c r="HP67" i="43"/>
  <c r="HQ67" i="43"/>
  <c r="HR67" i="43"/>
  <c r="HS67" i="43"/>
  <c r="HT67" i="43"/>
  <c r="HU67" i="43"/>
  <c r="HV67" i="43"/>
  <c r="HW67" i="43"/>
  <c r="HX67" i="43"/>
  <c r="HY67" i="43"/>
  <c r="HZ67" i="43"/>
  <c r="IA67" i="43"/>
  <c r="IB67" i="43"/>
  <c r="IC67" i="43"/>
  <c r="ID67" i="43"/>
  <c r="IE67" i="43"/>
  <c r="IF67" i="43"/>
  <c r="IG67" i="43"/>
  <c r="IH67" i="43"/>
  <c r="II67" i="43"/>
  <c r="IJ67" i="43"/>
  <c r="IK67" i="43"/>
  <c r="IL67" i="43"/>
  <c r="IM67" i="43"/>
  <c r="IN67" i="43"/>
  <c r="IO67" i="43"/>
  <c r="IP67" i="43"/>
  <c r="IQ67" i="43"/>
  <c r="IR67" i="43"/>
  <c r="IS67" i="43"/>
  <c r="IT67" i="43"/>
  <c r="IU67" i="43"/>
  <c r="IV67" i="43"/>
  <c r="A66" i="43"/>
  <c r="B66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AZ66" i="43"/>
  <c r="BA66" i="43"/>
  <c r="BB66" i="43"/>
  <c r="BC66" i="43"/>
  <c r="BD66" i="43"/>
  <c r="BE66" i="43"/>
  <c r="BF66" i="43"/>
  <c r="BG66" i="43"/>
  <c r="BH66" i="43"/>
  <c r="BI66" i="43"/>
  <c r="BJ66" i="43"/>
  <c r="BK66" i="43"/>
  <c r="BL66" i="43"/>
  <c r="BM66" i="43"/>
  <c r="BN66" i="43"/>
  <c r="BO66" i="43"/>
  <c r="BP66" i="43"/>
  <c r="BQ66" i="43"/>
  <c r="BR66" i="43"/>
  <c r="BS66" i="43"/>
  <c r="BT66" i="43"/>
  <c r="BU66" i="43"/>
  <c r="BV66" i="43"/>
  <c r="BW66" i="43"/>
  <c r="BX66" i="43"/>
  <c r="BY66" i="43"/>
  <c r="BZ66" i="43"/>
  <c r="CA66" i="43"/>
  <c r="CB66" i="43"/>
  <c r="CC66" i="43"/>
  <c r="CD66" i="43"/>
  <c r="CE66" i="43"/>
  <c r="CF66" i="43"/>
  <c r="CG66" i="43"/>
  <c r="CH66" i="43"/>
  <c r="CI66" i="43"/>
  <c r="CJ66" i="43"/>
  <c r="CK66" i="43"/>
  <c r="CL66" i="43"/>
  <c r="CM66" i="43"/>
  <c r="CN66" i="43"/>
  <c r="CO66" i="43"/>
  <c r="CP66" i="43"/>
  <c r="CQ66" i="43"/>
  <c r="CR66" i="43"/>
  <c r="CS66" i="43"/>
  <c r="CT66" i="43"/>
  <c r="CU66" i="43"/>
  <c r="CV66" i="43"/>
  <c r="CW66" i="43"/>
  <c r="CX66" i="43"/>
  <c r="CY66" i="43"/>
  <c r="CZ66" i="43"/>
  <c r="DA66" i="43"/>
  <c r="DB66" i="43"/>
  <c r="DC66" i="43"/>
  <c r="DD66" i="43"/>
  <c r="DE66" i="43"/>
  <c r="DF66" i="43"/>
  <c r="DG66" i="43"/>
  <c r="DH66" i="43"/>
  <c r="DI66" i="43"/>
  <c r="DJ66" i="43"/>
  <c r="DK66" i="43"/>
  <c r="DL66" i="43"/>
  <c r="DM66" i="43"/>
  <c r="DN66" i="43"/>
  <c r="DO66" i="43"/>
  <c r="DP66" i="43"/>
  <c r="DQ66" i="43"/>
  <c r="DR66" i="43"/>
  <c r="DS66" i="43"/>
  <c r="DT66" i="43"/>
  <c r="DU66" i="43"/>
  <c r="DV66" i="43"/>
  <c r="DW66" i="43"/>
  <c r="DX66" i="43"/>
  <c r="DY66" i="43"/>
  <c r="DZ66" i="43"/>
  <c r="EA66" i="43"/>
  <c r="EB66" i="43"/>
  <c r="EC66" i="43"/>
  <c r="ED66" i="43"/>
  <c r="EE66" i="43"/>
  <c r="EF66" i="43"/>
  <c r="EG66" i="43"/>
  <c r="EH66" i="43"/>
  <c r="EI66" i="43"/>
  <c r="EJ66" i="43"/>
  <c r="EK66" i="43"/>
  <c r="EL66" i="43"/>
  <c r="EM66" i="43"/>
  <c r="EN66" i="43"/>
  <c r="EO66" i="43"/>
  <c r="EP66" i="43"/>
  <c r="EQ66" i="43"/>
  <c r="ER66" i="43"/>
  <c r="ES66" i="43"/>
  <c r="ET66" i="43"/>
  <c r="EU66" i="43"/>
  <c r="EV66" i="43"/>
  <c r="EW66" i="43"/>
  <c r="EX66" i="43"/>
  <c r="EY66" i="43"/>
  <c r="EZ66" i="43"/>
  <c r="FA66" i="43"/>
  <c r="FB66" i="43"/>
  <c r="FC66" i="43"/>
  <c r="FD66" i="43"/>
  <c r="FE66" i="43"/>
  <c r="FF66" i="43"/>
  <c r="FG66" i="43"/>
  <c r="FH66" i="43"/>
  <c r="FI66" i="43"/>
  <c r="FJ66" i="43"/>
  <c r="FK66" i="43"/>
  <c r="FL66" i="43"/>
  <c r="FM66" i="43"/>
  <c r="FN66" i="43"/>
  <c r="FO66" i="43"/>
  <c r="FP66" i="43"/>
  <c r="FQ66" i="43"/>
  <c r="FR66" i="43"/>
  <c r="FS66" i="43"/>
  <c r="FT66" i="43"/>
  <c r="FU66" i="43"/>
  <c r="FV66" i="43"/>
  <c r="FW66" i="43"/>
  <c r="FX66" i="43"/>
  <c r="FY66" i="43"/>
  <c r="FZ66" i="43"/>
  <c r="GA66" i="43"/>
  <c r="GB66" i="43"/>
  <c r="GC66" i="43"/>
  <c r="GD66" i="43"/>
  <c r="GE66" i="43"/>
  <c r="GF66" i="43"/>
  <c r="GG66" i="43"/>
  <c r="GH66" i="43"/>
  <c r="GI66" i="43"/>
  <c r="GJ66" i="43"/>
  <c r="GK66" i="43"/>
  <c r="GL66" i="43"/>
  <c r="GM66" i="43"/>
  <c r="GN66" i="43"/>
  <c r="GO66" i="43"/>
  <c r="GP66" i="43"/>
  <c r="GQ66" i="43"/>
  <c r="GR66" i="43"/>
  <c r="GS66" i="43"/>
  <c r="GT66" i="43"/>
  <c r="GU66" i="43"/>
  <c r="GV66" i="43"/>
  <c r="GW66" i="43"/>
  <c r="GX66" i="43"/>
  <c r="GY66" i="43"/>
  <c r="GZ66" i="43"/>
  <c r="HA66" i="43"/>
  <c r="HB66" i="43"/>
  <c r="HC66" i="43"/>
  <c r="HD66" i="43"/>
  <c r="HE66" i="43"/>
  <c r="HF66" i="43"/>
  <c r="HG66" i="43"/>
  <c r="HH66" i="43"/>
  <c r="HI66" i="43"/>
  <c r="HJ66" i="43"/>
  <c r="HK66" i="43"/>
  <c r="HL66" i="43"/>
  <c r="HM66" i="43"/>
  <c r="HN66" i="43"/>
  <c r="HO66" i="43"/>
  <c r="HP66" i="43"/>
  <c r="HQ66" i="43"/>
  <c r="HR66" i="43"/>
  <c r="HS66" i="43"/>
  <c r="HT66" i="43"/>
  <c r="HU66" i="43"/>
  <c r="HV66" i="43"/>
  <c r="HW66" i="43"/>
  <c r="HX66" i="43"/>
  <c r="HY66" i="43"/>
  <c r="HZ66" i="43"/>
  <c r="IA66" i="43"/>
  <c r="IB66" i="43"/>
  <c r="IC66" i="43"/>
  <c r="ID66" i="43"/>
  <c r="IE66" i="43"/>
  <c r="IF66" i="43"/>
  <c r="IG66" i="43"/>
  <c r="IH66" i="43"/>
  <c r="II66" i="43"/>
  <c r="IJ66" i="43"/>
  <c r="IK66" i="43"/>
  <c r="IL66" i="43"/>
  <c r="IM66" i="43"/>
  <c r="IN66" i="43"/>
  <c r="IO66" i="43"/>
  <c r="IP66" i="43"/>
  <c r="IQ66" i="43"/>
  <c r="IR66" i="43"/>
  <c r="IS66" i="43"/>
  <c r="IT66" i="43"/>
  <c r="IU66" i="43"/>
  <c r="IV66" i="43"/>
  <c r="A65" i="43"/>
  <c r="B65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AW65" i="43"/>
  <c r="AX65" i="43"/>
  <c r="AY65" i="43"/>
  <c r="AZ65" i="43"/>
  <c r="BA65" i="43"/>
  <c r="BB65" i="43"/>
  <c r="BC65" i="43"/>
  <c r="BD65" i="43"/>
  <c r="BE65" i="43"/>
  <c r="BF65" i="43"/>
  <c r="BG65" i="43"/>
  <c r="BH65" i="43"/>
  <c r="BI65" i="43"/>
  <c r="BJ65" i="43"/>
  <c r="BK65" i="43"/>
  <c r="BL65" i="43"/>
  <c r="BM65" i="43"/>
  <c r="BN65" i="43"/>
  <c r="BO65" i="43"/>
  <c r="BP65" i="43"/>
  <c r="BQ65" i="43"/>
  <c r="BR65" i="43"/>
  <c r="BS65" i="43"/>
  <c r="BT65" i="43"/>
  <c r="BU65" i="43"/>
  <c r="BV65" i="43"/>
  <c r="BW65" i="43"/>
  <c r="BX65" i="43"/>
  <c r="BY65" i="43"/>
  <c r="BZ65" i="43"/>
  <c r="CA65" i="43"/>
  <c r="CB65" i="43"/>
  <c r="CC65" i="43"/>
  <c r="CD65" i="43"/>
  <c r="CE65" i="43"/>
  <c r="CF65" i="43"/>
  <c r="CG65" i="43"/>
  <c r="CH65" i="43"/>
  <c r="CI65" i="43"/>
  <c r="CJ65" i="43"/>
  <c r="CK65" i="43"/>
  <c r="CL65" i="43"/>
  <c r="CM65" i="43"/>
  <c r="CN65" i="43"/>
  <c r="CO65" i="43"/>
  <c r="CP65" i="43"/>
  <c r="CQ65" i="43"/>
  <c r="CR65" i="43"/>
  <c r="CS65" i="43"/>
  <c r="CT65" i="43"/>
  <c r="CU65" i="43"/>
  <c r="CV65" i="43"/>
  <c r="CW65" i="43"/>
  <c r="CX65" i="43"/>
  <c r="CY65" i="43"/>
  <c r="CZ65" i="43"/>
  <c r="DA65" i="43"/>
  <c r="DB65" i="43"/>
  <c r="DC65" i="43"/>
  <c r="DD65" i="43"/>
  <c r="DE65" i="43"/>
  <c r="DF65" i="43"/>
  <c r="DG65" i="43"/>
  <c r="DH65" i="43"/>
  <c r="DI65" i="43"/>
  <c r="DJ65" i="43"/>
  <c r="DK65" i="43"/>
  <c r="DL65" i="43"/>
  <c r="DM65" i="43"/>
  <c r="DN65" i="43"/>
  <c r="DO65" i="43"/>
  <c r="DP65" i="43"/>
  <c r="DQ65" i="43"/>
  <c r="DR65" i="43"/>
  <c r="DS65" i="43"/>
  <c r="DT65" i="43"/>
  <c r="DU65" i="43"/>
  <c r="DV65" i="43"/>
  <c r="DW65" i="43"/>
  <c r="DX65" i="43"/>
  <c r="DY65" i="43"/>
  <c r="DZ65" i="43"/>
  <c r="EA65" i="43"/>
  <c r="EB65" i="43"/>
  <c r="EC65" i="43"/>
  <c r="ED65" i="43"/>
  <c r="EE65" i="43"/>
  <c r="EF65" i="43"/>
  <c r="EG65" i="43"/>
  <c r="EH65" i="43"/>
  <c r="EI65" i="43"/>
  <c r="EJ65" i="43"/>
  <c r="EK65" i="43"/>
  <c r="EL65" i="43"/>
  <c r="EM65" i="43"/>
  <c r="EN65" i="43"/>
  <c r="EO65" i="43"/>
  <c r="EP65" i="43"/>
  <c r="EQ65" i="43"/>
  <c r="ER65" i="43"/>
  <c r="ES65" i="43"/>
  <c r="ET65" i="43"/>
  <c r="EU65" i="43"/>
  <c r="EV65" i="43"/>
  <c r="EW65" i="43"/>
  <c r="EX65" i="43"/>
  <c r="EY65" i="43"/>
  <c r="EZ65" i="43"/>
  <c r="FA65" i="43"/>
  <c r="FB65" i="43"/>
  <c r="FC65" i="43"/>
  <c r="FD65" i="43"/>
  <c r="FE65" i="43"/>
  <c r="FF65" i="43"/>
  <c r="FG65" i="43"/>
  <c r="FH65" i="43"/>
  <c r="FI65" i="43"/>
  <c r="FJ65" i="43"/>
  <c r="FK65" i="43"/>
  <c r="FL65" i="43"/>
  <c r="FM65" i="43"/>
  <c r="FN65" i="43"/>
  <c r="FO65" i="43"/>
  <c r="FP65" i="43"/>
  <c r="FQ65" i="43"/>
  <c r="FR65" i="43"/>
  <c r="FS65" i="43"/>
  <c r="FT65" i="43"/>
  <c r="FU65" i="43"/>
  <c r="FV65" i="43"/>
  <c r="FW65" i="43"/>
  <c r="FX65" i="43"/>
  <c r="FY65" i="43"/>
  <c r="FZ65" i="43"/>
  <c r="GA65" i="43"/>
  <c r="GB65" i="43"/>
  <c r="GC65" i="43"/>
  <c r="GD65" i="43"/>
  <c r="GE65" i="43"/>
  <c r="GF65" i="43"/>
  <c r="GG65" i="43"/>
  <c r="GH65" i="43"/>
  <c r="GI65" i="43"/>
  <c r="GJ65" i="43"/>
  <c r="GK65" i="43"/>
  <c r="GL65" i="43"/>
  <c r="GM65" i="43"/>
  <c r="GN65" i="43"/>
  <c r="GO65" i="43"/>
  <c r="GP65" i="43"/>
  <c r="GQ65" i="43"/>
  <c r="GR65" i="43"/>
  <c r="GS65" i="43"/>
  <c r="GT65" i="43"/>
  <c r="GU65" i="43"/>
  <c r="GV65" i="43"/>
  <c r="GW65" i="43"/>
  <c r="GX65" i="43"/>
  <c r="GY65" i="43"/>
  <c r="GZ65" i="43"/>
  <c r="HA65" i="43"/>
  <c r="HB65" i="43"/>
  <c r="HC65" i="43"/>
  <c r="HD65" i="43"/>
  <c r="HE65" i="43"/>
  <c r="HF65" i="43"/>
  <c r="HG65" i="43"/>
  <c r="HH65" i="43"/>
  <c r="HI65" i="43"/>
  <c r="HJ65" i="43"/>
  <c r="HK65" i="43"/>
  <c r="HL65" i="43"/>
  <c r="HM65" i="43"/>
  <c r="HN65" i="43"/>
  <c r="HO65" i="43"/>
  <c r="HP65" i="43"/>
  <c r="HQ65" i="43"/>
  <c r="HR65" i="43"/>
  <c r="HS65" i="43"/>
  <c r="HT65" i="43"/>
  <c r="HU65" i="43"/>
  <c r="HV65" i="43"/>
  <c r="HW65" i="43"/>
  <c r="HX65" i="43"/>
  <c r="HY65" i="43"/>
  <c r="HZ65" i="43"/>
  <c r="IA65" i="43"/>
  <c r="IB65" i="43"/>
  <c r="IC65" i="43"/>
  <c r="ID65" i="43"/>
  <c r="IE65" i="43"/>
  <c r="IF65" i="43"/>
  <c r="IG65" i="43"/>
  <c r="IH65" i="43"/>
  <c r="II65" i="43"/>
  <c r="IJ65" i="43"/>
  <c r="IK65" i="43"/>
  <c r="IL65" i="43"/>
  <c r="IM65" i="43"/>
  <c r="IN65" i="43"/>
  <c r="IO65" i="43"/>
  <c r="IP65" i="43"/>
  <c r="IQ65" i="43"/>
  <c r="IR65" i="43"/>
  <c r="IS65" i="43"/>
  <c r="IT65" i="43"/>
  <c r="IU65" i="43"/>
  <c r="IV65" i="43"/>
  <c r="A64" i="43"/>
  <c r="B64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BD64" i="43"/>
  <c r="BE64" i="43"/>
  <c r="BF64" i="43"/>
  <c r="BG64" i="43"/>
  <c r="BH64" i="43"/>
  <c r="BI64" i="43"/>
  <c r="BJ64" i="43"/>
  <c r="BK64" i="43"/>
  <c r="BL64" i="43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CW64" i="43"/>
  <c r="CX64" i="43"/>
  <c r="CY64" i="43"/>
  <c r="CZ64" i="43"/>
  <c r="DA64" i="43"/>
  <c r="DB64" i="43"/>
  <c r="DC64" i="43"/>
  <c r="DD64" i="43"/>
  <c r="DE64" i="43"/>
  <c r="DF64" i="43"/>
  <c r="DG64" i="43"/>
  <c r="DH64" i="43"/>
  <c r="DI64" i="43"/>
  <c r="DJ64" i="43"/>
  <c r="DK64" i="43"/>
  <c r="DL64" i="43"/>
  <c r="DM64" i="43"/>
  <c r="DN64" i="43"/>
  <c r="DO64" i="43"/>
  <c r="DP64" i="43"/>
  <c r="DQ64" i="43"/>
  <c r="DR64" i="43"/>
  <c r="DS64" i="43"/>
  <c r="DT64" i="43"/>
  <c r="DU64" i="43"/>
  <c r="DV64" i="43"/>
  <c r="DW64" i="43"/>
  <c r="DX64" i="43"/>
  <c r="DY64" i="43"/>
  <c r="DZ64" i="43"/>
  <c r="EA64" i="43"/>
  <c r="EB64" i="43"/>
  <c r="EC64" i="43"/>
  <c r="ED64" i="43"/>
  <c r="EE64" i="43"/>
  <c r="EF64" i="43"/>
  <c r="EG64" i="43"/>
  <c r="EH64" i="43"/>
  <c r="EI64" i="43"/>
  <c r="EJ64" i="43"/>
  <c r="EK64" i="43"/>
  <c r="EL64" i="43"/>
  <c r="EM64" i="43"/>
  <c r="EN64" i="43"/>
  <c r="EO64" i="43"/>
  <c r="EP64" i="43"/>
  <c r="EQ64" i="43"/>
  <c r="ER64" i="43"/>
  <c r="ES64" i="43"/>
  <c r="ET64" i="43"/>
  <c r="EU64" i="43"/>
  <c r="EV64" i="43"/>
  <c r="EW64" i="43"/>
  <c r="EX64" i="43"/>
  <c r="EY64" i="43"/>
  <c r="EZ64" i="43"/>
  <c r="FA64" i="43"/>
  <c r="FB64" i="43"/>
  <c r="FC64" i="43"/>
  <c r="FD64" i="43"/>
  <c r="FE64" i="43"/>
  <c r="FF64" i="43"/>
  <c r="FG64" i="43"/>
  <c r="FH64" i="43"/>
  <c r="FI64" i="43"/>
  <c r="FJ64" i="43"/>
  <c r="FK64" i="43"/>
  <c r="FL64" i="43"/>
  <c r="FM64" i="43"/>
  <c r="FN64" i="43"/>
  <c r="FO64" i="43"/>
  <c r="FP64" i="43"/>
  <c r="FQ64" i="43"/>
  <c r="FR64" i="43"/>
  <c r="FS64" i="43"/>
  <c r="FT64" i="43"/>
  <c r="FU64" i="43"/>
  <c r="FV64" i="43"/>
  <c r="FW64" i="43"/>
  <c r="FX64" i="43"/>
  <c r="FY64" i="43"/>
  <c r="FZ64" i="43"/>
  <c r="GA64" i="43"/>
  <c r="GB64" i="43"/>
  <c r="GC64" i="43"/>
  <c r="GD64" i="43"/>
  <c r="GE64" i="43"/>
  <c r="GF64" i="43"/>
  <c r="GG64" i="43"/>
  <c r="GH64" i="43"/>
  <c r="GI64" i="43"/>
  <c r="GJ64" i="43"/>
  <c r="GK64" i="43"/>
  <c r="GL64" i="43"/>
  <c r="GM64" i="43"/>
  <c r="GN64" i="43"/>
  <c r="GO64" i="43"/>
  <c r="GP64" i="43"/>
  <c r="GQ64" i="43"/>
  <c r="GR64" i="43"/>
  <c r="GS64" i="43"/>
  <c r="GT64" i="43"/>
  <c r="GU64" i="43"/>
  <c r="GV64" i="43"/>
  <c r="GW64" i="43"/>
  <c r="GX64" i="43"/>
  <c r="GY64" i="43"/>
  <c r="GZ64" i="43"/>
  <c r="HA64" i="43"/>
  <c r="HB64" i="43"/>
  <c r="HC64" i="43"/>
  <c r="HD64" i="43"/>
  <c r="HE64" i="43"/>
  <c r="HF64" i="43"/>
  <c r="HG64" i="43"/>
  <c r="HH64" i="43"/>
  <c r="HI64" i="43"/>
  <c r="HJ64" i="43"/>
  <c r="HK64" i="43"/>
  <c r="HL64" i="43"/>
  <c r="HM64" i="43"/>
  <c r="HN64" i="43"/>
  <c r="HO64" i="43"/>
  <c r="HP64" i="43"/>
  <c r="HQ64" i="43"/>
  <c r="HR64" i="43"/>
  <c r="HS64" i="43"/>
  <c r="HT64" i="43"/>
  <c r="HU64" i="43"/>
  <c r="HV64" i="43"/>
  <c r="HW64" i="43"/>
  <c r="HX64" i="43"/>
  <c r="HY64" i="43"/>
  <c r="HZ64" i="43"/>
  <c r="IA64" i="43"/>
  <c r="IB64" i="43"/>
  <c r="IC64" i="43"/>
  <c r="ID64" i="43"/>
  <c r="IE64" i="43"/>
  <c r="IF64" i="43"/>
  <c r="IG64" i="43"/>
  <c r="IH64" i="43"/>
  <c r="II64" i="43"/>
  <c r="IJ64" i="43"/>
  <c r="IK64" i="43"/>
  <c r="IL64" i="43"/>
  <c r="IM64" i="43"/>
  <c r="IN64" i="43"/>
  <c r="IO64" i="43"/>
  <c r="IP64" i="43"/>
  <c r="IQ64" i="43"/>
  <c r="IR64" i="43"/>
  <c r="IS64" i="43"/>
  <c r="IT64" i="43"/>
  <c r="IU64" i="43"/>
  <c r="IV64" i="43"/>
  <c r="A63" i="43"/>
  <c r="B63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BD63" i="43"/>
  <c r="BE63" i="43"/>
  <c r="BF63" i="43"/>
  <c r="BG63" i="43"/>
  <c r="BH63" i="43"/>
  <c r="BI63" i="43"/>
  <c r="BJ63" i="43"/>
  <c r="BK63" i="43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CW63" i="43"/>
  <c r="CX63" i="43"/>
  <c r="CY63" i="43"/>
  <c r="CZ63" i="43"/>
  <c r="DA63" i="43"/>
  <c r="DB63" i="43"/>
  <c r="DC63" i="43"/>
  <c r="DD63" i="43"/>
  <c r="DE63" i="43"/>
  <c r="DF63" i="43"/>
  <c r="DG63" i="43"/>
  <c r="DH63" i="43"/>
  <c r="DI63" i="43"/>
  <c r="DJ63" i="43"/>
  <c r="DK63" i="43"/>
  <c r="DL63" i="43"/>
  <c r="DM63" i="43"/>
  <c r="DN63" i="43"/>
  <c r="DO63" i="43"/>
  <c r="DP63" i="43"/>
  <c r="DQ63" i="43"/>
  <c r="DR63" i="43"/>
  <c r="DS63" i="43"/>
  <c r="DT63" i="43"/>
  <c r="DU63" i="43"/>
  <c r="DV63" i="43"/>
  <c r="DW63" i="43"/>
  <c r="DX63" i="43"/>
  <c r="DY63" i="43"/>
  <c r="DZ63" i="43"/>
  <c r="EA63" i="43"/>
  <c r="EB63" i="43"/>
  <c r="EC63" i="43"/>
  <c r="ED63" i="43"/>
  <c r="EE63" i="43"/>
  <c r="EF63" i="43"/>
  <c r="EG63" i="43"/>
  <c r="EH63" i="43"/>
  <c r="EI63" i="43"/>
  <c r="EJ63" i="43"/>
  <c r="EK63" i="43"/>
  <c r="EL63" i="43"/>
  <c r="EM63" i="43"/>
  <c r="EN63" i="43"/>
  <c r="EO63" i="43"/>
  <c r="EP63" i="43"/>
  <c r="EQ63" i="43"/>
  <c r="ER63" i="43"/>
  <c r="ES63" i="43"/>
  <c r="ET63" i="43"/>
  <c r="EU63" i="43"/>
  <c r="EV63" i="43"/>
  <c r="EW63" i="43"/>
  <c r="EX63" i="43"/>
  <c r="EY63" i="43"/>
  <c r="EZ63" i="43"/>
  <c r="FA63" i="43"/>
  <c r="FB63" i="43"/>
  <c r="FC63" i="43"/>
  <c r="FD63" i="43"/>
  <c r="FE63" i="43"/>
  <c r="FF63" i="43"/>
  <c r="FG63" i="43"/>
  <c r="FH63" i="43"/>
  <c r="FI63" i="43"/>
  <c r="FJ63" i="43"/>
  <c r="FK63" i="43"/>
  <c r="FL63" i="43"/>
  <c r="FM63" i="43"/>
  <c r="FN63" i="43"/>
  <c r="FO63" i="43"/>
  <c r="FP63" i="43"/>
  <c r="FQ63" i="43"/>
  <c r="FR63" i="43"/>
  <c r="FS63" i="43"/>
  <c r="FT63" i="43"/>
  <c r="FU63" i="43"/>
  <c r="FV63" i="43"/>
  <c r="FW63" i="43"/>
  <c r="FX63" i="43"/>
  <c r="FY63" i="43"/>
  <c r="FZ63" i="43"/>
  <c r="GA63" i="43"/>
  <c r="GB63" i="43"/>
  <c r="GC63" i="43"/>
  <c r="GD63" i="43"/>
  <c r="GE63" i="43"/>
  <c r="GF63" i="43"/>
  <c r="GG63" i="43"/>
  <c r="GH63" i="43"/>
  <c r="GI63" i="43"/>
  <c r="GJ63" i="43"/>
  <c r="GK63" i="43"/>
  <c r="GL63" i="43"/>
  <c r="GM63" i="43"/>
  <c r="GN63" i="43"/>
  <c r="GO63" i="43"/>
  <c r="GP63" i="43"/>
  <c r="GQ63" i="43"/>
  <c r="GR63" i="43"/>
  <c r="GS63" i="43"/>
  <c r="GT63" i="43"/>
  <c r="GU63" i="43"/>
  <c r="GV63" i="43"/>
  <c r="GW63" i="43"/>
  <c r="GX63" i="43"/>
  <c r="GY63" i="43"/>
  <c r="GZ63" i="43"/>
  <c r="HA63" i="43"/>
  <c r="HB63" i="43"/>
  <c r="HC63" i="43"/>
  <c r="HD63" i="43"/>
  <c r="HE63" i="43"/>
  <c r="HF63" i="43"/>
  <c r="HG63" i="43"/>
  <c r="HH63" i="43"/>
  <c r="HI63" i="43"/>
  <c r="HJ63" i="43"/>
  <c r="HK63" i="43"/>
  <c r="HL63" i="43"/>
  <c r="HM63" i="43"/>
  <c r="HN63" i="43"/>
  <c r="HO63" i="43"/>
  <c r="HP63" i="43"/>
  <c r="HQ63" i="43"/>
  <c r="HR63" i="43"/>
  <c r="HS63" i="43"/>
  <c r="HT63" i="43"/>
  <c r="HU63" i="43"/>
  <c r="HV63" i="43"/>
  <c r="HW63" i="43"/>
  <c r="HX63" i="43"/>
  <c r="HY63" i="43"/>
  <c r="HZ63" i="43"/>
  <c r="IA63" i="43"/>
  <c r="IB63" i="43"/>
  <c r="IC63" i="43"/>
  <c r="ID63" i="43"/>
  <c r="IE63" i="43"/>
  <c r="IF63" i="43"/>
  <c r="IG63" i="43"/>
  <c r="IH63" i="43"/>
  <c r="II63" i="43"/>
  <c r="IJ63" i="43"/>
  <c r="IK63" i="43"/>
  <c r="IL63" i="43"/>
  <c r="IM63" i="43"/>
  <c r="IN63" i="43"/>
  <c r="IO63" i="43"/>
  <c r="IP63" i="43"/>
  <c r="IQ63" i="43"/>
  <c r="IR63" i="43"/>
  <c r="IS63" i="43"/>
  <c r="IT63" i="43"/>
  <c r="IU63" i="43"/>
  <c r="IV63" i="43"/>
  <c r="A62" i="43"/>
  <c r="B62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DF62" i="43"/>
  <c r="DG62" i="43"/>
  <c r="DH62" i="43"/>
  <c r="DI62" i="43"/>
  <c r="DJ62" i="43"/>
  <c r="DK62" i="43"/>
  <c r="DL62" i="43"/>
  <c r="DM62" i="43"/>
  <c r="DN62" i="43"/>
  <c r="DO62" i="43"/>
  <c r="DP62" i="43"/>
  <c r="DQ62" i="43"/>
  <c r="DR62" i="43"/>
  <c r="DS62" i="43"/>
  <c r="DT62" i="43"/>
  <c r="DU62" i="43"/>
  <c r="DV62" i="43"/>
  <c r="DW62" i="43"/>
  <c r="DX62" i="43"/>
  <c r="DY62" i="43"/>
  <c r="DZ62" i="43"/>
  <c r="EA62" i="43"/>
  <c r="EB62" i="43"/>
  <c r="EC62" i="43"/>
  <c r="ED62" i="43"/>
  <c r="EE62" i="43"/>
  <c r="EF62" i="43"/>
  <c r="EG62" i="43"/>
  <c r="EH62" i="43"/>
  <c r="EI62" i="43"/>
  <c r="EJ62" i="43"/>
  <c r="EK62" i="43"/>
  <c r="EL62" i="43"/>
  <c r="EM62" i="43"/>
  <c r="EN62" i="43"/>
  <c r="EO62" i="43"/>
  <c r="EP62" i="43"/>
  <c r="EQ62" i="43"/>
  <c r="ER62" i="43"/>
  <c r="ES62" i="43"/>
  <c r="ET62" i="43"/>
  <c r="EU62" i="43"/>
  <c r="EV62" i="43"/>
  <c r="EW62" i="43"/>
  <c r="EX62" i="43"/>
  <c r="EY62" i="43"/>
  <c r="EZ62" i="43"/>
  <c r="FA62" i="43"/>
  <c r="FB62" i="43"/>
  <c r="FC62" i="43"/>
  <c r="FD62" i="43"/>
  <c r="FE62" i="43"/>
  <c r="FF62" i="43"/>
  <c r="FG62" i="43"/>
  <c r="FH62" i="43"/>
  <c r="FI62" i="43"/>
  <c r="FJ62" i="43"/>
  <c r="FK62" i="43"/>
  <c r="FL62" i="43"/>
  <c r="FM62" i="43"/>
  <c r="FN62" i="43"/>
  <c r="FO62" i="43"/>
  <c r="FP62" i="43"/>
  <c r="FQ62" i="43"/>
  <c r="FR62" i="43"/>
  <c r="FS62" i="43"/>
  <c r="FT62" i="43"/>
  <c r="FU62" i="43"/>
  <c r="FV62" i="43"/>
  <c r="FW62" i="43"/>
  <c r="FX62" i="43"/>
  <c r="FY62" i="43"/>
  <c r="FZ62" i="43"/>
  <c r="GA62" i="43"/>
  <c r="GB62" i="43"/>
  <c r="GC62" i="43"/>
  <c r="GD62" i="43"/>
  <c r="GE62" i="43"/>
  <c r="GF62" i="43"/>
  <c r="GG62" i="43"/>
  <c r="GH62" i="43"/>
  <c r="GI62" i="43"/>
  <c r="GJ62" i="43"/>
  <c r="GK62" i="43"/>
  <c r="GL62" i="43"/>
  <c r="GM62" i="43"/>
  <c r="GN62" i="43"/>
  <c r="GO62" i="43"/>
  <c r="GP62" i="43"/>
  <c r="GQ62" i="43"/>
  <c r="GR62" i="43"/>
  <c r="GS62" i="43"/>
  <c r="GT62" i="43"/>
  <c r="GU62" i="43"/>
  <c r="GV62" i="43"/>
  <c r="GW62" i="43"/>
  <c r="GX62" i="43"/>
  <c r="GY62" i="43"/>
  <c r="GZ62" i="43"/>
  <c r="HA62" i="43"/>
  <c r="HB62" i="43"/>
  <c r="HC62" i="43"/>
  <c r="HD62" i="43"/>
  <c r="HE62" i="43"/>
  <c r="HF62" i="43"/>
  <c r="HG62" i="43"/>
  <c r="HH62" i="43"/>
  <c r="HI62" i="43"/>
  <c r="HJ62" i="43"/>
  <c r="HK62" i="43"/>
  <c r="HL62" i="43"/>
  <c r="HM62" i="43"/>
  <c r="HN62" i="43"/>
  <c r="HO62" i="43"/>
  <c r="HP62" i="43"/>
  <c r="HQ62" i="43"/>
  <c r="HR62" i="43"/>
  <c r="HS62" i="43"/>
  <c r="HT62" i="43"/>
  <c r="HU62" i="43"/>
  <c r="HV62" i="43"/>
  <c r="HW62" i="43"/>
  <c r="HX62" i="43"/>
  <c r="HY62" i="43"/>
  <c r="HZ62" i="43"/>
  <c r="IA62" i="43"/>
  <c r="IB62" i="43"/>
  <c r="IC62" i="43"/>
  <c r="ID62" i="43"/>
  <c r="IE62" i="43"/>
  <c r="IF62" i="43"/>
  <c r="IG62" i="43"/>
  <c r="IH62" i="43"/>
  <c r="II62" i="43"/>
  <c r="IJ62" i="43"/>
  <c r="IK62" i="43"/>
  <c r="IL62" i="43"/>
  <c r="IM62" i="43"/>
  <c r="IN62" i="43"/>
  <c r="IO62" i="43"/>
  <c r="IP62" i="43"/>
  <c r="IQ62" i="43"/>
  <c r="IR62" i="43"/>
  <c r="IS62" i="43"/>
  <c r="IT62" i="43"/>
  <c r="IU62" i="43"/>
  <c r="IV62" i="43"/>
  <c r="A61" i="43"/>
  <c r="B61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DF61" i="43"/>
  <c r="DG61" i="43"/>
  <c r="DH61" i="43"/>
  <c r="DI61" i="43"/>
  <c r="DJ61" i="43"/>
  <c r="DK61" i="43"/>
  <c r="DL61" i="43"/>
  <c r="DM61" i="43"/>
  <c r="DN61" i="43"/>
  <c r="DO61" i="43"/>
  <c r="DP61" i="43"/>
  <c r="DQ61" i="43"/>
  <c r="DR61" i="43"/>
  <c r="DS61" i="43"/>
  <c r="DT61" i="43"/>
  <c r="DU61" i="43"/>
  <c r="DV61" i="43"/>
  <c r="DW61" i="43"/>
  <c r="DX61" i="43"/>
  <c r="DY61" i="43"/>
  <c r="DZ61" i="43"/>
  <c r="EA61" i="43"/>
  <c r="EB61" i="43"/>
  <c r="EC61" i="43"/>
  <c r="ED61" i="43"/>
  <c r="EE61" i="43"/>
  <c r="EF61" i="43"/>
  <c r="EG61" i="43"/>
  <c r="EH61" i="43"/>
  <c r="EI61" i="43"/>
  <c r="EJ61" i="43"/>
  <c r="EK61" i="43"/>
  <c r="EL61" i="43"/>
  <c r="EM61" i="43"/>
  <c r="EN61" i="43"/>
  <c r="EO61" i="43"/>
  <c r="EP61" i="43"/>
  <c r="EQ61" i="43"/>
  <c r="ER61" i="43"/>
  <c r="ES61" i="43"/>
  <c r="ET61" i="43"/>
  <c r="EU61" i="43"/>
  <c r="EV61" i="43"/>
  <c r="EW61" i="43"/>
  <c r="EX61" i="43"/>
  <c r="EY61" i="43"/>
  <c r="EZ61" i="43"/>
  <c r="FA61" i="43"/>
  <c r="FB61" i="43"/>
  <c r="FC61" i="43"/>
  <c r="FD61" i="43"/>
  <c r="FE61" i="43"/>
  <c r="FF61" i="43"/>
  <c r="FG61" i="43"/>
  <c r="FH61" i="43"/>
  <c r="FI61" i="43"/>
  <c r="FJ61" i="43"/>
  <c r="FK61" i="43"/>
  <c r="FL61" i="43"/>
  <c r="FM61" i="43"/>
  <c r="FN61" i="43"/>
  <c r="FO61" i="43"/>
  <c r="FP61" i="43"/>
  <c r="FQ61" i="43"/>
  <c r="FR61" i="43"/>
  <c r="FS61" i="43"/>
  <c r="FT61" i="43"/>
  <c r="FU61" i="43"/>
  <c r="FV61" i="43"/>
  <c r="FW61" i="43"/>
  <c r="FX61" i="43"/>
  <c r="FY61" i="43"/>
  <c r="FZ61" i="43"/>
  <c r="GA61" i="43"/>
  <c r="GB61" i="43"/>
  <c r="GC61" i="43"/>
  <c r="GD61" i="43"/>
  <c r="GE61" i="43"/>
  <c r="GF61" i="43"/>
  <c r="GG61" i="43"/>
  <c r="GH61" i="43"/>
  <c r="GI61" i="43"/>
  <c r="GJ61" i="43"/>
  <c r="GK61" i="43"/>
  <c r="GL61" i="43"/>
  <c r="GM61" i="43"/>
  <c r="GN61" i="43"/>
  <c r="GO61" i="43"/>
  <c r="GP61" i="43"/>
  <c r="GQ61" i="43"/>
  <c r="GR61" i="43"/>
  <c r="GS61" i="43"/>
  <c r="GT61" i="43"/>
  <c r="GU61" i="43"/>
  <c r="GV61" i="43"/>
  <c r="GW61" i="43"/>
  <c r="GX61" i="43"/>
  <c r="GY61" i="43"/>
  <c r="GZ61" i="43"/>
  <c r="HA61" i="43"/>
  <c r="HB61" i="43"/>
  <c r="HC61" i="43"/>
  <c r="HD61" i="43"/>
  <c r="HE61" i="43"/>
  <c r="HF61" i="43"/>
  <c r="HG61" i="43"/>
  <c r="HH61" i="43"/>
  <c r="HI61" i="43"/>
  <c r="HJ61" i="43"/>
  <c r="HK61" i="43"/>
  <c r="HL61" i="43"/>
  <c r="HM61" i="43"/>
  <c r="HN61" i="43"/>
  <c r="HO61" i="43"/>
  <c r="HP61" i="43"/>
  <c r="HQ61" i="43"/>
  <c r="HR61" i="43"/>
  <c r="HS61" i="43"/>
  <c r="HT61" i="43"/>
  <c r="HU61" i="43"/>
  <c r="HV61" i="43"/>
  <c r="HW61" i="43"/>
  <c r="HX61" i="43"/>
  <c r="HY61" i="43"/>
  <c r="HZ61" i="43"/>
  <c r="IA61" i="43"/>
  <c r="IB61" i="43"/>
  <c r="IC61" i="43"/>
  <c r="ID61" i="43"/>
  <c r="IE61" i="43"/>
  <c r="IF61" i="43"/>
  <c r="IG61" i="43"/>
  <c r="IH61" i="43"/>
  <c r="II61" i="43"/>
  <c r="IJ61" i="43"/>
  <c r="IK61" i="43"/>
  <c r="IL61" i="43"/>
  <c r="IM61" i="43"/>
  <c r="IN61" i="43"/>
  <c r="IO61" i="43"/>
  <c r="IP61" i="43"/>
  <c r="IQ61" i="43"/>
  <c r="IR61" i="43"/>
  <c r="IS61" i="43"/>
  <c r="IT61" i="43"/>
  <c r="IU61" i="43"/>
  <c r="IV61" i="43"/>
  <c r="A60" i="43"/>
  <c r="B60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DD60" i="43"/>
  <c r="DE60" i="43"/>
  <c r="DF60" i="43"/>
  <c r="DG60" i="43"/>
  <c r="DH60" i="43"/>
  <c r="DI60" i="43"/>
  <c r="DJ60" i="43"/>
  <c r="DK60" i="43"/>
  <c r="DL60" i="43"/>
  <c r="DM60" i="43"/>
  <c r="DN60" i="43"/>
  <c r="DO60" i="43"/>
  <c r="DP60" i="43"/>
  <c r="DQ60" i="43"/>
  <c r="DR60" i="43"/>
  <c r="DS60" i="43"/>
  <c r="DT60" i="43"/>
  <c r="DU60" i="43"/>
  <c r="DV60" i="43"/>
  <c r="DW60" i="43"/>
  <c r="DX60" i="43"/>
  <c r="DY60" i="43"/>
  <c r="DZ60" i="43"/>
  <c r="EA60" i="43"/>
  <c r="EB60" i="43"/>
  <c r="EC60" i="43"/>
  <c r="ED60" i="43"/>
  <c r="EE60" i="43"/>
  <c r="EF60" i="43"/>
  <c r="EG60" i="43"/>
  <c r="EH60" i="43"/>
  <c r="EI60" i="43"/>
  <c r="EJ60" i="43"/>
  <c r="EK60" i="43"/>
  <c r="EL60" i="43"/>
  <c r="EM60" i="43"/>
  <c r="EN60" i="43"/>
  <c r="EO60" i="43"/>
  <c r="EP60" i="43"/>
  <c r="EQ60" i="43"/>
  <c r="ER60" i="43"/>
  <c r="ES60" i="43"/>
  <c r="ET60" i="43"/>
  <c r="EU60" i="43"/>
  <c r="EV60" i="43"/>
  <c r="EW60" i="43"/>
  <c r="EX60" i="43"/>
  <c r="EY60" i="43"/>
  <c r="EZ60" i="43"/>
  <c r="FA60" i="43"/>
  <c r="FB60" i="43"/>
  <c r="FC60" i="43"/>
  <c r="FD60" i="43"/>
  <c r="FE60" i="43"/>
  <c r="FF60" i="43"/>
  <c r="FG60" i="43"/>
  <c r="FH60" i="43"/>
  <c r="FI60" i="43"/>
  <c r="FJ60" i="43"/>
  <c r="FK60" i="43"/>
  <c r="FL60" i="43"/>
  <c r="FM60" i="43"/>
  <c r="FN60" i="43"/>
  <c r="FO60" i="43"/>
  <c r="FP60" i="43"/>
  <c r="FQ60" i="43"/>
  <c r="FR60" i="43"/>
  <c r="FS60" i="43"/>
  <c r="FT60" i="43"/>
  <c r="FU60" i="43"/>
  <c r="FV60" i="43"/>
  <c r="FW60" i="43"/>
  <c r="FX60" i="43"/>
  <c r="FY60" i="43"/>
  <c r="FZ60" i="43"/>
  <c r="GA60" i="43"/>
  <c r="GB60" i="43"/>
  <c r="GC60" i="43"/>
  <c r="GD60" i="43"/>
  <c r="GE60" i="43"/>
  <c r="GF60" i="43"/>
  <c r="GG60" i="43"/>
  <c r="GH60" i="43"/>
  <c r="GI60" i="43"/>
  <c r="GJ60" i="43"/>
  <c r="GK60" i="43"/>
  <c r="GL60" i="43"/>
  <c r="GM60" i="43"/>
  <c r="GN60" i="43"/>
  <c r="GO60" i="43"/>
  <c r="GP60" i="43"/>
  <c r="GQ60" i="43"/>
  <c r="GR60" i="43"/>
  <c r="GS60" i="43"/>
  <c r="GT60" i="43"/>
  <c r="GU60" i="43"/>
  <c r="GV60" i="43"/>
  <c r="GW60" i="43"/>
  <c r="GX60" i="43"/>
  <c r="GY60" i="43"/>
  <c r="GZ60" i="43"/>
  <c r="HA60" i="43"/>
  <c r="HB60" i="43"/>
  <c r="HC60" i="43"/>
  <c r="HD60" i="43"/>
  <c r="HE60" i="43"/>
  <c r="HF60" i="43"/>
  <c r="HG60" i="43"/>
  <c r="HH60" i="43"/>
  <c r="HI60" i="43"/>
  <c r="HJ60" i="43"/>
  <c r="HK60" i="43"/>
  <c r="HL60" i="43"/>
  <c r="HM60" i="43"/>
  <c r="HN60" i="43"/>
  <c r="HO60" i="43"/>
  <c r="HP60" i="43"/>
  <c r="HQ60" i="43"/>
  <c r="HR60" i="43"/>
  <c r="HS60" i="43"/>
  <c r="HT60" i="43"/>
  <c r="HU60" i="43"/>
  <c r="HV60" i="43"/>
  <c r="HW60" i="43"/>
  <c r="HX60" i="43"/>
  <c r="HY60" i="43"/>
  <c r="HZ60" i="43"/>
  <c r="IA60" i="43"/>
  <c r="IB60" i="43"/>
  <c r="IC60" i="43"/>
  <c r="ID60" i="43"/>
  <c r="IE60" i="43"/>
  <c r="IF60" i="43"/>
  <c r="IG60" i="43"/>
  <c r="IH60" i="43"/>
  <c r="II60" i="43"/>
  <c r="IJ60" i="43"/>
  <c r="IK60" i="43"/>
  <c r="IL60" i="43"/>
  <c r="IM60" i="43"/>
  <c r="IN60" i="43"/>
  <c r="IO60" i="43"/>
  <c r="IP60" i="43"/>
  <c r="IQ60" i="43"/>
  <c r="IR60" i="43"/>
  <c r="IS60" i="43"/>
  <c r="IT60" i="43"/>
  <c r="IU60" i="43"/>
  <c r="IV60" i="43"/>
  <c r="A59" i="43"/>
  <c r="B59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DD59" i="43"/>
  <c r="DE59" i="43"/>
  <c r="DF59" i="43"/>
  <c r="DG59" i="43"/>
  <c r="DH59" i="43"/>
  <c r="DI59" i="43"/>
  <c r="DJ59" i="43"/>
  <c r="DK59" i="43"/>
  <c r="DL59" i="43"/>
  <c r="DM59" i="43"/>
  <c r="DN59" i="43"/>
  <c r="DO59" i="43"/>
  <c r="DP59" i="43"/>
  <c r="DQ59" i="43"/>
  <c r="DR59" i="43"/>
  <c r="DS59" i="43"/>
  <c r="DT59" i="43"/>
  <c r="DU59" i="43"/>
  <c r="DV59" i="43"/>
  <c r="DW59" i="43"/>
  <c r="DX59" i="43"/>
  <c r="DY59" i="43"/>
  <c r="DZ59" i="43"/>
  <c r="EA59" i="43"/>
  <c r="EB59" i="43"/>
  <c r="EC59" i="43"/>
  <c r="ED59" i="43"/>
  <c r="EE59" i="43"/>
  <c r="EF59" i="43"/>
  <c r="EG59" i="43"/>
  <c r="EH59" i="43"/>
  <c r="EI59" i="43"/>
  <c r="EJ59" i="43"/>
  <c r="EK59" i="43"/>
  <c r="EL59" i="43"/>
  <c r="EM59" i="43"/>
  <c r="EN59" i="43"/>
  <c r="EO59" i="43"/>
  <c r="EP59" i="43"/>
  <c r="EQ59" i="43"/>
  <c r="ER59" i="43"/>
  <c r="ES59" i="43"/>
  <c r="ET59" i="43"/>
  <c r="EU59" i="43"/>
  <c r="EV59" i="43"/>
  <c r="EW59" i="43"/>
  <c r="EX59" i="43"/>
  <c r="EY59" i="43"/>
  <c r="EZ59" i="43"/>
  <c r="FA59" i="43"/>
  <c r="FB59" i="43"/>
  <c r="FC59" i="43"/>
  <c r="FD59" i="43"/>
  <c r="FE59" i="43"/>
  <c r="FF59" i="43"/>
  <c r="FG59" i="43"/>
  <c r="FH59" i="43"/>
  <c r="FI59" i="43"/>
  <c r="FJ59" i="43"/>
  <c r="FK59" i="43"/>
  <c r="FL59" i="43"/>
  <c r="FM59" i="43"/>
  <c r="FN59" i="43"/>
  <c r="FO59" i="43"/>
  <c r="FP59" i="43"/>
  <c r="FQ59" i="43"/>
  <c r="FR59" i="43"/>
  <c r="FS59" i="43"/>
  <c r="FT59" i="43"/>
  <c r="FU59" i="43"/>
  <c r="FV59" i="43"/>
  <c r="FW59" i="43"/>
  <c r="FX59" i="43"/>
  <c r="FY59" i="43"/>
  <c r="FZ59" i="43"/>
  <c r="GA59" i="43"/>
  <c r="GB59" i="43"/>
  <c r="GC59" i="43"/>
  <c r="GD59" i="43"/>
  <c r="GE59" i="43"/>
  <c r="GF59" i="43"/>
  <c r="GG59" i="43"/>
  <c r="GH59" i="43"/>
  <c r="GI59" i="43"/>
  <c r="GJ59" i="43"/>
  <c r="GK59" i="43"/>
  <c r="GL59" i="43"/>
  <c r="GM59" i="43"/>
  <c r="GN59" i="43"/>
  <c r="GO59" i="43"/>
  <c r="GP59" i="43"/>
  <c r="GQ59" i="43"/>
  <c r="GR59" i="43"/>
  <c r="GS59" i="43"/>
  <c r="GT59" i="43"/>
  <c r="GU59" i="43"/>
  <c r="GV59" i="43"/>
  <c r="GW59" i="43"/>
  <c r="GX59" i="43"/>
  <c r="GY59" i="43"/>
  <c r="GZ59" i="43"/>
  <c r="HA59" i="43"/>
  <c r="HB59" i="43"/>
  <c r="HC59" i="43"/>
  <c r="HD59" i="43"/>
  <c r="HE59" i="43"/>
  <c r="HF59" i="43"/>
  <c r="HG59" i="43"/>
  <c r="HH59" i="43"/>
  <c r="HI59" i="43"/>
  <c r="HJ59" i="43"/>
  <c r="HK59" i="43"/>
  <c r="HL59" i="43"/>
  <c r="HM59" i="43"/>
  <c r="HN59" i="43"/>
  <c r="HO59" i="43"/>
  <c r="HP59" i="43"/>
  <c r="HQ59" i="43"/>
  <c r="HR59" i="43"/>
  <c r="HS59" i="43"/>
  <c r="HT59" i="43"/>
  <c r="HU59" i="43"/>
  <c r="HV59" i="43"/>
  <c r="HW59" i="43"/>
  <c r="HX59" i="43"/>
  <c r="HY59" i="43"/>
  <c r="HZ59" i="43"/>
  <c r="IA59" i="43"/>
  <c r="IB59" i="43"/>
  <c r="IC59" i="43"/>
  <c r="ID59" i="43"/>
  <c r="IE59" i="43"/>
  <c r="IF59" i="43"/>
  <c r="IG59" i="43"/>
  <c r="IH59" i="43"/>
  <c r="II59" i="43"/>
  <c r="IJ59" i="43"/>
  <c r="IK59" i="43"/>
  <c r="IL59" i="43"/>
  <c r="IM59" i="43"/>
  <c r="IN59" i="43"/>
  <c r="IO59" i="43"/>
  <c r="IP59" i="43"/>
  <c r="IQ59" i="43"/>
  <c r="IR59" i="43"/>
  <c r="IS59" i="43"/>
  <c r="IT59" i="43"/>
  <c r="IU59" i="43"/>
  <c r="IV59" i="43"/>
  <c r="A58" i="43"/>
  <c r="B58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DD58" i="43"/>
  <c r="DE58" i="43"/>
  <c r="DF58" i="43"/>
  <c r="DG58" i="43"/>
  <c r="DH58" i="43"/>
  <c r="DI58" i="43"/>
  <c r="DJ58" i="43"/>
  <c r="DK58" i="43"/>
  <c r="DL58" i="43"/>
  <c r="DM58" i="43"/>
  <c r="DN58" i="43"/>
  <c r="DO58" i="43"/>
  <c r="DP58" i="43"/>
  <c r="DQ58" i="43"/>
  <c r="DR58" i="43"/>
  <c r="DS58" i="43"/>
  <c r="DT58" i="43"/>
  <c r="DU58" i="43"/>
  <c r="DV58" i="43"/>
  <c r="DW58" i="43"/>
  <c r="DX58" i="43"/>
  <c r="DY58" i="43"/>
  <c r="DZ58" i="43"/>
  <c r="EA58" i="43"/>
  <c r="EB58" i="43"/>
  <c r="EC58" i="43"/>
  <c r="ED58" i="43"/>
  <c r="EE58" i="43"/>
  <c r="EF58" i="43"/>
  <c r="EG58" i="43"/>
  <c r="EH58" i="43"/>
  <c r="EI58" i="43"/>
  <c r="EJ58" i="43"/>
  <c r="EK58" i="43"/>
  <c r="EL58" i="43"/>
  <c r="EM58" i="43"/>
  <c r="EN58" i="43"/>
  <c r="EO58" i="43"/>
  <c r="EP58" i="43"/>
  <c r="EQ58" i="43"/>
  <c r="ER58" i="43"/>
  <c r="ES58" i="43"/>
  <c r="ET58" i="43"/>
  <c r="EU58" i="43"/>
  <c r="EV58" i="43"/>
  <c r="EW58" i="43"/>
  <c r="EX58" i="43"/>
  <c r="EY58" i="43"/>
  <c r="EZ58" i="43"/>
  <c r="FA58" i="43"/>
  <c r="FB58" i="43"/>
  <c r="FC58" i="43"/>
  <c r="FD58" i="43"/>
  <c r="FE58" i="43"/>
  <c r="FF58" i="43"/>
  <c r="FG58" i="43"/>
  <c r="FH58" i="43"/>
  <c r="FI58" i="43"/>
  <c r="FJ58" i="43"/>
  <c r="FK58" i="43"/>
  <c r="FL58" i="43"/>
  <c r="FM58" i="43"/>
  <c r="FN58" i="43"/>
  <c r="FO58" i="43"/>
  <c r="FP58" i="43"/>
  <c r="FQ58" i="43"/>
  <c r="FR58" i="43"/>
  <c r="FS58" i="43"/>
  <c r="FT58" i="43"/>
  <c r="FU58" i="43"/>
  <c r="FV58" i="43"/>
  <c r="FW58" i="43"/>
  <c r="FX58" i="43"/>
  <c r="FY58" i="43"/>
  <c r="FZ58" i="43"/>
  <c r="GA58" i="43"/>
  <c r="GB58" i="43"/>
  <c r="GC58" i="43"/>
  <c r="GD58" i="43"/>
  <c r="GE58" i="43"/>
  <c r="GF58" i="43"/>
  <c r="GG58" i="43"/>
  <c r="GH58" i="43"/>
  <c r="GI58" i="43"/>
  <c r="GJ58" i="43"/>
  <c r="GK58" i="43"/>
  <c r="GL58" i="43"/>
  <c r="GM58" i="43"/>
  <c r="GN58" i="43"/>
  <c r="GO58" i="43"/>
  <c r="GP58" i="43"/>
  <c r="GQ58" i="43"/>
  <c r="GR58" i="43"/>
  <c r="GS58" i="43"/>
  <c r="GT58" i="43"/>
  <c r="GU58" i="43"/>
  <c r="GV58" i="43"/>
  <c r="GW58" i="43"/>
  <c r="GX58" i="43"/>
  <c r="GY58" i="43"/>
  <c r="GZ58" i="43"/>
  <c r="HA58" i="43"/>
  <c r="HB58" i="43"/>
  <c r="HC58" i="43"/>
  <c r="HD58" i="43"/>
  <c r="HE58" i="43"/>
  <c r="HF58" i="43"/>
  <c r="HG58" i="43"/>
  <c r="HH58" i="43"/>
  <c r="HI58" i="43"/>
  <c r="HJ58" i="43"/>
  <c r="HK58" i="43"/>
  <c r="HL58" i="43"/>
  <c r="HM58" i="43"/>
  <c r="HN58" i="43"/>
  <c r="HO58" i="43"/>
  <c r="HP58" i="43"/>
  <c r="HQ58" i="43"/>
  <c r="HR58" i="43"/>
  <c r="HS58" i="43"/>
  <c r="HT58" i="43"/>
  <c r="HU58" i="43"/>
  <c r="HV58" i="43"/>
  <c r="HW58" i="43"/>
  <c r="HX58" i="43"/>
  <c r="HY58" i="43"/>
  <c r="HZ58" i="43"/>
  <c r="IA58" i="43"/>
  <c r="IB58" i="43"/>
  <c r="IC58" i="43"/>
  <c r="ID58" i="43"/>
  <c r="IE58" i="43"/>
  <c r="IF58" i="43"/>
  <c r="IG58" i="43"/>
  <c r="IH58" i="43"/>
  <c r="II58" i="43"/>
  <c r="IJ58" i="43"/>
  <c r="IK58" i="43"/>
  <c r="IL58" i="43"/>
  <c r="IM58" i="43"/>
  <c r="IN58" i="43"/>
  <c r="IO58" i="43"/>
  <c r="IP58" i="43"/>
  <c r="IQ58" i="43"/>
  <c r="IR58" i="43"/>
  <c r="IS58" i="43"/>
  <c r="IT58" i="43"/>
  <c r="IU58" i="43"/>
  <c r="IV58" i="43"/>
  <c r="A57" i="43"/>
  <c r="B57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DD57" i="43"/>
  <c r="DE57" i="43"/>
  <c r="DF57" i="43"/>
  <c r="DG57" i="43"/>
  <c r="DH57" i="43"/>
  <c r="DI57" i="43"/>
  <c r="DJ57" i="43"/>
  <c r="DK57" i="43"/>
  <c r="DL57" i="43"/>
  <c r="DM57" i="43"/>
  <c r="DN57" i="43"/>
  <c r="DO57" i="43"/>
  <c r="DP57" i="43"/>
  <c r="DQ57" i="43"/>
  <c r="DR57" i="43"/>
  <c r="DS57" i="43"/>
  <c r="DT57" i="43"/>
  <c r="DU57" i="43"/>
  <c r="DV57" i="43"/>
  <c r="DW57" i="43"/>
  <c r="DX57" i="43"/>
  <c r="DY57" i="43"/>
  <c r="DZ57" i="43"/>
  <c r="EA57" i="43"/>
  <c r="EB57" i="43"/>
  <c r="EC57" i="43"/>
  <c r="ED57" i="43"/>
  <c r="EE57" i="43"/>
  <c r="EF57" i="43"/>
  <c r="EG57" i="43"/>
  <c r="EH57" i="43"/>
  <c r="EI57" i="43"/>
  <c r="EJ57" i="43"/>
  <c r="EK57" i="43"/>
  <c r="EL57" i="43"/>
  <c r="EM57" i="43"/>
  <c r="EN57" i="43"/>
  <c r="EO57" i="43"/>
  <c r="EP57" i="43"/>
  <c r="EQ57" i="43"/>
  <c r="ER57" i="43"/>
  <c r="ES57" i="43"/>
  <c r="ET57" i="43"/>
  <c r="EU57" i="43"/>
  <c r="EV57" i="43"/>
  <c r="EW57" i="43"/>
  <c r="EX57" i="43"/>
  <c r="EY57" i="43"/>
  <c r="EZ57" i="43"/>
  <c r="FA57" i="43"/>
  <c r="FB57" i="43"/>
  <c r="FC57" i="43"/>
  <c r="FD57" i="43"/>
  <c r="FE57" i="43"/>
  <c r="FF57" i="43"/>
  <c r="FG57" i="43"/>
  <c r="FH57" i="43"/>
  <c r="FI57" i="43"/>
  <c r="FJ57" i="43"/>
  <c r="FK57" i="43"/>
  <c r="FL57" i="43"/>
  <c r="FM57" i="43"/>
  <c r="FN57" i="43"/>
  <c r="FO57" i="43"/>
  <c r="FP57" i="43"/>
  <c r="FQ57" i="43"/>
  <c r="FR57" i="43"/>
  <c r="FS57" i="43"/>
  <c r="FT57" i="43"/>
  <c r="FU57" i="43"/>
  <c r="FV57" i="43"/>
  <c r="FW57" i="43"/>
  <c r="FX57" i="43"/>
  <c r="FY57" i="43"/>
  <c r="FZ57" i="43"/>
  <c r="GA57" i="43"/>
  <c r="GB57" i="43"/>
  <c r="GC57" i="43"/>
  <c r="GD57" i="43"/>
  <c r="GE57" i="43"/>
  <c r="GF57" i="43"/>
  <c r="GG57" i="43"/>
  <c r="GH57" i="43"/>
  <c r="GI57" i="43"/>
  <c r="GJ57" i="43"/>
  <c r="GK57" i="43"/>
  <c r="GL57" i="43"/>
  <c r="GM57" i="43"/>
  <c r="GN57" i="43"/>
  <c r="GO57" i="43"/>
  <c r="GP57" i="43"/>
  <c r="GQ57" i="43"/>
  <c r="GR57" i="43"/>
  <c r="GS57" i="43"/>
  <c r="GT57" i="43"/>
  <c r="GU57" i="43"/>
  <c r="GV57" i="43"/>
  <c r="GW57" i="43"/>
  <c r="GX57" i="43"/>
  <c r="GY57" i="43"/>
  <c r="GZ57" i="43"/>
  <c r="HA57" i="43"/>
  <c r="HB57" i="43"/>
  <c r="HC57" i="43"/>
  <c r="HD57" i="43"/>
  <c r="HE57" i="43"/>
  <c r="HF57" i="43"/>
  <c r="HG57" i="43"/>
  <c r="HH57" i="43"/>
  <c r="HI57" i="43"/>
  <c r="HJ57" i="43"/>
  <c r="HK57" i="43"/>
  <c r="HL57" i="43"/>
  <c r="HM57" i="43"/>
  <c r="HN57" i="43"/>
  <c r="HO57" i="43"/>
  <c r="HP57" i="43"/>
  <c r="HQ57" i="43"/>
  <c r="HR57" i="43"/>
  <c r="HS57" i="43"/>
  <c r="HT57" i="43"/>
  <c r="HU57" i="43"/>
  <c r="HV57" i="43"/>
  <c r="HW57" i="43"/>
  <c r="HX57" i="43"/>
  <c r="HY57" i="43"/>
  <c r="HZ57" i="43"/>
  <c r="IA57" i="43"/>
  <c r="IB57" i="43"/>
  <c r="IC57" i="43"/>
  <c r="ID57" i="43"/>
  <c r="IE57" i="43"/>
  <c r="IF57" i="43"/>
  <c r="IG57" i="43"/>
  <c r="IH57" i="43"/>
  <c r="II57" i="43"/>
  <c r="IJ57" i="43"/>
  <c r="IK57" i="43"/>
  <c r="IL57" i="43"/>
  <c r="IM57" i="43"/>
  <c r="IN57" i="43"/>
  <c r="IO57" i="43"/>
  <c r="IP57" i="43"/>
  <c r="IQ57" i="43"/>
  <c r="IR57" i="43"/>
  <c r="IS57" i="43"/>
  <c r="IT57" i="43"/>
  <c r="IU57" i="43"/>
  <c r="IV57" i="43"/>
  <c r="A56" i="43"/>
  <c r="B56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AE56" i="43"/>
  <c r="AF56" i="43"/>
  <c r="AG56" i="43"/>
  <c r="AH56" i="43"/>
  <c r="AI56" i="43"/>
  <c r="AJ56" i="43"/>
  <c r="AK56" i="43"/>
  <c r="AL56" i="43"/>
  <c r="AM56" i="43"/>
  <c r="AN56" i="43"/>
  <c r="AO56" i="43"/>
  <c r="AP56" i="43"/>
  <c r="AQ56" i="43"/>
  <c r="AR56" i="43"/>
  <c r="AS56" i="43"/>
  <c r="AT56" i="43"/>
  <c r="AU56" i="43"/>
  <c r="AV56" i="43"/>
  <c r="AW56" i="43"/>
  <c r="AX56" i="43"/>
  <c r="AY56" i="43"/>
  <c r="AZ56" i="43"/>
  <c r="BA56" i="43"/>
  <c r="BB56" i="43"/>
  <c r="BC56" i="43"/>
  <c r="BD56" i="43"/>
  <c r="BE56" i="43"/>
  <c r="BF56" i="43"/>
  <c r="BG56" i="43"/>
  <c r="BH56" i="43"/>
  <c r="BI56" i="43"/>
  <c r="BJ56" i="43"/>
  <c r="BK56" i="43"/>
  <c r="BL56" i="43"/>
  <c r="BM56" i="43"/>
  <c r="BN56" i="43"/>
  <c r="BO56" i="43"/>
  <c r="BP56" i="43"/>
  <c r="BQ56" i="43"/>
  <c r="BR56" i="43"/>
  <c r="BS56" i="43"/>
  <c r="BT56" i="43"/>
  <c r="BU56" i="43"/>
  <c r="BV56" i="43"/>
  <c r="BW56" i="43"/>
  <c r="BX56" i="43"/>
  <c r="BY56" i="43"/>
  <c r="BZ56" i="43"/>
  <c r="CA56" i="43"/>
  <c r="CB56" i="43"/>
  <c r="CC56" i="43"/>
  <c r="CD56" i="43"/>
  <c r="CE56" i="43"/>
  <c r="CF56" i="43"/>
  <c r="CG56" i="43"/>
  <c r="CH56" i="43"/>
  <c r="CI56" i="43"/>
  <c r="CJ56" i="43"/>
  <c r="CK56" i="43"/>
  <c r="CL56" i="43"/>
  <c r="CM56" i="43"/>
  <c r="CN56" i="43"/>
  <c r="CO56" i="43"/>
  <c r="CP56" i="43"/>
  <c r="CQ56" i="43"/>
  <c r="CR56" i="43"/>
  <c r="CS56" i="43"/>
  <c r="CT56" i="43"/>
  <c r="CU56" i="43"/>
  <c r="CV56" i="43"/>
  <c r="CW56" i="43"/>
  <c r="CX56" i="43"/>
  <c r="CY56" i="43"/>
  <c r="CZ56" i="43"/>
  <c r="DA56" i="43"/>
  <c r="DB56" i="43"/>
  <c r="DC56" i="43"/>
  <c r="DD56" i="43"/>
  <c r="DE56" i="43"/>
  <c r="DF56" i="43"/>
  <c r="DG56" i="43"/>
  <c r="DH56" i="43"/>
  <c r="DI56" i="43"/>
  <c r="DJ56" i="43"/>
  <c r="DK56" i="43"/>
  <c r="DL56" i="43"/>
  <c r="DM56" i="43"/>
  <c r="DN56" i="43"/>
  <c r="DO56" i="43"/>
  <c r="DP56" i="43"/>
  <c r="DQ56" i="43"/>
  <c r="DR56" i="43"/>
  <c r="DS56" i="43"/>
  <c r="DT56" i="43"/>
  <c r="DU56" i="43"/>
  <c r="DV56" i="43"/>
  <c r="DW56" i="43"/>
  <c r="DX56" i="43"/>
  <c r="DY56" i="43"/>
  <c r="DZ56" i="43"/>
  <c r="EA56" i="43"/>
  <c r="EB56" i="43"/>
  <c r="EC56" i="43"/>
  <c r="ED56" i="43"/>
  <c r="EE56" i="43"/>
  <c r="EF56" i="43"/>
  <c r="EG56" i="43"/>
  <c r="EH56" i="43"/>
  <c r="EI56" i="43"/>
  <c r="EJ56" i="43"/>
  <c r="EK56" i="43"/>
  <c r="EL56" i="43"/>
  <c r="EM56" i="43"/>
  <c r="EN56" i="43"/>
  <c r="EO56" i="43"/>
  <c r="EP56" i="43"/>
  <c r="EQ56" i="43"/>
  <c r="ER56" i="43"/>
  <c r="ES56" i="43"/>
  <c r="ET56" i="43"/>
  <c r="EU56" i="43"/>
  <c r="EV56" i="43"/>
  <c r="EW56" i="43"/>
  <c r="EX56" i="43"/>
  <c r="EY56" i="43"/>
  <c r="EZ56" i="43"/>
  <c r="FA56" i="43"/>
  <c r="FB56" i="43"/>
  <c r="FC56" i="43"/>
  <c r="FD56" i="43"/>
  <c r="FE56" i="43"/>
  <c r="FF56" i="43"/>
  <c r="FG56" i="43"/>
  <c r="FH56" i="43"/>
  <c r="FI56" i="43"/>
  <c r="FJ56" i="43"/>
  <c r="FK56" i="43"/>
  <c r="FL56" i="43"/>
  <c r="FM56" i="43"/>
  <c r="FN56" i="43"/>
  <c r="FO56" i="43"/>
  <c r="FP56" i="43"/>
  <c r="FQ56" i="43"/>
  <c r="FR56" i="43"/>
  <c r="FS56" i="43"/>
  <c r="FT56" i="43"/>
  <c r="FU56" i="43"/>
  <c r="FV56" i="43"/>
  <c r="FW56" i="43"/>
  <c r="FX56" i="43"/>
  <c r="FY56" i="43"/>
  <c r="FZ56" i="43"/>
  <c r="GA56" i="43"/>
  <c r="GB56" i="43"/>
  <c r="GC56" i="43"/>
  <c r="GD56" i="43"/>
  <c r="GE56" i="43"/>
  <c r="GF56" i="43"/>
  <c r="GG56" i="43"/>
  <c r="GH56" i="43"/>
  <c r="GI56" i="43"/>
  <c r="GJ56" i="43"/>
  <c r="GK56" i="43"/>
  <c r="GL56" i="43"/>
  <c r="GM56" i="43"/>
  <c r="GN56" i="43"/>
  <c r="GO56" i="43"/>
  <c r="GP56" i="43"/>
  <c r="GQ56" i="43"/>
  <c r="GR56" i="43"/>
  <c r="GS56" i="43"/>
  <c r="GT56" i="43"/>
  <c r="GU56" i="43"/>
  <c r="GV56" i="43"/>
  <c r="GW56" i="43"/>
  <c r="GX56" i="43"/>
  <c r="GY56" i="43"/>
  <c r="GZ56" i="43"/>
  <c r="HA56" i="43"/>
  <c r="HB56" i="43"/>
  <c r="HC56" i="43"/>
  <c r="HD56" i="43"/>
  <c r="HE56" i="43"/>
  <c r="HF56" i="43"/>
  <c r="HG56" i="43"/>
  <c r="HH56" i="43"/>
  <c r="HI56" i="43"/>
  <c r="HJ56" i="43"/>
  <c r="HK56" i="43"/>
  <c r="HL56" i="43"/>
  <c r="HM56" i="43"/>
  <c r="HN56" i="43"/>
  <c r="HO56" i="43"/>
  <c r="HP56" i="43"/>
  <c r="HQ56" i="43"/>
  <c r="HR56" i="43"/>
  <c r="HS56" i="43"/>
  <c r="HT56" i="43"/>
  <c r="HU56" i="43"/>
  <c r="HV56" i="43"/>
  <c r="HW56" i="43"/>
  <c r="HX56" i="43"/>
  <c r="HY56" i="43"/>
  <c r="HZ56" i="43"/>
  <c r="IA56" i="43"/>
  <c r="IB56" i="43"/>
  <c r="IC56" i="43"/>
  <c r="ID56" i="43"/>
  <c r="IE56" i="43"/>
  <c r="IF56" i="43"/>
  <c r="IG56" i="43"/>
  <c r="IH56" i="43"/>
  <c r="II56" i="43"/>
  <c r="IJ56" i="43"/>
  <c r="IK56" i="43"/>
  <c r="IL56" i="43"/>
  <c r="IM56" i="43"/>
  <c r="IN56" i="43"/>
  <c r="IO56" i="43"/>
  <c r="IP56" i="43"/>
  <c r="IQ56" i="43"/>
  <c r="IR56" i="43"/>
  <c r="IS56" i="43"/>
  <c r="IT56" i="43"/>
  <c r="IU56" i="43"/>
  <c r="IV56" i="43"/>
  <c r="A55" i="43"/>
  <c r="B55" i="43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AD55" i="43"/>
  <c r="AE55" i="43"/>
  <c r="AF55" i="43"/>
  <c r="AG55" i="43"/>
  <c r="AH55" i="43"/>
  <c r="AI55" i="43"/>
  <c r="AJ55" i="43"/>
  <c r="AK55" i="43"/>
  <c r="AL55" i="43"/>
  <c r="AM55" i="43"/>
  <c r="AN55" i="43"/>
  <c r="AO55" i="43"/>
  <c r="AP55" i="43"/>
  <c r="AQ55" i="43"/>
  <c r="AR55" i="43"/>
  <c r="AS55" i="43"/>
  <c r="AT55" i="43"/>
  <c r="AU55" i="43"/>
  <c r="AV55" i="43"/>
  <c r="AW55" i="43"/>
  <c r="AX55" i="43"/>
  <c r="AY55" i="43"/>
  <c r="AZ55" i="43"/>
  <c r="BA55" i="43"/>
  <c r="BB55" i="43"/>
  <c r="BC55" i="43"/>
  <c r="BD55" i="43"/>
  <c r="BE55" i="43"/>
  <c r="BF55" i="43"/>
  <c r="BG55" i="43"/>
  <c r="BH55" i="43"/>
  <c r="BI55" i="43"/>
  <c r="BJ55" i="43"/>
  <c r="BK55" i="43"/>
  <c r="BL55" i="43"/>
  <c r="BM55" i="43"/>
  <c r="BN55" i="43"/>
  <c r="BO55" i="43"/>
  <c r="BP55" i="43"/>
  <c r="BQ55" i="43"/>
  <c r="BR55" i="43"/>
  <c r="BS55" i="43"/>
  <c r="BT55" i="43"/>
  <c r="BU55" i="43"/>
  <c r="BV55" i="43"/>
  <c r="BW55" i="43"/>
  <c r="BX55" i="43"/>
  <c r="BY55" i="43"/>
  <c r="BZ55" i="43"/>
  <c r="CA55" i="43"/>
  <c r="CB55" i="43"/>
  <c r="CC55" i="43"/>
  <c r="CD55" i="43"/>
  <c r="CE55" i="43"/>
  <c r="CF55" i="43"/>
  <c r="CG55" i="43"/>
  <c r="CH55" i="43"/>
  <c r="CI55" i="43"/>
  <c r="CJ55" i="43"/>
  <c r="CK55" i="43"/>
  <c r="CL55" i="43"/>
  <c r="CM55" i="43"/>
  <c r="CN55" i="43"/>
  <c r="CO55" i="43"/>
  <c r="CP55" i="43"/>
  <c r="CQ55" i="43"/>
  <c r="CR55" i="43"/>
  <c r="CS55" i="43"/>
  <c r="CT55" i="43"/>
  <c r="CU55" i="43"/>
  <c r="CV55" i="43"/>
  <c r="CW55" i="43"/>
  <c r="CX55" i="43"/>
  <c r="CY55" i="43"/>
  <c r="CZ55" i="43"/>
  <c r="DA55" i="43"/>
  <c r="DB55" i="43"/>
  <c r="DC55" i="43"/>
  <c r="DD55" i="43"/>
  <c r="DE55" i="43"/>
  <c r="DF55" i="43"/>
  <c r="DG55" i="43"/>
  <c r="DH55" i="43"/>
  <c r="DI55" i="43"/>
  <c r="DJ55" i="43"/>
  <c r="DK55" i="43"/>
  <c r="DL55" i="43"/>
  <c r="DM55" i="43"/>
  <c r="DN55" i="43"/>
  <c r="DO55" i="43"/>
  <c r="DP55" i="43"/>
  <c r="DQ55" i="43"/>
  <c r="DR55" i="43"/>
  <c r="DS55" i="43"/>
  <c r="DT55" i="43"/>
  <c r="DU55" i="43"/>
  <c r="DV55" i="43"/>
  <c r="DW55" i="43"/>
  <c r="DX55" i="43"/>
  <c r="DY55" i="43"/>
  <c r="DZ55" i="43"/>
  <c r="EA55" i="43"/>
  <c r="EB55" i="43"/>
  <c r="EC55" i="43"/>
  <c r="ED55" i="43"/>
  <c r="EE55" i="43"/>
  <c r="EF55" i="43"/>
  <c r="EG55" i="43"/>
  <c r="EH55" i="43"/>
  <c r="EI55" i="43"/>
  <c r="EJ55" i="43"/>
  <c r="EK55" i="43"/>
  <c r="EL55" i="43"/>
  <c r="EM55" i="43"/>
  <c r="EN55" i="43"/>
  <c r="EO55" i="43"/>
  <c r="EP55" i="43"/>
  <c r="EQ55" i="43"/>
  <c r="ER55" i="43"/>
  <c r="ES55" i="43"/>
  <c r="ET55" i="43"/>
  <c r="EU55" i="43"/>
  <c r="EV55" i="43"/>
  <c r="EW55" i="43"/>
  <c r="EX55" i="43"/>
  <c r="EY55" i="43"/>
  <c r="EZ55" i="43"/>
  <c r="FA55" i="43"/>
  <c r="FB55" i="43"/>
  <c r="FC55" i="43"/>
  <c r="FD55" i="43"/>
  <c r="FE55" i="43"/>
  <c r="FF55" i="43"/>
  <c r="FG55" i="43"/>
  <c r="FH55" i="43"/>
  <c r="FI55" i="43"/>
  <c r="FJ55" i="43"/>
  <c r="FK55" i="43"/>
  <c r="FL55" i="43"/>
  <c r="FM55" i="43"/>
  <c r="FN55" i="43"/>
  <c r="FO55" i="43"/>
  <c r="FP55" i="43"/>
  <c r="FQ55" i="43"/>
  <c r="FR55" i="43"/>
  <c r="FS55" i="43"/>
  <c r="FT55" i="43"/>
  <c r="FU55" i="43"/>
  <c r="FV55" i="43"/>
  <c r="FW55" i="43"/>
  <c r="FX55" i="43"/>
  <c r="FY55" i="43"/>
  <c r="FZ55" i="43"/>
  <c r="GA55" i="43"/>
  <c r="GB55" i="43"/>
  <c r="GC55" i="43"/>
  <c r="GD55" i="43"/>
  <c r="GE55" i="43"/>
  <c r="GF55" i="43"/>
  <c r="GG55" i="43"/>
  <c r="GH55" i="43"/>
  <c r="GI55" i="43"/>
  <c r="GJ55" i="43"/>
  <c r="GK55" i="43"/>
  <c r="GL55" i="43"/>
  <c r="GM55" i="43"/>
  <c r="GN55" i="43"/>
  <c r="GO55" i="43"/>
  <c r="GP55" i="43"/>
  <c r="GQ55" i="43"/>
  <c r="GR55" i="43"/>
  <c r="GS55" i="43"/>
  <c r="GT55" i="43"/>
  <c r="GU55" i="43"/>
  <c r="GV55" i="43"/>
  <c r="GW55" i="43"/>
  <c r="GX55" i="43"/>
  <c r="GY55" i="43"/>
  <c r="GZ55" i="43"/>
  <c r="HA55" i="43"/>
  <c r="HB55" i="43"/>
  <c r="HC55" i="43"/>
  <c r="HD55" i="43"/>
  <c r="HE55" i="43"/>
  <c r="HF55" i="43"/>
  <c r="HG55" i="43"/>
  <c r="HH55" i="43"/>
  <c r="HI55" i="43"/>
  <c r="HJ55" i="43"/>
  <c r="HK55" i="43"/>
  <c r="HL55" i="43"/>
  <c r="HM55" i="43"/>
  <c r="HN55" i="43"/>
  <c r="HO55" i="43"/>
  <c r="HP55" i="43"/>
  <c r="HQ55" i="43"/>
  <c r="HR55" i="43"/>
  <c r="HS55" i="43"/>
  <c r="HT55" i="43"/>
  <c r="HU55" i="43"/>
  <c r="HV55" i="43"/>
  <c r="HW55" i="43"/>
  <c r="HX55" i="43"/>
  <c r="HY55" i="43"/>
  <c r="HZ55" i="43"/>
  <c r="IA55" i="43"/>
  <c r="IB55" i="43"/>
  <c r="IC55" i="43"/>
  <c r="ID55" i="43"/>
  <c r="IE55" i="43"/>
  <c r="IF55" i="43"/>
  <c r="IG55" i="43"/>
  <c r="IH55" i="43"/>
  <c r="II55" i="43"/>
  <c r="IJ55" i="43"/>
  <c r="IK55" i="43"/>
  <c r="IL55" i="43"/>
  <c r="IM55" i="43"/>
  <c r="IN55" i="43"/>
  <c r="IO55" i="43"/>
  <c r="IP55" i="43"/>
  <c r="IQ55" i="43"/>
  <c r="IR55" i="43"/>
  <c r="IS55" i="43"/>
  <c r="IT55" i="43"/>
  <c r="IU55" i="43"/>
  <c r="IV55" i="43"/>
  <c r="A54" i="43"/>
  <c r="B54" i="43"/>
  <c r="C54" i="43"/>
  <c r="D54" i="43"/>
  <c r="E54" i="43"/>
  <c r="F54" i="43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AD54" i="43"/>
  <c r="AE54" i="43"/>
  <c r="AF54" i="43"/>
  <c r="AG54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AT54" i="43"/>
  <c r="AU54" i="43"/>
  <c r="AV54" i="43"/>
  <c r="AW54" i="43"/>
  <c r="AX54" i="43"/>
  <c r="AY54" i="43"/>
  <c r="AZ54" i="43"/>
  <c r="BA54" i="43"/>
  <c r="BB54" i="43"/>
  <c r="BC54" i="43"/>
  <c r="BD54" i="43"/>
  <c r="BE54" i="43"/>
  <c r="BF54" i="43"/>
  <c r="BG54" i="43"/>
  <c r="BH54" i="43"/>
  <c r="BI54" i="43"/>
  <c r="BJ54" i="43"/>
  <c r="BK54" i="43"/>
  <c r="BL54" i="43"/>
  <c r="BM54" i="43"/>
  <c r="BN54" i="43"/>
  <c r="BO54" i="43"/>
  <c r="BP54" i="43"/>
  <c r="BQ54" i="43"/>
  <c r="BR54" i="43"/>
  <c r="BS54" i="43"/>
  <c r="BT54" i="43"/>
  <c r="BU54" i="43"/>
  <c r="BV54" i="43"/>
  <c r="BW54" i="43"/>
  <c r="BX54" i="43"/>
  <c r="BY54" i="43"/>
  <c r="BZ54" i="43"/>
  <c r="CA54" i="43"/>
  <c r="CB54" i="43"/>
  <c r="CC54" i="43"/>
  <c r="CD54" i="43"/>
  <c r="CE54" i="43"/>
  <c r="CF54" i="43"/>
  <c r="CG54" i="43"/>
  <c r="CH54" i="43"/>
  <c r="CI54" i="43"/>
  <c r="CJ54" i="43"/>
  <c r="CK54" i="43"/>
  <c r="CL54" i="43"/>
  <c r="CM54" i="43"/>
  <c r="CN54" i="43"/>
  <c r="CO54" i="43"/>
  <c r="CP54" i="43"/>
  <c r="CQ54" i="43"/>
  <c r="CR54" i="43"/>
  <c r="CS54" i="43"/>
  <c r="CT54" i="43"/>
  <c r="CU54" i="43"/>
  <c r="CV54" i="43"/>
  <c r="CW54" i="43"/>
  <c r="CX54" i="43"/>
  <c r="CY54" i="43"/>
  <c r="CZ54" i="43"/>
  <c r="DA54" i="43"/>
  <c r="DB54" i="43"/>
  <c r="DC54" i="43"/>
  <c r="DD54" i="43"/>
  <c r="DE54" i="43"/>
  <c r="DF54" i="43"/>
  <c r="DG54" i="43"/>
  <c r="DH54" i="43"/>
  <c r="DI54" i="43"/>
  <c r="DJ54" i="43"/>
  <c r="DK54" i="43"/>
  <c r="DL54" i="43"/>
  <c r="DM54" i="43"/>
  <c r="DN54" i="43"/>
  <c r="DO54" i="43"/>
  <c r="DP54" i="43"/>
  <c r="DQ54" i="43"/>
  <c r="DR54" i="43"/>
  <c r="DS54" i="43"/>
  <c r="DT54" i="43"/>
  <c r="DU54" i="43"/>
  <c r="DV54" i="43"/>
  <c r="DW54" i="43"/>
  <c r="DX54" i="43"/>
  <c r="DY54" i="43"/>
  <c r="DZ54" i="43"/>
  <c r="EA54" i="43"/>
  <c r="EB54" i="43"/>
  <c r="EC54" i="43"/>
  <c r="ED54" i="43"/>
  <c r="EE54" i="43"/>
  <c r="EF54" i="43"/>
  <c r="EG54" i="43"/>
  <c r="EH54" i="43"/>
  <c r="EI54" i="43"/>
  <c r="EJ54" i="43"/>
  <c r="EK54" i="43"/>
  <c r="EL54" i="43"/>
  <c r="EM54" i="43"/>
  <c r="EN54" i="43"/>
  <c r="EO54" i="43"/>
  <c r="EP54" i="43"/>
  <c r="EQ54" i="43"/>
  <c r="ER54" i="43"/>
  <c r="ES54" i="43"/>
  <c r="ET54" i="43"/>
  <c r="EU54" i="43"/>
  <c r="EV54" i="43"/>
  <c r="EW54" i="43"/>
  <c r="EX54" i="43"/>
  <c r="EY54" i="43"/>
  <c r="EZ54" i="43"/>
  <c r="FA54" i="43"/>
  <c r="FB54" i="43"/>
  <c r="FC54" i="43"/>
  <c r="FD54" i="43"/>
  <c r="FE54" i="43"/>
  <c r="FF54" i="43"/>
  <c r="FG54" i="43"/>
  <c r="FH54" i="43"/>
  <c r="FI54" i="43"/>
  <c r="FJ54" i="43"/>
  <c r="FK54" i="43"/>
  <c r="FL54" i="43"/>
  <c r="FM54" i="43"/>
  <c r="FN54" i="43"/>
  <c r="FO54" i="43"/>
  <c r="FP54" i="43"/>
  <c r="FQ54" i="43"/>
  <c r="FR54" i="43"/>
  <c r="FS54" i="43"/>
  <c r="FT54" i="43"/>
  <c r="FU54" i="43"/>
  <c r="FV54" i="43"/>
  <c r="FW54" i="43"/>
  <c r="FX54" i="43"/>
  <c r="FY54" i="43"/>
  <c r="FZ54" i="43"/>
  <c r="GA54" i="43"/>
  <c r="GB54" i="43"/>
  <c r="GC54" i="43"/>
  <c r="GD54" i="43"/>
  <c r="GE54" i="43"/>
  <c r="GF54" i="43"/>
  <c r="GG54" i="43"/>
  <c r="GH54" i="43"/>
  <c r="GI54" i="43"/>
  <c r="GJ54" i="43"/>
  <c r="GK54" i="43"/>
  <c r="GL54" i="43"/>
  <c r="GM54" i="43"/>
  <c r="GN54" i="43"/>
  <c r="GO54" i="43"/>
  <c r="GP54" i="43"/>
  <c r="GQ54" i="43"/>
  <c r="GR54" i="43"/>
  <c r="GS54" i="43"/>
  <c r="GT54" i="43"/>
  <c r="GU54" i="43"/>
  <c r="GV54" i="43"/>
  <c r="GW54" i="43"/>
  <c r="GX54" i="43"/>
  <c r="GY54" i="43"/>
  <c r="GZ54" i="43"/>
  <c r="HA54" i="43"/>
  <c r="HB54" i="43"/>
  <c r="HC54" i="43"/>
  <c r="HD54" i="43"/>
  <c r="HE54" i="43"/>
  <c r="HF54" i="43"/>
  <c r="HG54" i="43"/>
  <c r="HH54" i="43"/>
  <c r="HI54" i="43"/>
  <c r="HJ54" i="43"/>
  <c r="HK54" i="43"/>
  <c r="HL54" i="43"/>
  <c r="HM54" i="43"/>
  <c r="HN54" i="43"/>
  <c r="HO54" i="43"/>
  <c r="HP54" i="43"/>
  <c r="HQ54" i="43"/>
  <c r="HR54" i="43"/>
  <c r="HS54" i="43"/>
  <c r="HT54" i="43"/>
  <c r="HU54" i="43"/>
  <c r="HV54" i="43"/>
  <c r="HW54" i="43"/>
  <c r="HX54" i="43"/>
  <c r="HY54" i="43"/>
  <c r="HZ54" i="43"/>
  <c r="IA54" i="43"/>
  <c r="IB54" i="43"/>
  <c r="IC54" i="43"/>
  <c r="ID54" i="43"/>
  <c r="IE54" i="43"/>
  <c r="IF54" i="43"/>
  <c r="IG54" i="43"/>
  <c r="IH54" i="43"/>
  <c r="II54" i="43"/>
  <c r="IJ54" i="43"/>
  <c r="IK54" i="43"/>
  <c r="IL54" i="43"/>
  <c r="IM54" i="43"/>
  <c r="IN54" i="43"/>
  <c r="IO54" i="43"/>
  <c r="IP54" i="43"/>
  <c r="IQ54" i="43"/>
  <c r="IR54" i="43"/>
  <c r="IS54" i="43"/>
  <c r="IT54" i="43"/>
  <c r="IU54" i="43"/>
  <c r="IV54" i="43"/>
  <c r="A53" i="43"/>
  <c r="B53" i="43"/>
  <c r="C53" i="43"/>
  <c r="D53" i="43"/>
  <c r="E53" i="43"/>
  <c r="F53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AA53" i="43"/>
  <c r="AB53" i="43"/>
  <c r="AC53" i="43"/>
  <c r="AD53" i="43"/>
  <c r="AE53" i="43"/>
  <c r="AF53" i="43"/>
  <c r="AG53" i="43"/>
  <c r="AH53" i="43"/>
  <c r="AI53" i="43"/>
  <c r="AJ53" i="43"/>
  <c r="AK53" i="43"/>
  <c r="AL53" i="43"/>
  <c r="AM53" i="43"/>
  <c r="AN53" i="43"/>
  <c r="AO53" i="43"/>
  <c r="AP53" i="43"/>
  <c r="AQ53" i="43"/>
  <c r="AR53" i="43"/>
  <c r="AS53" i="43"/>
  <c r="AT53" i="43"/>
  <c r="AU53" i="43"/>
  <c r="AV53" i="43"/>
  <c r="AW53" i="43"/>
  <c r="AX53" i="43"/>
  <c r="AY53" i="43"/>
  <c r="AZ53" i="43"/>
  <c r="BA53" i="43"/>
  <c r="BB53" i="43"/>
  <c r="BC53" i="43"/>
  <c r="BD53" i="43"/>
  <c r="BE53" i="43"/>
  <c r="BF53" i="43"/>
  <c r="BG53" i="43"/>
  <c r="BH53" i="43"/>
  <c r="BI53" i="43"/>
  <c r="BJ53" i="43"/>
  <c r="BK53" i="43"/>
  <c r="BL53" i="43"/>
  <c r="BM53" i="43"/>
  <c r="BN53" i="43"/>
  <c r="BO53" i="43"/>
  <c r="BP53" i="43"/>
  <c r="BQ53" i="43"/>
  <c r="BR53" i="43"/>
  <c r="BS53" i="43"/>
  <c r="BT53" i="43"/>
  <c r="BU53" i="43"/>
  <c r="BV53" i="43"/>
  <c r="BW53" i="43"/>
  <c r="BX53" i="43"/>
  <c r="BY53" i="43"/>
  <c r="BZ53" i="43"/>
  <c r="CA53" i="43"/>
  <c r="CB53" i="43"/>
  <c r="CC53" i="43"/>
  <c r="CD53" i="43"/>
  <c r="CE53" i="43"/>
  <c r="CF53" i="43"/>
  <c r="CG53" i="43"/>
  <c r="CH53" i="43"/>
  <c r="CI53" i="43"/>
  <c r="CJ53" i="43"/>
  <c r="CK53" i="43"/>
  <c r="CL53" i="43"/>
  <c r="CM53" i="43"/>
  <c r="CN53" i="43"/>
  <c r="CO53" i="43"/>
  <c r="CP53" i="43"/>
  <c r="CQ53" i="43"/>
  <c r="CR53" i="43"/>
  <c r="CS53" i="43"/>
  <c r="CT53" i="43"/>
  <c r="CU53" i="43"/>
  <c r="CV53" i="43"/>
  <c r="CW53" i="43"/>
  <c r="CX53" i="43"/>
  <c r="CY53" i="43"/>
  <c r="CZ53" i="43"/>
  <c r="DA53" i="43"/>
  <c r="DB53" i="43"/>
  <c r="DC53" i="43"/>
  <c r="DD53" i="43"/>
  <c r="DE53" i="43"/>
  <c r="DF53" i="43"/>
  <c r="DG53" i="43"/>
  <c r="DH53" i="43"/>
  <c r="DI53" i="43"/>
  <c r="DJ53" i="43"/>
  <c r="DK53" i="43"/>
  <c r="DL53" i="43"/>
  <c r="DM53" i="43"/>
  <c r="DN53" i="43"/>
  <c r="DO53" i="43"/>
  <c r="DP53" i="43"/>
  <c r="DQ53" i="43"/>
  <c r="DR53" i="43"/>
  <c r="DS53" i="43"/>
  <c r="DT53" i="43"/>
  <c r="DU53" i="43"/>
  <c r="DV53" i="43"/>
  <c r="DW53" i="43"/>
  <c r="DX53" i="43"/>
  <c r="DY53" i="43"/>
  <c r="DZ53" i="43"/>
  <c r="EA53" i="43"/>
  <c r="EB53" i="43"/>
  <c r="EC53" i="43"/>
  <c r="ED53" i="43"/>
  <c r="EE53" i="43"/>
  <c r="EF53" i="43"/>
  <c r="EG53" i="43"/>
  <c r="EH53" i="43"/>
  <c r="EI53" i="43"/>
  <c r="EJ53" i="43"/>
  <c r="EK53" i="43"/>
  <c r="EL53" i="43"/>
  <c r="EM53" i="43"/>
  <c r="EN53" i="43"/>
  <c r="EO53" i="43"/>
  <c r="EP53" i="43"/>
  <c r="EQ53" i="43"/>
  <c r="ER53" i="43"/>
  <c r="ES53" i="43"/>
  <c r="ET53" i="43"/>
  <c r="EU53" i="43"/>
  <c r="EV53" i="43"/>
  <c r="EW53" i="43"/>
  <c r="EX53" i="43"/>
  <c r="EY53" i="43"/>
  <c r="EZ53" i="43"/>
  <c r="FA53" i="43"/>
  <c r="FB53" i="43"/>
  <c r="FC53" i="43"/>
  <c r="FD53" i="43"/>
  <c r="FE53" i="43"/>
  <c r="FF53" i="43"/>
  <c r="FG53" i="43"/>
  <c r="FH53" i="43"/>
  <c r="FI53" i="43"/>
  <c r="FJ53" i="43"/>
  <c r="FK53" i="43"/>
  <c r="FL53" i="43"/>
  <c r="FM53" i="43"/>
  <c r="FN53" i="43"/>
  <c r="FO53" i="43"/>
  <c r="FP53" i="43"/>
  <c r="FQ53" i="43"/>
  <c r="FR53" i="43"/>
  <c r="FS53" i="43"/>
  <c r="FT53" i="43"/>
  <c r="FU53" i="43"/>
  <c r="FV53" i="43"/>
  <c r="FW53" i="43"/>
  <c r="FX53" i="43"/>
  <c r="FY53" i="43"/>
  <c r="FZ53" i="43"/>
  <c r="GA53" i="43"/>
  <c r="GB53" i="43"/>
  <c r="GC53" i="43"/>
  <c r="GD53" i="43"/>
  <c r="GE53" i="43"/>
  <c r="GF53" i="43"/>
  <c r="GG53" i="43"/>
  <c r="GH53" i="43"/>
  <c r="GI53" i="43"/>
  <c r="GJ53" i="43"/>
  <c r="GK53" i="43"/>
  <c r="GL53" i="43"/>
  <c r="GM53" i="43"/>
  <c r="GN53" i="43"/>
  <c r="GO53" i="43"/>
  <c r="GP53" i="43"/>
  <c r="GQ53" i="43"/>
  <c r="GR53" i="43"/>
  <c r="GS53" i="43"/>
  <c r="GT53" i="43"/>
  <c r="GU53" i="43"/>
  <c r="GV53" i="43"/>
  <c r="GW53" i="43"/>
  <c r="GX53" i="43"/>
  <c r="GY53" i="43"/>
  <c r="GZ53" i="43"/>
  <c r="HA53" i="43"/>
  <c r="HB53" i="43"/>
  <c r="HC53" i="43"/>
  <c r="HD53" i="43"/>
  <c r="HE53" i="43"/>
  <c r="HF53" i="43"/>
  <c r="HG53" i="43"/>
  <c r="HH53" i="43"/>
  <c r="HI53" i="43"/>
  <c r="HJ53" i="43"/>
  <c r="HK53" i="43"/>
  <c r="HL53" i="43"/>
  <c r="HM53" i="43"/>
  <c r="HN53" i="43"/>
  <c r="HO53" i="43"/>
  <c r="HP53" i="43"/>
  <c r="HQ53" i="43"/>
  <c r="HR53" i="43"/>
  <c r="HS53" i="43"/>
  <c r="HT53" i="43"/>
  <c r="HU53" i="43"/>
  <c r="HV53" i="43"/>
  <c r="HW53" i="43"/>
  <c r="HX53" i="43"/>
  <c r="HY53" i="43"/>
  <c r="HZ53" i="43"/>
  <c r="IA53" i="43"/>
  <c r="IB53" i="43"/>
  <c r="IC53" i="43"/>
  <c r="ID53" i="43"/>
  <c r="IE53" i="43"/>
  <c r="IF53" i="43"/>
  <c r="IG53" i="43"/>
  <c r="IH53" i="43"/>
  <c r="II53" i="43"/>
  <c r="IJ53" i="43"/>
  <c r="IK53" i="43"/>
  <c r="IL53" i="43"/>
  <c r="IM53" i="43"/>
  <c r="IN53" i="43"/>
  <c r="IO53" i="43"/>
  <c r="IP53" i="43"/>
  <c r="IQ53" i="43"/>
  <c r="IR53" i="43"/>
  <c r="IS53" i="43"/>
  <c r="IT53" i="43"/>
  <c r="IU53" i="43"/>
  <c r="IV53" i="43"/>
  <c r="A52" i="43"/>
  <c r="B52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AA52" i="43"/>
  <c r="AB52" i="43"/>
  <c r="AC52" i="43"/>
  <c r="AD52" i="43"/>
  <c r="AE52" i="43"/>
  <c r="AF52" i="43"/>
  <c r="AG52" i="43"/>
  <c r="AH52" i="43"/>
  <c r="AI52" i="43"/>
  <c r="AJ52" i="43"/>
  <c r="AK52" i="43"/>
  <c r="AL52" i="43"/>
  <c r="AM52" i="43"/>
  <c r="AN52" i="43"/>
  <c r="AO52" i="43"/>
  <c r="AP52" i="43"/>
  <c r="AQ52" i="43"/>
  <c r="AR52" i="43"/>
  <c r="AS52" i="43"/>
  <c r="AT52" i="43"/>
  <c r="AU52" i="43"/>
  <c r="AV52" i="43"/>
  <c r="AW52" i="43"/>
  <c r="AX52" i="43"/>
  <c r="AY52" i="43"/>
  <c r="AZ52" i="43"/>
  <c r="BA52" i="43"/>
  <c r="BB52" i="43"/>
  <c r="BC52" i="43"/>
  <c r="BD52" i="43"/>
  <c r="BE52" i="43"/>
  <c r="BF52" i="43"/>
  <c r="BG52" i="43"/>
  <c r="BH52" i="43"/>
  <c r="BI52" i="43"/>
  <c r="BJ52" i="43"/>
  <c r="BK52" i="43"/>
  <c r="BL52" i="43"/>
  <c r="BM52" i="43"/>
  <c r="BN52" i="43"/>
  <c r="BO52" i="43"/>
  <c r="BP52" i="43"/>
  <c r="BQ52" i="43"/>
  <c r="BR52" i="43"/>
  <c r="BS52" i="43"/>
  <c r="BT52" i="43"/>
  <c r="BU52" i="43"/>
  <c r="BV52" i="43"/>
  <c r="BW52" i="43"/>
  <c r="BX52" i="43"/>
  <c r="BY52" i="43"/>
  <c r="BZ52" i="43"/>
  <c r="CA52" i="43"/>
  <c r="CB52" i="43"/>
  <c r="CC52" i="43"/>
  <c r="CD52" i="43"/>
  <c r="CE52" i="43"/>
  <c r="CF52" i="43"/>
  <c r="CG52" i="43"/>
  <c r="CH52" i="43"/>
  <c r="CI52" i="43"/>
  <c r="CJ52" i="43"/>
  <c r="CK52" i="43"/>
  <c r="CL52" i="43"/>
  <c r="CM52" i="43"/>
  <c r="CN52" i="43"/>
  <c r="CO52" i="43"/>
  <c r="CP52" i="43"/>
  <c r="CQ52" i="43"/>
  <c r="CR52" i="43"/>
  <c r="CS52" i="43"/>
  <c r="CT52" i="43"/>
  <c r="CU52" i="43"/>
  <c r="CV52" i="43"/>
  <c r="CW52" i="43"/>
  <c r="CX52" i="43"/>
  <c r="CY52" i="43"/>
  <c r="CZ52" i="43"/>
  <c r="DA52" i="43"/>
  <c r="DB52" i="43"/>
  <c r="DC52" i="43"/>
  <c r="DD52" i="43"/>
  <c r="DE52" i="43"/>
  <c r="DF52" i="43"/>
  <c r="DG52" i="43"/>
  <c r="DH52" i="43"/>
  <c r="DI52" i="43"/>
  <c r="DJ52" i="43"/>
  <c r="DK52" i="43"/>
  <c r="DL52" i="43"/>
  <c r="DM52" i="43"/>
  <c r="DN52" i="43"/>
  <c r="DO52" i="43"/>
  <c r="DP52" i="43"/>
  <c r="DQ52" i="43"/>
  <c r="DR52" i="43"/>
  <c r="DS52" i="43"/>
  <c r="DT52" i="43"/>
  <c r="DU52" i="43"/>
  <c r="DV52" i="43"/>
  <c r="DW52" i="43"/>
  <c r="DX52" i="43"/>
  <c r="DY52" i="43"/>
  <c r="DZ52" i="43"/>
  <c r="EA52" i="43"/>
  <c r="EB52" i="43"/>
  <c r="EC52" i="43"/>
  <c r="ED52" i="43"/>
  <c r="EE52" i="43"/>
  <c r="EF52" i="43"/>
  <c r="EG52" i="43"/>
  <c r="EH52" i="43"/>
  <c r="EI52" i="43"/>
  <c r="EJ52" i="43"/>
  <c r="EK52" i="43"/>
  <c r="EL52" i="43"/>
  <c r="EM52" i="43"/>
  <c r="EN52" i="43"/>
  <c r="EO52" i="43"/>
  <c r="EP52" i="43"/>
  <c r="EQ52" i="43"/>
  <c r="ER52" i="43"/>
  <c r="ES52" i="43"/>
  <c r="ET52" i="43"/>
  <c r="EU52" i="43"/>
  <c r="EV52" i="43"/>
  <c r="EW52" i="43"/>
  <c r="EX52" i="43"/>
  <c r="EY52" i="43"/>
  <c r="EZ52" i="43"/>
  <c r="FA52" i="43"/>
  <c r="FB52" i="43"/>
  <c r="FC52" i="43"/>
  <c r="FD52" i="43"/>
  <c r="FE52" i="43"/>
  <c r="FF52" i="43"/>
  <c r="FG52" i="43"/>
  <c r="FH52" i="43"/>
  <c r="FI52" i="43"/>
  <c r="FJ52" i="43"/>
  <c r="FK52" i="43"/>
  <c r="FL52" i="43"/>
  <c r="FM52" i="43"/>
  <c r="FN52" i="43"/>
  <c r="FO52" i="43"/>
  <c r="FP52" i="43"/>
  <c r="FQ52" i="43"/>
  <c r="FR52" i="43"/>
  <c r="FS52" i="43"/>
  <c r="FT52" i="43"/>
  <c r="FU52" i="43"/>
  <c r="FV52" i="43"/>
  <c r="FW52" i="43"/>
  <c r="FX52" i="43"/>
  <c r="FY52" i="43"/>
  <c r="FZ52" i="43"/>
  <c r="GA52" i="43"/>
  <c r="GB52" i="43"/>
  <c r="GC52" i="43"/>
  <c r="GD52" i="43"/>
  <c r="GE52" i="43"/>
  <c r="GF52" i="43"/>
  <c r="GG52" i="43"/>
  <c r="GH52" i="43"/>
  <c r="GI52" i="43"/>
  <c r="GJ52" i="43"/>
  <c r="GK52" i="43"/>
  <c r="GL52" i="43"/>
  <c r="GM52" i="43"/>
  <c r="GN52" i="43"/>
  <c r="GO52" i="43"/>
  <c r="GP52" i="43"/>
  <c r="GQ52" i="43"/>
  <c r="GR52" i="43"/>
  <c r="GS52" i="43"/>
  <c r="GT52" i="43"/>
  <c r="GU52" i="43"/>
  <c r="GV52" i="43"/>
  <c r="GW52" i="43"/>
  <c r="GX52" i="43"/>
  <c r="GY52" i="43"/>
  <c r="GZ52" i="43"/>
  <c r="HA52" i="43"/>
  <c r="HB52" i="43"/>
  <c r="HC52" i="43"/>
  <c r="HD52" i="43"/>
  <c r="HE52" i="43"/>
  <c r="HF52" i="43"/>
  <c r="HG52" i="43"/>
  <c r="HH52" i="43"/>
  <c r="HI52" i="43"/>
  <c r="HJ52" i="43"/>
  <c r="HK52" i="43"/>
  <c r="HL52" i="43"/>
  <c r="HM52" i="43"/>
  <c r="HN52" i="43"/>
  <c r="HO52" i="43"/>
  <c r="HP52" i="43"/>
  <c r="HQ52" i="43"/>
  <c r="HR52" i="43"/>
  <c r="HS52" i="43"/>
  <c r="HT52" i="43"/>
  <c r="HU52" i="43"/>
  <c r="HV52" i="43"/>
  <c r="HW52" i="43"/>
  <c r="HX52" i="43"/>
  <c r="HY52" i="43"/>
  <c r="HZ52" i="43"/>
  <c r="IA52" i="43"/>
  <c r="IB52" i="43"/>
  <c r="IC52" i="43"/>
  <c r="ID52" i="43"/>
  <c r="IE52" i="43"/>
  <c r="IF52" i="43"/>
  <c r="IG52" i="43"/>
  <c r="IH52" i="43"/>
  <c r="II52" i="43"/>
  <c r="IJ52" i="43"/>
  <c r="IK52" i="43"/>
  <c r="IL52" i="43"/>
  <c r="IM52" i="43"/>
  <c r="IN52" i="43"/>
  <c r="IO52" i="43"/>
  <c r="IP52" i="43"/>
  <c r="IQ52" i="43"/>
  <c r="IR52" i="43"/>
  <c r="IS52" i="43"/>
  <c r="IT52" i="43"/>
  <c r="IU52" i="43"/>
  <c r="IV52" i="43"/>
  <c r="A51" i="43"/>
  <c r="B51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AD51" i="43"/>
  <c r="AE51" i="43"/>
  <c r="AF51" i="43"/>
  <c r="AG51" i="43"/>
  <c r="AH51" i="43"/>
  <c r="AI51" i="43"/>
  <c r="AJ51" i="43"/>
  <c r="AK51" i="43"/>
  <c r="AL51" i="43"/>
  <c r="AM51" i="43"/>
  <c r="AN51" i="43"/>
  <c r="AO51" i="43"/>
  <c r="AP51" i="43"/>
  <c r="AQ51" i="43"/>
  <c r="AR51" i="43"/>
  <c r="AS51" i="43"/>
  <c r="AT51" i="43"/>
  <c r="AU51" i="43"/>
  <c r="AV51" i="43"/>
  <c r="AW51" i="43"/>
  <c r="AX51" i="43"/>
  <c r="AY51" i="43"/>
  <c r="AZ51" i="43"/>
  <c r="BA51" i="43"/>
  <c r="BB51" i="43"/>
  <c r="BC51" i="43"/>
  <c r="BD51" i="43"/>
  <c r="BE51" i="43"/>
  <c r="BF51" i="43"/>
  <c r="BG51" i="43"/>
  <c r="BH51" i="43"/>
  <c r="BI51" i="43"/>
  <c r="BJ51" i="43"/>
  <c r="BK51" i="43"/>
  <c r="BL51" i="43"/>
  <c r="BM51" i="43"/>
  <c r="BN51" i="43"/>
  <c r="BO51" i="43"/>
  <c r="BP51" i="43"/>
  <c r="BQ51" i="43"/>
  <c r="BR51" i="43"/>
  <c r="BS51" i="43"/>
  <c r="BT51" i="43"/>
  <c r="BU51" i="43"/>
  <c r="BV51" i="43"/>
  <c r="BW51" i="43"/>
  <c r="BX51" i="43"/>
  <c r="BY51" i="43"/>
  <c r="BZ51" i="43"/>
  <c r="CA51" i="43"/>
  <c r="CB51" i="43"/>
  <c r="CC51" i="43"/>
  <c r="CD51" i="43"/>
  <c r="CE51" i="43"/>
  <c r="CF51" i="43"/>
  <c r="CG51" i="43"/>
  <c r="CH51" i="43"/>
  <c r="CI51" i="43"/>
  <c r="CJ51" i="43"/>
  <c r="CK51" i="43"/>
  <c r="CL51" i="43"/>
  <c r="CM51" i="43"/>
  <c r="CN51" i="43"/>
  <c r="CO51" i="43"/>
  <c r="CP51" i="43"/>
  <c r="CQ51" i="43"/>
  <c r="CR51" i="43"/>
  <c r="CS51" i="43"/>
  <c r="CT51" i="43"/>
  <c r="CU51" i="43"/>
  <c r="CV51" i="43"/>
  <c r="CW51" i="43"/>
  <c r="CX51" i="43"/>
  <c r="CY51" i="43"/>
  <c r="CZ51" i="43"/>
  <c r="DA51" i="43"/>
  <c r="DB51" i="43"/>
  <c r="DC51" i="43"/>
  <c r="DD51" i="43"/>
  <c r="DE51" i="43"/>
  <c r="DF51" i="43"/>
  <c r="DG51" i="43"/>
  <c r="DH51" i="43"/>
  <c r="DI51" i="43"/>
  <c r="DJ51" i="43"/>
  <c r="DK51" i="43"/>
  <c r="DL51" i="43"/>
  <c r="DM51" i="43"/>
  <c r="DN51" i="43"/>
  <c r="DO51" i="43"/>
  <c r="DP51" i="43"/>
  <c r="DQ51" i="43"/>
  <c r="DR51" i="43"/>
  <c r="DS51" i="43"/>
  <c r="DT51" i="43"/>
  <c r="DU51" i="43"/>
  <c r="DV51" i="43"/>
  <c r="DW51" i="43"/>
  <c r="DX51" i="43"/>
  <c r="DY51" i="43"/>
  <c r="DZ51" i="43"/>
  <c r="EA51" i="43"/>
  <c r="EB51" i="43"/>
  <c r="EC51" i="43"/>
  <c r="ED51" i="43"/>
  <c r="EE51" i="43"/>
  <c r="EF51" i="43"/>
  <c r="EG51" i="43"/>
  <c r="EH51" i="43"/>
  <c r="EI51" i="43"/>
  <c r="EJ51" i="43"/>
  <c r="EK51" i="43"/>
  <c r="EL51" i="43"/>
  <c r="EM51" i="43"/>
  <c r="EN51" i="43"/>
  <c r="EO51" i="43"/>
  <c r="EP51" i="43"/>
  <c r="EQ51" i="43"/>
  <c r="ER51" i="43"/>
  <c r="ES51" i="43"/>
  <c r="ET51" i="43"/>
  <c r="EU51" i="43"/>
  <c r="EV51" i="43"/>
  <c r="EW51" i="43"/>
  <c r="EX51" i="43"/>
  <c r="EY51" i="43"/>
  <c r="EZ51" i="43"/>
  <c r="FA51" i="43"/>
  <c r="FB51" i="43"/>
  <c r="FC51" i="43"/>
  <c r="FD51" i="43"/>
  <c r="FE51" i="43"/>
  <c r="FF51" i="43"/>
  <c r="FG51" i="43"/>
  <c r="FH51" i="43"/>
  <c r="FI51" i="43"/>
  <c r="FJ51" i="43"/>
  <c r="FK51" i="43"/>
  <c r="FL51" i="43"/>
  <c r="FM51" i="43"/>
  <c r="FN51" i="43"/>
  <c r="FO51" i="43"/>
  <c r="FP51" i="43"/>
  <c r="FQ51" i="43"/>
  <c r="FR51" i="43"/>
  <c r="FS51" i="43"/>
  <c r="FT51" i="43"/>
  <c r="FU51" i="43"/>
  <c r="FV51" i="43"/>
  <c r="FW51" i="43"/>
  <c r="FX51" i="43"/>
  <c r="FY51" i="43"/>
  <c r="FZ51" i="43"/>
  <c r="GA51" i="43"/>
  <c r="GB51" i="43"/>
  <c r="GC51" i="43"/>
  <c r="GD51" i="43"/>
  <c r="GE51" i="43"/>
  <c r="GF51" i="43"/>
  <c r="GG51" i="43"/>
  <c r="GH51" i="43"/>
  <c r="GI51" i="43"/>
  <c r="GJ51" i="43"/>
  <c r="GK51" i="43"/>
  <c r="GL51" i="43"/>
  <c r="GM51" i="43"/>
  <c r="GN51" i="43"/>
  <c r="GO51" i="43"/>
  <c r="GP51" i="43"/>
  <c r="GQ51" i="43"/>
  <c r="GR51" i="43"/>
  <c r="GS51" i="43"/>
  <c r="GT51" i="43"/>
  <c r="GU51" i="43"/>
  <c r="GV51" i="43"/>
  <c r="GW51" i="43"/>
  <c r="GX51" i="43"/>
  <c r="GY51" i="43"/>
  <c r="GZ51" i="43"/>
  <c r="HA51" i="43"/>
  <c r="HB51" i="43"/>
  <c r="HC51" i="43"/>
  <c r="HD51" i="43"/>
  <c r="HE51" i="43"/>
  <c r="HF51" i="43"/>
  <c r="HG51" i="43"/>
  <c r="HH51" i="43"/>
  <c r="HI51" i="43"/>
  <c r="HJ51" i="43"/>
  <c r="HK51" i="43"/>
  <c r="HL51" i="43"/>
  <c r="HM51" i="43"/>
  <c r="HN51" i="43"/>
  <c r="HO51" i="43"/>
  <c r="HP51" i="43"/>
  <c r="HQ51" i="43"/>
  <c r="HR51" i="43"/>
  <c r="HS51" i="43"/>
  <c r="HT51" i="43"/>
  <c r="HU51" i="43"/>
  <c r="HV51" i="43"/>
  <c r="HW51" i="43"/>
  <c r="HX51" i="43"/>
  <c r="HY51" i="43"/>
  <c r="HZ51" i="43"/>
  <c r="IA51" i="43"/>
  <c r="IB51" i="43"/>
  <c r="IC51" i="43"/>
  <c r="ID51" i="43"/>
  <c r="IE51" i="43"/>
  <c r="IF51" i="43"/>
  <c r="IG51" i="43"/>
  <c r="IH51" i="43"/>
  <c r="II51" i="43"/>
  <c r="IJ51" i="43"/>
  <c r="IK51" i="43"/>
  <c r="IL51" i="43"/>
  <c r="IM51" i="43"/>
  <c r="IN51" i="43"/>
  <c r="IO51" i="43"/>
  <c r="IP51" i="43"/>
  <c r="IQ51" i="43"/>
  <c r="IR51" i="43"/>
  <c r="IS51" i="43"/>
  <c r="IT51" i="43"/>
  <c r="IU51" i="43"/>
  <c r="IV51" i="43"/>
  <c r="A50" i="43"/>
  <c r="B50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AD50" i="43"/>
  <c r="AE50" i="43"/>
  <c r="AF50" i="43"/>
  <c r="AG50" i="43"/>
  <c r="AH50" i="43"/>
  <c r="AI50" i="43"/>
  <c r="AJ50" i="43"/>
  <c r="AK50" i="43"/>
  <c r="AL50" i="43"/>
  <c r="AM50" i="43"/>
  <c r="AN50" i="43"/>
  <c r="AO50" i="43"/>
  <c r="AP50" i="43"/>
  <c r="AQ50" i="43"/>
  <c r="AR50" i="43"/>
  <c r="AS50" i="43"/>
  <c r="AT50" i="43"/>
  <c r="AU50" i="43"/>
  <c r="AV50" i="43"/>
  <c r="AW50" i="43"/>
  <c r="AX50" i="43"/>
  <c r="AY50" i="43"/>
  <c r="AZ50" i="43"/>
  <c r="BA50" i="43"/>
  <c r="BB50" i="43"/>
  <c r="BC50" i="43"/>
  <c r="BD50" i="43"/>
  <c r="BE50" i="43"/>
  <c r="BF50" i="43"/>
  <c r="BG50" i="43"/>
  <c r="BH50" i="43"/>
  <c r="BI50" i="43"/>
  <c r="BJ50" i="43"/>
  <c r="BK50" i="43"/>
  <c r="BL50" i="43"/>
  <c r="BM50" i="43"/>
  <c r="BN50" i="43"/>
  <c r="BO50" i="43"/>
  <c r="BP50" i="43"/>
  <c r="BQ50" i="43"/>
  <c r="BR50" i="43"/>
  <c r="BS50" i="43"/>
  <c r="BT50" i="43"/>
  <c r="BU50" i="43"/>
  <c r="BV50" i="43"/>
  <c r="BW50" i="43"/>
  <c r="BX50" i="43"/>
  <c r="BY50" i="43"/>
  <c r="BZ50" i="43"/>
  <c r="CA50" i="43"/>
  <c r="CB50" i="43"/>
  <c r="CC50" i="43"/>
  <c r="CD50" i="43"/>
  <c r="CE50" i="43"/>
  <c r="CF50" i="43"/>
  <c r="CG50" i="43"/>
  <c r="CH50" i="43"/>
  <c r="CI50" i="43"/>
  <c r="CJ50" i="43"/>
  <c r="CK50" i="43"/>
  <c r="CL50" i="43"/>
  <c r="CM50" i="43"/>
  <c r="CN50" i="43"/>
  <c r="CO50" i="43"/>
  <c r="CP50" i="43"/>
  <c r="CQ50" i="43"/>
  <c r="CR50" i="43"/>
  <c r="CS50" i="43"/>
  <c r="CT50" i="43"/>
  <c r="CU50" i="43"/>
  <c r="CV50" i="43"/>
  <c r="CW50" i="43"/>
  <c r="CX50" i="43"/>
  <c r="CY50" i="43"/>
  <c r="CZ50" i="43"/>
  <c r="DA50" i="43"/>
  <c r="DB50" i="43"/>
  <c r="DC50" i="43"/>
  <c r="DD50" i="43"/>
  <c r="DE50" i="43"/>
  <c r="DF50" i="43"/>
  <c r="DG50" i="43"/>
  <c r="DH50" i="43"/>
  <c r="DI50" i="43"/>
  <c r="DJ50" i="43"/>
  <c r="DK50" i="43"/>
  <c r="DL50" i="43"/>
  <c r="DM50" i="43"/>
  <c r="DN50" i="43"/>
  <c r="DO50" i="43"/>
  <c r="DP50" i="43"/>
  <c r="DQ50" i="43"/>
  <c r="DR50" i="43"/>
  <c r="DS50" i="43"/>
  <c r="DT50" i="43"/>
  <c r="DU50" i="43"/>
  <c r="DV50" i="43"/>
  <c r="DW50" i="43"/>
  <c r="DX50" i="43"/>
  <c r="DY50" i="43"/>
  <c r="DZ50" i="43"/>
  <c r="EA50" i="43"/>
  <c r="EB50" i="43"/>
  <c r="EC50" i="43"/>
  <c r="ED50" i="43"/>
  <c r="EE50" i="43"/>
  <c r="EF50" i="43"/>
  <c r="EG50" i="43"/>
  <c r="EH50" i="43"/>
  <c r="EI50" i="43"/>
  <c r="EJ50" i="43"/>
  <c r="EK50" i="43"/>
  <c r="EL50" i="43"/>
  <c r="EM50" i="43"/>
  <c r="EN50" i="43"/>
  <c r="EO50" i="43"/>
  <c r="EP50" i="43"/>
  <c r="EQ50" i="43"/>
  <c r="ER50" i="43"/>
  <c r="ES50" i="43"/>
  <c r="ET50" i="43"/>
  <c r="EU50" i="43"/>
  <c r="EV50" i="43"/>
  <c r="EW50" i="43"/>
  <c r="EX50" i="43"/>
  <c r="EY50" i="43"/>
  <c r="EZ50" i="43"/>
  <c r="FA50" i="43"/>
  <c r="FB50" i="43"/>
  <c r="FC50" i="43"/>
  <c r="FD50" i="43"/>
  <c r="FE50" i="43"/>
  <c r="FF50" i="43"/>
  <c r="FG50" i="43"/>
  <c r="FH50" i="43"/>
  <c r="FI50" i="43"/>
  <c r="FJ50" i="43"/>
  <c r="FK50" i="43"/>
  <c r="FL50" i="43"/>
  <c r="FM50" i="43"/>
  <c r="FN50" i="43"/>
  <c r="FO50" i="43"/>
  <c r="FP50" i="43"/>
  <c r="FQ50" i="43"/>
  <c r="FR50" i="43"/>
  <c r="FS50" i="43"/>
  <c r="FT50" i="43"/>
  <c r="FU50" i="43"/>
  <c r="FV50" i="43"/>
  <c r="FW50" i="43"/>
  <c r="FX50" i="43"/>
  <c r="FY50" i="43"/>
  <c r="FZ50" i="43"/>
  <c r="GA50" i="43"/>
  <c r="GB50" i="43"/>
  <c r="GC50" i="43"/>
  <c r="GD50" i="43"/>
  <c r="GE50" i="43"/>
  <c r="GF50" i="43"/>
  <c r="GG50" i="43"/>
  <c r="GH50" i="43"/>
  <c r="GI50" i="43"/>
  <c r="GJ50" i="43"/>
  <c r="GK50" i="43"/>
  <c r="GL50" i="43"/>
  <c r="GM50" i="43"/>
  <c r="GN50" i="43"/>
  <c r="GO50" i="43"/>
  <c r="GP50" i="43"/>
  <c r="GQ50" i="43"/>
  <c r="GR50" i="43"/>
  <c r="GS50" i="43"/>
  <c r="GT50" i="43"/>
  <c r="GU50" i="43"/>
  <c r="GV50" i="43"/>
  <c r="GW50" i="43"/>
  <c r="GX50" i="43"/>
  <c r="GY50" i="43"/>
  <c r="GZ50" i="43"/>
  <c r="HA50" i="43"/>
  <c r="HB50" i="43"/>
  <c r="HC50" i="43"/>
  <c r="HD50" i="43"/>
  <c r="HE50" i="43"/>
  <c r="HF50" i="43"/>
  <c r="HG50" i="43"/>
  <c r="HH50" i="43"/>
  <c r="HI50" i="43"/>
  <c r="HJ50" i="43"/>
  <c r="HK50" i="43"/>
  <c r="HL50" i="43"/>
  <c r="HM50" i="43"/>
  <c r="HN50" i="43"/>
  <c r="HO50" i="43"/>
  <c r="HP50" i="43"/>
  <c r="HQ50" i="43"/>
  <c r="HR50" i="43"/>
  <c r="HS50" i="43"/>
  <c r="HT50" i="43"/>
  <c r="HU50" i="43"/>
  <c r="HV50" i="43"/>
  <c r="HW50" i="43"/>
  <c r="HX50" i="43"/>
  <c r="HY50" i="43"/>
  <c r="HZ50" i="43"/>
  <c r="IA50" i="43"/>
  <c r="IB50" i="43"/>
  <c r="IC50" i="43"/>
  <c r="ID50" i="43"/>
  <c r="IE50" i="43"/>
  <c r="IF50" i="43"/>
  <c r="IG50" i="43"/>
  <c r="IH50" i="43"/>
  <c r="II50" i="43"/>
  <c r="IJ50" i="43"/>
  <c r="IK50" i="43"/>
  <c r="IL50" i="43"/>
  <c r="IM50" i="43"/>
  <c r="IN50" i="43"/>
  <c r="IO50" i="43"/>
  <c r="IP50" i="43"/>
  <c r="IQ50" i="43"/>
  <c r="IR50" i="43"/>
  <c r="IS50" i="43"/>
  <c r="IT50" i="43"/>
  <c r="IU50" i="43"/>
  <c r="IV50" i="43"/>
  <c r="A49" i="43"/>
  <c r="B49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AA49" i="43"/>
  <c r="AB49" i="43"/>
  <c r="AC49" i="43"/>
  <c r="AD49" i="43"/>
  <c r="AE49" i="43"/>
  <c r="AF49" i="43"/>
  <c r="AG49" i="43"/>
  <c r="AH49" i="43"/>
  <c r="AI49" i="43"/>
  <c r="AJ49" i="43"/>
  <c r="AK49" i="43"/>
  <c r="AL49" i="43"/>
  <c r="AM49" i="43"/>
  <c r="AN49" i="43"/>
  <c r="AO49" i="43"/>
  <c r="AP49" i="43"/>
  <c r="AQ49" i="43"/>
  <c r="AR49" i="43"/>
  <c r="AS49" i="43"/>
  <c r="AT49" i="43"/>
  <c r="AU49" i="43"/>
  <c r="AV49" i="43"/>
  <c r="AW49" i="43"/>
  <c r="AX49" i="43"/>
  <c r="AY49" i="43"/>
  <c r="AZ49" i="43"/>
  <c r="BA49" i="43"/>
  <c r="BB49" i="43"/>
  <c r="BC49" i="43"/>
  <c r="BD49" i="43"/>
  <c r="BE49" i="43"/>
  <c r="BF49" i="43"/>
  <c r="BG49" i="43"/>
  <c r="BH49" i="43"/>
  <c r="BI49" i="43"/>
  <c r="BJ49" i="43"/>
  <c r="BK49" i="43"/>
  <c r="BL49" i="43"/>
  <c r="BM49" i="43"/>
  <c r="BN49" i="43"/>
  <c r="BO49" i="43"/>
  <c r="BP49" i="43"/>
  <c r="BQ49" i="43"/>
  <c r="BR49" i="43"/>
  <c r="BS49" i="43"/>
  <c r="BT49" i="43"/>
  <c r="BU49" i="43"/>
  <c r="BV49" i="43"/>
  <c r="BW49" i="43"/>
  <c r="BX49" i="43"/>
  <c r="BY49" i="43"/>
  <c r="BZ49" i="43"/>
  <c r="CA49" i="43"/>
  <c r="CB49" i="43"/>
  <c r="CC49" i="43"/>
  <c r="CD49" i="43"/>
  <c r="CE49" i="43"/>
  <c r="CF49" i="43"/>
  <c r="CG49" i="43"/>
  <c r="CH49" i="43"/>
  <c r="CI49" i="43"/>
  <c r="CJ49" i="43"/>
  <c r="CK49" i="43"/>
  <c r="CL49" i="43"/>
  <c r="CM49" i="43"/>
  <c r="CN49" i="43"/>
  <c r="CO49" i="43"/>
  <c r="CP49" i="43"/>
  <c r="CQ49" i="43"/>
  <c r="CR49" i="43"/>
  <c r="CS49" i="43"/>
  <c r="CT49" i="43"/>
  <c r="CU49" i="43"/>
  <c r="CV49" i="43"/>
  <c r="CW49" i="43"/>
  <c r="CX49" i="43"/>
  <c r="CY49" i="43"/>
  <c r="CZ49" i="43"/>
  <c r="DA49" i="43"/>
  <c r="DB49" i="43"/>
  <c r="DC49" i="43"/>
  <c r="DD49" i="43"/>
  <c r="DE49" i="43"/>
  <c r="DF49" i="43"/>
  <c r="DG49" i="43"/>
  <c r="DH49" i="43"/>
  <c r="DI49" i="43"/>
  <c r="DJ49" i="43"/>
  <c r="DK49" i="43"/>
  <c r="DL49" i="43"/>
  <c r="DM49" i="43"/>
  <c r="DN49" i="43"/>
  <c r="DO49" i="43"/>
  <c r="DP49" i="43"/>
  <c r="DQ49" i="43"/>
  <c r="DR49" i="43"/>
  <c r="DS49" i="43"/>
  <c r="DT49" i="43"/>
  <c r="DU49" i="43"/>
  <c r="DV49" i="43"/>
  <c r="DW49" i="43"/>
  <c r="DX49" i="43"/>
  <c r="DY49" i="43"/>
  <c r="DZ49" i="43"/>
  <c r="EA49" i="43"/>
  <c r="EB49" i="43"/>
  <c r="EC49" i="43"/>
  <c r="ED49" i="43"/>
  <c r="EE49" i="43"/>
  <c r="EF49" i="43"/>
  <c r="EG49" i="43"/>
  <c r="EH49" i="43"/>
  <c r="EI49" i="43"/>
  <c r="EJ49" i="43"/>
  <c r="EK49" i="43"/>
  <c r="EL49" i="43"/>
  <c r="EM49" i="43"/>
  <c r="EN49" i="43"/>
  <c r="EO49" i="43"/>
  <c r="EP49" i="43"/>
  <c r="EQ49" i="43"/>
  <c r="ER49" i="43"/>
  <c r="ES49" i="43"/>
  <c r="ET49" i="43"/>
  <c r="EU49" i="43"/>
  <c r="EV49" i="43"/>
  <c r="EW49" i="43"/>
  <c r="EX49" i="43"/>
  <c r="EY49" i="43"/>
  <c r="EZ49" i="43"/>
  <c r="FA49" i="43"/>
  <c r="FB49" i="43"/>
  <c r="FC49" i="43"/>
  <c r="FD49" i="43"/>
  <c r="FE49" i="43"/>
  <c r="FF49" i="43"/>
  <c r="FG49" i="43"/>
  <c r="FH49" i="43"/>
  <c r="FI49" i="43"/>
  <c r="FJ49" i="43"/>
  <c r="FK49" i="43"/>
  <c r="FL49" i="43"/>
  <c r="FM49" i="43"/>
  <c r="FN49" i="43"/>
  <c r="FO49" i="43"/>
  <c r="FP49" i="43"/>
  <c r="FQ49" i="43"/>
  <c r="FR49" i="43"/>
  <c r="FS49" i="43"/>
  <c r="FT49" i="43"/>
  <c r="FU49" i="43"/>
  <c r="FV49" i="43"/>
  <c r="FW49" i="43"/>
  <c r="FX49" i="43"/>
  <c r="FY49" i="43"/>
  <c r="FZ49" i="43"/>
  <c r="GA49" i="43"/>
  <c r="GB49" i="43"/>
  <c r="GC49" i="43"/>
  <c r="GD49" i="43"/>
  <c r="GE49" i="43"/>
  <c r="GF49" i="43"/>
  <c r="GG49" i="43"/>
  <c r="GH49" i="43"/>
  <c r="GI49" i="43"/>
  <c r="GJ49" i="43"/>
  <c r="GK49" i="43"/>
  <c r="GL49" i="43"/>
  <c r="GM49" i="43"/>
  <c r="GN49" i="43"/>
  <c r="GO49" i="43"/>
  <c r="GP49" i="43"/>
  <c r="GQ49" i="43"/>
  <c r="GR49" i="43"/>
  <c r="GS49" i="43"/>
  <c r="GT49" i="43"/>
  <c r="GU49" i="43"/>
  <c r="GV49" i="43"/>
  <c r="GW49" i="43"/>
  <c r="GX49" i="43"/>
  <c r="GY49" i="43"/>
  <c r="GZ49" i="43"/>
  <c r="HA49" i="43"/>
  <c r="HB49" i="43"/>
  <c r="HC49" i="43"/>
  <c r="HD49" i="43"/>
  <c r="HE49" i="43"/>
  <c r="HF49" i="43"/>
  <c r="HG49" i="43"/>
  <c r="HH49" i="43"/>
  <c r="HI49" i="43"/>
  <c r="HJ49" i="43"/>
  <c r="HK49" i="43"/>
  <c r="HL49" i="43"/>
  <c r="HM49" i="43"/>
  <c r="HN49" i="43"/>
  <c r="HO49" i="43"/>
  <c r="HP49" i="43"/>
  <c r="HQ49" i="43"/>
  <c r="HR49" i="43"/>
  <c r="HS49" i="43"/>
  <c r="HT49" i="43"/>
  <c r="HU49" i="43"/>
  <c r="HV49" i="43"/>
  <c r="HW49" i="43"/>
  <c r="HX49" i="43"/>
  <c r="HY49" i="43"/>
  <c r="HZ49" i="43"/>
  <c r="IA49" i="43"/>
  <c r="IB49" i="43"/>
  <c r="IC49" i="43"/>
  <c r="ID49" i="43"/>
  <c r="IE49" i="43"/>
  <c r="IF49" i="43"/>
  <c r="IG49" i="43"/>
  <c r="IH49" i="43"/>
  <c r="II49" i="43"/>
  <c r="IJ49" i="43"/>
  <c r="IK49" i="43"/>
  <c r="IL49" i="43"/>
  <c r="IM49" i="43"/>
  <c r="IN49" i="43"/>
  <c r="IO49" i="43"/>
  <c r="IP49" i="43"/>
  <c r="IQ49" i="43"/>
  <c r="IR49" i="43"/>
  <c r="IS49" i="43"/>
  <c r="IT49" i="43"/>
  <c r="IU49" i="43"/>
  <c r="IV49" i="43"/>
  <c r="A48" i="43"/>
  <c r="B48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AA48" i="43"/>
  <c r="AB48" i="43"/>
  <c r="AC48" i="43"/>
  <c r="AD48" i="43"/>
  <c r="AE48" i="43"/>
  <c r="AF48" i="43"/>
  <c r="AG48" i="43"/>
  <c r="AH48" i="43"/>
  <c r="AI48" i="43"/>
  <c r="AJ48" i="43"/>
  <c r="AK48" i="43"/>
  <c r="AL48" i="43"/>
  <c r="AM48" i="43"/>
  <c r="AN48" i="43"/>
  <c r="AO48" i="43"/>
  <c r="AP48" i="43"/>
  <c r="AQ48" i="43"/>
  <c r="AR48" i="43"/>
  <c r="AS48" i="43"/>
  <c r="AT48" i="43"/>
  <c r="AU48" i="43"/>
  <c r="AV48" i="43"/>
  <c r="AW48" i="43"/>
  <c r="AX48" i="43"/>
  <c r="AY48" i="43"/>
  <c r="AZ48" i="43"/>
  <c r="BA48" i="43"/>
  <c r="BB48" i="43"/>
  <c r="BC48" i="43"/>
  <c r="BD48" i="43"/>
  <c r="BE48" i="43"/>
  <c r="BF48" i="43"/>
  <c r="BG48" i="43"/>
  <c r="BH48" i="43"/>
  <c r="BI48" i="43"/>
  <c r="BJ48" i="43"/>
  <c r="BK48" i="43"/>
  <c r="BL48" i="43"/>
  <c r="BM48" i="43"/>
  <c r="BN48" i="43"/>
  <c r="BO48" i="43"/>
  <c r="BP48" i="43"/>
  <c r="BQ48" i="43"/>
  <c r="BR48" i="43"/>
  <c r="BS48" i="43"/>
  <c r="BT48" i="43"/>
  <c r="BU48" i="43"/>
  <c r="BV48" i="43"/>
  <c r="BW48" i="43"/>
  <c r="BX48" i="43"/>
  <c r="BY48" i="43"/>
  <c r="BZ48" i="43"/>
  <c r="CA48" i="43"/>
  <c r="CB48" i="43"/>
  <c r="CC48" i="43"/>
  <c r="CD48" i="43"/>
  <c r="CE48" i="43"/>
  <c r="CF48" i="43"/>
  <c r="CG48" i="43"/>
  <c r="CH48" i="43"/>
  <c r="CI48" i="43"/>
  <c r="CJ48" i="43"/>
  <c r="CK48" i="43"/>
  <c r="CL48" i="43"/>
  <c r="CM48" i="43"/>
  <c r="CN48" i="43"/>
  <c r="CO48" i="43"/>
  <c r="CP48" i="43"/>
  <c r="CQ48" i="43"/>
  <c r="CR48" i="43"/>
  <c r="CS48" i="43"/>
  <c r="CT48" i="43"/>
  <c r="CU48" i="43"/>
  <c r="CV48" i="43"/>
  <c r="CW48" i="43"/>
  <c r="CX48" i="43"/>
  <c r="CY48" i="43"/>
  <c r="CZ48" i="43"/>
  <c r="DA48" i="43"/>
  <c r="DB48" i="43"/>
  <c r="DC48" i="43"/>
  <c r="DD48" i="43"/>
  <c r="DE48" i="43"/>
  <c r="DF48" i="43"/>
  <c r="DG48" i="43"/>
  <c r="DH48" i="43"/>
  <c r="DI48" i="43"/>
  <c r="DJ48" i="43"/>
  <c r="DK48" i="43"/>
  <c r="DL48" i="43"/>
  <c r="DM48" i="43"/>
  <c r="DN48" i="43"/>
  <c r="DO48" i="43"/>
  <c r="DP48" i="43"/>
  <c r="DQ48" i="43"/>
  <c r="DR48" i="43"/>
  <c r="DS48" i="43"/>
  <c r="DT48" i="43"/>
  <c r="DU48" i="43"/>
  <c r="DV48" i="43"/>
  <c r="DW48" i="43"/>
  <c r="DX48" i="43"/>
  <c r="DY48" i="43"/>
  <c r="DZ48" i="43"/>
  <c r="EA48" i="43"/>
  <c r="EB48" i="43"/>
  <c r="EC48" i="43"/>
  <c r="ED48" i="43"/>
  <c r="EE48" i="43"/>
  <c r="EF48" i="43"/>
  <c r="EG48" i="43"/>
  <c r="EH48" i="43"/>
  <c r="EI48" i="43"/>
  <c r="EJ48" i="43"/>
  <c r="EK48" i="43"/>
  <c r="EL48" i="43"/>
  <c r="EM48" i="43"/>
  <c r="EN48" i="43"/>
  <c r="EO48" i="43"/>
  <c r="EP48" i="43"/>
  <c r="EQ48" i="43"/>
  <c r="ER48" i="43"/>
  <c r="ES48" i="43"/>
  <c r="ET48" i="43"/>
  <c r="EU48" i="43"/>
  <c r="EV48" i="43"/>
  <c r="EW48" i="43"/>
  <c r="EX48" i="43"/>
  <c r="EY48" i="43"/>
  <c r="EZ48" i="43"/>
  <c r="FA48" i="43"/>
  <c r="FB48" i="43"/>
  <c r="FC48" i="43"/>
  <c r="FD48" i="43"/>
  <c r="FE48" i="43"/>
  <c r="FF48" i="43"/>
  <c r="FG48" i="43"/>
  <c r="FH48" i="43"/>
  <c r="FI48" i="43"/>
  <c r="FJ48" i="43"/>
  <c r="FK48" i="43"/>
  <c r="FL48" i="43"/>
  <c r="FM48" i="43"/>
  <c r="FN48" i="43"/>
  <c r="FO48" i="43"/>
  <c r="FP48" i="43"/>
  <c r="FQ48" i="43"/>
  <c r="FR48" i="43"/>
  <c r="FS48" i="43"/>
  <c r="FT48" i="43"/>
  <c r="FU48" i="43"/>
  <c r="FV48" i="43"/>
  <c r="FW48" i="43"/>
  <c r="FX48" i="43"/>
  <c r="FY48" i="43"/>
  <c r="FZ48" i="43"/>
  <c r="GA48" i="43"/>
  <c r="GB48" i="43"/>
  <c r="GC48" i="43"/>
  <c r="GD48" i="43"/>
  <c r="GE48" i="43"/>
  <c r="GF48" i="43"/>
  <c r="GG48" i="43"/>
  <c r="GH48" i="43"/>
  <c r="GI48" i="43"/>
  <c r="GJ48" i="43"/>
  <c r="GK48" i="43"/>
  <c r="GL48" i="43"/>
  <c r="GM48" i="43"/>
  <c r="GN48" i="43"/>
  <c r="GO48" i="43"/>
  <c r="GP48" i="43"/>
  <c r="GQ48" i="43"/>
  <c r="GR48" i="43"/>
  <c r="GS48" i="43"/>
  <c r="GT48" i="43"/>
  <c r="GU48" i="43"/>
  <c r="GV48" i="43"/>
  <c r="GW48" i="43"/>
  <c r="GX48" i="43"/>
  <c r="GY48" i="43"/>
  <c r="GZ48" i="43"/>
  <c r="HA48" i="43"/>
  <c r="HB48" i="43"/>
  <c r="HC48" i="43"/>
  <c r="HD48" i="43"/>
  <c r="HE48" i="43"/>
  <c r="HF48" i="43"/>
  <c r="HG48" i="43"/>
  <c r="HH48" i="43"/>
  <c r="HI48" i="43"/>
  <c r="HJ48" i="43"/>
  <c r="HK48" i="43"/>
  <c r="HL48" i="43"/>
  <c r="HM48" i="43"/>
  <c r="HN48" i="43"/>
  <c r="HO48" i="43"/>
  <c r="HP48" i="43"/>
  <c r="HQ48" i="43"/>
  <c r="HR48" i="43"/>
  <c r="HS48" i="43"/>
  <c r="HT48" i="43"/>
  <c r="HU48" i="43"/>
  <c r="HV48" i="43"/>
  <c r="HW48" i="43"/>
  <c r="HX48" i="43"/>
  <c r="HY48" i="43"/>
  <c r="HZ48" i="43"/>
  <c r="IA48" i="43"/>
  <c r="IB48" i="43"/>
  <c r="IC48" i="43"/>
  <c r="ID48" i="43"/>
  <c r="IE48" i="43"/>
  <c r="IF48" i="43"/>
  <c r="IG48" i="43"/>
  <c r="IH48" i="43"/>
  <c r="II48" i="43"/>
  <c r="IJ48" i="43"/>
  <c r="IK48" i="43"/>
  <c r="IL48" i="43"/>
  <c r="IM48" i="43"/>
  <c r="IN48" i="43"/>
  <c r="IO48" i="43"/>
  <c r="IP48" i="43"/>
  <c r="IQ48" i="43"/>
  <c r="IR48" i="43"/>
  <c r="IS48" i="43"/>
  <c r="IT48" i="43"/>
  <c r="IU48" i="43"/>
  <c r="IV48" i="43"/>
  <c r="A47" i="43"/>
  <c r="B47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AA47" i="43"/>
  <c r="AB47" i="43"/>
  <c r="AC47" i="43"/>
  <c r="AD47" i="43"/>
  <c r="AE47" i="43"/>
  <c r="AF47" i="43"/>
  <c r="AG47" i="43"/>
  <c r="AH47" i="43"/>
  <c r="AI47" i="43"/>
  <c r="AJ47" i="43"/>
  <c r="AK47" i="43"/>
  <c r="AL47" i="43"/>
  <c r="AM47" i="43"/>
  <c r="AN47" i="43"/>
  <c r="AO47" i="43"/>
  <c r="AP47" i="43"/>
  <c r="AQ47" i="43"/>
  <c r="AR47" i="43"/>
  <c r="AS47" i="43"/>
  <c r="AT47" i="43"/>
  <c r="AU47" i="43"/>
  <c r="AV47" i="43"/>
  <c r="AW47" i="43"/>
  <c r="AX47" i="43"/>
  <c r="AY47" i="43"/>
  <c r="AZ47" i="43"/>
  <c r="BA47" i="43"/>
  <c r="BB47" i="43"/>
  <c r="BC47" i="43"/>
  <c r="BD47" i="43"/>
  <c r="BE47" i="43"/>
  <c r="BF47" i="43"/>
  <c r="BG47" i="43"/>
  <c r="BH47" i="43"/>
  <c r="BI47" i="43"/>
  <c r="BJ47" i="43"/>
  <c r="BK47" i="43"/>
  <c r="BL47" i="43"/>
  <c r="BM47" i="43"/>
  <c r="BN47" i="43"/>
  <c r="BO47" i="43"/>
  <c r="BP47" i="43"/>
  <c r="BQ47" i="43"/>
  <c r="BR47" i="43"/>
  <c r="BS47" i="43"/>
  <c r="BT47" i="43"/>
  <c r="BU47" i="43"/>
  <c r="BV47" i="43"/>
  <c r="BW47" i="43"/>
  <c r="BX47" i="43"/>
  <c r="BY47" i="43"/>
  <c r="BZ47" i="43"/>
  <c r="CA47" i="43"/>
  <c r="CB47" i="43"/>
  <c r="CC47" i="43"/>
  <c r="CD47" i="43"/>
  <c r="CE47" i="43"/>
  <c r="CF47" i="43"/>
  <c r="CG47" i="43"/>
  <c r="CH47" i="43"/>
  <c r="CI47" i="43"/>
  <c r="CJ47" i="43"/>
  <c r="CK47" i="43"/>
  <c r="CL47" i="43"/>
  <c r="CM47" i="43"/>
  <c r="CN47" i="43"/>
  <c r="CO47" i="43"/>
  <c r="CP47" i="43"/>
  <c r="CQ47" i="43"/>
  <c r="CR47" i="43"/>
  <c r="CS47" i="43"/>
  <c r="CT47" i="43"/>
  <c r="CU47" i="43"/>
  <c r="CV47" i="43"/>
  <c r="CW47" i="43"/>
  <c r="CX47" i="43"/>
  <c r="CY47" i="43"/>
  <c r="CZ47" i="43"/>
  <c r="DA47" i="43"/>
  <c r="DB47" i="43"/>
  <c r="DC47" i="43"/>
  <c r="DD47" i="43"/>
  <c r="DE47" i="43"/>
  <c r="DF47" i="43"/>
  <c r="DG47" i="43"/>
  <c r="DH47" i="43"/>
  <c r="DI47" i="43"/>
  <c r="DJ47" i="43"/>
  <c r="DK47" i="43"/>
  <c r="DL47" i="43"/>
  <c r="DM47" i="43"/>
  <c r="DN47" i="43"/>
  <c r="DO47" i="43"/>
  <c r="DP47" i="43"/>
  <c r="DQ47" i="43"/>
  <c r="DR47" i="43"/>
  <c r="DS47" i="43"/>
  <c r="DT47" i="43"/>
  <c r="DU47" i="43"/>
  <c r="DV47" i="43"/>
  <c r="DW47" i="43"/>
  <c r="DX47" i="43"/>
  <c r="DY47" i="43"/>
  <c r="DZ47" i="43"/>
  <c r="EA47" i="43"/>
  <c r="EB47" i="43"/>
  <c r="EC47" i="43"/>
  <c r="ED47" i="43"/>
  <c r="EE47" i="43"/>
  <c r="EF47" i="43"/>
  <c r="EG47" i="43"/>
  <c r="EH47" i="43"/>
  <c r="EI47" i="43"/>
  <c r="EJ47" i="43"/>
  <c r="EK47" i="43"/>
  <c r="EL47" i="43"/>
  <c r="EM47" i="43"/>
  <c r="EN47" i="43"/>
  <c r="EO47" i="43"/>
  <c r="EP47" i="43"/>
  <c r="EQ47" i="43"/>
  <c r="ER47" i="43"/>
  <c r="ES47" i="43"/>
  <c r="ET47" i="43"/>
  <c r="EU47" i="43"/>
  <c r="EV47" i="43"/>
  <c r="EW47" i="43"/>
  <c r="EX47" i="43"/>
  <c r="EY47" i="43"/>
  <c r="EZ47" i="43"/>
  <c r="FA47" i="43"/>
  <c r="FB47" i="43"/>
  <c r="FC47" i="43"/>
  <c r="FD47" i="43"/>
  <c r="FE47" i="43"/>
  <c r="FF47" i="43"/>
  <c r="FG47" i="43"/>
  <c r="FH47" i="43"/>
  <c r="FI47" i="43"/>
  <c r="FJ47" i="43"/>
  <c r="FK47" i="43"/>
  <c r="FL47" i="43"/>
  <c r="FM47" i="43"/>
  <c r="FN47" i="43"/>
  <c r="FO47" i="43"/>
  <c r="FP47" i="43"/>
  <c r="FQ47" i="43"/>
  <c r="FR47" i="43"/>
  <c r="FS47" i="43"/>
  <c r="FT47" i="43"/>
  <c r="FU47" i="43"/>
  <c r="FV47" i="43"/>
  <c r="FW47" i="43"/>
  <c r="FX47" i="43"/>
  <c r="FY47" i="43"/>
  <c r="FZ47" i="43"/>
  <c r="GA47" i="43"/>
  <c r="GB47" i="43"/>
  <c r="GC47" i="43"/>
  <c r="GD47" i="43"/>
  <c r="GE47" i="43"/>
  <c r="GF47" i="43"/>
  <c r="GG47" i="43"/>
  <c r="GH47" i="43"/>
  <c r="GI47" i="43"/>
  <c r="GJ47" i="43"/>
  <c r="GK47" i="43"/>
  <c r="GL47" i="43"/>
  <c r="GM47" i="43"/>
  <c r="GN47" i="43"/>
  <c r="GO47" i="43"/>
  <c r="GP47" i="43"/>
  <c r="GQ47" i="43"/>
  <c r="GR47" i="43"/>
  <c r="GS47" i="43"/>
  <c r="GT47" i="43"/>
  <c r="GU47" i="43"/>
  <c r="GV47" i="43"/>
  <c r="GW47" i="43"/>
  <c r="GX47" i="43"/>
  <c r="GY47" i="43"/>
  <c r="GZ47" i="43"/>
  <c r="HA47" i="43"/>
  <c r="HB47" i="43"/>
  <c r="HC47" i="43"/>
  <c r="HD47" i="43"/>
  <c r="HE47" i="43"/>
  <c r="HF47" i="43"/>
  <c r="HG47" i="43"/>
  <c r="HH47" i="43"/>
  <c r="HI47" i="43"/>
  <c r="HJ47" i="43"/>
  <c r="HK47" i="43"/>
  <c r="HL47" i="43"/>
  <c r="HM47" i="43"/>
  <c r="HN47" i="43"/>
  <c r="HO47" i="43"/>
  <c r="HP47" i="43"/>
  <c r="HQ47" i="43"/>
  <c r="HR47" i="43"/>
  <c r="HS47" i="43"/>
  <c r="HT47" i="43"/>
  <c r="HU47" i="43"/>
  <c r="HV47" i="43"/>
  <c r="HW47" i="43"/>
  <c r="HX47" i="43"/>
  <c r="HY47" i="43"/>
  <c r="HZ47" i="43"/>
  <c r="IA47" i="43"/>
  <c r="IB47" i="43"/>
  <c r="IC47" i="43"/>
  <c r="ID47" i="43"/>
  <c r="IE47" i="43"/>
  <c r="IF47" i="43"/>
  <c r="IG47" i="43"/>
  <c r="IH47" i="43"/>
  <c r="II47" i="43"/>
  <c r="IJ47" i="43"/>
  <c r="IK47" i="43"/>
  <c r="IL47" i="43"/>
  <c r="IM47" i="43"/>
  <c r="IN47" i="43"/>
  <c r="IO47" i="43"/>
  <c r="IP47" i="43"/>
  <c r="IQ47" i="43"/>
  <c r="IR47" i="43"/>
  <c r="IS47" i="43"/>
  <c r="IT47" i="43"/>
  <c r="IU47" i="43"/>
  <c r="IV47" i="43"/>
  <c r="A46" i="43"/>
  <c r="B46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AE46" i="43"/>
  <c r="AF46" i="43"/>
  <c r="AG46" i="43"/>
  <c r="AH46" i="43"/>
  <c r="AI46" i="43"/>
  <c r="AJ46" i="43"/>
  <c r="AK46" i="43"/>
  <c r="AL46" i="43"/>
  <c r="AM46" i="43"/>
  <c r="AN46" i="43"/>
  <c r="AO46" i="43"/>
  <c r="AP46" i="43"/>
  <c r="AQ46" i="43"/>
  <c r="AR46" i="43"/>
  <c r="AS46" i="43"/>
  <c r="AT46" i="43"/>
  <c r="AU46" i="43"/>
  <c r="AV46" i="43"/>
  <c r="AW46" i="43"/>
  <c r="AX46" i="43"/>
  <c r="AY46" i="43"/>
  <c r="AZ46" i="43"/>
  <c r="BA46" i="43"/>
  <c r="BB46" i="43"/>
  <c r="BC46" i="43"/>
  <c r="BD46" i="43"/>
  <c r="BE46" i="43"/>
  <c r="BF46" i="43"/>
  <c r="BG46" i="43"/>
  <c r="BH46" i="43"/>
  <c r="BI46" i="43"/>
  <c r="BJ46" i="43"/>
  <c r="BK46" i="43"/>
  <c r="BL46" i="43"/>
  <c r="BM46" i="43"/>
  <c r="BN46" i="43"/>
  <c r="BO46" i="43"/>
  <c r="BP46" i="43"/>
  <c r="BQ46" i="43"/>
  <c r="BR46" i="43"/>
  <c r="BS46" i="43"/>
  <c r="BT46" i="43"/>
  <c r="BU46" i="43"/>
  <c r="BV46" i="43"/>
  <c r="BW46" i="43"/>
  <c r="BX46" i="43"/>
  <c r="BY46" i="43"/>
  <c r="BZ46" i="43"/>
  <c r="CA46" i="43"/>
  <c r="CB46" i="43"/>
  <c r="CC46" i="43"/>
  <c r="CD46" i="43"/>
  <c r="CE46" i="43"/>
  <c r="CF46" i="43"/>
  <c r="CG46" i="43"/>
  <c r="CH46" i="43"/>
  <c r="CI46" i="43"/>
  <c r="CJ46" i="43"/>
  <c r="CK46" i="43"/>
  <c r="CL46" i="43"/>
  <c r="CM46" i="43"/>
  <c r="CN46" i="43"/>
  <c r="CO46" i="43"/>
  <c r="CP46" i="43"/>
  <c r="CQ46" i="43"/>
  <c r="CR46" i="43"/>
  <c r="CS46" i="43"/>
  <c r="CT46" i="43"/>
  <c r="CU46" i="43"/>
  <c r="CV46" i="43"/>
  <c r="CW46" i="43"/>
  <c r="CX46" i="43"/>
  <c r="CY46" i="43"/>
  <c r="CZ46" i="43"/>
  <c r="DA46" i="43"/>
  <c r="DB46" i="43"/>
  <c r="DC46" i="43"/>
  <c r="DD46" i="43"/>
  <c r="DE46" i="43"/>
  <c r="DF46" i="43"/>
  <c r="DG46" i="43"/>
  <c r="DH46" i="43"/>
  <c r="DI46" i="43"/>
  <c r="DJ46" i="43"/>
  <c r="DK46" i="43"/>
  <c r="DL46" i="43"/>
  <c r="DM46" i="43"/>
  <c r="DN46" i="43"/>
  <c r="DO46" i="43"/>
  <c r="DP46" i="43"/>
  <c r="DQ46" i="43"/>
  <c r="DR46" i="43"/>
  <c r="DS46" i="43"/>
  <c r="DT46" i="43"/>
  <c r="DU46" i="43"/>
  <c r="DV46" i="43"/>
  <c r="DW46" i="43"/>
  <c r="DX46" i="43"/>
  <c r="DY46" i="43"/>
  <c r="DZ46" i="43"/>
  <c r="EA46" i="43"/>
  <c r="EB46" i="43"/>
  <c r="EC46" i="43"/>
  <c r="ED46" i="43"/>
  <c r="EE46" i="43"/>
  <c r="EF46" i="43"/>
  <c r="EG46" i="43"/>
  <c r="EH46" i="43"/>
  <c r="EI46" i="43"/>
  <c r="EJ46" i="43"/>
  <c r="EK46" i="43"/>
  <c r="EL46" i="43"/>
  <c r="EM46" i="43"/>
  <c r="EN46" i="43"/>
  <c r="EO46" i="43"/>
  <c r="EP46" i="43"/>
  <c r="EQ46" i="43"/>
  <c r="ER46" i="43"/>
  <c r="ES46" i="43"/>
  <c r="ET46" i="43"/>
  <c r="EU46" i="43"/>
  <c r="EV46" i="43"/>
  <c r="EW46" i="43"/>
  <c r="EX46" i="43"/>
  <c r="EY46" i="43"/>
  <c r="EZ46" i="43"/>
  <c r="FA46" i="43"/>
  <c r="FB46" i="43"/>
  <c r="FC46" i="43"/>
  <c r="FD46" i="43"/>
  <c r="FE46" i="43"/>
  <c r="FF46" i="43"/>
  <c r="FG46" i="43"/>
  <c r="FH46" i="43"/>
  <c r="FI46" i="43"/>
  <c r="FJ46" i="43"/>
  <c r="FK46" i="43"/>
  <c r="FL46" i="43"/>
  <c r="FM46" i="43"/>
  <c r="FN46" i="43"/>
  <c r="FO46" i="43"/>
  <c r="FP46" i="43"/>
  <c r="FQ46" i="43"/>
  <c r="FR46" i="43"/>
  <c r="FS46" i="43"/>
  <c r="FT46" i="43"/>
  <c r="FU46" i="43"/>
  <c r="FV46" i="43"/>
  <c r="FW46" i="43"/>
  <c r="FX46" i="43"/>
  <c r="FY46" i="43"/>
  <c r="FZ46" i="43"/>
  <c r="GA46" i="43"/>
  <c r="GB46" i="43"/>
  <c r="GC46" i="43"/>
  <c r="GD46" i="43"/>
  <c r="GE46" i="43"/>
  <c r="GF46" i="43"/>
  <c r="GG46" i="43"/>
  <c r="GH46" i="43"/>
  <c r="GI46" i="43"/>
  <c r="GJ46" i="43"/>
  <c r="GK46" i="43"/>
  <c r="GL46" i="43"/>
  <c r="GM46" i="43"/>
  <c r="GN46" i="43"/>
  <c r="GO46" i="43"/>
  <c r="GP46" i="43"/>
  <c r="GQ46" i="43"/>
  <c r="GR46" i="43"/>
  <c r="GS46" i="43"/>
  <c r="GT46" i="43"/>
  <c r="GU46" i="43"/>
  <c r="GV46" i="43"/>
  <c r="GW46" i="43"/>
  <c r="GX46" i="43"/>
  <c r="GY46" i="43"/>
  <c r="GZ46" i="43"/>
  <c r="HA46" i="43"/>
  <c r="HB46" i="43"/>
  <c r="HC46" i="43"/>
  <c r="HD46" i="43"/>
  <c r="HE46" i="43"/>
  <c r="HF46" i="43"/>
  <c r="HG46" i="43"/>
  <c r="HH46" i="43"/>
  <c r="HI46" i="43"/>
  <c r="HJ46" i="43"/>
  <c r="HK46" i="43"/>
  <c r="HL46" i="43"/>
  <c r="HM46" i="43"/>
  <c r="HN46" i="43"/>
  <c r="HO46" i="43"/>
  <c r="HP46" i="43"/>
  <c r="HQ46" i="43"/>
  <c r="HR46" i="43"/>
  <c r="HS46" i="43"/>
  <c r="HT46" i="43"/>
  <c r="HU46" i="43"/>
  <c r="HV46" i="43"/>
  <c r="HW46" i="43"/>
  <c r="HX46" i="43"/>
  <c r="HY46" i="43"/>
  <c r="HZ46" i="43"/>
  <c r="IA46" i="43"/>
  <c r="IB46" i="43"/>
  <c r="IC46" i="43"/>
  <c r="ID46" i="43"/>
  <c r="IE46" i="43"/>
  <c r="IF46" i="43"/>
  <c r="IG46" i="43"/>
  <c r="IH46" i="43"/>
  <c r="II46" i="43"/>
  <c r="IJ46" i="43"/>
  <c r="IK46" i="43"/>
  <c r="IL46" i="43"/>
  <c r="IM46" i="43"/>
  <c r="IN46" i="43"/>
  <c r="IO46" i="43"/>
  <c r="IP46" i="43"/>
  <c r="IQ46" i="43"/>
  <c r="IR46" i="43"/>
  <c r="IS46" i="43"/>
  <c r="IT46" i="43"/>
  <c r="IU46" i="43"/>
  <c r="IV46" i="43"/>
  <c r="A45" i="43"/>
  <c r="B45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AE45" i="43"/>
  <c r="AF45" i="43"/>
  <c r="AG45" i="43"/>
  <c r="AH45" i="43"/>
  <c r="AI45" i="43"/>
  <c r="AJ45" i="43"/>
  <c r="AK45" i="43"/>
  <c r="AL45" i="43"/>
  <c r="AM45" i="43"/>
  <c r="AN45" i="43"/>
  <c r="AO45" i="43"/>
  <c r="AP45" i="43"/>
  <c r="AQ45" i="43"/>
  <c r="AR45" i="43"/>
  <c r="AS45" i="43"/>
  <c r="AT45" i="43"/>
  <c r="AU45" i="43"/>
  <c r="AV45" i="43"/>
  <c r="AW45" i="43"/>
  <c r="AX45" i="43"/>
  <c r="AY45" i="43"/>
  <c r="AZ45" i="43"/>
  <c r="BA45" i="43"/>
  <c r="BB45" i="43"/>
  <c r="BC45" i="43"/>
  <c r="BD45" i="43"/>
  <c r="BE45" i="43"/>
  <c r="BF45" i="43"/>
  <c r="BG45" i="43"/>
  <c r="BH45" i="43"/>
  <c r="BI45" i="43"/>
  <c r="BJ45" i="43"/>
  <c r="BK45" i="43"/>
  <c r="BL45" i="43"/>
  <c r="BM45" i="43"/>
  <c r="BN45" i="43"/>
  <c r="BO45" i="43"/>
  <c r="BP45" i="43"/>
  <c r="BQ45" i="43"/>
  <c r="BR45" i="43"/>
  <c r="BS45" i="43"/>
  <c r="BT45" i="43"/>
  <c r="BU45" i="43"/>
  <c r="BV45" i="43"/>
  <c r="BW45" i="43"/>
  <c r="BX45" i="43"/>
  <c r="BY45" i="43"/>
  <c r="BZ45" i="43"/>
  <c r="CA45" i="43"/>
  <c r="CB45" i="43"/>
  <c r="CC45" i="43"/>
  <c r="CD45" i="43"/>
  <c r="CE45" i="43"/>
  <c r="CF45" i="43"/>
  <c r="CG45" i="43"/>
  <c r="CH45" i="43"/>
  <c r="CI45" i="43"/>
  <c r="CJ45" i="43"/>
  <c r="CK45" i="43"/>
  <c r="CL45" i="43"/>
  <c r="CM45" i="43"/>
  <c r="CN45" i="43"/>
  <c r="CO45" i="43"/>
  <c r="CP45" i="43"/>
  <c r="CQ45" i="43"/>
  <c r="CR45" i="43"/>
  <c r="CS45" i="43"/>
  <c r="CT45" i="43"/>
  <c r="CU45" i="43"/>
  <c r="CV45" i="43"/>
  <c r="CW45" i="43"/>
  <c r="CX45" i="43"/>
  <c r="CY45" i="43"/>
  <c r="CZ45" i="43"/>
  <c r="DA45" i="43"/>
  <c r="DB45" i="43"/>
  <c r="DC45" i="43"/>
  <c r="DD45" i="43"/>
  <c r="DE45" i="43"/>
  <c r="DF45" i="43"/>
  <c r="DG45" i="43"/>
  <c r="DH45" i="43"/>
  <c r="DI45" i="43"/>
  <c r="DJ45" i="43"/>
  <c r="DK45" i="43"/>
  <c r="DL45" i="43"/>
  <c r="DM45" i="43"/>
  <c r="DN45" i="43"/>
  <c r="DO45" i="43"/>
  <c r="DP45" i="43"/>
  <c r="DQ45" i="43"/>
  <c r="DR45" i="43"/>
  <c r="DS45" i="43"/>
  <c r="DT45" i="43"/>
  <c r="DU45" i="43"/>
  <c r="DV45" i="43"/>
  <c r="DW45" i="43"/>
  <c r="DX45" i="43"/>
  <c r="DY45" i="43"/>
  <c r="DZ45" i="43"/>
  <c r="EA45" i="43"/>
  <c r="EB45" i="43"/>
  <c r="EC45" i="43"/>
  <c r="ED45" i="43"/>
  <c r="EE45" i="43"/>
  <c r="EF45" i="43"/>
  <c r="EG45" i="43"/>
  <c r="EH45" i="43"/>
  <c r="EI45" i="43"/>
  <c r="EJ45" i="43"/>
  <c r="EK45" i="43"/>
  <c r="EL45" i="43"/>
  <c r="EM45" i="43"/>
  <c r="EN45" i="43"/>
  <c r="EO45" i="43"/>
  <c r="EP45" i="43"/>
  <c r="EQ45" i="43"/>
  <c r="ER45" i="43"/>
  <c r="ES45" i="43"/>
  <c r="ET45" i="43"/>
  <c r="EU45" i="43"/>
  <c r="EV45" i="43"/>
  <c r="EW45" i="43"/>
  <c r="EX45" i="43"/>
  <c r="EY45" i="43"/>
  <c r="EZ45" i="43"/>
  <c r="FA45" i="43"/>
  <c r="FB45" i="43"/>
  <c r="FC45" i="43"/>
  <c r="FD45" i="43"/>
  <c r="FE45" i="43"/>
  <c r="FF45" i="43"/>
  <c r="FG45" i="43"/>
  <c r="FH45" i="43"/>
  <c r="FI45" i="43"/>
  <c r="FJ45" i="43"/>
  <c r="FK45" i="43"/>
  <c r="FL45" i="43"/>
  <c r="FM45" i="43"/>
  <c r="FN45" i="43"/>
  <c r="FO45" i="43"/>
  <c r="FP45" i="43"/>
  <c r="FQ45" i="43"/>
  <c r="FR45" i="43"/>
  <c r="FS45" i="43"/>
  <c r="FT45" i="43"/>
  <c r="FU45" i="43"/>
  <c r="FV45" i="43"/>
  <c r="FW45" i="43"/>
  <c r="FX45" i="43"/>
  <c r="FY45" i="43"/>
  <c r="FZ45" i="43"/>
  <c r="GA45" i="43"/>
  <c r="GB45" i="43"/>
  <c r="GC45" i="43"/>
  <c r="GD45" i="43"/>
  <c r="GE45" i="43"/>
  <c r="GF45" i="43"/>
  <c r="GG45" i="43"/>
  <c r="GH45" i="43"/>
  <c r="GI45" i="43"/>
  <c r="GJ45" i="43"/>
  <c r="GK45" i="43"/>
  <c r="GL45" i="43"/>
  <c r="GM45" i="43"/>
  <c r="GN45" i="43"/>
  <c r="GO45" i="43"/>
  <c r="GP45" i="43"/>
  <c r="GQ45" i="43"/>
  <c r="GR45" i="43"/>
  <c r="GS45" i="43"/>
  <c r="GT45" i="43"/>
  <c r="GU45" i="43"/>
  <c r="GV45" i="43"/>
  <c r="GW45" i="43"/>
  <c r="GX45" i="43"/>
  <c r="GY45" i="43"/>
  <c r="GZ45" i="43"/>
  <c r="HA45" i="43"/>
  <c r="HB45" i="43"/>
  <c r="HC45" i="43"/>
  <c r="HD45" i="43"/>
  <c r="HE45" i="43"/>
  <c r="HF45" i="43"/>
  <c r="HG45" i="43"/>
  <c r="HH45" i="43"/>
  <c r="HI45" i="43"/>
  <c r="HJ45" i="43"/>
  <c r="HK45" i="43"/>
  <c r="HL45" i="43"/>
  <c r="HM45" i="43"/>
  <c r="HN45" i="43"/>
  <c r="HO45" i="43"/>
  <c r="HP45" i="43"/>
  <c r="HQ45" i="43"/>
  <c r="HR45" i="43"/>
  <c r="HS45" i="43"/>
  <c r="HT45" i="43"/>
  <c r="HU45" i="43"/>
  <c r="HV45" i="43"/>
  <c r="HW45" i="43"/>
  <c r="HX45" i="43"/>
  <c r="HY45" i="43"/>
  <c r="HZ45" i="43"/>
  <c r="IA45" i="43"/>
  <c r="IB45" i="43"/>
  <c r="IC45" i="43"/>
  <c r="ID45" i="43"/>
  <c r="IE45" i="43"/>
  <c r="IF45" i="43"/>
  <c r="IG45" i="43"/>
  <c r="IH45" i="43"/>
  <c r="II45" i="43"/>
  <c r="IJ45" i="43"/>
  <c r="IK45" i="43"/>
  <c r="IL45" i="43"/>
  <c r="IM45" i="43"/>
  <c r="IN45" i="43"/>
  <c r="IO45" i="43"/>
  <c r="IP45" i="43"/>
  <c r="IQ45" i="43"/>
  <c r="IR45" i="43"/>
  <c r="IS45" i="43"/>
  <c r="IT45" i="43"/>
  <c r="IU45" i="43"/>
  <c r="IV45" i="43"/>
  <c r="A44" i="43"/>
  <c r="B44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AJ44" i="43"/>
  <c r="AK44" i="43"/>
  <c r="AL44" i="43"/>
  <c r="AM44" i="43"/>
  <c r="AN44" i="43"/>
  <c r="AO44" i="43"/>
  <c r="AP44" i="43"/>
  <c r="AQ44" i="43"/>
  <c r="AR44" i="43"/>
  <c r="AS44" i="43"/>
  <c r="AT44" i="43"/>
  <c r="AU44" i="43"/>
  <c r="AV44" i="43"/>
  <c r="AW44" i="43"/>
  <c r="AX44" i="43"/>
  <c r="AY44" i="43"/>
  <c r="AZ44" i="43"/>
  <c r="BA44" i="43"/>
  <c r="BB44" i="43"/>
  <c r="BC44" i="43"/>
  <c r="BD44" i="43"/>
  <c r="BE44" i="43"/>
  <c r="BF44" i="43"/>
  <c r="BG44" i="43"/>
  <c r="BH44" i="43"/>
  <c r="BI44" i="43"/>
  <c r="BJ44" i="43"/>
  <c r="BK44" i="43"/>
  <c r="BL44" i="43"/>
  <c r="BM44" i="43"/>
  <c r="BN44" i="43"/>
  <c r="BO44" i="43"/>
  <c r="BP44" i="43"/>
  <c r="BQ44" i="43"/>
  <c r="BR44" i="43"/>
  <c r="BS44" i="43"/>
  <c r="BT44" i="43"/>
  <c r="BU44" i="43"/>
  <c r="BV44" i="43"/>
  <c r="BW44" i="43"/>
  <c r="BX44" i="43"/>
  <c r="BY44" i="43"/>
  <c r="BZ44" i="43"/>
  <c r="CA44" i="43"/>
  <c r="CB44" i="43"/>
  <c r="CC44" i="43"/>
  <c r="CD44" i="43"/>
  <c r="CE44" i="43"/>
  <c r="CF44" i="43"/>
  <c r="CG44" i="43"/>
  <c r="CH44" i="43"/>
  <c r="CI44" i="43"/>
  <c r="CJ44" i="43"/>
  <c r="CK44" i="43"/>
  <c r="CL44" i="43"/>
  <c r="CM44" i="43"/>
  <c r="CN44" i="43"/>
  <c r="CO44" i="43"/>
  <c r="CP44" i="43"/>
  <c r="CQ44" i="43"/>
  <c r="CR44" i="43"/>
  <c r="CS44" i="43"/>
  <c r="CT44" i="43"/>
  <c r="CU44" i="43"/>
  <c r="CV44" i="43"/>
  <c r="CW44" i="43"/>
  <c r="CX44" i="43"/>
  <c r="CY44" i="43"/>
  <c r="CZ44" i="43"/>
  <c r="DA44" i="43"/>
  <c r="DB44" i="43"/>
  <c r="DC44" i="43"/>
  <c r="DD44" i="43"/>
  <c r="DE44" i="43"/>
  <c r="DF44" i="43"/>
  <c r="DG44" i="43"/>
  <c r="DH44" i="43"/>
  <c r="DI44" i="43"/>
  <c r="DJ44" i="43"/>
  <c r="DK44" i="43"/>
  <c r="DL44" i="43"/>
  <c r="DM44" i="43"/>
  <c r="DN44" i="43"/>
  <c r="DO44" i="43"/>
  <c r="DP44" i="43"/>
  <c r="DQ44" i="43"/>
  <c r="DR44" i="43"/>
  <c r="DS44" i="43"/>
  <c r="DT44" i="43"/>
  <c r="DU44" i="43"/>
  <c r="DV44" i="43"/>
  <c r="DW44" i="43"/>
  <c r="DX44" i="43"/>
  <c r="DY44" i="43"/>
  <c r="DZ44" i="43"/>
  <c r="EA44" i="43"/>
  <c r="EB44" i="43"/>
  <c r="EC44" i="43"/>
  <c r="ED44" i="43"/>
  <c r="EE44" i="43"/>
  <c r="EF44" i="43"/>
  <c r="EG44" i="43"/>
  <c r="EH44" i="43"/>
  <c r="EI44" i="43"/>
  <c r="EJ44" i="43"/>
  <c r="EK44" i="43"/>
  <c r="EL44" i="43"/>
  <c r="EM44" i="43"/>
  <c r="EN44" i="43"/>
  <c r="EO44" i="43"/>
  <c r="EP44" i="43"/>
  <c r="EQ44" i="43"/>
  <c r="ER44" i="43"/>
  <c r="ES44" i="43"/>
  <c r="ET44" i="43"/>
  <c r="EU44" i="43"/>
  <c r="EV44" i="43"/>
  <c r="EW44" i="43"/>
  <c r="EX44" i="43"/>
  <c r="EY44" i="43"/>
  <c r="EZ44" i="43"/>
  <c r="FA44" i="43"/>
  <c r="FB44" i="43"/>
  <c r="FC44" i="43"/>
  <c r="FD44" i="43"/>
  <c r="FE44" i="43"/>
  <c r="FF44" i="43"/>
  <c r="FG44" i="43"/>
  <c r="FH44" i="43"/>
  <c r="FI44" i="43"/>
  <c r="FJ44" i="43"/>
  <c r="FK44" i="43"/>
  <c r="FL44" i="43"/>
  <c r="FM44" i="43"/>
  <c r="FN44" i="43"/>
  <c r="FO44" i="43"/>
  <c r="FP44" i="43"/>
  <c r="FQ44" i="43"/>
  <c r="FR44" i="43"/>
  <c r="FS44" i="43"/>
  <c r="FT44" i="43"/>
  <c r="FU44" i="43"/>
  <c r="FV44" i="43"/>
  <c r="FW44" i="43"/>
  <c r="FX44" i="43"/>
  <c r="FY44" i="43"/>
  <c r="FZ44" i="43"/>
  <c r="GA44" i="43"/>
  <c r="GB44" i="43"/>
  <c r="GC44" i="43"/>
  <c r="GD44" i="43"/>
  <c r="GE44" i="43"/>
  <c r="GF44" i="43"/>
  <c r="GG44" i="43"/>
  <c r="GH44" i="43"/>
  <c r="GI44" i="43"/>
  <c r="GJ44" i="43"/>
  <c r="GK44" i="43"/>
  <c r="GL44" i="43"/>
  <c r="GM44" i="43"/>
  <c r="GN44" i="43"/>
  <c r="GO44" i="43"/>
  <c r="GP44" i="43"/>
  <c r="GQ44" i="43"/>
  <c r="GR44" i="43"/>
  <c r="GS44" i="43"/>
  <c r="GT44" i="43"/>
  <c r="GU44" i="43"/>
  <c r="GV44" i="43"/>
  <c r="GW44" i="43"/>
  <c r="GX44" i="43"/>
  <c r="GY44" i="43"/>
  <c r="GZ44" i="43"/>
  <c r="HA44" i="43"/>
  <c r="HB44" i="43"/>
  <c r="HC44" i="43"/>
  <c r="HD44" i="43"/>
  <c r="HE44" i="43"/>
  <c r="HF44" i="43"/>
  <c r="HG44" i="43"/>
  <c r="HH44" i="43"/>
  <c r="HI44" i="43"/>
  <c r="HJ44" i="43"/>
  <c r="HK44" i="43"/>
  <c r="HL44" i="43"/>
  <c r="HM44" i="43"/>
  <c r="HN44" i="43"/>
  <c r="HO44" i="43"/>
  <c r="HP44" i="43"/>
  <c r="HQ44" i="43"/>
  <c r="HR44" i="43"/>
  <c r="HS44" i="43"/>
  <c r="HT44" i="43"/>
  <c r="HU44" i="43"/>
  <c r="HV44" i="43"/>
  <c r="HW44" i="43"/>
  <c r="HX44" i="43"/>
  <c r="HY44" i="43"/>
  <c r="HZ44" i="43"/>
  <c r="IA44" i="43"/>
  <c r="IB44" i="43"/>
  <c r="IC44" i="43"/>
  <c r="ID44" i="43"/>
  <c r="IE44" i="43"/>
  <c r="IF44" i="43"/>
  <c r="IG44" i="43"/>
  <c r="IH44" i="43"/>
  <c r="II44" i="43"/>
  <c r="IJ44" i="43"/>
  <c r="IK44" i="43"/>
  <c r="IL44" i="43"/>
  <c r="IM44" i="43"/>
  <c r="IN44" i="43"/>
  <c r="IO44" i="43"/>
  <c r="IP44" i="43"/>
  <c r="IQ44" i="43"/>
  <c r="IR44" i="43"/>
  <c r="IS44" i="43"/>
  <c r="IT44" i="43"/>
  <c r="IU44" i="43"/>
  <c r="IV44" i="43"/>
  <c r="A43" i="43"/>
  <c r="B43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AE43" i="43"/>
  <c r="AF43" i="43"/>
  <c r="AG43" i="43"/>
  <c r="AH43" i="43"/>
  <c r="AI43" i="43"/>
  <c r="AJ43" i="43"/>
  <c r="AK43" i="43"/>
  <c r="AL43" i="43"/>
  <c r="AM43" i="43"/>
  <c r="AN43" i="43"/>
  <c r="AO43" i="43"/>
  <c r="AP43" i="43"/>
  <c r="AQ43" i="43"/>
  <c r="AR43" i="43"/>
  <c r="AS43" i="43"/>
  <c r="AT43" i="43"/>
  <c r="AU43" i="43"/>
  <c r="AV43" i="43"/>
  <c r="AW43" i="43"/>
  <c r="AX43" i="43"/>
  <c r="AY43" i="43"/>
  <c r="AZ43" i="43"/>
  <c r="BA43" i="43"/>
  <c r="BB43" i="43"/>
  <c r="BC43" i="43"/>
  <c r="BD43" i="43"/>
  <c r="BE43" i="43"/>
  <c r="BF43" i="43"/>
  <c r="BG43" i="43"/>
  <c r="BH43" i="43"/>
  <c r="BI43" i="43"/>
  <c r="BJ43" i="43"/>
  <c r="BK43" i="43"/>
  <c r="BL43" i="43"/>
  <c r="BM43" i="43"/>
  <c r="BN43" i="43"/>
  <c r="BO43" i="43"/>
  <c r="BP43" i="43"/>
  <c r="BQ43" i="43"/>
  <c r="BR43" i="43"/>
  <c r="BS43" i="43"/>
  <c r="BT43" i="43"/>
  <c r="BU43" i="43"/>
  <c r="BV43" i="43"/>
  <c r="BW43" i="43"/>
  <c r="BX43" i="43"/>
  <c r="BY43" i="43"/>
  <c r="BZ43" i="43"/>
  <c r="CA43" i="43"/>
  <c r="CB43" i="43"/>
  <c r="CC43" i="43"/>
  <c r="CD43" i="43"/>
  <c r="CE43" i="43"/>
  <c r="CF43" i="43"/>
  <c r="CG43" i="43"/>
  <c r="CH43" i="43"/>
  <c r="CI43" i="43"/>
  <c r="CJ43" i="43"/>
  <c r="CK43" i="43"/>
  <c r="CL43" i="43"/>
  <c r="CM43" i="43"/>
  <c r="CN43" i="43"/>
  <c r="CO43" i="43"/>
  <c r="CP43" i="43"/>
  <c r="CQ43" i="43"/>
  <c r="CR43" i="43"/>
  <c r="CS43" i="43"/>
  <c r="CT43" i="43"/>
  <c r="CU43" i="43"/>
  <c r="CV43" i="43"/>
  <c r="CW43" i="43"/>
  <c r="CX43" i="43"/>
  <c r="CY43" i="43"/>
  <c r="CZ43" i="43"/>
  <c r="DA43" i="43"/>
  <c r="DB43" i="43"/>
  <c r="DC43" i="43"/>
  <c r="DD43" i="43"/>
  <c r="DE43" i="43"/>
  <c r="DF43" i="43"/>
  <c r="DG43" i="43"/>
  <c r="DH43" i="43"/>
  <c r="DI43" i="43"/>
  <c r="DJ43" i="43"/>
  <c r="DK43" i="43"/>
  <c r="DL43" i="43"/>
  <c r="DM43" i="43"/>
  <c r="DN43" i="43"/>
  <c r="DO43" i="43"/>
  <c r="DP43" i="43"/>
  <c r="DQ43" i="43"/>
  <c r="DR43" i="43"/>
  <c r="DS43" i="43"/>
  <c r="DT43" i="43"/>
  <c r="DU43" i="43"/>
  <c r="DV43" i="43"/>
  <c r="DW43" i="43"/>
  <c r="DX43" i="43"/>
  <c r="DY43" i="43"/>
  <c r="DZ43" i="43"/>
  <c r="EA43" i="43"/>
  <c r="EB43" i="43"/>
  <c r="EC43" i="43"/>
  <c r="ED43" i="43"/>
  <c r="EE43" i="43"/>
  <c r="EF43" i="43"/>
  <c r="EG43" i="43"/>
  <c r="EH43" i="43"/>
  <c r="EI43" i="43"/>
  <c r="EJ43" i="43"/>
  <c r="EK43" i="43"/>
  <c r="EL43" i="43"/>
  <c r="EM43" i="43"/>
  <c r="EN43" i="43"/>
  <c r="EO43" i="43"/>
  <c r="EP43" i="43"/>
  <c r="EQ43" i="43"/>
  <c r="ER43" i="43"/>
  <c r="ES43" i="43"/>
  <c r="ET43" i="43"/>
  <c r="EU43" i="43"/>
  <c r="EV43" i="43"/>
  <c r="EW43" i="43"/>
  <c r="EX43" i="43"/>
  <c r="EY43" i="43"/>
  <c r="EZ43" i="43"/>
  <c r="FA43" i="43"/>
  <c r="FB43" i="43"/>
  <c r="FC43" i="43"/>
  <c r="FD43" i="43"/>
  <c r="FE43" i="43"/>
  <c r="FF43" i="43"/>
  <c r="FG43" i="43"/>
  <c r="FH43" i="43"/>
  <c r="FI43" i="43"/>
  <c r="FJ43" i="43"/>
  <c r="FK43" i="43"/>
  <c r="FL43" i="43"/>
  <c r="FM43" i="43"/>
  <c r="FN43" i="43"/>
  <c r="FO43" i="43"/>
  <c r="FP43" i="43"/>
  <c r="FQ43" i="43"/>
  <c r="FR43" i="43"/>
  <c r="FS43" i="43"/>
  <c r="FT43" i="43"/>
  <c r="FU43" i="43"/>
  <c r="FV43" i="43"/>
  <c r="FW43" i="43"/>
  <c r="FX43" i="43"/>
  <c r="FY43" i="43"/>
  <c r="FZ43" i="43"/>
  <c r="GA43" i="43"/>
  <c r="GB43" i="43"/>
  <c r="GC43" i="43"/>
  <c r="GD43" i="43"/>
  <c r="GE43" i="43"/>
  <c r="GF43" i="43"/>
  <c r="GG43" i="43"/>
  <c r="GH43" i="43"/>
  <c r="GI43" i="43"/>
  <c r="GJ43" i="43"/>
  <c r="GK43" i="43"/>
  <c r="GL43" i="43"/>
  <c r="GM43" i="43"/>
  <c r="GN43" i="43"/>
  <c r="GO43" i="43"/>
  <c r="GP43" i="43"/>
  <c r="GQ43" i="43"/>
  <c r="GR43" i="43"/>
  <c r="GS43" i="43"/>
  <c r="GT43" i="43"/>
  <c r="GU43" i="43"/>
  <c r="GV43" i="43"/>
  <c r="GW43" i="43"/>
  <c r="GX43" i="43"/>
  <c r="GY43" i="43"/>
  <c r="GZ43" i="43"/>
  <c r="HA43" i="43"/>
  <c r="HB43" i="43"/>
  <c r="HC43" i="43"/>
  <c r="HD43" i="43"/>
  <c r="HE43" i="43"/>
  <c r="HF43" i="43"/>
  <c r="HG43" i="43"/>
  <c r="HH43" i="43"/>
  <c r="HI43" i="43"/>
  <c r="HJ43" i="43"/>
  <c r="HK43" i="43"/>
  <c r="HL43" i="43"/>
  <c r="HM43" i="43"/>
  <c r="HN43" i="43"/>
  <c r="HO43" i="43"/>
  <c r="HP43" i="43"/>
  <c r="HQ43" i="43"/>
  <c r="HR43" i="43"/>
  <c r="HS43" i="43"/>
  <c r="HT43" i="43"/>
  <c r="HU43" i="43"/>
  <c r="HV43" i="43"/>
  <c r="HW43" i="43"/>
  <c r="HX43" i="43"/>
  <c r="HY43" i="43"/>
  <c r="HZ43" i="43"/>
  <c r="IA43" i="43"/>
  <c r="IB43" i="43"/>
  <c r="IC43" i="43"/>
  <c r="ID43" i="43"/>
  <c r="IE43" i="43"/>
  <c r="IF43" i="43"/>
  <c r="IG43" i="43"/>
  <c r="IH43" i="43"/>
  <c r="II43" i="43"/>
  <c r="IJ43" i="43"/>
  <c r="IK43" i="43"/>
  <c r="IL43" i="43"/>
  <c r="IM43" i="43"/>
  <c r="IN43" i="43"/>
  <c r="IO43" i="43"/>
  <c r="IP43" i="43"/>
  <c r="IQ43" i="43"/>
  <c r="IR43" i="43"/>
  <c r="IS43" i="43"/>
  <c r="IT43" i="43"/>
  <c r="IU43" i="43"/>
  <c r="IV43" i="43"/>
  <c r="A42" i="43"/>
  <c r="B42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AO42" i="43"/>
  <c r="AP42" i="43"/>
  <c r="AQ42" i="43"/>
  <c r="AR42" i="43"/>
  <c r="AS42" i="43"/>
  <c r="AT42" i="43"/>
  <c r="AU42" i="43"/>
  <c r="AV42" i="43"/>
  <c r="AW42" i="43"/>
  <c r="AX42" i="43"/>
  <c r="AY42" i="43"/>
  <c r="AZ42" i="43"/>
  <c r="BA42" i="43"/>
  <c r="BB42" i="43"/>
  <c r="BC42" i="43"/>
  <c r="BD42" i="43"/>
  <c r="BE42" i="43"/>
  <c r="BF42" i="43"/>
  <c r="BG42" i="43"/>
  <c r="BH42" i="43"/>
  <c r="BI42" i="43"/>
  <c r="BJ42" i="43"/>
  <c r="BK42" i="43"/>
  <c r="BL42" i="43"/>
  <c r="BM42" i="43"/>
  <c r="BN42" i="43"/>
  <c r="BO42" i="43"/>
  <c r="BP42" i="43"/>
  <c r="BQ42" i="43"/>
  <c r="BR42" i="43"/>
  <c r="BS42" i="43"/>
  <c r="BT42" i="43"/>
  <c r="BU42" i="43"/>
  <c r="BV42" i="43"/>
  <c r="BW42" i="43"/>
  <c r="BX42" i="43"/>
  <c r="BY42" i="43"/>
  <c r="BZ42" i="43"/>
  <c r="CA42" i="43"/>
  <c r="CB42" i="43"/>
  <c r="CC42" i="43"/>
  <c r="CD42" i="43"/>
  <c r="CE42" i="43"/>
  <c r="CF42" i="43"/>
  <c r="CG42" i="43"/>
  <c r="CH42" i="43"/>
  <c r="CI42" i="43"/>
  <c r="CJ42" i="43"/>
  <c r="CK42" i="43"/>
  <c r="CL42" i="43"/>
  <c r="CM42" i="43"/>
  <c r="CN42" i="43"/>
  <c r="CO42" i="43"/>
  <c r="CP42" i="43"/>
  <c r="CQ42" i="43"/>
  <c r="CR42" i="43"/>
  <c r="CS42" i="43"/>
  <c r="CT42" i="43"/>
  <c r="CU42" i="43"/>
  <c r="CV42" i="43"/>
  <c r="CW42" i="43"/>
  <c r="CX42" i="43"/>
  <c r="CY42" i="43"/>
  <c r="CZ42" i="43"/>
  <c r="DA42" i="43"/>
  <c r="DB42" i="43"/>
  <c r="DC42" i="43"/>
  <c r="DD42" i="43"/>
  <c r="DE42" i="43"/>
  <c r="DF42" i="43"/>
  <c r="DG42" i="43"/>
  <c r="DH42" i="43"/>
  <c r="DI42" i="43"/>
  <c r="DJ42" i="43"/>
  <c r="DK42" i="43"/>
  <c r="DL42" i="43"/>
  <c r="DM42" i="43"/>
  <c r="DN42" i="43"/>
  <c r="DO42" i="43"/>
  <c r="DP42" i="43"/>
  <c r="DQ42" i="43"/>
  <c r="DR42" i="43"/>
  <c r="DS42" i="43"/>
  <c r="DT42" i="43"/>
  <c r="DU42" i="43"/>
  <c r="DV42" i="43"/>
  <c r="DW42" i="43"/>
  <c r="DX42" i="43"/>
  <c r="DY42" i="43"/>
  <c r="DZ42" i="43"/>
  <c r="EA42" i="43"/>
  <c r="EB42" i="43"/>
  <c r="EC42" i="43"/>
  <c r="ED42" i="43"/>
  <c r="EE42" i="43"/>
  <c r="EF42" i="43"/>
  <c r="EG42" i="43"/>
  <c r="EH42" i="43"/>
  <c r="EI42" i="43"/>
  <c r="EJ42" i="43"/>
  <c r="EK42" i="43"/>
  <c r="EL42" i="43"/>
  <c r="EM42" i="43"/>
  <c r="EN42" i="43"/>
  <c r="EO42" i="43"/>
  <c r="EP42" i="43"/>
  <c r="EQ42" i="43"/>
  <c r="ER42" i="43"/>
  <c r="ES42" i="43"/>
  <c r="ET42" i="43"/>
  <c r="EU42" i="43"/>
  <c r="EV42" i="43"/>
  <c r="EW42" i="43"/>
  <c r="EX42" i="43"/>
  <c r="EY42" i="43"/>
  <c r="EZ42" i="43"/>
  <c r="FA42" i="43"/>
  <c r="FB42" i="43"/>
  <c r="FC42" i="43"/>
  <c r="FD42" i="43"/>
  <c r="FE42" i="43"/>
  <c r="FF42" i="43"/>
  <c r="FG42" i="43"/>
  <c r="FH42" i="43"/>
  <c r="FI42" i="43"/>
  <c r="FJ42" i="43"/>
  <c r="FK42" i="43"/>
  <c r="FL42" i="43"/>
  <c r="FM42" i="43"/>
  <c r="FN42" i="43"/>
  <c r="FO42" i="43"/>
  <c r="FP42" i="43"/>
  <c r="FQ42" i="43"/>
  <c r="FR42" i="43"/>
  <c r="FS42" i="43"/>
  <c r="FT42" i="43"/>
  <c r="FU42" i="43"/>
  <c r="FV42" i="43"/>
  <c r="FW42" i="43"/>
  <c r="FX42" i="43"/>
  <c r="FY42" i="43"/>
  <c r="FZ42" i="43"/>
  <c r="GA42" i="43"/>
  <c r="GB42" i="43"/>
  <c r="GC42" i="43"/>
  <c r="GD42" i="43"/>
  <c r="GE42" i="43"/>
  <c r="GF42" i="43"/>
  <c r="GG42" i="43"/>
  <c r="GH42" i="43"/>
  <c r="GI42" i="43"/>
  <c r="GJ42" i="43"/>
  <c r="GK42" i="43"/>
  <c r="GL42" i="43"/>
  <c r="GM42" i="43"/>
  <c r="GN42" i="43"/>
  <c r="GO42" i="43"/>
  <c r="GP42" i="43"/>
  <c r="GQ42" i="43"/>
  <c r="GR42" i="43"/>
  <c r="GS42" i="43"/>
  <c r="GT42" i="43"/>
  <c r="GU42" i="43"/>
  <c r="GV42" i="43"/>
  <c r="GW42" i="43"/>
  <c r="GX42" i="43"/>
  <c r="GY42" i="43"/>
  <c r="GZ42" i="43"/>
  <c r="HA42" i="43"/>
  <c r="HB42" i="43"/>
  <c r="HC42" i="43"/>
  <c r="HD42" i="43"/>
  <c r="HE42" i="43"/>
  <c r="HF42" i="43"/>
  <c r="HG42" i="43"/>
  <c r="HH42" i="43"/>
  <c r="HI42" i="43"/>
  <c r="HJ42" i="43"/>
  <c r="HK42" i="43"/>
  <c r="HL42" i="43"/>
  <c r="HM42" i="43"/>
  <c r="HN42" i="43"/>
  <c r="HO42" i="43"/>
  <c r="HP42" i="43"/>
  <c r="HQ42" i="43"/>
  <c r="HR42" i="43"/>
  <c r="HS42" i="43"/>
  <c r="HT42" i="43"/>
  <c r="HU42" i="43"/>
  <c r="HV42" i="43"/>
  <c r="HW42" i="43"/>
  <c r="HX42" i="43"/>
  <c r="HY42" i="43"/>
  <c r="HZ42" i="43"/>
  <c r="IA42" i="43"/>
  <c r="IB42" i="43"/>
  <c r="IC42" i="43"/>
  <c r="ID42" i="43"/>
  <c r="IE42" i="43"/>
  <c r="IF42" i="43"/>
  <c r="IG42" i="43"/>
  <c r="IH42" i="43"/>
  <c r="II42" i="43"/>
  <c r="IJ42" i="43"/>
  <c r="IK42" i="43"/>
  <c r="IL42" i="43"/>
  <c r="IM42" i="43"/>
  <c r="IN42" i="43"/>
  <c r="IO42" i="43"/>
  <c r="IP42" i="43"/>
  <c r="IQ42" i="43"/>
  <c r="IR42" i="43"/>
  <c r="IS42" i="43"/>
  <c r="IT42" i="43"/>
  <c r="IU42" i="43"/>
  <c r="IV42" i="43"/>
  <c r="A41" i="43"/>
  <c r="B41" i="43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AJ41" i="43"/>
  <c r="AK41" i="43"/>
  <c r="AL41" i="43"/>
  <c r="AM41" i="43"/>
  <c r="AN41" i="43"/>
  <c r="AO41" i="43"/>
  <c r="AP41" i="43"/>
  <c r="AQ41" i="43"/>
  <c r="AR41" i="43"/>
  <c r="AS41" i="43"/>
  <c r="AT41" i="43"/>
  <c r="AU41" i="43"/>
  <c r="AV41" i="43"/>
  <c r="AW41" i="43"/>
  <c r="AX41" i="43"/>
  <c r="AY41" i="43"/>
  <c r="AZ41" i="43"/>
  <c r="BA41" i="43"/>
  <c r="BB41" i="43"/>
  <c r="BC41" i="43"/>
  <c r="BD41" i="43"/>
  <c r="BE41" i="43"/>
  <c r="BF41" i="43"/>
  <c r="BG41" i="43"/>
  <c r="BH41" i="43"/>
  <c r="BI41" i="43"/>
  <c r="BJ41" i="43"/>
  <c r="BK41" i="43"/>
  <c r="BL41" i="43"/>
  <c r="BM41" i="43"/>
  <c r="BN41" i="43"/>
  <c r="BO41" i="43"/>
  <c r="BP41" i="43"/>
  <c r="BQ41" i="43"/>
  <c r="BR41" i="43"/>
  <c r="BS41" i="43"/>
  <c r="BT41" i="43"/>
  <c r="BU41" i="43"/>
  <c r="BV41" i="43"/>
  <c r="BW41" i="43"/>
  <c r="BX41" i="43"/>
  <c r="BY41" i="43"/>
  <c r="BZ41" i="43"/>
  <c r="CA41" i="43"/>
  <c r="CB41" i="43"/>
  <c r="CC41" i="43"/>
  <c r="CD41" i="43"/>
  <c r="CE41" i="43"/>
  <c r="CF41" i="43"/>
  <c r="CG41" i="43"/>
  <c r="CH41" i="43"/>
  <c r="CI41" i="43"/>
  <c r="CJ41" i="43"/>
  <c r="CK41" i="43"/>
  <c r="CL41" i="43"/>
  <c r="CM41" i="43"/>
  <c r="CN41" i="43"/>
  <c r="CO41" i="43"/>
  <c r="CP41" i="43"/>
  <c r="CQ41" i="43"/>
  <c r="CR41" i="43"/>
  <c r="CS41" i="43"/>
  <c r="CT41" i="43"/>
  <c r="CU41" i="43"/>
  <c r="CV41" i="43"/>
  <c r="CW41" i="43"/>
  <c r="CX41" i="43"/>
  <c r="CY41" i="43"/>
  <c r="CZ41" i="43"/>
  <c r="DA41" i="43"/>
  <c r="DB41" i="43"/>
  <c r="DC41" i="43"/>
  <c r="DD41" i="43"/>
  <c r="DE41" i="43"/>
  <c r="DF41" i="43"/>
  <c r="DG41" i="43"/>
  <c r="DH41" i="43"/>
  <c r="DI41" i="43"/>
  <c r="DJ41" i="43"/>
  <c r="DK41" i="43"/>
  <c r="DL41" i="43"/>
  <c r="DM41" i="43"/>
  <c r="DN41" i="43"/>
  <c r="DO41" i="43"/>
  <c r="DP41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J41" i="43"/>
  <c r="EK41" i="43"/>
  <c r="EL41" i="43"/>
  <c r="EM41" i="43"/>
  <c r="EN41" i="43"/>
  <c r="EO41" i="43"/>
  <c r="EP41" i="43"/>
  <c r="EQ41" i="43"/>
  <c r="ER41" i="43"/>
  <c r="ES41" i="43"/>
  <c r="ET41" i="43"/>
  <c r="EU41" i="43"/>
  <c r="EV41" i="43"/>
  <c r="EW41" i="43"/>
  <c r="EX41" i="43"/>
  <c r="EY41" i="43"/>
  <c r="EZ41" i="43"/>
  <c r="FA41" i="43"/>
  <c r="FB41" i="43"/>
  <c r="FC41" i="43"/>
  <c r="FD41" i="43"/>
  <c r="FE41" i="43"/>
  <c r="FF41" i="43"/>
  <c r="FG41" i="43"/>
  <c r="FH41" i="43"/>
  <c r="FI41" i="43"/>
  <c r="FJ41" i="43"/>
  <c r="FK41" i="43"/>
  <c r="FL41" i="43"/>
  <c r="FM41" i="43"/>
  <c r="FN41" i="43"/>
  <c r="FO41" i="43"/>
  <c r="FP41" i="43"/>
  <c r="FQ41" i="43"/>
  <c r="FR41" i="43"/>
  <c r="FS41" i="43"/>
  <c r="FT41" i="43"/>
  <c r="FU41" i="43"/>
  <c r="FV41" i="43"/>
  <c r="FW41" i="43"/>
  <c r="FX41" i="43"/>
  <c r="FY41" i="43"/>
  <c r="FZ41" i="43"/>
  <c r="GA41" i="43"/>
  <c r="GB41" i="43"/>
  <c r="GC41" i="43"/>
  <c r="GD41" i="43"/>
  <c r="GE41" i="43"/>
  <c r="GF41" i="43"/>
  <c r="GG41" i="43"/>
  <c r="GH41" i="43"/>
  <c r="GI41" i="43"/>
  <c r="GJ41" i="43"/>
  <c r="GK41" i="43"/>
  <c r="GL41" i="43"/>
  <c r="GM41" i="43"/>
  <c r="GN41" i="43"/>
  <c r="GO41" i="43"/>
  <c r="GP41" i="43"/>
  <c r="GQ41" i="43"/>
  <c r="GR41" i="43"/>
  <c r="GS41" i="43"/>
  <c r="GT41" i="43"/>
  <c r="GU41" i="43"/>
  <c r="GV41" i="43"/>
  <c r="GW41" i="43"/>
  <c r="GX41" i="43"/>
  <c r="GY41" i="43"/>
  <c r="GZ41" i="43"/>
  <c r="HA41" i="43"/>
  <c r="HB41" i="43"/>
  <c r="HC41" i="43"/>
  <c r="HD41" i="43"/>
  <c r="HE41" i="43"/>
  <c r="HF41" i="43"/>
  <c r="HG41" i="43"/>
  <c r="HH41" i="43"/>
  <c r="HI41" i="43"/>
  <c r="HJ41" i="43"/>
  <c r="HK41" i="43"/>
  <c r="HL41" i="43"/>
  <c r="HM41" i="43"/>
  <c r="HN41" i="43"/>
  <c r="HO41" i="43"/>
  <c r="HP41" i="43"/>
  <c r="HQ41" i="43"/>
  <c r="HR41" i="43"/>
  <c r="HS41" i="43"/>
  <c r="HT41" i="43"/>
  <c r="HU41" i="43"/>
  <c r="HV41" i="43"/>
  <c r="HW41" i="43"/>
  <c r="HX41" i="43"/>
  <c r="HY41" i="43"/>
  <c r="HZ41" i="43"/>
  <c r="IA41" i="43"/>
  <c r="IB41" i="43"/>
  <c r="IC41" i="43"/>
  <c r="ID41" i="43"/>
  <c r="IE41" i="43"/>
  <c r="IF41" i="43"/>
  <c r="IG41" i="43"/>
  <c r="IH41" i="43"/>
  <c r="II41" i="43"/>
  <c r="IJ41" i="43"/>
  <c r="IK41" i="43"/>
  <c r="IL41" i="43"/>
  <c r="IM41" i="43"/>
  <c r="IN41" i="43"/>
  <c r="IO41" i="43"/>
  <c r="IP41" i="43"/>
  <c r="IQ41" i="43"/>
  <c r="IR41" i="43"/>
  <c r="IS41" i="43"/>
  <c r="IT41" i="43"/>
  <c r="IU41" i="43"/>
  <c r="IV41" i="43"/>
  <c r="A40" i="43"/>
  <c r="B40" i="43"/>
  <c r="C40" i="43"/>
  <c r="D40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AO40" i="43"/>
  <c r="AP40" i="43"/>
  <c r="AQ40" i="43"/>
  <c r="AR40" i="43"/>
  <c r="AS40" i="43"/>
  <c r="AT40" i="43"/>
  <c r="AU40" i="43"/>
  <c r="AV40" i="43"/>
  <c r="AW40" i="43"/>
  <c r="AX40" i="43"/>
  <c r="AY40" i="43"/>
  <c r="AZ40" i="43"/>
  <c r="BA40" i="43"/>
  <c r="BB40" i="43"/>
  <c r="BC40" i="43"/>
  <c r="BD40" i="43"/>
  <c r="BE40" i="43"/>
  <c r="BF40" i="43"/>
  <c r="BG40" i="43"/>
  <c r="BH40" i="43"/>
  <c r="BI40" i="43"/>
  <c r="BJ40" i="43"/>
  <c r="BK40" i="43"/>
  <c r="BL40" i="43"/>
  <c r="BM40" i="43"/>
  <c r="BN40" i="43"/>
  <c r="BO40" i="43"/>
  <c r="BP40" i="43"/>
  <c r="BQ40" i="43"/>
  <c r="BR40" i="43"/>
  <c r="BS40" i="43"/>
  <c r="BT40" i="43"/>
  <c r="BU40" i="43"/>
  <c r="BV40" i="43"/>
  <c r="BW40" i="43"/>
  <c r="BX40" i="43"/>
  <c r="BY40" i="43"/>
  <c r="BZ40" i="43"/>
  <c r="CA40" i="43"/>
  <c r="CB40" i="43"/>
  <c r="CC40" i="43"/>
  <c r="CD40" i="43"/>
  <c r="CE40" i="43"/>
  <c r="CF40" i="43"/>
  <c r="CG40" i="43"/>
  <c r="CH40" i="43"/>
  <c r="CI40" i="43"/>
  <c r="CJ40" i="43"/>
  <c r="CK40" i="43"/>
  <c r="CL40" i="43"/>
  <c r="CM40" i="43"/>
  <c r="CN40" i="43"/>
  <c r="CO40" i="43"/>
  <c r="CP40" i="43"/>
  <c r="CQ40" i="43"/>
  <c r="CR40" i="43"/>
  <c r="CS40" i="43"/>
  <c r="CT40" i="43"/>
  <c r="CU40" i="43"/>
  <c r="CV40" i="43"/>
  <c r="CW40" i="43"/>
  <c r="CX40" i="43"/>
  <c r="CY40" i="43"/>
  <c r="CZ40" i="43"/>
  <c r="DA40" i="43"/>
  <c r="DB40" i="43"/>
  <c r="DC40" i="43"/>
  <c r="DD40" i="43"/>
  <c r="DE40" i="43"/>
  <c r="DF40" i="43"/>
  <c r="DG40" i="43"/>
  <c r="DH40" i="43"/>
  <c r="DI40" i="43"/>
  <c r="DJ40" i="43"/>
  <c r="DK40" i="43"/>
  <c r="DL40" i="43"/>
  <c r="DM40" i="43"/>
  <c r="DN40" i="43"/>
  <c r="DO40" i="43"/>
  <c r="DP40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J40" i="43"/>
  <c r="EK40" i="43"/>
  <c r="EL40" i="43"/>
  <c r="EM40" i="43"/>
  <c r="EN40" i="43"/>
  <c r="EO40" i="43"/>
  <c r="EP40" i="43"/>
  <c r="EQ40" i="43"/>
  <c r="ER40" i="43"/>
  <c r="ES40" i="43"/>
  <c r="ET40" i="43"/>
  <c r="EU40" i="43"/>
  <c r="EV40" i="43"/>
  <c r="EW40" i="43"/>
  <c r="EX40" i="43"/>
  <c r="EY40" i="43"/>
  <c r="EZ40" i="43"/>
  <c r="FA40" i="43"/>
  <c r="FB40" i="43"/>
  <c r="FC40" i="43"/>
  <c r="FD40" i="43"/>
  <c r="FE40" i="43"/>
  <c r="FF40" i="43"/>
  <c r="FG40" i="43"/>
  <c r="FH40" i="43"/>
  <c r="FI40" i="43"/>
  <c r="FJ40" i="43"/>
  <c r="FK40" i="43"/>
  <c r="FL40" i="43"/>
  <c r="FM40" i="43"/>
  <c r="FN40" i="43"/>
  <c r="FO40" i="43"/>
  <c r="FP40" i="43"/>
  <c r="FQ40" i="43"/>
  <c r="FR40" i="43"/>
  <c r="FS40" i="43"/>
  <c r="FT40" i="43"/>
  <c r="FU40" i="43"/>
  <c r="FV40" i="43"/>
  <c r="FW40" i="43"/>
  <c r="FX40" i="43"/>
  <c r="FY40" i="43"/>
  <c r="FZ40" i="43"/>
  <c r="GA40" i="43"/>
  <c r="GB40" i="43"/>
  <c r="GC40" i="43"/>
  <c r="GD40" i="43"/>
  <c r="GE40" i="43"/>
  <c r="GF40" i="43"/>
  <c r="GG40" i="43"/>
  <c r="GH40" i="43"/>
  <c r="GI40" i="43"/>
  <c r="GJ40" i="43"/>
  <c r="GK40" i="43"/>
  <c r="GL40" i="43"/>
  <c r="GM40" i="43"/>
  <c r="GN40" i="43"/>
  <c r="GO40" i="43"/>
  <c r="GP40" i="43"/>
  <c r="GQ40" i="43"/>
  <c r="GR40" i="43"/>
  <c r="GS40" i="43"/>
  <c r="GT40" i="43"/>
  <c r="GU40" i="43"/>
  <c r="GV40" i="43"/>
  <c r="GW40" i="43"/>
  <c r="GX40" i="43"/>
  <c r="GY40" i="43"/>
  <c r="GZ40" i="43"/>
  <c r="HA40" i="43"/>
  <c r="HB40" i="43"/>
  <c r="HC40" i="43"/>
  <c r="HD40" i="43"/>
  <c r="HE40" i="43"/>
  <c r="HF40" i="43"/>
  <c r="HG40" i="43"/>
  <c r="HH40" i="43"/>
  <c r="HI40" i="43"/>
  <c r="HJ40" i="43"/>
  <c r="HK40" i="43"/>
  <c r="HL40" i="43"/>
  <c r="HM40" i="43"/>
  <c r="HN40" i="43"/>
  <c r="HO40" i="43"/>
  <c r="HP40" i="43"/>
  <c r="HQ40" i="43"/>
  <c r="HR40" i="43"/>
  <c r="HS40" i="43"/>
  <c r="HT40" i="43"/>
  <c r="HU40" i="43"/>
  <c r="HV40" i="43"/>
  <c r="HW40" i="43"/>
  <c r="HX40" i="43"/>
  <c r="HY40" i="43"/>
  <c r="HZ40" i="43"/>
  <c r="IA40" i="43"/>
  <c r="IB40" i="43"/>
  <c r="IC40" i="43"/>
  <c r="ID40" i="43"/>
  <c r="IE40" i="43"/>
  <c r="IF40" i="43"/>
  <c r="IG40" i="43"/>
  <c r="IH40" i="43"/>
  <c r="II40" i="43"/>
  <c r="IJ40" i="43"/>
  <c r="IK40" i="43"/>
  <c r="IL40" i="43"/>
  <c r="IM40" i="43"/>
  <c r="IN40" i="43"/>
  <c r="IO40" i="43"/>
  <c r="IP40" i="43"/>
  <c r="IQ40" i="43"/>
  <c r="IR40" i="43"/>
  <c r="IS40" i="43"/>
  <c r="IT40" i="43"/>
  <c r="IU40" i="43"/>
  <c r="IV40" i="43"/>
  <c r="A39" i="43"/>
  <c r="B39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AJ39" i="43"/>
  <c r="AK39" i="43"/>
  <c r="AL39" i="43"/>
  <c r="AM39" i="43"/>
  <c r="AN39" i="43"/>
  <c r="AO39" i="43"/>
  <c r="AP39" i="43"/>
  <c r="AQ39" i="43"/>
  <c r="AR39" i="43"/>
  <c r="AS39" i="43"/>
  <c r="AT39" i="43"/>
  <c r="AU39" i="43"/>
  <c r="AV39" i="43"/>
  <c r="AW39" i="43"/>
  <c r="AX39" i="43"/>
  <c r="AY39" i="43"/>
  <c r="AZ39" i="43"/>
  <c r="BA39" i="43"/>
  <c r="BB39" i="43"/>
  <c r="BC39" i="43"/>
  <c r="BD39" i="43"/>
  <c r="BE39" i="43"/>
  <c r="BF39" i="43"/>
  <c r="BG39" i="43"/>
  <c r="BH39" i="43"/>
  <c r="BI39" i="43"/>
  <c r="BJ39" i="43"/>
  <c r="BK39" i="43"/>
  <c r="BL39" i="43"/>
  <c r="BM39" i="43"/>
  <c r="BN39" i="43"/>
  <c r="BO39" i="43"/>
  <c r="BP39" i="43"/>
  <c r="BQ39" i="43"/>
  <c r="BR39" i="43"/>
  <c r="BS39" i="43"/>
  <c r="BT39" i="43"/>
  <c r="BU39" i="43"/>
  <c r="BV39" i="43"/>
  <c r="BW39" i="43"/>
  <c r="BX39" i="43"/>
  <c r="BY39" i="43"/>
  <c r="BZ39" i="43"/>
  <c r="CA39" i="43"/>
  <c r="CB39" i="43"/>
  <c r="CC39" i="43"/>
  <c r="CD39" i="43"/>
  <c r="CE39" i="43"/>
  <c r="CF39" i="43"/>
  <c r="CG39" i="43"/>
  <c r="CH39" i="43"/>
  <c r="CI39" i="43"/>
  <c r="CJ39" i="43"/>
  <c r="CK39" i="43"/>
  <c r="CL39" i="43"/>
  <c r="CM39" i="43"/>
  <c r="CN39" i="43"/>
  <c r="CO39" i="43"/>
  <c r="CP39" i="43"/>
  <c r="CQ39" i="43"/>
  <c r="CR39" i="43"/>
  <c r="CS39" i="43"/>
  <c r="CT39" i="43"/>
  <c r="CU39" i="43"/>
  <c r="CV39" i="43"/>
  <c r="CW39" i="43"/>
  <c r="CX39" i="43"/>
  <c r="CY39" i="43"/>
  <c r="CZ39" i="43"/>
  <c r="DA39" i="43"/>
  <c r="DB39" i="43"/>
  <c r="DC39" i="43"/>
  <c r="DD39" i="43"/>
  <c r="DE39" i="43"/>
  <c r="DF39" i="43"/>
  <c r="DG39" i="43"/>
  <c r="DH39" i="43"/>
  <c r="DI39" i="43"/>
  <c r="DJ39" i="43"/>
  <c r="DK39" i="43"/>
  <c r="DL39" i="43"/>
  <c r="DM39" i="43"/>
  <c r="DN39" i="43"/>
  <c r="DO39" i="43"/>
  <c r="DP39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J39" i="43"/>
  <c r="EK39" i="43"/>
  <c r="EL39" i="43"/>
  <c r="EM39" i="43"/>
  <c r="EN39" i="43"/>
  <c r="EO39" i="43"/>
  <c r="EP39" i="43"/>
  <c r="EQ39" i="43"/>
  <c r="ER39" i="43"/>
  <c r="ES39" i="43"/>
  <c r="ET39" i="43"/>
  <c r="EU39" i="43"/>
  <c r="EV39" i="43"/>
  <c r="EW39" i="43"/>
  <c r="EX39" i="43"/>
  <c r="EY39" i="43"/>
  <c r="EZ39" i="43"/>
  <c r="FA39" i="43"/>
  <c r="FB39" i="43"/>
  <c r="FC39" i="43"/>
  <c r="FD39" i="43"/>
  <c r="FE39" i="43"/>
  <c r="FF39" i="43"/>
  <c r="FG39" i="43"/>
  <c r="FH39" i="43"/>
  <c r="FI39" i="43"/>
  <c r="FJ39" i="43"/>
  <c r="FK39" i="43"/>
  <c r="FL39" i="43"/>
  <c r="FM39" i="43"/>
  <c r="FN39" i="43"/>
  <c r="FO39" i="43"/>
  <c r="FP39" i="43"/>
  <c r="FQ39" i="43"/>
  <c r="FR39" i="43"/>
  <c r="FS39" i="43"/>
  <c r="FT39" i="43"/>
  <c r="FU39" i="43"/>
  <c r="FV39" i="43"/>
  <c r="FW39" i="43"/>
  <c r="FX39" i="43"/>
  <c r="FY39" i="43"/>
  <c r="FZ39" i="43"/>
  <c r="GA39" i="43"/>
  <c r="GB39" i="43"/>
  <c r="GC39" i="43"/>
  <c r="GD39" i="43"/>
  <c r="GE39" i="43"/>
  <c r="GF39" i="43"/>
  <c r="GG39" i="43"/>
  <c r="GH39" i="43"/>
  <c r="GI39" i="43"/>
  <c r="GJ39" i="43"/>
  <c r="GK39" i="43"/>
  <c r="GL39" i="43"/>
  <c r="GM39" i="43"/>
  <c r="GN39" i="43"/>
  <c r="GO39" i="43"/>
  <c r="GP39" i="43"/>
  <c r="GQ39" i="43"/>
  <c r="GR39" i="43"/>
  <c r="GS39" i="43"/>
  <c r="GT39" i="43"/>
  <c r="GU39" i="43"/>
  <c r="GV39" i="43"/>
  <c r="GW39" i="43"/>
  <c r="GX39" i="43"/>
  <c r="GY39" i="43"/>
  <c r="GZ39" i="43"/>
  <c r="HA39" i="43"/>
  <c r="HB39" i="43"/>
  <c r="HC39" i="43"/>
  <c r="HD39" i="43"/>
  <c r="HE39" i="43"/>
  <c r="HF39" i="43"/>
  <c r="HG39" i="43"/>
  <c r="HH39" i="43"/>
  <c r="HI39" i="43"/>
  <c r="HJ39" i="43"/>
  <c r="HK39" i="43"/>
  <c r="HL39" i="43"/>
  <c r="HM39" i="43"/>
  <c r="HN39" i="43"/>
  <c r="HO39" i="43"/>
  <c r="HP39" i="43"/>
  <c r="HQ39" i="43"/>
  <c r="HR39" i="43"/>
  <c r="HS39" i="43"/>
  <c r="HT39" i="43"/>
  <c r="HU39" i="43"/>
  <c r="HV39" i="43"/>
  <c r="HW39" i="43"/>
  <c r="HX39" i="43"/>
  <c r="HY39" i="43"/>
  <c r="HZ39" i="43"/>
  <c r="IA39" i="43"/>
  <c r="IB39" i="43"/>
  <c r="IC39" i="43"/>
  <c r="ID39" i="43"/>
  <c r="IE39" i="43"/>
  <c r="IF39" i="43"/>
  <c r="IG39" i="43"/>
  <c r="IH39" i="43"/>
  <c r="II39" i="43"/>
  <c r="IJ39" i="43"/>
  <c r="IK39" i="43"/>
  <c r="IL39" i="43"/>
  <c r="IM39" i="43"/>
  <c r="IN39" i="43"/>
  <c r="IO39" i="43"/>
  <c r="IP39" i="43"/>
  <c r="IQ39" i="43"/>
  <c r="IR39" i="43"/>
  <c r="IS39" i="43"/>
  <c r="IT39" i="43"/>
  <c r="IU39" i="43"/>
  <c r="IV39" i="43"/>
  <c r="A38" i="43"/>
  <c r="B38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AJ38" i="43"/>
  <c r="AK38" i="43"/>
  <c r="AL38" i="43"/>
  <c r="AM38" i="43"/>
  <c r="AN38" i="43"/>
  <c r="AO38" i="43"/>
  <c r="AP38" i="43"/>
  <c r="AQ38" i="43"/>
  <c r="AR38" i="43"/>
  <c r="AS38" i="43"/>
  <c r="AT38" i="43"/>
  <c r="AU38" i="43"/>
  <c r="AV38" i="43"/>
  <c r="AW38" i="43"/>
  <c r="AX38" i="43"/>
  <c r="AY38" i="43"/>
  <c r="AZ38" i="43"/>
  <c r="BA38" i="43"/>
  <c r="BB38" i="43"/>
  <c r="BC38" i="43"/>
  <c r="BD38" i="43"/>
  <c r="BE38" i="43"/>
  <c r="BF38" i="43"/>
  <c r="BG38" i="43"/>
  <c r="BH38" i="43"/>
  <c r="BI38" i="43"/>
  <c r="BJ38" i="43"/>
  <c r="BK38" i="43"/>
  <c r="BL38" i="43"/>
  <c r="BM38" i="43"/>
  <c r="BN38" i="43"/>
  <c r="BO38" i="43"/>
  <c r="BP38" i="43"/>
  <c r="BQ38" i="43"/>
  <c r="BR38" i="43"/>
  <c r="BS38" i="43"/>
  <c r="BT38" i="43"/>
  <c r="BU38" i="43"/>
  <c r="BV38" i="43"/>
  <c r="BW38" i="43"/>
  <c r="BX38" i="43"/>
  <c r="BY38" i="43"/>
  <c r="BZ38" i="43"/>
  <c r="CA38" i="43"/>
  <c r="CB38" i="43"/>
  <c r="CC38" i="43"/>
  <c r="CD38" i="43"/>
  <c r="CE38" i="43"/>
  <c r="CF38" i="43"/>
  <c r="CG38" i="43"/>
  <c r="CH38" i="43"/>
  <c r="CI38" i="43"/>
  <c r="CJ38" i="43"/>
  <c r="CK38" i="43"/>
  <c r="CL38" i="43"/>
  <c r="CM38" i="43"/>
  <c r="CN38" i="43"/>
  <c r="CO38" i="43"/>
  <c r="CP38" i="43"/>
  <c r="CQ38" i="43"/>
  <c r="CR38" i="43"/>
  <c r="CS38" i="43"/>
  <c r="CT38" i="43"/>
  <c r="CU38" i="43"/>
  <c r="CV38" i="43"/>
  <c r="CW38" i="43"/>
  <c r="CX38" i="43"/>
  <c r="CY38" i="43"/>
  <c r="CZ38" i="43"/>
  <c r="DA38" i="43"/>
  <c r="DB38" i="43"/>
  <c r="DC38" i="43"/>
  <c r="DD38" i="43"/>
  <c r="DE38" i="43"/>
  <c r="DF38" i="43"/>
  <c r="DG38" i="43"/>
  <c r="DH38" i="43"/>
  <c r="DI38" i="43"/>
  <c r="DJ38" i="43"/>
  <c r="DK38" i="43"/>
  <c r="DL38" i="43"/>
  <c r="DM38" i="43"/>
  <c r="DN38" i="43"/>
  <c r="DO38" i="43"/>
  <c r="DP38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J38" i="43"/>
  <c r="EK38" i="43"/>
  <c r="EL38" i="43"/>
  <c r="EM38" i="43"/>
  <c r="EN38" i="43"/>
  <c r="EO38" i="43"/>
  <c r="EP38" i="43"/>
  <c r="EQ38" i="43"/>
  <c r="ER38" i="43"/>
  <c r="ES38" i="43"/>
  <c r="ET38" i="43"/>
  <c r="EU38" i="43"/>
  <c r="EV38" i="43"/>
  <c r="EW38" i="43"/>
  <c r="EX38" i="43"/>
  <c r="EY38" i="43"/>
  <c r="EZ38" i="43"/>
  <c r="FA38" i="43"/>
  <c r="FB38" i="43"/>
  <c r="FC38" i="43"/>
  <c r="FD38" i="43"/>
  <c r="FE38" i="43"/>
  <c r="FF38" i="43"/>
  <c r="FG38" i="43"/>
  <c r="FH38" i="43"/>
  <c r="FI38" i="43"/>
  <c r="FJ38" i="43"/>
  <c r="FK38" i="43"/>
  <c r="FL38" i="43"/>
  <c r="FM38" i="43"/>
  <c r="FN38" i="43"/>
  <c r="FO38" i="43"/>
  <c r="FP38" i="43"/>
  <c r="FQ38" i="43"/>
  <c r="FR38" i="43"/>
  <c r="FS38" i="43"/>
  <c r="FT38" i="43"/>
  <c r="FU38" i="43"/>
  <c r="FV38" i="43"/>
  <c r="FW38" i="43"/>
  <c r="FX38" i="43"/>
  <c r="FY38" i="43"/>
  <c r="FZ38" i="43"/>
  <c r="GA38" i="43"/>
  <c r="GB38" i="43"/>
  <c r="GC38" i="43"/>
  <c r="GD38" i="43"/>
  <c r="GE38" i="43"/>
  <c r="GF38" i="43"/>
  <c r="GG38" i="43"/>
  <c r="GH38" i="43"/>
  <c r="GI38" i="43"/>
  <c r="GJ38" i="43"/>
  <c r="GK38" i="43"/>
  <c r="GL38" i="43"/>
  <c r="GM38" i="43"/>
  <c r="GN38" i="43"/>
  <c r="GO38" i="43"/>
  <c r="GP38" i="43"/>
  <c r="GQ38" i="43"/>
  <c r="GR38" i="43"/>
  <c r="GS38" i="43"/>
  <c r="GT38" i="43"/>
  <c r="GU38" i="43"/>
  <c r="GV38" i="43"/>
  <c r="GW38" i="43"/>
  <c r="GX38" i="43"/>
  <c r="GY38" i="43"/>
  <c r="GZ38" i="43"/>
  <c r="HA38" i="43"/>
  <c r="HB38" i="43"/>
  <c r="HC38" i="43"/>
  <c r="HD38" i="43"/>
  <c r="HE38" i="43"/>
  <c r="HF38" i="43"/>
  <c r="HG38" i="43"/>
  <c r="HH38" i="43"/>
  <c r="HI38" i="43"/>
  <c r="HJ38" i="43"/>
  <c r="HK38" i="43"/>
  <c r="HL38" i="43"/>
  <c r="HM38" i="43"/>
  <c r="HN38" i="43"/>
  <c r="HO38" i="43"/>
  <c r="HP38" i="43"/>
  <c r="HQ38" i="43"/>
  <c r="HR38" i="43"/>
  <c r="HS38" i="43"/>
  <c r="HT38" i="43"/>
  <c r="HU38" i="43"/>
  <c r="HV38" i="43"/>
  <c r="HW38" i="43"/>
  <c r="HX38" i="43"/>
  <c r="HY38" i="43"/>
  <c r="HZ38" i="43"/>
  <c r="IA38" i="43"/>
  <c r="IB38" i="43"/>
  <c r="IC38" i="43"/>
  <c r="ID38" i="43"/>
  <c r="IE38" i="43"/>
  <c r="IF38" i="43"/>
  <c r="IG38" i="43"/>
  <c r="IH38" i="43"/>
  <c r="II38" i="43"/>
  <c r="IJ38" i="43"/>
  <c r="IK38" i="43"/>
  <c r="IL38" i="43"/>
  <c r="IM38" i="43"/>
  <c r="IN38" i="43"/>
  <c r="IO38" i="43"/>
  <c r="IP38" i="43"/>
  <c r="IQ38" i="43"/>
  <c r="IR38" i="43"/>
  <c r="IS38" i="43"/>
  <c r="IT38" i="43"/>
  <c r="IU38" i="43"/>
  <c r="IV38" i="43"/>
  <c r="A37" i="43"/>
  <c r="B37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AE37" i="43"/>
  <c r="AF37" i="43"/>
  <c r="AG37" i="43"/>
  <c r="AH37" i="43"/>
  <c r="AI37" i="43"/>
  <c r="AJ37" i="43"/>
  <c r="AK37" i="43"/>
  <c r="AL37" i="43"/>
  <c r="AM37" i="43"/>
  <c r="AN37" i="43"/>
  <c r="AO37" i="43"/>
  <c r="AP37" i="43"/>
  <c r="AQ37" i="43"/>
  <c r="AR37" i="43"/>
  <c r="AS37" i="43"/>
  <c r="AT37" i="43"/>
  <c r="AU37" i="43"/>
  <c r="AV37" i="43"/>
  <c r="AW37" i="43"/>
  <c r="AX37" i="43"/>
  <c r="AY37" i="43"/>
  <c r="AZ37" i="43"/>
  <c r="BA37" i="43"/>
  <c r="BB37" i="43"/>
  <c r="BC37" i="43"/>
  <c r="BD37" i="43"/>
  <c r="BE37" i="43"/>
  <c r="BF37" i="43"/>
  <c r="BG37" i="43"/>
  <c r="BH37" i="43"/>
  <c r="BI37" i="43"/>
  <c r="BJ37" i="43"/>
  <c r="BK37" i="43"/>
  <c r="BL37" i="43"/>
  <c r="BM37" i="43"/>
  <c r="BN37" i="43"/>
  <c r="BO37" i="43"/>
  <c r="BP37" i="43"/>
  <c r="BQ37" i="43"/>
  <c r="BR37" i="43"/>
  <c r="BS37" i="43"/>
  <c r="BT37" i="43"/>
  <c r="BU37" i="43"/>
  <c r="BV37" i="43"/>
  <c r="BW37" i="43"/>
  <c r="BX37" i="43"/>
  <c r="BY37" i="43"/>
  <c r="BZ37" i="43"/>
  <c r="CA37" i="43"/>
  <c r="CB37" i="43"/>
  <c r="CC37" i="43"/>
  <c r="CD37" i="43"/>
  <c r="CE37" i="43"/>
  <c r="CF37" i="43"/>
  <c r="CG37" i="43"/>
  <c r="CH37" i="43"/>
  <c r="CI37" i="43"/>
  <c r="CJ37" i="43"/>
  <c r="CK37" i="43"/>
  <c r="CL37" i="43"/>
  <c r="CM37" i="43"/>
  <c r="CN37" i="43"/>
  <c r="CO37" i="43"/>
  <c r="CP37" i="43"/>
  <c r="CQ37" i="43"/>
  <c r="CR37" i="43"/>
  <c r="CS37" i="43"/>
  <c r="CT37" i="43"/>
  <c r="CU37" i="43"/>
  <c r="CV37" i="43"/>
  <c r="CW37" i="43"/>
  <c r="CX37" i="43"/>
  <c r="CY37" i="43"/>
  <c r="CZ37" i="43"/>
  <c r="DA37" i="43"/>
  <c r="DB37" i="43"/>
  <c r="DC37" i="43"/>
  <c r="DD37" i="43"/>
  <c r="DE37" i="43"/>
  <c r="DF37" i="43"/>
  <c r="DG37" i="43"/>
  <c r="DH37" i="43"/>
  <c r="DI37" i="43"/>
  <c r="DJ37" i="43"/>
  <c r="DK37" i="43"/>
  <c r="DL37" i="43"/>
  <c r="DM37" i="43"/>
  <c r="DN37" i="43"/>
  <c r="DO37" i="43"/>
  <c r="DP37" i="43"/>
  <c r="DQ37" i="43"/>
  <c r="DR37" i="43"/>
  <c r="DS37" i="43"/>
  <c r="DT37" i="43"/>
  <c r="DU37" i="43"/>
  <c r="DV37" i="43"/>
  <c r="DW37" i="43"/>
  <c r="DX37" i="43"/>
  <c r="DY37" i="43"/>
  <c r="DZ37" i="43"/>
  <c r="EA37" i="43"/>
  <c r="EB37" i="43"/>
  <c r="EC37" i="43"/>
  <c r="ED37" i="43"/>
  <c r="EE37" i="43"/>
  <c r="EF37" i="43"/>
  <c r="EG37" i="43"/>
  <c r="EH37" i="43"/>
  <c r="EI37" i="43"/>
  <c r="EJ37" i="43"/>
  <c r="EK37" i="43"/>
  <c r="EL37" i="43"/>
  <c r="EM37" i="43"/>
  <c r="EN37" i="43"/>
  <c r="EO37" i="43"/>
  <c r="EP37" i="43"/>
  <c r="EQ37" i="43"/>
  <c r="ER37" i="43"/>
  <c r="ES37" i="43"/>
  <c r="ET37" i="43"/>
  <c r="EU37" i="43"/>
  <c r="EV37" i="43"/>
  <c r="EW37" i="43"/>
  <c r="EX37" i="43"/>
  <c r="EY37" i="43"/>
  <c r="EZ37" i="43"/>
  <c r="FA37" i="43"/>
  <c r="FB37" i="43"/>
  <c r="FC37" i="43"/>
  <c r="FD37" i="43"/>
  <c r="FE37" i="43"/>
  <c r="FF37" i="43"/>
  <c r="FG37" i="43"/>
  <c r="FH37" i="43"/>
  <c r="FI37" i="43"/>
  <c r="FJ37" i="43"/>
  <c r="FK37" i="43"/>
  <c r="FL37" i="43"/>
  <c r="FM37" i="43"/>
  <c r="FN37" i="43"/>
  <c r="FO37" i="43"/>
  <c r="FP37" i="43"/>
  <c r="FQ37" i="43"/>
  <c r="FR37" i="43"/>
  <c r="FS37" i="43"/>
  <c r="FT37" i="43"/>
  <c r="FU37" i="43"/>
  <c r="FV37" i="43"/>
  <c r="FW37" i="43"/>
  <c r="FX37" i="43"/>
  <c r="FY37" i="43"/>
  <c r="FZ37" i="43"/>
  <c r="GA37" i="43"/>
  <c r="GB37" i="43"/>
  <c r="GC37" i="43"/>
  <c r="GD37" i="43"/>
  <c r="GE37" i="43"/>
  <c r="GF37" i="43"/>
  <c r="GG37" i="43"/>
  <c r="GH37" i="43"/>
  <c r="GI37" i="43"/>
  <c r="GJ37" i="43"/>
  <c r="GK37" i="43"/>
  <c r="GL37" i="43"/>
  <c r="GM37" i="43"/>
  <c r="GN37" i="43"/>
  <c r="GO37" i="43"/>
  <c r="GP37" i="43"/>
  <c r="GQ37" i="43"/>
  <c r="GR37" i="43"/>
  <c r="GS37" i="43"/>
  <c r="GT37" i="43"/>
  <c r="GU37" i="43"/>
  <c r="GV37" i="43"/>
  <c r="GW37" i="43"/>
  <c r="GX37" i="43"/>
  <c r="GY37" i="43"/>
  <c r="GZ37" i="43"/>
  <c r="HA37" i="43"/>
  <c r="HB37" i="43"/>
  <c r="HC37" i="43"/>
  <c r="HD37" i="43"/>
  <c r="HE37" i="43"/>
  <c r="HF37" i="43"/>
  <c r="HG37" i="43"/>
  <c r="HH37" i="43"/>
  <c r="HI37" i="43"/>
  <c r="HJ37" i="43"/>
  <c r="HK37" i="43"/>
  <c r="HL37" i="43"/>
  <c r="HM37" i="43"/>
  <c r="HN37" i="43"/>
  <c r="HO37" i="43"/>
  <c r="HP37" i="43"/>
  <c r="HQ37" i="43"/>
  <c r="HR37" i="43"/>
  <c r="HS37" i="43"/>
  <c r="HT37" i="43"/>
  <c r="HU37" i="43"/>
  <c r="HV37" i="43"/>
  <c r="HW37" i="43"/>
  <c r="HX37" i="43"/>
  <c r="HY37" i="43"/>
  <c r="HZ37" i="43"/>
  <c r="IA37" i="43"/>
  <c r="IB37" i="43"/>
  <c r="IC37" i="43"/>
  <c r="ID37" i="43"/>
  <c r="IE37" i="43"/>
  <c r="IF37" i="43"/>
  <c r="IG37" i="43"/>
  <c r="IH37" i="43"/>
  <c r="II37" i="43"/>
  <c r="IJ37" i="43"/>
  <c r="IK37" i="43"/>
  <c r="IL37" i="43"/>
  <c r="IM37" i="43"/>
  <c r="IN37" i="43"/>
  <c r="IO37" i="43"/>
  <c r="IP37" i="43"/>
  <c r="IQ37" i="43"/>
  <c r="IR37" i="43"/>
  <c r="IS37" i="43"/>
  <c r="IT37" i="43"/>
  <c r="IU37" i="43"/>
  <c r="IV37" i="43"/>
  <c r="A36" i="43"/>
  <c r="B36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AJ36" i="43"/>
  <c r="AK36" i="43"/>
  <c r="AL36" i="43"/>
  <c r="AM36" i="43"/>
  <c r="AN36" i="43"/>
  <c r="AO36" i="43"/>
  <c r="AP36" i="43"/>
  <c r="AQ36" i="43"/>
  <c r="AR36" i="43"/>
  <c r="AS36" i="43"/>
  <c r="AT36" i="43"/>
  <c r="AU36" i="43"/>
  <c r="AV36" i="43"/>
  <c r="AW36" i="43"/>
  <c r="AX36" i="43"/>
  <c r="AY36" i="43"/>
  <c r="AZ36" i="43"/>
  <c r="BA36" i="43"/>
  <c r="BB36" i="43"/>
  <c r="BC36" i="43"/>
  <c r="BD36" i="43"/>
  <c r="BE36" i="43"/>
  <c r="BF36" i="43"/>
  <c r="BG36" i="43"/>
  <c r="BH36" i="43"/>
  <c r="BI36" i="43"/>
  <c r="BJ36" i="43"/>
  <c r="BK36" i="43"/>
  <c r="BL36" i="43"/>
  <c r="BM36" i="43"/>
  <c r="BN36" i="43"/>
  <c r="BO36" i="43"/>
  <c r="BP36" i="43"/>
  <c r="BQ36" i="43"/>
  <c r="BR36" i="43"/>
  <c r="BS36" i="43"/>
  <c r="BT36" i="43"/>
  <c r="BU36" i="43"/>
  <c r="BV36" i="43"/>
  <c r="BW36" i="43"/>
  <c r="BX36" i="43"/>
  <c r="BY36" i="43"/>
  <c r="BZ36" i="43"/>
  <c r="CA36" i="43"/>
  <c r="CB36" i="43"/>
  <c r="CC36" i="43"/>
  <c r="CD36" i="43"/>
  <c r="CE36" i="43"/>
  <c r="CF36" i="43"/>
  <c r="CG36" i="43"/>
  <c r="CH36" i="43"/>
  <c r="CI36" i="43"/>
  <c r="CJ36" i="43"/>
  <c r="CK36" i="43"/>
  <c r="CL36" i="43"/>
  <c r="CM36" i="43"/>
  <c r="CN36" i="43"/>
  <c r="CO36" i="43"/>
  <c r="CP36" i="43"/>
  <c r="CQ36" i="43"/>
  <c r="CR36" i="43"/>
  <c r="CS36" i="43"/>
  <c r="CT36" i="43"/>
  <c r="CU36" i="43"/>
  <c r="CV36" i="43"/>
  <c r="CW36" i="43"/>
  <c r="CX36" i="43"/>
  <c r="CY36" i="43"/>
  <c r="CZ36" i="43"/>
  <c r="DA36" i="43"/>
  <c r="DB36" i="43"/>
  <c r="DC36" i="43"/>
  <c r="DD36" i="43"/>
  <c r="DE36" i="43"/>
  <c r="DF36" i="43"/>
  <c r="DG36" i="43"/>
  <c r="DH36" i="43"/>
  <c r="DI36" i="43"/>
  <c r="DJ36" i="43"/>
  <c r="DK36" i="43"/>
  <c r="DL36" i="43"/>
  <c r="DM36" i="43"/>
  <c r="DN36" i="43"/>
  <c r="DO36" i="43"/>
  <c r="DP36" i="43"/>
  <c r="DQ36" i="43"/>
  <c r="DR36" i="43"/>
  <c r="DS36" i="43"/>
  <c r="DT36" i="43"/>
  <c r="DU36" i="43"/>
  <c r="DV36" i="43"/>
  <c r="DW36" i="43"/>
  <c r="DX36" i="43"/>
  <c r="DY36" i="43"/>
  <c r="DZ36" i="43"/>
  <c r="EA36" i="43"/>
  <c r="EB36" i="43"/>
  <c r="EC36" i="43"/>
  <c r="ED36" i="43"/>
  <c r="EE36" i="43"/>
  <c r="EF36" i="43"/>
  <c r="EG36" i="43"/>
  <c r="EH36" i="43"/>
  <c r="EI36" i="43"/>
  <c r="EJ36" i="43"/>
  <c r="EK36" i="43"/>
  <c r="EL36" i="43"/>
  <c r="EM36" i="43"/>
  <c r="EN36" i="43"/>
  <c r="EO36" i="43"/>
  <c r="EP36" i="43"/>
  <c r="EQ36" i="43"/>
  <c r="ER36" i="43"/>
  <c r="ES36" i="43"/>
  <c r="ET36" i="43"/>
  <c r="EU36" i="43"/>
  <c r="EV36" i="43"/>
  <c r="EW36" i="43"/>
  <c r="EX36" i="43"/>
  <c r="EY36" i="43"/>
  <c r="EZ36" i="43"/>
  <c r="FA36" i="43"/>
  <c r="FB36" i="43"/>
  <c r="FC36" i="43"/>
  <c r="FD36" i="43"/>
  <c r="FE36" i="43"/>
  <c r="FF36" i="43"/>
  <c r="FG36" i="43"/>
  <c r="FH36" i="43"/>
  <c r="FI36" i="43"/>
  <c r="FJ36" i="43"/>
  <c r="FK36" i="43"/>
  <c r="FL36" i="43"/>
  <c r="FM36" i="43"/>
  <c r="FN36" i="43"/>
  <c r="FO36" i="43"/>
  <c r="FP36" i="43"/>
  <c r="FQ36" i="43"/>
  <c r="FR36" i="43"/>
  <c r="FS36" i="43"/>
  <c r="FT36" i="43"/>
  <c r="FU36" i="43"/>
  <c r="FV36" i="43"/>
  <c r="FW36" i="43"/>
  <c r="FX36" i="43"/>
  <c r="FY36" i="43"/>
  <c r="FZ36" i="43"/>
  <c r="GA36" i="43"/>
  <c r="GB36" i="43"/>
  <c r="GC36" i="43"/>
  <c r="GD36" i="43"/>
  <c r="GE36" i="43"/>
  <c r="GF36" i="43"/>
  <c r="GG36" i="43"/>
  <c r="GH36" i="43"/>
  <c r="GI36" i="43"/>
  <c r="GJ36" i="43"/>
  <c r="GK36" i="43"/>
  <c r="GL36" i="43"/>
  <c r="GM36" i="43"/>
  <c r="GN36" i="43"/>
  <c r="GO36" i="43"/>
  <c r="GP36" i="43"/>
  <c r="GQ36" i="43"/>
  <c r="GR36" i="43"/>
  <c r="GS36" i="43"/>
  <c r="GT36" i="43"/>
  <c r="GU36" i="43"/>
  <c r="GV36" i="43"/>
  <c r="GW36" i="43"/>
  <c r="GX36" i="43"/>
  <c r="GY36" i="43"/>
  <c r="GZ36" i="43"/>
  <c r="HA36" i="43"/>
  <c r="HB36" i="43"/>
  <c r="HC36" i="43"/>
  <c r="HD36" i="43"/>
  <c r="HE36" i="43"/>
  <c r="HF36" i="43"/>
  <c r="HG36" i="43"/>
  <c r="HH36" i="43"/>
  <c r="HI36" i="43"/>
  <c r="HJ36" i="43"/>
  <c r="HK36" i="43"/>
  <c r="HL36" i="43"/>
  <c r="HM36" i="43"/>
  <c r="HN36" i="43"/>
  <c r="HO36" i="43"/>
  <c r="HP36" i="43"/>
  <c r="HQ36" i="43"/>
  <c r="HR36" i="43"/>
  <c r="HS36" i="43"/>
  <c r="HT36" i="43"/>
  <c r="HU36" i="43"/>
  <c r="HV36" i="43"/>
  <c r="HW36" i="43"/>
  <c r="HX36" i="43"/>
  <c r="HY36" i="43"/>
  <c r="HZ36" i="43"/>
  <c r="IA36" i="43"/>
  <c r="IB36" i="43"/>
  <c r="IC36" i="43"/>
  <c r="ID36" i="43"/>
  <c r="IE36" i="43"/>
  <c r="IF36" i="43"/>
  <c r="IG36" i="43"/>
  <c r="IH36" i="43"/>
  <c r="II36" i="43"/>
  <c r="IJ36" i="43"/>
  <c r="IK36" i="43"/>
  <c r="IL36" i="43"/>
  <c r="IM36" i="43"/>
  <c r="IN36" i="43"/>
  <c r="IO36" i="43"/>
  <c r="IP36" i="43"/>
  <c r="IQ36" i="43"/>
  <c r="IR36" i="43"/>
  <c r="IS36" i="43"/>
  <c r="IT36" i="43"/>
  <c r="IU36" i="43"/>
  <c r="IV36" i="43"/>
  <c r="A35" i="43"/>
  <c r="B35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AA35" i="43"/>
  <c r="AB35" i="43"/>
  <c r="AC35" i="43"/>
  <c r="AD35" i="43"/>
  <c r="AE35" i="43"/>
  <c r="AF35" i="43"/>
  <c r="AG35" i="43"/>
  <c r="AH35" i="43"/>
  <c r="AI35" i="43"/>
  <c r="AJ35" i="43"/>
  <c r="AK35" i="43"/>
  <c r="AL35" i="43"/>
  <c r="AM35" i="43"/>
  <c r="AN35" i="43"/>
  <c r="AO35" i="43"/>
  <c r="AP35" i="43"/>
  <c r="AQ35" i="43"/>
  <c r="AR35" i="43"/>
  <c r="AS35" i="43"/>
  <c r="AT35" i="43"/>
  <c r="AU35" i="43"/>
  <c r="AV35" i="43"/>
  <c r="AW35" i="43"/>
  <c r="AX35" i="43"/>
  <c r="AY35" i="43"/>
  <c r="AZ35" i="43"/>
  <c r="BA35" i="43"/>
  <c r="BB35" i="43"/>
  <c r="BC35" i="43"/>
  <c r="BD35" i="43"/>
  <c r="BE35" i="43"/>
  <c r="BF35" i="43"/>
  <c r="BG35" i="43"/>
  <c r="BH35" i="43"/>
  <c r="BI35" i="43"/>
  <c r="BJ35" i="43"/>
  <c r="BK35" i="43"/>
  <c r="BL35" i="43"/>
  <c r="BM35" i="43"/>
  <c r="BN35" i="43"/>
  <c r="BO35" i="43"/>
  <c r="BP35" i="43"/>
  <c r="BQ35" i="43"/>
  <c r="BR35" i="43"/>
  <c r="BS35" i="43"/>
  <c r="BT35" i="43"/>
  <c r="BU35" i="43"/>
  <c r="BV35" i="43"/>
  <c r="BW35" i="43"/>
  <c r="BX35" i="43"/>
  <c r="BY35" i="43"/>
  <c r="BZ35" i="43"/>
  <c r="CA35" i="43"/>
  <c r="CB35" i="43"/>
  <c r="CC35" i="43"/>
  <c r="CD35" i="43"/>
  <c r="CE35" i="43"/>
  <c r="CF35" i="43"/>
  <c r="CG35" i="43"/>
  <c r="CH35" i="43"/>
  <c r="CI35" i="43"/>
  <c r="CJ35" i="43"/>
  <c r="CK35" i="43"/>
  <c r="CL35" i="43"/>
  <c r="CM35" i="43"/>
  <c r="CN35" i="43"/>
  <c r="CO35" i="43"/>
  <c r="CP35" i="43"/>
  <c r="CQ35" i="43"/>
  <c r="CR35" i="43"/>
  <c r="CS35" i="43"/>
  <c r="CT35" i="43"/>
  <c r="CU35" i="43"/>
  <c r="CV35" i="43"/>
  <c r="CW35" i="43"/>
  <c r="CX35" i="43"/>
  <c r="CY35" i="43"/>
  <c r="CZ35" i="43"/>
  <c r="DA35" i="43"/>
  <c r="DB35" i="43"/>
  <c r="DC35" i="43"/>
  <c r="DD35" i="43"/>
  <c r="DE35" i="43"/>
  <c r="DF35" i="43"/>
  <c r="DG35" i="43"/>
  <c r="DH35" i="43"/>
  <c r="DI35" i="43"/>
  <c r="DJ35" i="43"/>
  <c r="DK35" i="43"/>
  <c r="DL35" i="43"/>
  <c r="DM35" i="43"/>
  <c r="DN35" i="43"/>
  <c r="DO35" i="43"/>
  <c r="DP35" i="43"/>
  <c r="DQ35" i="43"/>
  <c r="DR35" i="43"/>
  <c r="DS35" i="43"/>
  <c r="DT35" i="43"/>
  <c r="DU35" i="43"/>
  <c r="DV35" i="43"/>
  <c r="DW35" i="43"/>
  <c r="DX35" i="43"/>
  <c r="DY35" i="43"/>
  <c r="DZ35" i="43"/>
  <c r="EA35" i="43"/>
  <c r="EB35" i="43"/>
  <c r="EC35" i="43"/>
  <c r="ED35" i="43"/>
  <c r="EE35" i="43"/>
  <c r="EF35" i="43"/>
  <c r="EG35" i="43"/>
  <c r="EH35" i="43"/>
  <c r="EI35" i="43"/>
  <c r="EJ35" i="43"/>
  <c r="EK35" i="43"/>
  <c r="EL35" i="43"/>
  <c r="EM35" i="43"/>
  <c r="EN35" i="43"/>
  <c r="EO35" i="43"/>
  <c r="EP35" i="43"/>
  <c r="EQ35" i="43"/>
  <c r="ER35" i="43"/>
  <c r="ES35" i="43"/>
  <c r="ET35" i="43"/>
  <c r="EU35" i="43"/>
  <c r="EV35" i="43"/>
  <c r="EW35" i="43"/>
  <c r="EX35" i="43"/>
  <c r="EY35" i="43"/>
  <c r="EZ35" i="43"/>
  <c r="FA35" i="43"/>
  <c r="FB35" i="43"/>
  <c r="FC35" i="43"/>
  <c r="FD35" i="43"/>
  <c r="FE35" i="43"/>
  <c r="FF35" i="43"/>
  <c r="FG35" i="43"/>
  <c r="FH35" i="43"/>
  <c r="FI35" i="43"/>
  <c r="FJ35" i="43"/>
  <c r="FK35" i="43"/>
  <c r="FL35" i="43"/>
  <c r="FM35" i="43"/>
  <c r="FN35" i="43"/>
  <c r="FO35" i="43"/>
  <c r="FP35" i="43"/>
  <c r="FQ35" i="43"/>
  <c r="FR35" i="43"/>
  <c r="FS35" i="43"/>
  <c r="FT35" i="43"/>
  <c r="FU35" i="43"/>
  <c r="FV35" i="43"/>
  <c r="FW35" i="43"/>
  <c r="FX35" i="43"/>
  <c r="FY35" i="43"/>
  <c r="FZ35" i="43"/>
  <c r="GA35" i="43"/>
  <c r="GB35" i="43"/>
  <c r="GC35" i="43"/>
  <c r="GD35" i="43"/>
  <c r="GE35" i="43"/>
  <c r="GF35" i="43"/>
  <c r="GG35" i="43"/>
  <c r="GH35" i="43"/>
  <c r="GI35" i="43"/>
  <c r="GJ35" i="43"/>
  <c r="GK35" i="43"/>
  <c r="GL35" i="43"/>
  <c r="GM35" i="43"/>
  <c r="GN35" i="43"/>
  <c r="GO35" i="43"/>
  <c r="GP35" i="43"/>
  <c r="GQ35" i="43"/>
  <c r="GR35" i="43"/>
  <c r="GS35" i="43"/>
  <c r="GT35" i="43"/>
  <c r="GU35" i="43"/>
  <c r="GV35" i="43"/>
  <c r="GW35" i="43"/>
  <c r="GX35" i="43"/>
  <c r="GY35" i="43"/>
  <c r="GZ35" i="43"/>
  <c r="HA35" i="43"/>
  <c r="HB35" i="43"/>
  <c r="HC35" i="43"/>
  <c r="HD35" i="43"/>
  <c r="HE35" i="43"/>
  <c r="HF35" i="43"/>
  <c r="HG35" i="43"/>
  <c r="HH35" i="43"/>
  <c r="HI35" i="43"/>
  <c r="HJ35" i="43"/>
  <c r="HK35" i="43"/>
  <c r="HL35" i="43"/>
  <c r="HM35" i="43"/>
  <c r="HN35" i="43"/>
  <c r="HO35" i="43"/>
  <c r="HP35" i="43"/>
  <c r="HQ35" i="43"/>
  <c r="HR35" i="43"/>
  <c r="HS35" i="43"/>
  <c r="HT35" i="43"/>
  <c r="HU35" i="43"/>
  <c r="HV35" i="43"/>
  <c r="HW35" i="43"/>
  <c r="HX35" i="43"/>
  <c r="HY35" i="43"/>
  <c r="HZ35" i="43"/>
  <c r="IA35" i="43"/>
  <c r="IB35" i="43"/>
  <c r="IC35" i="43"/>
  <c r="ID35" i="43"/>
  <c r="IE35" i="43"/>
  <c r="IF35" i="43"/>
  <c r="IG35" i="43"/>
  <c r="IH35" i="43"/>
  <c r="II35" i="43"/>
  <c r="IJ35" i="43"/>
  <c r="IK35" i="43"/>
  <c r="IL35" i="43"/>
  <c r="IM35" i="43"/>
  <c r="IN35" i="43"/>
  <c r="IO35" i="43"/>
  <c r="IP35" i="43"/>
  <c r="IQ35" i="43"/>
  <c r="IR35" i="43"/>
  <c r="IS35" i="43"/>
  <c r="IT35" i="43"/>
  <c r="IU35" i="43"/>
  <c r="IV35" i="43"/>
  <c r="A34" i="43"/>
  <c r="B34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DA34" i="43"/>
  <c r="DB34" i="43"/>
  <c r="DC34" i="43"/>
  <c r="DD34" i="43"/>
  <c r="DE34" i="43"/>
  <c r="DF34" i="43"/>
  <c r="DG34" i="43"/>
  <c r="DH34" i="43"/>
  <c r="DI34" i="43"/>
  <c r="DJ34" i="43"/>
  <c r="DK34" i="43"/>
  <c r="DL34" i="43"/>
  <c r="DM34" i="43"/>
  <c r="DN34" i="43"/>
  <c r="DO34" i="43"/>
  <c r="DP34" i="43"/>
  <c r="DQ34" i="43"/>
  <c r="DR34" i="43"/>
  <c r="DS34" i="43"/>
  <c r="DT34" i="43"/>
  <c r="DU34" i="43"/>
  <c r="DV34" i="43"/>
  <c r="DW34" i="43"/>
  <c r="DX34" i="43"/>
  <c r="DY34" i="43"/>
  <c r="DZ34" i="43"/>
  <c r="EA34" i="43"/>
  <c r="EB34" i="43"/>
  <c r="EC34" i="43"/>
  <c r="ED34" i="43"/>
  <c r="EE34" i="43"/>
  <c r="EF34" i="43"/>
  <c r="EG34" i="43"/>
  <c r="EH34" i="43"/>
  <c r="EI34" i="43"/>
  <c r="EJ34" i="43"/>
  <c r="EK34" i="43"/>
  <c r="EL34" i="43"/>
  <c r="EM34" i="43"/>
  <c r="EN34" i="43"/>
  <c r="EO34" i="43"/>
  <c r="EP34" i="43"/>
  <c r="EQ34" i="43"/>
  <c r="ER34" i="43"/>
  <c r="ES34" i="43"/>
  <c r="ET34" i="43"/>
  <c r="EU34" i="43"/>
  <c r="EV34" i="43"/>
  <c r="EW34" i="43"/>
  <c r="EX34" i="43"/>
  <c r="EY34" i="43"/>
  <c r="EZ34" i="43"/>
  <c r="FA34" i="43"/>
  <c r="FB34" i="43"/>
  <c r="FC34" i="43"/>
  <c r="FD34" i="43"/>
  <c r="FE34" i="43"/>
  <c r="FF34" i="43"/>
  <c r="FG34" i="43"/>
  <c r="FH34" i="43"/>
  <c r="FI34" i="43"/>
  <c r="FJ34" i="43"/>
  <c r="FK34" i="43"/>
  <c r="FL34" i="43"/>
  <c r="FM34" i="43"/>
  <c r="FN34" i="43"/>
  <c r="FO34" i="43"/>
  <c r="FP34" i="43"/>
  <c r="FQ34" i="43"/>
  <c r="FR34" i="43"/>
  <c r="FS34" i="43"/>
  <c r="FT34" i="43"/>
  <c r="FU34" i="43"/>
  <c r="FV34" i="43"/>
  <c r="FW34" i="43"/>
  <c r="FX34" i="43"/>
  <c r="FY34" i="43"/>
  <c r="FZ34" i="43"/>
  <c r="GA34" i="43"/>
  <c r="GB34" i="43"/>
  <c r="GC34" i="43"/>
  <c r="GD34" i="43"/>
  <c r="GE34" i="43"/>
  <c r="GF34" i="43"/>
  <c r="GG34" i="43"/>
  <c r="GH34" i="43"/>
  <c r="GI34" i="43"/>
  <c r="GJ34" i="43"/>
  <c r="GK34" i="43"/>
  <c r="GL34" i="43"/>
  <c r="GM34" i="43"/>
  <c r="GN34" i="43"/>
  <c r="GO34" i="43"/>
  <c r="GP34" i="43"/>
  <c r="GQ34" i="43"/>
  <c r="GR34" i="43"/>
  <c r="GS34" i="43"/>
  <c r="GT34" i="43"/>
  <c r="GU34" i="43"/>
  <c r="GV34" i="43"/>
  <c r="GW34" i="43"/>
  <c r="GX34" i="43"/>
  <c r="GY34" i="43"/>
  <c r="GZ34" i="43"/>
  <c r="HA34" i="43"/>
  <c r="HB34" i="43"/>
  <c r="HC34" i="43"/>
  <c r="HD34" i="43"/>
  <c r="HE34" i="43"/>
  <c r="HF34" i="43"/>
  <c r="HG34" i="43"/>
  <c r="HH34" i="43"/>
  <c r="HI34" i="43"/>
  <c r="HJ34" i="43"/>
  <c r="HK34" i="43"/>
  <c r="HL34" i="43"/>
  <c r="HM34" i="43"/>
  <c r="HN34" i="43"/>
  <c r="HO34" i="43"/>
  <c r="HP34" i="43"/>
  <c r="HQ34" i="43"/>
  <c r="HR34" i="43"/>
  <c r="HS34" i="43"/>
  <c r="HT34" i="43"/>
  <c r="HU34" i="43"/>
  <c r="HV34" i="43"/>
  <c r="HW34" i="43"/>
  <c r="HX34" i="43"/>
  <c r="HY34" i="43"/>
  <c r="HZ34" i="43"/>
  <c r="IA34" i="43"/>
  <c r="IB34" i="43"/>
  <c r="IC34" i="43"/>
  <c r="ID34" i="43"/>
  <c r="IE34" i="43"/>
  <c r="IF34" i="43"/>
  <c r="IG34" i="43"/>
  <c r="IH34" i="43"/>
  <c r="II34" i="43"/>
  <c r="IJ34" i="43"/>
  <c r="IK34" i="43"/>
  <c r="IL34" i="43"/>
  <c r="IM34" i="43"/>
  <c r="IN34" i="43"/>
  <c r="IO34" i="43"/>
  <c r="IP34" i="43"/>
  <c r="IQ34" i="43"/>
  <c r="IR34" i="43"/>
  <c r="IS34" i="43"/>
  <c r="IT34" i="43"/>
  <c r="IU34" i="43"/>
  <c r="IV34" i="43"/>
  <c r="A33" i="43"/>
  <c r="B33" i="43"/>
  <c r="C33" i="43"/>
  <c r="D33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BE33" i="43"/>
  <c r="BF33" i="43"/>
  <c r="BG33" i="43"/>
  <c r="BH33" i="43"/>
  <c r="BI33" i="43"/>
  <c r="BJ33" i="43"/>
  <c r="BK33" i="43"/>
  <c r="BL33" i="43"/>
  <c r="BM33" i="43"/>
  <c r="BN33" i="43"/>
  <c r="BO33" i="43"/>
  <c r="BP33" i="43"/>
  <c r="BQ33" i="43"/>
  <c r="BR33" i="43"/>
  <c r="BS33" i="43"/>
  <c r="BT33" i="43"/>
  <c r="BU33" i="43"/>
  <c r="BV33" i="43"/>
  <c r="BW33" i="43"/>
  <c r="BX33" i="43"/>
  <c r="BY33" i="43"/>
  <c r="BZ33" i="43"/>
  <c r="CA33" i="43"/>
  <c r="CB33" i="43"/>
  <c r="CC33" i="43"/>
  <c r="CD33" i="43"/>
  <c r="CE33" i="43"/>
  <c r="CF33" i="43"/>
  <c r="CG33" i="43"/>
  <c r="CH33" i="43"/>
  <c r="CI33" i="43"/>
  <c r="CJ33" i="43"/>
  <c r="CK33" i="43"/>
  <c r="CL33" i="43"/>
  <c r="CM33" i="43"/>
  <c r="CN33" i="43"/>
  <c r="CO33" i="43"/>
  <c r="CP33" i="43"/>
  <c r="CQ33" i="43"/>
  <c r="CR33" i="43"/>
  <c r="CS33" i="43"/>
  <c r="CT33" i="43"/>
  <c r="CU33" i="43"/>
  <c r="CV33" i="43"/>
  <c r="CW33" i="43"/>
  <c r="CX33" i="43"/>
  <c r="CY33" i="43"/>
  <c r="CZ33" i="43"/>
  <c r="DA33" i="43"/>
  <c r="DB33" i="43"/>
  <c r="DC33" i="43"/>
  <c r="DD33" i="43"/>
  <c r="DE33" i="43"/>
  <c r="DF33" i="43"/>
  <c r="DG33" i="43"/>
  <c r="DH33" i="43"/>
  <c r="DI33" i="43"/>
  <c r="DJ33" i="43"/>
  <c r="DK33" i="43"/>
  <c r="DL33" i="43"/>
  <c r="DM33" i="43"/>
  <c r="DN33" i="43"/>
  <c r="DO33" i="43"/>
  <c r="DP33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J33" i="43"/>
  <c r="EK33" i="43"/>
  <c r="EL33" i="43"/>
  <c r="EM33" i="43"/>
  <c r="EN33" i="43"/>
  <c r="EO33" i="43"/>
  <c r="EP33" i="43"/>
  <c r="EQ33" i="43"/>
  <c r="ER33" i="43"/>
  <c r="ES33" i="43"/>
  <c r="ET33" i="43"/>
  <c r="EU33" i="43"/>
  <c r="EV33" i="43"/>
  <c r="EW33" i="43"/>
  <c r="EX33" i="43"/>
  <c r="EY33" i="43"/>
  <c r="EZ33" i="43"/>
  <c r="FA33" i="43"/>
  <c r="FB33" i="43"/>
  <c r="FC33" i="43"/>
  <c r="FD33" i="43"/>
  <c r="FE33" i="43"/>
  <c r="FF33" i="43"/>
  <c r="FG33" i="43"/>
  <c r="FH33" i="43"/>
  <c r="FI33" i="43"/>
  <c r="FJ33" i="43"/>
  <c r="FK33" i="43"/>
  <c r="FL33" i="43"/>
  <c r="FM33" i="43"/>
  <c r="FN33" i="43"/>
  <c r="FO33" i="43"/>
  <c r="FP33" i="43"/>
  <c r="FQ33" i="43"/>
  <c r="FR33" i="43"/>
  <c r="FS33" i="43"/>
  <c r="FT33" i="43"/>
  <c r="FU33" i="43"/>
  <c r="FV33" i="43"/>
  <c r="FW33" i="43"/>
  <c r="FX33" i="43"/>
  <c r="FY33" i="43"/>
  <c r="FZ33" i="43"/>
  <c r="GA33" i="43"/>
  <c r="GB33" i="43"/>
  <c r="GC33" i="43"/>
  <c r="GD33" i="43"/>
  <c r="GE33" i="43"/>
  <c r="GF33" i="43"/>
  <c r="GG33" i="43"/>
  <c r="GH33" i="43"/>
  <c r="GI33" i="43"/>
  <c r="GJ33" i="43"/>
  <c r="GK33" i="43"/>
  <c r="GL33" i="43"/>
  <c r="GM33" i="43"/>
  <c r="GN33" i="43"/>
  <c r="GO33" i="43"/>
  <c r="GP33" i="43"/>
  <c r="GQ33" i="43"/>
  <c r="GR33" i="43"/>
  <c r="GS33" i="43"/>
  <c r="GT33" i="43"/>
  <c r="GU33" i="43"/>
  <c r="GV33" i="43"/>
  <c r="GW33" i="43"/>
  <c r="GX33" i="43"/>
  <c r="GY33" i="43"/>
  <c r="GZ33" i="43"/>
  <c r="HA33" i="43"/>
  <c r="HB33" i="43"/>
  <c r="HC33" i="43"/>
  <c r="HD33" i="43"/>
  <c r="HE33" i="43"/>
  <c r="HF33" i="43"/>
  <c r="HG33" i="43"/>
  <c r="HH33" i="43"/>
  <c r="HI33" i="43"/>
  <c r="HJ33" i="43"/>
  <c r="HK33" i="43"/>
  <c r="HL33" i="43"/>
  <c r="HM33" i="43"/>
  <c r="HN33" i="43"/>
  <c r="HO33" i="43"/>
  <c r="HP33" i="43"/>
  <c r="HQ33" i="43"/>
  <c r="HR33" i="43"/>
  <c r="HS33" i="43"/>
  <c r="HT33" i="43"/>
  <c r="HU33" i="43"/>
  <c r="HV33" i="43"/>
  <c r="HW33" i="43"/>
  <c r="HX33" i="43"/>
  <c r="HY33" i="43"/>
  <c r="HZ33" i="43"/>
  <c r="IA33" i="43"/>
  <c r="IB33" i="43"/>
  <c r="IC33" i="43"/>
  <c r="ID33" i="43"/>
  <c r="IE33" i="43"/>
  <c r="IF33" i="43"/>
  <c r="IG33" i="43"/>
  <c r="IH33" i="43"/>
  <c r="II33" i="43"/>
  <c r="IJ33" i="43"/>
  <c r="IK33" i="43"/>
  <c r="IL33" i="43"/>
  <c r="IM33" i="43"/>
  <c r="IN33" i="43"/>
  <c r="IO33" i="43"/>
  <c r="IP33" i="43"/>
  <c r="IQ33" i="43"/>
  <c r="IR33" i="43"/>
  <c r="IS33" i="43"/>
  <c r="IT33" i="43"/>
  <c r="IU33" i="43"/>
  <c r="IV33" i="43"/>
  <c r="A32" i="43"/>
  <c r="B32" i="43"/>
  <c r="C32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BE32" i="43"/>
  <c r="BF32" i="43"/>
  <c r="BG32" i="43"/>
  <c r="BH32" i="43"/>
  <c r="BI32" i="43"/>
  <c r="BJ32" i="43"/>
  <c r="BK32" i="43"/>
  <c r="BL32" i="43"/>
  <c r="BM32" i="43"/>
  <c r="BN32" i="43"/>
  <c r="BO32" i="43"/>
  <c r="BP32" i="43"/>
  <c r="BQ32" i="43"/>
  <c r="BR32" i="43"/>
  <c r="BS32" i="43"/>
  <c r="BT32" i="43"/>
  <c r="BU32" i="43"/>
  <c r="BV32" i="43"/>
  <c r="BW32" i="43"/>
  <c r="BX32" i="43"/>
  <c r="BY32" i="43"/>
  <c r="BZ32" i="43"/>
  <c r="CA32" i="43"/>
  <c r="CB32" i="43"/>
  <c r="CC32" i="43"/>
  <c r="CD32" i="43"/>
  <c r="CE32" i="43"/>
  <c r="CF32" i="43"/>
  <c r="CG32" i="43"/>
  <c r="CH32" i="43"/>
  <c r="CI32" i="43"/>
  <c r="CJ32" i="43"/>
  <c r="CK32" i="43"/>
  <c r="CL32" i="43"/>
  <c r="CM32" i="43"/>
  <c r="CN32" i="43"/>
  <c r="CO32" i="43"/>
  <c r="CP32" i="43"/>
  <c r="CQ32" i="43"/>
  <c r="CR32" i="43"/>
  <c r="CS32" i="43"/>
  <c r="CT32" i="43"/>
  <c r="CU32" i="43"/>
  <c r="CV32" i="43"/>
  <c r="CW32" i="43"/>
  <c r="CX32" i="43"/>
  <c r="CY32" i="43"/>
  <c r="CZ32" i="43"/>
  <c r="DA32" i="43"/>
  <c r="DB32" i="43"/>
  <c r="DC32" i="43"/>
  <c r="DD32" i="43"/>
  <c r="DE32" i="43"/>
  <c r="DF32" i="43"/>
  <c r="DG32" i="43"/>
  <c r="DH32" i="43"/>
  <c r="DI32" i="43"/>
  <c r="DJ32" i="43"/>
  <c r="DK32" i="43"/>
  <c r="DL32" i="43"/>
  <c r="DM32" i="43"/>
  <c r="DN32" i="43"/>
  <c r="DO32" i="43"/>
  <c r="DP32" i="43"/>
  <c r="DQ32" i="43"/>
  <c r="DR32" i="43"/>
  <c r="DS32" i="43"/>
  <c r="DT32" i="43"/>
  <c r="DU32" i="43"/>
  <c r="DV32" i="43"/>
  <c r="DW32" i="43"/>
  <c r="DX32" i="43"/>
  <c r="DY32" i="43"/>
  <c r="DZ32" i="43"/>
  <c r="EA32" i="43"/>
  <c r="EB32" i="43"/>
  <c r="EC32" i="43"/>
  <c r="ED32" i="43"/>
  <c r="EE32" i="43"/>
  <c r="EF32" i="43"/>
  <c r="EG32" i="43"/>
  <c r="EH32" i="43"/>
  <c r="EI32" i="43"/>
  <c r="EJ32" i="43"/>
  <c r="EK32" i="43"/>
  <c r="EL32" i="43"/>
  <c r="EM32" i="43"/>
  <c r="EN32" i="43"/>
  <c r="EO32" i="43"/>
  <c r="EP32" i="43"/>
  <c r="EQ32" i="43"/>
  <c r="ER32" i="43"/>
  <c r="ES32" i="43"/>
  <c r="ET32" i="43"/>
  <c r="EU32" i="43"/>
  <c r="EV32" i="43"/>
  <c r="EW32" i="43"/>
  <c r="EX32" i="43"/>
  <c r="EY32" i="43"/>
  <c r="EZ32" i="43"/>
  <c r="FA32" i="43"/>
  <c r="FB32" i="43"/>
  <c r="FC32" i="43"/>
  <c r="FD32" i="43"/>
  <c r="FE32" i="43"/>
  <c r="FF32" i="43"/>
  <c r="FG32" i="43"/>
  <c r="FH32" i="43"/>
  <c r="FI32" i="43"/>
  <c r="FJ32" i="43"/>
  <c r="FK32" i="43"/>
  <c r="FL32" i="43"/>
  <c r="FM32" i="43"/>
  <c r="FN32" i="43"/>
  <c r="FO32" i="43"/>
  <c r="FP32" i="43"/>
  <c r="FQ32" i="43"/>
  <c r="FR32" i="43"/>
  <c r="FS32" i="43"/>
  <c r="FT32" i="43"/>
  <c r="FU32" i="43"/>
  <c r="FV32" i="43"/>
  <c r="FW32" i="43"/>
  <c r="FX32" i="43"/>
  <c r="FY32" i="43"/>
  <c r="FZ32" i="43"/>
  <c r="GA32" i="43"/>
  <c r="GB32" i="43"/>
  <c r="GC32" i="43"/>
  <c r="GD32" i="43"/>
  <c r="GE32" i="43"/>
  <c r="GF32" i="43"/>
  <c r="GG32" i="43"/>
  <c r="GH32" i="43"/>
  <c r="GI32" i="43"/>
  <c r="GJ32" i="43"/>
  <c r="GK32" i="43"/>
  <c r="GL32" i="43"/>
  <c r="GM32" i="43"/>
  <c r="GN32" i="43"/>
  <c r="GO32" i="43"/>
  <c r="GP32" i="43"/>
  <c r="GQ32" i="43"/>
  <c r="GR32" i="43"/>
  <c r="GS32" i="43"/>
  <c r="GT32" i="43"/>
  <c r="GU32" i="43"/>
  <c r="GV32" i="43"/>
  <c r="GW32" i="43"/>
  <c r="GX32" i="43"/>
  <c r="GY32" i="43"/>
  <c r="GZ32" i="43"/>
  <c r="HA32" i="43"/>
  <c r="HB32" i="43"/>
  <c r="HC32" i="43"/>
  <c r="HD32" i="43"/>
  <c r="HE32" i="43"/>
  <c r="HF32" i="43"/>
  <c r="HG32" i="43"/>
  <c r="HH32" i="43"/>
  <c r="HI32" i="43"/>
  <c r="HJ32" i="43"/>
  <c r="HK32" i="43"/>
  <c r="HL32" i="43"/>
  <c r="HM32" i="43"/>
  <c r="HN32" i="43"/>
  <c r="HO32" i="43"/>
  <c r="HP32" i="43"/>
  <c r="HQ32" i="43"/>
  <c r="HR32" i="43"/>
  <c r="HS32" i="43"/>
  <c r="HT32" i="43"/>
  <c r="HU32" i="43"/>
  <c r="HV32" i="43"/>
  <c r="HW32" i="43"/>
  <c r="HX32" i="43"/>
  <c r="HY32" i="43"/>
  <c r="HZ32" i="43"/>
  <c r="IA32" i="43"/>
  <c r="IB32" i="43"/>
  <c r="IC32" i="43"/>
  <c r="ID32" i="43"/>
  <c r="IE32" i="43"/>
  <c r="IF32" i="43"/>
  <c r="IG32" i="43"/>
  <c r="IH32" i="43"/>
  <c r="II32" i="43"/>
  <c r="IJ32" i="43"/>
  <c r="IK32" i="43"/>
  <c r="IL32" i="43"/>
  <c r="IM32" i="43"/>
  <c r="IN32" i="43"/>
  <c r="IO32" i="43"/>
  <c r="IP32" i="43"/>
  <c r="IQ32" i="43"/>
  <c r="IR32" i="43"/>
  <c r="IS32" i="43"/>
  <c r="IT32" i="43"/>
  <c r="IU32" i="43"/>
  <c r="IV32" i="43"/>
  <c r="A31" i="43"/>
  <c r="B31" i="43"/>
  <c r="C31" i="43"/>
  <c r="D31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I31" i="43"/>
  <c r="BJ31" i="43"/>
  <c r="BK31" i="43"/>
  <c r="BL31" i="43"/>
  <c r="BM31" i="43"/>
  <c r="BN31" i="43"/>
  <c r="BO31" i="43"/>
  <c r="BP31" i="43"/>
  <c r="BQ31" i="43"/>
  <c r="BR31" i="43"/>
  <c r="BS31" i="43"/>
  <c r="BT31" i="43"/>
  <c r="BU31" i="43"/>
  <c r="BV31" i="43"/>
  <c r="BW31" i="43"/>
  <c r="BX31" i="43"/>
  <c r="BY31" i="43"/>
  <c r="BZ31" i="43"/>
  <c r="CA31" i="43"/>
  <c r="CB31" i="43"/>
  <c r="CC31" i="43"/>
  <c r="CD31" i="43"/>
  <c r="CE31" i="43"/>
  <c r="CF31" i="43"/>
  <c r="CG31" i="43"/>
  <c r="CH31" i="43"/>
  <c r="CI31" i="43"/>
  <c r="CJ31" i="43"/>
  <c r="CK31" i="43"/>
  <c r="CL31" i="43"/>
  <c r="CM31" i="43"/>
  <c r="CN31" i="43"/>
  <c r="CO31" i="43"/>
  <c r="CP31" i="43"/>
  <c r="CQ31" i="43"/>
  <c r="CR31" i="43"/>
  <c r="CS31" i="43"/>
  <c r="CT31" i="43"/>
  <c r="CU31" i="43"/>
  <c r="CV31" i="43"/>
  <c r="CW31" i="43"/>
  <c r="CX31" i="43"/>
  <c r="CY31" i="43"/>
  <c r="CZ31" i="43"/>
  <c r="DA31" i="43"/>
  <c r="DB31" i="43"/>
  <c r="DC31" i="43"/>
  <c r="DD31" i="43"/>
  <c r="DE31" i="43"/>
  <c r="DF31" i="43"/>
  <c r="DG31" i="43"/>
  <c r="DH31" i="43"/>
  <c r="DI31" i="43"/>
  <c r="DJ31" i="43"/>
  <c r="DK31" i="43"/>
  <c r="DL31" i="43"/>
  <c r="DM31" i="43"/>
  <c r="DN31" i="43"/>
  <c r="DO31" i="43"/>
  <c r="DP31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J31" i="43"/>
  <c r="EK31" i="43"/>
  <c r="EL31" i="43"/>
  <c r="EM31" i="43"/>
  <c r="EN31" i="43"/>
  <c r="EO31" i="43"/>
  <c r="EP31" i="43"/>
  <c r="EQ31" i="43"/>
  <c r="ER31" i="43"/>
  <c r="ES31" i="43"/>
  <c r="ET31" i="43"/>
  <c r="EU31" i="43"/>
  <c r="EV31" i="43"/>
  <c r="EW31" i="43"/>
  <c r="EX31" i="43"/>
  <c r="EY31" i="43"/>
  <c r="EZ31" i="43"/>
  <c r="FA31" i="43"/>
  <c r="FB31" i="43"/>
  <c r="FC31" i="43"/>
  <c r="FD31" i="43"/>
  <c r="FE31" i="43"/>
  <c r="FF31" i="43"/>
  <c r="FG31" i="43"/>
  <c r="FH31" i="43"/>
  <c r="FI31" i="43"/>
  <c r="FJ31" i="43"/>
  <c r="FK31" i="43"/>
  <c r="FL31" i="43"/>
  <c r="FM31" i="43"/>
  <c r="FN31" i="43"/>
  <c r="FO31" i="43"/>
  <c r="FP31" i="43"/>
  <c r="FQ31" i="43"/>
  <c r="FR31" i="43"/>
  <c r="FS31" i="43"/>
  <c r="FT31" i="43"/>
  <c r="FU31" i="43"/>
  <c r="FV31" i="43"/>
  <c r="FW31" i="43"/>
  <c r="FX31" i="43"/>
  <c r="FY31" i="43"/>
  <c r="FZ31" i="43"/>
  <c r="GA31" i="43"/>
  <c r="GB31" i="43"/>
  <c r="GC31" i="43"/>
  <c r="GD31" i="43"/>
  <c r="GE31" i="43"/>
  <c r="GF31" i="43"/>
  <c r="GG31" i="43"/>
  <c r="GH31" i="43"/>
  <c r="GI31" i="43"/>
  <c r="GJ31" i="43"/>
  <c r="GK31" i="43"/>
  <c r="GL31" i="43"/>
  <c r="GM31" i="43"/>
  <c r="GN31" i="43"/>
  <c r="GO31" i="43"/>
  <c r="GP31" i="43"/>
  <c r="GQ31" i="43"/>
  <c r="GR31" i="43"/>
  <c r="GS31" i="43"/>
  <c r="GT31" i="43"/>
  <c r="GU31" i="43"/>
  <c r="GV31" i="43"/>
  <c r="GW31" i="43"/>
  <c r="GX31" i="43"/>
  <c r="GY31" i="43"/>
  <c r="GZ31" i="43"/>
  <c r="HA31" i="43"/>
  <c r="HB31" i="43"/>
  <c r="HC31" i="43"/>
  <c r="HD31" i="43"/>
  <c r="HE31" i="43"/>
  <c r="HF31" i="43"/>
  <c r="HG31" i="43"/>
  <c r="HH31" i="43"/>
  <c r="HI31" i="43"/>
  <c r="HJ31" i="43"/>
  <c r="HK31" i="43"/>
  <c r="HL31" i="43"/>
  <c r="HM31" i="43"/>
  <c r="HN31" i="43"/>
  <c r="HO31" i="43"/>
  <c r="HP31" i="43"/>
  <c r="HQ31" i="43"/>
  <c r="HR31" i="43"/>
  <c r="HS31" i="43"/>
  <c r="HT31" i="43"/>
  <c r="HU31" i="43"/>
  <c r="HV31" i="43"/>
  <c r="HW31" i="43"/>
  <c r="HX31" i="43"/>
  <c r="HY31" i="43"/>
  <c r="HZ31" i="43"/>
  <c r="IA31" i="43"/>
  <c r="IB31" i="43"/>
  <c r="IC31" i="43"/>
  <c r="ID31" i="43"/>
  <c r="IE31" i="43"/>
  <c r="IF31" i="43"/>
  <c r="IG31" i="43"/>
  <c r="IH31" i="43"/>
  <c r="II31" i="43"/>
  <c r="IJ31" i="43"/>
  <c r="IK31" i="43"/>
  <c r="IL31" i="43"/>
  <c r="IM31" i="43"/>
  <c r="IN31" i="43"/>
  <c r="IO31" i="43"/>
  <c r="IP31" i="43"/>
  <c r="IQ31" i="43"/>
  <c r="IR31" i="43"/>
  <c r="IS31" i="43"/>
  <c r="IT31" i="43"/>
  <c r="IU31" i="43"/>
  <c r="IV31" i="43"/>
  <c r="A30" i="43"/>
  <c r="B30" i="43"/>
  <c r="C30" i="43"/>
  <c r="D30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BE30" i="43"/>
  <c r="BF30" i="43"/>
  <c r="BG30" i="43"/>
  <c r="BH30" i="43"/>
  <c r="BI30" i="43"/>
  <c r="BJ30" i="43"/>
  <c r="BK30" i="43"/>
  <c r="BL30" i="43"/>
  <c r="BM30" i="43"/>
  <c r="BN30" i="43"/>
  <c r="BO30" i="43"/>
  <c r="BP30" i="43"/>
  <c r="BQ30" i="43"/>
  <c r="BR30" i="43"/>
  <c r="BS30" i="43"/>
  <c r="BT30" i="43"/>
  <c r="BU30" i="43"/>
  <c r="BV30" i="43"/>
  <c r="BW30" i="43"/>
  <c r="BX30" i="43"/>
  <c r="BY30" i="43"/>
  <c r="BZ30" i="43"/>
  <c r="CA30" i="43"/>
  <c r="CB30" i="43"/>
  <c r="CC30" i="43"/>
  <c r="CD30" i="43"/>
  <c r="CE30" i="43"/>
  <c r="CF30" i="43"/>
  <c r="CG30" i="43"/>
  <c r="CH30" i="43"/>
  <c r="CI30" i="43"/>
  <c r="CJ30" i="43"/>
  <c r="CK30" i="43"/>
  <c r="CL30" i="43"/>
  <c r="CM30" i="43"/>
  <c r="CN30" i="43"/>
  <c r="CO30" i="43"/>
  <c r="CP30" i="43"/>
  <c r="CQ30" i="43"/>
  <c r="CR30" i="43"/>
  <c r="CS30" i="43"/>
  <c r="CT30" i="43"/>
  <c r="CU30" i="43"/>
  <c r="CV30" i="43"/>
  <c r="CW30" i="43"/>
  <c r="CX30" i="43"/>
  <c r="CY30" i="43"/>
  <c r="CZ30" i="43"/>
  <c r="DA30" i="43"/>
  <c r="DB30" i="43"/>
  <c r="DC30" i="43"/>
  <c r="DD30" i="43"/>
  <c r="DE30" i="43"/>
  <c r="DF30" i="43"/>
  <c r="DG30" i="43"/>
  <c r="DH30" i="43"/>
  <c r="DI30" i="43"/>
  <c r="DJ30" i="43"/>
  <c r="DK30" i="43"/>
  <c r="DL30" i="43"/>
  <c r="DM30" i="43"/>
  <c r="DN30" i="43"/>
  <c r="DO30" i="43"/>
  <c r="DP30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J30" i="43"/>
  <c r="EK30" i="43"/>
  <c r="EL30" i="43"/>
  <c r="EM30" i="43"/>
  <c r="EN30" i="43"/>
  <c r="EO30" i="43"/>
  <c r="EP30" i="43"/>
  <c r="EQ30" i="43"/>
  <c r="ER30" i="43"/>
  <c r="ES30" i="43"/>
  <c r="ET30" i="43"/>
  <c r="EU30" i="43"/>
  <c r="EV30" i="43"/>
  <c r="EW30" i="43"/>
  <c r="EX30" i="43"/>
  <c r="EY30" i="43"/>
  <c r="EZ30" i="43"/>
  <c r="FA30" i="43"/>
  <c r="FB30" i="43"/>
  <c r="FC30" i="43"/>
  <c r="FD30" i="43"/>
  <c r="FE30" i="43"/>
  <c r="FF30" i="43"/>
  <c r="FG30" i="43"/>
  <c r="FH30" i="43"/>
  <c r="FI30" i="43"/>
  <c r="FJ30" i="43"/>
  <c r="FK30" i="43"/>
  <c r="FL30" i="43"/>
  <c r="FM30" i="43"/>
  <c r="FN30" i="43"/>
  <c r="FO30" i="43"/>
  <c r="FP30" i="43"/>
  <c r="FQ30" i="43"/>
  <c r="FR30" i="43"/>
  <c r="FS30" i="43"/>
  <c r="FT30" i="43"/>
  <c r="FU30" i="43"/>
  <c r="FV30" i="43"/>
  <c r="FW30" i="43"/>
  <c r="FX30" i="43"/>
  <c r="FY30" i="43"/>
  <c r="FZ30" i="43"/>
  <c r="GA30" i="43"/>
  <c r="GB30" i="43"/>
  <c r="GC30" i="43"/>
  <c r="GD30" i="43"/>
  <c r="GE30" i="43"/>
  <c r="GF30" i="43"/>
  <c r="GG30" i="43"/>
  <c r="GH30" i="43"/>
  <c r="GI30" i="43"/>
  <c r="GJ30" i="43"/>
  <c r="GK30" i="43"/>
  <c r="GL30" i="43"/>
  <c r="GM30" i="43"/>
  <c r="GN30" i="43"/>
  <c r="GO30" i="43"/>
  <c r="GP30" i="43"/>
  <c r="GQ30" i="43"/>
  <c r="GR30" i="43"/>
  <c r="GS30" i="43"/>
  <c r="GT30" i="43"/>
  <c r="GU30" i="43"/>
  <c r="GV30" i="43"/>
  <c r="GW30" i="43"/>
  <c r="GX30" i="43"/>
  <c r="GY30" i="43"/>
  <c r="GZ30" i="43"/>
  <c r="HA30" i="43"/>
  <c r="HB30" i="43"/>
  <c r="HC30" i="43"/>
  <c r="HD30" i="43"/>
  <c r="HE30" i="43"/>
  <c r="HF30" i="43"/>
  <c r="HG30" i="43"/>
  <c r="HH30" i="43"/>
  <c r="HI30" i="43"/>
  <c r="HJ30" i="43"/>
  <c r="HK30" i="43"/>
  <c r="HL30" i="43"/>
  <c r="HM30" i="43"/>
  <c r="HN30" i="43"/>
  <c r="HO30" i="43"/>
  <c r="HP30" i="43"/>
  <c r="HQ30" i="43"/>
  <c r="HR30" i="43"/>
  <c r="HS30" i="43"/>
  <c r="HT30" i="43"/>
  <c r="HU30" i="43"/>
  <c r="HV30" i="43"/>
  <c r="HW30" i="43"/>
  <c r="HX30" i="43"/>
  <c r="HY30" i="43"/>
  <c r="HZ30" i="43"/>
  <c r="IA30" i="43"/>
  <c r="IB30" i="43"/>
  <c r="IC30" i="43"/>
  <c r="ID30" i="43"/>
  <c r="IE30" i="43"/>
  <c r="IF30" i="43"/>
  <c r="IG30" i="43"/>
  <c r="IH30" i="43"/>
  <c r="II30" i="43"/>
  <c r="IJ30" i="43"/>
  <c r="IK30" i="43"/>
  <c r="IL30" i="43"/>
  <c r="IM30" i="43"/>
  <c r="IN30" i="43"/>
  <c r="IO30" i="43"/>
  <c r="IP30" i="43"/>
  <c r="IQ30" i="43"/>
  <c r="IR30" i="43"/>
  <c r="IS30" i="43"/>
  <c r="IT30" i="43"/>
  <c r="IU30" i="43"/>
  <c r="IV30" i="43"/>
  <c r="A29" i="43"/>
  <c r="B29" i="43"/>
  <c r="C29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DD29" i="43"/>
  <c r="DE29" i="43"/>
  <c r="DF29" i="43"/>
  <c r="DG29" i="43"/>
  <c r="DH29" i="43"/>
  <c r="DI29" i="43"/>
  <c r="DJ29" i="43"/>
  <c r="DK29" i="43"/>
  <c r="DL29" i="43"/>
  <c r="DM29" i="43"/>
  <c r="DN29" i="43"/>
  <c r="DO29" i="43"/>
  <c r="DP29" i="43"/>
  <c r="DQ29" i="43"/>
  <c r="DR29" i="43"/>
  <c r="DS29" i="43"/>
  <c r="DT29" i="43"/>
  <c r="DU29" i="43"/>
  <c r="DV29" i="43"/>
  <c r="DW29" i="43"/>
  <c r="DX29" i="43"/>
  <c r="DY29" i="43"/>
  <c r="DZ29" i="43"/>
  <c r="EA29" i="43"/>
  <c r="EB29" i="43"/>
  <c r="EC29" i="43"/>
  <c r="ED29" i="43"/>
  <c r="EE29" i="43"/>
  <c r="EF29" i="43"/>
  <c r="EG29" i="43"/>
  <c r="EH29" i="43"/>
  <c r="EI29" i="43"/>
  <c r="EJ29" i="43"/>
  <c r="EK29" i="43"/>
  <c r="EL29" i="43"/>
  <c r="EM29" i="43"/>
  <c r="EN29" i="43"/>
  <c r="EO29" i="43"/>
  <c r="EP29" i="43"/>
  <c r="EQ29" i="43"/>
  <c r="ER29" i="43"/>
  <c r="ES29" i="43"/>
  <c r="ET29" i="43"/>
  <c r="EU29" i="43"/>
  <c r="EV29" i="43"/>
  <c r="EW29" i="43"/>
  <c r="EX29" i="43"/>
  <c r="EY29" i="43"/>
  <c r="EZ29" i="43"/>
  <c r="FA29" i="43"/>
  <c r="FB29" i="43"/>
  <c r="FC29" i="43"/>
  <c r="FD29" i="43"/>
  <c r="FE29" i="43"/>
  <c r="FF29" i="43"/>
  <c r="FG29" i="43"/>
  <c r="FH29" i="43"/>
  <c r="FI29" i="43"/>
  <c r="FJ29" i="43"/>
  <c r="FK29" i="43"/>
  <c r="FL29" i="43"/>
  <c r="FM29" i="43"/>
  <c r="FN29" i="43"/>
  <c r="FO29" i="43"/>
  <c r="FP29" i="43"/>
  <c r="FQ29" i="43"/>
  <c r="FR29" i="43"/>
  <c r="FS29" i="43"/>
  <c r="FT29" i="43"/>
  <c r="FU29" i="43"/>
  <c r="FV29" i="43"/>
  <c r="FW29" i="43"/>
  <c r="FX29" i="43"/>
  <c r="FY29" i="43"/>
  <c r="FZ29" i="43"/>
  <c r="GA29" i="43"/>
  <c r="GB29" i="43"/>
  <c r="GC29" i="43"/>
  <c r="GD29" i="43"/>
  <c r="GE29" i="43"/>
  <c r="GF29" i="43"/>
  <c r="GG29" i="43"/>
  <c r="GH29" i="43"/>
  <c r="GI29" i="43"/>
  <c r="GJ29" i="43"/>
  <c r="GK29" i="43"/>
  <c r="GL29" i="43"/>
  <c r="GM29" i="43"/>
  <c r="GN29" i="43"/>
  <c r="GO29" i="43"/>
  <c r="GP29" i="43"/>
  <c r="GQ29" i="43"/>
  <c r="GR29" i="43"/>
  <c r="GS29" i="43"/>
  <c r="GT29" i="43"/>
  <c r="GU29" i="43"/>
  <c r="GV29" i="43"/>
  <c r="GW29" i="43"/>
  <c r="GX29" i="43"/>
  <c r="GY29" i="43"/>
  <c r="GZ29" i="43"/>
  <c r="HA29" i="43"/>
  <c r="HB29" i="43"/>
  <c r="HC29" i="43"/>
  <c r="HD29" i="43"/>
  <c r="HE29" i="43"/>
  <c r="HF29" i="43"/>
  <c r="HG29" i="43"/>
  <c r="HH29" i="43"/>
  <c r="HI29" i="43"/>
  <c r="HJ29" i="43"/>
  <c r="HK29" i="43"/>
  <c r="HL29" i="43"/>
  <c r="HM29" i="43"/>
  <c r="HN29" i="43"/>
  <c r="HO29" i="43"/>
  <c r="HP29" i="43"/>
  <c r="HQ29" i="43"/>
  <c r="HR29" i="43"/>
  <c r="HS29" i="43"/>
  <c r="HT29" i="43"/>
  <c r="HU29" i="43"/>
  <c r="HV29" i="43"/>
  <c r="HW29" i="43"/>
  <c r="HX29" i="43"/>
  <c r="HY29" i="43"/>
  <c r="HZ29" i="43"/>
  <c r="IA29" i="43"/>
  <c r="IB29" i="43"/>
  <c r="IC29" i="43"/>
  <c r="ID29" i="43"/>
  <c r="IE29" i="43"/>
  <c r="IF29" i="43"/>
  <c r="IG29" i="43"/>
  <c r="IH29" i="43"/>
  <c r="II29" i="43"/>
  <c r="IJ29" i="43"/>
  <c r="IK29" i="43"/>
  <c r="IL29" i="43"/>
  <c r="IM29" i="43"/>
  <c r="IN29" i="43"/>
  <c r="IO29" i="43"/>
  <c r="IP29" i="43"/>
  <c r="IQ29" i="43"/>
  <c r="IR29" i="43"/>
  <c r="IS29" i="43"/>
  <c r="IT29" i="43"/>
  <c r="IU29" i="43"/>
  <c r="IV29" i="43"/>
  <c r="A28" i="43"/>
  <c r="B28" i="43"/>
  <c r="C28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BE28" i="43"/>
  <c r="BF28" i="43"/>
  <c r="BG28" i="43"/>
  <c r="BH28" i="43"/>
  <c r="BI28" i="43"/>
  <c r="BJ28" i="43"/>
  <c r="BK28" i="43"/>
  <c r="BL28" i="43"/>
  <c r="BM28" i="43"/>
  <c r="BN28" i="43"/>
  <c r="BO28" i="43"/>
  <c r="BP28" i="43"/>
  <c r="BQ28" i="43"/>
  <c r="BR28" i="43"/>
  <c r="BS28" i="43"/>
  <c r="BT28" i="43"/>
  <c r="BU28" i="43"/>
  <c r="BV28" i="43"/>
  <c r="BW28" i="43"/>
  <c r="BX28" i="43"/>
  <c r="BY28" i="43"/>
  <c r="BZ28" i="43"/>
  <c r="CA28" i="43"/>
  <c r="CB28" i="43"/>
  <c r="CC28" i="43"/>
  <c r="CD28" i="43"/>
  <c r="CE28" i="43"/>
  <c r="CF28" i="43"/>
  <c r="CG28" i="43"/>
  <c r="CH28" i="43"/>
  <c r="CI28" i="43"/>
  <c r="CJ28" i="43"/>
  <c r="CK28" i="43"/>
  <c r="CL28" i="43"/>
  <c r="CM28" i="43"/>
  <c r="CN28" i="43"/>
  <c r="CO28" i="43"/>
  <c r="CP28" i="43"/>
  <c r="CQ28" i="43"/>
  <c r="CR28" i="43"/>
  <c r="CS28" i="43"/>
  <c r="CT28" i="43"/>
  <c r="CU28" i="43"/>
  <c r="CV28" i="43"/>
  <c r="CW28" i="43"/>
  <c r="CX28" i="43"/>
  <c r="CY28" i="43"/>
  <c r="CZ28" i="43"/>
  <c r="DA28" i="43"/>
  <c r="DB28" i="43"/>
  <c r="DC28" i="43"/>
  <c r="DD28" i="43"/>
  <c r="DE28" i="43"/>
  <c r="DF28" i="43"/>
  <c r="DG28" i="43"/>
  <c r="DH28" i="43"/>
  <c r="DI28" i="43"/>
  <c r="DJ28" i="43"/>
  <c r="DK28" i="43"/>
  <c r="DL28" i="43"/>
  <c r="DM28" i="43"/>
  <c r="DN28" i="43"/>
  <c r="DO28" i="43"/>
  <c r="DP28" i="43"/>
  <c r="DQ28" i="43"/>
  <c r="DR28" i="43"/>
  <c r="DS28" i="43"/>
  <c r="DT28" i="43"/>
  <c r="DU28" i="43"/>
  <c r="DV28" i="43"/>
  <c r="DW28" i="43"/>
  <c r="DX28" i="43"/>
  <c r="DY28" i="43"/>
  <c r="DZ28" i="43"/>
  <c r="EA28" i="43"/>
  <c r="EB28" i="43"/>
  <c r="EC28" i="43"/>
  <c r="ED28" i="43"/>
  <c r="EE28" i="43"/>
  <c r="EF28" i="43"/>
  <c r="EG28" i="43"/>
  <c r="EH28" i="43"/>
  <c r="EI28" i="43"/>
  <c r="EJ28" i="43"/>
  <c r="EK28" i="43"/>
  <c r="EL28" i="43"/>
  <c r="EM28" i="43"/>
  <c r="EN28" i="43"/>
  <c r="EO28" i="43"/>
  <c r="EP28" i="43"/>
  <c r="EQ28" i="43"/>
  <c r="ER28" i="43"/>
  <c r="ES28" i="43"/>
  <c r="ET28" i="43"/>
  <c r="EU28" i="43"/>
  <c r="EV28" i="43"/>
  <c r="EW28" i="43"/>
  <c r="EX28" i="43"/>
  <c r="EY28" i="43"/>
  <c r="EZ28" i="43"/>
  <c r="FA28" i="43"/>
  <c r="FB28" i="43"/>
  <c r="FC28" i="43"/>
  <c r="FD28" i="43"/>
  <c r="FE28" i="43"/>
  <c r="FF28" i="43"/>
  <c r="FG28" i="43"/>
  <c r="FH28" i="43"/>
  <c r="FI28" i="43"/>
  <c r="FJ28" i="43"/>
  <c r="FK28" i="43"/>
  <c r="FL28" i="43"/>
  <c r="FM28" i="43"/>
  <c r="FN28" i="43"/>
  <c r="FO28" i="43"/>
  <c r="FP28" i="43"/>
  <c r="FQ28" i="43"/>
  <c r="FR28" i="43"/>
  <c r="FS28" i="43"/>
  <c r="FT28" i="43"/>
  <c r="FU28" i="43"/>
  <c r="FV28" i="43"/>
  <c r="FW28" i="43"/>
  <c r="FX28" i="43"/>
  <c r="FY28" i="43"/>
  <c r="FZ28" i="43"/>
  <c r="GA28" i="43"/>
  <c r="GB28" i="43"/>
  <c r="GC28" i="43"/>
  <c r="GD28" i="43"/>
  <c r="GE28" i="43"/>
  <c r="GF28" i="43"/>
  <c r="GG28" i="43"/>
  <c r="GH28" i="43"/>
  <c r="GI28" i="43"/>
  <c r="GJ28" i="43"/>
  <c r="GK28" i="43"/>
  <c r="GL28" i="43"/>
  <c r="GM28" i="43"/>
  <c r="GN28" i="43"/>
  <c r="GO28" i="43"/>
  <c r="GP28" i="43"/>
  <c r="GQ28" i="43"/>
  <c r="GR28" i="43"/>
  <c r="GS28" i="43"/>
  <c r="GT28" i="43"/>
  <c r="GU28" i="43"/>
  <c r="GV28" i="43"/>
  <c r="GW28" i="43"/>
  <c r="GX28" i="43"/>
  <c r="GY28" i="43"/>
  <c r="GZ28" i="43"/>
  <c r="HA28" i="43"/>
  <c r="HB28" i="43"/>
  <c r="HC28" i="43"/>
  <c r="HD28" i="43"/>
  <c r="HE28" i="43"/>
  <c r="HF28" i="43"/>
  <c r="HG28" i="43"/>
  <c r="HH28" i="43"/>
  <c r="HI28" i="43"/>
  <c r="HJ28" i="43"/>
  <c r="HK28" i="43"/>
  <c r="HL28" i="43"/>
  <c r="HM28" i="43"/>
  <c r="HN28" i="43"/>
  <c r="HO28" i="43"/>
  <c r="HP28" i="43"/>
  <c r="HQ28" i="43"/>
  <c r="HR28" i="43"/>
  <c r="HS28" i="43"/>
  <c r="HT28" i="43"/>
  <c r="HU28" i="43"/>
  <c r="HV28" i="43"/>
  <c r="HW28" i="43"/>
  <c r="HX28" i="43"/>
  <c r="HY28" i="43"/>
  <c r="HZ28" i="43"/>
  <c r="IA28" i="43"/>
  <c r="IB28" i="43"/>
  <c r="IC28" i="43"/>
  <c r="ID28" i="43"/>
  <c r="IE28" i="43"/>
  <c r="IF28" i="43"/>
  <c r="IG28" i="43"/>
  <c r="IH28" i="43"/>
  <c r="II28" i="43"/>
  <c r="IJ28" i="43"/>
  <c r="IK28" i="43"/>
  <c r="IL28" i="43"/>
  <c r="IM28" i="43"/>
  <c r="IN28" i="43"/>
  <c r="IO28" i="43"/>
  <c r="IP28" i="43"/>
  <c r="IQ28" i="43"/>
  <c r="IR28" i="43"/>
  <c r="IS28" i="43"/>
  <c r="IT28" i="43"/>
  <c r="IU28" i="43"/>
  <c r="IV28" i="43"/>
  <c r="A27" i="43"/>
  <c r="B27" i="43"/>
  <c r="C27" i="43"/>
  <c r="D27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BE27" i="43"/>
  <c r="BF27" i="43"/>
  <c r="BG27" i="43"/>
  <c r="BH27" i="43"/>
  <c r="BI27" i="43"/>
  <c r="BJ27" i="43"/>
  <c r="BK27" i="43"/>
  <c r="BL27" i="43"/>
  <c r="BM27" i="43"/>
  <c r="BN27" i="43"/>
  <c r="BO27" i="43"/>
  <c r="BP27" i="43"/>
  <c r="BQ27" i="43"/>
  <c r="BR27" i="43"/>
  <c r="BS27" i="43"/>
  <c r="BT27" i="43"/>
  <c r="BU27" i="43"/>
  <c r="BV27" i="43"/>
  <c r="BW27" i="43"/>
  <c r="BX27" i="43"/>
  <c r="BY27" i="43"/>
  <c r="BZ27" i="43"/>
  <c r="CA27" i="43"/>
  <c r="CB27" i="43"/>
  <c r="CC27" i="43"/>
  <c r="CD27" i="43"/>
  <c r="CE27" i="43"/>
  <c r="CF27" i="43"/>
  <c r="CG27" i="43"/>
  <c r="CH27" i="43"/>
  <c r="CI27" i="43"/>
  <c r="CJ27" i="43"/>
  <c r="CK27" i="43"/>
  <c r="CL27" i="43"/>
  <c r="CM27" i="43"/>
  <c r="CN27" i="43"/>
  <c r="CO27" i="43"/>
  <c r="CP27" i="43"/>
  <c r="CQ27" i="43"/>
  <c r="CR27" i="43"/>
  <c r="CS27" i="43"/>
  <c r="CT27" i="43"/>
  <c r="CU27" i="43"/>
  <c r="CV27" i="43"/>
  <c r="CW27" i="43"/>
  <c r="CX27" i="43"/>
  <c r="CY27" i="43"/>
  <c r="CZ27" i="43"/>
  <c r="DA27" i="43"/>
  <c r="DB27" i="43"/>
  <c r="DC27" i="43"/>
  <c r="DD27" i="43"/>
  <c r="DE27" i="43"/>
  <c r="DF27" i="43"/>
  <c r="DG27" i="43"/>
  <c r="DH27" i="43"/>
  <c r="DI27" i="43"/>
  <c r="DJ27" i="43"/>
  <c r="DK27" i="43"/>
  <c r="DL27" i="43"/>
  <c r="DM27" i="43"/>
  <c r="DN27" i="43"/>
  <c r="DO27" i="43"/>
  <c r="DP27" i="43"/>
  <c r="DQ27" i="43"/>
  <c r="DR27" i="43"/>
  <c r="DS27" i="43"/>
  <c r="DT27" i="43"/>
  <c r="DU27" i="43"/>
  <c r="DV27" i="43"/>
  <c r="DW27" i="43"/>
  <c r="DX27" i="43"/>
  <c r="DY27" i="43"/>
  <c r="DZ27" i="43"/>
  <c r="EA27" i="43"/>
  <c r="EB27" i="43"/>
  <c r="EC27" i="43"/>
  <c r="ED27" i="43"/>
  <c r="EE27" i="43"/>
  <c r="EF27" i="43"/>
  <c r="EG27" i="43"/>
  <c r="EH27" i="43"/>
  <c r="EI27" i="43"/>
  <c r="EJ27" i="43"/>
  <c r="EK27" i="43"/>
  <c r="EL27" i="43"/>
  <c r="EM27" i="43"/>
  <c r="EN27" i="43"/>
  <c r="EO27" i="43"/>
  <c r="EP27" i="43"/>
  <c r="EQ27" i="43"/>
  <c r="ER27" i="43"/>
  <c r="ES27" i="43"/>
  <c r="ET27" i="43"/>
  <c r="EU27" i="43"/>
  <c r="EV27" i="43"/>
  <c r="EW27" i="43"/>
  <c r="EX27" i="43"/>
  <c r="EY27" i="43"/>
  <c r="EZ27" i="43"/>
  <c r="FA27" i="43"/>
  <c r="FB27" i="43"/>
  <c r="FC27" i="43"/>
  <c r="FD27" i="43"/>
  <c r="FE27" i="43"/>
  <c r="FF27" i="43"/>
  <c r="FG27" i="43"/>
  <c r="FH27" i="43"/>
  <c r="FI27" i="43"/>
  <c r="FJ27" i="43"/>
  <c r="FK27" i="43"/>
  <c r="FL27" i="43"/>
  <c r="FM27" i="43"/>
  <c r="FN27" i="43"/>
  <c r="FO27" i="43"/>
  <c r="FP27" i="43"/>
  <c r="FQ27" i="43"/>
  <c r="FR27" i="43"/>
  <c r="FS27" i="43"/>
  <c r="FT27" i="43"/>
  <c r="FU27" i="43"/>
  <c r="FV27" i="43"/>
  <c r="FW27" i="43"/>
  <c r="FX27" i="43"/>
  <c r="FY27" i="43"/>
  <c r="FZ27" i="43"/>
  <c r="GA27" i="43"/>
  <c r="GB27" i="43"/>
  <c r="GC27" i="43"/>
  <c r="GD27" i="43"/>
  <c r="GE27" i="43"/>
  <c r="GF27" i="43"/>
  <c r="GG27" i="43"/>
  <c r="GH27" i="43"/>
  <c r="GI27" i="43"/>
  <c r="GJ27" i="43"/>
  <c r="GK27" i="43"/>
  <c r="GL27" i="43"/>
  <c r="GM27" i="43"/>
  <c r="GN27" i="43"/>
  <c r="GO27" i="43"/>
  <c r="GP27" i="43"/>
  <c r="GQ27" i="43"/>
  <c r="GR27" i="43"/>
  <c r="GS27" i="43"/>
  <c r="GT27" i="43"/>
  <c r="GU27" i="43"/>
  <c r="GV27" i="43"/>
  <c r="GW27" i="43"/>
  <c r="GX27" i="43"/>
  <c r="GY27" i="43"/>
  <c r="GZ27" i="43"/>
  <c r="HA27" i="43"/>
  <c r="HB27" i="43"/>
  <c r="HC27" i="43"/>
  <c r="HD27" i="43"/>
  <c r="HE27" i="43"/>
  <c r="HF27" i="43"/>
  <c r="HG27" i="43"/>
  <c r="HH27" i="43"/>
  <c r="HI27" i="43"/>
  <c r="HJ27" i="43"/>
  <c r="HK27" i="43"/>
  <c r="HL27" i="43"/>
  <c r="HM27" i="43"/>
  <c r="HN27" i="43"/>
  <c r="HO27" i="43"/>
  <c r="HP27" i="43"/>
  <c r="HQ27" i="43"/>
  <c r="HR27" i="43"/>
  <c r="HS27" i="43"/>
  <c r="HT27" i="43"/>
  <c r="HU27" i="43"/>
  <c r="HV27" i="43"/>
  <c r="HW27" i="43"/>
  <c r="HX27" i="43"/>
  <c r="HY27" i="43"/>
  <c r="HZ27" i="43"/>
  <c r="IA27" i="43"/>
  <c r="IB27" i="43"/>
  <c r="IC27" i="43"/>
  <c r="ID27" i="43"/>
  <c r="IE27" i="43"/>
  <c r="IF27" i="43"/>
  <c r="IG27" i="43"/>
  <c r="IH27" i="43"/>
  <c r="II27" i="43"/>
  <c r="IJ27" i="43"/>
  <c r="IK27" i="43"/>
  <c r="IL27" i="43"/>
  <c r="IM27" i="43"/>
  <c r="IN27" i="43"/>
  <c r="IO27" i="43"/>
  <c r="IP27" i="43"/>
  <c r="IQ27" i="43"/>
  <c r="IR27" i="43"/>
  <c r="IS27" i="43"/>
  <c r="IT27" i="43"/>
  <c r="IU27" i="43"/>
  <c r="IV27" i="43"/>
  <c r="A26" i="43"/>
  <c r="B26" i="43"/>
  <c r="C26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BE26" i="43"/>
  <c r="BF26" i="43"/>
  <c r="BG26" i="43"/>
  <c r="BH26" i="43"/>
  <c r="BI26" i="43"/>
  <c r="BJ26" i="43"/>
  <c r="BK26" i="43"/>
  <c r="BL26" i="43"/>
  <c r="BM26" i="43"/>
  <c r="BN26" i="43"/>
  <c r="BO26" i="43"/>
  <c r="BP26" i="43"/>
  <c r="BQ26" i="43"/>
  <c r="BR26" i="43"/>
  <c r="BS26" i="43"/>
  <c r="BT26" i="43"/>
  <c r="BU26" i="43"/>
  <c r="BV26" i="43"/>
  <c r="BW26" i="43"/>
  <c r="BX26" i="43"/>
  <c r="BY26" i="43"/>
  <c r="BZ26" i="43"/>
  <c r="CA26" i="43"/>
  <c r="CB26" i="43"/>
  <c r="CC26" i="43"/>
  <c r="CD26" i="43"/>
  <c r="CE26" i="43"/>
  <c r="CF26" i="43"/>
  <c r="CG26" i="43"/>
  <c r="CH26" i="43"/>
  <c r="CI26" i="43"/>
  <c r="CJ26" i="43"/>
  <c r="CK26" i="43"/>
  <c r="CL26" i="43"/>
  <c r="CM26" i="43"/>
  <c r="CN26" i="43"/>
  <c r="CO26" i="43"/>
  <c r="CP26" i="43"/>
  <c r="CQ26" i="43"/>
  <c r="CR26" i="43"/>
  <c r="CS26" i="43"/>
  <c r="CT26" i="43"/>
  <c r="CU26" i="43"/>
  <c r="CV26" i="43"/>
  <c r="CW26" i="43"/>
  <c r="CX26" i="43"/>
  <c r="CY26" i="43"/>
  <c r="CZ26" i="43"/>
  <c r="DA26" i="43"/>
  <c r="DB26" i="43"/>
  <c r="DC26" i="43"/>
  <c r="DD26" i="43"/>
  <c r="DE26" i="43"/>
  <c r="DF26" i="43"/>
  <c r="DG26" i="43"/>
  <c r="DH26" i="43"/>
  <c r="DI26" i="43"/>
  <c r="DJ26" i="43"/>
  <c r="DK26" i="43"/>
  <c r="DL26" i="43"/>
  <c r="DM26" i="43"/>
  <c r="DN26" i="43"/>
  <c r="DO26" i="43"/>
  <c r="DP26" i="43"/>
  <c r="DQ26" i="43"/>
  <c r="DR26" i="43"/>
  <c r="DS26" i="43"/>
  <c r="DT26" i="43"/>
  <c r="DU26" i="43"/>
  <c r="DV26" i="43"/>
  <c r="DW26" i="43"/>
  <c r="DX26" i="43"/>
  <c r="DY26" i="43"/>
  <c r="DZ26" i="43"/>
  <c r="EA26" i="43"/>
  <c r="EB26" i="43"/>
  <c r="EC26" i="43"/>
  <c r="ED26" i="43"/>
  <c r="EE26" i="43"/>
  <c r="EF26" i="43"/>
  <c r="EG26" i="43"/>
  <c r="EH26" i="43"/>
  <c r="EI26" i="43"/>
  <c r="EJ26" i="43"/>
  <c r="EK26" i="43"/>
  <c r="EL26" i="43"/>
  <c r="EM26" i="43"/>
  <c r="EN26" i="43"/>
  <c r="EO26" i="43"/>
  <c r="EP26" i="43"/>
  <c r="EQ26" i="43"/>
  <c r="ER26" i="43"/>
  <c r="ES26" i="43"/>
  <c r="ET26" i="43"/>
  <c r="EU26" i="43"/>
  <c r="EV26" i="43"/>
  <c r="EW26" i="43"/>
  <c r="EX26" i="43"/>
  <c r="EY26" i="43"/>
  <c r="EZ26" i="43"/>
  <c r="FA26" i="43"/>
  <c r="FB26" i="43"/>
  <c r="FC26" i="43"/>
  <c r="FD26" i="43"/>
  <c r="FE26" i="43"/>
  <c r="FF26" i="43"/>
  <c r="FG26" i="43"/>
  <c r="FH26" i="43"/>
  <c r="FI26" i="43"/>
  <c r="FJ26" i="43"/>
  <c r="FK26" i="43"/>
  <c r="FL26" i="43"/>
  <c r="FM26" i="43"/>
  <c r="FN26" i="43"/>
  <c r="FO26" i="43"/>
  <c r="FP26" i="43"/>
  <c r="FQ26" i="43"/>
  <c r="FR26" i="43"/>
  <c r="FS26" i="43"/>
  <c r="FT26" i="43"/>
  <c r="FU26" i="43"/>
  <c r="FV26" i="43"/>
  <c r="FW26" i="43"/>
  <c r="FX26" i="43"/>
  <c r="FY26" i="43"/>
  <c r="FZ26" i="43"/>
  <c r="GA26" i="43"/>
  <c r="GB26" i="43"/>
  <c r="GC26" i="43"/>
  <c r="GD26" i="43"/>
  <c r="GE26" i="43"/>
  <c r="GF26" i="43"/>
  <c r="GG26" i="43"/>
  <c r="GH26" i="43"/>
  <c r="GI26" i="43"/>
  <c r="GJ26" i="43"/>
  <c r="GK26" i="43"/>
  <c r="GL26" i="43"/>
  <c r="GM26" i="43"/>
  <c r="GN26" i="43"/>
  <c r="GO26" i="43"/>
  <c r="GP26" i="43"/>
  <c r="GQ26" i="43"/>
  <c r="GR26" i="43"/>
  <c r="GS26" i="43"/>
  <c r="GT26" i="43"/>
  <c r="GU26" i="43"/>
  <c r="GV26" i="43"/>
  <c r="GW26" i="43"/>
  <c r="GX26" i="43"/>
  <c r="GY26" i="43"/>
  <c r="GZ26" i="43"/>
  <c r="HA26" i="43"/>
  <c r="HB26" i="43"/>
  <c r="HC26" i="43"/>
  <c r="HD26" i="43"/>
  <c r="HE26" i="43"/>
  <c r="HF26" i="43"/>
  <c r="HG26" i="43"/>
  <c r="HH26" i="43"/>
  <c r="HI26" i="43"/>
  <c r="HJ26" i="43"/>
  <c r="HK26" i="43"/>
  <c r="HL26" i="43"/>
  <c r="HM26" i="43"/>
  <c r="HN26" i="43"/>
  <c r="HO26" i="43"/>
  <c r="HP26" i="43"/>
  <c r="HQ26" i="43"/>
  <c r="HR26" i="43"/>
  <c r="HS26" i="43"/>
  <c r="HT26" i="43"/>
  <c r="HU26" i="43"/>
  <c r="HV26" i="43"/>
  <c r="HW26" i="43"/>
  <c r="HX26" i="43"/>
  <c r="HY26" i="43"/>
  <c r="HZ26" i="43"/>
  <c r="IA26" i="43"/>
  <c r="IB26" i="43"/>
  <c r="IC26" i="43"/>
  <c r="ID26" i="43"/>
  <c r="IE26" i="43"/>
  <c r="IF26" i="43"/>
  <c r="IG26" i="43"/>
  <c r="IH26" i="43"/>
  <c r="II26" i="43"/>
  <c r="IJ26" i="43"/>
  <c r="IK26" i="43"/>
  <c r="IL26" i="43"/>
  <c r="IM26" i="43"/>
  <c r="IN26" i="43"/>
  <c r="IO26" i="43"/>
  <c r="IP26" i="43"/>
  <c r="IQ26" i="43"/>
  <c r="IR26" i="43"/>
  <c r="IS26" i="43"/>
  <c r="IT26" i="43"/>
  <c r="IU26" i="43"/>
  <c r="IV26" i="43"/>
  <c r="A25" i="43"/>
  <c r="B25" i="43"/>
  <c r="C25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BE25" i="43"/>
  <c r="BF25" i="43"/>
  <c r="BG25" i="43"/>
  <c r="BH25" i="43"/>
  <c r="BI25" i="43"/>
  <c r="BJ25" i="43"/>
  <c r="BK25" i="43"/>
  <c r="BL25" i="43"/>
  <c r="BM25" i="43"/>
  <c r="BN25" i="43"/>
  <c r="BO25" i="43"/>
  <c r="BP25" i="43"/>
  <c r="BQ25" i="43"/>
  <c r="BR25" i="43"/>
  <c r="BS25" i="43"/>
  <c r="BT25" i="43"/>
  <c r="BU25" i="43"/>
  <c r="BV25" i="43"/>
  <c r="BW25" i="43"/>
  <c r="BX25" i="43"/>
  <c r="BY25" i="43"/>
  <c r="BZ25" i="43"/>
  <c r="CA25" i="43"/>
  <c r="CB25" i="43"/>
  <c r="CC25" i="43"/>
  <c r="CD25" i="43"/>
  <c r="CE25" i="43"/>
  <c r="CF25" i="43"/>
  <c r="CG25" i="43"/>
  <c r="CH25" i="43"/>
  <c r="CI25" i="43"/>
  <c r="CJ25" i="43"/>
  <c r="CK25" i="43"/>
  <c r="CL25" i="43"/>
  <c r="CM25" i="43"/>
  <c r="CN25" i="43"/>
  <c r="CO25" i="43"/>
  <c r="CP25" i="43"/>
  <c r="CQ25" i="43"/>
  <c r="CR25" i="43"/>
  <c r="CS25" i="43"/>
  <c r="CT25" i="43"/>
  <c r="CU25" i="43"/>
  <c r="CV25" i="43"/>
  <c r="CW25" i="43"/>
  <c r="CX25" i="43"/>
  <c r="CY25" i="43"/>
  <c r="CZ25" i="43"/>
  <c r="DA25" i="43"/>
  <c r="DB25" i="43"/>
  <c r="DC25" i="43"/>
  <c r="DD25" i="43"/>
  <c r="DE25" i="43"/>
  <c r="DF25" i="43"/>
  <c r="DG25" i="43"/>
  <c r="DH25" i="43"/>
  <c r="DI25" i="43"/>
  <c r="DJ25" i="43"/>
  <c r="DK25" i="43"/>
  <c r="DL25" i="43"/>
  <c r="DM25" i="43"/>
  <c r="DN25" i="43"/>
  <c r="DO25" i="43"/>
  <c r="DP25" i="43"/>
  <c r="DQ25" i="43"/>
  <c r="DR25" i="43"/>
  <c r="DS25" i="43"/>
  <c r="DT25" i="43"/>
  <c r="DU25" i="43"/>
  <c r="DV25" i="43"/>
  <c r="DW25" i="43"/>
  <c r="DX25" i="43"/>
  <c r="DY25" i="43"/>
  <c r="DZ25" i="43"/>
  <c r="EA25" i="43"/>
  <c r="EB25" i="43"/>
  <c r="EC25" i="43"/>
  <c r="ED25" i="43"/>
  <c r="EE25" i="43"/>
  <c r="EF25" i="43"/>
  <c r="EG25" i="43"/>
  <c r="EH25" i="43"/>
  <c r="EI25" i="43"/>
  <c r="EJ25" i="43"/>
  <c r="EK25" i="43"/>
  <c r="EL25" i="43"/>
  <c r="EM25" i="43"/>
  <c r="EN25" i="43"/>
  <c r="EO25" i="43"/>
  <c r="EP25" i="43"/>
  <c r="EQ25" i="43"/>
  <c r="ER25" i="43"/>
  <c r="ES25" i="43"/>
  <c r="ET25" i="43"/>
  <c r="EU25" i="43"/>
  <c r="EV25" i="43"/>
  <c r="EW25" i="43"/>
  <c r="EX25" i="43"/>
  <c r="EY25" i="43"/>
  <c r="EZ25" i="43"/>
  <c r="FA25" i="43"/>
  <c r="FB25" i="43"/>
  <c r="FC25" i="43"/>
  <c r="FD25" i="43"/>
  <c r="FE25" i="43"/>
  <c r="FF25" i="43"/>
  <c r="FG25" i="43"/>
  <c r="FH25" i="43"/>
  <c r="FI25" i="43"/>
  <c r="FJ25" i="43"/>
  <c r="FK25" i="43"/>
  <c r="FL25" i="43"/>
  <c r="FM25" i="43"/>
  <c r="FN25" i="43"/>
  <c r="FO25" i="43"/>
  <c r="FP25" i="43"/>
  <c r="FQ25" i="43"/>
  <c r="FR25" i="43"/>
  <c r="FS25" i="43"/>
  <c r="FT25" i="43"/>
  <c r="FU25" i="43"/>
  <c r="FV25" i="43"/>
  <c r="FW25" i="43"/>
  <c r="FX25" i="43"/>
  <c r="FY25" i="43"/>
  <c r="FZ25" i="43"/>
  <c r="GA25" i="43"/>
  <c r="GB25" i="43"/>
  <c r="GC25" i="43"/>
  <c r="GD25" i="43"/>
  <c r="GE25" i="43"/>
  <c r="GF25" i="43"/>
  <c r="GG25" i="43"/>
  <c r="GH25" i="43"/>
  <c r="GI25" i="43"/>
  <c r="GJ25" i="43"/>
  <c r="GK25" i="43"/>
  <c r="GL25" i="43"/>
  <c r="GM25" i="43"/>
  <c r="GN25" i="43"/>
  <c r="GO25" i="43"/>
  <c r="GP25" i="43"/>
  <c r="GQ25" i="43"/>
  <c r="GR25" i="43"/>
  <c r="GS25" i="43"/>
  <c r="GT25" i="43"/>
  <c r="GU25" i="43"/>
  <c r="GV25" i="43"/>
  <c r="GW25" i="43"/>
  <c r="GX25" i="43"/>
  <c r="GY25" i="43"/>
  <c r="GZ25" i="43"/>
  <c r="HA25" i="43"/>
  <c r="HB25" i="43"/>
  <c r="HC25" i="43"/>
  <c r="HD25" i="43"/>
  <c r="HE25" i="43"/>
  <c r="HF25" i="43"/>
  <c r="HG25" i="43"/>
  <c r="HH25" i="43"/>
  <c r="HI25" i="43"/>
  <c r="HJ25" i="43"/>
  <c r="HK25" i="43"/>
  <c r="HL25" i="43"/>
  <c r="HM25" i="43"/>
  <c r="HN25" i="43"/>
  <c r="HO25" i="43"/>
  <c r="HP25" i="43"/>
  <c r="HQ25" i="43"/>
  <c r="HR25" i="43"/>
  <c r="HS25" i="43"/>
  <c r="HT25" i="43"/>
  <c r="HU25" i="43"/>
  <c r="HV25" i="43"/>
  <c r="HW25" i="43"/>
  <c r="HX25" i="43"/>
  <c r="HY25" i="43"/>
  <c r="HZ25" i="43"/>
  <c r="IA25" i="43"/>
  <c r="IB25" i="43"/>
  <c r="IC25" i="43"/>
  <c r="ID25" i="43"/>
  <c r="IE25" i="43"/>
  <c r="IF25" i="43"/>
  <c r="IG25" i="43"/>
  <c r="IH25" i="43"/>
  <c r="II25" i="43"/>
  <c r="IJ25" i="43"/>
  <c r="IK25" i="43"/>
  <c r="IL25" i="43"/>
  <c r="IM25" i="43"/>
  <c r="IN25" i="43"/>
  <c r="IO25" i="43"/>
  <c r="IP25" i="43"/>
  <c r="IQ25" i="43"/>
  <c r="IR25" i="43"/>
  <c r="IS25" i="43"/>
  <c r="IT25" i="43"/>
  <c r="IU25" i="43"/>
  <c r="IV25" i="43"/>
  <c r="A24" i="43"/>
  <c r="B24" i="43"/>
  <c r="C24" i="43"/>
  <c r="D24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BE24" i="43"/>
  <c r="BF24" i="43"/>
  <c r="BG24" i="43"/>
  <c r="BH24" i="43"/>
  <c r="BI24" i="43"/>
  <c r="BJ24" i="43"/>
  <c r="BK24" i="43"/>
  <c r="BL24" i="43"/>
  <c r="BM24" i="43"/>
  <c r="BN24" i="43"/>
  <c r="BO24" i="43"/>
  <c r="BP24" i="43"/>
  <c r="BQ24" i="43"/>
  <c r="BR24" i="43"/>
  <c r="BS24" i="43"/>
  <c r="BT24" i="43"/>
  <c r="BU24" i="43"/>
  <c r="BV24" i="43"/>
  <c r="BW24" i="43"/>
  <c r="BX24" i="43"/>
  <c r="BY24" i="43"/>
  <c r="BZ24" i="43"/>
  <c r="CA24" i="43"/>
  <c r="CB24" i="43"/>
  <c r="CC24" i="43"/>
  <c r="CD24" i="43"/>
  <c r="CE24" i="43"/>
  <c r="CF24" i="43"/>
  <c r="CG24" i="43"/>
  <c r="CH24" i="43"/>
  <c r="CI24" i="43"/>
  <c r="CJ24" i="43"/>
  <c r="CK24" i="43"/>
  <c r="CL24" i="43"/>
  <c r="CM24" i="43"/>
  <c r="CN24" i="43"/>
  <c r="CO24" i="43"/>
  <c r="CP24" i="43"/>
  <c r="CQ24" i="43"/>
  <c r="CR24" i="43"/>
  <c r="CS24" i="43"/>
  <c r="CT24" i="43"/>
  <c r="CU24" i="43"/>
  <c r="CV24" i="43"/>
  <c r="CW24" i="43"/>
  <c r="CX24" i="43"/>
  <c r="CY24" i="43"/>
  <c r="CZ24" i="43"/>
  <c r="DA24" i="43"/>
  <c r="DB24" i="43"/>
  <c r="DC24" i="43"/>
  <c r="DD24" i="43"/>
  <c r="DE24" i="43"/>
  <c r="DF24" i="43"/>
  <c r="DG24" i="43"/>
  <c r="DH24" i="43"/>
  <c r="DI24" i="43"/>
  <c r="DJ24" i="43"/>
  <c r="DK24" i="43"/>
  <c r="DL24" i="43"/>
  <c r="DM24" i="43"/>
  <c r="DN24" i="43"/>
  <c r="DO24" i="43"/>
  <c r="DP24" i="43"/>
  <c r="DQ24" i="43"/>
  <c r="DR24" i="43"/>
  <c r="DS24" i="43"/>
  <c r="DT24" i="43"/>
  <c r="DU24" i="43"/>
  <c r="DV24" i="43"/>
  <c r="DW24" i="43"/>
  <c r="DX24" i="43"/>
  <c r="DY24" i="43"/>
  <c r="DZ24" i="43"/>
  <c r="EA24" i="43"/>
  <c r="EB24" i="43"/>
  <c r="EC24" i="43"/>
  <c r="ED24" i="43"/>
  <c r="EE24" i="43"/>
  <c r="EF24" i="43"/>
  <c r="EG24" i="43"/>
  <c r="EH24" i="43"/>
  <c r="EI24" i="43"/>
  <c r="EJ24" i="43"/>
  <c r="EK24" i="43"/>
  <c r="EL24" i="43"/>
  <c r="EM24" i="43"/>
  <c r="EN24" i="43"/>
  <c r="EO24" i="43"/>
  <c r="EP24" i="43"/>
  <c r="EQ24" i="43"/>
  <c r="ER24" i="43"/>
  <c r="ES24" i="43"/>
  <c r="ET24" i="43"/>
  <c r="EU24" i="43"/>
  <c r="EV24" i="43"/>
  <c r="EW24" i="43"/>
  <c r="EX24" i="43"/>
  <c r="EY24" i="43"/>
  <c r="EZ24" i="43"/>
  <c r="FA24" i="43"/>
  <c r="FB24" i="43"/>
  <c r="FC24" i="43"/>
  <c r="FD24" i="43"/>
  <c r="FE24" i="43"/>
  <c r="FF24" i="43"/>
  <c r="FG24" i="43"/>
  <c r="FH24" i="43"/>
  <c r="FI24" i="43"/>
  <c r="FJ24" i="43"/>
  <c r="FK24" i="43"/>
  <c r="FL24" i="43"/>
  <c r="FM24" i="43"/>
  <c r="FN24" i="43"/>
  <c r="FO24" i="43"/>
  <c r="FP24" i="43"/>
  <c r="FQ24" i="43"/>
  <c r="FR24" i="43"/>
  <c r="FS24" i="43"/>
  <c r="FT24" i="43"/>
  <c r="FU24" i="43"/>
  <c r="FV24" i="43"/>
  <c r="FW24" i="43"/>
  <c r="FX24" i="43"/>
  <c r="FY24" i="43"/>
  <c r="FZ24" i="43"/>
  <c r="GA24" i="43"/>
  <c r="GB24" i="43"/>
  <c r="GC24" i="43"/>
  <c r="GD24" i="43"/>
  <c r="GE24" i="43"/>
  <c r="GF24" i="43"/>
  <c r="GG24" i="43"/>
  <c r="GH24" i="43"/>
  <c r="GI24" i="43"/>
  <c r="GJ24" i="43"/>
  <c r="GK24" i="43"/>
  <c r="GL24" i="43"/>
  <c r="GM24" i="43"/>
  <c r="GN24" i="43"/>
  <c r="GO24" i="43"/>
  <c r="GP24" i="43"/>
  <c r="GQ24" i="43"/>
  <c r="GR24" i="43"/>
  <c r="GS24" i="43"/>
  <c r="GT24" i="43"/>
  <c r="GU24" i="43"/>
  <c r="GV24" i="43"/>
  <c r="GW24" i="43"/>
  <c r="GX24" i="43"/>
  <c r="GY24" i="43"/>
  <c r="GZ24" i="43"/>
  <c r="HA24" i="43"/>
  <c r="HB24" i="43"/>
  <c r="HC24" i="43"/>
  <c r="HD24" i="43"/>
  <c r="HE24" i="43"/>
  <c r="HF24" i="43"/>
  <c r="HG24" i="43"/>
  <c r="HH24" i="43"/>
  <c r="HI24" i="43"/>
  <c r="HJ24" i="43"/>
  <c r="HK24" i="43"/>
  <c r="HL24" i="43"/>
  <c r="HM24" i="43"/>
  <c r="HN24" i="43"/>
  <c r="HO24" i="43"/>
  <c r="HP24" i="43"/>
  <c r="HQ24" i="43"/>
  <c r="HR24" i="43"/>
  <c r="HS24" i="43"/>
  <c r="HT24" i="43"/>
  <c r="HU24" i="43"/>
  <c r="HV24" i="43"/>
  <c r="HW24" i="43"/>
  <c r="HX24" i="43"/>
  <c r="HY24" i="43"/>
  <c r="HZ24" i="43"/>
  <c r="IA24" i="43"/>
  <c r="IB24" i="43"/>
  <c r="IC24" i="43"/>
  <c r="ID24" i="43"/>
  <c r="IE24" i="43"/>
  <c r="IF24" i="43"/>
  <c r="IG24" i="43"/>
  <c r="IH24" i="43"/>
  <c r="II24" i="43"/>
  <c r="IJ24" i="43"/>
  <c r="IK24" i="43"/>
  <c r="IL24" i="43"/>
  <c r="IM24" i="43"/>
  <c r="IN24" i="43"/>
  <c r="IO24" i="43"/>
  <c r="IP24" i="43"/>
  <c r="IQ24" i="43"/>
  <c r="IR24" i="43"/>
  <c r="IS24" i="43"/>
  <c r="IT24" i="43"/>
  <c r="IU24" i="43"/>
  <c r="IV24" i="43"/>
  <c r="A23" i="43"/>
  <c r="B23" i="43"/>
  <c r="C23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BE23" i="43"/>
  <c r="BF23" i="43"/>
  <c r="BG23" i="43"/>
  <c r="BH23" i="43"/>
  <c r="BI23" i="43"/>
  <c r="BJ23" i="43"/>
  <c r="BK23" i="43"/>
  <c r="BL23" i="43"/>
  <c r="BM23" i="43"/>
  <c r="BN23" i="43"/>
  <c r="BO23" i="43"/>
  <c r="BP23" i="43"/>
  <c r="BQ23" i="43"/>
  <c r="BR23" i="43"/>
  <c r="BS23" i="43"/>
  <c r="BT23" i="43"/>
  <c r="BU23" i="43"/>
  <c r="BV23" i="43"/>
  <c r="BW23" i="43"/>
  <c r="BX23" i="43"/>
  <c r="BY23" i="43"/>
  <c r="BZ23" i="43"/>
  <c r="CA23" i="43"/>
  <c r="CB23" i="43"/>
  <c r="CC23" i="43"/>
  <c r="CD23" i="43"/>
  <c r="CE23" i="43"/>
  <c r="CF23" i="43"/>
  <c r="CG23" i="43"/>
  <c r="CH23" i="43"/>
  <c r="CI23" i="43"/>
  <c r="CJ23" i="43"/>
  <c r="CK23" i="43"/>
  <c r="CL23" i="43"/>
  <c r="CM23" i="43"/>
  <c r="CN23" i="43"/>
  <c r="CO23" i="43"/>
  <c r="CP23" i="43"/>
  <c r="CQ23" i="43"/>
  <c r="CR23" i="43"/>
  <c r="CS23" i="43"/>
  <c r="CT23" i="43"/>
  <c r="CU23" i="43"/>
  <c r="CV23" i="43"/>
  <c r="CW23" i="43"/>
  <c r="CX23" i="43"/>
  <c r="CY23" i="43"/>
  <c r="CZ23" i="43"/>
  <c r="DA23" i="43"/>
  <c r="DB23" i="43"/>
  <c r="DC23" i="43"/>
  <c r="DD23" i="43"/>
  <c r="DE23" i="43"/>
  <c r="DF23" i="43"/>
  <c r="DG23" i="43"/>
  <c r="DH23" i="43"/>
  <c r="DI23" i="43"/>
  <c r="DJ23" i="43"/>
  <c r="DK23" i="43"/>
  <c r="DL23" i="43"/>
  <c r="DM23" i="43"/>
  <c r="DN23" i="43"/>
  <c r="DO23" i="43"/>
  <c r="DP23" i="43"/>
  <c r="DQ23" i="43"/>
  <c r="DR23" i="43"/>
  <c r="DS23" i="43"/>
  <c r="DT23" i="43"/>
  <c r="DU23" i="43"/>
  <c r="DV23" i="43"/>
  <c r="DW23" i="43"/>
  <c r="DX23" i="43"/>
  <c r="DY23" i="43"/>
  <c r="DZ23" i="43"/>
  <c r="EA23" i="43"/>
  <c r="EB23" i="43"/>
  <c r="EC23" i="43"/>
  <c r="ED23" i="43"/>
  <c r="EE23" i="43"/>
  <c r="EF23" i="43"/>
  <c r="EG23" i="43"/>
  <c r="EH23" i="43"/>
  <c r="EI23" i="43"/>
  <c r="EJ23" i="43"/>
  <c r="EK23" i="43"/>
  <c r="EL23" i="43"/>
  <c r="EM23" i="43"/>
  <c r="EN23" i="43"/>
  <c r="EO23" i="43"/>
  <c r="EP23" i="43"/>
  <c r="EQ23" i="43"/>
  <c r="ER23" i="43"/>
  <c r="ES23" i="43"/>
  <c r="ET23" i="43"/>
  <c r="EU23" i="43"/>
  <c r="EV23" i="43"/>
  <c r="EW23" i="43"/>
  <c r="EX23" i="43"/>
  <c r="EY23" i="43"/>
  <c r="EZ23" i="43"/>
  <c r="FA23" i="43"/>
  <c r="FB23" i="43"/>
  <c r="FC23" i="43"/>
  <c r="FD23" i="43"/>
  <c r="FE23" i="43"/>
  <c r="FF23" i="43"/>
  <c r="FG23" i="43"/>
  <c r="FH23" i="43"/>
  <c r="FI23" i="43"/>
  <c r="FJ23" i="43"/>
  <c r="FK23" i="43"/>
  <c r="FL23" i="43"/>
  <c r="FM23" i="43"/>
  <c r="FN23" i="43"/>
  <c r="FO23" i="43"/>
  <c r="FP23" i="43"/>
  <c r="FQ23" i="43"/>
  <c r="FR23" i="43"/>
  <c r="FS23" i="43"/>
  <c r="FT23" i="43"/>
  <c r="FU23" i="43"/>
  <c r="FV23" i="43"/>
  <c r="FW23" i="43"/>
  <c r="FX23" i="43"/>
  <c r="FY23" i="43"/>
  <c r="FZ23" i="43"/>
  <c r="GA23" i="43"/>
  <c r="GB23" i="43"/>
  <c r="GC23" i="43"/>
  <c r="GD23" i="43"/>
  <c r="GE23" i="43"/>
  <c r="GF23" i="43"/>
  <c r="GG23" i="43"/>
  <c r="GH23" i="43"/>
  <c r="GI23" i="43"/>
  <c r="GJ23" i="43"/>
  <c r="GK23" i="43"/>
  <c r="GL23" i="43"/>
  <c r="GM23" i="43"/>
  <c r="GN23" i="43"/>
  <c r="GO23" i="43"/>
  <c r="GP23" i="43"/>
  <c r="GQ23" i="43"/>
  <c r="GR23" i="43"/>
  <c r="GS23" i="43"/>
  <c r="GT23" i="43"/>
  <c r="GU23" i="43"/>
  <c r="GV23" i="43"/>
  <c r="GW23" i="43"/>
  <c r="GX23" i="43"/>
  <c r="GY23" i="43"/>
  <c r="GZ23" i="43"/>
  <c r="HA23" i="43"/>
  <c r="HB23" i="43"/>
  <c r="HC23" i="43"/>
  <c r="HD23" i="43"/>
  <c r="HE23" i="43"/>
  <c r="HF23" i="43"/>
  <c r="HG23" i="43"/>
  <c r="HH23" i="43"/>
  <c r="HI23" i="43"/>
  <c r="HJ23" i="43"/>
  <c r="HK23" i="43"/>
  <c r="HL23" i="43"/>
  <c r="HM23" i="43"/>
  <c r="HN23" i="43"/>
  <c r="HO23" i="43"/>
  <c r="HP23" i="43"/>
  <c r="HQ23" i="43"/>
  <c r="HR23" i="43"/>
  <c r="HS23" i="43"/>
  <c r="HT23" i="43"/>
  <c r="HU23" i="43"/>
  <c r="HV23" i="43"/>
  <c r="HW23" i="43"/>
  <c r="HX23" i="43"/>
  <c r="HY23" i="43"/>
  <c r="HZ23" i="43"/>
  <c r="IA23" i="43"/>
  <c r="IB23" i="43"/>
  <c r="IC23" i="43"/>
  <c r="ID23" i="43"/>
  <c r="IE23" i="43"/>
  <c r="IF23" i="43"/>
  <c r="IG23" i="43"/>
  <c r="IH23" i="43"/>
  <c r="II23" i="43"/>
  <c r="IJ23" i="43"/>
  <c r="IK23" i="43"/>
  <c r="IL23" i="43"/>
  <c r="IM23" i="43"/>
  <c r="IN23" i="43"/>
  <c r="IO23" i="43"/>
  <c r="IP23" i="43"/>
  <c r="IQ23" i="43"/>
  <c r="IR23" i="43"/>
  <c r="IS23" i="43"/>
  <c r="IT23" i="43"/>
  <c r="IU23" i="43"/>
  <c r="IV23" i="43"/>
  <c r="A22" i="43"/>
  <c r="B22" i="43"/>
  <c r="C22" i="43"/>
  <c r="D22" i="43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BE22" i="43"/>
  <c r="BF22" i="43"/>
  <c r="BG22" i="43"/>
  <c r="BH22" i="43"/>
  <c r="BI22" i="43"/>
  <c r="BJ22" i="43"/>
  <c r="BK22" i="43"/>
  <c r="BL22" i="43"/>
  <c r="BM22" i="43"/>
  <c r="BN22" i="43"/>
  <c r="BO22" i="43"/>
  <c r="BP22" i="43"/>
  <c r="BQ22" i="43"/>
  <c r="BR22" i="43"/>
  <c r="BS22" i="43"/>
  <c r="BT22" i="43"/>
  <c r="BU22" i="43"/>
  <c r="BV22" i="43"/>
  <c r="BW22" i="43"/>
  <c r="BX22" i="43"/>
  <c r="BY22" i="43"/>
  <c r="BZ22" i="43"/>
  <c r="CA22" i="43"/>
  <c r="CB22" i="43"/>
  <c r="CC22" i="43"/>
  <c r="CD22" i="43"/>
  <c r="CE22" i="43"/>
  <c r="CF22" i="43"/>
  <c r="CG22" i="43"/>
  <c r="CH22" i="43"/>
  <c r="CI22" i="43"/>
  <c r="CJ22" i="43"/>
  <c r="CK22" i="43"/>
  <c r="CL22" i="43"/>
  <c r="CM22" i="43"/>
  <c r="CN22" i="43"/>
  <c r="CO22" i="43"/>
  <c r="CP22" i="43"/>
  <c r="CQ22" i="43"/>
  <c r="CR22" i="43"/>
  <c r="CS22" i="43"/>
  <c r="CT22" i="43"/>
  <c r="CU22" i="43"/>
  <c r="CV22" i="43"/>
  <c r="CW22" i="43"/>
  <c r="CX22" i="43"/>
  <c r="CY22" i="43"/>
  <c r="CZ22" i="43"/>
  <c r="DA22" i="43"/>
  <c r="DB22" i="43"/>
  <c r="DC22" i="43"/>
  <c r="DD22" i="43"/>
  <c r="DE22" i="43"/>
  <c r="DF22" i="43"/>
  <c r="DG22" i="43"/>
  <c r="DH22" i="43"/>
  <c r="DI22" i="43"/>
  <c r="DJ22" i="43"/>
  <c r="DK22" i="43"/>
  <c r="DL22" i="43"/>
  <c r="DM22" i="43"/>
  <c r="DN22" i="43"/>
  <c r="DO22" i="43"/>
  <c r="DP22" i="43"/>
  <c r="DQ22" i="43"/>
  <c r="DR22" i="43"/>
  <c r="DS22" i="43"/>
  <c r="DT22" i="43"/>
  <c r="DU22" i="43"/>
  <c r="DV22" i="43"/>
  <c r="DW22" i="43"/>
  <c r="DX22" i="43"/>
  <c r="DY22" i="43"/>
  <c r="DZ22" i="43"/>
  <c r="EA22" i="43"/>
  <c r="EB22" i="43"/>
  <c r="EC22" i="43"/>
  <c r="ED22" i="43"/>
  <c r="EE22" i="43"/>
  <c r="EF22" i="43"/>
  <c r="EG22" i="43"/>
  <c r="EH22" i="43"/>
  <c r="EI22" i="43"/>
  <c r="EJ22" i="43"/>
  <c r="EK22" i="43"/>
  <c r="EL22" i="43"/>
  <c r="EM22" i="43"/>
  <c r="EN22" i="43"/>
  <c r="EO22" i="43"/>
  <c r="EP22" i="43"/>
  <c r="EQ22" i="43"/>
  <c r="ER22" i="43"/>
  <c r="ES22" i="43"/>
  <c r="ET22" i="43"/>
  <c r="EU22" i="43"/>
  <c r="EV22" i="43"/>
  <c r="EW22" i="43"/>
  <c r="EX22" i="43"/>
  <c r="EY22" i="43"/>
  <c r="EZ22" i="43"/>
  <c r="FA22" i="43"/>
  <c r="FB22" i="43"/>
  <c r="FC22" i="43"/>
  <c r="FD22" i="43"/>
  <c r="FE22" i="43"/>
  <c r="FF22" i="43"/>
  <c r="FG22" i="43"/>
  <c r="FH22" i="43"/>
  <c r="FI22" i="43"/>
  <c r="FJ22" i="43"/>
  <c r="FK22" i="43"/>
  <c r="FL22" i="43"/>
  <c r="FM22" i="43"/>
  <c r="FN22" i="43"/>
  <c r="FO22" i="43"/>
  <c r="FP22" i="43"/>
  <c r="FQ22" i="43"/>
  <c r="FR22" i="43"/>
  <c r="FS22" i="43"/>
  <c r="FT22" i="43"/>
  <c r="FU22" i="43"/>
  <c r="FV22" i="43"/>
  <c r="FW22" i="43"/>
  <c r="FX22" i="43"/>
  <c r="FY22" i="43"/>
  <c r="FZ22" i="43"/>
  <c r="GA22" i="43"/>
  <c r="GB22" i="43"/>
  <c r="GC22" i="43"/>
  <c r="GD22" i="43"/>
  <c r="GE22" i="43"/>
  <c r="GF22" i="43"/>
  <c r="GG22" i="43"/>
  <c r="GH22" i="43"/>
  <c r="GI22" i="43"/>
  <c r="GJ22" i="43"/>
  <c r="GK22" i="43"/>
  <c r="GL22" i="43"/>
  <c r="GM22" i="43"/>
  <c r="GN22" i="43"/>
  <c r="GO22" i="43"/>
  <c r="GP22" i="43"/>
  <c r="GQ22" i="43"/>
  <c r="GR22" i="43"/>
  <c r="GS22" i="43"/>
  <c r="GT22" i="43"/>
  <c r="GU22" i="43"/>
  <c r="GV22" i="43"/>
  <c r="GW22" i="43"/>
  <c r="GX22" i="43"/>
  <c r="GY22" i="43"/>
  <c r="GZ22" i="43"/>
  <c r="HA22" i="43"/>
  <c r="HB22" i="43"/>
  <c r="HC22" i="43"/>
  <c r="HD22" i="43"/>
  <c r="HE22" i="43"/>
  <c r="HF22" i="43"/>
  <c r="HG22" i="43"/>
  <c r="HH22" i="43"/>
  <c r="HI22" i="43"/>
  <c r="HJ22" i="43"/>
  <c r="HK22" i="43"/>
  <c r="HL22" i="43"/>
  <c r="HM22" i="43"/>
  <c r="HN22" i="43"/>
  <c r="HO22" i="43"/>
  <c r="HP22" i="43"/>
  <c r="HQ22" i="43"/>
  <c r="HR22" i="43"/>
  <c r="HS22" i="43"/>
  <c r="HT22" i="43"/>
  <c r="HU22" i="43"/>
  <c r="HV22" i="43"/>
  <c r="HW22" i="43"/>
  <c r="HX22" i="43"/>
  <c r="HY22" i="43"/>
  <c r="HZ22" i="43"/>
  <c r="IA22" i="43"/>
  <c r="IB22" i="43"/>
  <c r="IC22" i="43"/>
  <c r="ID22" i="43"/>
  <c r="IE22" i="43"/>
  <c r="IF22" i="43"/>
  <c r="IG22" i="43"/>
  <c r="IH22" i="43"/>
  <c r="II22" i="43"/>
  <c r="IJ22" i="43"/>
  <c r="IK22" i="43"/>
  <c r="IL22" i="43"/>
  <c r="IM22" i="43"/>
  <c r="IN22" i="43"/>
  <c r="IO22" i="43"/>
  <c r="IP22" i="43"/>
  <c r="IQ22" i="43"/>
  <c r="IR22" i="43"/>
  <c r="IS22" i="43"/>
  <c r="IT22" i="43"/>
  <c r="IU22" i="43"/>
  <c r="IV22" i="43"/>
  <c r="A21" i="43"/>
  <c r="B21" i="43"/>
  <c r="C21" i="43"/>
  <c r="D21" i="43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BE21" i="43"/>
  <c r="BF21" i="43"/>
  <c r="BG21" i="43"/>
  <c r="BH21" i="43"/>
  <c r="BI21" i="43"/>
  <c r="BJ21" i="43"/>
  <c r="BK21" i="43"/>
  <c r="BL21" i="43"/>
  <c r="BM21" i="43"/>
  <c r="BN21" i="43"/>
  <c r="BO21" i="43"/>
  <c r="BP21" i="43"/>
  <c r="BQ21" i="43"/>
  <c r="BR21" i="43"/>
  <c r="BS21" i="43"/>
  <c r="BT21" i="43"/>
  <c r="BU21" i="43"/>
  <c r="BV21" i="43"/>
  <c r="BW21" i="43"/>
  <c r="BX21" i="43"/>
  <c r="BY21" i="43"/>
  <c r="BZ21" i="43"/>
  <c r="CA21" i="43"/>
  <c r="CB21" i="43"/>
  <c r="CC21" i="43"/>
  <c r="CD21" i="43"/>
  <c r="CE21" i="43"/>
  <c r="CF21" i="43"/>
  <c r="CG21" i="43"/>
  <c r="CH21" i="43"/>
  <c r="CI21" i="43"/>
  <c r="CJ21" i="43"/>
  <c r="CK21" i="43"/>
  <c r="CL21" i="43"/>
  <c r="CM21" i="43"/>
  <c r="CN21" i="43"/>
  <c r="CO21" i="43"/>
  <c r="CP21" i="43"/>
  <c r="CQ21" i="43"/>
  <c r="CR21" i="43"/>
  <c r="CS21" i="43"/>
  <c r="CT21" i="43"/>
  <c r="CU21" i="43"/>
  <c r="CV21" i="43"/>
  <c r="CW21" i="43"/>
  <c r="CX21" i="43"/>
  <c r="CY21" i="43"/>
  <c r="CZ21" i="43"/>
  <c r="DA21" i="43"/>
  <c r="DB21" i="43"/>
  <c r="DC21" i="43"/>
  <c r="DD21" i="43"/>
  <c r="DE21" i="43"/>
  <c r="DF21" i="43"/>
  <c r="DG21" i="43"/>
  <c r="DH21" i="43"/>
  <c r="DI21" i="43"/>
  <c r="DJ21" i="43"/>
  <c r="DK21" i="43"/>
  <c r="DL21" i="43"/>
  <c r="DM21" i="43"/>
  <c r="DN21" i="43"/>
  <c r="DO21" i="43"/>
  <c r="DP21" i="43"/>
  <c r="DQ21" i="43"/>
  <c r="DR21" i="43"/>
  <c r="DS21" i="43"/>
  <c r="DT21" i="43"/>
  <c r="DU21" i="43"/>
  <c r="DV21" i="43"/>
  <c r="DW21" i="43"/>
  <c r="DX21" i="43"/>
  <c r="DY21" i="43"/>
  <c r="DZ21" i="43"/>
  <c r="EA21" i="43"/>
  <c r="EB21" i="43"/>
  <c r="EC21" i="43"/>
  <c r="ED21" i="43"/>
  <c r="EE21" i="43"/>
  <c r="EF21" i="43"/>
  <c r="EG21" i="43"/>
  <c r="EH21" i="43"/>
  <c r="EI21" i="43"/>
  <c r="EJ21" i="43"/>
  <c r="EK21" i="43"/>
  <c r="EL21" i="43"/>
  <c r="EM21" i="43"/>
  <c r="EN21" i="43"/>
  <c r="EO21" i="43"/>
  <c r="EP21" i="43"/>
  <c r="EQ21" i="43"/>
  <c r="ER21" i="43"/>
  <c r="ES21" i="43"/>
  <c r="ET21" i="43"/>
  <c r="EU21" i="43"/>
  <c r="EV21" i="43"/>
  <c r="EW21" i="43"/>
  <c r="EX21" i="43"/>
  <c r="EY21" i="43"/>
  <c r="EZ21" i="43"/>
  <c r="FA21" i="43"/>
  <c r="FB21" i="43"/>
  <c r="FC21" i="43"/>
  <c r="FD21" i="43"/>
  <c r="FE21" i="43"/>
  <c r="FF21" i="43"/>
  <c r="FG21" i="43"/>
  <c r="FH21" i="43"/>
  <c r="FI21" i="43"/>
  <c r="FJ21" i="43"/>
  <c r="FK21" i="43"/>
  <c r="FL21" i="43"/>
  <c r="FM21" i="43"/>
  <c r="FN21" i="43"/>
  <c r="FO21" i="43"/>
  <c r="FP21" i="43"/>
  <c r="FQ21" i="43"/>
  <c r="FR21" i="43"/>
  <c r="FS21" i="43"/>
  <c r="FT21" i="43"/>
  <c r="FU21" i="43"/>
  <c r="FV21" i="43"/>
  <c r="FW21" i="43"/>
  <c r="FX21" i="43"/>
  <c r="FY21" i="43"/>
  <c r="FZ21" i="43"/>
  <c r="GA21" i="43"/>
  <c r="GB21" i="43"/>
  <c r="GC21" i="43"/>
  <c r="GD21" i="43"/>
  <c r="GE21" i="43"/>
  <c r="GF21" i="43"/>
  <c r="GG21" i="43"/>
  <c r="GH21" i="43"/>
  <c r="GI21" i="43"/>
  <c r="GJ21" i="43"/>
  <c r="GK21" i="43"/>
  <c r="GL21" i="43"/>
  <c r="GM21" i="43"/>
  <c r="GN21" i="43"/>
  <c r="GO21" i="43"/>
  <c r="GP21" i="43"/>
  <c r="GQ21" i="43"/>
  <c r="GR21" i="43"/>
  <c r="GS21" i="43"/>
  <c r="GT21" i="43"/>
  <c r="GU21" i="43"/>
  <c r="GV21" i="43"/>
  <c r="GW21" i="43"/>
  <c r="GX21" i="43"/>
  <c r="GY21" i="43"/>
  <c r="GZ21" i="43"/>
  <c r="HA21" i="43"/>
  <c r="HB21" i="43"/>
  <c r="HC21" i="43"/>
  <c r="HD21" i="43"/>
  <c r="HE21" i="43"/>
  <c r="HF21" i="43"/>
  <c r="HG21" i="43"/>
  <c r="HH21" i="43"/>
  <c r="HI21" i="43"/>
  <c r="HJ21" i="43"/>
  <c r="HK21" i="43"/>
  <c r="HL21" i="43"/>
  <c r="HM21" i="43"/>
  <c r="HN21" i="43"/>
  <c r="HO21" i="43"/>
  <c r="HP21" i="43"/>
  <c r="HQ21" i="43"/>
  <c r="HR21" i="43"/>
  <c r="HS21" i="43"/>
  <c r="HT21" i="43"/>
  <c r="HU21" i="43"/>
  <c r="HV21" i="43"/>
  <c r="HW21" i="43"/>
  <c r="HX21" i="43"/>
  <c r="HY21" i="43"/>
  <c r="HZ21" i="43"/>
  <c r="IA21" i="43"/>
  <c r="IB21" i="43"/>
  <c r="IC21" i="43"/>
  <c r="ID21" i="43"/>
  <c r="IE21" i="43"/>
  <c r="IF21" i="43"/>
  <c r="IG21" i="43"/>
  <c r="IH21" i="43"/>
  <c r="II21" i="43"/>
  <c r="IJ21" i="43"/>
  <c r="IK21" i="43"/>
  <c r="IL21" i="43"/>
  <c r="IM21" i="43"/>
  <c r="IN21" i="43"/>
  <c r="IO21" i="43"/>
  <c r="IP21" i="43"/>
  <c r="IQ21" i="43"/>
  <c r="IR21" i="43"/>
  <c r="IS21" i="43"/>
  <c r="IT21" i="43"/>
  <c r="IU21" i="43"/>
  <c r="IV21" i="43"/>
  <c r="A20" i="43"/>
  <c r="B20" i="43"/>
  <c r="C20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BE20" i="43"/>
  <c r="BF20" i="43"/>
  <c r="BG20" i="43"/>
  <c r="BH20" i="43"/>
  <c r="BI20" i="43"/>
  <c r="BJ20" i="43"/>
  <c r="BK20" i="43"/>
  <c r="BL20" i="43"/>
  <c r="BM20" i="43"/>
  <c r="BN20" i="43"/>
  <c r="BO20" i="43"/>
  <c r="BP20" i="43"/>
  <c r="BQ20" i="43"/>
  <c r="BR20" i="43"/>
  <c r="BS20" i="43"/>
  <c r="BT20" i="43"/>
  <c r="BU20" i="43"/>
  <c r="BV20" i="43"/>
  <c r="BW20" i="43"/>
  <c r="BX20" i="43"/>
  <c r="BY20" i="43"/>
  <c r="BZ20" i="43"/>
  <c r="CA20" i="43"/>
  <c r="CB20" i="43"/>
  <c r="CC20" i="43"/>
  <c r="CD20" i="43"/>
  <c r="CE20" i="43"/>
  <c r="CF20" i="43"/>
  <c r="CG20" i="43"/>
  <c r="CH20" i="43"/>
  <c r="CI20" i="43"/>
  <c r="CJ20" i="43"/>
  <c r="CK20" i="43"/>
  <c r="CL20" i="43"/>
  <c r="CM20" i="43"/>
  <c r="CN20" i="43"/>
  <c r="CO20" i="43"/>
  <c r="CP20" i="43"/>
  <c r="CQ20" i="43"/>
  <c r="CR20" i="43"/>
  <c r="CS20" i="43"/>
  <c r="CT20" i="43"/>
  <c r="CU20" i="43"/>
  <c r="CV20" i="43"/>
  <c r="CW20" i="43"/>
  <c r="CX20" i="43"/>
  <c r="CY20" i="43"/>
  <c r="CZ20" i="43"/>
  <c r="DA20" i="43"/>
  <c r="DB20" i="43"/>
  <c r="DC20" i="43"/>
  <c r="DD20" i="43"/>
  <c r="DE20" i="43"/>
  <c r="DF20" i="43"/>
  <c r="DG20" i="43"/>
  <c r="DH20" i="43"/>
  <c r="DI20" i="43"/>
  <c r="DJ20" i="43"/>
  <c r="DK20" i="43"/>
  <c r="DL20" i="43"/>
  <c r="DM20" i="43"/>
  <c r="DN20" i="43"/>
  <c r="DO20" i="43"/>
  <c r="DP20" i="43"/>
  <c r="DQ20" i="43"/>
  <c r="DR20" i="43"/>
  <c r="DS20" i="43"/>
  <c r="DT20" i="43"/>
  <c r="DU20" i="43"/>
  <c r="DV20" i="43"/>
  <c r="DW20" i="43"/>
  <c r="DX20" i="43"/>
  <c r="DY20" i="43"/>
  <c r="DZ20" i="43"/>
  <c r="EA20" i="43"/>
  <c r="EB20" i="43"/>
  <c r="EC20" i="43"/>
  <c r="ED20" i="43"/>
  <c r="EE20" i="43"/>
  <c r="EF20" i="43"/>
  <c r="EG20" i="43"/>
  <c r="EH20" i="43"/>
  <c r="EI20" i="43"/>
  <c r="EJ20" i="43"/>
  <c r="EK20" i="43"/>
  <c r="EL20" i="43"/>
  <c r="EM20" i="43"/>
  <c r="EN20" i="43"/>
  <c r="EO20" i="43"/>
  <c r="EP20" i="43"/>
  <c r="EQ20" i="43"/>
  <c r="ER20" i="43"/>
  <c r="ES20" i="43"/>
  <c r="ET20" i="43"/>
  <c r="EU20" i="43"/>
  <c r="EV20" i="43"/>
  <c r="EW20" i="43"/>
  <c r="EX20" i="43"/>
  <c r="EY20" i="43"/>
  <c r="EZ20" i="43"/>
  <c r="FA20" i="43"/>
  <c r="FB20" i="43"/>
  <c r="FC20" i="43"/>
  <c r="FD20" i="43"/>
  <c r="FE20" i="43"/>
  <c r="FF20" i="43"/>
  <c r="FG20" i="43"/>
  <c r="FH20" i="43"/>
  <c r="FI20" i="43"/>
  <c r="FJ20" i="43"/>
  <c r="FK20" i="43"/>
  <c r="FL20" i="43"/>
  <c r="FM20" i="43"/>
  <c r="FN20" i="43"/>
  <c r="FO20" i="43"/>
  <c r="FP20" i="43"/>
  <c r="FQ20" i="43"/>
  <c r="FR20" i="43"/>
  <c r="FS20" i="43"/>
  <c r="FT20" i="43"/>
  <c r="FU20" i="43"/>
  <c r="FV20" i="43"/>
  <c r="FW20" i="43"/>
  <c r="FX20" i="43"/>
  <c r="FY20" i="43"/>
  <c r="FZ20" i="43"/>
  <c r="GA20" i="43"/>
  <c r="GB20" i="43"/>
  <c r="GC20" i="43"/>
  <c r="GD20" i="43"/>
  <c r="GE20" i="43"/>
  <c r="GF20" i="43"/>
  <c r="GG20" i="43"/>
  <c r="GH20" i="43"/>
  <c r="GI20" i="43"/>
  <c r="GJ20" i="43"/>
  <c r="GK20" i="43"/>
  <c r="GL20" i="43"/>
  <c r="GM20" i="43"/>
  <c r="GN20" i="43"/>
  <c r="GO20" i="43"/>
  <c r="GP20" i="43"/>
  <c r="GQ20" i="43"/>
  <c r="GR20" i="43"/>
  <c r="GS20" i="43"/>
  <c r="GT20" i="43"/>
  <c r="GU20" i="43"/>
  <c r="GV20" i="43"/>
  <c r="GW20" i="43"/>
  <c r="GX20" i="43"/>
  <c r="GY20" i="43"/>
  <c r="GZ20" i="43"/>
  <c r="HA20" i="43"/>
  <c r="HB20" i="43"/>
  <c r="HC20" i="43"/>
  <c r="HD20" i="43"/>
  <c r="HE20" i="43"/>
  <c r="HF20" i="43"/>
  <c r="HG20" i="43"/>
  <c r="HH20" i="43"/>
  <c r="HI20" i="43"/>
  <c r="HJ20" i="43"/>
  <c r="HK20" i="43"/>
  <c r="HL20" i="43"/>
  <c r="HM20" i="43"/>
  <c r="HN20" i="43"/>
  <c r="HO20" i="43"/>
  <c r="HP20" i="43"/>
  <c r="HQ20" i="43"/>
  <c r="HR20" i="43"/>
  <c r="HS20" i="43"/>
  <c r="HT20" i="43"/>
  <c r="HU20" i="43"/>
  <c r="HV20" i="43"/>
  <c r="HW20" i="43"/>
  <c r="HX20" i="43"/>
  <c r="HY20" i="43"/>
  <c r="HZ20" i="43"/>
  <c r="IA20" i="43"/>
  <c r="IB20" i="43"/>
  <c r="IC20" i="43"/>
  <c r="ID20" i="43"/>
  <c r="IE20" i="43"/>
  <c r="IF20" i="43"/>
  <c r="IG20" i="43"/>
  <c r="IH20" i="43"/>
  <c r="II20" i="43"/>
  <c r="IJ20" i="43"/>
  <c r="IK20" i="43"/>
  <c r="IL20" i="43"/>
  <c r="IM20" i="43"/>
  <c r="IN20" i="43"/>
  <c r="IO20" i="43"/>
  <c r="IP20" i="43"/>
  <c r="IQ20" i="43"/>
  <c r="IR20" i="43"/>
  <c r="IS20" i="43"/>
  <c r="IT20" i="43"/>
  <c r="IU20" i="43"/>
  <c r="IV20" i="43"/>
  <c r="A19" i="43"/>
  <c r="B19" i="43"/>
  <c r="C19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BE19" i="43"/>
  <c r="BF19" i="43"/>
  <c r="BG19" i="43"/>
  <c r="BH19" i="43"/>
  <c r="BI19" i="43"/>
  <c r="BJ19" i="43"/>
  <c r="BK19" i="43"/>
  <c r="BL19" i="43"/>
  <c r="BM19" i="43"/>
  <c r="BN19" i="43"/>
  <c r="BO19" i="43"/>
  <c r="BP19" i="43"/>
  <c r="BQ19" i="43"/>
  <c r="BR19" i="43"/>
  <c r="BS19" i="43"/>
  <c r="BT19" i="43"/>
  <c r="BU19" i="43"/>
  <c r="BV19" i="43"/>
  <c r="BW19" i="43"/>
  <c r="BX19" i="43"/>
  <c r="BY19" i="43"/>
  <c r="BZ19" i="43"/>
  <c r="CA19" i="43"/>
  <c r="CB19" i="43"/>
  <c r="CC19" i="43"/>
  <c r="CD19" i="43"/>
  <c r="CE19" i="43"/>
  <c r="CF19" i="43"/>
  <c r="CG19" i="43"/>
  <c r="CH19" i="43"/>
  <c r="CI19" i="43"/>
  <c r="CJ19" i="43"/>
  <c r="CK19" i="43"/>
  <c r="CL19" i="43"/>
  <c r="CM19" i="43"/>
  <c r="CN19" i="43"/>
  <c r="CO19" i="43"/>
  <c r="CP19" i="43"/>
  <c r="CQ19" i="43"/>
  <c r="CR19" i="43"/>
  <c r="CS19" i="43"/>
  <c r="CT19" i="43"/>
  <c r="CU19" i="43"/>
  <c r="CV19" i="43"/>
  <c r="CW19" i="43"/>
  <c r="CX19" i="43"/>
  <c r="CY19" i="43"/>
  <c r="CZ19" i="43"/>
  <c r="DA19" i="43"/>
  <c r="DB19" i="43"/>
  <c r="DC19" i="43"/>
  <c r="DD19" i="43"/>
  <c r="DE19" i="43"/>
  <c r="DF19" i="43"/>
  <c r="DG19" i="43"/>
  <c r="DH19" i="43"/>
  <c r="DI19" i="43"/>
  <c r="DJ19" i="43"/>
  <c r="DK19" i="43"/>
  <c r="DL19" i="43"/>
  <c r="DM19" i="43"/>
  <c r="DN19" i="43"/>
  <c r="DO19" i="43"/>
  <c r="DP19" i="43"/>
  <c r="DQ19" i="43"/>
  <c r="DR19" i="43"/>
  <c r="DS19" i="43"/>
  <c r="DT19" i="43"/>
  <c r="DU19" i="43"/>
  <c r="DV19" i="43"/>
  <c r="DW19" i="43"/>
  <c r="DX19" i="43"/>
  <c r="DY19" i="43"/>
  <c r="DZ19" i="43"/>
  <c r="EA19" i="43"/>
  <c r="EB19" i="43"/>
  <c r="EC19" i="43"/>
  <c r="ED19" i="43"/>
  <c r="EE19" i="43"/>
  <c r="EF19" i="43"/>
  <c r="EG19" i="43"/>
  <c r="EH19" i="43"/>
  <c r="EI19" i="43"/>
  <c r="EJ19" i="43"/>
  <c r="EK19" i="43"/>
  <c r="EL19" i="43"/>
  <c r="EM19" i="43"/>
  <c r="EN19" i="43"/>
  <c r="EO19" i="43"/>
  <c r="EP19" i="43"/>
  <c r="EQ19" i="43"/>
  <c r="ER19" i="43"/>
  <c r="ES19" i="43"/>
  <c r="ET19" i="43"/>
  <c r="EU19" i="43"/>
  <c r="EV19" i="43"/>
  <c r="EW19" i="43"/>
  <c r="EX19" i="43"/>
  <c r="EY19" i="43"/>
  <c r="EZ19" i="43"/>
  <c r="FA19" i="43"/>
  <c r="FB19" i="43"/>
  <c r="FC19" i="43"/>
  <c r="FD19" i="43"/>
  <c r="FE19" i="43"/>
  <c r="FF19" i="43"/>
  <c r="FG19" i="43"/>
  <c r="FH19" i="43"/>
  <c r="FI19" i="43"/>
  <c r="FJ19" i="43"/>
  <c r="FK19" i="43"/>
  <c r="FL19" i="43"/>
  <c r="FM19" i="43"/>
  <c r="FN19" i="43"/>
  <c r="FO19" i="43"/>
  <c r="FP19" i="43"/>
  <c r="FQ19" i="43"/>
  <c r="FR19" i="43"/>
  <c r="FS19" i="43"/>
  <c r="FT19" i="43"/>
  <c r="FU19" i="43"/>
  <c r="FV19" i="43"/>
  <c r="FW19" i="43"/>
  <c r="FX19" i="43"/>
  <c r="FY19" i="43"/>
  <c r="FZ19" i="43"/>
  <c r="GA19" i="43"/>
  <c r="GB19" i="43"/>
  <c r="GC19" i="43"/>
  <c r="GD19" i="43"/>
  <c r="GE19" i="43"/>
  <c r="GF19" i="43"/>
  <c r="GG19" i="43"/>
  <c r="GH19" i="43"/>
  <c r="GI19" i="43"/>
  <c r="GJ19" i="43"/>
  <c r="GK19" i="43"/>
  <c r="GL19" i="43"/>
  <c r="GM19" i="43"/>
  <c r="GN19" i="43"/>
  <c r="GO19" i="43"/>
  <c r="GP19" i="43"/>
  <c r="GQ19" i="43"/>
  <c r="GR19" i="43"/>
  <c r="GS19" i="43"/>
  <c r="GT19" i="43"/>
  <c r="GU19" i="43"/>
  <c r="GV19" i="43"/>
  <c r="GW19" i="43"/>
  <c r="GX19" i="43"/>
  <c r="GY19" i="43"/>
  <c r="GZ19" i="43"/>
  <c r="HA19" i="43"/>
  <c r="HB19" i="43"/>
  <c r="HC19" i="43"/>
  <c r="HD19" i="43"/>
  <c r="HE19" i="43"/>
  <c r="HF19" i="43"/>
  <c r="HG19" i="43"/>
  <c r="HH19" i="43"/>
  <c r="HI19" i="43"/>
  <c r="HJ19" i="43"/>
  <c r="HK19" i="43"/>
  <c r="HL19" i="43"/>
  <c r="HM19" i="43"/>
  <c r="HN19" i="43"/>
  <c r="HO19" i="43"/>
  <c r="HP19" i="43"/>
  <c r="HQ19" i="43"/>
  <c r="HR19" i="43"/>
  <c r="HS19" i="43"/>
  <c r="HT19" i="43"/>
  <c r="HU19" i="43"/>
  <c r="HV19" i="43"/>
  <c r="HW19" i="43"/>
  <c r="HX19" i="43"/>
  <c r="HY19" i="43"/>
  <c r="HZ19" i="43"/>
  <c r="IA19" i="43"/>
  <c r="IB19" i="43"/>
  <c r="IC19" i="43"/>
  <c r="ID19" i="43"/>
  <c r="IE19" i="43"/>
  <c r="IF19" i="43"/>
  <c r="IG19" i="43"/>
  <c r="IH19" i="43"/>
  <c r="II19" i="43"/>
  <c r="IJ19" i="43"/>
  <c r="IK19" i="43"/>
  <c r="IL19" i="43"/>
  <c r="IM19" i="43"/>
  <c r="IN19" i="43"/>
  <c r="IO19" i="43"/>
  <c r="IP19" i="43"/>
  <c r="IQ19" i="43"/>
  <c r="IR19" i="43"/>
  <c r="IS19" i="43"/>
  <c r="IT19" i="43"/>
  <c r="IU19" i="43"/>
  <c r="IV19" i="43"/>
  <c r="A18" i="43"/>
  <c r="B18" i="43"/>
  <c r="C18" i="43"/>
  <c r="D18" i="43"/>
  <c r="E18" i="43"/>
  <c r="F18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BE18" i="43"/>
  <c r="BF18" i="43"/>
  <c r="BG18" i="43"/>
  <c r="BH18" i="43"/>
  <c r="BI18" i="43"/>
  <c r="BJ18" i="43"/>
  <c r="BK18" i="43"/>
  <c r="BL18" i="43"/>
  <c r="BM18" i="43"/>
  <c r="BN18" i="43"/>
  <c r="BO18" i="43"/>
  <c r="BP18" i="43"/>
  <c r="BQ18" i="43"/>
  <c r="BR18" i="43"/>
  <c r="BS18" i="43"/>
  <c r="BT18" i="43"/>
  <c r="BU18" i="43"/>
  <c r="BV18" i="43"/>
  <c r="BW18" i="43"/>
  <c r="BX18" i="43"/>
  <c r="BY18" i="43"/>
  <c r="BZ18" i="43"/>
  <c r="CA18" i="43"/>
  <c r="CB18" i="43"/>
  <c r="CC18" i="43"/>
  <c r="CD18" i="43"/>
  <c r="CE18" i="43"/>
  <c r="CF18" i="43"/>
  <c r="CG18" i="43"/>
  <c r="CH18" i="43"/>
  <c r="CI18" i="43"/>
  <c r="CJ18" i="43"/>
  <c r="CK18" i="43"/>
  <c r="CL18" i="43"/>
  <c r="CM18" i="43"/>
  <c r="CN18" i="43"/>
  <c r="CO18" i="43"/>
  <c r="CP18" i="43"/>
  <c r="CQ18" i="43"/>
  <c r="CR18" i="43"/>
  <c r="CS18" i="43"/>
  <c r="CT18" i="43"/>
  <c r="CU18" i="43"/>
  <c r="CV18" i="43"/>
  <c r="CW18" i="43"/>
  <c r="CX18" i="43"/>
  <c r="CY18" i="43"/>
  <c r="CZ18" i="43"/>
  <c r="DA18" i="43"/>
  <c r="DB18" i="43"/>
  <c r="DC18" i="43"/>
  <c r="DD18" i="43"/>
  <c r="DE18" i="43"/>
  <c r="DF18" i="43"/>
  <c r="DG18" i="43"/>
  <c r="DH18" i="43"/>
  <c r="DI18" i="43"/>
  <c r="DJ18" i="43"/>
  <c r="DK18" i="43"/>
  <c r="DL18" i="43"/>
  <c r="DM18" i="43"/>
  <c r="DN18" i="43"/>
  <c r="DO18" i="43"/>
  <c r="DP18" i="43"/>
  <c r="DQ18" i="43"/>
  <c r="DR18" i="43"/>
  <c r="DS18" i="43"/>
  <c r="DT18" i="43"/>
  <c r="DU18" i="43"/>
  <c r="DV18" i="43"/>
  <c r="DW18" i="43"/>
  <c r="DX18" i="43"/>
  <c r="DY18" i="43"/>
  <c r="DZ18" i="43"/>
  <c r="EA18" i="43"/>
  <c r="EB18" i="43"/>
  <c r="EC18" i="43"/>
  <c r="ED18" i="43"/>
  <c r="EE18" i="43"/>
  <c r="EF18" i="43"/>
  <c r="EG18" i="43"/>
  <c r="EH18" i="43"/>
  <c r="EI18" i="43"/>
  <c r="EJ18" i="43"/>
  <c r="EK18" i="43"/>
  <c r="EL18" i="43"/>
  <c r="EM18" i="43"/>
  <c r="EN18" i="43"/>
  <c r="EO18" i="43"/>
  <c r="EP18" i="43"/>
  <c r="EQ18" i="43"/>
  <c r="ER18" i="43"/>
  <c r="ES18" i="43"/>
  <c r="ET18" i="43"/>
  <c r="EU18" i="43"/>
  <c r="EV18" i="43"/>
  <c r="EW18" i="43"/>
  <c r="EX18" i="43"/>
  <c r="EY18" i="43"/>
  <c r="EZ18" i="43"/>
  <c r="FA18" i="43"/>
  <c r="FB18" i="43"/>
  <c r="FC18" i="43"/>
  <c r="FD18" i="43"/>
  <c r="FE18" i="43"/>
  <c r="FF18" i="43"/>
  <c r="FG18" i="43"/>
  <c r="FH18" i="43"/>
  <c r="FI18" i="43"/>
  <c r="FJ18" i="43"/>
  <c r="FK18" i="43"/>
  <c r="FL18" i="43"/>
  <c r="FM18" i="43"/>
  <c r="FN18" i="43"/>
  <c r="FO18" i="43"/>
  <c r="FP18" i="43"/>
  <c r="FQ18" i="43"/>
  <c r="FR18" i="43"/>
  <c r="FS18" i="43"/>
  <c r="FT18" i="43"/>
  <c r="FU18" i="43"/>
  <c r="FV18" i="43"/>
  <c r="FW18" i="43"/>
  <c r="FX18" i="43"/>
  <c r="FY18" i="43"/>
  <c r="FZ18" i="43"/>
  <c r="GA18" i="43"/>
  <c r="GB18" i="43"/>
  <c r="GC18" i="43"/>
  <c r="GD18" i="43"/>
  <c r="GE18" i="43"/>
  <c r="GF18" i="43"/>
  <c r="GG18" i="43"/>
  <c r="GH18" i="43"/>
  <c r="GI18" i="43"/>
  <c r="GJ18" i="43"/>
  <c r="GK18" i="43"/>
  <c r="GL18" i="43"/>
  <c r="GM18" i="43"/>
  <c r="GN18" i="43"/>
  <c r="GO18" i="43"/>
  <c r="GP18" i="43"/>
  <c r="GQ18" i="43"/>
  <c r="GR18" i="43"/>
  <c r="GS18" i="43"/>
  <c r="GT18" i="43"/>
  <c r="GU18" i="43"/>
  <c r="GV18" i="43"/>
  <c r="GW18" i="43"/>
  <c r="GX18" i="43"/>
  <c r="GY18" i="43"/>
  <c r="GZ18" i="43"/>
  <c r="HA18" i="43"/>
  <c r="HB18" i="43"/>
  <c r="HC18" i="43"/>
  <c r="HD18" i="43"/>
  <c r="HE18" i="43"/>
  <c r="HF18" i="43"/>
  <c r="HG18" i="43"/>
  <c r="HH18" i="43"/>
  <c r="HI18" i="43"/>
  <c r="HJ18" i="43"/>
  <c r="HK18" i="43"/>
  <c r="HL18" i="43"/>
  <c r="HM18" i="43"/>
  <c r="HN18" i="43"/>
  <c r="HO18" i="43"/>
  <c r="HP18" i="43"/>
  <c r="HQ18" i="43"/>
  <c r="HR18" i="43"/>
  <c r="HS18" i="43"/>
  <c r="HT18" i="43"/>
  <c r="HU18" i="43"/>
  <c r="HV18" i="43"/>
  <c r="HW18" i="43"/>
  <c r="HX18" i="43"/>
  <c r="HY18" i="43"/>
  <c r="HZ18" i="43"/>
  <c r="IA18" i="43"/>
  <c r="IB18" i="43"/>
  <c r="IC18" i="43"/>
  <c r="ID18" i="43"/>
  <c r="IE18" i="43"/>
  <c r="IF18" i="43"/>
  <c r="IG18" i="43"/>
  <c r="IH18" i="43"/>
  <c r="II18" i="43"/>
  <c r="IJ18" i="43"/>
  <c r="IK18" i="43"/>
  <c r="IL18" i="43"/>
  <c r="IM18" i="43"/>
  <c r="IN18" i="43"/>
  <c r="IO18" i="43"/>
  <c r="IP18" i="43"/>
  <c r="IQ18" i="43"/>
  <c r="IR18" i="43"/>
  <c r="IS18" i="43"/>
  <c r="IT18" i="43"/>
  <c r="IU18" i="43"/>
  <c r="IV18" i="43"/>
  <c r="A17" i="43"/>
  <c r="B17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BE17" i="43"/>
  <c r="BF17" i="43"/>
  <c r="BG17" i="43"/>
  <c r="BH17" i="43"/>
  <c r="BI17" i="43"/>
  <c r="BJ17" i="43"/>
  <c r="BK17" i="43"/>
  <c r="BL17" i="43"/>
  <c r="BM17" i="43"/>
  <c r="BN17" i="43"/>
  <c r="BO17" i="43"/>
  <c r="BP17" i="43"/>
  <c r="BQ17" i="43"/>
  <c r="BR17" i="43"/>
  <c r="BS17" i="43"/>
  <c r="BT17" i="43"/>
  <c r="BU17" i="43"/>
  <c r="BV17" i="43"/>
  <c r="BW17" i="43"/>
  <c r="BX17" i="43"/>
  <c r="BY17" i="43"/>
  <c r="BZ17" i="43"/>
  <c r="CA17" i="43"/>
  <c r="CB17" i="43"/>
  <c r="CC17" i="43"/>
  <c r="CD17" i="43"/>
  <c r="CE17" i="43"/>
  <c r="CF17" i="43"/>
  <c r="CG17" i="43"/>
  <c r="CH17" i="43"/>
  <c r="CI17" i="43"/>
  <c r="CJ17" i="43"/>
  <c r="CK17" i="43"/>
  <c r="CL17" i="43"/>
  <c r="CM17" i="43"/>
  <c r="CN17" i="43"/>
  <c r="CO17" i="43"/>
  <c r="CP17" i="43"/>
  <c r="CQ17" i="43"/>
  <c r="CR17" i="43"/>
  <c r="CS17" i="43"/>
  <c r="CT17" i="43"/>
  <c r="CU17" i="43"/>
  <c r="CV17" i="43"/>
  <c r="CW17" i="43"/>
  <c r="CX17" i="43"/>
  <c r="CY17" i="43"/>
  <c r="CZ17" i="43"/>
  <c r="DA17" i="43"/>
  <c r="DB17" i="43"/>
  <c r="DC17" i="43"/>
  <c r="DD17" i="43"/>
  <c r="DE17" i="43"/>
  <c r="DF17" i="43"/>
  <c r="DG17" i="43"/>
  <c r="DH17" i="43"/>
  <c r="DI17" i="43"/>
  <c r="DJ17" i="43"/>
  <c r="DK17" i="43"/>
  <c r="DL17" i="43"/>
  <c r="DM17" i="43"/>
  <c r="DN17" i="43"/>
  <c r="DO17" i="43"/>
  <c r="DP17" i="43"/>
  <c r="DQ17" i="43"/>
  <c r="DR17" i="43"/>
  <c r="DS17" i="43"/>
  <c r="DT17" i="43"/>
  <c r="DU17" i="43"/>
  <c r="DV17" i="43"/>
  <c r="DW17" i="43"/>
  <c r="DX17" i="43"/>
  <c r="DY17" i="43"/>
  <c r="DZ17" i="43"/>
  <c r="EA17" i="43"/>
  <c r="EB17" i="43"/>
  <c r="EC17" i="43"/>
  <c r="ED17" i="43"/>
  <c r="EE17" i="43"/>
  <c r="EF17" i="43"/>
  <c r="EG17" i="43"/>
  <c r="EH17" i="43"/>
  <c r="EI17" i="43"/>
  <c r="EJ17" i="43"/>
  <c r="EK17" i="43"/>
  <c r="EL17" i="43"/>
  <c r="EM17" i="43"/>
  <c r="EN17" i="43"/>
  <c r="EO17" i="43"/>
  <c r="EP17" i="43"/>
  <c r="EQ17" i="43"/>
  <c r="ER17" i="43"/>
  <c r="ES17" i="43"/>
  <c r="ET17" i="43"/>
  <c r="EU17" i="43"/>
  <c r="EV17" i="43"/>
  <c r="EW17" i="43"/>
  <c r="EX17" i="43"/>
  <c r="EY17" i="43"/>
  <c r="EZ17" i="43"/>
  <c r="FA17" i="43"/>
  <c r="FB17" i="43"/>
  <c r="FC17" i="43"/>
  <c r="FD17" i="43"/>
  <c r="FE17" i="43"/>
  <c r="FF17" i="43"/>
  <c r="FG17" i="43"/>
  <c r="FH17" i="43"/>
  <c r="FI17" i="43"/>
  <c r="FJ17" i="43"/>
  <c r="FK17" i="43"/>
  <c r="FL17" i="43"/>
  <c r="FM17" i="43"/>
  <c r="FN17" i="43"/>
  <c r="FO17" i="43"/>
  <c r="FP17" i="43"/>
  <c r="FQ17" i="43"/>
  <c r="FR17" i="43"/>
  <c r="FS17" i="43"/>
  <c r="FT17" i="43"/>
  <c r="FU17" i="43"/>
  <c r="FV17" i="43"/>
  <c r="FW17" i="43"/>
  <c r="FX17" i="43"/>
  <c r="FY17" i="43"/>
  <c r="FZ17" i="43"/>
  <c r="GA17" i="43"/>
  <c r="GB17" i="43"/>
  <c r="GC17" i="43"/>
  <c r="GD17" i="43"/>
  <c r="GE17" i="43"/>
  <c r="GF17" i="43"/>
  <c r="GG17" i="43"/>
  <c r="GH17" i="43"/>
  <c r="GI17" i="43"/>
  <c r="GJ17" i="43"/>
  <c r="GK17" i="43"/>
  <c r="GL17" i="43"/>
  <c r="GM17" i="43"/>
  <c r="GN17" i="43"/>
  <c r="GO17" i="43"/>
  <c r="GP17" i="43"/>
  <c r="GQ17" i="43"/>
  <c r="GR17" i="43"/>
  <c r="GS17" i="43"/>
  <c r="GT17" i="43"/>
  <c r="GU17" i="43"/>
  <c r="GV17" i="43"/>
  <c r="GW17" i="43"/>
  <c r="GX17" i="43"/>
  <c r="GY17" i="43"/>
  <c r="GZ17" i="43"/>
  <c r="HA17" i="43"/>
  <c r="HB17" i="43"/>
  <c r="HC17" i="43"/>
  <c r="HD17" i="43"/>
  <c r="HE17" i="43"/>
  <c r="HF17" i="43"/>
  <c r="HG17" i="43"/>
  <c r="HH17" i="43"/>
  <c r="HI17" i="43"/>
  <c r="HJ17" i="43"/>
  <c r="HK17" i="43"/>
  <c r="HL17" i="43"/>
  <c r="HM17" i="43"/>
  <c r="HN17" i="43"/>
  <c r="HO17" i="43"/>
  <c r="HP17" i="43"/>
  <c r="HQ17" i="43"/>
  <c r="HR17" i="43"/>
  <c r="HS17" i="43"/>
  <c r="HT17" i="43"/>
  <c r="HU17" i="43"/>
  <c r="HV17" i="43"/>
  <c r="HW17" i="43"/>
  <c r="HX17" i="43"/>
  <c r="HY17" i="43"/>
  <c r="HZ17" i="43"/>
  <c r="IA17" i="43"/>
  <c r="IB17" i="43"/>
  <c r="IC17" i="43"/>
  <c r="ID17" i="43"/>
  <c r="IE17" i="43"/>
  <c r="IF17" i="43"/>
  <c r="IG17" i="43"/>
  <c r="IH17" i="43"/>
  <c r="II17" i="43"/>
  <c r="IJ17" i="43"/>
  <c r="IK17" i="43"/>
  <c r="IL17" i="43"/>
  <c r="IM17" i="43"/>
  <c r="IN17" i="43"/>
  <c r="IO17" i="43"/>
  <c r="IP17" i="43"/>
  <c r="IQ17" i="43"/>
  <c r="IR17" i="43"/>
  <c r="IS17" i="43"/>
  <c r="IT17" i="43"/>
  <c r="IU17" i="43"/>
  <c r="IV17" i="43"/>
  <c r="A16" i="43"/>
  <c r="B16" i="43"/>
  <c r="C16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BE16" i="43"/>
  <c r="BF16" i="43"/>
  <c r="BG16" i="43"/>
  <c r="BH16" i="43"/>
  <c r="BI16" i="43"/>
  <c r="BJ16" i="43"/>
  <c r="BK16" i="43"/>
  <c r="BL16" i="43"/>
  <c r="BM16" i="43"/>
  <c r="BN16" i="43"/>
  <c r="BO16" i="43"/>
  <c r="BP16" i="43"/>
  <c r="BQ16" i="43"/>
  <c r="BR16" i="43"/>
  <c r="BS16" i="43"/>
  <c r="BT16" i="43"/>
  <c r="BU16" i="43"/>
  <c r="BV16" i="43"/>
  <c r="BW16" i="43"/>
  <c r="BX16" i="43"/>
  <c r="BY16" i="43"/>
  <c r="BZ16" i="43"/>
  <c r="CA16" i="43"/>
  <c r="CB16" i="43"/>
  <c r="CC16" i="43"/>
  <c r="CD16" i="43"/>
  <c r="CE16" i="43"/>
  <c r="CF16" i="43"/>
  <c r="CG16" i="43"/>
  <c r="CH16" i="43"/>
  <c r="CI16" i="43"/>
  <c r="CJ16" i="43"/>
  <c r="CK16" i="43"/>
  <c r="CL16" i="43"/>
  <c r="CM16" i="43"/>
  <c r="CN16" i="43"/>
  <c r="CO16" i="43"/>
  <c r="CP16" i="43"/>
  <c r="CQ16" i="43"/>
  <c r="CR16" i="43"/>
  <c r="CS16" i="43"/>
  <c r="CT16" i="43"/>
  <c r="CU16" i="43"/>
  <c r="CV16" i="43"/>
  <c r="CW16" i="43"/>
  <c r="CX16" i="43"/>
  <c r="CY16" i="43"/>
  <c r="CZ16" i="43"/>
  <c r="DA16" i="43"/>
  <c r="DB16" i="43"/>
  <c r="DC16" i="43"/>
  <c r="DD16" i="43"/>
  <c r="DE16" i="43"/>
  <c r="DF16" i="43"/>
  <c r="DG16" i="43"/>
  <c r="DH16" i="43"/>
  <c r="DI16" i="43"/>
  <c r="DJ16" i="43"/>
  <c r="DK16" i="43"/>
  <c r="DL16" i="43"/>
  <c r="DM16" i="43"/>
  <c r="DN16" i="43"/>
  <c r="DO16" i="43"/>
  <c r="DP16" i="43"/>
  <c r="DQ16" i="43"/>
  <c r="DR16" i="43"/>
  <c r="DS16" i="43"/>
  <c r="DT16" i="43"/>
  <c r="DU16" i="43"/>
  <c r="DV16" i="43"/>
  <c r="DW16" i="43"/>
  <c r="DX16" i="43"/>
  <c r="DY16" i="43"/>
  <c r="DZ16" i="43"/>
  <c r="EA16" i="43"/>
  <c r="EB16" i="43"/>
  <c r="EC16" i="43"/>
  <c r="ED16" i="43"/>
  <c r="EE16" i="43"/>
  <c r="EF16" i="43"/>
  <c r="EG16" i="43"/>
  <c r="EH16" i="43"/>
  <c r="EI16" i="43"/>
  <c r="EJ16" i="43"/>
  <c r="EK16" i="43"/>
  <c r="EL16" i="43"/>
  <c r="EM16" i="43"/>
  <c r="EN16" i="43"/>
  <c r="EO16" i="43"/>
  <c r="EP16" i="43"/>
  <c r="EQ16" i="43"/>
  <c r="ER16" i="43"/>
  <c r="ES16" i="43"/>
  <c r="ET16" i="43"/>
  <c r="EU16" i="43"/>
  <c r="EV16" i="43"/>
  <c r="EW16" i="43"/>
  <c r="EX16" i="43"/>
  <c r="EY16" i="43"/>
  <c r="EZ16" i="43"/>
  <c r="FA16" i="43"/>
  <c r="FB16" i="43"/>
  <c r="FC16" i="43"/>
  <c r="FD16" i="43"/>
  <c r="FE16" i="43"/>
  <c r="FF16" i="43"/>
  <c r="FG16" i="43"/>
  <c r="FH16" i="43"/>
  <c r="FI16" i="43"/>
  <c r="FJ16" i="43"/>
  <c r="FK16" i="43"/>
  <c r="FL16" i="43"/>
  <c r="FM16" i="43"/>
  <c r="FN16" i="43"/>
  <c r="FO16" i="43"/>
  <c r="FP16" i="43"/>
  <c r="FQ16" i="43"/>
  <c r="FR16" i="43"/>
  <c r="FS16" i="43"/>
  <c r="FT16" i="43"/>
  <c r="FU16" i="43"/>
  <c r="FV16" i="43"/>
  <c r="FW16" i="43"/>
  <c r="FX16" i="43"/>
  <c r="FY16" i="43"/>
  <c r="FZ16" i="43"/>
  <c r="GA16" i="43"/>
  <c r="GB16" i="43"/>
  <c r="GC16" i="43"/>
  <c r="GD16" i="43"/>
  <c r="GE16" i="43"/>
  <c r="GF16" i="43"/>
  <c r="GG16" i="43"/>
  <c r="GH16" i="43"/>
  <c r="GI16" i="43"/>
  <c r="GJ16" i="43"/>
  <c r="GK16" i="43"/>
  <c r="GL16" i="43"/>
  <c r="GM16" i="43"/>
  <c r="GN16" i="43"/>
  <c r="GO16" i="43"/>
  <c r="GP16" i="43"/>
  <c r="GQ16" i="43"/>
  <c r="GR16" i="43"/>
  <c r="GS16" i="43"/>
  <c r="GT16" i="43"/>
  <c r="GU16" i="43"/>
  <c r="GV16" i="43"/>
  <c r="GW16" i="43"/>
  <c r="GX16" i="43"/>
  <c r="GY16" i="43"/>
  <c r="GZ16" i="43"/>
  <c r="HA16" i="43"/>
  <c r="HB16" i="43"/>
  <c r="HC16" i="43"/>
  <c r="HD16" i="43"/>
  <c r="HE16" i="43"/>
  <c r="HF16" i="43"/>
  <c r="HG16" i="43"/>
  <c r="HH16" i="43"/>
  <c r="HI16" i="43"/>
  <c r="HJ16" i="43"/>
  <c r="HK16" i="43"/>
  <c r="HL16" i="43"/>
  <c r="HM16" i="43"/>
  <c r="HN16" i="43"/>
  <c r="HO16" i="43"/>
  <c r="HP16" i="43"/>
  <c r="HQ16" i="43"/>
  <c r="HR16" i="43"/>
  <c r="HS16" i="43"/>
  <c r="HT16" i="43"/>
  <c r="HU16" i="43"/>
  <c r="HV16" i="43"/>
  <c r="HW16" i="43"/>
  <c r="HX16" i="43"/>
  <c r="HY16" i="43"/>
  <c r="HZ16" i="43"/>
  <c r="IA16" i="43"/>
  <c r="IB16" i="43"/>
  <c r="IC16" i="43"/>
  <c r="ID16" i="43"/>
  <c r="IE16" i="43"/>
  <c r="IF16" i="43"/>
  <c r="IG16" i="43"/>
  <c r="IH16" i="43"/>
  <c r="II16" i="43"/>
  <c r="IJ16" i="43"/>
  <c r="IK16" i="43"/>
  <c r="IL16" i="43"/>
  <c r="IM16" i="43"/>
  <c r="IN16" i="43"/>
  <c r="IO16" i="43"/>
  <c r="IP16" i="43"/>
  <c r="IQ16" i="43"/>
  <c r="IR16" i="43"/>
  <c r="IS16" i="43"/>
  <c r="IT16" i="43"/>
  <c r="IU16" i="43"/>
  <c r="IV16" i="43"/>
  <c r="A15" i="43"/>
  <c r="B15" i="43"/>
  <c r="C15" i="43"/>
  <c r="D15" i="43"/>
  <c r="E15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BE15" i="43"/>
  <c r="BF15" i="43"/>
  <c r="BG15" i="43"/>
  <c r="BH15" i="43"/>
  <c r="BI15" i="43"/>
  <c r="BJ15" i="43"/>
  <c r="BK15" i="43"/>
  <c r="BL15" i="43"/>
  <c r="BM15" i="43"/>
  <c r="BN15" i="43"/>
  <c r="BO15" i="43"/>
  <c r="BP15" i="43"/>
  <c r="BQ15" i="43"/>
  <c r="BR15" i="43"/>
  <c r="BS15" i="43"/>
  <c r="BT15" i="43"/>
  <c r="BU15" i="43"/>
  <c r="BV15" i="43"/>
  <c r="BW15" i="43"/>
  <c r="BX15" i="43"/>
  <c r="BY15" i="43"/>
  <c r="BZ15" i="43"/>
  <c r="CA15" i="43"/>
  <c r="CB15" i="43"/>
  <c r="CC15" i="43"/>
  <c r="CD15" i="43"/>
  <c r="CE15" i="43"/>
  <c r="CF15" i="43"/>
  <c r="CG15" i="43"/>
  <c r="CH15" i="43"/>
  <c r="CI15" i="43"/>
  <c r="CJ15" i="43"/>
  <c r="CK15" i="43"/>
  <c r="CL15" i="43"/>
  <c r="CM15" i="43"/>
  <c r="CN15" i="43"/>
  <c r="CO15" i="43"/>
  <c r="CP15" i="43"/>
  <c r="CQ15" i="43"/>
  <c r="CR15" i="43"/>
  <c r="CS15" i="43"/>
  <c r="CT15" i="43"/>
  <c r="CU15" i="43"/>
  <c r="CV15" i="43"/>
  <c r="CW15" i="43"/>
  <c r="CX15" i="43"/>
  <c r="CY15" i="43"/>
  <c r="CZ15" i="43"/>
  <c r="DA15" i="43"/>
  <c r="DB15" i="43"/>
  <c r="DC15" i="43"/>
  <c r="DD15" i="43"/>
  <c r="DE15" i="43"/>
  <c r="DF15" i="43"/>
  <c r="DG15" i="43"/>
  <c r="DH15" i="43"/>
  <c r="DI15" i="43"/>
  <c r="DJ15" i="43"/>
  <c r="DK15" i="43"/>
  <c r="DL15" i="43"/>
  <c r="DM15" i="43"/>
  <c r="DN15" i="43"/>
  <c r="DO15" i="43"/>
  <c r="DP15" i="43"/>
  <c r="DQ15" i="43"/>
  <c r="DR15" i="43"/>
  <c r="DS15" i="43"/>
  <c r="DT15" i="43"/>
  <c r="DU15" i="43"/>
  <c r="DV15" i="43"/>
  <c r="DW15" i="43"/>
  <c r="DX15" i="43"/>
  <c r="DY15" i="43"/>
  <c r="DZ15" i="43"/>
  <c r="EA15" i="43"/>
  <c r="EB15" i="43"/>
  <c r="EC15" i="43"/>
  <c r="ED15" i="43"/>
  <c r="EE15" i="43"/>
  <c r="EF15" i="43"/>
  <c r="EG15" i="43"/>
  <c r="EH15" i="43"/>
  <c r="EI15" i="43"/>
  <c r="EJ15" i="43"/>
  <c r="EK15" i="43"/>
  <c r="EL15" i="43"/>
  <c r="EM15" i="43"/>
  <c r="EN15" i="43"/>
  <c r="EO15" i="43"/>
  <c r="EP15" i="43"/>
  <c r="EQ15" i="43"/>
  <c r="ER15" i="43"/>
  <c r="ES15" i="43"/>
  <c r="ET15" i="43"/>
  <c r="EU15" i="43"/>
  <c r="EV15" i="43"/>
  <c r="EW15" i="43"/>
  <c r="EX15" i="43"/>
  <c r="EY15" i="43"/>
  <c r="EZ15" i="43"/>
  <c r="FA15" i="43"/>
  <c r="FB15" i="43"/>
  <c r="FC15" i="43"/>
  <c r="FD15" i="43"/>
  <c r="FE15" i="43"/>
  <c r="FF15" i="43"/>
  <c r="FG15" i="43"/>
  <c r="FH15" i="43"/>
  <c r="FI15" i="43"/>
  <c r="FJ15" i="43"/>
  <c r="FK15" i="43"/>
  <c r="FL15" i="43"/>
  <c r="FM15" i="43"/>
  <c r="FN15" i="43"/>
  <c r="FO15" i="43"/>
  <c r="FP15" i="43"/>
  <c r="FQ15" i="43"/>
  <c r="FR15" i="43"/>
  <c r="FS15" i="43"/>
  <c r="FT15" i="43"/>
  <c r="FU15" i="43"/>
  <c r="FV15" i="43"/>
  <c r="FW15" i="43"/>
  <c r="FX15" i="43"/>
  <c r="FY15" i="43"/>
  <c r="FZ15" i="43"/>
  <c r="GA15" i="43"/>
  <c r="GB15" i="43"/>
  <c r="GC15" i="43"/>
  <c r="GD15" i="43"/>
  <c r="GE15" i="43"/>
  <c r="GF15" i="43"/>
  <c r="GG15" i="43"/>
  <c r="GH15" i="43"/>
  <c r="GI15" i="43"/>
  <c r="GJ15" i="43"/>
  <c r="GK15" i="43"/>
  <c r="GL15" i="43"/>
  <c r="GM15" i="43"/>
  <c r="GN15" i="43"/>
  <c r="GO15" i="43"/>
  <c r="GP15" i="43"/>
  <c r="GQ15" i="43"/>
  <c r="GR15" i="43"/>
  <c r="GS15" i="43"/>
  <c r="GT15" i="43"/>
  <c r="GU15" i="43"/>
  <c r="GV15" i="43"/>
  <c r="GW15" i="43"/>
  <c r="GX15" i="43"/>
  <c r="GY15" i="43"/>
  <c r="GZ15" i="43"/>
  <c r="HA15" i="43"/>
  <c r="HB15" i="43"/>
  <c r="HC15" i="43"/>
  <c r="HD15" i="43"/>
  <c r="HE15" i="43"/>
  <c r="HF15" i="43"/>
  <c r="HG15" i="43"/>
  <c r="HH15" i="43"/>
  <c r="HI15" i="43"/>
  <c r="HJ15" i="43"/>
  <c r="HK15" i="43"/>
  <c r="HL15" i="43"/>
  <c r="HM15" i="43"/>
  <c r="HN15" i="43"/>
  <c r="HO15" i="43"/>
  <c r="HP15" i="43"/>
  <c r="HQ15" i="43"/>
  <c r="HR15" i="43"/>
  <c r="HS15" i="43"/>
  <c r="HT15" i="43"/>
  <c r="HU15" i="43"/>
  <c r="HV15" i="43"/>
  <c r="HW15" i="43"/>
  <c r="HX15" i="43"/>
  <c r="HY15" i="43"/>
  <c r="HZ15" i="43"/>
  <c r="IA15" i="43"/>
  <c r="IB15" i="43"/>
  <c r="IC15" i="43"/>
  <c r="ID15" i="43"/>
  <c r="IE15" i="43"/>
  <c r="IF15" i="43"/>
  <c r="IG15" i="43"/>
  <c r="IH15" i="43"/>
  <c r="II15" i="43"/>
  <c r="IJ15" i="43"/>
  <c r="IK15" i="43"/>
  <c r="IL15" i="43"/>
  <c r="IM15" i="43"/>
  <c r="IN15" i="43"/>
  <c r="IO15" i="43"/>
  <c r="IP15" i="43"/>
  <c r="IQ15" i="43"/>
  <c r="IR15" i="43"/>
  <c r="IS15" i="43"/>
  <c r="IT15" i="43"/>
  <c r="IU15" i="43"/>
  <c r="IV15" i="43"/>
  <c r="A14" i="43"/>
  <c r="B14" i="43"/>
  <c r="C14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BE14" i="43"/>
  <c r="BF14" i="43"/>
  <c r="BG14" i="43"/>
  <c r="BH14" i="43"/>
  <c r="BI14" i="43"/>
  <c r="BJ14" i="43"/>
  <c r="BK14" i="43"/>
  <c r="BL14" i="43"/>
  <c r="BM14" i="43"/>
  <c r="BN14" i="43"/>
  <c r="BO14" i="43"/>
  <c r="BP14" i="43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F14" i="43"/>
  <c r="CG14" i="43"/>
  <c r="CH14" i="43"/>
  <c r="CI14" i="43"/>
  <c r="CJ14" i="43"/>
  <c r="CK14" i="43"/>
  <c r="CL14" i="43"/>
  <c r="CM14" i="43"/>
  <c r="CN14" i="43"/>
  <c r="CO14" i="43"/>
  <c r="CP14" i="43"/>
  <c r="CQ14" i="43"/>
  <c r="CR14" i="43"/>
  <c r="CS14" i="43"/>
  <c r="CT14" i="43"/>
  <c r="CU14" i="43"/>
  <c r="CV14" i="43"/>
  <c r="CW14" i="43"/>
  <c r="CX14" i="43"/>
  <c r="CY14" i="43"/>
  <c r="CZ14" i="43"/>
  <c r="DA14" i="43"/>
  <c r="DB14" i="43"/>
  <c r="DC14" i="43"/>
  <c r="DD14" i="43"/>
  <c r="DE14" i="43"/>
  <c r="DF14" i="43"/>
  <c r="DG14" i="43"/>
  <c r="DH14" i="43"/>
  <c r="DI14" i="43"/>
  <c r="DJ14" i="43"/>
  <c r="DK14" i="43"/>
  <c r="DL14" i="43"/>
  <c r="DM14" i="43"/>
  <c r="DN14" i="43"/>
  <c r="DO14" i="43"/>
  <c r="DP14" i="43"/>
  <c r="DQ14" i="43"/>
  <c r="DR14" i="43"/>
  <c r="DS14" i="43"/>
  <c r="DT14" i="43"/>
  <c r="DU14" i="43"/>
  <c r="DV14" i="43"/>
  <c r="DW14" i="43"/>
  <c r="DX14" i="43"/>
  <c r="DY14" i="43"/>
  <c r="DZ14" i="43"/>
  <c r="EA14" i="43"/>
  <c r="EB14" i="43"/>
  <c r="EC14" i="43"/>
  <c r="ED14" i="43"/>
  <c r="EE14" i="43"/>
  <c r="EF14" i="43"/>
  <c r="EG14" i="43"/>
  <c r="EH14" i="43"/>
  <c r="EI14" i="43"/>
  <c r="EJ14" i="43"/>
  <c r="EK14" i="43"/>
  <c r="EL14" i="43"/>
  <c r="EM14" i="43"/>
  <c r="EN14" i="43"/>
  <c r="EO14" i="43"/>
  <c r="EP14" i="43"/>
  <c r="EQ14" i="43"/>
  <c r="ER14" i="43"/>
  <c r="ES14" i="43"/>
  <c r="ET14" i="43"/>
  <c r="EU14" i="43"/>
  <c r="EV14" i="43"/>
  <c r="EW14" i="43"/>
  <c r="EX14" i="43"/>
  <c r="EY14" i="43"/>
  <c r="EZ14" i="43"/>
  <c r="FA14" i="43"/>
  <c r="FB14" i="43"/>
  <c r="FC14" i="43"/>
  <c r="FD14" i="43"/>
  <c r="FE14" i="43"/>
  <c r="FF14" i="43"/>
  <c r="FG14" i="43"/>
  <c r="FH14" i="43"/>
  <c r="FI14" i="43"/>
  <c r="FJ14" i="43"/>
  <c r="FK14" i="43"/>
  <c r="FL14" i="43"/>
  <c r="FM14" i="43"/>
  <c r="FN14" i="43"/>
  <c r="FO14" i="43"/>
  <c r="FP14" i="43"/>
  <c r="FQ14" i="43"/>
  <c r="FR14" i="43"/>
  <c r="FS14" i="43"/>
  <c r="FT14" i="43"/>
  <c r="FU14" i="43"/>
  <c r="FV14" i="43"/>
  <c r="FW14" i="43"/>
  <c r="FX14" i="43"/>
  <c r="FY14" i="43"/>
  <c r="FZ14" i="43"/>
  <c r="GA14" i="43"/>
  <c r="GB14" i="43"/>
  <c r="GC14" i="43"/>
  <c r="GD14" i="43"/>
  <c r="GE14" i="43"/>
  <c r="GF14" i="43"/>
  <c r="GG14" i="43"/>
  <c r="GH14" i="43"/>
  <c r="GI14" i="43"/>
  <c r="GJ14" i="43"/>
  <c r="GK14" i="43"/>
  <c r="GL14" i="43"/>
  <c r="GM14" i="43"/>
  <c r="GN14" i="43"/>
  <c r="GO14" i="43"/>
  <c r="GP14" i="43"/>
  <c r="GQ14" i="43"/>
  <c r="GR14" i="43"/>
  <c r="GS14" i="43"/>
  <c r="GT14" i="43"/>
  <c r="GU14" i="43"/>
  <c r="GV14" i="43"/>
  <c r="GW14" i="43"/>
  <c r="GX14" i="43"/>
  <c r="GY14" i="43"/>
  <c r="GZ14" i="43"/>
  <c r="HA14" i="43"/>
  <c r="HB14" i="43"/>
  <c r="HC14" i="43"/>
  <c r="HD14" i="43"/>
  <c r="HE14" i="43"/>
  <c r="HF14" i="43"/>
  <c r="HG14" i="43"/>
  <c r="HH14" i="43"/>
  <c r="HI14" i="43"/>
  <c r="HJ14" i="43"/>
  <c r="HK14" i="43"/>
  <c r="HL14" i="43"/>
  <c r="HM14" i="43"/>
  <c r="HN14" i="43"/>
  <c r="HO14" i="43"/>
  <c r="HP14" i="43"/>
  <c r="HQ14" i="43"/>
  <c r="HR14" i="43"/>
  <c r="HS14" i="43"/>
  <c r="HT14" i="43"/>
  <c r="HU14" i="43"/>
  <c r="HV14" i="43"/>
  <c r="HW14" i="43"/>
  <c r="HX14" i="43"/>
  <c r="HY14" i="43"/>
  <c r="HZ14" i="43"/>
  <c r="IA14" i="43"/>
  <c r="IB14" i="43"/>
  <c r="IC14" i="43"/>
  <c r="ID14" i="43"/>
  <c r="IE14" i="43"/>
  <c r="IF14" i="43"/>
  <c r="IG14" i="43"/>
  <c r="IH14" i="43"/>
  <c r="II14" i="43"/>
  <c r="IJ14" i="43"/>
  <c r="IK14" i="43"/>
  <c r="IL14" i="43"/>
  <c r="IM14" i="43"/>
  <c r="IN14" i="43"/>
  <c r="IO14" i="43"/>
  <c r="IP14" i="43"/>
  <c r="IQ14" i="43"/>
  <c r="IR14" i="43"/>
  <c r="IS14" i="43"/>
  <c r="IT14" i="43"/>
  <c r="IU14" i="43"/>
  <c r="IV14" i="43"/>
  <c r="A13" i="43"/>
  <c r="B13" i="43"/>
  <c r="C13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BE13" i="43"/>
  <c r="BF13" i="43"/>
  <c r="BG13" i="43"/>
  <c r="BH13" i="43"/>
  <c r="BI13" i="43"/>
  <c r="BJ13" i="43"/>
  <c r="BK13" i="43"/>
  <c r="BL13" i="43"/>
  <c r="BM13" i="43"/>
  <c r="BN13" i="43"/>
  <c r="BO13" i="43"/>
  <c r="BP13" i="43"/>
  <c r="BQ13" i="43"/>
  <c r="BR13" i="43"/>
  <c r="BS13" i="43"/>
  <c r="BT13" i="43"/>
  <c r="BU13" i="43"/>
  <c r="BV13" i="43"/>
  <c r="BW13" i="43"/>
  <c r="BX13" i="43"/>
  <c r="BY13" i="43"/>
  <c r="BZ13" i="43"/>
  <c r="CA13" i="43"/>
  <c r="CB13" i="43"/>
  <c r="CC13" i="43"/>
  <c r="CD13" i="43"/>
  <c r="CE13" i="43"/>
  <c r="CF13" i="43"/>
  <c r="CG13" i="43"/>
  <c r="CH13" i="43"/>
  <c r="CI13" i="43"/>
  <c r="CJ13" i="43"/>
  <c r="CK13" i="43"/>
  <c r="CL13" i="43"/>
  <c r="CM13" i="43"/>
  <c r="CN13" i="43"/>
  <c r="CO13" i="43"/>
  <c r="CP13" i="43"/>
  <c r="CQ13" i="43"/>
  <c r="CR13" i="43"/>
  <c r="CS13" i="43"/>
  <c r="CT13" i="43"/>
  <c r="CU13" i="43"/>
  <c r="CV13" i="43"/>
  <c r="CW13" i="43"/>
  <c r="CX13" i="43"/>
  <c r="CY13" i="43"/>
  <c r="CZ13" i="43"/>
  <c r="DA13" i="43"/>
  <c r="DB13" i="43"/>
  <c r="DC13" i="43"/>
  <c r="DD13" i="43"/>
  <c r="DE13" i="43"/>
  <c r="DF13" i="43"/>
  <c r="DG13" i="43"/>
  <c r="DH13" i="43"/>
  <c r="DI13" i="43"/>
  <c r="DJ13" i="43"/>
  <c r="DK13" i="43"/>
  <c r="DL13" i="43"/>
  <c r="DM13" i="43"/>
  <c r="DN13" i="43"/>
  <c r="DO13" i="43"/>
  <c r="DP13" i="43"/>
  <c r="DQ13" i="43"/>
  <c r="DR13" i="43"/>
  <c r="DS13" i="43"/>
  <c r="DT13" i="43"/>
  <c r="DU13" i="43"/>
  <c r="DV13" i="43"/>
  <c r="DW13" i="43"/>
  <c r="DX13" i="43"/>
  <c r="DY13" i="43"/>
  <c r="DZ13" i="43"/>
  <c r="EA13" i="43"/>
  <c r="EB13" i="43"/>
  <c r="EC13" i="43"/>
  <c r="ED13" i="43"/>
  <c r="EE13" i="43"/>
  <c r="EF13" i="43"/>
  <c r="EG13" i="43"/>
  <c r="EH13" i="43"/>
  <c r="EI13" i="43"/>
  <c r="EJ13" i="43"/>
  <c r="EK13" i="43"/>
  <c r="EL13" i="43"/>
  <c r="EM13" i="43"/>
  <c r="EN13" i="43"/>
  <c r="EO13" i="43"/>
  <c r="EP13" i="43"/>
  <c r="EQ13" i="43"/>
  <c r="ER13" i="43"/>
  <c r="ES13" i="43"/>
  <c r="ET13" i="43"/>
  <c r="EU13" i="43"/>
  <c r="EV13" i="43"/>
  <c r="EW13" i="43"/>
  <c r="EX13" i="43"/>
  <c r="EY13" i="43"/>
  <c r="EZ13" i="43"/>
  <c r="FA13" i="43"/>
  <c r="FB13" i="43"/>
  <c r="FC13" i="43"/>
  <c r="FD13" i="43"/>
  <c r="FE13" i="43"/>
  <c r="FF13" i="43"/>
  <c r="FG13" i="43"/>
  <c r="FH13" i="43"/>
  <c r="FI13" i="43"/>
  <c r="FJ13" i="43"/>
  <c r="FK13" i="43"/>
  <c r="FL13" i="43"/>
  <c r="FM13" i="43"/>
  <c r="FN13" i="43"/>
  <c r="FO13" i="43"/>
  <c r="FP13" i="43"/>
  <c r="FQ13" i="43"/>
  <c r="FR13" i="43"/>
  <c r="FS13" i="43"/>
  <c r="FT13" i="43"/>
  <c r="FU13" i="43"/>
  <c r="FV13" i="43"/>
  <c r="FW13" i="43"/>
  <c r="FX13" i="43"/>
  <c r="FY13" i="43"/>
  <c r="FZ13" i="43"/>
  <c r="GA13" i="43"/>
  <c r="GB13" i="43"/>
  <c r="GC13" i="43"/>
  <c r="GD13" i="43"/>
  <c r="GE13" i="43"/>
  <c r="GF13" i="43"/>
  <c r="GG13" i="43"/>
  <c r="GH13" i="43"/>
  <c r="GI13" i="43"/>
  <c r="GJ13" i="43"/>
  <c r="GK13" i="43"/>
  <c r="GL13" i="43"/>
  <c r="GM13" i="43"/>
  <c r="GN13" i="43"/>
  <c r="GO13" i="43"/>
  <c r="GP13" i="43"/>
  <c r="GQ13" i="43"/>
  <c r="GR13" i="43"/>
  <c r="GS13" i="43"/>
  <c r="GT13" i="43"/>
  <c r="GU13" i="43"/>
  <c r="GV13" i="43"/>
  <c r="GW13" i="43"/>
  <c r="GX13" i="43"/>
  <c r="GY13" i="43"/>
  <c r="GZ13" i="43"/>
  <c r="HA13" i="43"/>
  <c r="HB13" i="43"/>
  <c r="HC13" i="43"/>
  <c r="HD13" i="43"/>
  <c r="HE13" i="43"/>
  <c r="HF13" i="43"/>
  <c r="HG13" i="43"/>
  <c r="HH13" i="43"/>
  <c r="HI13" i="43"/>
  <c r="HJ13" i="43"/>
  <c r="HK13" i="43"/>
  <c r="HL13" i="43"/>
  <c r="HM13" i="43"/>
  <c r="HN13" i="43"/>
  <c r="HO13" i="43"/>
  <c r="HP13" i="43"/>
  <c r="HQ13" i="43"/>
  <c r="HR13" i="43"/>
  <c r="HS13" i="43"/>
  <c r="HT13" i="43"/>
  <c r="HU13" i="43"/>
  <c r="HV13" i="43"/>
  <c r="HW13" i="43"/>
  <c r="HX13" i="43"/>
  <c r="HY13" i="43"/>
  <c r="HZ13" i="43"/>
  <c r="IA13" i="43"/>
  <c r="IB13" i="43"/>
  <c r="IC13" i="43"/>
  <c r="ID13" i="43"/>
  <c r="IE13" i="43"/>
  <c r="IF13" i="43"/>
  <c r="IG13" i="43"/>
  <c r="IH13" i="43"/>
  <c r="II13" i="43"/>
  <c r="IJ13" i="43"/>
  <c r="IK13" i="43"/>
  <c r="IL13" i="43"/>
  <c r="IM13" i="43"/>
  <c r="IN13" i="43"/>
  <c r="IO13" i="43"/>
  <c r="IP13" i="43"/>
  <c r="IQ13" i="43"/>
  <c r="IR13" i="43"/>
  <c r="IS13" i="43"/>
  <c r="IT13" i="43"/>
  <c r="IU13" i="43"/>
  <c r="IV13" i="43"/>
  <c r="A12" i="43"/>
  <c r="B1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BE12" i="43"/>
  <c r="BF12" i="43"/>
  <c r="BG12" i="43"/>
  <c r="BH12" i="43"/>
  <c r="BI12" i="43"/>
  <c r="BJ12" i="43"/>
  <c r="BK12" i="43"/>
  <c r="BL12" i="43"/>
  <c r="BM12" i="43"/>
  <c r="BN12" i="43"/>
  <c r="BO12" i="43"/>
  <c r="BP12" i="43"/>
  <c r="BQ12" i="43"/>
  <c r="BR12" i="43"/>
  <c r="BS12" i="43"/>
  <c r="BT12" i="43"/>
  <c r="BU12" i="43"/>
  <c r="BV12" i="43"/>
  <c r="BW12" i="43"/>
  <c r="BX12" i="43"/>
  <c r="BY12" i="43"/>
  <c r="BZ12" i="43"/>
  <c r="CA12" i="43"/>
  <c r="CB12" i="43"/>
  <c r="CC12" i="43"/>
  <c r="CD12" i="43"/>
  <c r="CE12" i="43"/>
  <c r="CF12" i="43"/>
  <c r="CG12" i="43"/>
  <c r="CH12" i="43"/>
  <c r="CI12" i="43"/>
  <c r="CJ12" i="43"/>
  <c r="CK12" i="43"/>
  <c r="CL12" i="43"/>
  <c r="CM12" i="43"/>
  <c r="CN12" i="43"/>
  <c r="CO12" i="43"/>
  <c r="CP12" i="43"/>
  <c r="CQ12" i="43"/>
  <c r="CR12" i="43"/>
  <c r="CS12" i="43"/>
  <c r="CT12" i="43"/>
  <c r="CU12" i="43"/>
  <c r="CV12" i="43"/>
  <c r="CW12" i="43"/>
  <c r="CX12" i="43"/>
  <c r="CY12" i="43"/>
  <c r="CZ12" i="43"/>
  <c r="DA12" i="43"/>
  <c r="DB12" i="43"/>
  <c r="DC12" i="43"/>
  <c r="DD12" i="43"/>
  <c r="DE12" i="43"/>
  <c r="DF12" i="43"/>
  <c r="DG12" i="43"/>
  <c r="DH12" i="43"/>
  <c r="DI12" i="43"/>
  <c r="DJ12" i="43"/>
  <c r="DK12" i="43"/>
  <c r="DL12" i="43"/>
  <c r="DM12" i="43"/>
  <c r="DN12" i="43"/>
  <c r="DO12" i="43"/>
  <c r="DP12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J12" i="43"/>
  <c r="EK12" i="43"/>
  <c r="EL12" i="43"/>
  <c r="EM12" i="43"/>
  <c r="EN12" i="43"/>
  <c r="EO12" i="43"/>
  <c r="EP12" i="43"/>
  <c r="EQ12" i="43"/>
  <c r="ER12" i="43"/>
  <c r="ES12" i="43"/>
  <c r="ET12" i="43"/>
  <c r="EU12" i="43"/>
  <c r="EV12" i="43"/>
  <c r="EW12" i="43"/>
  <c r="EX12" i="43"/>
  <c r="EY12" i="43"/>
  <c r="EZ12" i="43"/>
  <c r="FA12" i="43"/>
  <c r="FB12" i="43"/>
  <c r="FC12" i="43"/>
  <c r="FD12" i="43"/>
  <c r="FE12" i="43"/>
  <c r="FF12" i="43"/>
  <c r="FG12" i="43"/>
  <c r="FH12" i="43"/>
  <c r="FI12" i="43"/>
  <c r="FJ12" i="43"/>
  <c r="FK12" i="43"/>
  <c r="FL12" i="43"/>
  <c r="FM12" i="43"/>
  <c r="FN12" i="43"/>
  <c r="FO12" i="43"/>
  <c r="FP12" i="43"/>
  <c r="FQ12" i="43"/>
  <c r="FR12" i="43"/>
  <c r="FS12" i="43"/>
  <c r="FT12" i="43"/>
  <c r="FU12" i="43"/>
  <c r="FV12" i="43"/>
  <c r="FW12" i="43"/>
  <c r="FX12" i="43"/>
  <c r="FY12" i="43"/>
  <c r="FZ12" i="43"/>
  <c r="GA12" i="43"/>
  <c r="GB12" i="43"/>
  <c r="GC12" i="43"/>
  <c r="GD12" i="43"/>
  <c r="GE12" i="43"/>
  <c r="GF12" i="43"/>
  <c r="GG12" i="43"/>
  <c r="GH12" i="43"/>
  <c r="GI12" i="43"/>
  <c r="GJ12" i="43"/>
  <c r="GK12" i="43"/>
  <c r="GL12" i="43"/>
  <c r="GM12" i="43"/>
  <c r="GN12" i="43"/>
  <c r="GO12" i="43"/>
  <c r="GP12" i="43"/>
  <c r="GQ12" i="43"/>
  <c r="GR12" i="43"/>
  <c r="GS12" i="43"/>
  <c r="GT12" i="43"/>
  <c r="GU12" i="43"/>
  <c r="GV12" i="43"/>
  <c r="GW12" i="43"/>
  <c r="GX12" i="43"/>
  <c r="GY12" i="43"/>
  <c r="GZ12" i="43"/>
  <c r="HA12" i="43"/>
  <c r="HB12" i="43"/>
  <c r="HC12" i="43"/>
  <c r="HD12" i="43"/>
  <c r="HE12" i="43"/>
  <c r="HF12" i="43"/>
  <c r="HG12" i="43"/>
  <c r="HH12" i="43"/>
  <c r="HI12" i="43"/>
  <c r="HJ12" i="43"/>
  <c r="HK12" i="43"/>
  <c r="HL12" i="43"/>
  <c r="HM12" i="43"/>
  <c r="HN12" i="43"/>
  <c r="HO12" i="43"/>
  <c r="HP12" i="43"/>
  <c r="HQ12" i="43"/>
  <c r="HR12" i="43"/>
  <c r="HS12" i="43"/>
  <c r="HT12" i="43"/>
  <c r="HU12" i="43"/>
  <c r="HV12" i="43"/>
  <c r="HW12" i="43"/>
  <c r="HX12" i="43"/>
  <c r="HY12" i="43"/>
  <c r="HZ12" i="43"/>
  <c r="IA12" i="43"/>
  <c r="IB12" i="43"/>
  <c r="IC12" i="43"/>
  <c r="ID12" i="43"/>
  <c r="IE12" i="43"/>
  <c r="IF12" i="43"/>
  <c r="IG12" i="43"/>
  <c r="IH12" i="43"/>
  <c r="II12" i="43"/>
  <c r="IJ12" i="43"/>
  <c r="IK12" i="43"/>
  <c r="IL12" i="43"/>
  <c r="IM12" i="43"/>
  <c r="IN12" i="43"/>
  <c r="IO12" i="43"/>
  <c r="IP12" i="43"/>
  <c r="IQ12" i="43"/>
  <c r="IR12" i="43"/>
  <c r="IS12" i="43"/>
  <c r="IT12" i="43"/>
  <c r="IU12" i="43"/>
  <c r="IV12" i="43"/>
  <c r="A11" i="43"/>
  <c r="B11" i="43"/>
  <c r="C11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BE11" i="43"/>
  <c r="BF11" i="43"/>
  <c r="BG11" i="43"/>
  <c r="BH11" i="43"/>
  <c r="BI11" i="43"/>
  <c r="BJ11" i="43"/>
  <c r="BK11" i="43"/>
  <c r="BL11" i="43"/>
  <c r="BM11" i="43"/>
  <c r="BN11" i="43"/>
  <c r="BO11" i="43"/>
  <c r="BP11" i="43"/>
  <c r="BQ11" i="43"/>
  <c r="BR11" i="43"/>
  <c r="BS11" i="43"/>
  <c r="BT11" i="43"/>
  <c r="BU11" i="43"/>
  <c r="BV11" i="43"/>
  <c r="BW11" i="43"/>
  <c r="BX11" i="43"/>
  <c r="BY11" i="43"/>
  <c r="BZ11" i="43"/>
  <c r="CA11" i="43"/>
  <c r="CB11" i="43"/>
  <c r="CC11" i="43"/>
  <c r="CD11" i="43"/>
  <c r="CE11" i="43"/>
  <c r="CF11" i="43"/>
  <c r="CG11" i="43"/>
  <c r="CH11" i="43"/>
  <c r="CI11" i="43"/>
  <c r="CJ11" i="43"/>
  <c r="CK11" i="43"/>
  <c r="CL11" i="43"/>
  <c r="CM11" i="43"/>
  <c r="CN11" i="43"/>
  <c r="CO11" i="43"/>
  <c r="CP11" i="43"/>
  <c r="CQ11" i="43"/>
  <c r="CR11" i="43"/>
  <c r="CS11" i="43"/>
  <c r="CT11" i="43"/>
  <c r="CU11" i="43"/>
  <c r="CV11" i="43"/>
  <c r="CW11" i="43"/>
  <c r="CX11" i="43"/>
  <c r="CY11" i="43"/>
  <c r="CZ11" i="43"/>
  <c r="DA11" i="43"/>
  <c r="DB11" i="43"/>
  <c r="DC11" i="43"/>
  <c r="DD11" i="43"/>
  <c r="DE11" i="43"/>
  <c r="DF11" i="43"/>
  <c r="DG11" i="43"/>
  <c r="DH11" i="43"/>
  <c r="DI11" i="43"/>
  <c r="DJ11" i="43"/>
  <c r="DK11" i="43"/>
  <c r="DL11" i="43"/>
  <c r="DM11" i="43"/>
  <c r="DN11" i="43"/>
  <c r="DO11" i="43"/>
  <c r="DP11" i="43"/>
  <c r="DQ11" i="43"/>
  <c r="DR11" i="43"/>
  <c r="DS11" i="43"/>
  <c r="DT11" i="43"/>
  <c r="DU11" i="43"/>
  <c r="DV11" i="43"/>
  <c r="DW11" i="43"/>
  <c r="DX11" i="43"/>
  <c r="DY11" i="43"/>
  <c r="DZ11" i="43"/>
  <c r="EA11" i="43"/>
  <c r="EB11" i="43"/>
  <c r="EC11" i="43"/>
  <c r="ED11" i="43"/>
  <c r="EE11" i="43"/>
  <c r="EF11" i="43"/>
  <c r="EG11" i="43"/>
  <c r="EH11" i="43"/>
  <c r="EI11" i="43"/>
  <c r="EJ11" i="43"/>
  <c r="EK11" i="43"/>
  <c r="EL11" i="43"/>
  <c r="EM11" i="43"/>
  <c r="EN11" i="43"/>
  <c r="EO11" i="43"/>
  <c r="EP11" i="43"/>
  <c r="EQ11" i="43"/>
  <c r="ER11" i="43"/>
  <c r="ES11" i="43"/>
  <c r="ET11" i="43"/>
  <c r="EU11" i="43"/>
  <c r="EV11" i="43"/>
  <c r="EW11" i="43"/>
  <c r="EX11" i="43"/>
  <c r="EY11" i="43"/>
  <c r="EZ11" i="43"/>
  <c r="FA11" i="43"/>
  <c r="FB11" i="43"/>
  <c r="FC11" i="43"/>
  <c r="FD11" i="43"/>
  <c r="FE11" i="43"/>
  <c r="FF11" i="43"/>
  <c r="FG11" i="43"/>
  <c r="FH11" i="43"/>
  <c r="FI11" i="43"/>
  <c r="FJ11" i="43"/>
  <c r="FK11" i="43"/>
  <c r="FL11" i="43"/>
  <c r="FM11" i="43"/>
  <c r="FN11" i="43"/>
  <c r="FO11" i="43"/>
  <c r="FP11" i="43"/>
  <c r="FQ11" i="43"/>
  <c r="FR11" i="43"/>
  <c r="FS11" i="43"/>
  <c r="FT11" i="43"/>
  <c r="FU11" i="43"/>
  <c r="FV11" i="43"/>
  <c r="FW11" i="43"/>
  <c r="FX11" i="43"/>
  <c r="FY11" i="43"/>
  <c r="FZ11" i="43"/>
  <c r="GA11" i="43"/>
  <c r="GB11" i="43"/>
  <c r="GC11" i="43"/>
  <c r="GD11" i="43"/>
  <c r="GE11" i="43"/>
  <c r="GF11" i="43"/>
  <c r="GG11" i="43"/>
  <c r="GH11" i="43"/>
  <c r="GI11" i="43"/>
  <c r="GJ11" i="43"/>
  <c r="GK11" i="43"/>
  <c r="GL11" i="43"/>
  <c r="GM11" i="43"/>
  <c r="GN11" i="43"/>
  <c r="GO11" i="43"/>
  <c r="GP11" i="43"/>
  <c r="GQ11" i="43"/>
  <c r="GR11" i="43"/>
  <c r="GS11" i="43"/>
  <c r="GT11" i="43"/>
  <c r="GU11" i="43"/>
  <c r="GV11" i="43"/>
  <c r="GW11" i="43"/>
  <c r="GX11" i="43"/>
  <c r="GY11" i="43"/>
  <c r="GZ11" i="43"/>
  <c r="HA11" i="43"/>
  <c r="HB11" i="43"/>
  <c r="HC11" i="43"/>
  <c r="HD11" i="43"/>
  <c r="HE11" i="43"/>
  <c r="HF11" i="43"/>
  <c r="HG11" i="43"/>
  <c r="HH11" i="43"/>
  <c r="HI11" i="43"/>
  <c r="HJ11" i="43"/>
  <c r="HK11" i="43"/>
  <c r="HL11" i="43"/>
  <c r="HM11" i="43"/>
  <c r="HN11" i="43"/>
  <c r="HO11" i="43"/>
  <c r="HP11" i="43"/>
  <c r="HQ11" i="43"/>
  <c r="HR11" i="43"/>
  <c r="HS11" i="43"/>
  <c r="HT11" i="43"/>
  <c r="HU11" i="43"/>
  <c r="HV11" i="43"/>
  <c r="HW11" i="43"/>
  <c r="HX11" i="43"/>
  <c r="HY11" i="43"/>
  <c r="HZ11" i="43"/>
  <c r="IA11" i="43"/>
  <c r="IB11" i="43"/>
  <c r="IC11" i="43"/>
  <c r="ID11" i="43"/>
  <c r="IE11" i="43"/>
  <c r="IF11" i="43"/>
  <c r="IG11" i="43"/>
  <c r="IH11" i="43"/>
  <c r="II11" i="43"/>
  <c r="IJ11" i="43"/>
  <c r="IK11" i="43"/>
  <c r="IL11" i="43"/>
  <c r="IM11" i="43"/>
  <c r="IN11" i="43"/>
  <c r="IO11" i="43"/>
  <c r="IP11" i="43"/>
  <c r="IQ11" i="43"/>
  <c r="IR11" i="43"/>
  <c r="IS11" i="43"/>
  <c r="IT11" i="43"/>
  <c r="IU11" i="43"/>
  <c r="IV11" i="43"/>
  <c r="A10" i="43"/>
  <c r="B10" i="43"/>
  <c r="C10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BE10" i="43"/>
  <c r="BF10" i="43"/>
  <c r="BG10" i="43"/>
  <c r="BH10" i="43"/>
  <c r="BI10" i="43"/>
  <c r="BJ10" i="43"/>
  <c r="BK10" i="43"/>
  <c r="BL10" i="43"/>
  <c r="BM10" i="43"/>
  <c r="BN10" i="43"/>
  <c r="BO10" i="43"/>
  <c r="BP10" i="43"/>
  <c r="BQ10" i="43"/>
  <c r="BR10" i="43"/>
  <c r="BS10" i="43"/>
  <c r="BT10" i="43"/>
  <c r="BU10" i="43"/>
  <c r="BV10" i="43"/>
  <c r="BW10" i="43"/>
  <c r="BX10" i="43"/>
  <c r="BY10" i="43"/>
  <c r="BZ10" i="43"/>
  <c r="CA10" i="43"/>
  <c r="CB10" i="43"/>
  <c r="CC10" i="43"/>
  <c r="CD10" i="43"/>
  <c r="CE10" i="43"/>
  <c r="CF10" i="43"/>
  <c r="CG10" i="43"/>
  <c r="CH10" i="43"/>
  <c r="CI10" i="43"/>
  <c r="CJ10" i="43"/>
  <c r="CK10" i="43"/>
  <c r="CL10" i="43"/>
  <c r="CM10" i="43"/>
  <c r="CN10" i="43"/>
  <c r="CO10" i="43"/>
  <c r="CP10" i="43"/>
  <c r="CQ10" i="43"/>
  <c r="CR10" i="43"/>
  <c r="CS10" i="43"/>
  <c r="CT10" i="43"/>
  <c r="CU10" i="43"/>
  <c r="CV10" i="43"/>
  <c r="CW10" i="43"/>
  <c r="CX10" i="43"/>
  <c r="CY10" i="43"/>
  <c r="CZ10" i="43"/>
  <c r="DA10" i="43"/>
  <c r="DB10" i="43"/>
  <c r="DC10" i="43"/>
  <c r="DD10" i="43"/>
  <c r="DE10" i="43"/>
  <c r="DF10" i="43"/>
  <c r="DG10" i="43"/>
  <c r="DH10" i="43"/>
  <c r="DI10" i="43"/>
  <c r="DJ10" i="43"/>
  <c r="DK10" i="43"/>
  <c r="DL10" i="43"/>
  <c r="DM10" i="43"/>
  <c r="DN10" i="43"/>
  <c r="DO10" i="43"/>
  <c r="DP10" i="43"/>
  <c r="DQ10" i="43"/>
  <c r="DR10" i="43"/>
  <c r="DS10" i="43"/>
  <c r="DT10" i="43"/>
  <c r="DU10" i="43"/>
  <c r="DV10" i="43"/>
  <c r="DW10" i="43"/>
  <c r="DX10" i="43"/>
  <c r="DY10" i="43"/>
  <c r="DZ10" i="43"/>
  <c r="EA10" i="43"/>
  <c r="EB10" i="43"/>
  <c r="EC10" i="43"/>
  <c r="ED10" i="43"/>
  <c r="EE10" i="43"/>
  <c r="EF10" i="43"/>
  <c r="EG10" i="43"/>
  <c r="EH10" i="43"/>
  <c r="EI10" i="43"/>
  <c r="EJ10" i="43"/>
  <c r="EK10" i="43"/>
  <c r="EL10" i="43"/>
  <c r="EM10" i="43"/>
  <c r="EN10" i="43"/>
  <c r="EO10" i="43"/>
  <c r="EP10" i="43"/>
  <c r="EQ10" i="43"/>
  <c r="ER10" i="43"/>
  <c r="ES10" i="43"/>
  <c r="ET10" i="43"/>
  <c r="EU10" i="43"/>
  <c r="EV10" i="43"/>
  <c r="EW10" i="43"/>
  <c r="EX10" i="43"/>
  <c r="EY10" i="43"/>
  <c r="EZ10" i="43"/>
  <c r="FA10" i="43"/>
  <c r="FB10" i="43"/>
  <c r="FC10" i="43"/>
  <c r="FD10" i="43"/>
  <c r="FE10" i="43"/>
  <c r="FF10" i="43"/>
  <c r="FG10" i="43"/>
  <c r="FH10" i="43"/>
  <c r="FI10" i="43"/>
  <c r="FJ10" i="43"/>
  <c r="FK10" i="43"/>
  <c r="FL10" i="43"/>
  <c r="FM10" i="43"/>
  <c r="FN10" i="43"/>
  <c r="FO10" i="43"/>
  <c r="FP10" i="43"/>
  <c r="FQ10" i="43"/>
  <c r="FR10" i="43"/>
  <c r="FS10" i="43"/>
  <c r="FT10" i="43"/>
  <c r="FU10" i="43"/>
  <c r="FV10" i="43"/>
  <c r="FW10" i="43"/>
  <c r="FX10" i="43"/>
  <c r="FY10" i="43"/>
  <c r="FZ10" i="43"/>
  <c r="GA10" i="43"/>
  <c r="GB10" i="43"/>
  <c r="GC10" i="43"/>
  <c r="GD10" i="43"/>
  <c r="GE10" i="43"/>
  <c r="GF10" i="43"/>
  <c r="GG10" i="43"/>
  <c r="GH10" i="43"/>
  <c r="GI10" i="43"/>
  <c r="GJ10" i="43"/>
  <c r="GK10" i="43"/>
  <c r="GL10" i="43"/>
  <c r="GM10" i="43"/>
  <c r="GN10" i="43"/>
  <c r="GO10" i="43"/>
  <c r="GP10" i="43"/>
  <c r="GQ10" i="43"/>
  <c r="GR10" i="43"/>
  <c r="GS10" i="43"/>
  <c r="GT10" i="43"/>
  <c r="GU10" i="43"/>
  <c r="GV10" i="43"/>
  <c r="GW10" i="43"/>
  <c r="GX10" i="43"/>
  <c r="GY10" i="43"/>
  <c r="GZ10" i="43"/>
  <c r="HA10" i="43"/>
  <c r="HB10" i="43"/>
  <c r="HC10" i="43"/>
  <c r="HD10" i="43"/>
  <c r="HE10" i="43"/>
  <c r="HF10" i="43"/>
  <c r="HG10" i="43"/>
  <c r="HH10" i="43"/>
  <c r="HI10" i="43"/>
  <c r="HJ10" i="43"/>
  <c r="HK10" i="43"/>
  <c r="HL10" i="43"/>
  <c r="HM10" i="43"/>
  <c r="HN10" i="43"/>
  <c r="HO10" i="43"/>
  <c r="HP10" i="43"/>
  <c r="HQ10" i="43"/>
  <c r="HR10" i="43"/>
  <c r="HS10" i="43"/>
  <c r="HT10" i="43"/>
  <c r="HU10" i="43"/>
  <c r="HV10" i="43"/>
  <c r="HW10" i="43"/>
  <c r="HX10" i="43"/>
  <c r="HY10" i="43"/>
  <c r="HZ10" i="43"/>
  <c r="IA10" i="43"/>
  <c r="IB10" i="43"/>
  <c r="IC10" i="43"/>
  <c r="ID10" i="43"/>
  <c r="IE10" i="43"/>
  <c r="IF10" i="43"/>
  <c r="IG10" i="43"/>
  <c r="IH10" i="43"/>
  <c r="II10" i="43"/>
  <c r="IJ10" i="43"/>
  <c r="IK10" i="43"/>
  <c r="IL10" i="43"/>
  <c r="IM10" i="43"/>
  <c r="IN10" i="43"/>
  <c r="IO10" i="43"/>
  <c r="IP10" i="43"/>
  <c r="IQ10" i="43"/>
  <c r="IR10" i="43"/>
  <c r="IS10" i="43"/>
  <c r="IT10" i="43"/>
  <c r="IU10" i="43"/>
  <c r="IV10" i="43"/>
  <c r="A9" i="43"/>
  <c r="B9" i="43"/>
  <c r="C9" i="43"/>
  <c r="D9" i="43"/>
  <c r="E9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BE9" i="43"/>
  <c r="BF9" i="43"/>
  <c r="BG9" i="43"/>
  <c r="BH9" i="43"/>
  <c r="BI9" i="43"/>
  <c r="BJ9" i="43"/>
  <c r="BK9" i="43"/>
  <c r="BL9" i="43"/>
  <c r="BM9" i="43"/>
  <c r="BN9" i="43"/>
  <c r="BO9" i="43"/>
  <c r="BP9" i="43"/>
  <c r="BQ9" i="43"/>
  <c r="BR9" i="43"/>
  <c r="BS9" i="43"/>
  <c r="BT9" i="43"/>
  <c r="BU9" i="43"/>
  <c r="BV9" i="43"/>
  <c r="BW9" i="43"/>
  <c r="BX9" i="43"/>
  <c r="BY9" i="43"/>
  <c r="BZ9" i="43"/>
  <c r="CA9" i="43"/>
  <c r="CB9" i="43"/>
  <c r="CC9" i="43"/>
  <c r="CD9" i="43"/>
  <c r="CE9" i="43"/>
  <c r="CF9" i="43"/>
  <c r="CG9" i="43"/>
  <c r="CH9" i="43"/>
  <c r="CI9" i="43"/>
  <c r="CJ9" i="43"/>
  <c r="CK9" i="43"/>
  <c r="CL9" i="43"/>
  <c r="CM9" i="43"/>
  <c r="CN9" i="43"/>
  <c r="CO9" i="43"/>
  <c r="CP9" i="43"/>
  <c r="CQ9" i="43"/>
  <c r="CR9" i="43"/>
  <c r="CS9" i="43"/>
  <c r="CT9" i="43"/>
  <c r="CU9" i="43"/>
  <c r="CV9" i="43"/>
  <c r="CW9" i="43"/>
  <c r="CX9" i="43"/>
  <c r="CY9" i="43"/>
  <c r="CZ9" i="43"/>
  <c r="DA9" i="43"/>
  <c r="DB9" i="43"/>
  <c r="DC9" i="43"/>
  <c r="DD9" i="43"/>
  <c r="DE9" i="43"/>
  <c r="DF9" i="43"/>
  <c r="DG9" i="43"/>
  <c r="DH9" i="43"/>
  <c r="DI9" i="43"/>
  <c r="DJ9" i="43"/>
  <c r="DK9" i="43"/>
  <c r="DL9" i="43"/>
  <c r="DM9" i="43"/>
  <c r="DN9" i="43"/>
  <c r="DO9" i="43"/>
  <c r="DP9" i="43"/>
  <c r="DQ9" i="43"/>
  <c r="DR9" i="43"/>
  <c r="DS9" i="43"/>
  <c r="DT9" i="43"/>
  <c r="DU9" i="43"/>
  <c r="DV9" i="43"/>
  <c r="DW9" i="43"/>
  <c r="DX9" i="43"/>
  <c r="DY9" i="43"/>
  <c r="DZ9" i="43"/>
  <c r="EA9" i="43"/>
  <c r="EB9" i="43"/>
  <c r="EC9" i="43"/>
  <c r="ED9" i="43"/>
  <c r="EE9" i="43"/>
  <c r="EF9" i="43"/>
  <c r="EG9" i="43"/>
  <c r="EH9" i="43"/>
  <c r="EI9" i="43"/>
  <c r="EJ9" i="43"/>
  <c r="EK9" i="43"/>
  <c r="EL9" i="43"/>
  <c r="EM9" i="43"/>
  <c r="EN9" i="43"/>
  <c r="EO9" i="43"/>
  <c r="EP9" i="43"/>
  <c r="EQ9" i="43"/>
  <c r="ER9" i="43"/>
  <c r="ES9" i="43"/>
  <c r="ET9" i="43"/>
  <c r="EU9" i="43"/>
  <c r="EV9" i="43"/>
  <c r="EW9" i="43"/>
  <c r="EX9" i="43"/>
  <c r="EY9" i="43"/>
  <c r="EZ9" i="43"/>
  <c r="FA9" i="43"/>
  <c r="FB9" i="43"/>
  <c r="FC9" i="43"/>
  <c r="FD9" i="43"/>
  <c r="FE9" i="43"/>
  <c r="FF9" i="43"/>
  <c r="FG9" i="43"/>
  <c r="FH9" i="43"/>
  <c r="FI9" i="43"/>
  <c r="FJ9" i="43"/>
  <c r="FK9" i="43"/>
  <c r="FL9" i="43"/>
  <c r="FM9" i="43"/>
  <c r="FN9" i="43"/>
  <c r="FO9" i="43"/>
  <c r="FP9" i="43"/>
  <c r="FQ9" i="43"/>
  <c r="FR9" i="43"/>
  <c r="FS9" i="43"/>
  <c r="FT9" i="43"/>
  <c r="FU9" i="43"/>
  <c r="FV9" i="43"/>
  <c r="FW9" i="43"/>
  <c r="FX9" i="43"/>
  <c r="FY9" i="43"/>
  <c r="FZ9" i="43"/>
  <c r="GA9" i="43"/>
  <c r="GB9" i="43"/>
  <c r="GC9" i="43"/>
  <c r="GD9" i="43"/>
  <c r="GE9" i="43"/>
  <c r="GF9" i="43"/>
  <c r="GG9" i="43"/>
  <c r="GH9" i="43"/>
  <c r="GI9" i="43"/>
  <c r="GJ9" i="43"/>
  <c r="GK9" i="43"/>
  <c r="GL9" i="43"/>
  <c r="GM9" i="43"/>
  <c r="GN9" i="43"/>
  <c r="GO9" i="43"/>
  <c r="GP9" i="43"/>
  <c r="GQ9" i="43"/>
  <c r="GR9" i="43"/>
  <c r="GS9" i="43"/>
  <c r="GT9" i="43"/>
  <c r="GU9" i="43"/>
  <c r="GV9" i="43"/>
  <c r="GW9" i="43"/>
  <c r="GX9" i="43"/>
  <c r="GY9" i="43"/>
  <c r="GZ9" i="43"/>
  <c r="HA9" i="43"/>
  <c r="HB9" i="43"/>
  <c r="HC9" i="43"/>
  <c r="HD9" i="43"/>
  <c r="HE9" i="43"/>
  <c r="HF9" i="43"/>
  <c r="HG9" i="43"/>
  <c r="HH9" i="43"/>
  <c r="HI9" i="43"/>
  <c r="HJ9" i="43"/>
  <c r="HK9" i="43"/>
  <c r="HL9" i="43"/>
  <c r="HM9" i="43"/>
  <c r="HN9" i="43"/>
  <c r="HO9" i="43"/>
  <c r="HP9" i="43"/>
  <c r="HQ9" i="43"/>
  <c r="HR9" i="43"/>
  <c r="HS9" i="43"/>
  <c r="HT9" i="43"/>
  <c r="HU9" i="43"/>
  <c r="HV9" i="43"/>
  <c r="HW9" i="43"/>
  <c r="HX9" i="43"/>
  <c r="HY9" i="43"/>
  <c r="HZ9" i="43"/>
  <c r="IA9" i="43"/>
  <c r="IB9" i="43"/>
  <c r="IC9" i="43"/>
  <c r="ID9" i="43"/>
  <c r="IE9" i="43"/>
  <c r="IF9" i="43"/>
  <c r="IG9" i="43"/>
  <c r="IH9" i="43"/>
  <c r="II9" i="43"/>
  <c r="IJ9" i="43"/>
  <c r="IK9" i="43"/>
  <c r="IL9" i="43"/>
  <c r="IM9" i="43"/>
  <c r="IN9" i="43"/>
  <c r="IO9" i="43"/>
  <c r="IP9" i="43"/>
  <c r="IQ9" i="43"/>
  <c r="IR9" i="43"/>
  <c r="IS9" i="43"/>
  <c r="IT9" i="43"/>
  <c r="IU9" i="43"/>
  <c r="IV9" i="43"/>
  <c r="A8" i="43"/>
  <c r="B8" i="43"/>
  <c r="C8" i="43"/>
  <c r="D8" i="43"/>
  <c r="E8" i="43"/>
  <c r="F8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BE8" i="43"/>
  <c r="BF8" i="43"/>
  <c r="BG8" i="43"/>
  <c r="BH8" i="43"/>
  <c r="BI8" i="43"/>
  <c r="BJ8" i="43"/>
  <c r="BK8" i="43"/>
  <c r="BL8" i="43"/>
  <c r="BM8" i="43"/>
  <c r="BN8" i="43"/>
  <c r="BO8" i="43"/>
  <c r="BP8" i="43"/>
  <c r="BQ8" i="43"/>
  <c r="BR8" i="43"/>
  <c r="BS8" i="43"/>
  <c r="BT8" i="43"/>
  <c r="BU8" i="43"/>
  <c r="BV8" i="43"/>
  <c r="BW8" i="43"/>
  <c r="BX8" i="43"/>
  <c r="BY8" i="43"/>
  <c r="BZ8" i="43"/>
  <c r="CA8" i="43"/>
  <c r="CB8" i="43"/>
  <c r="CC8" i="43"/>
  <c r="CD8" i="43"/>
  <c r="CE8" i="43"/>
  <c r="CF8" i="43"/>
  <c r="CG8" i="43"/>
  <c r="CH8" i="43"/>
  <c r="CI8" i="43"/>
  <c r="CJ8" i="43"/>
  <c r="CK8" i="43"/>
  <c r="CL8" i="43"/>
  <c r="CM8" i="43"/>
  <c r="CN8" i="43"/>
  <c r="CO8" i="43"/>
  <c r="CP8" i="43"/>
  <c r="CQ8" i="43"/>
  <c r="CR8" i="43"/>
  <c r="CS8" i="43"/>
  <c r="CT8" i="43"/>
  <c r="CU8" i="43"/>
  <c r="CV8" i="43"/>
  <c r="CW8" i="43"/>
  <c r="CX8" i="43"/>
  <c r="CY8" i="43"/>
  <c r="CZ8" i="43"/>
  <c r="DA8" i="43"/>
  <c r="DB8" i="43"/>
  <c r="DC8" i="43"/>
  <c r="DD8" i="43"/>
  <c r="DE8" i="43"/>
  <c r="DF8" i="43"/>
  <c r="DG8" i="43"/>
  <c r="DH8" i="43"/>
  <c r="DI8" i="43"/>
  <c r="DJ8" i="43"/>
  <c r="DK8" i="43"/>
  <c r="DL8" i="43"/>
  <c r="DM8" i="43"/>
  <c r="DN8" i="43"/>
  <c r="DO8" i="43"/>
  <c r="DP8" i="43"/>
  <c r="DQ8" i="43"/>
  <c r="DR8" i="43"/>
  <c r="DS8" i="43"/>
  <c r="DT8" i="43"/>
  <c r="DU8" i="43"/>
  <c r="DV8" i="43"/>
  <c r="DW8" i="43"/>
  <c r="DX8" i="43"/>
  <c r="DY8" i="43"/>
  <c r="DZ8" i="43"/>
  <c r="EA8" i="43"/>
  <c r="EB8" i="43"/>
  <c r="EC8" i="43"/>
  <c r="ED8" i="43"/>
  <c r="EE8" i="43"/>
  <c r="EF8" i="43"/>
  <c r="EG8" i="43"/>
  <c r="EH8" i="43"/>
  <c r="EI8" i="43"/>
  <c r="EJ8" i="43"/>
  <c r="EK8" i="43"/>
  <c r="EL8" i="43"/>
  <c r="EM8" i="43"/>
  <c r="EN8" i="43"/>
  <c r="EO8" i="43"/>
  <c r="EP8" i="43"/>
  <c r="EQ8" i="43"/>
  <c r="ER8" i="43"/>
  <c r="ES8" i="43"/>
  <c r="ET8" i="43"/>
  <c r="EU8" i="43"/>
  <c r="EV8" i="43"/>
  <c r="EW8" i="43"/>
  <c r="EX8" i="43"/>
  <c r="EY8" i="43"/>
  <c r="EZ8" i="43"/>
  <c r="FA8" i="43"/>
  <c r="FB8" i="43"/>
  <c r="FC8" i="43"/>
  <c r="FD8" i="43"/>
  <c r="FE8" i="43"/>
  <c r="FF8" i="43"/>
  <c r="FG8" i="43"/>
  <c r="FH8" i="43"/>
  <c r="FI8" i="43"/>
  <c r="FJ8" i="43"/>
  <c r="FK8" i="43"/>
  <c r="FL8" i="43"/>
  <c r="FM8" i="43"/>
  <c r="FN8" i="43"/>
  <c r="FO8" i="43"/>
  <c r="FP8" i="43"/>
  <c r="FQ8" i="43"/>
  <c r="FR8" i="43"/>
  <c r="FS8" i="43"/>
  <c r="FT8" i="43"/>
  <c r="FU8" i="43"/>
  <c r="FV8" i="43"/>
  <c r="FW8" i="43"/>
  <c r="FX8" i="43"/>
  <c r="FY8" i="43"/>
  <c r="FZ8" i="43"/>
  <c r="GA8" i="43"/>
  <c r="GB8" i="43"/>
  <c r="GC8" i="43"/>
  <c r="GD8" i="43"/>
  <c r="GE8" i="43"/>
  <c r="GF8" i="43"/>
  <c r="GG8" i="43"/>
  <c r="GH8" i="43"/>
  <c r="GI8" i="43"/>
  <c r="GJ8" i="43"/>
  <c r="GK8" i="43"/>
  <c r="GL8" i="43"/>
  <c r="GM8" i="43"/>
  <c r="GN8" i="43"/>
  <c r="GO8" i="43"/>
  <c r="GP8" i="43"/>
  <c r="GQ8" i="43"/>
  <c r="GR8" i="43"/>
  <c r="GS8" i="43"/>
  <c r="GT8" i="43"/>
  <c r="GU8" i="43"/>
  <c r="GV8" i="43"/>
  <c r="GW8" i="43"/>
  <c r="GX8" i="43"/>
  <c r="GY8" i="43"/>
  <c r="GZ8" i="43"/>
  <c r="HA8" i="43"/>
  <c r="HB8" i="43"/>
  <c r="HC8" i="43"/>
  <c r="HD8" i="43"/>
  <c r="HE8" i="43"/>
  <c r="HF8" i="43"/>
  <c r="HG8" i="43"/>
  <c r="HH8" i="43"/>
  <c r="HI8" i="43"/>
  <c r="HJ8" i="43"/>
  <c r="HK8" i="43"/>
  <c r="HL8" i="43"/>
  <c r="HM8" i="43"/>
  <c r="HN8" i="43"/>
  <c r="HO8" i="43"/>
  <c r="HP8" i="43"/>
  <c r="HQ8" i="43"/>
  <c r="HR8" i="43"/>
  <c r="HS8" i="43"/>
  <c r="HT8" i="43"/>
  <c r="HU8" i="43"/>
  <c r="HV8" i="43"/>
  <c r="HW8" i="43"/>
  <c r="HX8" i="43"/>
  <c r="HY8" i="43"/>
  <c r="HZ8" i="43"/>
  <c r="IA8" i="43"/>
  <c r="IB8" i="43"/>
  <c r="IC8" i="43"/>
  <c r="ID8" i="43"/>
  <c r="IE8" i="43"/>
  <c r="IF8" i="43"/>
  <c r="IG8" i="43"/>
  <c r="IH8" i="43"/>
  <c r="II8" i="43"/>
  <c r="IJ8" i="43"/>
  <c r="IK8" i="43"/>
  <c r="IL8" i="43"/>
  <c r="IM8" i="43"/>
  <c r="IN8" i="43"/>
  <c r="IO8" i="43"/>
  <c r="IP8" i="43"/>
  <c r="IQ8" i="43"/>
  <c r="IR8" i="43"/>
  <c r="IS8" i="43"/>
  <c r="IT8" i="43"/>
  <c r="IU8" i="43"/>
  <c r="IV8" i="43"/>
  <c r="A7" i="43"/>
  <c r="B7" i="43"/>
  <c r="C7" i="43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BE7" i="43"/>
  <c r="BF7" i="43"/>
  <c r="BG7" i="43"/>
  <c r="BH7" i="43"/>
  <c r="BI7" i="43"/>
  <c r="BJ7" i="43"/>
  <c r="BK7" i="43"/>
  <c r="BL7" i="43"/>
  <c r="BM7" i="43"/>
  <c r="BN7" i="43"/>
  <c r="BO7" i="43"/>
  <c r="BP7" i="43"/>
  <c r="BQ7" i="43"/>
  <c r="BR7" i="43"/>
  <c r="BS7" i="43"/>
  <c r="BT7" i="43"/>
  <c r="BU7" i="43"/>
  <c r="BV7" i="43"/>
  <c r="BW7" i="43"/>
  <c r="BX7" i="43"/>
  <c r="BY7" i="43"/>
  <c r="BZ7" i="43"/>
  <c r="CA7" i="43"/>
  <c r="CB7" i="43"/>
  <c r="CC7" i="43"/>
  <c r="CD7" i="43"/>
  <c r="CE7" i="43"/>
  <c r="CF7" i="43"/>
  <c r="CG7" i="43"/>
  <c r="CH7" i="43"/>
  <c r="CI7" i="43"/>
  <c r="CJ7" i="43"/>
  <c r="CK7" i="43"/>
  <c r="CL7" i="43"/>
  <c r="CM7" i="43"/>
  <c r="CN7" i="43"/>
  <c r="CO7" i="43"/>
  <c r="CP7" i="43"/>
  <c r="CQ7" i="43"/>
  <c r="CR7" i="43"/>
  <c r="CS7" i="43"/>
  <c r="CT7" i="43"/>
  <c r="CU7" i="43"/>
  <c r="CV7" i="43"/>
  <c r="CW7" i="43"/>
  <c r="CX7" i="43"/>
  <c r="CY7" i="43"/>
  <c r="CZ7" i="43"/>
  <c r="DA7" i="43"/>
  <c r="DB7" i="43"/>
  <c r="DC7" i="43"/>
  <c r="DD7" i="43"/>
  <c r="DE7" i="43"/>
  <c r="DF7" i="43"/>
  <c r="DG7" i="43"/>
  <c r="DH7" i="43"/>
  <c r="DI7" i="43"/>
  <c r="DJ7" i="43"/>
  <c r="DK7" i="43"/>
  <c r="DL7" i="43"/>
  <c r="DM7" i="43"/>
  <c r="DN7" i="43"/>
  <c r="DO7" i="43"/>
  <c r="DP7" i="43"/>
  <c r="DQ7" i="43"/>
  <c r="DR7" i="43"/>
  <c r="DS7" i="43"/>
  <c r="DT7" i="43"/>
  <c r="DU7" i="43"/>
  <c r="DV7" i="43"/>
  <c r="DW7" i="43"/>
  <c r="DX7" i="43"/>
  <c r="DY7" i="43"/>
  <c r="DZ7" i="43"/>
  <c r="EA7" i="43"/>
  <c r="EB7" i="43"/>
  <c r="EC7" i="43"/>
  <c r="ED7" i="43"/>
  <c r="EE7" i="43"/>
  <c r="EF7" i="43"/>
  <c r="EG7" i="43"/>
  <c r="EH7" i="43"/>
  <c r="EI7" i="43"/>
  <c r="EJ7" i="43"/>
  <c r="EK7" i="43"/>
  <c r="EL7" i="43"/>
  <c r="EM7" i="43"/>
  <c r="EN7" i="43"/>
  <c r="EO7" i="43"/>
  <c r="EP7" i="43"/>
  <c r="EQ7" i="43"/>
  <c r="ER7" i="43"/>
  <c r="ES7" i="43"/>
  <c r="ET7" i="43"/>
  <c r="EU7" i="43"/>
  <c r="EV7" i="43"/>
  <c r="EW7" i="43"/>
  <c r="EX7" i="43"/>
  <c r="EY7" i="43"/>
  <c r="EZ7" i="43"/>
  <c r="FA7" i="43"/>
  <c r="FB7" i="43"/>
  <c r="FC7" i="43"/>
  <c r="FD7" i="43"/>
  <c r="FE7" i="43"/>
  <c r="FF7" i="43"/>
  <c r="FG7" i="43"/>
  <c r="FH7" i="43"/>
  <c r="FI7" i="43"/>
  <c r="FJ7" i="43"/>
  <c r="FK7" i="43"/>
  <c r="FL7" i="43"/>
  <c r="FM7" i="43"/>
  <c r="FN7" i="43"/>
  <c r="FO7" i="43"/>
  <c r="FP7" i="43"/>
  <c r="FQ7" i="43"/>
  <c r="FR7" i="43"/>
  <c r="FS7" i="43"/>
  <c r="FT7" i="43"/>
  <c r="FU7" i="43"/>
  <c r="FV7" i="43"/>
  <c r="FW7" i="43"/>
  <c r="FX7" i="43"/>
  <c r="FY7" i="43"/>
  <c r="FZ7" i="43"/>
  <c r="GA7" i="43"/>
  <c r="GB7" i="43"/>
  <c r="GC7" i="43"/>
  <c r="GD7" i="43"/>
  <c r="GE7" i="43"/>
  <c r="GF7" i="43"/>
  <c r="GG7" i="43"/>
  <c r="GH7" i="43"/>
  <c r="GI7" i="43"/>
  <c r="GJ7" i="43"/>
  <c r="GK7" i="43"/>
  <c r="GL7" i="43"/>
  <c r="GM7" i="43"/>
  <c r="GN7" i="43"/>
  <c r="GO7" i="43"/>
  <c r="GP7" i="43"/>
  <c r="GQ7" i="43"/>
  <c r="GR7" i="43"/>
  <c r="GS7" i="43"/>
  <c r="GT7" i="43"/>
  <c r="GU7" i="43"/>
  <c r="GV7" i="43"/>
  <c r="GW7" i="43"/>
  <c r="GX7" i="43"/>
  <c r="GY7" i="43"/>
  <c r="GZ7" i="43"/>
  <c r="HA7" i="43"/>
  <c r="HB7" i="43"/>
  <c r="HC7" i="43"/>
  <c r="HD7" i="43"/>
  <c r="HE7" i="43"/>
  <c r="HF7" i="43"/>
  <c r="HG7" i="43"/>
  <c r="HH7" i="43"/>
  <c r="HI7" i="43"/>
  <c r="HJ7" i="43"/>
  <c r="HK7" i="43"/>
  <c r="HL7" i="43"/>
  <c r="HM7" i="43"/>
  <c r="HN7" i="43"/>
  <c r="HO7" i="43"/>
  <c r="HP7" i="43"/>
  <c r="HQ7" i="43"/>
  <c r="HR7" i="43"/>
  <c r="HS7" i="43"/>
  <c r="HT7" i="43"/>
  <c r="HU7" i="43"/>
  <c r="HV7" i="43"/>
  <c r="HW7" i="43"/>
  <c r="HX7" i="43"/>
  <c r="HY7" i="43"/>
  <c r="HZ7" i="43"/>
  <c r="IA7" i="43"/>
  <c r="IB7" i="43"/>
  <c r="IC7" i="43"/>
  <c r="ID7" i="43"/>
  <c r="IE7" i="43"/>
  <c r="IF7" i="43"/>
  <c r="IG7" i="43"/>
  <c r="IH7" i="43"/>
  <c r="II7" i="43"/>
  <c r="IJ7" i="43"/>
  <c r="IK7" i="43"/>
  <c r="IL7" i="43"/>
  <c r="IM7" i="43"/>
  <c r="IN7" i="43"/>
  <c r="IO7" i="43"/>
  <c r="IP7" i="43"/>
  <c r="IQ7" i="43"/>
  <c r="IR7" i="43"/>
  <c r="IS7" i="43"/>
  <c r="IT7" i="43"/>
  <c r="IU7" i="43"/>
  <c r="IV7" i="43"/>
  <c r="A6" i="43"/>
  <c r="B6" i="43"/>
  <c r="C6" i="43"/>
  <c r="D6" i="43"/>
  <c r="E6" i="43"/>
  <c r="F6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BE6" i="43"/>
  <c r="BF6" i="43"/>
  <c r="BG6" i="43"/>
  <c r="BH6" i="43"/>
  <c r="BI6" i="43"/>
  <c r="BJ6" i="43"/>
  <c r="BK6" i="43"/>
  <c r="BL6" i="43"/>
  <c r="BM6" i="43"/>
  <c r="BN6" i="43"/>
  <c r="BO6" i="43"/>
  <c r="BP6" i="43"/>
  <c r="BQ6" i="43"/>
  <c r="BR6" i="43"/>
  <c r="BS6" i="43"/>
  <c r="BT6" i="43"/>
  <c r="BU6" i="43"/>
  <c r="BV6" i="43"/>
  <c r="BW6" i="43"/>
  <c r="BX6" i="43"/>
  <c r="BY6" i="43"/>
  <c r="BZ6" i="43"/>
  <c r="CA6" i="43"/>
  <c r="CB6" i="43"/>
  <c r="CC6" i="43"/>
  <c r="CD6" i="43"/>
  <c r="CE6" i="43"/>
  <c r="CF6" i="43"/>
  <c r="CG6" i="43"/>
  <c r="CH6" i="43"/>
  <c r="CI6" i="43"/>
  <c r="CJ6" i="43"/>
  <c r="CK6" i="43"/>
  <c r="CL6" i="43"/>
  <c r="CM6" i="43"/>
  <c r="CN6" i="43"/>
  <c r="CO6" i="43"/>
  <c r="CP6" i="43"/>
  <c r="CQ6" i="43"/>
  <c r="CR6" i="43"/>
  <c r="CS6" i="43"/>
  <c r="CT6" i="43"/>
  <c r="CU6" i="43"/>
  <c r="CV6" i="43"/>
  <c r="CW6" i="43"/>
  <c r="CX6" i="43"/>
  <c r="CY6" i="43"/>
  <c r="CZ6" i="43"/>
  <c r="DA6" i="43"/>
  <c r="DB6" i="43"/>
  <c r="DC6" i="43"/>
  <c r="DD6" i="43"/>
  <c r="DE6" i="43"/>
  <c r="DF6" i="43"/>
  <c r="DG6" i="43"/>
  <c r="DH6" i="43"/>
  <c r="DI6" i="43"/>
  <c r="DJ6" i="43"/>
  <c r="DK6" i="43"/>
  <c r="DL6" i="43"/>
  <c r="DM6" i="43"/>
  <c r="DN6" i="43"/>
  <c r="DO6" i="43"/>
  <c r="DP6" i="43"/>
  <c r="DQ6" i="43"/>
  <c r="DR6" i="43"/>
  <c r="DS6" i="43"/>
  <c r="DT6" i="43"/>
  <c r="DU6" i="43"/>
  <c r="DV6" i="43"/>
  <c r="DW6" i="43"/>
  <c r="DX6" i="43"/>
  <c r="DY6" i="43"/>
  <c r="DZ6" i="43"/>
  <c r="EA6" i="43"/>
  <c r="EB6" i="43"/>
  <c r="EC6" i="43"/>
  <c r="ED6" i="43"/>
  <c r="EE6" i="43"/>
  <c r="EF6" i="43"/>
  <c r="EG6" i="43"/>
  <c r="EH6" i="43"/>
  <c r="EI6" i="43"/>
  <c r="EJ6" i="43"/>
  <c r="EK6" i="43"/>
  <c r="EL6" i="43"/>
  <c r="EM6" i="43"/>
  <c r="EN6" i="43"/>
  <c r="EO6" i="43"/>
  <c r="EP6" i="43"/>
  <c r="EQ6" i="43"/>
  <c r="ER6" i="43"/>
  <c r="ES6" i="43"/>
  <c r="ET6" i="43"/>
  <c r="EU6" i="43"/>
  <c r="EV6" i="43"/>
  <c r="EW6" i="43"/>
  <c r="EX6" i="43"/>
  <c r="EY6" i="43"/>
  <c r="EZ6" i="43"/>
  <c r="FA6" i="43"/>
  <c r="FB6" i="43"/>
  <c r="FC6" i="43"/>
  <c r="FD6" i="43"/>
  <c r="FE6" i="43"/>
  <c r="FF6" i="43"/>
  <c r="FG6" i="43"/>
  <c r="FH6" i="43"/>
  <c r="FI6" i="43"/>
  <c r="FJ6" i="43"/>
  <c r="FK6" i="43"/>
  <c r="FL6" i="43"/>
  <c r="FM6" i="43"/>
  <c r="FN6" i="43"/>
  <c r="FO6" i="43"/>
  <c r="FP6" i="43"/>
  <c r="FQ6" i="43"/>
  <c r="FR6" i="43"/>
  <c r="FS6" i="43"/>
  <c r="FT6" i="43"/>
  <c r="FU6" i="43"/>
  <c r="FV6" i="43"/>
  <c r="FW6" i="43"/>
  <c r="FX6" i="43"/>
  <c r="FY6" i="43"/>
  <c r="FZ6" i="43"/>
  <c r="GA6" i="43"/>
  <c r="GB6" i="43"/>
  <c r="GC6" i="43"/>
  <c r="GD6" i="43"/>
  <c r="GE6" i="43"/>
  <c r="GF6" i="43"/>
  <c r="GG6" i="43"/>
  <c r="GH6" i="43"/>
  <c r="GI6" i="43"/>
  <c r="GJ6" i="43"/>
  <c r="GK6" i="43"/>
  <c r="GL6" i="43"/>
  <c r="GM6" i="43"/>
  <c r="GN6" i="43"/>
  <c r="GO6" i="43"/>
  <c r="GP6" i="43"/>
  <c r="GQ6" i="43"/>
  <c r="GR6" i="43"/>
  <c r="GS6" i="43"/>
  <c r="GT6" i="43"/>
  <c r="GU6" i="43"/>
  <c r="GV6" i="43"/>
  <c r="GW6" i="43"/>
  <c r="GX6" i="43"/>
  <c r="GY6" i="43"/>
  <c r="GZ6" i="43"/>
  <c r="HA6" i="43"/>
  <c r="HB6" i="43"/>
  <c r="HC6" i="43"/>
  <c r="HD6" i="43"/>
  <c r="HE6" i="43"/>
  <c r="HF6" i="43"/>
  <c r="HG6" i="43"/>
  <c r="HH6" i="43"/>
  <c r="HI6" i="43"/>
  <c r="HJ6" i="43"/>
  <c r="HK6" i="43"/>
  <c r="HL6" i="43"/>
  <c r="HM6" i="43"/>
  <c r="HN6" i="43"/>
  <c r="HO6" i="43"/>
  <c r="HP6" i="43"/>
  <c r="HQ6" i="43"/>
  <c r="HR6" i="43"/>
  <c r="HS6" i="43"/>
  <c r="HT6" i="43"/>
  <c r="HU6" i="43"/>
  <c r="HV6" i="43"/>
  <c r="HW6" i="43"/>
  <c r="HX6" i="43"/>
  <c r="HY6" i="43"/>
  <c r="HZ6" i="43"/>
  <c r="IA6" i="43"/>
  <c r="IB6" i="43"/>
  <c r="IC6" i="43"/>
  <c r="ID6" i="43"/>
  <c r="IE6" i="43"/>
  <c r="IF6" i="43"/>
  <c r="IG6" i="43"/>
  <c r="IH6" i="43"/>
  <c r="II6" i="43"/>
  <c r="IJ6" i="43"/>
  <c r="IK6" i="43"/>
  <c r="IL6" i="43"/>
  <c r="IM6" i="43"/>
  <c r="IN6" i="43"/>
  <c r="IO6" i="43"/>
  <c r="IP6" i="43"/>
  <c r="IQ6" i="43"/>
  <c r="IR6" i="43"/>
  <c r="IS6" i="43"/>
  <c r="IT6" i="43"/>
  <c r="IU6" i="43"/>
  <c r="IV6" i="43"/>
  <c r="A5" i="43"/>
  <c r="B5" i="43"/>
  <c r="C5" i="43"/>
  <c r="D5" i="43"/>
  <c r="E5" i="43"/>
  <c r="F5" i="43"/>
  <c r="G5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BE5" i="43"/>
  <c r="BF5" i="43"/>
  <c r="BG5" i="43"/>
  <c r="BH5" i="43"/>
  <c r="BI5" i="43"/>
  <c r="BJ5" i="43"/>
  <c r="BK5" i="43"/>
  <c r="BL5" i="43"/>
  <c r="BM5" i="43"/>
  <c r="BN5" i="43"/>
  <c r="BO5" i="43"/>
  <c r="BP5" i="43"/>
  <c r="BQ5" i="43"/>
  <c r="BR5" i="43"/>
  <c r="BS5" i="43"/>
  <c r="BT5" i="43"/>
  <c r="BU5" i="43"/>
  <c r="BV5" i="43"/>
  <c r="BW5" i="43"/>
  <c r="BX5" i="43"/>
  <c r="BY5" i="43"/>
  <c r="BZ5" i="43"/>
  <c r="CA5" i="43"/>
  <c r="CB5" i="43"/>
  <c r="CC5" i="43"/>
  <c r="CD5" i="43"/>
  <c r="CE5" i="43"/>
  <c r="CF5" i="43"/>
  <c r="CG5" i="43"/>
  <c r="CH5" i="43"/>
  <c r="CI5" i="43"/>
  <c r="CJ5" i="43"/>
  <c r="CK5" i="43"/>
  <c r="CL5" i="43"/>
  <c r="CM5" i="43"/>
  <c r="CN5" i="43"/>
  <c r="CO5" i="43"/>
  <c r="CP5" i="43"/>
  <c r="CQ5" i="43"/>
  <c r="CR5" i="43"/>
  <c r="CS5" i="43"/>
  <c r="CT5" i="43"/>
  <c r="CU5" i="43"/>
  <c r="CV5" i="43"/>
  <c r="CW5" i="43"/>
  <c r="CX5" i="43"/>
  <c r="CY5" i="43"/>
  <c r="CZ5" i="43"/>
  <c r="DA5" i="43"/>
  <c r="DB5" i="43"/>
  <c r="DC5" i="43"/>
  <c r="DD5" i="43"/>
  <c r="DE5" i="43"/>
  <c r="DF5" i="43"/>
  <c r="DG5" i="43"/>
  <c r="DH5" i="43"/>
  <c r="DI5" i="43"/>
  <c r="DJ5" i="43"/>
  <c r="DK5" i="43"/>
  <c r="DL5" i="43"/>
  <c r="DM5" i="43"/>
  <c r="DN5" i="43"/>
  <c r="DO5" i="43"/>
  <c r="DP5" i="43"/>
  <c r="DQ5" i="43"/>
  <c r="DR5" i="43"/>
  <c r="DS5" i="43"/>
  <c r="DT5" i="43"/>
  <c r="DU5" i="43"/>
  <c r="DV5" i="43"/>
  <c r="DW5" i="43"/>
  <c r="DX5" i="43"/>
  <c r="DY5" i="43"/>
  <c r="DZ5" i="43"/>
  <c r="EA5" i="43"/>
  <c r="EB5" i="43"/>
  <c r="EC5" i="43"/>
  <c r="ED5" i="43"/>
  <c r="EE5" i="43"/>
  <c r="EF5" i="43"/>
  <c r="EG5" i="43"/>
  <c r="EH5" i="43"/>
  <c r="EI5" i="43"/>
  <c r="EJ5" i="43"/>
  <c r="EK5" i="43"/>
  <c r="EL5" i="43"/>
  <c r="EM5" i="43"/>
  <c r="EN5" i="43"/>
  <c r="EO5" i="43"/>
  <c r="EP5" i="43"/>
  <c r="EQ5" i="43"/>
  <c r="ER5" i="43"/>
  <c r="ES5" i="43"/>
  <c r="ET5" i="43"/>
  <c r="EU5" i="43"/>
  <c r="EV5" i="43"/>
  <c r="EW5" i="43"/>
  <c r="EX5" i="43"/>
  <c r="EY5" i="43"/>
  <c r="EZ5" i="43"/>
  <c r="FA5" i="43"/>
  <c r="FB5" i="43"/>
  <c r="FC5" i="43"/>
  <c r="FD5" i="43"/>
  <c r="FE5" i="43"/>
  <c r="FF5" i="43"/>
  <c r="FG5" i="43"/>
  <c r="FH5" i="43"/>
  <c r="FI5" i="43"/>
  <c r="FJ5" i="43"/>
  <c r="FK5" i="43"/>
  <c r="FL5" i="43"/>
  <c r="FM5" i="43"/>
  <c r="FN5" i="43"/>
  <c r="FO5" i="43"/>
  <c r="FP5" i="43"/>
  <c r="FQ5" i="43"/>
  <c r="FR5" i="43"/>
  <c r="FS5" i="43"/>
  <c r="FT5" i="43"/>
  <c r="FU5" i="43"/>
  <c r="FV5" i="43"/>
  <c r="FW5" i="43"/>
  <c r="FX5" i="43"/>
  <c r="FY5" i="43"/>
  <c r="FZ5" i="43"/>
  <c r="GA5" i="43"/>
  <c r="GB5" i="43"/>
  <c r="GC5" i="43"/>
  <c r="GD5" i="43"/>
  <c r="GE5" i="43"/>
  <c r="GF5" i="43"/>
  <c r="GG5" i="43"/>
  <c r="GH5" i="43"/>
  <c r="GI5" i="43"/>
  <c r="GJ5" i="43"/>
  <c r="GK5" i="43"/>
  <c r="GL5" i="43"/>
  <c r="GM5" i="43"/>
  <c r="GN5" i="43"/>
  <c r="GO5" i="43"/>
  <c r="GP5" i="43"/>
  <c r="GQ5" i="43"/>
  <c r="GR5" i="43"/>
  <c r="GS5" i="43"/>
  <c r="GT5" i="43"/>
  <c r="GU5" i="43"/>
  <c r="GV5" i="43"/>
  <c r="GW5" i="43"/>
  <c r="GX5" i="43"/>
  <c r="GY5" i="43"/>
  <c r="GZ5" i="43"/>
  <c r="HA5" i="43"/>
  <c r="HB5" i="43"/>
  <c r="HC5" i="43"/>
  <c r="HD5" i="43"/>
  <c r="HE5" i="43"/>
  <c r="HF5" i="43"/>
  <c r="HG5" i="43"/>
  <c r="HH5" i="43"/>
  <c r="HI5" i="43"/>
  <c r="HJ5" i="43"/>
  <c r="HK5" i="43"/>
  <c r="HL5" i="43"/>
  <c r="HM5" i="43"/>
  <c r="HN5" i="43"/>
  <c r="HO5" i="43"/>
  <c r="HP5" i="43"/>
  <c r="HQ5" i="43"/>
  <c r="HR5" i="43"/>
  <c r="HS5" i="43"/>
  <c r="HT5" i="43"/>
  <c r="HU5" i="43"/>
  <c r="HV5" i="43"/>
  <c r="HW5" i="43"/>
  <c r="HX5" i="43"/>
  <c r="HY5" i="43"/>
  <c r="HZ5" i="43"/>
  <c r="IA5" i="43"/>
  <c r="IB5" i="43"/>
  <c r="IC5" i="43"/>
  <c r="ID5" i="43"/>
  <c r="IE5" i="43"/>
  <c r="IF5" i="43"/>
  <c r="IG5" i="43"/>
  <c r="IH5" i="43"/>
  <c r="II5" i="43"/>
  <c r="IJ5" i="43"/>
  <c r="IK5" i="43"/>
  <c r="IL5" i="43"/>
  <c r="IM5" i="43"/>
  <c r="IN5" i="43"/>
  <c r="IO5" i="43"/>
  <c r="IP5" i="43"/>
  <c r="IQ5" i="43"/>
  <c r="IR5" i="43"/>
  <c r="IS5" i="43"/>
  <c r="IT5" i="43"/>
  <c r="IU5" i="43"/>
  <c r="IV5" i="43"/>
  <c r="A4" i="43"/>
  <c r="B4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A3" i="43"/>
  <c r="B3" i="43"/>
  <c r="C3" i="43"/>
  <c r="D3" i="43"/>
  <c r="E3" i="43"/>
  <c r="F3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BE3" i="43"/>
  <c r="BF3" i="43"/>
  <c r="BG3" i="43"/>
  <c r="BH3" i="43"/>
  <c r="BI3" i="43"/>
  <c r="BJ3" i="43"/>
  <c r="BK3" i="43"/>
  <c r="BL3" i="43"/>
  <c r="BM3" i="43"/>
  <c r="BN3" i="43"/>
  <c r="BO3" i="43"/>
  <c r="BP3" i="43"/>
  <c r="BQ3" i="43"/>
  <c r="BR3" i="43"/>
  <c r="BS3" i="43"/>
  <c r="BT3" i="43"/>
  <c r="BU3" i="43"/>
  <c r="BV3" i="43"/>
  <c r="BW3" i="43"/>
  <c r="BX3" i="43"/>
  <c r="BY3" i="43"/>
  <c r="BZ3" i="43"/>
  <c r="CA3" i="43"/>
  <c r="CB3" i="43"/>
  <c r="CC3" i="43"/>
  <c r="CD3" i="43"/>
  <c r="CE3" i="43"/>
  <c r="CF3" i="43"/>
  <c r="CG3" i="43"/>
  <c r="CH3" i="43"/>
  <c r="CI3" i="43"/>
  <c r="CJ3" i="43"/>
  <c r="CK3" i="43"/>
  <c r="CL3" i="43"/>
  <c r="CM3" i="43"/>
  <c r="CN3" i="43"/>
  <c r="CO3" i="43"/>
  <c r="CP3" i="43"/>
  <c r="CQ3" i="43"/>
  <c r="CR3" i="43"/>
  <c r="CS3" i="43"/>
  <c r="CT3" i="43"/>
  <c r="CU3" i="43"/>
  <c r="CV3" i="43"/>
  <c r="CW3" i="43"/>
  <c r="CX3" i="43"/>
  <c r="CY3" i="43"/>
  <c r="CZ3" i="43"/>
  <c r="DA3" i="43"/>
  <c r="DB3" i="43"/>
  <c r="DC3" i="43"/>
  <c r="DD3" i="43"/>
  <c r="DE3" i="43"/>
  <c r="DF3" i="43"/>
  <c r="DG3" i="43"/>
  <c r="DH3" i="43"/>
  <c r="DI3" i="43"/>
  <c r="DJ3" i="43"/>
  <c r="DK3" i="43"/>
  <c r="DL3" i="43"/>
  <c r="DM3" i="43"/>
  <c r="DN3" i="43"/>
  <c r="DO3" i="43"/>
  <c r="DP3" i="43"/>
  <c r="DQ3" i="43"/>
  <c r="DR3" i="43"/>
  <c r="DS3" i="43"/>
  <c r="DT3" i="43"/>
  <c r="DU3" i="43"/>
  <c r="DV3" i="43"/>
  <c r="DW3" i="43"/>
  <c r="DX3" i="43"/>
  <c r="DY3" i="43"/>
  <c r="DZ3" i="43"/>
  <c r="EA3" i="43"/>
  <c r="EB3" i="43"/>
  <c r="EC3" i="43"/>
  <c r="ED3" i="43"/>
  <c r="EE3" i="43"/>
  <c r="EF3" i="43"/>
  <c r="EG3" i="43"/>
  <c r="EH3" i="43"/>
  <c r="EI3" i="43"/>
  <c r="EJ3" i="43"/>
  <c r="EK3" i="43"/>
  <c r="EL3" i="43"/>
  <c r="EM3" i="43"/>
  <c r="EN3" i="43"/>
  <c r="EO3" i="43"/>
  <c r="EP3" i="43"/>
  <c r="EQ3" i="43"/>
  <c r="ER3" i="43"/>
  <c r="ES3" i="43"/>
  <c r="ET3" i="43"/>
  <c r="EU3" i="43"/>
  <c r="EV3" i="43"/>
  <c r="EW3" i="43"/>
  <c r="EX3" i="43"/>
  <c r="EY3" i="43"/>
  <c r="EZ3" i="43"/>
  <c r="FA3" i="43"/>
  <c r="FB3" i="43"/>
  <c r="FC3" i="43"/>
  <c r="FD3" i="43"/>
  <c r="FE3" i="43"/>
  <c r="FF3" i="43"/>
  <c r="FG3" i="43"/>
  <c r="FH3" i="43"/>
  <c r="FI3" i="43"/>
  <c r="FJ3" i="43"/>
  <c r="FK3" i="43"/>
  <c r="FL3" i="43"/>
  <c r="FM3" i="43"/>
  <c r="FN3" i="43"/>
  <c r="FO3" i="43"/>
  <c r="FP3" i="43"/>
  <c r="FQ3" i="43"/>
  <c r="FR3" i="43"/>
  <c r="FS3" i="43"/>
  <c r="FT3" i="43"/>
  <c r="FU3" i="43"/>
  <c r="FV3" i="43"/>
  <c r="FW3" i="43"/>
  <c r="FX3" i="43"/>
  <c r="FY3" i="43"/>
  <c r="FZ3" i="43"/>
  <c r="GA3" i="43"/>
  <c r="GB3" i="43"/>
  <c r="GC3" i="43"/>
  <c r="GD3" i="43"/>
  <c r="GE3" i="43"/>
  <c r="GF3" i="43"/>
  <c r="GG3" i="43"/>
  <c r="GH3" i="43"/>
  <c r="GI3" i="43"/>
  <c r="GJ3" i="43"/>
  <c r="GK3" i="43"/>
  <c r="GL3" i="43"/>
  <c r="GM3" i="43"/>
  <c r="GN3" i="43"/>
  <c r="GO3" i="43"/>
  <c r="GP3" i="43"/>
  <c r="GQ3" i="43"/>
  <c r="GR3" i="43"/>
  <c r="GS3" i="43"/>
  <c r="GT3" i="43"/>
  <c r="GU3" i="43"/>
  <c r="GV3" i="43"/>
  <c r="GW3" i="43"/>
  <c r="GX3" i="43"/>
  <c r="GY3" i="43"/>
  <c r="GZ3" i="43"/>
  <c r="HA3" i="43"/>
  <c r="HB3" i="43"/>
  <c r="HC3" i="43"/>
  <c r="HD3" i="43"/>
  <c r="HE3" i="43"/>
  <c r="HF3" i="43"/>
  <c r="HG3" i="43"/>
  <c r="HH3" i="43"/>
  <c r="HI3" i="43"/>
  <c r="HJ3" i="43"/>
  <c r="HK3" i="43"/>
  <c r="HL3" i="43"/>
  <c r="HM3" i="43"/>
  <c r="HN3" i="43"/>
  <c r="HO3" i="43"/>
  <c r="HP3" i="43"/>
  <c r="HQ3" i="43"/>
  <c r="HR3" i="43"/>
  <c r="HS3" i="43"/>
  <c r="HT3" i="43"/>
  <c r="HU3" i="43"/>
  <c r="HV3" i="43"/>
  <c r="HW3" i="43"/>
  <c r="HX3" i="43"/>
  <c r="HY3" i="43"/>
  <c r="HZ3" i="43"/>
  <c r="IA3" i="43"/>
  <c r="IB3" i="43"/>
  <c r="IC3" i="43"/>
  <c r="ID3" i="43"/>
  <c r="IE3" i="43"/>
  <c r="IF3" i="43"/>
  <c r="IG3" i="43"/>
  <c r="IH3" i="43"/>
  <c r="II3" i="43"/>
  <c r="IJ3" i="43"/>
  <c r="IK3" i="43"/>
  <c r="IL3" i="43"/>
  <c r="IM3" i="43"/>
  <c r="IN3" i="43"/>
  <c r="IO3" i="43"/>
  <c r="IP3" i="43"/>
  <c r="IQ3" i="43"/>
  <c r="IR3" i="43"/>
  <c r="IS3" i="43"/>
  <c r="IT3" i="43"/>
  <c r="IU3" i="43"/>
  <c r="IV3" i="43"/>
  <c r="A2" i="43"/>
  <c r="B2" i="43"/>
  <c r="C2" i="43"/>
  <c r="D2" i="43"/>
  <c r="E2" i="43"/>
  <c r="F2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BE2" i="43"/>
  <c r="BF2" i="43"/>
  <c r="BG2" i="43"/>
  <c r="BH2" i="43"/>
  <c r="BI2" i="43"/>
  <c r="BJ2" i="43"/>
  <c r="BK2" i="43"/>
  <c r="BL2" i="43"/>
  <c r="BM2" i="43"/>
  <c r="BN2" i="43"/>
  <c r="BO2" i="43"/>
  <c r="BP2" i="43"/>
  <c r="BQ2" i="43"/>
  <c r="BR2" i="43"/>
  <c r="BS2" i="43"/>
  <c r="BT2" i="43"/>
  <c r="BU2" i="43"/>
  <c r="BV2" i="43"/>
  <c r="BW2" i="43"/>
  <c r="BX2" i="43"/>
  <c r="BY2" i="43"/>
  <c r="BZ2" i="43"/>
  <c r="CA2" i="43"/>
  <c r="CB2" i="43"/>
  <c r="CC2" i="43"/>
  <c r="CD2" i="43"/>
  <c r="CE2" i="43"/>
  <c r="CF2" i="43"/>
  <c r="CG2" i="43"/>
  <c r="CH2" i="43"/>
  <c r="CI2" i="43"/>
  <c r="CJ2" i="43"/>
  <c r="CK2" i="43"/>
  <c r="CL2" i="43"/>
  <c r="CM2" i="43"/>
  <c r="CN2" i="43"/>
  <c r="CO2" i="43"/>
  <c r="CP2" i="43"/>
  <c r="CQ2" i="43"/>
  <c r="CR2" i="43"/>
  <c r="CS2" i="43"/>
  <c r="CT2" i="43"/>
  <c r="CU2" i="43"/>
  <c r="CV2" i="43"/>
  <c r="CW2" i="43"/>
  <c r="CX2" i="43"/>
  <c r="CY2" i="43"/>
  <c r="CZ2" i="43"/>
  <c r="DA2" i="43"/>
  <c r="DB2" i="43"/>
  <c r="DC2" i="43"/>
  <c r="DD2" i="43"/>
  <c r="DE2" i="43"/>
  <c r="DF2" i="43"/>
  <c r="DG2" i="43"/>
  <c r="DH2" i="43"/>
  <c r="DI2" i="43"/>
  <c r="DJ2" i="43"/>
  <c r="DK2" i="43"/>
  <c r="DL2" i="43"/>
  <c r="DM2" i="43"/>
  <c r="DN2" i="43"/>
  <c r="DO2" i="43"/>
  <c r="DP2" i="43"/>
  <c r="DQ2" i="43"/>
  <c r="DR2" i="43"/>
  <c r="DS2" i="43"/>
  <c r="DT2" i="43"/>
  <c r="DU2" i="43"/>
  <c r="DV2" i="43"/>
  <c r="DW2" i="43"/>
  <c r="DX2" i="43"/>
  <c r="DY2" i="43"/>
  <c r="DZ2" i="43"/>
  <c r="EA2" i="43"/>
  <c r="EB2" i="43"/>
  <c r="EC2" i="43"/>
  <c r="ED2" i="43"/>
  <c r="EE2" i="43"/>
  <c r="EF2" i="43"/>
  <c r="EG2" i="43"/>
  <c r="EH2" i="43"/>
  <c r="EI2" i="43"/>
  <c r="EJ2" i="43"/>
  <c r="EK2" i="43"/>
  <c r="EL2" i="43"/>
  <c r="EM2" i="43"/>
  <c r="EN2" i="43"/>
  <c r="EO2" i="43"/>
  <c r="EP2" i="43"/>
  <c r="EQ2" i="43"/>
  <c r="ER2" i="43"/>
  <c r="ES2" i="43"/>
  <c r="ET2" i="43"/>
  <c r="EU2" i="43"/>
  <c r="EV2" i="43"/>
  <c r="EW2" i="43"/>
  <c r="EX2" i="43"/>
  <c r="EY2" i="43"/>
  <c r="EZ2" i="43"/>
  <c r="FA2" i="43"/>
  <c r="FB2" i="43"/>
  <c r="FC2" i="43"/>
  <c r="FD2" i="43"/>
  <c r="FE2" i="43"/>
  <c r="FF2" i="43"/>
  <c r="FG2" i="43"/>
  <c r="FH2" i="43"/>
  <c r="FI2" i="43"/>
  <c r="FJ2" i="43"/>
  <c r="FK2" i="43"/>
  <c r="FL2" i="43"/>
  <c r="FM2" i="43"/>
  <c r="FN2" i="43"/>
  <c r="FO2" i="43"/>
  <c r="FP2" i="43"/>
  <c r="FQ2" i="43"/>
  <c r="FR2" i="43"/>
  <c r="FS2" i="43"/>
  <c r="FT2" i="43"/>
  <c r="FU2" i="43"/>
  <c r="FV2" i="43"/>
  <c r="FW2" i="43"/>
  <c r="FX2" i="43"/>
  <c r="FY2" i="43"/>
  <c r="FZ2" i="43"/>
  <c r="GA2" i="43"/>
  <c r="GB2" i="43"/>
  <c r="GC2" i="43"/>
  <c r="GD2" i="43"/>
  <c r="GE2" i="43"/>
  <c r="GF2" i="43"/>
  <c r="GG2" i="43"/>
  <c r="GH2" i="43"/>
  <c r="GI2" i="43"/>
  <c r="GJ2" i="43"/>
  <c r="GK2" i="43"/>
  <c r="GL2" i="43"/>
  <c r="GM2" i="43"/>
  <c r="GN2" i="43"/>
  <c r="GO2" i="43"/>
  <c r="GP2" i="43"/>
  <c r="GQ2" i="43"/>
  <c r="GR2" i="43"/>
  <c r="GS2" i="43"/>
  <c r="GT2" i="43"/>
  <c r="GU2" i="43"/>
  <c r="GV2" i="43"/>
  <c r="GW2" i="43"/>
  <c r="GX2" i="43"/>
  <c r="GY2" i="43"/>
  <c r="GZ2" i="43"/>
  <c r="HA2" i="43"/>
  <c r="HB2" i="43"/>
  <c r="HC2" i="43"/>
  <c r="HD2" i="43"/>
  <c r="HE2" i="43"/>
  <c r="HF2" i="43"/>
  <c r="HG2" i="43"/>
  <c r="HH2" i="43"/>
  <c r="HI2" i="43"/>
  <c r="HJ2" i="43"/>
  <c r="HK2" i="43"/>
  <c r="HL2" i="43"/>
  <c r="HM2" i="43"/>
  <c r="HN2" i="43"/>
  <c r="HO2" i="43"/>
  <c r="HP2" i="43"/>
  <c r="HQ2" i="43"/>
  <c r="HR2" i="43"/>
  <c r="HS2" i="43"/>
  <c r="HT2" i="43"/>
  <c r="HU2" i="43"/>
  <c r="HV2" i="43"/>
  <c r="HW2" i="43"/>
  <c r="HX2" i="43"/>
  <c r="HY2" i="43"/>
  <c r="HZ2" i="43"/>
  <c r="IA2" i="43"/>
  <c r="IB2" i="43"/>
  <c r="IC2" i="43"/>
  <c r="ID2" i="43"/>
  <c r="IE2" i="43"/>
  <c r="IF2" i="43"/>
  <c r="IG2" i="43"/>
  <c r="IH2" i="43"/>
  <c r="II2" i="43"/>
  <c r="IJ2" i="43"/>
  <c r="IK2" i="43"/>
  <c r="IL2" i="43"/>
  <c r="IM2" i="43"/>
  <c r="IN2" i="43"/>
  <c r="IO2" i="43"/>
  <c r="IP2" i="43"/>
  <c r="IQ2" i="43"/>
  <c r="IR2" i="43"/>
  <c r="IS2" i="43"/>
  <c r="IT2" i="43"/>
  <c r="IU2" i="43"/>
  <c r="IV2" i="43"/>
  <c r="A1" i="43"/>
  <c r="B1" i="43"/>
  <c r="C1" i="43"/>
  <c r="D1" i="43"/>
  <c r="E1" i="43"/>
  <c r="F1" i="43"/>
  <c r="G1" i="43"/>
  <c r="H1" i="43"/>
  <c r="I1" i="43"/>
  <c r="J1" i="43"/>
  <c r="K1" i="43"/>
  <c r="L1" i="43"/>
  <c r="M1" i="43"/>
  <c r="N1" i="43"/>
  <c r="O1" i="43"/>
  <c r="P1" i="43"/>
  <c r="Q1" i="43"/>
  <c r="R1" i="43"/>
  <c r="S1" i="43"/>
  <c r="T1" i="43"/>
  <c r="U1" i="43"/>
  <c r="V1" i="43"/>
  <c r="W1" i="43"/>
  <c r="X1" i="43"/>
  <c r="Y1" i="43"/>
  <c r="Z1" i="43"/>
  <c r="AA1" i="43"/>
  <c r="AB1" i="43"/>
  <c r="AC1" i="43"/>
  <c r="AD1" i="43"/>
  <c r="AE1" i="43"/>
  <c r="AF1" i="43"/>
  <c r="AG1" i="43"/>
  <c r="AH1" i="43"/>
  <c r="AI1" i="43"/>
  <c r="AJ1" i="43"/>
  <c r="AK1" i="43"/>
  <c r="AL1" i="43"/>
  <c r="AM1" i="43"/>
  <c r="AN1" i="43"/>
  <c r="AO1" i="43"/>
  <c r="AP1" i="43"/>
  <c r="AQ1" i="43"/>
  <c r="AR1" i="43"/>
  <c r="AS1" i="43"/>
  <c r="AT1" i="43"/>
  <c r="AU1" i="43"/>
  <c r="AV1" i="43"/>
  <c r="AW1" i="43"/>
  <c r="AX1" i="43"/>
  <c r="AY1" i="43"/>
  <c r="AZ1" i="43"/>
  <c r="BA1" i="43"/>
  <c r="BB1" i="43"/>
  <c r="BC1" i="43"/>
  <c r="BD1" i="43"/>
  <c r="BE1" i="43"/>
  <c r="BF1" i="43"/>
  <c r="BG1" i="43"/>
  <c r="BH1" i="43"/>
  <c r="BI1" i="43"/>
  <c r="BJ1" i="43"/>
  <c r="BK1" i="43"/>
  <c r="BL1" i="43"/>
  <c r="BM1" i="43"/>
  <c r="BN1" i="43"/>
  <c r="BO1" i="43"/>
  <c r="BP1" i="43"/>
  <c r="BQ1" i="43"/>
  <c r="BR1" i="43"/>
  <c r="BS1" i="43"/>
  <c r="BT1" i="43"/>
  <c r="BU1" i="43"/>
  <c r="BV1" i="43"/>
  <c r="BW1" i="43"/>
  <c r="BX1" i="43"/>
  <c r="BY1" i="43"/>
  <c r="BZ1" i="43"/>
  <c r="CA1" i="43"/>
  <c r="CB1" i="43"/>
  <c r="CC1" i="43"/>
  <c r="CD1" i="43"/>
  <c r="CE1" i="43"/>
  <c r="CF1" i="43"/>
  <c r="CG1" i="43"/>
  <c r="CH1" i="43"/>
  <c r="CI1" i="43"/>
  <c r="CJ1" i="43"/>
  <c r="CK1" i="43"/>
  <c r="CL1" i="43"/>
  <c r="CM1" i="43"/>
  <c r="CN1" i="43"/>
  <c r="CO1" i="43"/>
  <c r="CP1" i="43"/>
  <c r="CQ1" i="43"/>
  <c r="CR1" i="43"/>
  <c r="CS1" i="43"/>
  <c r="CT1" i="43"/>
  <c r="CU1" i="43"/>
  <c r="CV1" i="43"/>
  <c r="CW1" i="43"/>
  <c r="CX1" i="43"/>
  <c r="CY1" i="43"/>
  <c r="CZ1" i="43"/>
  <c r="DA1" i="43"/>
  <c r="DB1" i="43"/>
  <c r="DC1" i="43"/>
  <c r="DD1" i="43"/>
  <c r="DE1" i="43"/>
  <c r="DF1" i="43"/>
  <c r="DG1" i="43"/>
  <c r="DH1" i="43"/>
  <c r="DI1" i="43"/>
  <c r="DJ1" i="43"/>
  <c r="DK1" i="43"/>
  <c r="DL1" i="43"/>
  <c r="DM1" i="43"/>
  <c r="DN1" i="43"/>
  <c r="DO1" i="43"/>
  <c r="DP1" i="43"/>
  <c r="DQ1" i="43"/>
  <c r="DR1" i="43"/>
  <c r="DS1" i="43"/>
  <c r="DT1" i="43"/>
  <c r="DU1" i="43"/>
  <c r="DV1" i="43"/>
  <c r="DW1" i="43"/>
  <c r="DX1" i="43"/>
  <c r="DY1" i="43"/>
  <c r="DZ1" i="43"/>
  <c r="EA1" i="43"/>
  <c r="EB1" i="43"/>
  <c r="EC1" i="43"/>
  <c r="ED1" i="43"/>
  <c r="EE1" i="43"/>
  <c r="EF1" i="43"/>
  <c r="EG1" i="43"/>
  <c r="EH1" i="43"/>
  <c r="EI1" i="43"/>
  <c r="EJ1" i="43"/>
  <c r="EK1" i="43"/>
  <c r="EL1" i="43"/>
  <c r="EM1" i="43"/>
  <c r="EN1" i="43"/>
  <c r="EO1" i="43"/>
  <c r="EP1" i="43"/>
  <c r="EQ1" i="43"/>
  <c r="ER1" i="43"/>
  <c r="ES1" i="43"/>
  <c r="ET1" i="43"/>
  <c r="EU1" i="43"/>
  <c r="EV1" i="43"/>
  <c r="EW1" i="43"/>
  <c r="EX1" i="43"/>
  <c r="EY1" i="43"/>
  <c r="EZ1" i="43"/>
  <c r="FA1" i="43"/>
  <c r="FB1" i="43"/>
  <c r="FC1" i="43"/>
  <c r="FD1" i="43"/>
  <c r="FE1" i="43"/>
  <c r="FF1" i="43"/>
  <c r="FG1" i="43"/>
  <c r="FH1" i="43"/>
  <c r="FI1" i="43"/>
  <c r="FJ1" i="43"/>
  <c r="FK1" i="43"/>
  <c r="FL1" i="43"/>
  <c r="FM1" i="43"/>
  <c r="FN1" i="43"/>
  <c r="FO1" i="43"/>
  <c r="FP1" i="43"/>
  <c r="FQ1" i="43"/>
  <c r="FR1" i="43"/>
  <c r="FS1" i="43"/>
  <c r="FT1" i="43"/>
  <c r="FU1" i="43"/>
  <c r="FV1" i="43"/>
  <c r="FW1" i="43"/>
  <c r="FX1" i="43"/>
  <c r="FY1" i="43"/>
  <c r="FZ1" i="43"/>
  <c r="GA1" i="43"/>
  <c r="GB1" i="43"/>
  <c r="GC1" i="43"/>
  <c r="GD1" i="43"/>
  <c r="GE1" i="43"/>
  <c r="GF1" i="43"/>
  <c r="GG1" i="43"/>
  <c r="GH1" i="43"/>
  <c r="GI1" i="43"/>
  <c r="GJ1" i="43"/>
  <c r="GK1" i="43"/>
  <c r="GL1" i="43"/>
  <c r="GM1" i="43"/>
  <c r="GN1" i="43"/>
  <c r="GO1" i="43"/>
  <c r="GP1" i="43"/>
  <c r="GQ1" i="43"/>
  <c r="GR1" i="43"/>
  <c r="GS1" i="43"/>
  <c r="GT1" i="43"/>
  <c r="GU1" i="43"/>
  <c r="GV1" i="43"/>
  <c r="GW1" i="43"/>
  <c r="GX1" i="43"/>
  <c r="GY1" i="43"/>
  <c r="GZ1" i="43"/>
  <c r="HA1" i="43"/>
  <c r="HB1" i="43"/>
  <c r="HC1" i="43"/>
  <c r="HD1" i="43"/>
  <c r="HE1" i="43"/>
  <c r="HF1" i="43"/>
  <c r="HG1" i="43"/>
  <c r="HH1" i="43"/>
  <c r="HI1" i="43"/>
  <c r="HJ1" i="43"/>
  <c r="HK1" i="43"/>
  <c r="HL1" i="43"/>
  <c r="HM1" i="43"/>
  <c r="HN1" i="43"/>
  <c r="HO1" i="43"/>
  <c r="HP1" i="43"/>
  <c r="HQ1" i="43"/>
  <c r="HR1" i="43"/>
  <c r="HS1" i="43"/>
  <c r="HT1" i="43"/>
  <c r="HU1" i="43"/>
  <c r="HV1" i="43"/>
  <c r="HW1" i="43"/>
  <c r="HX1" i="43"/>
  <c r="HY1" i="43"/>
  <c r="HZ1" i="43"/>
  <c r="IA1" i="43"/>
  <c r="IB1" i="43"/>
  <c r="IC1" i="43"/>
  <c r="ID1" i="43"/>
  <c r="IE1" i="43"/>
  <c r="IF1" i="43"/>
  <c r="IG1" i="43"/>
  <c r="IH1" i="43"/>
  <c r="II1" i="43"/>
  <c r="IJ1" i="43"/>
  <c r="IK1" i="43"/>
  <c r="IL1" i="43"/>
  <c r="IM1" i="43"/>
  <c r="IN1" i="43"/>
  <c r="IO1" i="43"/>
  <c r="IP1" i="43"/>
  <c r="IQ1" i="43"/>
  <c r="IR1" i="43"/>
  <c r="IS1" i="43"/>
  <c r="IT1" i="43"/>
  <c r="IU1" i="43"/>
  <c r="IV1" i="43"/>
  <c r="C9" i="39"/>
  <c r="C8" i="39"/>
  <c r="C33" i="30"/>
  <c r="C17" i="30"/>
  <c r="D191" i="3"/>
  <c r="E27" i="70"/>
  <c r="D27" i="70"/>
  <c r="D28" i="70"/>
  <c r="E28" i="70"/>
  <c r="D29" i="70"/>
</calcChain>
</file>

<file path=xl/comments1.xml><?xml version="1.0" encoding="utf-8"?>
<comments xmlns="http://schemas.openxmlformats.org/spreadsheetml/2006/main">
  <authors>
    <author>GRUPO PORTUARIO</author>
  </authors>
  <commentList>
    <comment ref="A3" authorId="0" shapeId="0">
      <text>
        <r>
          <rPr>
            <sz val="10"/>
            <rFont val="Arial"/>
            <family val="2"/>
          </rPr>
          <t>:ªz_x0001_z¢ª
JzÑP_x000B_#K_x001B__x000B_#{_x0001_ÁÉ±#+c_x0001_Áy¡yÉÁ</t>
        </r>
      </text>
    </comment>
    <comment ref="D5" authorId="0" shapeId="0">
      <text/>
    </comment>
    <comment ref="A10" authorId="0" shapeId="0">
      <text>
        <r>
          <rPr>
            <sz val="10"/>
            <rFont val="Arial"/>
            <family val="2"/>
          </rPr>
          <t>:ªz_x0001_z¢ª
JzÑP{3K_x001B_K{_x0001_r{q_x0001_©_x0001_#+c_x0001_ÉyÁyÉÁ</t>
        </r>
      </text>
    </comment>
    <comment ref="A40" authorId="0" shapeId="0">
      <text>
        <r>
          <rPr>
            <sz val="10"/>
            <rFont val="Arial"/>
            <family val="2"/>
          </rPr>
          <t>:ªz_x0001_z¢ª
JzÑP{3K_x001B_K{_x0001_¡©_x0001_#+c_x0001_yy</t>
        </r>
      </text>
    </comment>
    <comment ref="A77" authorId="0" shapeId="0">
      <text>
        <r>
          <rPr>
            <sz val="10"/>
            <rFont val="Arial"/>
            <family val="2"/>
          </rPr>
          <t>:ªz_x0001_z¢ª
JzÑP+;K£{_x0001_É¹_x0001_#+c_x0001_yÁy</t>
        </r>
      </text>
    </comment>
  </commentList>
</comments>
</file>

<file path=xl/sharedStrings.xml><?xml version="1.0" encoding="utf-8"?>
<sst xmlns="http://schemas.openxmlformats.org/spreadsheetml/2006/main" count="5189" uniqueCount="2474">
  <si>
    <t>CARGA GENERAL</t>
  </si>
  <si>
    <t>Normal areas cubiertas</t>
  </si>
  <si>
    <t>tonelada a partir del 6o dia</t>
  </si>
  <si>
    <t>Peligrosa areas cubiertas</t>
  </si>
  <si>
    <t>tonelada a partir del 1er dia</t>
  </si>
  <si>
    <t>Normal areas descubiertas</t>
  </si>
  <si>
    <t>Peligrosa areas descubiertas</t>
  </si>
  <si>
    <t>CARGA A GRANEL</t>
  </si>
  <si>
    <t>tonelada a partir 6o dia</t>
  </si>
  <si>
    <t>CARGA PROYECTO</t>
  </si>
  <si>
    <t>Area descubierta</t>
  </si>
  <si>
    <t>M2/dia</t>
  </si>
  <si>
    <t>Area Cubierta</t>
  </si>
  <si>
    <t>CARGA GRANEL</t>
  </si>
  <si>
    <t>1a</t>
  </si>
  <si>
    <t>0.8%</t>
  </si>
  <si>
    <t>2a</t>
  </si>
  <si>
    <t>0.9%</t>
  </si>
  <si>
    <t>3a</t>
  </si>
  <si>
    <t>1.0%</t>
  </si>
  <si>
    <t>Mas de 1 mes</t>
  </si>
  <si>
    <t>1.5%</t>
  </si>
  <si>
    <t>unidad a partir del 6o dia</t>
  </si>
  <si>
    <t>Contenedores llenos 20´peligroso</t>
  </si>
  <si>
    <t>unidad a partir del 1er dia</t>
  </si>
  <si>
    <t>Contenedores llenos 40´peligroso</t>
  </si>
  <si>
    <t>Contenedores vacios 20´</t>
  </si>
  <si>
    <t>Contenedores vacios 40</t>
  </si>
  <si>
    <t>Vehiculos&lt;20m3</t>
  </si>
  <si>
    <t>Vehiculos&gt;20m3&lt;40m3</t>
  </si>
  <si>
    <t>Vehiculos&lt;40m3</t>
  </si>
  <si>
    <t>unidad}</t>
  </si>
  <si>
    <t>Contenedores vacios 20</t>
  </si>
  <si>
    <t>CONTENEDORES REFRIGERADOS</t>
  </si>
  <si>
    <t>Servicio de conexión electrica contenedor 20´y 40</t>
  </si>
  <si>
    <t>unidad/dia</t>
  </si>
  <si>
    <t>Oficio 21328 del 09/06/1999</t>
  </si>
  <si>
    <t>Energia electrica</t>
  </si>
  <si>
    <t>Tarifa  15%</t>
  </si>
  <si>
    <t>Agua</t>
  </si>
  <si>
    <t>Telefono o fax</t>
  </si>
  <si>
    <t>Impulso</t>
  </si>
  <si>
    <t>Combustible</t>
  </si>
  <si>
    <t>galon o Tonelada</t>
  </si>
  <si>
    <t>SERVICIO DE GRUA</t>
  </si>
  <si>
    <t>Una hora</t>
  </si>
  <si>
    <t>Dcto. Del 25% para contratos anuales de utilizacion</t>
  </si>
  <si>
    <t>Dos horas o más</t>
  </si>
  <si>
    <t xml:space="preserve"> *RECARGO 25% PARA CARGAS PELIGROSAS</t>
  </si>
  <si>
    <t>DESCRIPCION</t>
  </si>
  <si>
    <t>USO DE INSTALACIONES PORTUARIAS A LA CARGA</t>
  </si>
  <si>
    <t>25% para carga peligrosa</t>
  </si>
  <si>
    <t>40% para carga explosiva</t>
  </si>
  <si>
    <t>Carga granel</t>
  </si>
  <si>
    <t>Tonelada - Peso</t>
  </si>
  <si>
    <t>USO DE INSTALACIONES PORTUARIAS AL OPERADOR PORTUARIO MARITIMO</t>
  </si>
  <si>
    <t>Tonelada -Peso</t>
  </si>
  <si>
    <t>Carga a Granel</t>
  </si>
  <si>
    <t>USO DE INSTALACIONES PORTUARIAS AL OPERADOR PORTUARIO TERRESTRE</t>
  </si>
  <si>
    <t>Carga suelta o granel, por tonelada movilizada</t>
  </si>
  <si>
    <t>Contenedores de 20´ y 40´ Llenos o vacios via muelle, por Unidad movilizada</t>
  </si>
  <si>
    <t>Pilotaje por maniobra</t>
  </si>
  <si>
    <t>Remolcador por maniobra</t>
  </si>
  <si>
    <t>Oficio 6579/3mayo 2006</t>
  </si>
  <si>
    <t>Oficio 975377 del 7-11-1997 oficio 6579/3mayo 2006</t>
  </si>
  <si>
    <t xml:space="preserve">CARGA  GENERAL </t>
  </si>
  <si>
    <t>20.000- 90.000</t>
  </si>
  <si>
    <t>90.001 - 170.000</t>
  </si>
  <si>
    <t>170.001- En adelante</t>
  </si>
  <si>
    <t>CARGA  GRANEL</t>
  </si>
  <si>
    <t>30.000- 90.000</t>
  </si>
  <si>
    <t>Hasta 20%</t>
  </si>
  <si>
    <t>Hasta 30%</t>
  </si>
  <si>
    <t>250,001 - En adelante</t>
  </si>
  <si>
    <t>Tonelada</t>
  </si>
  <si>
    <t>US$</t>
  </si>
  <si>
    <t>3,001  -  En adelante</t>
  </si>
  <si>
    <t>CONTENEDORES / AÑO</t>
  </si>
  <si>
    <t>Empresa suministradora de combustible</t>
  </si>
  <si>
    <t>Empresa de aseo, retiro de Sentinas y basuras</t>
  </si>
  <si>
    <t>UNIDAD  /  AÑO</t>
  </si>
  <si>
    <t>VEHÍCULOS</t>
  </si>
  <si>
    <t>PARAMETRO DE DSCTO / UNIDAD</t>
  </si>
  <si>
    <t>Menores de 20 M3</t>
  </si>
  <si>
    <t>1,000   -   2000</t>
  </si>
  <si>
    <t>2,001   -   5000</t>
  </si>
  <si>
    <t>5,001   -  En adelante</t>
  </si>
  <si>
    <t>Mayor  20 M3  - Menor 40 M3</t>
  </si>
  <si>
    <t>Mayores de 40 M3</t>
  </si>
  <si>
    <t>Hasta 15%</t>
  </si>
  <si>
    <t>Menor o igual a 20m3</t>
  </si>
  <si>
    <t>Carga General o granel</t>
  </si>
  <si>
    <t>Oficio 975377 del 7-11-1997- La sociedad publicó US$8,00</t>
  </si>
  <si>
    <t>Oficio 975377 del 7-11-1997 - Las establece directamente la SP</t>
  </si>
  <si>
    <t xml:space="preserve"> La Sociedad registra US$12.00</t>
  </si>
  <si>
    <t xml:space="preserve">REVISION SUPERTRANSPORTE </t>
  </si>
  <si>
    <t>Maniobra</t>
  </si>
  <si>
    <t>Hasta 50%</t>
  </si>
  <si>
    <t>Oficio 980059 del 15-01-1998/ oficio 14094 del 13-07-2005/ oficio 16792 del 09/08/2005 oficio 14094 13/07/2005</t>
  </si>
  <si>
    <t>INCENTIVOS</t>
  </si>
  <si>
    <t>USO  DE INSTALACIONES A LA CARGA - TRANSITO INTERNACIONAL</t>
  </si>
  <si>
    <t>Vehículos</t>
  </si>
  <si>
    <t>oficio 14094 del 13-07-2005/</t>
  </si>
  <si>
    <t>Oficio 975377 del 7-11-1997 oficio 14094 del 13-07-2005/</t>
  </si>
  <si>
    <t>Hasta un 10%   Hasta     un     15%</t>
  </si>
  <si>
    <t xml:space="preserve"> Oficio 14094 del 13-07-2.005</t>
  </si>
  <si>
    <t>Empresas Navieras con mas de 50 recaladas al año    Empresas Navieras con más de 100 recaladas al año</t>
  </si>
  <si>
    <t>Mts-eslora hora o fraccion</t>
  </si>
  <si>
    <t>Tonelada-peso</t>
  </si>
  <si>
    <t>CONTENEDORES</t>
  </si>
  <si>
    <t>Unidad</t>
  </si>
  <si>
    <t>VEHICULOS</t>
  </si>
  <si>
    <t>USO DE INSTALACIONES AL OPERADOR PORTUARIO</t>
  </si>
  <si>
    <t>Carga General</t>
  </si>
  <si>
    <t>DESCUENTOS</t>
  </si>
  <si>
    <t>Contenedor lleno 20´Normal</t>
  </si>
  <si>
    <t>TRANSITO INTERNACIONAL</t>
  </si>
  <si>
    <t>USO DE INSTALACIONES MARITIMAS</t>
  </si>
  <si>
    <t>ALMACENAJE</t>
  </si>
  <si>
    <t>tonelada a partir 16 dia</t>
  </si>
  <si>
    <t>SERVICIOS PUBLICOS</t>
  </si>
  <si>
    <t>KV/H</t>
  </si>
  <si>
    <t>Metro cubico</t>
  </si>
  <si>
    <t>Valor CIF Mayor Tonelaje</t>
  </si>
  <si>
    <t>UNIDAD DE COBRO</t>
  </si>
  <si>
    <t>MUELLAJE</t>
  </si>
  <si>
    <t>Maritimo Internacional</t>
  </si>
  <si>
    <t>Oficio 980059 del 15-01-1998</t>
  </si>
  <si>
    <t>Lanchas y Yates</t>
  </si>
  <si>
    <t>Unidad/Mes</t>
  </si>
  <si>
    <t>FLUVIAL</t>
  </si>
  <si>
    <t>Remolcador</t>
  </si>
  <si>
    <t>Unidad/dia</t>
  </si>
  <si>
    <t>Oficio 975377 del 7-11-1997</t>
  </si>
  <si>
    <t>Bote-Gabarra</t>
  </si>
  <si>
    <t>Unidad/dia hasta 50 mts eslora</t>
  </si>
  <si>
    <t>Unidad/dia mas de 50mts eslora</t>
  </si>
  <si>
    <t>Cabotaje</t>
  </si>
  <si>
    <t>Mt./loa/día</t>
  </si>
  <si>
    <t>USO DE INSTALACIONES</t>
  </si>
  <si>
    <t>Carga General Internacional Normal</t>
  </si>
  <si>
    <t>Carga General Internacional Peligrosa</t>
  </si>
  <si>
    <t>Granel Internacional Normal</t>
  </si>
  <si>
    <t>Granel Internacional Peligrosa</t>
  </si>
  <si>
    <t>Cabotaje Normal</t>
  </si>
  <si>
    <t>Cabotaje Peligrosa</t>
  </si>
  <si>
    <t>Fluvial Normal</t>
  </si>
  <si>
    <t>Fluvial Peligrosa</t>
  </si>
  <si>
    <t>CARGUE O DESCRGUE MARITIMA. AUTOMOTORES. VEHICULOS Y SIMILARES</t>
  </si>
  <si>
    <t>Mayor 20 M3 - Menor 40 M3</t>
  </si>
  <si>
    <t>Mayor 40 M3</t>
  </si>
  <si>
    <t>Contenedor lleno 40´Normal</t>
  </si>
  <si>
    <t>Contenedor vacio 20</t>
  </si>
  <si>
    <t>Contenedor vacio 40</t>
  </si>
  <si>
    <t>REESTIBA</t>
  </si>
  <si>
    <t>Contenedor lleno de 20´y 40´Normal</t>
  </si>
  <si>
    <t xml:space="preserve"> Oficio 21328 del 09/06/1999</t>
  </si>
  <si>
    <t xml:space="preserve">ALMACENAJE </t>
  </si>
  <si>
    <t>Cubierto</t>
  </si>
  <si>
    <t>Descubierto</t>
  </si>
  <si>
    <t>Del día 1 al día 3</t>
  </si>
  <si>
    <t>Libre</t>
  </si>
  <si>
    <t>Del día 4 al día 5</t>
  </si>
  <si>
    <t>Del día 6 al día 10</t>
  </si>
  <si>
    <t>Día 11 en adelante</t>
  </si>
  <si>
    <t>Contenedores</t>
  </si>
  <si>
    <t>Contenedor lleno de 20´y 40´peligroso</t>
  </si>
  <si>
    <t>Contenedor vacio de 20´y 40</t>
  </si>
  <si>
    <t>CHASIS, TRAILER, FURGONES</t>
  </si>
  <si>
    <t>Si es chasis, quedan en el terminal 20</t>
  </si>
  <si>
    <t>Si es chasis, quedan en el terminal 40</t>
  </si>
  <si>
    <t>Utilizados para reestibar 20</t>
  </si>
  <si>
    <t>Utilizados para reestibar 40</t>
  </si>
  <si>
    <t>Furgon vacio con cont. Queda en el terminal 20</t>
  </si>
  <si>
    <t>Furgon vacio con cont. Queda en el terminal 40</t>
  </si>
  <si>
    <t>Furgon con contenedor vacio en reestiba 20</t>
  </si>
  <si>
    <t>Furgon con contenedor vacio en reestiba 40</t>
  </si>
  <si>
    <t>Furgon lleno, queda en el terminal 20</t>
  </si>
  <si>
    <t>Furgon lleno, queda en el terminal 40</t>
  </si>
  <si>
    <t>Furgon lleno en reestiba 20</t>
  </si>
  <si>
    <t>Furgon lleno en reestiba 40</t>
  </si>
  <si>
    <t>TRANSBORDO CONTENEDORES ENTRE PUERTOS COLOMBIANOS</t>
  </si>
  <si>
    <t>Contenedor lleno 20</t>
  </si>
  <si>
    <t>Contenedor lleno 40</t>
  </si>
  <si>
    <t>INCENTIVOS APLICADOS AL USO DE INSTALACIONES SEGÚN VOLUMEN DE CARGA</t>
  </si>
  <si>
    <t>TONELADAS/AÑO</t>
  </si>
  <si>
    <t>% Descuento</t>
  </si>
  <si>
    <t>Oficio 8206 del 3 -04-1998</t>
  </si>
  <si>
    <t>Menores de 20 M3, mas de 1.000 unidades/año</t>
  </si>
  <si>
    <t>Menores de 20 M3, mas de 2.000 unidades/año</t>
  </si>
  <si>
    <t>Menores de 20M3, mas de 5.000 unidades/año</t>
  </si>
  <si>
    <t>Mayor 20M3- Menor 40M3, mas de 1.000 unidades/año</t>
  </si>
  <si>
    <t>Mayor 20M3- Menor 40M3, mas de 2.000 unidades/año</t>
  </si>
  <si>
    <t>Mayor 20M3- Menor 40M3, mas de 5.000 unidades/año</t>
  </si>
  <si>
    <t>Mayor de 40 M3, mas de 1.000 unidades/año</t>
  </si>
  <si>
    <t>Mayor de 40 M3, mas de 2.000 unidades/año</t>
  </si>
  <si>
    <t>Mayor de 40 M3, mas de 5.000 unidades/año</t>
  </si>
  <si>
    <t>Carga general, granel o vehiculos</t>
  </si>
  <si>
    <t>Contenedores llenos de 20</t>
  </si>
  <si>
    <t>Contenedores llenos 40</t>
  </si>
  <si>
    <t>Contenedores vacios 20´y 40</t>
  </si>
  <si>
    <t>Sacos de correo</t>
  </si>
  <si>
    <t>Contenedor lleno de 20´y 40</t>
  </si>
  <si>
    <t>SERVICIO TERRESTRE</t>
  </si>
  <si>
    <t>Carga general o granel</t>
  </si>
  <si>
    <t>tonelada</t>
  </si>
  <si>
    <t>Contenedores llenos o vacios 20´y 40</t>
  </si>
  <si>
    <t>unidad</t>
  </si>
  <si>
    <t>CABOTAJE</t>
  </si>
  <si>
    <t>Contenedores llenos 20</t>
  </si>
  <si>
    <t>Pilotaje</t>
  </si>
  <si>
    <t>maniobras nave</t>
  </si>
  <si>
    <t>Remolcador maritimo</t>
  </si>
  <si>
    <t>Muellaje</t>
  </si>
  <si>
    <t>Hasta 40%, en función de volumen movilizado</t>
  </si>
  <si>
    <t>Movimiento para llenado/vaciado/inspección vía terrestre, por Contenedor</t>
  </si>
  <si>
    <t>OTROS</t>
  </si>
  <si>
    <t>Tratamiento de Basuras (por metro cúbico)</t>
  </si>
  <si>
    <t>Movimiento</t>
  </si>
  <si>
    <t>pasajero</t>
  </si>
  <si>
    <t>USD</t>
  </si>
  <si>
    <t>Barcos Portacontenedores, Cargueros</t>
  </si>
  <si>
    <t>Contenedor de 20' Lleno Normal</t>
  </si>
  <si>
    <t>Contenedor de 40' Lleno Normal</t>
  </si>
  <si>
    <t>Cont Extradim 45´ Lleno</t>
  </si>
  <si>
    <t xml:space="preserve"> Flat Rack 20´ Lleno</t>
  </si>
  <si>
    <t>Flat Rack 40'  lleno</t>
  </si>
  <si>
    <t>Open Top 20'  lleno</t>
  </si>
  <si>
    <t>Open Top 40'  lleno</t>
  </si>
  <si>
    <t xml:space="preserve">Isotanques 20' </t>
  </si>
  <si>
    <t xml:space="preserve">Contenedores Vacios 20' </t>
  </si>
  <si>
    <t>Contenedores Vacios  40'</t>
  </si>
  <si>
    <t>Carga General Tons</t>
  </si>
  <si>
    <t>Carga Granel SolidoTons</t>
  </si>
  <si>
    <t>Vehiculos menores a 20 Mts3/U</t>
  </si>
  <si>
    <t>Vehiculos entre  20 y 40 Mts3/U</t>
  </si>
  <si>
    <t>Vehiculos mayores a 40 Mts3/U</t>
  </si>
  <si>
    <t>Uso de Instalaciones a la Carga en Transito</t>
  </si>
  <si>
    <t>Contenedores Transito 20'  Lleno</t>
  </si>
  <si>
    <t>Contenedores Transito  40' Lleno</t>
  </si>
  <si>
    <t>Contenedores Transito 20' Vacio</t>
  </si>
  <si>
    <t>Contenedores Transito 40' Vacio</t>
  </si>
  <si>
    <t>Carga General en Transito</t>
  </si>
  <si>
    <t>Carga granel en Transito</t>
  </si>
  <si>
    <t>Almacenaje</t>
  </si>
  <si>
    <t>Dia 4 a 5</t>
  </si>
  <si>
    <t>Día 6 al 10</t>
  </si>
  <si>
    <t>Contenedor de 20' Lleno</t>
  </si>
  <si>
    <t>Contenedor de 40' Lleno</t>
  </si>
  <si>
    <t>Contenedor Open Top 20´ Lleno</t>
  </si>
  <si>
    <t>Contenedor Open Top 40´ Lleno</t>
  </si>
  <si>
    <t>Carga General Normal espacio Cubierto</t>
  </si>
  <si>
    <t>Carga General Normal espacio Descubierto</t>
  </si>
  <si>
    <t>Contenedores Transito 20' Lleno</t>
  </si>
  <si>
    <t>Contenedores Transito 40' Lleno</t>
  </si>
  <si>
    <t>Contenedores Transito 20'  Vacio</t>
  </si>
  <si>
    <t>Contenedores Transito  40' Vacio</t>
  </si>
  <si>
    <t>Maritimo</t>
  </si>
  <si>
    <t>Contenedor de 20' Lleno Maritimo</t>
  </si>
  <si>
    <t>Contenedor de 40' Lleno Maritimo</t>
  </si>
  <si>
    <t>Contenedores Vacios 20' o 40' Maritimo</t>
  </si>
  <si>
    <t>Contenedores Transito 40'  Lleno</t>
  </si>
  <si>
    <t>Contenedores Transito 40'  Vacio</t>
  </si>
  <si>
    <t>Carga General Tons Maritimo</t>
  </si>
  <si>
    <t>Carga Granel Solido Tons Maritimo</t>
  </si>
  <si>
    <t>Terrestre</t>
  </si>
  <si>
    <t>Carga General Movilizada Terrestre</t>
  </si>
  <si>
    <t>Contenedores 20' o 40' Lleno  Terrestre</t>
  </si>
  <si>
    <t>Contenedores 20' o 40' Vacio Terrestre</t>
  </si>
  <si>
    <t>Servicios de Aseo, Retiro de Sentinas y/o Basuras</t>
  </si>
  <si>
    <t>Servicios de Aprovisionamiento de Barcos</t>
  </si>
  <si>
    <t>Servicios de Reparación de Motonaves</t>
  </si>
  <si>
    <t>Suministro de Combustible</t>
  </si>
  <si>
    <t>Recargo a las Tarifas para Carga Peligrosa</t>
  </si>
  <si>
    <t>Recargo a las Tarifas para Carga Explosiva</t>
  </si>
  <si>
    <t xml:space="preserve"> 3 Dias Libres</t>
  </si>
  <si>
    <t>Oficio N° 20116100063841 del 05/05/2011</t>
  </si>
  <si>
    <t>Contenedor extradimensionado 45'</t>
  </si>
  <si>
    <t>Isotanque lleno 20'</t>
  </si>
  <si>
    <t>Flat Rack y Open Top  lleno 20'</t>
  </si>
  <si>
    <t>Flat Rack y Open Top  lleno 40'</t>
  </si>
  <si>
    <t>Recargo del 25% para carga peligrosa y 40% para carga explosiva</t>
  </si>
  <si>
    <t xml:space="preserve">  48:01  a 120:00 h mayor a 120:01  h</t>
  </si>
  <si>
    <t>Día 1 a 3</t>
  </si>
  <si>
    <t>Día 4 al 5</t>
  </si>
  <si>
    <t>TRANSITO INTERNACIONAL   Incluye 10 días libres</t>
  </si>
  <si>
    <t>Contenedores llenos 20 y 40</t>
  </si>
  <si>
    <t>Hasta 10%</t>
  </si>
  <si>
    <t>90.001 - 250.000</t>
  </si>
  <si>
    <t>300 -    1000</t>
  </si>
  <si>
    <t>1001 -    3000</t>
  </si>
  <si>
    <t>de 12:00 a  24:00 h   
  24:01: a  48:00 h    
 48:01  a 120:00 h
 mayor a 120:01  h</t>
  </si>
  <si>
    <t xml:space="preserve">
0,38
0,44
0,55
0,60
</t>
  </si>
  <si>
    <t>La tarifa aplicable será inferior o superior hasta en 25% de la Tarifa Base, en función del desempeño en la ejecución de los planes de operación y estándares de productividad previstos.</t>
  </si>
  <si>
    <t>1. MUELLAJE</t>
  </si>
  <si>
    <t>Servicio</t>
  </si>
  <si>
    <t>Concepto</t>
  </si>
  <si>
    <t>Tarifa  USD $</t>
  </si>
  <si>
    <t>Naves</t>
  </si>
  <si>
    <t>Por metro de eslora, hora o fracción.</t>
  </si>
  <si>
    <t>2. USO DE INSTALACIONES A LA CARGA</t>
  </si>
  <si>
    <t>Carga general Importación y Exportación</t>
  </si>
  <si>
    <t>Carga granel solido</t>
  </si>
  <si>
    <t>Llenos de 20'  por unidad</t>
  </si>
  <si>
    <t>Vacíos 20' por unidad</t>
  </si>
  <si>
    <t>Llenos de 40'  por unidad</t>
  </si>
  <si>
    <t>Vacíos 40' por unidad</t>
  </si>
  <si>
    <t>Autopropulsado &lt;= 20 M3/U</t>
  </si>
  <si>
    <t>Autopropulsado &gt; 20 &lt;= 40M3/U</t>
  </si>
  <si>
    <t>Autopropulsado &gt; 40 y &lt; = 100 M3/U</t>
  </si>
  <si>
    <t>Maquinaria</t>
  </si>
  <si>
    <t>Autopropulsado sin orugas &gt; 40 y &lt; = 100 M3/U</t>
  </si>
  <si>
    <t xml:space="preserve">Autopropulsado con orugas </t>
  </si>
  <si>
    <t>3. USO DE INSTALACIONES AL OPERADOR PORTUARIO</t>
  </si>
  <si>
    <t>Carga  general de Importación Exportación</t>
  </si>
  <si>
    <t>Carga  Granel Solido</t>
  </si>
  <si>
    <t xml:space="preserve">Carga General </t>
  </si>
  <si>
    <t>Carga a granel</t>
  </si>
  <si>
    <t>USO DE INSTALACIONES A LA CARGA</t>
  </si>
  <si>
    <t>Extra dimensionados  45' por unidad</t>
  </si>
  <si>
    <t>Flat Racks y Open Tops 20' por unidad</t>
  </si>
  <si>
    <t>Flat Racks y Open Tops 40' por unidad</t>
  </si>
  <si>
    <t>Iso - Tanques 20' por unidad</t>
  </si>
  <si>
    <t>Suministro de combustible</t>
  </si>
  <si>
    <t>Por maniobra</t>
  </si>
  <si>
    <t>Aseo, retiro sentinas, basuras</t>
  </si>
  <si>
    <t>Por operación</t>
  </si>
  <si>
    <t>Aprovisionamiento Barcos</t>
  </si>
  <si>
    <t>Reparación de motonaves</t>
  </si>
  <si>
    <t>Suministro de Agua potable</t>
  </si>
  <si>
    <t>Por tonelada</t>
  </si>
  <si>
    <t>Movimiento para llenado/Vaciado/inspección vía terrestre</t>
  </si>
  <si>
    <t>Por contenedor</t>
  </si>
  <si>
    <t>Contenedor lleno o vacío movilizado vía terrestre</t>
  </si>
  <si>
    <t>DESCUENTOS POR VOLUMEN EN USO INSTALACIONES</t>
  </si>
  <si>
    <t>INCENTIVO AL DUEÑO DE LA CARGA</t>
  </si>
  <si>
    <t>Toneladas /año</t>
  </si>
  <si>
    <t>Rango 1</t>
  </si>
  <si>
    <t>50.000 - 125.000</t>
  </si>
  <si>
    <t>Rango 2</t>
  </si>
  <si>
    <t>125.001 - 250.000</t>
  </si>
  <si>
    <t>Rango 3</t>
  </si>
  <si>
    <t>Más de 250.001</t>
  </si>
  <si>
    <t>Carga Granel</t>
  </si>
  <si>
    <t>50.000 - 150.000</t>
  </si>
  <si>
    <t>150.001 - 250.000</t>
  </si>
  <si>
    <t>Contenedores /año</t>
  </si>
  <si>
    <t>1.000 - 2.000</t>
  </si>
  <si>
    <t>2.001 - 5.000</t>
  </si>
  <si>
    <t>Más de  5.001</t>
  </si>
  <si>
    <t>SOCIEDAD PORTUARIA DE LA PENINSULA S.A.</t>
  </si>
  <si>
    <t xml:space="preserve">        NIT 839000348-1</t>
  </si>
  <si>
    <t>US $</t>
  </si>
  <si>
    <t>Naves en transito internacional</t>
  </si>
  <si>
    <t>Mts-eslora-hora-fracción</t>
  </si>
  <si>
    <t>Carga general normal</t>
  </si>
  <si>
    <t>Tonelada -peso</t>
  </si>
  <si>
    <t xml:space="preserve">                        ALMACENAJE</t>
  </si>
  <si>
    <t>Cinco (5 ) días libres</t>
  </si>
  <si>
    <t>Carga general normal area cubierta</t>
  </si>
  <si>
    <t>Carga general normal area descubierta</t>
  </si>
  <si>
    <t xml:space="preserve">                        SERVICIOS VARIOS</t>
  </si>
  <si>
    <t>Limpieza frente de trabajo</t>
  </si>
  <si>
    <t>Hora-hombre-estibador</t>
  </si>
  <si>
    <t>Hora-hombre</t>
  </si>
  <si>
    <t>Servicio de bascula</t>
  </si>
  <si>
    <t>Por camión</t>
  </si>
  <si>
    <t>CARGO A OPERADORES VARIOS</t>
  </si>
  <si>
    <t>Suministro de agua potable</t>
  </si>
  <si>
    <t>Toneladas</t>
  </si>
  <si>
    <t>Galón</t>
  </si>
  <si>
    <t>SOCIEDAD PORTUARIA TRANSPORTE MARITIMO SAN ANDRES Y PROVIDENCIA SA</t>
  </si>
  <si>
    <t>NIT:  806016841-1</t>
  </si>
  <si>
    <t>ESTRUCTURA TARIFARIA</t>
  </si>
  <si>
    <t xml:space="preserve">1.1. USO DE INSTALACIONES </t>
  </si>
  <si>
    <t>DESCRIPCION CARGA</t>
  </si>
  <si>
    <t>UNIDAD MEDIDA</t>
  </si>
  <si>
    <t>TARIFA USD</t>
  </si>
  <si>
    <t>CONTENEDOR LLENO 20"</t>
  </si>
  <si>
    <t>UNIDAD</t>
  </si>
  <si>
    <t>CONTENEDOR LLENO 40"</t>
  </si>
  <si>
    <t>CONTENEDOR VACIO 20"</t>
  </si>
  <si>
    <t>CONTENEDOR VACIO 40"</t>
  </si>
  <si>
    <t>ISOTANQUE LLENO 20"</t>
  </si>
  <si>
    <t>ISOTANQUE VACIO 20"</t>
  </si>
  <si>
    <t>OPEN TOPS 20"</t>
  </si>
  <si>
    <t>OPEN TOPS 40"</t>
  </si>
  <si>
    <t>Entre  20 y 40 M3</t>
  </si>
  <si>
    <t>Màs de  40 M3</t>
  </si>
  <si>
    <t>MOTOS</t>
  </si>
  <si>
    <t>CUATRIMOTOS</t>
  </si>
  <si>
    <t>CARGA SUELTA GENERAL</t>
  </si>
  <si>
    <t>TONELADA</t>
  </si>
  <si>
    <t>YATES O EMBARCACIONES</t>
  </si>
  <si>
    <t>HASTA 20'</t>
  </si>
  <si>
    <t>&gt;20' HASTA 40'</t>
  </si>
  <si>
    <t>&gt;40'</t>
  </si>
  <si>
    <t>CONSOLIDACION Y DESCONSOLIDACION  DE CONT.</t>
  </si>
  <si>
    <t>CONTENEDOR 20"</t>
  </si>
  <si>
    <t>CONTENEDOR 40"</t>
  </si>
  <si>
    <t xml:space="preserve">CILINDRO DE GAS PROPANO </t>
  </si>
  <si>
    <t>ANIMALES VIVOS (vacunos, porcinos, equinos,aves de corral)</t>
  </si>
  <si>
    <t>1.2   USO DE INSTALACIONES AL OPERADOR PORTUARIO MARITIMO</t>
  </si>
  <si>
    <t>CARGA GENERAL O SUELTA</t>
  </si>
  <si>
    <t>FLAT RACKS  / OPEN TOPS 20"</t>
  </si>
  <si>
    <t>FLAT RACKS / OPEN TOPS 40"</t>
  </si>
  <si>
    <t xml:space="preserve">CILINDOR DE GAS PROPANO </t>
  </si>
  <si>
    <t>PILOTAJE</t>
  </si>
  <si>
    <t>MANIOBRA</t>
  </si>
  <si>
    <t xml:space="preserve">REMOLCADOR </t>
  </si>
  <si>
    <t>1.3  USO DE INSTALACIONES AL OPERADOR PORTUARIO TERRESTRE</t>
  </si>
  <si>
    <t>1.4  USO DE INSTALACIONES - A LA CARGA EN TRANSITO</t>
  </si>
  <si>
    <t>DE 0 A 24 HORAS</t>
  </si>
  <si>
    <t>2.   ALMACENAJE</t>
  </si>
  <si>
    <t>UNIDAD /DIA</t>
  </si>
  <si>
    <t>CARGA GENERAL O SUELTA AREA CUBIERTA</t>
  </si>
  <si>
    <t>CARGA GENERAL AREA DESCUBIERTA</t>
  </si>
  <si>
    <t xml:space="preserve">CARGA GRANEL </t>
  </si>
  <si>
    <t xml:space="preserve">3.   MUELLAJE </t>
  </si>
  <si>
    <t xml:space="preserve">HASTA </t>
  </si>
  <si>
    <t>24 HORAS O FRACCION</t>
  </si>
  <si>
    <t>DE  -  HASTA</t>
  </si>
  <si>
    <t>38-50</t>
  </si>
  <si>
    <t>51-57</t>
  </si>
  <si>
    <t>58-75</t>
  </si>
  <si>
    <t>76-89</t>
  </si>
  <si>
    <t>90-101</t>
  </si>
  <si>
    <t>102 Y MAS</t>
  </si>
  <si>
    <t>PESQUEROS, YATES O SIMILARES HASTA</t>
  </si>
  <si>
    <t>38 Y MAS</t>
  </si>
  <si>
    <t>TABLA DE DESCUENTOS</t>
  </si>
  <si>
    <t>COMPAÑIAS NAVIERAS CON MAS DE 50 ATRAQUES AL AÑO  = 50%</t>
  </si>
  <si>
    <t>4.   SERVICIOS VARIOS</t>
  </si>
  <si>
    <t>LIMPEZA FRENTE DE TRABAJO</t>
  </si>
  <si>
    <t>OPERACIÓN</t>
  </si>
  <si>
    <t>AMARRE Y DESAMARRE</t>
  </si>
  <si>
    <t>SERVICIO DE BASCULA</t>
  </si>
  <si>
    <t>POR CAMION</t>
  </si>
  <si>
    <t>SERVICIO DE AGUA</t>
  </si>
  <si>
    <t>M3</t>
  </si>
  <si>
    <t>La fijada por la emepresa de energìa incrementada en un 30%</t>
  </si>
  <si>
    <t>ENERGIA ELECTRICA</t>
  </si>
  <si>
    <t>KV/HORA</t>
  </si>
  <si>
    <t>RECARGOS:</t>
  </si>
  <si>
    <t>PARA LA CARGA PELIGROSA</t>
  </si>
  <si>
    <t>PARA LA CARGA EXPLOSIVA</t>
  </si>
  <si>
    <t>NIT:  827000189-3</t>
  </si>
  <si>
    <t>OBSERVACIONES</t>
  </si>
  <si>
    <t>CONTENEDOR LLENO 10"</t>
  </si>
  <si>
    <t>CONTENEDOR VACIO 10"</t>
  </si>
  <si>
    <t>AUTOMOVILES</t>
  </si>
  <si>
    <t>CAMIONETAS</t>
  </si>
  <si>
    <t>BUSES, CAMIONES, VOLQUETAS, MAQ AGRI Y SIMIL</t>
  </si>
  <si>
    <t>HASTA 15 TON</t>
  </si>
  <si>
    <t>&gt;15 TON</t>
  </si>
  <si>
    <t>KILO</t>
  </si>
  <si>
    <t>CONTENEDOR 10"</t>
  </si>
  <si>
    <t>BUSES</t>
  </si>
  <si>
    <t>CAMIONES</t>
  </si>
  <si>
    <t>INSPECTORES</t>
  </si>
  <si>
    <t>MES</t>
  </si>
  <si>
    <t>AJUSTADOPRES</t>
  </si>
  <si>
    <t>CERTIFICADORES</t>
  </si>
  <si>
    <t>FUMIGADORES</t>
  </si>
  <si>
    <t>SUMINISTRO Y AVITUALLAMIENTO</t>
  </si>
  <si>
    <t>NAVE</t>
  </si>
  <si>
    <t>REMOLCADOR NAVE TRAFICO INTERNACIONAL</t>
  </si>
  <si>
    <t>REMOLCADOR NAVE TRAFICO NACIONAL</t>
  </si>
  <si>
    <t>KILO/DIA</t>
  </si>
  <si>
    <t>INGRESO DE CARROTANQUE</t>
  </si>
  <si>
    <t>REPESO CONTENEDOR</t>
  </si>
  <si>
    <t xml:space="preserve">DESCUENTO POR VOLUMENES: </t>
  </si>
  <si>
    <t xml:space="preserve">Ingreso de carrotanques para suministro a embarcaciones de ruta regular hacia Providencia. </t>
  </si>
  <si>
    <t>SOCIEDAD PORTUARIA PORTMAGDALENA S.A.</t>
  </si>
  <si>
    <t>ITEM</t>
  </si>
  <si>
    <t>Unidad de cobro</t>
  </si>
  <si>
    <t>m eslora/hora o fracción</t>
  </si>
  <si>
    <t>unidad/día</t>
  </si>
  <si>
    <t xml:space="preserve">Bote - Gabarra </t>
  </si>
  <si>
    <t>INCENTIVOS APLICADOS AL MUELLAJE</t>
  </si>
  <si>
    <t>SEGÚN EL NUMERO DE RECALADAS EN EL AÑO</t>
  </si>
  <si>
    <t>10 Recaladas al Año</t>
  </si>
  <si>
    <t>25 Recaladas al Año</t>
  </si>
  <si>
    <t>Mayor a 25 recaladas</t>
  </si>
  <si>
    <t>Granel Liquido Internacional</t>
  </si>
  <si>
    <t>Granel Liquido Peligroso Internacional (Según Resolución 426 de 1997 Superpuertos)</t>
  </si>
  <si>
    <t>INCENTIVOS APLICADOS AL USO DE INSTALACIONES</t>
  </si>
  <si>
    <t>SEGÚN EL VOLUMEN DE CARGA MOVILIZADA (DUEÑO DE LA CARGA)</t>
  </si>
  <si>
    <t>Mas de 300.000</t>
  </si>
  <si>
    <t>Mas de 120.000</t>
  </si>
  <si>
    <t>Mas de 100.000</t>
  </si>
  <si>
    <t>Mas de 65.000</t>
  </si>
  <si>
    <t>Mas de 55.000</t>
  </si>
  <si>
    <t>Mas de 45.000</t>
  </si>
  <si>
    <t>Mas de 35.000</t>
  </si>
  <si>
    <t>Mas de 15.000</t>
  </si>
  <si>
    <t>USO DE INSTALACIONES OPERADOR PORTUARIO</t>
  </si>
  <si>
    <t xml:space="preserve">Permanencia de cero a 24 horas  </t>
  </si>
  <si>
    <t xml:space="preserve">Permanencia de cero a 48 horas  </t>
  </si>
  <si>
    <t xml:space="preserve">Permanencia de cero a 120 horas </t>
  </si>
  <si>
    <t>Permanencia mayor de 120 horas</t>
  </si>
  <si>
    <t>Descuentos a empresas navieras regulares hasta el 25% de acuerdo al numero de recaladas año</t>
  </si>
  <si>
    <t>Permanencia de cero a 24 horas</t>
  </si>
  <si>
    <t>Permanencia de cero a 48 horas</t>
  </si>
  <si>
    <t>Permanencia de cero a 90 horas</t>
  </si>
  <si>
    <t xml:space="preserve">Permanencia de cero a 120 horas  </t>
  </si>
  <si>
    <t xml:space="preserve">Isotanques </t>
  </si>
  <si>
    <t>Vehiculos</t>
  </si>
  <si>
    <t>1001 a 2500</t>
  </si>
  <si>
    <t>2501 a 6000</t>
  </si>
  <si>
    <t>Mas de 6000</t>
  </si>
  <si>
    <t>CONCEPTO</t>
  </si>
  <si>
    <t>Naves y Artefactos Navales Permanentes (Que operan para el puerto)</t>
  </si>
  <si>
    <t>Remolcadores.</t>
  </si>
  <si>
    <t>Grúas Flotantes, gabarras, pontones o planchones</t>
  </si>
  <si>
    <t>Lanchas</t>
  </si>
  <si>
    <t xml:space="preserve">Graneles sólidos </t>
  </si>
  <si>
    <t>por tonelada</t>
  </si>
  <si>
    <t xml:space="preserve">Oficio No.820895 Agosto 4 de 2.008 </t>
  </si>
  <si>
    <t>Graneles Líquidos</t>
  </si>
  <si>
    <t>Oficio N.8086 mayo4 de 2005</t>
  </si>
  <si>
    <t>Carga general</t>
  </si>
  <si>
    <t>Oficio N. 4145 marzo 8 de 2005</t>
  </si>
  <si>
    <t>Contenedores de 20' ó 40' Vacios</t>
  </si>
  <si>
    <t xml:space="preserve">por unidad   </t>
  </si>
  <si>
    <t>Contenedores de 20' lllenos</t>
  </si>
  <si>
    <t>Contenedores de 40' Llenos</t>
  </si>
  <si>
    <t>Vehículos hasta 20 m3</t>
  </si>
  <si>
    <t xml:space="preserve">Vehículos más de  20 m3 y hasta de 40m3 </t>
  </si>
  <si>
    <t>vehículo más de 40m3</t>
  </si>
  <si>
    <t>Al operador Portuario Marítimo</t>
  </si>
  <si>
    <t>Graneles</t>
  </si>
  <si>
    <t>Contenedores de 20' o de 40' vacio</t>
  </si>
  <si>
    <t>por unidad</t>
  </si>
  <si>
    <t>Contenedores de 20' o de 40' llenos</t>
  </si>
  <si>
    <t xml:space="preserve">Vehículos hasta de 20m3 </t>
  </si>
  <si>
    <t>Vehículos más  de 20m3 y hasta 40m3</t>
  </si>
  <si>
    <t>Vehículos más de 40m3</t>
  </si>
  <si>
    <t xml:space="preserve">Carga general </t>
  </si>
  <si>
    <t>contenedores de 20' o de 40' vacios</t>
  </si>
  <si>
    <t>Contneedores de 20' o de 40' llenos</t>
  </si>
  <si>
    <t>A  la Carga</t>
  </si>
  <si>
    <t>Contenedores de 20' o de 40'  llenos o vacio</t>
  </si>
  <si>
    <t>SERVICIOS VARIOS</t>
  </si>
  <si>
    <t>frente de trabajo</t>
  </si>
  <si>
    <t>Suministro de energía eléctrica</t>
  </si>
  <si>
    <t>*Para contenedores con carga refrigerada</t>
  </si>
  <si>
    <t>*para naves permanentes y otros</t>
  </si>
  <si>
    <t>Kw/hora</t>
  </si>
  <si>
    <t>*para naves en tránsito</t>
  </si>
  <si>
    <t>Servicio de inspectores, ajustadores de seguros, certificadores y similares</t>
  </si>
  <si>
    <t>mensual</t>
  </si>
  <si>
    <t>Fumigadores</t>
  </si>
  <si>
    <t>Suminsitro de provisiones y combustibles (avituallamiento)</t>
  </si>
  <si>
    <t>por buque</t>
  </si>
  <si>
    <t>DESCUENTOS A LA CARGA</t>
  </si>
  <si>
    <t>Para carga a granel sólido /toneladas al año</t>
  </si>
  <si>
    <t>30,000       -      90,000</t>
  </si>
  <si>
    <t>hasta 10%</t>
  </si>
  <si>
    <t>90,001       -    250,000</t>
  </si>
  <si>
    <t>hasta 20%</t>
  </si>
  <si>
    <t xml:space="preserve">250,001 en adelante </t>
  </si>
  <si>
    <t>Para carga a granel Líquido /toneladas al año</t>
  </si>
  <si>
    <t>Para carga general / tonelada al año</t>
  </si>
  <si>
    <t xml:space="preserve">    más de 250.000</t>
  </si>
  <si>
    <t>hasta 31%</t>
  </si>
  <si>
    <t>225,001    -  250,000</t>
  </si>
  <si>
    <t>hasta 28%</t>
  </si>
  <si>
    <t>200,001    -  225,000</t>
  </si>
  <si>
    <t>hasta 26%</t>
  </si>
  <si>
    <t>175,001    -  200,000</t>
  </si>
  <si>
    <t>hasta 23%</t>
  </si>
  <si>
    <t>150,001  -   175,000</t>
  </si>
  <si>
    <t>hasta 21%</t>
  </si>
  <si>
    <t>125,001    -  150,000</t>
  </si>
  <si>
    <t>hasta 18%</t>
  </si>
  <si>
    <t>100,001    -  125,000</t>
  </si>
  <si>
    <t>hasta 15%</t>
  </si>
  <si>
    <t xml:space="preserve"> 75,001    -  100,000</t>
  </si>
  <si>
    <t>hasta 12%</t>
  </si>
  <si>
    <t>10,000     -   75,000</t>
  </si>
  <si>
    <t>hasta 9%</t>
  </si>
  <si>
    <t>1000    -  2.000</t>
  </si>
  <si>
    <t>hasta 5%</t>
  </si>
  <si>
    <t>2.001    -  5.000</t>
  </si>
  <si>
    <t xml:space="preserve">5,001 en adelante </t>
  </si>
  <si>
    <t>RECARGOS</t>
  </si>
  <si>
    <t>Para transbordo distintos a contenedores se aplican las tárifas normales de almacenamiento</t>
  </si>
  <si>
    <t>7 días Libres</t>
  </si>
  <si>
    <t>Tonelada/día</t>
  </si>
  <si>
    <t>Oficio N.4146 marzo 8 de 2005</t>
  </si>
  <si>
    <t>LINEA REGULAR</t>
  </si>
  <si>
    <t>LINEA NO REGULAR</t>
  </si>
  <si>
    <t>Unidad por mes o fracción</t>
  </si>
  <si>
    <t>Unidad  mes o fracción</t>
  </si>
  <si>
    <t>Al Operador Portuario Marítimo</t>
  </si>
  <si>
    <t>Transbordo Nacional o Internacional</t>
  </si>
  <si>
    <t>Al Operador Portuario  de Pilotaje y  Remolcador</t>
  </si>
  <si>
    <t>Al Operador Portuario Terrestre</t>
  </si>
  <si>
    <t>Importación, Exportación  y Cabotaje</t>
  </si>
  <si>
    <t>metro de eslora hora o fracción</t>
  </si>
  <si>
    <t>Día 4 a 10</t>
  </si>
  <si>
    <t>Vehículos  20m3 - 40m3</t>
  </si>
  <si>
    <t>Contenedor Lleno de 20'</t>
  </si>
  <si>
    <t>Contenedor Lleno de 40'</t>
  </si>
  <si>
    <t>Contenedor Vacio de 40'</t>
  </si>
  <si>
    <t>Espacio Descubierto (tonelada dia)</t>
  </si>
  <si>
    <t>Espacio cubierto (tonelada/día)</t>
  </si>
  <si>
    <t>Día 4 al 6</t>
  </si>
  <si>
    <t>Día 7 en adelante</t>
  </si>
  <si>
    <t>Contenedores Transbordo</t>
  </si>
  <si>
    <t>Minimo 3 dias libres de almacenamiento</t>
  </si>
  <si>
    <t>Día 1 al 15</t>
  </si>
  <si>
    <t>Día 16 en adelante</t>
  </si>
  <si>
    <t xml:space="preserve">Contenedor Lleno de 20' </t>
  </si>
  <si>
    <t xml:space="preserve">Contenedor Vacio de 20' </t>
  </si>
  <si>
    <t>0,6% CIF+costos de mercancía para la primera década</t>
  </si>
  <si>
    <t>0,7% CIF+costos de mercancía para la segunda década</t>
  </si>
  <si>
    <t>0,8% CIF+costos de mercancía para la tercera década</t>
  </si>
  <si>
    <t>Granel Sólido en Bodega</t>
  </si>
  <si>
    <t>Contenedores Importación y Exportación</t>
  </si>
  <si>
    <t>Para  Contenedores Llenos  -  unidades/año</t>
  </si>
  <si>
    <t>Para  Vehículos - unidades/año</t>
  </si>
  <si>
    <t>Movilización  Vía Tierra (Transitoria)</t>
  </si>
  <si>
    <t>U/día o fracción</t>
  </si>
  <si>
    <t>Para cargamento peligroso</t>
  </si>
  <si>
    <t>para cargamento explosivo</t>
  </si>
  <si>
    <t xml:space="preserve"> SOCIEDAD PORTUARIA  REGIONAL DE SANTA MARTA</t>
  </si>
  <si>
    <t>TARIFAS 2011  MUELLES EL BOSQUE</t>
  </si>
  <si>
    <t>TARIFAS 2011  SPR BARRANQUILLA</t>
  </si>
  <si>
    <t>Oficio N° 20116100249321 del 23/11/2011</t>
  </si>
  <si>
    <t>Carbon granel</t>
  </si>
  <si>
    <t xml:space="preserve">Oficio N° 20116100258671  del 02/12/2011 </t>
  </si>
  <si>
    <t>Suministro de provisiones(Avituallamiento)</t>
  </si>
  <si>
    <t>SERVICIOS A LA LINEAS MARITIMAS :</t>
  </si>
  <si>
    <t>Para carga explosiva</t>
  </si>
  <si>
    <t>OTROS SERVICIOS</t>
  </si>
  <si>
    <t>USO DE INSTALACIONES PORTUARIAS AL OPERADOR PORTUARIO</t>
  </si>
  <si>
    <t>SERVICIO DE PESAJE</t>
  </si>
  <si>
    <t>EN ESPACIO DESCUBIERTO</t>
  </si>
  <si>
    <t>LLENOS</t>
  </si>
  <si>
    <t>VACIOS</t>
  </si>
  <si>
    <t>Mts-eslora / día</t>
  </si>
  <si>
    <t>Contenedores  Vacios  de 20'</t>
  </si>
  <si>
    <t>Contenedores  Vacios de 40'</t>
  </si>
  <si>
    <t>Tonelada -Peso/ Día</t>
  </si>
  <si>
    <t>Unidad  / Día</t>
  </si>
  <si>
    <t>USO DE INSTALACION  AL OPERADOR PORTUARIO</t>
  </si>
  <si>
    <t>SERVICIOS A LINEAS MARITIMAS</t>
  </si>
  <si>
    <t xml:space="preserve">MUELLAJE          </t>
  </si>
  <si>
    <t>Maritimo Internacional hasta 24:00 h</t>
  </si>
  <si>
    <t>Maritimo Internacional de 48:01  a 120:00 h</t>
  </si>
  <si>
    <t>Maritimo Internacional mayor de 120:01 h</t>
  </si>
  <si>
    <t>Lanchas y  Yates</t>
  </si>
  <si>
    <t>Unidad/mes</t>
  </si>
  <si>
    <t xml:space="preserve">USO DE INSTALACIONES A LA CARGA       </t>
  </si>
  <si>
    <t xml:space="preserve">Contenedor Vacio 20` </t>
  </si>
  <si>
    <t>Contenedor vacio 40 ´</t>
  </si>
  <si>
    <t xml:space="preserve">REESTIBA VIA MUELLE        </t>
  </si>
  <si>
    <t xml:space="preserve">USO DE INSTALACIONES TRANSITO INTERNACIONAL   </t>
  </si>
  <si>
    <t>Contenedor vacio 20`</t>
  </si>
  <si>
    <t>Contenedor vacio 40`</t>
  </si>
  <si>
    <t xml:space="preserve">TRANSBORDO CONTENEDORES ENTRE PUERTOS COLOMBIANOS     </t>
  </si>
  <si>
    <t>Contenedor lleno 20`</t>
  </si>
  <si>
    <t>Contenedor lleno 40`</t>
  </si>
  <si>
    <t>SERVICIOS A LA CARGA</t>
  </si>
  <si>
    <t>Carbon</t>
  </si>
  <si>
    <t xml:space="preserve">USO DE INSTALACIONES AUTOMOVILES,  VEHICULOS Y SIMILARES    </t>
  </si>
  <si>
    <t>Menor o Igual 20 M3</t>
  </si>
  <si>
    <t xml:space="preserve">USO DE INSTLACIONES  CONTENEDORES     </t>
  </si>
  <si>
    <t>Contenedor Lleno de 40 ´Normal</t>
  </si>
  <si>
    <t xml:space="preserve"> OPERADOR   PORTUARIO</t>
  </si>
  <si>
    <t xml:space="preserve">USO DE INSTALACIONES MARITIMAS       </t>
  </si>
  <si>
    <t>Contenedores llenos de 20´</t>
  </si>
  <si>
    <t xml:space="preserve">Contenedores vacios 20´y 40 </t>
  </si>
  <si>
    <t xml:space="preserve">USO DE INSTALACIONES TRANSITO INTERNACIONAL        </t>
  </si>
  <si>
    <t xml:space="preserve">USO DE INSTALACIONES SERVICIO TERRESTRE     </t>
  </si>
  <si>
    <t xml:space="preserve">CABOTAJE         </t>
  </si>
  <si>
    <t>Carga General o Granel</t>
  </si>
  <si>
    <t>Contenedores llenos 20`</t>
  </si>
  <si>
    <t>Contenedores llenos 40`</t>
  </si>
  <si>
    <t xml:space="preserve">PILOTAJE Y REMOLCADORES       </t>
  </si>
  <si>
    <t xml:space="preserve">Pilotaje </t>
  </si>
  <si>
    <t>Maniobras nave</t>
  </si>
  <si>
    <t xml:space="preserve">Remolcador Martitimo </t>
  </si>
  <si>
    <t>ALMACENAJES</t>
  </si>
  <si>
    <t xml:space="preserve">CARGA GENERAL (A PARTIR DEL DIA 6)     </t>
  </si>
  <si>
    <t>Normal áreas cubiertas</t>
  </si>
  <si>
    <t>tonelada - día</t>
  </si>
  <si>
    <t>Peligrosa áreas cubiertas</t>
  </si>
  <si>
    <t>tonelada - dia</t>
  </si>
  <si>
    <t>Normal áreas descubiertas</t>
  </si>
  <si>
    <t>tonelada  - día</t>
  </si>
  <si>
    <t>Peligrosa áreas descubiertas</t>
  </si>
  <si>
    <t xml:space="preserve">CARGA GRANEL DECADA (VALOR CIF Mayor tonelaje de la decada)       </t>
  </si>
  <si>
    <t>%</t>
  </si>
  <si>
    <t>1a ( Día  1  al 10 )</t>
  </si>
  <si>
    <t>2a ( Día 11 al 20 )</t>
  </si>
  <si>
    <t>3a ( Día 21 al 30 )</t>
  </si>
  <si>
    <t>Contenedor Vacío 40`</t>
  </si>
  <si>
    <t xml:space="preserve">VEHICULOS          </t>
  </si>
  <si>
    <t>Menor ó igual a 20M3</t>
  </si>
  <si>
    <t xml:space="preserve">Mayor 20M3- Menor 40M3 </t>
  </si>
  <si>
    <t>Mayor a 40M3</t>
  </si>
  <si>
    <t xml:space="preserve">CARGA DE PROYECTOS            </t>
  </si>
  <si>
    <t>M2/día</t>
  </si>
  <si>
    <t xml:space="preserve">MUELLAJE             </t>
  </si>
  <si>
    <t>Mt/eslora/Día</t>
  </si>
  <si>
    <t xml:space="preserve">USO DE INSTALACIONES A LA CARGA            </t>
  </si>
  <si>
    <t>Tonelada  - Peso</t>
  </si>
  <si>
    <t>Fluvia Peligrosa</t>
  </si>
  <si>
    <t xml:space="preserve">USO DE INSTALACIONES AL OPERADOR PORTUARIO           </t>
  </si>
  <si>
    <t xml:space="preserve">OTROS SERVICIOS             </t>
  </si>
  <si>
    <t>Energía Eléctrica</t>
  </si>
  <si>
    <t>Tarifa + 15%</t>
  </si>
  <si>
    <t>Metro cúbico</t>
  </si>
  <si>
    <t>Teléfono ó Fax</t>
  </si>
  <si>
    <t>Galón  ó  tonelada</t>
  </si>
  <si>
    <t xml:space="preserve">SERVICIO DE GRUA        </t>
  </si>
  <si>
    <t xml:space="preserve">Dcto del 25% para contratos anuales de utilización </t>
  </si>
  <si>
    <t>Una hora ( Min 0-60 )</t>
  </si>
  <si>
    <t>Dos horas ó más</t>
  </si>
  <si>
    <t xml:space="preserve">INCENTIVOS </t>
  </si>
  <si>
    <t xml:space="preserve">CARGA GENERAL           </t>
  </si>
  <si>
    <t>20.000 - 90.000</t>
  </si>
  <si>
    <t>Hasta un 15%</t>
  </si>
  <si>
    <t>Hasta un 40%</t>
  </si>
  <si>
    <t xml:space="preserve">170.001  en adelante </t>
  </si>
  <si>
    <t>Hasta un 50.%</t>
  </si>
  <si>
    <t xml:space="preserve">CARGA  GRANEL            </t>
  </si>
  <si>
    <t>30.000 - 90.000</t>
  </si>
  <si>
    <t>Hasta un 20%</t>
  </si>
  <si>
    <t>90.001 - 150.000</t>
  </si>
  <si>
    <t>Hasta un 30%</t>
  </si>
  <si>
    <t xml:space="preserve">250.001  en adelante </t>
  </si>
  <si>
    <t>Hasta un 50%</t>
  </si>
  <si>
    <t xml:space="preserve">GRANEL CARBON             </t>
  </si>
  <si>
    <t>%  Desc.</t>
  </si>
  <si>
    <t>0 - 75.000</t>
  </si>
  <si>
    <t>Hasta 15 %</t>
  </si>
  <si>
    <t>75.001 - 125.000</t>
  </si>
  <si>
    <t>Mas de 125.000.</t>
  </si>
  <si>
    <t xml:space="preserve">CONTENEDORES      </t>
  </si>
  <si>
    <t>Contenedores/Año</t>
  </si>
  <si>
    <t>1.001 - 3.000</t>
  </si>
  <si>
    <t>Hasta un 25%</t>
  </si>
  <si>
    <t>3.001 en adelante</t>
  </si>
  <si>
    <t xml:space="preserve">VEHICULOS         </t>
  </si>
  <si>
    <t>Unidades/Año</t>
  </si>
  <si>
    <t>Hasta un 5%</t>
  </si>
  <si>
    <t xml:space="preserve">5.001 en adelante </t>
  </si>
  <si>
    <t>Hasta un 35%</t>
  </si>
  <si>
    <t>Mayor 20M3 - Menor 40M3</t>
  </si>
  <si>
    <t>5.001  en adelante</t>
  </si>
  <si>
    <t>Mayor de 40M3</t>
  </si>
  <si>
    <t>Hasta un 10%</t>
  </si>
  <si>
    <t xml:space="preserve">MUELLAJE            </t>
  </si>
  <si>
    <t>Incentivo</t>
  </si>
  <si>
    <t>Tarifa</t>
  </si>
  <si>
    <t>Empresas navieras con mas de 50 recaladas al año</t>
  </si>
  <si>
    <t>Mts-eslora-hora ó fracción</t>
  </si>
  <si>
    <t>Empresas navieras con mas de 100 recaladas al año</t>
  </si>
  <si>
    <t>Palermo Sociedad Portuaria   Nit. 819.007.201-7</t>
  </si>
  <si>
    <t>Registradas mediante comunicación No 827987 novbre 6/2008</t>
  </si>
  <si>
    <t>Naves en T/to Internacional:</t>
  </si>
  <si>
    <t xml:space="preserve">Permanencia hasta 24:00 horas </t>
  </si>
  <si>
    <t xml:space="preserve">Mts-eslora /hora o fracción </t>
  </si>
  <si>
    <t xml:space="preserve">Permanencia de 24:01 a 48:00 horas </t>
  </si>
  <si>
    <t xml:space="preserve">Permanencia de 48:01 a 90:00 horas </t>
  </si>
  <si>
    <t xml:space="preserve">Permanencia superior 90:01 horas </t>
  </si>
  <si>
    <t>Naves en T/to Nacional - Cabotaje</t>
  </si>
  <si>
    <t xml:space="preserve">Mts-eslora /día o fracción </t>
  </si>
  <si>
    <t>Naves y artefactos navales permanentes</t>
  </si>
  <si>
    <t>Remolcadores</t>
  </si>
  <si>
    <t>U/mes o fracción</t>
  </si>
  <si>
    <t>1,000,00</t>
  </si>
  <si>
    <t xml:space="preserve">Grúas flotantes, botes, gabarras, pontones o planchones </t>
  </si>
  <si>
    <t>USO INSTALACIONES PORTUARIAS A LA CARGA</t>
  </si>
  <si>
    <t>Reestiba contenedores Llenos de 20' y 40`carga normal</t>
  </si>
  <si>
    <t xml:space="preserve">Reestiba contenedores Llenos de 20' y 40`carga peligrosa </t>
  </si>
  <si>
    <t>Reestiba contenedores vacíos de 20' y 40`</t>
  </si>
  <si>
    <t>Reestiba carga general</t>
  </si>
  <si>
    <t>Ton/peso</t>
  </si>
  <si>
    <t>TRANSITO INTER/NAL Y TRANSBORDO</t>
  </si>
  <si>
    <t>Contenedores Llenos de 20' y 40`carga normal</t>
  </si>
  <si>
    <t xml:space="preserve">Contenedores Llenos de 20' y 40`carga peligrosa </t>
  </si>
  <si>
    <t>carga general</t>
  </si>
  <si>
    <t>Ton</t>
  </si>
  <si>
    <t>Contenedor lleno en T/to Inter/nal y Transbordo (10 días libres)</t>
  </si>
  <si>
    <t>Contenedor de 20'</t>
  </si>
  <si>
    <t>U/día</t>
  </si>
  <si>
    <t>Contenedor de 40'</t>
  </si>
  <si>
    <t>Carga general área cubierta</t>
  </si>
  <si>
    <t>Ton o M3/día</t>
  </si>
  <si>
    <t>Carga general área descubierta</t>
  </si>
  <si>
    <t>Contenedor vacío  (10 días libres)</t>
  </si>
  <si>
    <t>USO INSTALACS PORTUAR CARGA GENERAL</t>
  </si>
  <si>
    <t xml:space="preserve">Ton o M3 </t>
  </si>
  <si>
    <t>Carga general peligrosa</t>
  </si>
  <si>
    <t>Carga general normal en cabotaje</t>
  </si>
  <si>
    <t>Carga general peligrosa en cabotaje</t>
  </si>
  <si>
    <t>USO INSTALACS PORTUAR GRANELES SOLID - LIQUID</t>
  </si>
  <si>
    <t>Granel sólido normal</t>
  </si>
  <si>
    <t>Granel sólido peligroso</t>
  </si>
  <si>
    <t>Granel líquido normal</t>
  </si>
  <si>
    <t>Granel líquido peligroso</t>
  </si>
  <si>
    <t xml:space="preserve">USO INSTALACS PORTUAR VEHIC y SIMILARES </t>
  </si>
  <si>
    <t>Vehículos hasta de 20 M3</t>
  </si>
  <si>
    <t>Vehículos más de 20 M3 y menos de 40 M3</t>
  </si>
  <si>
    <t>Vehículos más de 40M3</t>
  </si>
  <si>
    <t xml:space="preserve">USO INSTALACIONES PORTUARIAS CONTENEDORES  </t>
  </si>
  <si>
    <t>Contenedor Lleno 20' normal</t>
  </si>
  <si>
    <t>Contenedor  Lleno 20'  peligrosa</t>
  </si>
  <si>
    <t>Contenedor Lleno 40' normal</t>
  </si>
  <si>
    <t>Contenedor Lleno 40'  peligrosa</t>
  </si>
  <si>
    <t>Contenedor vacío 20' y 40`</t>
  </si>
  <si>
    <t>Cinco (5) días libres - A partir del día 16 recargo del 35%/tarifa</t>
  </si>
  <si>
    <t xml:space="preserve">Carga general normal área cubierta  </t>
  </si>
  <si>
    <t xml:space="preserve">Ton o M3/día    </t>
  </si>
  <si>
    <t xml:space="preserve">Carga general normal área descubierta  </t>
  </si>
  <si>
    <t xml:space="preserve">Ton o M3/día </t>
  </si>
  <si>
    <t>Carga general peligrosa área cubierta *</t>
  </si>
  <si>
    <t xml:space="preserve">Carga General peligrosa área descubierta*  </t>
  </si>
  <si>
    <t xml:space="preserve">Carga de proyectos área cubierta  </t>
  </si>
  <si>
    <t>M2/mes</t>
  </si>
  <si>
    <t xml:space="preserve">Carga de proyectos área descubierta  </t>
  </si>
  <si>
    <t xml:space="preserve">    * A partir del primer día     </t>
  </si>
  <si>
    <t xml:space="preserve">Unidad/día     </t>
  </si>
  <si>
    <t>Unidad/día</t>
  </si>
  <si>
    <t xml:space="preserve">USO INSTALACIONES PORTUARIAS MARITIMO  </t>
  </si>
  <si>
    <t>Carga general en cabotaje</t>
  </si>
  <si>
    <t xml:space="preserve">Granel sólido </t>
  </si>
  <si>
    <t xml:space="preserve">Granel líquido </t>
  </si>
  <si>
    <t>Contenedor Lleno  20' y 40`</t>
  </si>
  <si>
    <t xml:space="preserve">Contenedor vacío 20' y 40` </t>
  </si>
  <si>
    <t xml:space="preserve">Contenedor lleno en T/to Inter/nal  20' y 40`   </t>
  </si>
  <si>
    <t xml:space="preserve">Contenedor vacío en T/to Inter/nal  20' y 40`   </t>
  </si>
  <si>
    <t xml:space="preserve">USO INSTALACIONES PORTUARIAS TERRESTRE   </t>
  </si>
  <si>
    <t xml:space="preserve">USO INSTALACS PORTUAR PILOTAJE-REMOLCADOR    </t>
  </si>
  <si>
    <t xml:space="preserve">Remolcador </t>
  </si>
  <si>
    <t xml:space="preserve">USO INSTALACS PORTUARIAS OTROS SERVICIOS     </t>
  </si>
  <si>
    <t>Suministro de aprovisionamiento(avituallamiento) de los barcos</t>
  </si>
  <si>
    <t>Por barco</t>
  </si>
  <si>
    <t>Servicios de reparación motonaves</t>
  </si>
  <si>
    <t>Servicios de aseo, retiro sentinas, basuras</t>
  </si>
  <si>
    <t>Servicio fumigación</t>
  </si>
  <si>
    <t>Mes</t>
  </si>
  <si>
    <t>Suministro energía contenedores</t>
  </si>
  <si>
    <t xml:space="preserve">U/día  o fracción   </t>
  </si>
  <si>
    <t>Suministro energía buques y otros</t>
  </si>
  <si>
    <t>KW/hora</t>
  </si>
  <si>
    <t>Suministro agua potable</t>
  </si>
  <si>
    <t>Tratamiento basuras</t>
  </si>
  <si>
    <t>Servicio grúa</t>
  </si>
  <si>
    <t>Por hora(minimo dos horas)</t>
  </si>
  <si>
    <t>PORCENTAJE  %</t>
  </si>
  <si>
    <t>Líneas marítimas entre 50-90 recaladas/año</t>
  </si>
  <si>
    <t>Hasta un 10</t>
  </si>
  <si>
    <t>Líneas marítimas con más de 90 recaladas/año</t>
  </si>
  <si>
    <t>Hasta un 15</t>
  </si>
  <si>
    <t>Más de 15.000 hasta 80.000 Toneladas/año</t>
  </si>
  <si>
    <t>Hasta un 13</t>
  </si>
  <si>
    <t>80.001 a 160.000 Toneladas/año</t>
  </si>
  <si>
    <t>Hasta un 37</t>
  </si>
  <si>
    <t>Más de 160.001 Toneladas/año</t>
  </si>
  <si>
    <t>Hasta un 45</t>
  </si>
  <si>
    <t>Más de 1000  hasta  2.500  unidades/año</t>
  </si>
  <si>
    <t xml:space="preserve">Mas de 2.500 unidades/año </t>
  </si>
  <si>
    <t>Más de 100  hasta 400 unidades/año</t>
  </si>
  <si>
    <t xml:space="preserve">De 401 a 800 unidades/año </t>
  </si>
  <si>
    <t>Hasta un 20</t>
  </si>
  <si>
    <t xml:space="preserve">Más de 801 unidades/año </t>
  </si>
  <si>
    <t>Hasta un 25</t>
  </si>
  <si>
    <t>GRANELES SOLIDOS</t>
  </si>
  <si>
    <t>Más de 20.000 Tons hasta 80.000 Tons/año</t>
  </si>
  <si>
    <t>De 80.001 Ton a 140.000 Tons/año</t>
  </si>
  <si>
    <t>Hasta un 30</t>
  </si>
  <si>
    <t>De 140.001 Tons  a 250.000 Tons/año</t>
  </si>
  <si>
    <t>Hasta un 40</t>
  </si>
  <si>
    <t>Más de 250.001 Tons/año</t>
  </si>
  <si>
    <t>GRANELES  LIQUIDOS</t>
  </si>
  <si>
    <t>Más de 30.000 Tons hasta 40.000 Tons/año</t>
  </si>
  <si>
    <t>De 40.001 Tons a 50.000 Tons/año</t>
  </si>
  <si>
    <t>De 50.001 Tons  a 60.000 Tons/año</t>
  </si>
  <si>
    <t xml:space="preserve">De 60.001 Tons  a 70.000 Tons/año </t>
  </si>
  <si>
    <t>Hasta un 35</t>
  </si>
  <si>
    <t>Más de 70.001 Tons/año</t>
  </si>
  <si>
    <t>DE 1 A 60</t>
  </si>
  <si>
    <t>MAS DE 60</t>
  </si>
  <si>
    <t>HASTA 3,500</t>
  </si>
  <si>
    <t>HASTA 4,500</t>
  </si>
  <si>
    <t>DE 4,501 A 5,000</t>
  </si>
  <si>
    <t>HASTA 3,000</t>
  </si>
  <si>
    <t>LLENOS DE TRANSITO Y TRANSBORDO</t>
  </si>
  <si>
    <t>USD/TONELADA</t>
  </si>
  <si>
    <t>Carga general por tonelada</t>
  </si>
  <si>
    <t>TONELADAS</t>
  </si>
  <si>
    <t>Tonelada de Carga General</t>
  </si>
  <si>
    <t>CONTENEDORES/AÑO</t>
  </si>
  <si>
    <t>626 A 938</t>
  </si>
  <si>
    <t>939 A 1,563</t>
  </si>
  <si>
    <t>1,564 A 3,125</t>
  </si>
  <si>
    <t>3,126 A 6,250</t>
  </si>
  <si>
    <t>MAS DE 7,000</t>
  </si>
  <si>
    <t xml:space="preserve">CARGA GENERAL </t>
  </si>
  <si>
    <t>USD/VEHICULO</t>
  </si>
  <si>
    <t>USD/CONTENEDOR</t>
  </si>
  <si>
    <t>TONELAJE/AÑO</t>
  </si>
  <si>
    <t>1 A 100,000</t>
  </si>
  <si>
    <t>100,000 A 200,000</t>
  </si>
  <si>
    <t>200,000 A 300,000</t>
  </si>
  <si>
    <t>300,000 A 400,000</t>
  </si>
  <si>
    <t>1 A 25,000</t>
  </si>
  <si>
    <t>25,000 A 50,000</t>
  </si>
  <si>
    <t>50,000 A 75,000</t>
  </si>
  <si>
    <t>75,000 A 100,000</t>
  </si>
  <si>
    <t>DIAS</t>
  </si>
  <si>
    <t>USD/HORA</t>
  </si>
  <si>
    <t>USD/MANIOBRA</t>
  </si>
  <si>
    <t>OLEODUCTO CENTRAL S.A. -OCENSA-</t>
  </si>
  <si>
    <t>La presente estructura tarifaria regirá una vez se hayan surtido los tramites y cumplido los plazos de que trata el Artículo 19 de la Ley 1 de 1991 y la Resolución 723 de 1993</t>
  </si>
  <si>
    <t>Unidad de Cobro</t>
  </si>
  <si>
    <t>Granel Líquido Internacional  (Crudo)</t>
  </si>
  <si>
    <t>Equivalente en Barril</t>
  </si>
  <si>
    <t>SOCIEDAD PORTUARIA CEMENTERAS ASOCIADAS S.A</t>
  </si>
  <si>
    <t>&gt; 20.000 Ton / año</t>
  </si>
  <si>
    <t>&gt; 40.000 Ton / año</t>
  </si>
  <si>
    <t>&gt; 60.000 Ton / año</t>
  </si>
  <si>
    <t>&gt; 100.000 Ton / año</t>
  </si>
  <si>
    <t>Igual a 8</t>
  </si>
  <si>
    <t>De 16 a 20</t>
  </si>
  <si>
    <t>De 26 a 36</t>
  </si>
  <si>
    <t>De 37 a 46</t>
  </si>
  <si>
    <t>COBRO POR UNA SOLA VEZ</t>
  </si>
  <si>
    <t>IMPORTACION, EXPORTACION Y REESTIBA</t>
  </si>
  <si>
    <t>TRANSITO INTERNACIONAL, TRANSBORDO</t>
  </si>
  <si>
    <t>DESCUENTOS POR TONELAJE ANUAL DE CARGA A GRANEL</t>
  </si>
  <si>
    <t>USO DE INSTALACIONES POR LLENADO Y VACIADO DE CONTENEDORES</t>
  </si>
  <si>
    <t>SERVICIO DE BASCULA (PESAJE)</t>
  </si>
  <si>
    <t>TRANSBORDO Y TRANSITO</t>
  </si>
  <si>
    <t>TABLA DE DESCUENTOS PARA EXPORTACION DE CARBON COQUE Y TERMICO</t>
  </si>
  <si>
    <t>Hasta 4000</t>
  </si>
  <si>
    <t>Valor por maniobra</t>
  </si>
  <si>
    <t>USO DE INSTALACIONES AL PILOTO PRACTICO</t>
  </si>
  <si>
    <t>TRAFICO INTERNACIONAL</t>
  </si>
  <si>
    <t>UTILIZACION ESPACIOS</t>
  </si>
  <si>
    <t>SUMINISTRO ENERGIA ELECTRICA</t>
  </si>
  <si>
    <t>Por unidad por mes</t>
  </si>
  <si>
    <t>TARIFAS GRUPO PORTUARIO S.A.</t>
  </si>
  <si>
    <t>COBRO POR HORA O FRACCION CON UN PERIODO MINIMO DE (6) HORAS</t>
  </si>
  <si>
    <t>Naves Tráfico Internacional:</t>
  </si>
  <si>
    <t>Metros Eslora/Hora</t>
  </si>
  <si>
    <t>0,40 US $</t>
  </si>
  <si>
    <t>Naves de Cabotaje:</t>
  </si>
  <si>
    <t>0,15 US $</t>
  </si>
  <si>
    <t>Remolcadores:</t>
  </si>
  <si>
    <t>700,00 US $</t>
  </si>
  <si>
    <t>DESCUENTOS POR NUMERO DE RECALADAS AL AÑO</t>
  </si>
  <si>
    <t>De 1 a 7</t>
  </si>
  <si>
    <t>De 21 a  25</t>
  </si>
  <si>
    <t>De 9 a 15</t>
  </si>
  <si>
    <t>Más de 47</t>
  </si>
  <si>
    <t>Carga General/Ton.</t>
  </si>
  <si>
    <t>4,5 US $</t>
  </si>
  <si>
    <t>Graneles Sólidos/Ton.</t>
  </si>
  <si>
    <t>4,0 US $</t>
  </si>
  <si>
    <t>Contenedor Lleno 20"/Unid.</t>
  </si>
  <si>
    <t>70 US $</t>
  </si>
  <si>
    <t>Contenedor Lleno 40"/Unid.</t>
  </si>
  <si>
    <t>80 US $</t>
  </si>
  <si>
    <t>Contenedores de mas de 40"</t>
  </si>
  <si>
    <t>85 USD $</t>
  </si>
  <si>
    <t>Contenedor Vacío 20"/Unid.</t>
  </si>
  <si>
    <t>14 US $</t>
  </si>
  <si>
    <t>Contenedor Vacío 40"/Unid.</t>
  </si>
  <si>
    <t>15 US $</t>
  </si>
  <si>
    <t>Contenedores vacios de mas de 40"</t>
  </si>
  <si>
    <t>18 US $</t>
  </si>
  <si>
    <t>Vehiculo de 1 a 10 M3/Unid</t>
  </si>
  <si>
    <t>25 US $</t>
  </si>
  <si>
    <t>Vehiculo hasta 20 M3/ Und.</t>
  </si>
  <si>
    <t>32 US $</t>
  </si>
  <si>
    <t>Vehículo  de 20,1 hasta 40 M3/Unid.</t>
  </si>
  <si>
    <t>65 US $</t>
  </si>
  <si>
    <t>Vehículo  mas de 40,0 M3/Unid.</t>
  </si>
  <si>
    <t>120 US $</t>
  </si>
  <si>
    <t xml:space="preserve">Nota: La Reestiba se considera cuando la carga pasa Buque/Muelle/Buque </t>
  </si>
  <si>
    <t>Carga General y Granel/Ton.</t>
  </si>
  <si>
    <t>1,5 US $</t>
  </si>
  <si>
    <t>15,00 US $</t>
  </si>
  <si>
    <t>19,50 US $</t>
  </si>
  <si>
    <t>39,00 US $</t>
  </si>
  <si>
    <t>72,00 US $</t>
  </si>
  <si>
    <t>Conten. 20" y 40" Llenos/Unidad.</t>
  </si>
  <si>
    <t>30,00 US $</t>
  </si>
  <si>
    <t>Conten. 20" y 40" Vacios/Unidad.</t>
  </si>
  <si>
    <t>5,00 US $</t>
  </si>
  <si>
    <t>1-10.000 Ton./año</t>
  </si>
  <si>
    <t>10.001-15.000 Ton./año</t>
  </si>
  <si>
    <t>3,8 US $</t>
  </si>
  <si>
    <t>15.001-25.000 Ton./año</t>
  </si>
  <si>
    <t>3,6 US $</t>
  </si>
  <si>
    <t>25.001-50.000 Ton./año</t>
  </si>
  <si>
    <t>3,4 US $</t>
  </si>
  <si>
    <t>50.001-100.000 Ton./año</t>
  </si>
  <si>
    <t>3,0 US $</t>
  </si>
  <si>
    <t>100.001 En AdelanteTon/Año</t>
  </si>
  <si>
    <t>2,8 US $</t>
  </si>
  <si>
    <t>Llenado y vaciado de Contenedores de20"/Unidad</t>
  </si>
  <si>
    <t>10 US $</t>
  </si>
  <si>
    <t>Llenado y vaciado de Contenedores de 40"/Unidad</t>
  </si>
  <si>
    <t>13 US $</t>
  </si>
  <si>
    <t>Carga General y contenedores/Ton.</t>
  </si>
  <si>
    <t>360 C$</t>
  </si>
  <si>
    <t>Carga Granel/Ton.</t>
  </si>
  <si>
    <t>266 C$</t>
  </si>
  <si>
    <t>Carga General y Granel/Tonelada</t>
  </si>
  <si>
    <t>1,0 US $</t>
  </si>
  <si>
    <t>Contenedores 20" Llenos/Unidad</t>
  </si>
  <si>
    <t>Contenedores 40" Llenos/Unidad</t>
  </si>
  <si>
    <t>20 US $</t>
  </si>
  <si>
    <t>Contenedores 20" Vacios/Unidad</t>
  </si>
  <si>
    <t>Contenedores 40" Vacios/Unidad</t>
  </si>
  <si>
    <t>Contenedores de 20" y 40" /Unidad.</t>
  </si>
  <si>
    <t>Carga General Tonelada</t>
  </si>
  <si>
    <t>Contenedores de 20" y 40" llenos y vacios /Unidad.</t>
  </si>
  <si>
    <t>1,50 US $</t>
  </si>
  <si>
    <t>Rendimiento               Toneladas/Buque/Día</t>
  </si>
  <si>
    <t>Muellaje                          Metro/eslora/hora</t>
  </si>
  <si>
    <t>Uso de Instalaciones Operador  USD/Toneladas</t>
  </si>
  <si>
    <t>Uso Instalaciones Carga  USD/Toneladas</t>
  </si>
  <si>
    <t>Hasta 4,500</t>
  </si>
  <si>
    <t>0.55</t>
  </si>
  <si>
    <t>1.00</t>
  </si>
  <si>
    <t>4.00</t>
  </si>
  <si>
    <t>De 4,501 A 5,000</t>
  </si>
  <si>
    <t>0.52</t>
  </si>
  <si>
    <t>0.86</t>
  </si>
  <si>
    <t>3.80</t>
  </si>
  <si>
    <t>De 5,001 A 5,500</t>
  </si>
  <si>
    <t>0.50</t>
  </si>
  <si>
    <t>0.65</t>
  </si>
  <si>
    <t>3.60</t>
  </si>
  <si>
    <t>De 5,501 A 6,000</t>
  </si>
  <si>
    <t>0.48</t>
  </si>
  <si>
    <t>0.36</t>
  </si>
  <si>
    <t>3.40</t>
  </si>
  <si>
    <t>Mas de 6,001</t>
  </si>
  <si>
    <t>0.44</t>
  </si>
  <si>
    <t>0.30</t>
  </si>
  <si>
    <t>2.80</t>
  </si>
  <si>
    <t xml:space="preserve">TABLA DE DESCUENTO PARA LA IMPORTACION DE GRANELES </t>
  </si>
  <si>
    <t>RENDIMIENTO/TONELADA/DIA      US $ * TONELADA</t>
  </si>
  <si>
    <t>1.00 US $</t>
  </si>
  <si>
    <t xml:space="preserve">Mas de 4000 </t>
  </si>
  <si>
    <t>0.50 US $</t>
  </si>
  <si>
    <t>USO DE INSTALACIONES AL OPERADOR DEL REMOLCADOR</t>
  </si>
  <si>
    <t>10,00 US $</t>
  </si>
  <si>
    <t>Carga Gral. Cubierto  Día 3 en Adelante Ton/Día</t>
  </si>
  <si>
    <t>Carga Gral. Descubierto  Día 6 en Adelante Ton/Día</t>
  </si>
  <si>
    <t>0,75 US $</t>
  </si>
  <si>
    <t>Cont. Llenos de 20"/Unid./Día, Día 6 al 10.</t>
  </si>
  <si>
    <t>13,00 US $</t>
  </si>
  <si>
    <t>Cont. Llenos de 20"/Unid./Día, Día 11 en adelante.</t>
  </si>
  <si>
    <t>19,00 US $</t>
  </si>
  <si>
    <t>Cont. Llenos de 40"/Unid./Día, Día 6 al 10.</t>
  </si>
  <si>
    <t>Cont. Llenos de 40"/Unid./Día, Día 11 en adelante.</t>
  </si>
  <si>
    <t>22 US $</t>
  </si>
  <si>
    <t>Cont. Vacios de 20"/Unid./Día, Día 6 al 10.</t>
  </si>
  <si>
    <t>5,5 US $</t>
  </si>
  <si>
    <t>Cont. Vacios de 20"/Unid./Día, Día 11 en adelante.</t>
  </si>
  <si>
    <t>8,5 US $</t>
  </si>
  <si>
    <t>Cont. Vacios de 40"/Unid./Día, Día 6 al 10.</t>
  </si>
  <si>
    <t>9 US $</t>
  </si>
  <si>
    <t>Cont. Vacios de 40"/Unid./Día, Día 11 en adelante.</t>
  </si>
  <si>
    <t>Vehículos/Unidad/Día, Día 6 en adelante</t>
  </si>
  <si>
    <t>* Para granel se aplicaran las tarifas de deposito publico aduanero habilitado.</t>
  </si>
  <si>
    <t>Varios /Metro2</t>
  </si>
  <si>
    <t>0.05 US $</t>
  </si>
  <si>
    <t>Contenedores /KW/Hora</t>
  </si>
  <si>
    <t>1,00 US $</t>
  </si>
  <si>
    <t>Recargos para Carga Explosiva</t>
  </si>
  <si>
    <t>Recargos para Carga Peligrosa</t>
  </si>
  <si>
    <r>
      <t>Nota:</t>
    </r>
    <r>
      <rPr>
        <sz val="11"/>
        <rFont val="Arial"/>
        <family val="2"/>
      </rPr>
      <t xml:space="preserve"> La Reestiba, El transito Internacional y el Transbordo se Cobran(2) vecesCargue/Descargue </t>
    </r>
  </si>
  <si>
    <t>AAAAAFb7mng=</t>
  </si>
  <si>
    <t>AAAAAFb7mnk=</t>
  </si>
  <si>
    <t>AAAAAFb7mno=</t>
  </si>
  <si>
    <t>AAAAAFb7mns=</t>
  </si>
  <si>
    <t>AAAAAFb7mnw=</t>
  </si>
  <si>
    <t>AAAAAGb//AI=</t>
  </si>
  <si>
    <t>AAAAAGb//AM=</t>
  </si>
  <si>
    <t>Oficio 20116100220581  04/11/2011 - 2011</t>
  </si>
  <si>
    <r>
      <t xml:space="preserve">CABOTAJE </t>
    </r>
    <r>
      <rPr>
        <sz val="11"/>
        <rFont val="Arial"/>
        <family val="2"/>
      </rPr>
      <t xml:space="preserve"> (50% de la tárifa para importaciones  y exportaciones)</t>
    </r>
  </si>
  <si>
    <t xml:space="preserve"> </t>
  </si>
  <si>
    <t>AAAAAHs73gw=</t>
  </si>
  <si>
    <t>AAAAAHs73g0=</t>
  </si>
  <si>
    <r>
      <t xml:space="preserve">     IV</t>
    </r>
    <r>
      <rPr>
        <sz val="11"/>
        <color indexed="9"/>
        <rFont val="Arial"/>
        <family val="2"/>
      </rPr>
      <t xml:space="preserve"> - OTROS SERVICIOS  </t>
    </r>
  </si>
  <si>
    <t xml:space="preserve">     V - INCENTIVOS   </t>
  </si>
  <si>
    <t xml:space="preserve">    III - SERVICIOS AL OPERADOR PORTUARIO </t>
  </si>
  <si>
    <t xml:space="preserve">     I - SERVICIOS A LA LINEA MARITIMA </t>
  </si>
  <si>
    <t xml:space="preserve">      II - SERVICIOS A LA CARGA</t>
  </si>
  <si>
    <r>
      <t xml:space="preserve">ALMACENAJE </t>
    </r>
    <r>
      <rPr>
        <sz val="11"/>
        <color indexed="9"/>
        <rFont val="Arial"/>
        <family val="2"/>
      </rPr>
      <t xml:space="preserve">(3 primeros días libres) </t>
    </r>
  </si>
  <si>
    <t>AAAAADb+nwU=</t>
  </si>
  <si>
    <t>AAAAADb+nwY=</t>
  </si>
  <si>
    <t>AAAAAF7f/wA=</t>
  </si>
  <si>
    <t>AAAAAF7f/wE=</t>
  </si>
  <si>
    <t xml:space="preserve">Granel Líquido </t>
  </si>
  <si>
    <t>SOCIEDAD PORTUARIA ALGRANEL S.A</t>
  </si>
  <si>
    <t>Metro eslora dia</t>
  </si>
  <si>
    <t>Nave</t>
  </si>
  <si>
    <t>La presente estructura tarifaria,  rige según comunicación No. 974970 del 14 de Octubre de 1997</t>
  </si>
  <si>
    <t>Tonelada metrica</t>
  </si>
  <si>
    <t>Dia 1 al 3</t>
  </si>
  <si>
    <t>Dia 4 al 5</t>
  </si>
  <si>
    <t>Dia 6 al 10</t>
  </si>
  <si>
    <t>Día &gt;10</t>
  </si>
  <si>
    <t>Contenedor Flat Rack 20' Lleno</t>
  </si>
  <si>
    <t>Contenedor Flat Rack 40' Lleno</t>
  </si>
  <si>
    <t>Contenedor Open Top 20' Lleno</t>
  </si>
  <si>
    <t>Contenedor Open Top 40' Lleno</t>
  </si>
  <si>
    <t>Contenedor Mayor a 40' Lleno</t>
  </si>
  <si>
    <t>Contenedor  de 20' Vacio</t>
  </si>
  <si>
    <t>Contenedor  de 40' Vacio</t>
  </si>
  <si>
    <t>Oficio No. 20125600031072 del 13/03/2012</t>
  </si>
  <si>
    <t xml:space="preserve">Internacional </t>
  </si>
  <si>
    <t>Internacional que acredite mas de 20 recaladas año</t>
  </si>
  <si>
    <t>Fluvial remolcador</t>
  </si>
  <si>
    <t>Fluvial Bote o Planchon</t>
  </si>
  <si>
    <t xml:space="preserve">Contenedores Llenos de 20' </t>
  </si>
  <si>
    <t xml:space="preserve">Contenedores Llenos de 40' </t>
  </si>
  <si>
    <t>Servicio Terrestre: General o Granel</t>
  </si>
  <si>
    <t>Servicio Terrestre: Contenedores</t>
  </si>
  <si>
    <t>Maniobra Nave</t>
  </si>
  <si>
    <t xml:space="preserve">USO DE INSTALACIONES A LA CARGA </t>
  </si>
  <si>
    <t>ALMACENAMIENTO 5 DÍAS LIBRES</t>
  </si>
  <si>
    <t>Carga General Cubierta a partir del 6° día</t>
  </si>
  <si>
    <t>Carga General Descubierta a partir del 6° día</t>
  </si>
  <si>
    <t>Carga a Granel a partir del 6° día</t>
  </si>
  <si>
    <t>Carga a Granel a partir del 16° día</t>
  </si>
  <si>
    <t>Contenedores llenos de 20 a partir del 6° día</t>
  </si>
  <si>
    <t xml:space="preserve">Contenedores Vacíos de 20 a partir del 6° día </t>
  </si>
  <si>
    <t>Contenedores llenos de 40 a partir del 6° día</t>
  </si>
  <si>
    <t xml:space="preserve">Contenedores Vacíos de 40 a partir del 6° día </t>
  </si>
  <si>
    <t>DESCUENTOS POR VOLUMEN</t>
  </si>
  <si>
    <t>Clientes que acrediten movimiento de menos de 50.000 Ton/Año</t>
  </si>
  <si>
    <t>Clientes que acrediten movimiento de  50.000 a 100.000 Ton/Año</t>
  </si>
  <si>
    <t>Recargo por carga peligrosa</t>
  </si>
  <si>
    <t>Recargo por carga explosiva</t>
  </si>
  <si>
    <t>Oficio DTO 426-97 del 22/12/1997</t>
  </si>
  <si>
    <t>Contenedores Vacios Importación Exportación</t>
  </si>
  <si>
    <t>Dia 4 al 11</t>
  </si>
  <si>
    <t>Dia 12 en adelante</t>
  </si>
  <si>
    <t>Unidad dia</t>
  </si>
  <si>
    <t>Naves en T/to Internacional &gt;= 120 mts eslora</t>
  </si>
  <si>
    <t>Mts-eslora /día</t>
  </si>
  <si>
    <t>Naves en T/to Internacional &lt;= 120 mts eslora</t>
  </si>
  <si>
    <t>Naves en T/to Cabotaje</t>
  </si>
  <si>
    <t>Contenedor Lleno 20'</t>
  </si>
  <si>
    <t>Contenedor Vació 20'</t>
  </si>
  <si>
    <t>Contenedor Lleno 40'</t>
  </si>
  <si>
    <r>
      <t>Ton o M</t>
    </r>
    <r>
      <rPr>
        <vertAlign val="superscript"/>
        <sz val="10"/>
        <rFont val="Arial"/>
        <family val="2"/>
      </rPr>
      <t>3</t>
    </r>
  </si>
  <si>
    <t>Carga Granel Seco</t>
  </si>
  <si>
    <r>
      <t>Ton o M</t>
    </r>
    <r>
      <rPr>
        <vertAlign val="superscript"/>
        <sz val="10"/>
        <rFont val="Arial"/>
        <family val="2"/>
      </rPr>
      <t xml:space="preserve">3 </t>
    </r>
  </si>
  <si>
    <t>Vehículos autopropulsados &lt; = 20 M3 /U</t>
  </si>
  <si>
    <t>Vehículos autopropulsados &gt; = 20 &lt;=40 M3 /U</t>
  </si>
  <si>
    <t>Vehículos autopropulsados &gt; = 40 &lt;=100 M3 /U</t>
  </si>
  <si>
    <t>Maquinas autopropulsadas sin orugas &gt; = 40 &lt;=100 M3 /U</t>
  </si>
  <si>
    <t xml:space="preserve">Maquinas autopropulsadas con orugas </t>
  </si>
  <si>
    <t>Tres (3) días libres después del día 15 recargo del 35%</t>
  </si>
  <si>
    <t>Granel solido 1ra Decada</t>
  </si>
  <si>
    <t>Valor CIF USD 0.80%</t>
  </si>
  <si>
    <t>Granel solido 2da Decada</t>
  </si>
  <si>
    <t>Valor CIF USD 0.90%</t>
  </si>
  <si>
    <t>Granel solido 3ra Decada</t>
  </si>
  <si>
    <t>Valor CIF USD 1.00%</t>
  </si>
  <si>
    <t>Granel solido &gt; 1 mes</t>
  </si>
  <si>
    <t>Valor CIF USD 1,50%</t>
  </si>
  <si>
    <t>Maquinas autopropulsadas con orugas</t>
  </si>
  <si>
    <t xml:space="preserve">USO INSTALACION PORTUARIA AL OPERADOR PORTUARIO   </t>
  </si>
  <si>
    <t>Carga general suelta</t>
  </si>
  <si>
    <t>Servicio de aseo, retiro sentinas, basuras</t>
  </si>
  <si>
    <t>Servicio de aprovisionamiento de barcos</t>
  </si>
  <si>
    <t>Tn</t>
  </si>
  <si>
    <t>Reparacion de motonaves</t>
  </si>
  <si>
    <t xml:space="preserve">Descuentos por Volumenes en Uso de Instalaciones </t>
  </si>
  <si>
    <t>Incentivo al dueño de la carga</t>
  </si>
  <si>
    <t>Tonelada / Año</t>
  </si>
  <si>
    <t>&gt; 250.001</t>
  </si>
  <si>
    <t>TARIFA USO DE INSTALACIONES A LA CARGA</t>
  </si>
  <si>
    <t>CARGA A GRANEL SECO</t>
  </si>
  <si>
    <t xml:space="preserve">GRANELES LIQUIDOS </t>
  </si>
  <si>
    <t>TARIFA USO DE INSTALACIONES AL OPERADOR PORTUARIO</t>
  </si>
  <si>
    <t>ALMACENAMIENTO 5 DIAS LIBRES</t>
  </si>
  <si>
    <t xml:space="preserve">CARGA A GRANEL </t>
  </si>
  <si>
    <t>COP $400</t>
  </si>
  <si>
    <t>COP $15.000</t>
  </si>
  <si>
    <t>COP $70.000</t>
  </si>
  <si>
    <t>COP $65.000</t>
  </si>
  <si>
    <t>COP $40.000</t>
  </si>
  <si>
    <t>TARIFA  MUELLAJE</t>
  </si>
  <si>
    <t>MTS/ESLORA/HORA</t>
  </si>
  <si>
    <t xml:space="preserve"> MUELLAJE  </t>
  </si>
  <si>
    <t>TONELADA DIA</t>
  </si>
  <si>
    <t>UNIDAD DIA</t>
  </si>
  <si>
    <t xml:space="preserve">SUMINISTRO DE ENERGIA ELECTRICA </t>
  </si>
  <si>
    <t>KW/HORA</t>
  </si>
  <si>
    <t xml:space="preserve">SUMINISTRO DE AGUA POTABLE  </t>
  </si>
  <si>
    <t>METRO/CUBICO</t>
  </si>
  <si>
    <t xml:space="preserve">SERVICIO DE CONTENEDORES REFRIGERADOS </t>
  </si>
  <si>
    <t>UNIDAD/DIA</t>
  </si>
  <si>
    <t xml:space="preserve">RECOLECCION DE BASURAS </t>
  </si>
  <si>
    <t xml:space="preserve">SERVICIO DE BASCULA  </t>
  </si>
  <si>
    <t xml:space="preserve">UNIDAD </t>
  </si>
  <si>
    <t>Granel Solido</t>
  </si>
  <si>
    <t>Granel Liquido</t>
  </si>
  <si>
    <t>Carga Cabotaje</t>
  </si>
  <si>
    <t>USO DE INSTALACIONES  AL OPERADOR PORTUARIO TERRESTRE</t>
  </si>
  <si>
    <t>USO DE INSTALACIONES - OPERADORES VARIOS</t>
  </si>
  <si>
    <t>Alquiler de Gruas</t>
  </si>
  <si>
    <t>Por Maniobra</t>
  </si>
  <si>
    <t>USO DE INSTALACIONES GRANEL VEGETAL</t>
  </si>
  <si>
    <t>USO DE INSTALACIONES GRANEL MINERAL</t>
  </si>
  <si>
    <t>USO INSTALACIONES A LA CARGA</t>
  </si>
  <si>
    <t>USO INSTALACIONES AL OPERADOR PORTUARIO</t>
  </si>
  <si>
    <t>Metro - eslora- dia</t>
  </si>
  <si>
    <t>NAVES TRAFICO INTERNACIONAL</t>
  </si>
  <si>
    <t>DESCUENTOSTOS POR VOLUMEN UIC</t>
  </si>
  <si>
    <t>REMOLCADOR</t>
  </si>
  <si>
    <t>&gt;  80.000 Ton/año</t>
  </si>
  <si>
    <t>Clientes que acrediten movimiento de mas de 100.000 Ton/Año</t>
  </si>
  <si>
    <t xml:space="preserve">OFICIO No.  20126100100891 de 30/05/2012 </t>
  </si>
  <si>
    <t xml:space="preserve">OFICIO No.  20126100100801  30/05/2012 </t>
  </si>
  <si>
    <t>CONTENEDORES LLENOS DE 40' TRANSITO INTERNACIONAL</t>
  </si>
  <si>
    <t>CONTENEDORES LLENOS DE 20' TRANSITO INTERNACIONAL</t>
  </si>
  <si>
    <t xml:space="preserve">CONTENEDORES LLENOS DE 40' </t>
  </si>
  <si>
    <t xml:space="preserve">CONTENEDORES LLENOS DE 20' </t>
  </si>
  <si>
    <t>COP $</t>
  </si>
  <si>
    <t xml:space="preserve">TARIFA </t>
  </si>
  <si>
    <t>OFICIO No. 20126100147871</t>
  </si>
  <si>
    <t>Julio 25 de 2012</t>
  </si>
  <si>
    <t xml:space="preserve">SOCIEDAD PORTUARIA REGIONAL DE BUENAVENTURA S.A. </t>
  </si>
  <si>
    <t>TARIFAS PORTUARIAS</t>
  </si>
  <si>
    <t>1.- MUELLAJE</t>
  </si>
  <si>
    <t>HORA O FRACCION, COBRO MINIMO DE SEIS (6) HORAS</t>
  </si>
  <si>
    <t>1.1.- NAVES DE TRAFICO INTERNACIONAL</t>
  </si>
  <si>
    <t>NAVES DE LINEA REGULAR O SERVICIOS CONJUNTOS</t>
  </si>
  <si>
    <t>RECALADAS / AÑO</t>
  </si>
  <si>
    <t>USD/METRO ESLORA/HORA</t>
  </si>
  <si>
    <t>1.2.- NAVES DE CABOTAJE Y NAVES FLETADAS</t>
  </si>
  <si>
    <t>Metro eslora / hora</t>
  </si>
  <si>
    <t>0.60</t>
  </si>
  <si>
    <t>1.2.1 NAVES FLETADAS CON GRANEL SOLIDO CEREALES</t>
  </si>
  <si>
    <t>RENDIMIENTO 
TONELADA/BUQUE/DIA</t>
  </si>
  <si>
    <t>HASTA 5,000</t>
  </si>
  <si>
    <t>DE 5,001 A 5,700</t>
  </si>
  <si>
    <t>0.58</t>
  </si>
  <si>
    <t>DE 5,701 A 6,300</t>
  </si>
  <si>
    <t>DE 6,301 A 7,000</t>
  </si>
  <si>
    <t>0.53</t>
  </si>
  <si>
    <t>1.2.2 NAVES FLETADAS CON GRANEL SOLIDO FERTILIZANTES</t>
  </si>
  <si>
    <t>DE 3,501 A 4,000</t>
  </si>
  <si>
    <t>DE 4,001 A 4,500</t>
  </si>
  <si>
    <t>MAS DE 5,000</t>
  </si>
  <si>
    <t>1.2.3 NAVES FLETADAS CON GRANEL SOLIDO MINERALES</t>
  </si>
  <si>
    <t>DE 5,001 A 5,500</t>
  </si>
  <si>
    <t>DE 5,501 A 6,000</t>
  </si>
  <si>
    <t>MAS DE 6,000</t>
  </si>
  <si>
    <t>1.2.4 NAVES FLETADAS CON GRANEL SOLIDO CARBON</t>
  </si>
  <si>
    <t>HASTA 8,000</t>
  </si>
  <si>
    <t>DE 8,001 A 9,000</t>
  </si>
  <si>
    <t>DE 9,001 A 10,000</t>
  </si>
  <si>
    <t>DE 10,001 A 11,000</t>
  </si>
  <si>
    <t>MAS DE 11,000</t>
  </si>
  <si>
    <t>1.3.- REMOLCADORES</t>
  </si>
  <si>
    <t>Remolcadores por unidad / mes</t>
  </si>
  <si>
    <t>700.00</t>
  </si>
  <si>
    <t>2.- USO DE INSTALACIONES PORTUARIAS A LA CARGA</t>
  </si>
  <si>
    <t>COBRO POR UNA SOLA VEZ EN DOLARES AMERICANOS</t>
  </si>
  <si>
    <t xml:space="preserve">2.1.- CARGA GENERAL </t>
  </si>
  <si>
    <t>IMPORTACION / EXPORTACION / REESTIBA</t>
  </si>
  <si>
    <t>TONELAJE /AÑO</t>
  </si>
  <si>
    <t>1 A 10,000</t>
  </si>
  <si>
    <t>5.00</t>
  </si>
  <si>
    <t>10,000 A 15,000</t>
  </si>
  <si>
    <t>4.90</t>
  </si>
  <si>
    <t>15,000 A 25,000</t>
  </si>
  <si>
    <t>4.70</t>
  </si>
  <si>
    <t xml:space="preserve">  25,000 A 50,000</t>
  </si>
  <si>
    <t>4.60</t>
  </si>
  <si>
    <t xml:space="preserve">  50,000 A 100,000</t>
  </si>
  <si>
    <t xml:space="preserve">   MAS DE 100,000</t>
  </si>
  <si>
    <t>2.95</t>
  </si>
  <si>
    <t>2.2.- CARGA GENERAL DE TRANSBORDO</t>
  </si>
  <si>
    <t>2.3.- GRANELES SOLIDOS/LIQUIDOS POR TONELADA</t>
  </si>
  <si>
    <t>IMPORTACION/EXPORTACION</t>
  </si>
  <si>
    <t>4.50</t>
  </si>
  <si>
    <t>4.42</t>
  </si>
  <si>
    <t>4.30</t>
  </si>
  <si>
    <t>4.20</t>
  </si>
  <si>
    <t>100,000 A 150,000</t>
  </si>
  <si>
    <t>3.30</t>
  </si>
  <si>
    <t xml:space="preserve">   MAS DE 150,000</t>
  </si>
  <si>
    <t>3.00</t>
  </si>
  <si>
    <t>2.3.1 GRANEL SOLIDO CEREALES</t>
  </si>
  <si>
    <t>2.3.2 GRANEL SOLIDO FERTILIZANTES</t>
  </si>
  <si>
    <t>2.3.3 GRANEL SOLIDO MINERALES</t>
  </si>
  <si>
    <t>2.3.4 GRANEL SOLIDO CARBON</t>
  </si>
  <si>
    <t xml:space="preserve">2.4.- CONTENEDORES DE 20' Y 40' LLENOS </t>
  </si>
  <si>
    <t>IMPORTACION/EXPORTACION/REESTIBA/CABOTAJE</t>
  </si>
  <si>
    <t>CONTENEDORES 20'</t>
  </si>
  <si>
    <t>CONTENEDORES 40'</t>
  </si>
  <si>
    <t>1 A 625</t>
  </si>
  <si>
    <t>94.00</t>
  </si>
  <si>
    <t>115.00</t>
  </si>
  <si>
    <t>86.00</t>
  </si>
  <si>
    <t>110.00</t>
  </si>
  <si>
    <t>85.00</t>
  </si>
  <si>
    <t>107.00</t>
  </si>
  <si>
    <t>83.00</t>
  </si>
  <si>
    <t>105.00</t>
  </si>
  <si>
    <t>79.00</t>
  </si>
  <si>
    <t>102.00</t>
  </si>
  <si>
    <t>6,251 A 9,375</t>
  </si>
  <si>
    <t>75.00</t>
  </si>
  <si>
    <t>97.00</t>
  </si>
  <si>
    <t>MAS DE 9,375</t>
  </si>
  <si>
    <t>70.00</t>
  </si>
  <si>
    <t>90.00</t>
  </si>
  <si>
    <r>
      <t>NOTA</t>
    </r>
    <r>
      <rPr>
        <sz val="9"/>
        <color indexed="8"/>
        <rFont val="Arial"/>
        <family val="2"/>
      </rPr>
      <t xml:space="preserve"> : La reestiba se considera cuando la carga pasa buque/muelle/buque y se cobra por una sola vez</t>
    </r>
  </si>
  <si>
    <r>
      <t xml:space="preserve">Para la reestiba se cobra la tarifa </t>
    </r>
    <r>
      <rPr>
        <b/>
        <sz val="9"/>
        <color indexed="8"/>
        <rFont val="Arial"/>
        <family val="2"/>
      </rPr>
      <t>MINIMA</t>
    </r>
    <r>
      <rPr>
        <sz val="9"/>
        <color indexed="8"/>
        <rFont val="Arial"/>
        <family val="2"/>
      </rPr>
      <t xml:space="preserve"> dentro de cada escala</t>
    </r>
  </si>
  <si>
    <t>2.4.1 CONTENEDORES NO ESTANDAR</t>
  </si>
  <si>
    <t>Flat Rack</t>
  </si>
  <si>
    <t>101.00</t>
  </si>
  <si>
    <t>142.00</t>
  </si>
  <si>
    <t>Open Top</t>
  </si>
  <si>
    <t>89.00</t>
  </si>
  <si>
    <t>Isotanques</t>
  </si>
  <si>
    <t>120.00</t>
  </si>
  <si>
    <t>Extradimensionados 45'</t>
  </si>
  <si>
    <t>158.00</t>
  </si>
  <si>
    <t>2.5.- CONTENEDORES VACIOS DE 20' Y 40'</t>
  </si>
  <si>
    <t>CARGADOS/DESCARGADOS/REESTIBA/CABOTAJE</t>
  </si>
  <si>
    <t>Contenedor Vacío de 20'</t>
  </si>
  <si>
    <t>18.00</t>
  </si>
  <si>
    <t>Contenedor Vacío de 40'</t>
  </si>
  <si>
    <t>22.00</t>
  </si>
  <si>
    <t xml:space="preserve">2.6.- CONTENEDORES DE 20' Y 40' LLENOS Y VACIOS </t>
  </si>
  <si>
    <t>TRANSITO INTERNACIONAL Y TRANSBORDO</t>
  </si>
  <si>
    <t>1 A 4,500</t>
  </si>
  <si>
    <t>38.00</t>
  </si>
  <si>
    <t>11.00</t>
  </si>
  <si>
    <t>DE 4,501 A 7,000</t>
  </si>
  <si>
    <t>32.50</t>
  </si>
  <si>
    <t>10.00</t>
  </si>
  <si>
    <t>30.00</t>
  </si>
  <si>
    <t>9.00</t>
  </si>
  <si>
    <t>2.7.- LLENADO/VACIADO DE CONTENEDORES</t>
  </si>
  <si>
    <t>IMPORTACION / EXPORTACION</t>
  </si>
  <si>
    <t>15.00</t>
  </si>
  <si>
    <t>IMPORTACION / EXPORTACION / REESTIBA/TRANSBORDO/CABOTAJE</t>
  </si>
  <si>
    <r>
      <t>M</t>
    </r>
    <r>
      <rPr>
        <b/>
        <vertAlign val="superscript"/>
        <sz val="9"/>
        <color indexed="8"/>
        <rFont val="Arial"/>
        <family val="2"/>
      </rPr>
      <t>3</t>
    </r>
    <r>
      <rPr>
        <b/>
        <sz val="9"/>
        <color indexed="8"/>
        <rFont val="Arial"/>
        <family val="2"/>
      </rPr>
      <t>/VEHICULO</t>
    </r>
  </si>
  <si>
    <r>
      <t>Vehículo de 1 a 10 m</t>
    </r>
    <r>
      <rPr>
        <vertAlign val="superscript"/>
        <sz val="9"/>
        <color indexed="8"/>
        <rFont val="Arial"/>
        <family val="2"/>
      </rPr>
      <t>3</t>
    </r>
  </si>
  <si>
    <t>35.00</t>
  </si>
  <si>
    <r>
      <t>Vehículo 10.1 a 19.9 m</t>
    </r>
    <r>
      <rPr>
        <vertAlign val="superscript"/>
        <sz val="9"/>
        <color indexed="8"/>
        <rFont val="Arial"/>
        <family val="2"/>
      </rPr>
      <t>3</t>
    </r>
  </si>
  <si>
    <t>45.00</t>
  </si>
  <si>
    <r>
      <t>Vehículo entre 20 y 40 m</t>
    </r>
    <r>
      <rPr>
        <vertAlign val="superscript"/>
        <sz val="9"/>
        <color indexed="8"/>
        <rFont val="Arial"/>
        <family val="2"/>
      </rPr>
      <t>3</t>
    </r>
  </si>
  <si>
    <r>
      <t>MAS DE 40 m</t>
    </r>
    <r>
      <rPr>
        <vertAlign val="superscript"/>
        <sz val="9"/>
        <color indexed="8"/>
        <rFont val="Arial"/>
        <family val="2"/>
      </rPr>
      <t>3</t>
    </r>
  </si>
  <si>
    <t>152.00</t>
  </si>
  <si>
    <t xml:space="preserve">2.9.- CABOTAJE </t>
  </si>
  <si>
    <t>CARGA GENERAL, GRANEL SOLIDO Y LIQUIDO</t>
  </si>
  <si>
    <t>Carga General y Granel</t>
  </si>
  <si>
    <r>
      <t>NOTA:</t>
    </r>
    <r>
      <rPr>
        <sz val="9"/>
        <color indexed="8"/>
        <rFont val="Arial"/>
        <family val="2"/>
      </rPr>
      <t xml:space="preserve"> TEU's transbordados se cuentan para cargue/descargue como un solo movimiento</t>
    </r>
  </si>
  <si>
    <t>2.10.- AZUCAR EN SACOS</t>
  </si>
  <si>
    <t>2.05</t>
  </si>
  <si>
    <t>1.70</t>
  </si>
  <si>
    <t>MAS DE 300,000</t>
  </si>
  <si>
    <t>1.50</t>
  </si>
  <si>
    <t>2.11.- AZUCAR A GRANEL</t>
  </si>
  <si>
    <t>2.60</t>
  </si>
  <si>
    <t>2.40</t>
  </si>
  <si>
    <t>2.15</t>
  </si>
  <si>
    <t>MAS DE 400,000</t>
  </si>
  <si>
    <t>2.00</t>
  </si>
  <si>
    <t>2.12.- MELAZA</t>
  </si>
  <si>
    <t>1.30</t>
  </si>
  <si>
    <t>1.15</t>
  </si>
  <si>
    <t>1.05</t>
  </si>
  <si>
    <t>0.95</t>
  </si>
  <si>
    <t>MAS DE 100,000</t>
  </si>
  <si>
    <t>0.80</t>
  </si>
  <si>
    <t>3.- USO DE INSTALACIONES PORTUARIAS</t>
  </si>
  <si>
    <t>AL OPERADOR PORTUARIO MARITIMO</t>
  </si>
  <si>
    <t xml:space="preserve">3.1.- CARGA GENERAL </t>
  </si>
  <si>
    <t>IMPORTACION/EXPORTACION/REESTIBA/TRANSITO Y TRANSBORDO/CABOTAJE</t>
  </si>
  <si>
    <t>Carga General por Tonelada</t>
  </si>
  <si>
    <t>3.2.- GRANEL IMPORTACION / EXPORTACION</t>
  </si>
  <si>
    <t xml:space="preserve">3.2.1.- CEREAL A GRANEL </t>
  </si>
  <si>
    <t>0.85</t>
  </si>
  <si>
    <t xml:space="preserve">3.2.2.- FERTILIZANTE A GRANEL </t>
  </si>
  <si>
    <t xml:space="preserve">3.2.3.- MINERAL A GRANEL </t>
  </si>
  <si>
    <t xml:space="preserve">3.2.4.- AZUCAR A GRANEL </t>
  </si>
  <si>
    <t>3,001 A 3,500</t>
  </si>
  <si>
    <t>3,501 A 4,000</t>
  </si>
  <si>
    <t>MAS DE 4,000</t>
  </si>
  <si>
    <t xml:space="preserve">3.2.5.- CARBON A GRANEL </t>
  </si>
  <si>
    <t>3.3.- GRANEL LIQUIDO IMPORTACION, EXPORTACION Y CABOTAJE</t>
  </si>
  <si>
    <t>3.4.- OTROS GRANELES SOLIDOS  IMPORT., EXPORT. Y CABOTAJE</t>
  </si>
  <si>
    <t>3.5.- CONTENEDORES DE 20' Y 40'  LLENOS</t>
  </si>
  <si>
    <t>POR UNIDAD IMPORTACION / EXPORTACION / REESTIBA</t>
  </si>
  <si>
    <t>18.50</t>
  </si>
  <si>
    <t>24.00</t>
  </si>
  <si>
    <t>3.6.- CONTENEDORES DE 20' Y 40' VACIOS</t>
  </si>
  <si>
    <t xml:space="preserve">POR UNIDAD IMPORTACION / EXPORTACION / REESTIBA TRANSITO Y TRANSBORDO </t>
  </si>
  <si>
    <t>3.7.- CONTENEDORES DE 20' Y 40'</t>
  </si>
  <si>
    <t>5.50</t>
  </si>
  <si>
    <r>
      <t xml:space="preserve">NOTA: </t>
    </r>
    <r>
      <rPr>
        <sz val="9"/>
        <color indexed="8"/>
        <rFont val="Arial"/>
        <family val="2"/>
      </rPr>
      <t>La reestiba, el tránsito internacional y el transbordo se cobra al descargue y al cargue (por operación)</t>
    </r>
  </si>
  <si>
    <t>4.- USO DE INSTALACIONES PORTUARIAS AL OPERADOR PORTUARIO TERRESTRE</t>
  </si>
  <si>
    <t>4.1.- CONTENEDORES DE 20´Y DE 40´ IMP/EXP LLENOS Y VACÍOS</t>
  </si>
  <si>
    <t>Contenedores Llenos de 20´ y 40´</t>
  </si>
  <si>
    <t>Contenedores Vacíos de 20´ y 40´</t>
  </si>
  <si>
    <t>4.2.- CARGA GENERAL DE IMP/EXP</t>
  </si>
  <si>
    <t>0.20</t>
  </si>
  <si>
    <t>5.- USO DE INSTALACIONES PORTUARIAS AL OPERADOR PORTUARIO DE REMOLCADORES</t>
  </si>
  <si>
    <t>POR MANIOBRA DE ATRAQUE O DESATRAQUE</t>
  </si>
  <si>
    <t>Cobro por Maniobra</t>
  </si>
  <si>
    <t>6.- USO DE INSTALACIONES PORTUARIAS A LOS PILOTOS PRACTICOS</t>
  </si>
  <si>
    <t>12.00</t>
  </si>
  <si>
    <t>7.- ALMACENAJE</t>
  </si>
  <si>
    <t>7.1.- CARGA GENERAL</t>
  </si>
  <si>
    <t>1.40</t>
  </si>
  <si>
    <t>1.10</t>
  </si>
  <si>
    <t>1.63</t>
  </si>
  <si>
    <t>A partir del día 11</t>
  </si>
  <si>
    <t>4.05</t>
  </si>
  <si>
    <t>3.15</t>
  </si>
  <si>
    <t>7.2.- CONTENEDORES IMPORTACION/EXPORTACION</t>
  </si>
  <si>
    <t>20'</t>
  </si>
  <si>
    <t>40'</t>
  </si>
  <si>
    <t>18.15</t>
  </si>
  <si>
    <t>20.35</t>
  </si>
  <si>
    <t>8.80</t>
  </si>
  <si>
    <t>13.20</t>
  </si>
  <si>
    <t>21.45</t>
  </si>
  <si>
    <t>24.05</t>
  </si>
  <si>
    <t>10.40</t>
  </si>
  <si>
    <t>15.60</t>
  </si>
  <si>
    <t>50.40</t>
  </si>
  <si>
    <t>21.60</t>
  </si>
  <si>
    <t>30.60</t>
  </si>
  <si>
    <t xml:space="preserve">7.3.- CONTENEDORES TRANSBORDO Y/O TRANSITO </t>
  </si>
  <si>
    <t>Del día 1 al día 7</t>
  </si>
  <si>
    <t>Del día 8 al día 15</t>
  </si>
  <si>
    <t>A partir del día 16</t>
  </si>
  <si>
    <r>
      <t>1 - 10 m</t>
    </r>
    <r>
      <rPr>
        <b/>
        <vertAlign val="superscript"/>
        <sz val="9"/>
        <color indexed="8"/>
        <rFont val="Arial"/>
        <family val="2"/>
      </rPr>
      <t>3</t>
    </r>
  </si>
  <si>
    <r>
      <t>10.1 - 19.9 m</t>
    </r>
    <r>
      <rPr>
        <b/>
        <vertAlign val="superscript"/>
        <sz val="9"/>
        <color indexed="8"/>
        <rFont val="Arial"/>
        <family val="2"/>
      </rPr>
      <t>3</t>
    </r>
  </si>
  <si>
    <r>
      <t>20 - 40 m</t>
    </r>
    <r>
      <rPr>
        <b/>
        <vertAlign val="superscript"/>
        <sz val="9"/>
        <color indexed="8"/>
        <rFont val="Arial"/>
        <family val="2"/>
      </rPr>
      <t>3</t>
    </r>
  </si>
  <si>
    <r>
      <t>Mas de 40 m</t>
    </r>
    <r>
      <rPr>
        <b/>
        <vertAlign val="superscript"/>
        <sz val="9"/>
        <color indexed="8"/>
        <rFont val="Arial"/>
        <family val="2"/>
      </rPr>
      <t>3</t>
    </r>
  </si>
  <si>
    <t>3.25</t>
  </si>
  <si>
    <t>7.80</t>
  </si>
  <si>
    <t>5.25</t>
  </si>
  <si>
    <t>12.70</t>
  </si>
  <si>
    <t>19.60</t>
  </si>
  <si>
    <t>33.40</t>
  </si>
  <si>
    <t>8.- SERVICIOS VARIOS</t>
  </si>
  <si>
    <t>8.1.- CONEXIÓN Y DESCONEXIÓN, SUMINISTRO DE ENERGÍA Y MONITOREO</t>
  </si>
  <si>
    <t>DE CORRIENTE Y VOLTAJE A CONTENEDORES REFRIGERADOS</t>
  </si>
  <si>
    <t>Servicio por hora o fracción para contenedores de 20´ y de 40´</t>
  </si>
  <si>
    <t>1.60</t>
  </si>
  <si>
    <t>8.2- GRUAS PORTICO Y MULTIPROPOSITO</t>
  </si>
  <si>
    <t xml:space="preserve">COBRO POR HORA (VALOR EN DOLARES AMERICANOS) </t>
  </si>
  <si>
    <t>8.2.1.- GRUA GOTTWALD</t>
  </si>
  <si>
    <t>Cobro por Hora</t>
  </si>
  <si>
    <t>450.00</t>
  </si>
  <si>
    <t>8.2.2.- GRUA PORTICO</t>
  </si>
  <si>
    <t>RENDIMIENTO
 CONTENEDORES/HORA</t>
  </si>
  <si>
    <t>18 O MENOS</t>
  </si>
  <si>
    <t>600.00</t>
  </si>
  <si>
    <t>MAS DE 18 A 22</t>
  </si>
  <si>
    <t>550.00</t>
  </si>
  <si>
    <t>MAS DE 22 A 26</t>
  </si>
  <si>
    <t>500.00</t>
  </si>
  <si>
    <t>MAS DE 26</t>
  </si>
  <si>
    <t>SE APLICAN A SERVICIOS DE USO DE INSTALACIONES PORTUARIAS A LA CARGA Y ALMACENAJE</t>
  </si>
  <si>
    <t>Para cargamentos Peligrosos</t>
  </si>
  <si>
    <t>Recargo a la tarifa</t>
  </si>
  <si>
    <t>Para cargamentos explosivos</t>
  </si>
  <si>
    <t>DESCUENTOS HASTA 40% EN FUNCION DEL VOLUMEN DE CARGA MOVILIZADA DURANTE EL AÑO</t>
  </si>
  <si>
    <r>
      <t>7.4.- VEHICULOS ( M</t>
    </r>
    <r>
      <rPr>
        <b/>
        <vertAlign val="superscript"/>
        <sz val="9"/>
        <color indexed="9"/>
        <rFont val="Arial"/>
        <family val="2"/>
      </rPr>
      <t>3</t>
    </r>
    <r>
      <rPr>
        <b/>
        <sz val="9"/>
        <color indexed="9"/>
        <rFont val="Arial"/>
        <family val="2"/>
      </rPr>
      <t xml:space="preserve"> / DIA )</t>
    </r>
  </si>
  <si>
    <t>Oficio No. 20116100281141 del 23/12/2011</t>
  </si>
  <si>
    <t>Tarifa USD</t>
  </si>
  <si>
    <t xml:space="preserve">Marítimo Internacional </t>
  </si>
  <si>
    <t>De 00:00 a 24:00 h</t>
  </si>
  <si>
    <t>Metros de eslora x hora o fracción</t>
  </si>
  <si>
    <t>De 24:01 a 48:00 h</t>
  </si>
  <si>
    <t>De 48:01 a 120:00 h</t>
  </si>
  <si>
    <t>Mayor a 120:01 h</t>
  </si>
  <si>
    <t>Incentivo:</t>
  </si>
  <si>
    <t>Empresas Navieras con más de 50 recaladas año</t>
  </si>
  <si>
    <t>Hasta 10% de descuento</t>
  </si>
  <si>
    <t>Empresas Navieras con más de 100 recaladas año</t>
  </si>
  <si>
    <t>Hasta 15% de descuento</t>
  </si>
  <si>
    <t xml:space="preserve">Lanchas y Yates </t>
  </si>
  <si>
    <t xml:space="preserve">Unidad/día </t>
  </si>
  <si>
    <t>Botes, Gabarras, planchones o similares hasta 50 metros de eslora</t>
  </si>
  <si>
    <t>Botes, Gabarras, planchones o similares más de 50 metros de eslora</t>
  </si>
  <si>
    <t xml:space="preserve">Cabotaje </t>
  </si>
  <si>
    <t>Metros de eslora / día</t>
  </si>
  <si>
    <t>Vehículos y similares menores o iguales a 20 M3</t>
  </si>
  <si>
    <t>Vehículos y similares mayores a 20 M3 y menores a 40 M3</t>
  </si>
  <si>
    <t>Vehículos y similares mayores o iguales a 40 M3</t>
  </si>
  <si>
    <t>Contenedores:</t>
  </si>
  <si>
    <t>Contenedor lleno 20' Normal</t>
  </si>
  <si>
    <t>Contenedor lleno 40' Normal</t>
  </si>
  <si>
    <t>Contenedor Flat Racks 20' lleno Normal</t>
  </si>
  <si>
    <t>Contenedor Flat Racks 40' lleno Normal</t>
  </si>
  <si>
    <t>Contenedor Open Tops 20' lleno Normal</t>
  </si>
  <si>
    <t>Contenedor Open Tops 40' lleno Normal</t>
  </si>
  <si>
    <t>Isotanques 20' lleno Normal</t>
  </si>
  <si>
    <t>Contenedor Extradimensionado lleno Normal (mayor a 40')</t>
  </si>
  <si>
    <t xml:space="preserve">Contenedor vacío 20' </t>
  </si>
  <si>
    <t xml:space="preserve">Contenedor vacío 40' </t>
  </si>
  <si>
    <t>Reestiba:</t>
  </si>
  <si>
    <t>Contenedor lleno de 20' y 40' Normal</t>
  </si>
  <si>
    <t xml:space="preserve">Contenedor vacío de 20' y 40' </t>
  </si>
  <si>
    <t>Tránsito Internacional:</t>
  </si>
  <si>
    <t>Contenedor lleno 20' y 40' Normal</t>
  </si>
  <si>
    <t>Transbordo cont. entre puertos Colombianos:</t>
  </si>
  <si>
    <t xml:space="preserve">Contenedor lleno 20' </t>
  </si>
  <si>
    <t>Contenedor lleno 40'</t>
  </si>
  <si>
    <t>Descuentos hasta un 50% en función del volumen de carga movilizada durante un año</t>
  </si>
  <si>
    <t>Servicio marítimo</t>
  </si>
  <si>
    <t xml:space="preserve">  Carga general, granel o vehículos</t>
  </si>
  <si>
    <t xml:space="preserve">  Contenedores llenos  20' y 40' </t>
  </si>
  <si>
    <t xml:space="preserve">  Contenedores vacíos 20' y 40' </t>
  </si>
  <si>
    <t xml:space="preserve">  Sacos de correo</t>
  </si>
  <si>
    <t xml:space="preserve">  Contenedor lleno 20' y 40'</t>
  </si>
  <si>
    <t xml:space="preserve">  Contenedor vacío 20' y 40'</t>
  </si>
  <si>
    <t>Servicio terrestre:</t>
  </si>
  <si>
    <t xml:space="preserve">  Carga general, granel</t>
  </si>
  <si>
    <t xml:space="preserve">  Contenedores llenos o vacíos 20' y 40' </t>
  </si>
  <si>
    <t>Cabotaje:</t>
  </si>
  <si>
    <t xml:space="preserve">  Contenedores llenos 20' </t>
  </si>
  <si>
    <t xml:space="preserve">  Contenedores llenos 40' </t>
  </si>
  <si>
    <t>Fluvial:</t>
  </si>
  <si>
    <t xml:space="preserve">  Contenedores llenos 20' y 40' </t>
  </si>
  <si>
    <t>Remolcador marítimo</t>
  </si>
  <si>
    <t xml:space="preserve">Suministro de Combustible </t>
  </si>
  <si>
    <t>Servicios de aprovisionamiento de barcos</t>
  </si>
  <si>
    <t xml:space="preserve">operación </t>
  </si>
  <si>
    <t>Servicios de Reparacion de Motonave</t>
  </si>
  <si>
    <t>Servicio de aseo, retiro de sentinas y/o basuras</t>
  </si>
  <si>
    <t xml:space="preserve">   Normal áreas cubiertas </t>
  </si>
  <si>
    <t>tonelada x dia</t>
  </si>
  <si>
    <t xml:space="preserve">   Normal áreas descubiertas</t>
  </si>
  <si>
    <t>Carga Granel:</t>
  </si>
  <si>
    <t xml:space="preserve">                            Década</t>
  </si>
  <si>
    <t>Valor CIF 
Mayor Tonelaje</t>
  </si>
  <si>
    <t>1a.</t>
  </si>
  <si>
    <t>2a.</t>
  </si>
  <si>
    <t>3a.</t>
  </si>
  <si>
    <t>Más de 1 mes</t>
  </si>
  <si>
    <t>Granel - Carbón</t>
  </si>
  <si>
    <t>tonelada x mes</t>
  </si>
  <si>
    <t xml:space="preserve">Dia 4-5 </t>
  </si>
  <si>
    <t>Dia6-10</t>
  </si>
  <si>
    <t>Dia 11 en adelante</t>
  </si>
  <si>
    <t xml:space="preserve">  Contenedores llenos Extradim(mayores a  40')</t>
  </si>
  <si>
    <t xml:space="preserve">  Contenedores llenos Tipo Open Top  20' </t>
  </si>
  <si>
    <t xml:space="preserve">  Contenedores llenos Tipo Open Top  40' </t>
  </si>
  <si>
    <t xml:space="preserve">  Contenedores llenos Tipo Flat Racks 20' </t>
  </si>
  <si>
    <t xml:space="preserve">  Contenedores llenos Tipo Flat Racks 40' </t>
  </si>
  <si>
    <t xml:space="preserve">  Contenedores vacíos 20' </t>
  </si>
  <si>
    <t xml:space="preserve">  Contenedores vacíos 40' </t>
  </si>
  <si>
    <t>Servicio de conexión eléctrica contenedor 20 y 40</t>
  </si>
  <si>
    <t>Unidad x día</t>
  </si>
  <si>
    <t>Transito internacional :</t>
  </si>
  <si>
    <t>Incluyen 10 días libres</t>
  </si>
  <si>
    <t xml:space="preserve">  Vehículos &lt; 20m3 </t>
  </si>
  <si>
    <t>unidad x dia</t>
  </si>
  <si>
    <t xml:space="preserve">  Vehículos &gt; 20m3 &lt; 40m3 </t>
  </si>
  <si>
    <t xml:space="preserve">  Vehículos &gt; 40m3 </t>
  </si>
  <si>
    <t xml:space="preserve">* La carga peligrosa tendrá un recargo del 25% y la carga explosiva del 40% de la tarifa establecida.
* El periodo libre de almacenamiento será mínimo de 3 días.
</t>
  </si>
  <si>
    <t>Suministro de agua</t>
  </si>
  <si>
    <t>Oficio 20126100268801 de 14/12/2012</t>
  </si>
  <si>
    <t>Oficio 20126100268681 de 14/12/2012</t>
  </si>
  <si>
    <t>DESCUENTOS POR VOLUMENES EN USO DE INSTALACIONES</t>
  </si>
  <si>
    <t>Toneladas/Año</t>
  </si>
  <si>
    <t>Patio</t>
  </si>
  <si>
    <t>Bodegas</t>
  </si>
  <si>
    <t>Tonelada/dia</t>
  </si>
  <si>
    <t>&gt; 250.000</t>
  </si>
  <si>
    <t>Muellaje permanente (m eslora/día)</t>
  </si>
  <si>
    <t>Muellaje dinámico (m eslora/hora)</t>
  </si>
  <si>
    <t>UIC</t>
  </si>
  <si>
    <t>Uso de Instalaciones a la Carga UIC Carga Líquida al Granel</t>
  </si>
  <si>
    <t>Cargo por manejo de mercancía peligrosa</t>
  </si>
  <si>
    <t>UIO</t>
  </si>
  <si>
    <t>Uso de Instalaciones al Operador UIO Carga Líquida al Granel</t>
  </si>
  <si>
    <t>Suministro de servicios</t>
  </si>
  <si>
    <t>Agua Potable (m^3)</t>
  </si>
  <si>
    <t>Tratamiento de Basura (Ton)</t>
  </si>
  <si>
    <t>Muellaje Nacional e Internacional</t>
  </si>
  <si>
    <t>Metro eslora hora</t>
  </si>
  <si>
    <t>Fluvial bote, planchón, barcaza</t>
  </si>
  <si>
    <t>Unidad día</t>
  </si>
  <si>
    <t>USO INSTALACIONES PORTUARIAS</t>
  </si>
  <si>
    <t>A la carga</t>
  </si>
  <si>
    <t>Al Operador Portuario</t>
  </si>
  <si>
    <t>Hasta del 50% en función del volumen movilizado</t>
  </si>
  <si>
    <t>OILTANKING COLOMBIA S.A</t>
  </si>
  <si>
    <t>Sociedad Portuaria Aquamar S.A</t>
  </si>
  <si>
    <t>Mt/eslora/hora</t>
  </si>
  <si>
    <t>Pasajeros</t>
  </si>
  <si>
    <t>OFICIO No. 20136100012201 del 23/01/2013</t>
  </si>
  <si>
    <t>SOCIEDAD PORTUARIA CENTRAL DE CARTAGENA</t>
  </si>
  <si>
    <t>Oficio 20136100047691 de 06/03/2013</t>
  </si>
  <si>
    <t>Oficio  20136100047681 del 06/03/2013</t>
  </si>
  <si>
    <t>Oficio 20136100047671 del 06/03/2013</t>
  </si>
  <si>
    <r>
      <t>2.8.- VEHICULOS POR UNIDAD (M</t>
    </r>
    <r>
      <rPr>
        <b/>
        <vertAlign val="superscript"/>
        <sz val="9"/>
        <color indexed="9"/>
        <rFont val="Arial"/>
        <family val="2"/>
      </rPr>
      <t>3</t>
    </r>
    <r>
      <rPr>
        <b/>
        <sz val="9"/>
        <color indexed="9"/>
        <rFont val="Arial"/>
        <family val="2"/>
      </rPr>
      <t>)</t>
    </r>
  </si>
  <si>
    <t>SOCIEDAD PORTUARIA REGIONAL DE BUENAVENTURA S.A</t>
  </si>
  <si>
    <t>SOCIEDAD PORTUARIA SIDUPORT S.A</t>
  </si>
  <si>
    <t>SOCIEDAD PORTUARIA DEL DIQUE S.A</t>
  </si>
  <si>
    <t>SOCIEDAD PORTUARIA BUENAVISTA S.A</t>
  </si>
  <si>
    <t>SOCIEDAD  PORTUARIA GOLFO DE MORROSQUILLO S.A</t>
  </si>
  <si>
    <t>SOCIEDAD PORTUARIA RIO GRANDE S.A</t>
  </si>
  <si>
    <t>Energía Consumo Promedio (Kw-Hora)</t>
  </si>
  <si>
    <t>Sociedad Portuaria de Puerto Nuevo S.A.</t>
  </si>
  <si>
    <t>Descripción</t>
  </si>
  <si>
    <t>Tarifa (USD)</t>
  </si>
  <si>
    <t>1.</t>
  </si>
  <si>
    <t>1.1</t>
  </si>
  <si>
    <t>Naves en tránsito (no regulares)</t>
  </si>
  <si>
    <t>por metro eslora-hora</t>
  </si>
  <si>
    <t>1.2</t>
  </si>
  <si>
    <t>Naves permanentes</t>
  </si>
  <si>
    <t>1.2.1</t>
  </si>
  <si>
    <t>por unidad por mes o fracción</t>
  </si>
  <si>
    <t>1.2.2</t>
  </si>
  <si>
    <t>2.</t>
  </si>
  <si>
    <t>Uso de instalaciones</t>
  </si>
  <si>
    <t>2.1</t>
  </si>
  <si>
    <t>a la carga</t>
  </si>
  <si>
    <t>por tonelada cargada</t>
  </si>
  <si>
    <t>2.2</t>
  </si>
  <si>
    <t>al operador marítimo</t>
  </si>
  <si>
    <t>2.3</t>
  </si>
  <si>
    <t>al operador terrestre</t>
  </si>
  <si>
    <t>2.4</t>
  </si>
  <si>
    <t>al operador remolcador</t>
  </si>
  <si>
    <t>por maniobra por remolcador</t>
  </si>
  <si>
    <t>2.5</t>
  </si>
  <si>
    <t>al operador pilotaje</t>
  </si>
  <si>
    <t>por maniobra</t>
  </si>
  <si>
    <t>Descuentos a la carga</t>
  </si>
  <si>
    <t>Min</t>
  </si>
  <si>
    <t>Max</t>
  </si>
  <si>
    <t>toneladas / año</t>
  </si>
  <si>
    <t>3.</t>
  </si>
  <si>
    <t>usd/ton-dia</t>
  </si>
  <si>
    <t>4.</t>
  </si>
  <si>
    <t>Servicios Públicos</t>
  </si>
  <si>
    <t>Suministro de Agua</t>
  </si>
  <si>
    <t>Conexión a Red Eléctrica</t>
  </si>
  <si>
    <t>Aprovisionamiento</t>
  </si>
  <si>
    <t>Cruceros de Turismo (por TBR, día o fracción)</t>
  </si>
  <si>
    <t>Carga suelta normal (por tonelada peso)</t>
  </si>
  <si>
    <t>Descuentos:</t>
  </si>
  <si>
    <t>Recargos (UIPC):</t>
  </si>
  <si>
    <t>Carga suelta, por tonelada peso-día:</t>
  </si>
  <si>
    <t>Contenedores, por unidad-día:</t>
  </si>
  <si>
    <t>Suministro de Agua Potable (por tonelada)</t>
  </si>
  <si>
    <t>Suministro de Energía (por día o fracción, por contenedor)</t>
  </si>
  <si>
    <t>Periodo</t>
  </si>
  <si>
    <t>Del día 4 a 5</t>
  </si>
  <si>
    <t>Del día 6 a 10</t>
  </si>
  <si>
    <t>Tipo Contenedor</t>
  </si>
  <si>
    <t>Día o a 3</t>
  </si>
  <si>
    <t>Día 4 a 5</t>
  </si>
  <si>
    <t>Desde Día 11</t>
  </si>
  <si>
    <t>Contenedor de 45' Lleno</t>
  </si>
  <si>
    <t>Vehiculos, por unidad-día:</t>
  </si>
  <si>
    <t>Vehículos menores 20 metros cúbicos, por unidad</t>
  </si>
  <si>
    <t>Vehículos entre 20 y 40 metros cúbicos, por unidad</t>
  </si>
  <si>
    <t>Vehículos más 40 metros cúbicos, unidad</t>
  </si>
  <si>
    <t>Carga  Granel (por tonelada de peso)</t>
  </si>
  <si>
    <t>Carga General en transito</t>
  </si>
  <si>
    <t>Pasajero de Turismo</t>
  </si>
  <si>
    <t>Carga Suelta</t>
  </si>
  <si>
    <t>Aprovisionamiento de barcos (Ship Chandlers)</t>
  </si>
  <si>
    <t>Empresa reparación de Naves</t>
  </si>
  <si>
    <t>Tipo Vehiculos</t>
  </si>
  <si>
    <t>Contenedores 20'/U Carga Normal Lleno</t>
  </si>
  <si>
    <t>Contenedores 40'/U Carga Normal Lleno</t>
  </si>
  <si>
    <t>Contenedores extra-dimensionados 45´ /U Lleno</t>
  </si>
  <si>
    <t>Contenedores Iso, Flat Racks y Open Tops 20´ /U Lleno</t>
  </si>
  <si>
    <t>Flat Racks y Open Tops 40´ /U Lleno</t>
  </si>
  <si>
    <t>Contenedores de 20' o 40' /U Vacios</t>
  </si>
  <si>
    <t>Reestibas Movilizadas 20' o 40' via muelle Llenas</t>
  </si>
  <si>
    <t>Reestibas Movilizadas 20' o 40' via muelle Vacias</t>
  </si>
  <si>
    <t>Contenedores de 20' o 40' /U Llenos Transito</t>
  </si>
  <si>
    <t xml:space="preserve">Contenedores 20´o 40´  llenos  </t>
  </si>
  <si>
    <t xml:space="preserve">Contenedores 20´o 40´ vacios  </t>
  </si>
  <si>
    <t>Contenedores 20´o 40´  llenos  Transito</t>
  </si>
  <si>
    <t>Contenedores 20´o 40´ vacios  Transito</t>
  </si>
  <si>
    <t>Reestibas movilizadas 20' o 40' via muelle</t>
  </si>
  <si>
    <t>UNIDADES</t>
  </si>
  <si>
    <t>Metro/Esolra/Hora</t>
  </si>
  <si>
    <t>TRB/Día o fracción</t>
  </si>
  <si>
    <t>Contenedor</t>
  </si>
  <si>
    <t>Vehiculo</t>
  </si>
  <si>
    <t>Pasajero</t>
  </si>
  <si>
    <t>Del día 0 a 3</t>
  </si>
  <si>
    <t>Contenedor de 20'  Vacio</t>
  </si>
  <si>
    <t>Contenedor de 40'  Vacio</t>
  </si>
  <si>
    <t>Caja Día</t>
  </si>
  <si>
    <t>Despues de 10 dias Caja/Día</t>
  </si>
  <si>
    <t>Alquler Gruas (Mobil/Gantry) y RTGs</t>
  </si>
  <si>
    <t xml:space="preserve">           COP 98.000</t>
  </si>
  <si>
    <t>Metro Cubico</t>
  </si>
  <si>
    <t>Día o fracción por Contenedor</t>
  </si>
  <si>
    <t>Contenedor Movilizado</t>
  </si>
  <si>
    <t>Sociedad Portuaria Regional de Cartagena S.A.</t>
  </si>
  <si>
    <t>Sociedad Portuaria Terminal de Contenedores de Cartagena S.A. - CONTECAR S.A</t>
  </si>
  <si>
    <t xml:space="preserve">Naves mercantes (por metro de eslora, hora o fracción </t>
  </si>
  <si>
    <t>Contenedores de 20' o 40' /U Vacios Transito</t>
  </si>
  <si>
    <t>Contenedores de 20' o 40' /U VaciosTransito</t>
  </si>
  <si>
    <t>Oficio 20136200141951 del 03/05/2013</t>
  </si>
  <si>
    <t>Oficio 20136200141961 del 03/05/2013</t>
  </si>
  <si>
    <t>1. Muellaje</t>
  </si>
  <si>
    <t>TARIFAS USD</t>
  </si>
  <si>
    <t>2. Uso de Instalaciones a la Carga</t>
  </si>
  <si>
    <t>3. Almacenaje (Incluye 3 dias libres)</t>
  </si>
  <si>
    <t>Día 11 al 14</t>
  </si>
  <si>
    <t>Día 15 en adel.</t>
  </si>
  <si>
    <t>4. Uso de Instalaciones al Operador Portuario</t>
  </si>
  <si>
    <t xml:space="preserve">Unidad   </t>
  </si>
  <si>
    <t>5. Otros</t>
  </si>
  <si>
    <t>6. Recargos</t>
  </si>
  <si>
    <t>SOCIEDAD PORTUARIA  BARRANQUILLA INTERNATIONAL TERMINAL COMPANY</t>
  </si>
  <si>
    <t>Maritimo Internacional de 24:01 a 48:00 h</t>
  </si>
  <si>
    <t>ALMACENAJE (Incluyen 10 días libres)</t>
  </si>
  <si>
    <t>Contenedor lleno de 20'</t>
  </si>
  <si>
    <t>Contenedor lleno de 40'</t>
  </si>
  <si>
    <t>Contenedor vacio de 20'</t>
  </si>
  <si>
    <t>Contenedor vacio de 40'</t>
  </si>
  <si>
    <t>Contenedor Flat Rack 20' lleno</t>
  </si>
  <si>
    <t>Contenedor Flat Rack 40' lleno</t>
  </si>
  <si>
    <t>Contenedor Open Top de 20' lleno</t>
  </si>
  <si>
    <t>Contenedor Open Top de 40' lleno</t>
  </si>
  <si>
    <t>Isotanques  20' lleno</t>
  </si>
  <si>
    <t>Contenedor extradimensionado 45' lleno</t>
  </si>
  <si>
    <t>Contenedores vacios 20´y 40'</t>
  </si>
  <si>
    <t>Día 0 a 3</t>
  </si>
  <si>
    <t>Día 6 a 10</t>
  </si>
  <si>
    <t>Día 11 en Adelante</t>
  </si>
  <si>
    <t>Contenedores llenos 20` (Unidad día)</t>
  </si>
  <si>
    <t>Contenedores llenos 40`  (Unidad día)</t>
  </si>
  <si>
    <t>Contenedores Extradim. (Mayores a 40')  (Unidad día)</t>
  </si>
  <si>
    <t xml:space="preserve">Contenedores llenos Open Top 20`  (Unidad día) </t>
  </si>
  <si>
    <t>Contenedores llenos Open Top 40`  (Unidad día)</t>
  </si>
  <si>
    <t>Contenedores llenos Flat Racks 20`  (Unidad día)</t>
  </si>
  <si>
    <t>Contenedores llenos Flat Racks 40`  (Unidad día)</t>
  </si>
  <si>
    <t>Areas descubiertas</t>
  </si>
  <si>
    <t>Areas cubiertas</t>
  </si>
  <si>
    <t>unidad/Dia</t>
  </si>
  <si>
    <t>Bote - Gabarra (Hasta 50 Mts Eslora)</t>
  </si>
  <si>
    <t xml:space="preserve">unidad/Dia </t>
  </si>
  <si>
    <t>Bote - Gabarra (Mas de 50 Mts Eslora)</t>
  </si>
  <si>
    <t>Contenedores Llenos 20´ y 40´ Reestibas</t>
  </si>
  <si>
    <t>contenedores vacios 20' y 40' Reestibas</t>
  </si>
  <si>
    <t>Toneladas / Año</t>
  </si>
  <si>
    <t>300 - 1.000</t>
  </si>
  <si>
    <t>Hasta un 10 %</t>
  </si>
  <si>
    <t>Hasta un 20 %</t>
  </si>
  <si>
    <t>SOCIEDAD  PORTUARIA COMPAÑÍA DE PUERTOS ASOCIADOS S.A - BARRANQUILLA</t>
  </si>
  <si>
    <t>Naves Maritimo</t>
  </si>
  <si>
    <t>Por día</t>
  </si>
  <si>
    <t>Barcazas - Fluvial</t>
  </si>
  <si>
    <t>Remolcador - Fluvial</t>
  </si>
  <si>
    <t>Carga General Importación y Exportación</t>
  </si>
  <si>
    <t>Carga Granel o charter homogeneo</t>
  </si>
  <si>
    <t>Carga Granel Liquido</t>
  </si>
  <si>
    <t>Contenedor Extradimensionado 45'</t>
  </si>
  <si>
    <t>Flat Racks y Open Top 20'</t>
  </si>
  <si>
    <t>Flat Racks y Open Top 40'</t>
  </si>
  <si>
    <t>Isotanque 20'</t>
  </si>
  <si>
    <t>Coque</t>
  </si>
  <si>
    <t xml:space="preserve">Carbón </t>
  </si>
  <si>
    <t>Vehículos y Maquinaria autopropulsados &lt; = 20 M3 /U</t>
  </si>
  <si>
    <t>Vehículos y Maquinaria autopropulsados &gt; = 20 &lt;=40 M3 /U</t>
  </si>
  <si>
    <t>Vehículos y Maquinaria autopropulsados &gt; = 40 &lt;=100 M3 /U</t>
  </si>
  <si>
    <t>Vehículos  autopropulsados &lt; = 20 M3 /U</t>
  </si>
  <si>
    <t>Vehículos  autopropulsados &gt; = 20 &lt;=40 M3 /U</t>
  </si>
  <si>
    <t>Vehículos  autopropulsados &gt; = 40 &lt;=100 M3 /U</t>
  </si>
  <si>
    <t>Valor CIF USD 0.88%</t>
  </si>
  <si>
    <t>Valor CIF USD 0.99%</t>
  </si>
  <si>
    <t>Valor CIF USD 1.10%</t>
  </si>
  <si>
    <t>Valor CIF USD 1.65%</t>
  </si>
  <si>
    <t>Metro Cuadrado/Mes</t>
  </si>
  <si>
    <t>Contenedores / Año</t>
  </si>
  <si>
    <t>500 - 1.000</t>
  </si>
  <si>
    <t>&gt; 3.00</t>
  </si>
  <si>
    <t xml:space="preserve">Contenedores 20' o 40' llenos o vacios via muelle </t>
  </si>
  <si>
    <t>OFICIO No.  20136100217181 del 27/06/2013</t>
  </si>
  <si>
    <t>Oficio 20136100155811 del 17/05 /2013</t>
  </si>
  <si>
    <t xml:space="preserve">Permanencia de 0 a 96 horas </t>
  </si>
  <si>
    <t>Naves En Transito de Cabotaje</t>
  </si>
  <si>
    <t>Permanencia mayor a 12 horas (unidad/ hora)</t>
  </si>
  <si>
    <t xml:space="preserve">Transporte Fluvial </t>
  </si>
  <si>
    <t xml:space="preserve">Remolcador/Unidad </t>
  </si>
  <si>
    <t>Bote - Gabarra (unidad/ día hasta 50 mts de eslora)</t>
  </si>
  <si>
    <t>Bote - Gabarra (unidad/ día mas de 50 mts de eslora)</t>
  </si>
  <si>
    <t>Naves y Artefactos Navales Permanentes (Operan en el Puerto)</t>
  </si>
  <si>
    <t>Remolcadores. Por unidad de mes o fracción</t>
  </si>
  <si>
    <t>Gruas Flotantes, planchones , gabarras. Por unidad de mes o fracción</t>
  </si>
  <si>
    <t>Lanchas, yates de recreo. Por unidad de mes o fracción</t>
  </si>
  <si>
    <t>Graneles sòlidos  por tonelada</t>
  </si>
  <si>
    <t>Graneles lìquidos por ton (Operación portuaria)</t>
  </si>
  <si>
    <t>Graneles lìquidos por ton (Recibo)</t>
  </si>
  <si>
    <t>Carga de proyectos m3</t>
  </si>
  <si>
    <t>Contenedores de 20" vacìos por unidad</t>
  </si>
  <si>
    <t>Contenedores de 40" vacìos por unidad</t>
  </si>
  <si>
    <t>Contenedores de 20" llenos por unidad</t>
  </si>
  <si>
    <t>Contenedores de 40" llenos por unidad</t>
  </si>
  <si>
    <t>Vehìculos hasta 20m3 por unidad</t>
  </si>
  <si>
    <t>Vehìculos mas de 20m3 y hasta 40m3 por unidad</t>
  </si>
  <si>
    <t>Vehìculos mas de 40m3 por unidad</t>
  </si>
  <si>
    <t>Graneles sòlidos por tonelada</t>
  </si>
  <si>
    <t>Carga general por tonelada (peligrosa)</t>
  </si>
  <si>
    <t>Contenedor de 20" lleno por unidad</t>
  </si>
  <si>
    <t>Contenedor de 40" lleno por unidad</t>
  </si>
  <si>
    <t>Contenedor de 20" vacio por unidad</t>
  </si>
  <si>
    <t>Contenedor de 40" vacìo por unidad</t>
  </si>
  <si>
    <t>Graneles lìquidos por galòn</t>
  </si>
  <si>
    <t>Al Operador Portuario Maritimo (Trafico Internacional)</t>
  </si>
  <si>
    <t>Graneles por tonelada</t>
  </si>
  <si>
    <t>Contenedores de 20" o de 40" vacìos por unidad</t>
  </si>
  <si>
    <t>Contenedores de 20" o de 40" llenos por unidad</t>
  </si>
  <si>
    <t>Vehìculos hasta 20 m3 por unidad</t>
  </si>
  <si>
    <t>Vehìculos mas de 20 m3 y hasta 40 m3 por unidad</t>
  </si>
  <si>
    <t>Vehìculos mas de 40 m3 por unidad</t>
  </si>
  <si>
    <t>Al Operador Portuario Maritimo (Cabotaje)</t>
  </si>
  <si>
    <t>Al Operador Terrestre</t>
  </si>
  <si>
    <t>Contenedores de 20" o de 40" vacios por unidad</t>
  </si>
  <si>
    <t xml:space="preserve">Al Operador Portuario de Pilotaje y Remolcador </t>
  </si>
  <si>
    <t>TRANSBORDO NACIONAL O INTERNACIONAL</t>
  </si>
  <si>
    <t>A la Carga</t>
  </si>
  <si>
    <t>Vehiculos hasta de 20m3 por unidad</t>
  </si>
  <si>
    <t>Vehiculos de 20m3 hasta 40m3 por unidad</t>
  </si>
  <si>
    <t>Vehiculos de mas de 40m3 por unidad</t>
  </si>
  <si>
    <t>Contenedores de 20" o de 40" llenos o vacios por unidad</t>
  </si>
  <si>
    <t>Vehìculos hasta de 20m3 por unidad</t>
  </si>
  <si>
    <t>Vehìculos hasta de 20m3 y hasta 40m3 por unidad</t>
  </si>
  <si>
    <t>Recolección de basuras por m3</t>
  </si>
  <si>
    <t xml:space="preserve">Suministro de Energia Electrica </t>
  </si>
  <si>
    <t>Para contenedores de Carga Refrigerada (unidad/ día o fracción)</t>
  </si>
  <si>
    <t>Cargo a Operadores Varios</t>
  </si>
  <si>
    <t>fumigadores (Mensual)</t>
  </si>
  <si>
    <t>Suministro de provisiones y combustible (Avituallamiento), por buque</t>
  </si>
  <si>
    <t>Para Carga a Granel Sòlido (toneladas/año)</t>
  </si>
  <si>
    <t>1 - 10000              hasta 0%</t>
  </si>
  <si>
    <t>10001 - 15000       hasta 5%</t>
  </si>
  <si>
    <t>15001 - 25000       hasta 10%</t>
  </si>
  <si>
    <t>25001 - 50000       hasta 15%</t>
  </si>
  <si>
    <t>50001 - 100000     hasta 25%</t>
  </si>
  <si>
    <t>100001 - 125000   hasta 30%</t>
  </si>
  <si>
    <t>125001 - 150000   hasta 40%</t>
  </si>
  <si>
    <t>màs de 150000     hasta 50%</t>
  </si>
  <si>
    <t>Para Carga a General</t>
  </si>
  <si>
    <t xml:space="preserve"> 10.000 - 50.000   hasta  10%</t>
  </si>
  <si>
    <t>50.001 - 70.000    hasta  20%</t>
  </si>
  <si>
    <t>70.001 - 100.000  hasta  25%</t>
  </si>
  <si>
    <t>100.001 - 150.000 hasta 35%</t>
  </si>
  <si>
    <t>màs de 150.000    hasta 50%</t>
  </si>
  <si>
    <t>Para Contenedores llenos (unidades año)</t>
  </si>
  <si>
    <t>500 - 1000           hasta 20%</t>
  </si>
  <si>
    <t>màs de 1000       hasta 25%</t>
  </si>
  <si>
    <t>Para Vehìculos</t>
  </si>
  <si>
    <t>100 - 1000          hasta 10%</t>
  </si>
  <si>
    <t>1000 - 2000        hasta 20%</t>
  </si>
  <si>
    <t>màs de 2000      hasta 30%</t>
  </si>
  <si>
    <t>Para Graneles Lìquidos (toneladas año)</t>
  </si>
  <si>
    <t>20.000 - 30.000    hasta 7%</t>
  </si>
  <si>
    <t>30.000 - 40.000    hasta 15%</t>
  </si>
  <si>
    <t>40.000 - 50.000    hasta 25%</t>
  </si>
  <si>
    <t>màs de 50.000     hasta 30%</t>
  </si>
  <si>
    <t>Al Operador Portuario Marìtimo (toneladas/día)</t>
  </si>
  <si>
    <t>hasta 4000</t>
  </si>
  <si>
    <t>de 4000 a 5000</t>
  </si>
  <si>
    <t>de 5001 a 7000</t>
  </si>
  <si>
    <t>màs de 7000</t>
  </si>
  <si>
    <t>Para cargamentos peligrosos         25%</t>
  </si>
  <si>
    <t>SOCIEDAD  PORTUARIA MICHELLMAR S.A</t>
  </si>
  <si>
    <t>Contenedores de 20"  vacios por unidad</t>
  </si>
  <si>
    <t>Contenedores de 40" vacios por unidad</t>
  </si>
  <si>
    <t>Para cargamentos explosivos         40%</t>
  </si>
  <si>
    <t>Uso Instalaciones carga de Cabotaje</t>
  </si>
  <si>
    <t>SOCIEDAD PORTUARIA TERMINAL DE CONTENEDORES DE BUENAVENTURA - TCBUEN</t>
  </si>
  <si>
    <t>Oficio N° 20136100193391 del 13 de junio de 2013</t>
  </si>
  <si>
    <t xml:space="preserve">Naves En Transito Internacional </t>
  </si>
  <si>
    <t>Unidad hora</t>
  </si>
  <si>
    <t>Unidad mes</t>
  </si>
  <si>
    <t>Galon</t>
  </si>
  <si>
    <t>Mensual</t>
  </si>
  <si>
    <t>Buque</t>
  </si>
  <si>
    <t>Día 1 al 5</t>
  </si>
  <si>
    <t>Día 6 al 15</t>
  </si>
  <si>
    <t xml:space="preserve"> área cubierta</t>
  </si>
  <si>
    <t xml:space="preserve"> área descubierta</t>
  </si>
  <si>
    <t xml:space="preserve">Servicio de inspectores, ajustadores de seguros, certificadores y similares </t>
  </si>
  <si>
    <t>Carga proyectos (M2/ Mes)</t>
  </si>
  <si>
    <t xml:space="preserve"> Carga General área cubierta</t>
  </si>
  <si>
    <t xml:space="preserve"> Carga General área descubierta</t>
  </si>
  <si>
    <t xml:space="preserve"> Carga Granel área cubierta</t>
  </si>
  <si>
    <t xml:space="preserve"> Carga Granel área descubierta</t>
  </si>
  <si>
    <t>OFICIO No.  20136100241741 del 05 de julio de 2013</t>
  </si>
  <si>
    <t>Mts-eslora /hora</t>
  </si>
  <si>
    <t>GRANEL SOLIDO 1a. DECADA</t>
  </si>
  <si>
    <t>GRANEL SOLIDO 2a. DECADA</t>
  </si>
  <si>
    <t>GRANEL SOLIDO 3a. DECADA</t>
  </si>
  <si>
    <t>GRANEL SOLIDO &gt; 1 MES</t>
  </si>
  <si>
    <t>Valor CIF USD/Tonelada</t>
  </si>
  <si>
    <t>Llenos de 20' y 40' Transito por unidad</t>
  </si>
  <si>
    <t>Carga Suelta tonelada de peso día</t>
  </si>
  <si>
    <t>Espacio Cubierto</t>
  </si>
  <si>
    <t>Espacio Descubierto</t>
  </si>
  <si>
    <t>Día 1 al 3</t>
  </si>
  <si>
    <t>Día 7 al 9</t>
  </si>
  <si>
    <t>Día 10 en adelante</t>
  </si>
  <si>
    <t>Carga Granel Solido tonelada de peso día</t>
  </si>
  <si>
    <t>1a Decada</t>
  </si>
  <si>
    <t>2da Decada</t>
  </si>
  <si>
    <t>3a Decada</t>
  </si>
  <si>
    <t>4a Decada en adelante</t>
  </si>
  <si>
    <t>4. ALMACENAJE a partir del 4 día</t>
  </si>
  <si>
    <t>Valor CIF del producto almacenado</t>
  </si>
  <si>
    <t>Contenedores por unidad día</t>
  </si>
  <si>
    <t>Contenedor Open Top de 20' Lleno</t>
  </si>
  <si>
    <t>Contenedor Open Top de 40' Lleno</t>
  </si>
  <si>
    <t>Contenedor de 20' Vacio</t>
  </si>
  <si>
    <t>Contenedor de 40' Vacio</t>
  </si>
  <si>
    <t>Vehículos Menores de 20 M3</t>
  </si>
  <si>
    <t>Vehículos entre 20 y 40 M3</t>
  </si>
  <si>
    <t>Vehículos Mayores a 40 M3</t>
  </si>
  <si>
    <t>Maquinaria Autopropulsado sin orugas &gt; 40 M3</t>
  </si>
  <si>
    <t>Recargos: 25% para la carga peligrosa y 40% para la carga explosiva</t>
  </si>
  <si>
    <t xml:space="preserve">CONCEPTO </t>
  </si>
  <si>
    <t xml:space="preserve">NAVES DE TRAFICO INTERNACIONAL </t>
  </si>
  <si>
    <t>US$/Metro-eslora hora o fracción</t>
  </si>
  <si>
    <t xml:space="preserve">NAVES DE CABOTAJE </t>
  </si>
  <si>
    <t xml:space="preserve">NAVES CABOTAJE MENOR 400 TONELADAS </t>
  </si>
  <si>
    <t>USO DE INSTALACIONES A LA CARGA (COBRO POR UNA SOLA VEZ)</t>
  </si>
  <si>
    <t xml:space="preserve">INTERNACIONAL GENERAL </t>
  </si>
  <si>
    <t>US$/Tonelada</t>
  </si>
  <si>
    <t xml:space="preserve">INTERNACIONAL GRANEL </t>
  </si>
  <si>
    <t xml:space="preserve">CABOTAJE CARGA GENERAL </t>
  </si>
  <si>
    <t xml:space="preserve">CABOTAJE CARGA GRANEL </t>
  </si>
  <si>
    <t>CABOTAJE EN NAVES MENORES 400 TONELADAS</t>
  </si>
  <si>
    <t xml:space="preserve">Al Granel </t>
  </si>
  <si>
    <t>CONTENEDORES (USO DE INSTALACIONES PORTUARIAS A LA CARGA)</t>
  </si>
  <si>
    <t>US$/Contenedor</t>
  </si>
  <si>
    <t>VEHICULOS (USO DE INSTALACIONES PORTUARIAS A LA CARGA)</t>
  </si>
  <si>
    <t xml:space="preserve">Menos de 10 M3 por Unidad </t>
  </si>
  <si>
    <t>US$ / Unidad</t>
  </si>
  <si>
    <t xml:space="preserve">Más de 10 M3 Por Unidad </t>
  </si>
  <si>
    <t xml:space="preserve">INTERNACIONAL </t>
  </si>
  <si>
    <t xml:space="preserve">CABOTAJE </t>
  </si>
  <si>
    <t>CABOTAJE EN NAVES MENORES A 400 TONELADAS (No aplica)</t>
  </si>
  <si>
    <t xml:space="preserve">Carga suelta o granel </t>
  </si>
  <si>
    <t>US$/Tonelada movilizada</t>
  </si>
  <si>
    <t xml:space="preserve">Contenedores llenos de 20 y 40 pies </t>
  </si>
  <si>
    <t xml:space="preserve">Contenedores vacios de 20 y 40 pies </t>
  </si>
  <si>
    <t>USO DE INSTALACIONES PORTUARIAS AL OPERADOR PORTUARIO DE REMOLCADORES</t>
  </si>
  <si>
    <t xml:space="preserve">Cobro por maniobra de atraque o desatraque </t>
  </si>
  <si>
    <t>US$/Maniobra</t>
  </si>
  <si>
    <t>USO DE INSTALACIONES PORTUARIAS AL OPERADOR PORTUARIO PILOTOS PRACTICOS</t>
  </si>
  <si>
    <t>SERVICIO DE ALMACENAMIENTO</t>
  </si>
  <si>
    <t>EN ESPACIO CUBIERTO</t>
  </si>
  <si>
    <t xml:space="preserve">Carga normal a partir día 4 </t>
  </si>
  <si>
    <t>US$ por tonelada /día</t>
  </si>
  <si>
    <t>Carga normal almacenamiento prolongado (hasta 2 meses de almacenamiento, cobro anticipado)</t>
  </si>
  <si>
    <t>$Pesos/Tonelada</t>
  </si>
  <si>
    <t xml:space="preserve">Mes adicional aplicable a almacenamiento prolongado (cobro anticipado) </t>
  </si>
  <si>
    <t xml:space="preserve">Carga normal a partir del día 4 </t>
  </si>
  <si>
    <t>US$/Tonelada /día</t>
  </si>
  <si>
    <t xml:space="preserve">Llenos de 20 y 40 pies a partir del día 4, por día </t>
  </si>
  <si>
    <t xml:space="preserve">Vacios de 20 y 40 pies a partir del día 4, por día </t>
  </si>
  <si>
    <t xml:space="preserve">Menos de 10 M3 por Unidad,  a partir del día 4, por día </t>
  </si>
  <si>
    <t xml:space="preserve">Más de 10 M3 Por Unidad,  a partir del día 4, por día </t>
  </si>
  <si>
    <t>Vehiculos C2 y C3</t>
  </si>
  <si>
    <t>$/Unid</t>
  </si>
  <si>
    <t>Vehiculos C3S2</t>
  </si>
  <si>
    <t>Vehiculos C3S3</t>
  </si>
  <si>
    <t>SOCIEDAD PORTUARIA REGIONAL DE TUMACO S.A</t>
  </si>
  <si>
    <t xml:space="preserve">Llenos 20 pies </t>
  </si>
  <si>
    <t xml:space="preserve">Llenos  40 pies </t>
  </si>
  <si>
    <t xml:space="preserve">Vacios 20 pies </t>
  </si>
  <si>
    <t>Vacios de 40 pies</t>
  </si>
  <si>
    <t>Llenos 40 pies</t>
  </si>
  <si>
    <t xml:space="preserve">Vacios 20  pies </t>
  </si>
  <si>
    <t>Vacios 40 pies</t>
  </si>
  <si>
    <t xml:space="preserve">Llenos 20  pies </t>
  </si>
  <si>
    <t>Oficio 20136100349251  del 04/10/2013</t>
  </si>
  <si>
    <t>Oficio 20136100349261 04/10/2013</t>
  </si>
  <si>
    <t>Vehiculos por unidad día</t>
  </si>
  <si>
    <t>Muellaje  (metro eslora/hora)</t>
  </si>
  <si>
    <t>Uso Instalaciones a la Carga</t>
  </si>
  <si>
    <t>Uso Instalaciones Operador Portuario</t>
  </si>
  <si>
    <t>se aplicara un recargo adicional de 50% sobre las tarifas, a los buques de calado superior a 9,5 Mts que descarguen en las instalaciones portuarias de la Sociedad Portuaria Oleofinas y Derivados S.A</t>
  </si>
  <si>
    <t>SSOCIEDAD PORTUARIA OLEOFINAS Y DERIVADOS</t>
  </si>
  <si>
    <t>Oficio 20136100354551  del 10/10/2013</t>
  </si>
  <si>
    <t>USO DE INSTALACIONES A LA CARGA (UIC)</t>
  </si>
  <si>
    <t>$USD /TON</t>
  </si>
  <si>
    <t>Uso instalaciones a la carga graneles agrícolas</t>
  </si>
  <si>
    <t>USO DE INSTALACIONES AL OPERADOR (UIO)</t>
  </si>
  <si>
    <t>Uso instalaciones al operador de graneles Agrícolas</t>
  </si>
  <si>
    <t>$USD /metro eslora - hora</t>
  </si>
  <si>
    <t>Muellaje (Metro eslora / hr)</t>
  </si>
  <si>
    <t>DESCUENTOS POR VOLUMEN - USO INSTALACIONES A LA CARGA (GRANEL Y CARBON)</t>
  </si>
  <si>
    <t>Descuento $USD /TON</t>
  </si>
  <si>
    <t>hasta 20,000 toneladas / año</t>
  </si>
  <si>
    <t>&gt;20.000 &lt; 80.000 Ton/ año</t>
  </si>
  <si>
    <t>&gt;80.000&lt;140.000 Ton/ año</t>
  </si>
  <si>
    <t>&gt;140.000&lt;250.000 Ton/año</t>
  </si>
  <si>
    <t>&gt;250.000 Ton / año</t>
  </si>
  <si>
    <t>DESCUENTOS POR PERMANENCIA EN MUELLE - MUELLAJE</t>
  </si>
  <si>
    <t>Descuento USD</t>
  </si>
  <si>
    <t>Permanencia  24.01 - 35.00  horas</t>
  </si>
  <si>
    <t>Permanencia  35.01 - 60.00  horas</t>
  </si>
  <si>
    <t>Permanencia  &gt; 60  horas</t>
  </si>
  <si>
    <t>Días</t>
  </si>
  <si>
    <t>Tarifa valor CIF / ton</t>
  </si>
  <si>
    <t>Almacenamiento libre - días</t>
  </si>
  <si>
    <t xml:space="preserve">Primer mes </t>
  </si>
  <si>
    <t>segundo mes y sucesivos</t>
  </si>
  <si>
    <t>ALMACENAMIENTO GRANELES AGRICOLAS</t>
  </si>
  <si>
    <t>Primera década</t>
  </si>
  <si>
    <t>Segunda década</t>
  </si>
  <si>
    <t>Tercera década</t>
  </si>
  <si>
    <t>Cuarta década y sucesivas</t>
  </si>
  <si>
    <t>OTROS SERVICIOS PORTUARIOS</t>
  </si>
  <si>
    <t>VALOR USD$</t>
  </si>
  <si>
    <t>Suministro Agua al buque</t>
  </si>
  <si>
    <t>m3</t>
  </si>
  <si>
    <t>Suministro energía eléctrica</t>
  </si>
  <si>
    <t>kv</t>
  </si>
  <si>
    <t>Manejo de basuras</t>
  </si>
  <si>
    <t>Operador suministro combustible</t>
  </si>
  <si>
    <t>Operador amarre por maniobra (atraque - desatraque)</t>
  </si>
  <si>
    <t>buque</t>
  </si>
  <si>
    <t>Operador de pilotaje por maniobra (atraque -desatraque)</t>
  </si>
  <si>
    <t>Operación de remolcador por maniobra (atraque - desatraque)</t>
  </si>
  <si>
    <t xml:space="preserve"> Permanencia hasta 24 horas</t>
  </si>
  <si>
    <t>ALMACENAMIENTO CARBON (CARBON Y COQUE)</t>
  </si>
  <si>
    <t>Uso instalaciones al operador de Carbón y Coque</t>
  </si>
  <si>
    <t>Uso instalaciones a la carga Carbón y Coque</t>
  </si>
  <si>
    <t>Oficio No.  20146100024601 del  24/01/2014</t>
  </si>
  <si>
    <t>SOCIEDAD PORTUARIA PUERTO BRISA S.A</t>
  </si>
  <si>
    <t>OFICIO No. 20146100261381  del 04/06/2014</t>
  </si>
  <si>
    <t>Mts/Eslora/Hora</t>
  </si>
  <si>
    <t>USO DE INSTALACIONES A LA CARGA  IMPORTACIÓN Y EXPORTACIÓN</t>
  </si>
  <si>
    <t>Granel Seco</t>
  </si>
  <si>
    <t xml:space="preserve">USO DE INSTALACIONES  AL OPERADOR PORTUARIO </t>
  </si>
  <si>
    <t>ALMACENAJE - 3 días Libres</t>
  </si>
  <si>
    <t xml:space="preserve"> SOCIEDAD PORTUARIA RIVERPORT S.A.</t>
  </si>
  <si>
    <t>TARIFA (US$)</t>
  </si>
  <si>
    <t>1.1.</t>
  </si>
  <si>
    <t>Naves mercantes para Cargue Directo, Sin Uso de Equipos Propios por Metro de Eslora Hora o Fracción</t>
  </si>
  <si>
    <t>1.2.</t>
  </si>
  <si>
    <t>Naves Mercantes para Descargue/Cargue con Equipos Propios, por Metro de Eslora, Hora o Fracción</t>
  </si>
  <si>
    <t xml:space="preserve">2.1. </t>
  </si>
  <si>
    <t>Carga Suelta Normal Importación - Exportación por Tonelada - Peso</t>
  </si>
  <si>
    <t>Recargos:</t>
  </si>
  <si>
    <t>25% Para carga peligrosa</t>
  </si>
  <si>
    <t>40% Para carga explosiva</t>
  </si>
  <si>
    <t>Por volúmen anual superior a 100.000 Tons, Descuentos hasta del</t>
  </si>
  <si>
    <t xml:space="preserve">2.2. </t>
  </si>
  <si>
    <t>Carga de Proyecto Sobredimensionada o Extrapesada por Tonelada Peso o Metros Cúbicos, lo que sea mayor</t>
  </si>
  <si>
    <t>2.3.</t>
  </si>
  <si>
    <t xml:space="preserve">Contenedores de 20'/U carga normal </t>
  </si>
  <si>
    <t>2.4.</t>
  </si>
  <si>
    <t xml:space="preserve">Contenedores de 40'/U carga normal </t>
  </si>
  <si>
    <t>2.5.</t>
  </si>
  <si>
    <t>Contenedores de transbordo llenos 20'/u y 40'/u</t>
  </si>
  <si>
    <t>2.6.</t>
  </si>
  <si>
    <t>Contenedores de transbordo vacíos 20'/u y 40'/u</t>
  </si>
  <si>
    <t>2.7.</t>
  </si>
  <si>
    <t>Contenedores 20'/u y 40'/u Vacíos</t>
  </si>
  <si>
    <t>2.8.</t>
  </si>
  <si>
    <t>Flat racks y Open Tops 20'/U llenos carga normal</t>
  </si>
  <si>
    <t>2.9.</t>
  </si>
  <si>
    <t>Flat racks y Open Tops 40'/U llenos carga normal</t>
  </si>
  <si>
    <t>2.10.</t>
  </si>
  <si>
    <t>Flat racks y Open Tops 20'/U 40'/U Vacíos</t>
  </si>
  <si>
    <t>2.11.</t>
  </si>
  <si>
    <t>Isotanques 20'/u</t>
  </si>
  <si>
    <t>2.12.</t>
  </si>
  <si>
    <t>Contenedores extra-dimensionados 45'/u</t>
  </si>
  <si>
    <t>2.13.</t>
  </si>
  <si>
    <t>Contenedores extra-dimensionados 45'/u Vacíos</t>
  </si>
  <si>
    <t>2.14.</t>
  </si>
  <si>
    <t>Contenedores movilizados vía muelle, llenos (Re-Estiba)</t>
  </si>
  <si>
    <t xml:space="preserve">2.15. </t>
  </si>
  <si>
    <t>Contenedores movilizados vía muelle, vacíos (Re- Estiba)</t>
  </si>
  <si>
    <t>Para movimiento anual superior a 5.000 TEUS, Descuentos hasta del</t>
  </si>
  <si>
    <t>Carga granel, reciclables ferrosos, por tonelada - peso</t>
  </si>
  <si>
    <t>2.15.</t>
  </si>
  <si>
    <t>Carga granel, por tonelada - peso</t>
  </si>
  <si>
    <t>2.16.</t>
  </si>
  <si>
    <t>Carga granel carbones/coques por tonelada (Para Volúmenes Superiores a 225.000 Tons)</t>
  </si>
  <si>
    <t>2.17.</t>
  </si>
  <si>
    <t xml:space="preserve">Carga granel en descargue/cargue directo por tonelada - peso </t>
  </si>
  <si>
    <t>2.18.</t>
  </si>
  <si>
    <t>Carga granel en transito internacional por tonelada - peso</t>
  </si>
  <si>
    <t>2.19.</t>
  </si>
  <si>
    <t>Vehículos o Maquinaria Autopropulsada menores a 20 metros cúbicos por unidad</t>
  </si>
  <si>
    <t>2.20.</t>
  </si>
  <si>
    <t>Vehículos o Maquinaria Autopropulsada entre 20 y 40 metros cúbicos por unidad</t>
  </si>
  <si>
    <t>2.21.</t>
  </si>
  <si>
    <t>Vehículos o Maquinaria Autopropulsada mayores a 40 metros cúbicos por unidad</t>
  </si>
  <si>
    <t>2.27.</t>
  </si>
  <si>
    <t>Ganado en pie, por tonelada</t>
  </si>
  <si>
    <t>3.1.</t>
  </si>
  <si>
    <t>Carga suelta o granel, tonelada peso movilizada</t>
  </si>
  <si>
    <t>3.2.</t>
  </si>
  <si>
    <t>Granel carbón por tonelada</t>
  </si>
  <si>
    <t>3.3.</t>
  </si>
  <si>
    <t>Carga suelta o granel, movilizada vía muelle, por tonelada peso</t>
  </si>
  <si>
    <t>3.4.</t>
  </si>
  <si>
    <t>Carga suelta o granel, tonelada movilizada en operación terrestre</t>
  </si>
  <si>
    <t>3.5.</t>
  </si>
  <si>
    <t>Contenedores 20'/u y 40'/u llenos, por unidad movilizada</t>
  </si>
  <si>
    <t>3.6.</t>
  </si>
  <si>
    <t>Contenedores 20'/u y 40'/u vacíos, por unidad movilizada</t>
  </si>
  <si>
    <t>3.7.</t>
  </si>
  <si>
    <t>Contenedores 20'/u y 40'/u llenos, en transito, por unidad movilizada</t>
  </si>
  <si>
    <t>3.8.</t>
  </si>
  <si>
    <t>Contenedores 20'/u y 40'/u vacíos, en transito, por unidad movilizada</t>
  </si>
  <si>
    <t>3.9.</t>
  </si>
  <si>
    <t>Contenedores 20'/u y 40'/u llenos o vacíos, movilizados vía muelle, por unidad movilizada</t>
  </si>
  <si>
    <t>3.10.</t>
  </si>
  <si>
    <t>Contenedores 20'/u y 40'/u llenos o vacíos, en operación terrestre, por unidad movilizada</t>
  </si>
  <si>
    <t>3.11.</t>
  </si>
  <si>
    <t>Suministro de combustible/retiro de aguas aceitosas barcos en lastre, por tonelada</t>
  </si>
  <si>
    <t>3.12.</t>
  </si>
  <si>
    <t>Suministro de combustible/retiro de aguas aceitosas barcos en cargue o descargue, por tonelada</t>
  </si>
  <si>
    <t>3.13.</t>
  </si>
  <si>
    <t>Suministro de agua potable por terceros, por tonelada</t>
  </si>
  <si>
    <t>3.14.</t>
  </si>
  <si>
    <t>Retiro de basuras o desperdicios, por operación</t>
  </si>
  <si>
    <t>3.15.</t>
  </si>
  <si>
    <t>Aprovisionamiento de barcos, por operación</t>
  </si>
  <si>
    <t>3.16.</t>
  </si>
  <si>
    <t>Reparaciones menores a flote, por operación</t>
  </si>
  <si>
    <t>3.17.</t>
  </si>
  <si>
    <t>Pilotaje, por maniobra</t>
  </si>
  <si>
    <t>3.18.</t>
  </si>
  <si>
    <t>Remolcador, por maniobra</t>
  </si>
  <si>
    <t>4. ALMACENAJE (5 DÍAS LIBRES)</t>
  </si>
  <si>
    <t xml:space="preserve">4.1. </t>
  </si>
  <si>
    <t>Carga de proyecto extradimensionada o extrapesada por tonelada por dia o por metros cúbicos por día, lo que sea mayor, en espacio descubierto</t>
  </si>
  <si>
    <t>4.2.</t>
  </si>
  <si>
    <t>Carga suelta y graneles, tonelada peso, día en espacio cubierto</t>
  </si>
  <si>
    <t>4.3.</t>
  </si>
  <si>
    <t>Carga suelta y graneles, tonelada peso, día en espacio descubierto</t>
  </si>
  <si>
    <t>4.4.</t>
  </si>
  <si>
    <t>Contenedores 20', unidad, día</t>
  </si>
  <si>
    <t>4.5.</t>
  </si>
  <si>
    <t>Contenedores 40', unidad, día</t>
  </si>
  <si>
    <t>4.6.</t>
  </si>
  <si>
    <t>Contenedores vacíos 20', unidad, día</t>
  </si>
  <si>
    <t>4.7.</t>
  </si>
  <si>
    <t>Contenedores vacíos 40', unidad, día</t>
  </si>
  <si>
    <t>4.8.</t>
  </si>
  <si>
    <t>Contenedores llenos de 45', unidad / día</t>
  </si>
  <si>
    <t>4.9.</t>
  </si>
  <si>
    <t>Flat racks y Open Tops 20', unidad/día</t>
  </si>
  <si>
    <t>4.10.</t>
  </si>
  <si>
    <t xml:space="preserve">Flat racks y Open Tops 40', unidad/día </t>
  </si>
  <si>
    <t>4.11.</t>
  </si>
  <si>
    <t>Vehículos menores 20 metros cúbicos, por unidad / día</t>
  </si>
  <si>
    <t>Vehículos entre 20 y 40 metros cúbicos, por unidad / día</t>
  </si>
  <si>
    <t>4.12.</t>
  </si>
  <si>
    <t>Vehículos mas 40 metros cúbicos, unidad / día</t>
  </si>
  <si>
    <t>4.13.</t>
  </si>
  <si>
    <t>Maquinaria autopropulsada, unidad / día</t>
  </si>
  <si>
    <t>4.14.</t>
  </si>
  <si>
    <t>Sobrestadía Coque y/o Carbón por Tonelada / día</t>
  </si>
  <si>
    <t>25% Carga peligrosa</t>
  </si>
  <si>
    <t>40% Carga explosiva de la tarifa</t>
  </si>
  <si>
    <t>50% A partir del día 21 de permanencia de carga en Puerto</t>
  </si>
  <si>
    <t>5. OTROS SERVICIOS</t>
  </si>
  <si>
    <t>5.1.</t>
  </si>
  <si>
    <t>Suministro de energía eléctrica por kilovatio-hora</t>
  </si>
  <si>
    <t>5.2.</t>
  </si>
  <si>
    <t>Suministro de agua potable por metro cúbico</t>
  </si>
  <si>
    <t>5.3.</t>
  </si>
  <si>
    <t>Servicio de bascula por pesaje de cada vehículo</t>
  </si>
  <si>
    <t>5.4.</t>
  </si>
  <si>
    <t>Duplicado de tiquete de bascula por unidad</t>
  </si>
  <si>
    <t>5.5.</t>
  </si>
  <si>
    <t>Servicios fumigacion por evento</t>
  </si>
  <si>
    <t>5.6.</t>
  </si>
  <si>
    <t>Anulación y/o corrección de Facturas por Servicios a la Carga por Evento</t>
  </si>
  <si>
    <t>5.7.</t>
  </si>
  <si>
    <t>Cancelacion citas cargues para despacho programados por evento</t>
  </si>
  <si>
    <t>5.8.</t>
  </si>
  <si>
    <t>Cancelacion y/o cambios en ventanas otorgadas para cargue o descargue de barcos, evento</t>
  </si>
  <si>
    <t>5.9.</t>
  </si>
  <si>
    <t>Tramite documental fuera de Cut Off, evento</t>
  </si>
  <si>
    <t>5.11.</t>
  </si>
  <si>
    <t>Parqueo de camión con carbon o coque, vehiculo/día</t>
  </si>
  <si>
    <t>5.12.</t>
  </si>
  <si>
    <t>Reprogramacion de inspecciones por evento</t>
  </si>
  <si>
    <t>5.13.</t>
  </si>
  <si>
    <t>Tiempo extraordinario, evento</t>
  </si>
  <si>
    <t>Emisión Duplicados de Factura</t>
  </si>
  <si>
    <t>5.14.</t>
  </si>
  <si>
    <t>Anulacion y/o correccion de facturas por servicios a la carga, evento</t>
  </si>
  <si>
    <t>5.15.</t>
  </si>
  <si>
    <t>Suministro de grua Portuaria Móvil de 150 TN, por hora (minimo 02 horas)</t>
  </si>
  <si>
    <t>Suministro de Grúa telescópica Móvil de 70 TN, por Hora (Minimo 2 Horas)</t>
  </si>
  <si>
    <t>5.16.</t>
  </si>
  <si>
    <t>Toma de muestras, por evento</t>
  </si>
  <si>
    <t>Alquiler de Pasarelas para Ganado, por Operación</t>
  </si>
  <si>
    <t>Valor factura minima en uso de instalaciones a la carga por BL o documento de transporte</t>
  </si>
  <si>
    <t>Valor factura minima en almacenamiento por BL o documento de transporte</t>
  </si>
  <si>
    <t>SOCIEDAD  PUERTO DE MAMONAL S.A</t>
  </si>
  <si>
    <t xml:space="preserve"> SOCIEDAD PORTUARIA PUERTO BAHIA S.A.</t>
  </si>
  <si>
    <t>Tarifa Usd</t>
  </si>
  <si>
    <t>Naves mercantes, tanqueros</t>
  </si>
  <si>
    <t>por metro eslora, hora o fracción</t>
  </si>
  <si>
    <t>Barcazas</t>
  </si>
  <si>
    <t>Vehículos &lt;20 Mt3</t>
  </si>
  <si>
    <t>Und</t>
  </si>
  <si>
    <t>Vehículos &gt;20mt3 and &lt;40 Mt3</t>
  </si>
  <si>
    <t>Vehículos &gt; 40 Mt3</t>
  </si>
  <si>
    <t>Maquinaria Autopropulsado, hasta 100 Mt3</t>
  </si>
  <si>
    <t>Granel Sólido</t>
  </si>
  <si>
    <t>Contenedores 20' /U Carga Normal</t>
  </si>
  <si>
    <t>Contenedores 40' /U Carga Normal</t>
  </si>
  <si>
    <t>Contenedores extra-dimensionados 45'/ U</t>
  </si>
  <si>
    <t>Contenedores 20'/U Vacios</t>
  </si>
  <si>
    <t>Contenedoress 40'/U Vacios</t>
  </si>
  <si>
    <t>Flat Racks y Open Tops 20' /U</t>
  </si>
  <si>
    <t>Flat Racks y Open Tops 40'/U</t>
  </si>
  <si>
    <t>Isotanques 20'/U</t>
  </si>
  <si>
    <t>Recargos (UIPC)</t>
  </si>
  <si>
    <t>Para carga peligrosa</t>
  </si>
  <si>
    <t>3. USO DE INSTALACIONES AL OPERADOR</t>
  </si>
  <si>
    <t>Vehículos &lt; 20 Mt3/U</t>
  </si>
  <si>
    <t>Vehículos &gt; 20 Mt3 y &lt; 40 Mt3/U</t>
  </si>
  <si>
    <t>Vehículos &gt; 40 Mts3/U</t>
  </si>
  <si>
    <t>Maquinaria Autopropulsada, hasta 100 Mts3/U</t>
  </si>
  <si>
    <t>Granel Líquido, Cargue y/o Descargue Barco/Ton</t>
  </si>
  <si>
    <t>Granel Líquido, Movimientos para entrega/recibo terrestre/Ton</t>
  </si>
  <si>
    <t>Granel sólido, Cargue y/o Descargue Barco/Ton</t>
  </si>
  <si>
    <t>Granel sólido, Movimientos terrestres/Ton</t>
  </si>
  <si>
    <t>Carga General, Cargue y/o Descargue Barco/Ton</t>
  </si>
  <si>
    <t>Carga General, Movimientos terrestres/Ton</t>
  </si>
  <si>
    <t>Conts, Cargue y  Descargue llenos a/desde Barco/U</t>
  </si>
  <si>
    <t>Conts, Cargue y Desargue llenos a/desde camión/U</t>
  </si>
  <si>
    <t>Conts, Movimientos para inspección/U</t>
  </si>
  <si>
    <t>Conts, Cargue y  Descargue Vacios a/desde Barco/U</t>
  </si>
  <si>
    <t>Pilotos/Maniobra</t>
  </si>
  <si>
    <t>Remolcaje/Maniobra</t>
  </si>
  <si>
    <t>Suministro de Combustible (Bunkering)/Ton</t>
  </si>
  <si>
    <t>Servicios de Aseo, Retiro de Sentinas y/o Basuras/Op</t>
  </si>
  <si>
    <t>Op</t>
  </si>
  <si>
    <t>Provisiones/Op</t>
  </si>
  <si>
    <t>Raparaciones Abordo/Op</t>
  </si>
  <si>
    <t>Suministro de Agua/Ton</t>
  </si>
  <si>
    <t>Retiro y Tratamiento de Basuras/Mt3</t>
  </si>
  <si>
    <t>Mt3</t>
  </si>
  <si>
    <t>4. ALMACENAJE</t>
  </si>
  <si>
    <t>Dias libres</t>
  </si>
  <si>
    <t>dia 4-10</t>
  </si>
  <si>
    <t>dia 11-20</t>
  </si>
  <si>
    <t>después del 21</t>
  </si>
  <si>
    <t>Vehiculos &lt; 20 Mt3</t>
  </si>
  <si>
    <t xml:space="preserve">por veh/dia </t>
  </si>
  <si>
    <t>Vehiculos &gt; 20 Mt3 y &lt; 40 Mt3</t>
  </si>
  <si>
    <t>Vehiculos &gt; 40 Mt3</t>
  </si>
  <si>
    <t>Carga General, espacio cubierto</t>
  </si>
  <si>
    <t xml:space="preserve">por ton/dia </t>
  </si>
  <si>
    <t>Carga General, espacio descubierto</t>
  </si>
  <si>
    <t>Contenedores 20' Lleno</t>
  </si>
  <si>
    <t xml:space="preserve">por cont/dia </t>
  </si>
  <si>
    <t>Contenedores  40' Lleno</t>
  </si>
  <si>
    <t>por cont/dia</t>
  </si>
  <si>
    <t>Conts extra-dimensionados 45´ Lleno</t>
  </si>
  <si>
    <r>
      <t>Conts Iso</t>
    </r>
    <r>
      <rPr>
        <sz val="10"/>
        <color theme="1"/>
        <rFont val="Arial"/>
        <family val="2"/>
      </rPr>
      <t>, Flat Racks  20'  Lleno</t>
    </r>
  </si>
  <si>
    <r>
      <t>Conts Open Top</t>
    </r>
    <r>
      <rPr>
        <sz val="10"/>
        <color theme="1"/>
        <rFont val="Arial"/>
        <family val="2"/>
      </rPr>
      <t xml:space="preserve">  20'  Lleno</t>
    </r>
  </si>
  <si>
    <t>Conts Flat Racks 40' Lleno</t>
  </si>
  <si>
    <t xml:space="preserve"> Open Tops 40' Lleno</t>
  </si>
  <si>
    <t>Conts 20' Vacios</t>
  </si>
  <si>
    <t>Conts 40' Vacios</t>
  </si>
  <si>
    <t>dia 21-30</t>
  </si>
  <si>
    <t>después del 30</t>
  </si>
  <si>
    <t>Carga a  Granel (Valor CIF/Ton)</t>
  </si>
  <si>
    <t>OFICIO No. 20156100196721  del  13/03/2015</t>
  </si>
  <si>
    <t>Oficio No.  20156100206061 del  20/03/2015</t>
  </si>
  <si>
    <t>SAN ANDRÉS PORT SOCIETY S.A. "SPS"</t>
  </si>
  <si>
    <t>INFLACIÒN ULTIMOS 2 AÑOS</t>
  </si>
  <si>
    <t>NUEVA TARIFA</t>
  </si>
  <si>
    <t>1.1 NAVES CABOTAJE</t>
  </si>
  <si>
    <t xml:space="preserve">DESCRIPCION </t>
  </si>
  <si>
    <t>1.2 NAVES INTERNACIONALES</t>
  </si>
  <si>
    <t>COMPAÑIAS NAVIERAS CON 50 Y MAS ATRAQUES ANUALES  SE APLICARÁ UN DESCUENTO DEL 50%</t>
  </si>
  <si>
    <t xml:space="preserve">2. USO DE INSTALACIONES </t>
  </si>
  <si>
    <t>2.1 CARGA</t>
  </si>
  <si>
    <t xml:space="preserve">CONTENEDOR LLENO 20" </t>
  </si>
  <si>
    <t>CONTENEDOR LLENO 45''</t>
  </si>
  <si>
    <t>CONTENEDOR VACIO 45''</t>
  </si>
  <si>
    <t>POR TONELADA ADICIONAL</t>
  </si>
  <si>
    <t>CARROS DE GOLF Y MULES</t>
  </si>
  <si>
    <t>PASAJERO</t>
  </si>
  <si>
    <t>3.  USO DE INSTALACIONES AL OPERADOR PORTUARIO MARITIMO</t>
  </si>
  <si>
    <t>4.  USO DE INSTALACIONES AL OPERADOR PORTUARIO TERRESTRE</t>
  </si>
  <si>
    <t>5.   USO DE INSTALACIONES -   OPERADORES VARIOS</t>
  </si>
  <si>
    <t xml:space="preserve">6.   USO DE INSTALACIONES - SERVICIO DE FACILITACION </t>
  </si>
  <si>
    <t>7.   ALMACENAJE</t>
  </si>
  <si>
    <t>EL ALMACENAJE TIENE 5 DÍAS LIBRES</t>
  </si>
  <si>
    <t>8.   SERVICIOS VARIOS</t>
  </si>
  <si>
    <r>
      <t>La fijada por la emepresa de energìa incrementada en un</t>
    </r>
    <r>
      <rPr>
        <b/>
        <sz val="11"/>
        <rFont val="Calibri"/>
        <family val="2"/>
        <scheme val="minor"/>
      </rPr>
      <t xml:space="preserve"> 30%</t>
    </r>
  </si>
  <si>
    <t>Oficio N° 20156100094321  02/02/2015</t>
  </si>
  <si>
    <t>Aplican descuentos por productividad, volumen y/o eficiencias operacionales, hasta del 20% de las tarifas Standard</t>
  </si>
  <si>
    <t>Uso Instalaciones Portuarias a la Carga</t>
  </si>
  <si>
    <t>Aplican descuentos por productividad, volumen y/o eficiencias operacionales, hasta del 40% de las tarifas Standard</t>
  </si>
  <si>
    <t>Maquinaria autopropulsada hasta 100 M3</t>
  </si>
  <si>
    <t>Aplicable tarifa como carga general por tonelada si resultante es mayor</t>
  </si>
  <si>
    <t>Uso Instalaciones Portuarias a la Carga Granel liquido</t>
  </si>
  <si>
    <t xml:space="preserve">Aplicable como derecho de Uso de Instalaciones bajo modalidades de contratación Take or Pay; podrán aplicar descuentos por productividad, volumen y/o eficiencias operacionales, hasta del 40% de las tarifas Standard. </t>
  </si>
  <si>
    <t>Uso Instalaciones Operador Portuario Granel liquido cargue descargue buque</t>
  </si>
  <si>
    <t>Aplicable como derecho de Uso de Instalaciones bajo modalidades de contratación Take or Pay; podrán aplicar descuentos por productividad, volumen y/o eficiencias operacionales, hasta del 40% de las tarifas Standard.</t>
  </si>
  <si>
    <t>5. DESCUENTOS</t>
  </si>
  <si>
    <t>PASAJERO INTERNACIONAL</t>
  </si>
  <si>
    <t>PASAJERO DOMESTICO</t>
  </si>
  <si>
    <t>Granel Carbón</t>
  </si>
  <si>
    <t>Oficio No. 20156100757451 del 03/12/2015</t>
  </si>
  <si>
    <t>Día 1 al 90</t>
  </si>
  <si>
    <t>Día 91+</t>
  </si>
  <si>
    <t>Oficio 20156100756811 02/12/2015</t>
  </si>
  <si>
    <t>$</t>
  </si>
  <si>
    <t xml:space="preserve">Uso Instalaciones pasajero </t>
  </si>
  <si>
    <t>SOCIEDAD PORTUARIA REGIONAL DE MAGANGUÉ SA</t>
  </si>
  <si>
    <t>NIT:  806014706</t>
  </si>
  <si>
    <t>SOCIEDAD PORTUARIA DEXTON S.A</t>
  </si>
  <si>
    <t>A las naves</t>
  </si>
  <si>
    <t>Por metro eslora día o fracción</t>
  </si>
  <si>
    <t xml:space="preserve">USO DE INSTALACIONES A LA CARGA  </t>
  </si>
  <si>
    <t>Hidrocarburos</t>
  </si>
  <si>
    <t>Granel Liquido 1a. Decada</t>
  </si>
  <si>
    <t>Granel liquido 2a. Decada</t>
  </si>
  <si>
    <t>Granel liquido 3a. Decada</t>
  </si>
  <si>
    <t>Granel liquido &gt; 1 Mes</t>
  </si>
  <si>
    <t xml:space="preserve">RECARGOS </t>
  </si>
  <si>
    <t xml:space="preserve">25% para la carga peligrosa </t>
  </si>
  <si>
    <t>40% para la carga explosiva.</t>
  </si>
  <si>
    <t>Tonelada / Peso</t>
  </si>
  <si>
    <t>Por Operaciòn</t>
  </si>
  <si>
    <t>Por Tonelada</t>
  </si>
  <si>
    <t>Aprovisionamiento de barcos</t>
  </si>
  <si>
    <t>Aseo, retiro de sentinas y basuras</t>
  </si>
  <si>
    <t>OFICIO No.  20166100102261 del 16/02/2016</t>
  </si>
  <si>
    <t>Toneladas/año</t>
  </si>
  <si>
    <t>1 a 50.000</t>
  </si>
  <si>
    <t>50.001 a 150.000</t>
  </si>
  <si>
    <t>150.001 a 250.000</t>
  </si>
  <si>
    <t>SOCIEDAD PORTUARIA PUERTO INDUSTRIAL DE AGUADULCE S.A</t>
  </si>
  <si>
    <t>A las Naves</t>
  </si>
  <si>
    <t>Carga Granel SecoTons</t>
  </si>
  <si>
    <t xml:space="preserve"> Transito y Transbordo 5 Dias Libres</t>
  </si>
  <si>
    <t>Dia 1 a 5</t>
  </si>
  <si>
    <t>De 1 a 1500</t>
  </si>
  <si>
    <t>1501 a 3500</t>
  </si>
  <si>
    <t>3501 a 6520</t>
  </si>
  <si>
    <t>Mas de 6521</t>
  </si>
  <si>
    <t>Contenedor Flat Rack</t>
  </si>
  <si>
    <t>Contenedor Open Top</t>
  </si>
  <si>
    <t>20' Llenos</t>
  </si>
  <si>
    <t>40' Llenos</t>
  </si>
  <si>
    <t>Vacios</t>
  </si>
  <si>
    <t>20' Vacios</t>
  </si>
  <si>
    <t>40' Vacios</t>
  </si>
  <si>
    <t>Mas de 6501</t>
  </si>
  <si>
    <t>3501 a 6500</t>
  </si>
  <si>
    <t xml:space="preserve">Contenedores Llenos Transito y Transbordo  </t>
  </si>
  <si>
    <t xml:space="preserve">Contenedores Vacios Transito y Transbordo  </t>
  </si>
  <si>
    <t>Contenedores 20' Lllenos</t>
  </si>
  <si>
    <t>Contenedores 40' Llenos</t>
  </si>
  <si>
    <t>Contenedores 20' Vacios</t>
  </si>
  <si>
    <t>Contenedores de 40' Vacios</t>
  </si>
  <si>
    <t>Contenedores 20' Transito Lleno</t>
  </si>
  <si>
    <t>Contenedores 40' Transito Lleno</t>
  </si>
  <si>
    <t>Contenedores 20' Transito Vacio</t>
  </si>
  <si>
    <t>Contenedores 40' Transito Vacio</t>
  </si>
  <si>
    <t>Contenedores de 20' y 40' Llenos</t>
  </si>
  <si>
    <t>Contenedores de 20' y 40' Vacios</t>
  </si>
  <si>
    <t xml:space="preserve"> 1. Muellaje</t>
  </si>
  <si>
    <t xml:space="preserve"> 2.1 Uso de Instalaciones a la Carga  Carbón Coque y Termico</t>
  </si>
  <si>
    <t>3. Uso de Instalaciones al Operador Portuario</t>
  </si>
  <si>
    <t>3.1 Uso de Instalaciones al Operador Portuario Carbón Coque y Termico</t>
  </si>
  <si>
    <t>4. Almacenaje</t>
  </si>
  <si>
    <t>Pilotos</t>
  </si>
  <si>
    <t>4.2 Almacenaje Carga Graneles</t>
  </si>
  <si>
    <t>Carga General tonelada de peso por día</t>
  </si>
  <si>
    <t>Vehículos y Maq. Autoprop. por Unidad por día</t>
  </si>
  <si>
    <t>Menor o igual a 20 m3 por Unidad</t>
  </si>
  <si>
    <t>Mayor a 20 m3 y menor o igual a 40 m3 por Unidad</t>
  </si>
  <si>
    <t>Mayor a 40 m3 y menor a 100 m3 por Unidad</t>
  </si>
  <si>
    <t>Carga Granel Sólido tonelada de peso por decada</t>
  </si>
  <si>
    <t>Decada 1</t>
  </si>
  <si>
    <t>Decada 2</t>
  </si>
  <si>
    <t>Decada 3</t>
  </si>
  <si>
    <t>Decada 4 en adelante</t>
  </si>
  <si>
    <t>Valor CIF producto almacenado</t>
  </si>
  <si>
    <t>5. Otros servicios</t>
  </si>
  <si>
    <t>50.001 a 125.000</t>
  </si>
  <si>
    <t>125.001 a 250.000</t>
  </si>
  <si>
    <t xml:space="preserve">6. Descuentos por volumen Uso Instalaciones a la Carga </t>
  </si>
  <si>
    <t>7. Recargos</t>
  </si>
  <si>
    <t>4.1 Almacenaje Carga Contenerizada</t>
  </si>
  <si>
    <t>Oficio N°20166100168551 del 14/03/2016</t>
  </si>
  <si>
    <t xml:space="preserve">Vehiculos </t>
  </si>
  <si>
    <t>140 unidades/buque/hora</t>
  </si>
  <si>
    <t>De 141 a 180 Unidades/buque/hora</t>
  </si>
  <si>
    <t>Hasta 20 unidades/buque/hora</t>
  </si>
  <si>
    <t>De 21 a 40 unidades/buque/hora</t>
  </si>
  <si>
    <t>Productividad</t>
  </si>
  <si>
    <t>Uso Instalaciones Operador Portuario Marítimo</t>
  </si>
  <si>
    <t>VOPAK COLOMBIA S.A.</t>
  </si>
  <si>
    <t xml:space="preserve">ITEM </t>
  </si>
  <si>
    <t xml:space="preserve"> US$</t>
  </si>
  <si>
    <t xml:space="preserve">Tonelada metrica </t>
  </si>
  <si>
    <t xml:space="preserve">Nave menor a 120 mts eslora </t>
  </si>
  <si>
    <t xml:space="preserve">Metro eslora dia </t>
  </si>
  <si>
    <t xml:space="preserve">Nave mayor a 120 mts eslora </t>
  </si>
  <si>
    <t>Muellaje Chalupas</t>
  </si>
  <si>
    <t>Chalupa</t>
  </si>
  <si>
    <t>Muellaje Motocanoa</t>
  </si>
  <si>
    <t>Motocanoa</t>
  </si>
  <si>
    <t>Oficio 20166100713501 05/08/2016</t>
  </si>
  <si>
    <t>Oficio No. 20166101369231 de 14/12/2016</t>
  </si>
  <si>
    <t>SOCIEDAD PORTUARIA EL CAYAO S.A</t>
  </si>
  <si>
    <t>Oficio 20176100208801 del 17/03/2017</t>
  </si>
  <si>
    <t>Naves Metaneras (GNL)</t>
  </si>
  <si>
    <t>Tarifas USD</t>
  </si>
  <si>
    <t>Uso de Instalaciones a la Carga</t>
  </si>
  <si>
    <t>Carga a Granel Liquido Criogeno</t>
  </si>
  <si>
    <t>Uso de Instalaciones al Operador Portuario</t>
  </si>
  <si>
    <t>Suministro Combustible</t>
  </si>
  <si>
    <t>Servicio de aseo, sentinas y/o basuras</t>
  </si>
  <si>
    <t>Retiro y tratamiento de basuras</t>
  </si>
  <si>
    <t>Aprovisioamiento de buques</t>
  </si>
  <si>
    <t>Reparación de buques</t>
  </si>
  <si>
    <t>Almacenamiento</t>
  </si>
  <si>
    <t>Se conceden 3 días libres</t>
  </si>
  <si>
    <t>En Unidad de Regasificación de Almacenamiento Flotante - FSRU</t>
  </si>
  <si>
    <t>Metro cubico -día</t>
  </si>
  <si>
    <t>Recargos</t>
  </si>
  <si>
    <t>Oficio No. 20166100192911del 30/03/2016</t>
  </si>
  <si>
    <t>Rendimiento toneladas/buque/día</t>
  </si>
  <si>
    <t>USD/Tonelada</t>
  </si>
  <si>
    <t>Hasta 8000</t>
  </si>
  <si>
    <t>De 8001 a 9000</t>
  </si>
  <si>
    <t>De 9001 a 10000</t>
  </si>
  <si>
    <t>De 10001 a 12000</t>
  </si>
  <si>
    <t>Mas de 12000</t>
  </si>
  <si>
    <t>Oficio No. 20176100179621 del 08/03/2017</t>
  </si>
  <si>
    <t>1 a 300</t>
  </si>
  <si>
    <t>301 a 1000</t>
  </si>
  <si>
    <t>Oficio N° 20176100580071 del 09/06/2017</t>
  </si>
  <si>
    <t>Para carga granel carbón toneladas/buque/día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</si>
</sst>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6" formatCode="&quot;$&quot;\ #,##0_);[Red]\(&quot;$&quot;\ #,##0\)"/>
    <numFmt numFmtId="41" formatCode="_(* #,##0_);_(* \(#,##0\);_(* &quot;-&quot;_);_(@_)"/>
    <numFmt numFmtId="43" formatCode="_(* #,##0.00_);_(* \(#,##0.00\);_(* &quot;-&quot;??_);_(@_)"/>
    <numFmt numFmtId="164" formatCode="0.0000"/>
    <numFmt numFmtId="165" formatCode="[$USD]\ #,##0.00"/>
    <numFmt numFmtId="166" formatCode="_(* #,##0.000_);_(* \(#,##0.000\);_(* &quot;-&quot;_);_(@_)"/>
    <numFmt numFmtId="167" formatCode="_(* #,##0.0000_);_(* \(#,##0.0000\);_(* &quot;-&quot;??_);_(@_)"/>
    <numFmt numFmtId="168" formatCode="_(* #,##0.00000_);_(* \(#,##0.00000\);_(* &quot;-&quot;??_);_(@_)"/>
    <numFmt numFmtId="169" formatCode="_(* #,##0.00_);_(* \(#,##0.00\);_(* &quot;-&quot;_);_(@_)"/>
    <numFmt numFmtId="170" formatCode="_(* #,##0.000_);_(* \(#,##0.000\);_(* &quot;-&quot;???_);_(@_)"/>
    <numFmt numFmtId="171" formatCode="#,##0.0000_);\(#,##0.0000\)"/>
    <numFmt numFmtId="172" formatCode="&quot;$&quot;#,##0.00"/>
    <numFmt numFmtId="173" formatCode="0.0%"/>
    <numFmt numFmtId="174" formatCode="#,##0.000"/>
    <numFmt numFmtId="175" formatCode="#,##0.0"/>
    <numFmt numFmtId="176" formatCode="[$USD]\ #,##0.0"/>
    <numFmt numFmtId="177" formatCode="0.0"/>
    <numFmt numFmtId="178" formatCode="0.000"/>
    <numFmt numFmtId="179" formatCode="_-* #,##0.0_-;\-* #,##0.0_-;_-* &quot;-&quot;??_-;_-@_-"/>
    <numFmt numFmtId="180" formatCode="_ * #,##0.00_ ;_ * \-#,##0.00_ ;_ * &quot;-&quot;??_ ;_ @_ "/>
    <numFmt numFmtId="181" formatCode="_([$USD]\ * #,##0.00_);_([$USD]\ * \(#,##0.00\);_([$USD]\ * &quot;-&quot;??_);_(@_)"/>
    <numFmt numFmtId="182" formatCode="[$USD]\ #,##0"/>
    <numFmt numFmtId="183" formatCode="#,##0.0000"/>
    <numFmt numFmtId="184" formatCode="_(&quot;USD&quot;* #,##0.00_);_(&quot;USD&quot;* \(#,##0.00\);_(&quot;USD&quot;* &quot;-&quot;??_);_(@_)"/>
    <numFmt numFmtId="185" formatCode="[$USD]\ #,##0.000"/>
    <numFmt numFmtId="186" formatCode="_(* #,##0_);_(* \(#,##0\);_(* &quot;-&quot;??_);_(@_)"/>
    <numFmt numFmtId="187" formatCode="&quot;$&quot;\ #,##0;[Red]&quot;$&quot;\ \-#,##0"/>
    <numFmt numFmtId="188" formatCode="&quot;$&quot;\ #,##0"/>
    <numFmt numFmtId="189" formatCode="_(* #,##0.0_);_(* \(#,##0.0\);_(* &quot;-&quot;_);_(@_)"/>
    <numFmt numFmtId="190" formatCode="#,##0\ &quot;Dias&quot;"/>
    <numFmt numFmtId="191" formatCode="_(* #,##0.0000_);_(* \(#,##0.0000\);_(* &quot;-&quot;_);_(@_)"/>
    <numFmt numFmtId="192" formatCode="_(* #,##0.00000_);_(* \(#,##0.00000\);_(* &quot;-&quot;_);_(@_)"/>
    <numFmt numFmtId="193" formatCode="_(* #,##0.000000_);_(* \(#,##0.000000\);_(* &quot;-&quot;_);_(@_)"/>
  </numFmts>
  <fonts count="7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sz val="11"/>
      <color indexed="9"/>
      <name val="Arial"/>
      <family val="2"/>
    </font>
    <font>
      <b/>
      <u/>
      <sz val="11"/>
      <name val="Arial"/>
      <family val="2"/>
    </font>
    <font>
      <sz val="11"/>
      <color indexed="8"/>
      <name val="Arial"/>
      <family val="2"/>
    </font>
    <font>
      <sz val="11"/>
      <name val="CommercialScript BT"/>
      <family val="4"/>
    </font>
    <font>
      <sz val="10"/>
      <name val="Times New Roman"/>
      <family val="1"/>
    </font>
    <font>
      <vertAlign val="superscript"/>
      <sz val="10"/>
      <name val="Arial"/>
      <family val="2"/>
    </font>
    <font>
      <i/>
      <sz val="11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color indexed="9"/>
      <name val="Arial"/>
      <family val="2"/>
    </font>
    <font>
      <b/>
      <vertAlign val="superscript"/>
      <sz val="9"/>
      <color indexed="9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000000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2060"/>
      <name val="Arial"/>
      <family val="2"/>
    </font>
    <font>
      <i/>
      <sz val="11"/>
      <color rgb="FF002060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 Narrow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Arial"/>
      <family val="2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 Narrow"/>
      <family val="2"/>
    </font>
    <font>
      <b/>
      <sz val="12"/>
      <color theme="0"/>
      <name val="Arial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37609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3">
    <xf numFmtId="0" fontId="0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62" fillId="0" borderId="0"/>
    <xf numFmtId="41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71" fillId="0" borderId="0"/>
    <xf numFmtId="0" fontId="2" fillId="0" borderId="0"/>
    <xf numFmtId="9" fontId="2" fillId="0" borderId="0" applyFont="0" applyFill="0" applyBorder="0" applyAlignment="0" applyProtection="0"/>
  </cellStyleXfs>
  <cellXfs count="1124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justify" vertical="center"/>
    </xf>
    <xf numFmtId="0" fontId="0" fillId="0" borderId="0" xfId="0" applyFill="1"/>
    <xf numFmtId="0" fontId="2" fillId="0" borderId="0" xfId="2"/>
    <xf numFmtId="165" fontId="7" fillId="0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3" fillId="0" borderId="0" xfId="3" applyFont="1" applyBorder="1" applyAlignment="1">
      <alignment horizontal="center" vertical="center"/>
    </xf>
    <xf numFmtId="0" fontId="3" fillId="0" borderId="0" xfId="3" applyFont="1"/>
    <xf numFmtId="0" fontId="3" fillId="0" borderId="0" xfId="3" applyFont="1" applyFill="1" applyBorder="1"/>
    <xf numFmtId="175" fontId="3" fillId="0" borderId="0" xfId="3" applyNumberFormat="1" applyFont="1" applyFill="1" applyBorder="1" applyAlignment="1">
      <alignment horizontal="center"/>
    </xf>
    <xf numFmtId="177" fontId="11" fillId="0" borderId="0" xfId="3" applyNumberFormat="1" applyFont="1" applyFill="1" applyBorder="1" applyAlignment="1">
      <alignment horizontal="center"/>
    </xf>
    <xf numFmtId="177" fontId="3" fillId="0" borderId="0" xfId="3" applyNumberFormat="1" applyFont="1" applyFill="1" applyBorder="1" applyAlignment="1">
      <alignment horizontal="center"/>
    </xf>
    <xf numFmtId="0" fontId="3" fillId="0" borderId="0" xfId="3" applyFont="1" applyBorder="1"/>
    <xf numFmtId="0" fontId="8" fillId="4" borderId="0" xfId="0" applyFont="1" applyFill="1"/>
    <xf numFmtId="0" fontId="8" fillId="0" borderId="0" xfId="0" applyFont="1"/>
    <xf numFmtId="10" fontId="8" fillId="0" borderId="1" xfId="0" applyNumberFormat="1" applyFont="1" applyBorder="1" applyAlignment="1">
      <alignment horizontal="right"/>
    </xf>
    <xf numFmtId="0" fontId="8" fillId="0" borderId="1" xfId="0" applyFont="1" applyBorder="1" applyAlignment="1"/>
    <xf numFmtId="2" fontId="8" fillId="0" borderId="1" xfId="0" applyNumberFormat="1" applyFont="1" applyBorder="1" applyAlignment="1"/>
    <xf numFmtId="0" fontId="3" fillId="0" borderId="1" xfId="0" applyFont="1" applyFill="1" applyBorder="1" applyAlignment="1">
      <alignment horizontal="center" shrinkToFit="1"/>
    </xf>
    <xf numFmtId="0" fontId="8" fillId="0" borderId="1" xfId="0" applyFont="1" applyBorder="1" applyAlignment="1">
      <alignment horizontal="left"/>
    </xf>
    <xf numFmtId="9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9" fontId="8" fillId="0" borderId="0" xfId="0" applyNumberFormat="1" applyFont="1" applyFill="1" applyBorder="1" applyAlignment="1">
      <alignment horizontal="right"/>
    </xf>
    <xf numFmtId="0" fontId="2" fillId="0" borderId="1" xfId="2" applyBorder="1" applyAlignment="1">
      <alignment horizontal="right"/>
    </xf>
    <xf numFmtId="0" fontId="2" fillId="0" borderId="1" xfId="2" applyFill="1" applyBorder="1" applyAlignment="1">
      <alignment horizontal="right"/>
    </xf>
    <xf numFmtId="0" fontId="6" fillId="0" borderId="1" xfId="2" applyFont="1" applyBorder="1" applyAlignment="1">
      <alignment horizontal="right"/>
    </xf>
    <xf numFmtId="165" fontId="33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0" fontId="8" fillId="0" borderId="0" xfId="0" applyFont="1" applyBorder="1"/>
    <xf numFmtId="0" fontId="8" fillId="0" borderId="1" xfId="0" applyFont="1" applyBorder="1" applyAlignment="1">
      <alignment horizontal="justify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36" fillId="5" borderId="1" xfId="0" applyFont="1" applyFill="1" applyBorder="1"/>
    <xf numFmtId="0" fontId="35" fillId="5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Continuous" vertical="center"/>
    </xf>
    <xf numFmtId="164" fontId="10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justify" vertical="center"/>
    </xf>
    <xf numFmtId="0" fontId="8" fillId="0" borderId="1" xfId="0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justify" vertical="center"/>
    </xf>
    <xf numFmtId="16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justify" vertical="center" wrapText="1"/>
    </xf>
    <xf numFmtId="0" fontId="8" fillId="0" borderId="2" xfId="0" applyFont="1" applyBorder="1" applyAlignment="1">
      <alignment vertical="center"/>
    </xf>
    <xf numFmtId="2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justify" vertical="center"/>
    </xf>
    <xf numFmtId="0" fontId="8" fillId="3" borderId="0" xfId="0" applyFont="1" applyFill="1" applyAlignment="1">
      <alignment horizontal="justify" vertical="center"/>
    </xf>
    <xf numFmtId="0" fontId="15" fillId="0" borderId="1" xfId="0" applyFont="1" applyFill="1" applyBorder="1" applyAlignment="1">
      <alignment horizontal="justify" vertical="center"/>
    </xf>
    <xf numFmtId="2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/>
    </xf>
    <xf numFmtId="0" fontId="8" fillId="0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Continuous" vertical="center" wrapText="1"/>
    </xf>
    <xf numFmtId="0" fontId="39" fillId="0" borderId="1" xfId="0" applyFont="1" applyFill="1" applyBorder="1" applyAlignment="1">
      <alignment horizontal="centerContinuous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vertical="center"/>
    </xf>
    <xf numFmtId="0" fontId="2" fillId="0" borderId="0" xfId="3"/>
    <xf numFmtId="0" fontId="0" fillId="0" borderId="0" xfId="0" applyAlignment="1">
      <alignment horizontal="center"/>
    </xf>
    <xf numFmtId="0" fontId="8" fillId="0" borderId="3" xfId="0" applyFont="1" applyBorder="1"/>
    <xf numFmtId="0" fontId="8" fillId="0" borderId="2" xfId="0" applyFont="1" applyBorder="1"/>
    <xf numFmtId="4" fontId="8" fillId="0" borderId="2" xfId="0" applyNumberFormat="1" applyFont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0" fontId="8" fillId="0" borderId="4" xfId="0" applyFont="1" applyBorder="1"/>
    <xf numFmtId="0" fontId="8" fillId="0" borderId="3" xfId="0" applyFont="1" applyFill="1" applyBorder="1"/>
    <xf numFmtId="174" fontId="8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8" fillId="2" borderId="1" xfId="0" applyFont="1" applyFill="1" applyBorder="1"/>
    <xf numFmtId="0" fontId="8" fillId="0" borderId="0" xfId="0" applyFont="1" applyAlignment="1">
      <alignment horizontal="center"/>
    </xf>
    <xf numFmtId="0" fontId="8" fillId="0" borderId="0" xfId="0" applyFont="1" applyAlignment="1">
      <alignment vertical="top"/>
    </xf>
    <xf numFmtId="0" fontId="35" fillId="5" borderId="1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39" fillId="0" borderId="3" xfId="0" applyFont="1" applyBorder="1"/>
    <xf numFmtId="0" fontId="39" fillId="0" borderId="4" xfId="0" applyFont="1" applyBorder="1"/>
    <xf numFmtId="0" fontId="39" fillId="0" borderId="2" xfId="0" applyFont="1" applyBorder="1"/>
    <xf numFmtId="0" fontId="39" fillId="0" borderId="1" xfId="0" applyFont="1" applyBorder="1" applyAlignment="1">
      <alignment horizontal="center"/>
    </xf>
    <xf numFmtId="0" fontId="39" fillId="0" borderId="8" xfId="0" applyFont="1" applyBorder="1"/>
    <xf numFmtId="0" fontId="39" fillId="0" borderId="9" xfId="0" applyFont="1" applyBorder="1"/>
    <xf numFmtId="0" fontId="39" fillId="0" borderId="10" xfId="0" applyFont="1" applyBorder="1"/>
    <xf numFmtId="0" fontId="42" fillId="0" borderId="11" xfId="0" applyFont="1" applyBorder="1"/>
    <xf numFmtId="0" fontId="42" fillId="0" borderId="12" xfId="0" applyFont="1" applyBorder="1"/>
    <xf numFmtId="0" fontId="42" fillId="0" borderId="3" xfId="0" applyFont="1" applyBorder="1"/>
    <xf numFmtId="0" fontId="42" fillId="0" borderId="2" xfId="0" applyFont="1" applyBorder="1"/>
    <xf numFmtId="0" fontId="42" fillId="0" borderId="13" xfId="0" applyFont="1" applyFill="1" applyBorder="1"/>
    <xf numFmtId="0" fontId="35" fillId="5" borderId="3" xfId="0" applyFont="1" applyFill="1" applyBorder="1"/>
    <xf numFmtId="0" fontId="35" fillId="5" borderId="4" xfId="0" applyFont="1" applyFill="1" applyBorder="1"/>
    <xf numFmtId="0" fontId="35" fillId="5" borderId="2" xfId="0" applyFont="1" applyFill="1" applyBorder="1"/>
    <xf numFmtId="0" fontId="8" fillId="0" borderId="0" xfId="2" applyFont="1"/>
    <xf numFmtId="0" fontId="29" fillId="0" borderId="0" xfId="0" applyFont="1"/>
    <xf numFmtId="41" fontId="8" fillId="0" borderId="11" xfId="2" applyNumberFormat="1" applyFont="1" applyBorder="1"/>
    <xf numFmtId="41" fontId="8" fillId="0" borderId="12" xfId="2" applyNumberFormat="1" applyFont="1" applyBorder="1"/>
    <xf numFmtId="41" fontId="8" fillId="0" borderId="14" xfId="2" applyNumberFormat="1" applyFont="1" applyBorder="1"/>
    <xf numFmtId="43" fontId="8" fillId="0" borderId="6" xfId="2" applyNumberFormat="1" applyFont="1" applyBorder="1"/>
    <xf numFmtId="41" fontId="8" fillId="0" borderId="1" xfId="2" applyNumberFormat="1" applyFont="1" applyBorder="1"/>
    <xf numFmtId="41" fontId="8" fillId="0" borderId="1" xfId="2" applyNumberFormat="1" applyFont="1" applyBorder="1" applyAlignment="1">
      <alignment horizontal="center"/>
    </xf>
    <xf numFmtId="43" fontId="8" fillId="0" borderId="1" xfId="2" applyNumberFormat="1" applyFont="1" applyFill="1" applyBorder="1"/>
    <xf numFmtId="43" fontId="8" fillId="0" borderId="1" xfId="2" applyNumberFormat="1" applyFont="1" applyBorder="1"/>
    <xf numFmtId="41" fontId="8" fillId="0" borderId="13" xfId="2" applyNumberFormat="1" applyFont="1" applyBorder="1"/>
    <xf numFmtId="41" fontId="8" fillId="0" borderId="15" xfId="2" applyNumberFormat="1" applyFont="1" applyBorder="1"/>
    <xf numFmtId="43" fontId="8" fillId="0" borderId="15" xfId="2" applyNumberFormat="1" applyFont="1" applyBorder="1"/>
    <xf numFmtId="41" fontId="8" fillId="0" borderId="0" xfId="2" applyNumberFormat="1" applyFont="1" applyBorder="1"/>
    <xf numFmtId="43" fontId="8" fillId="0" borderId="5" xfId="2" applyNumberFormat="1" applyFont="1" applyBorder="1"/>
    <xf numFmtId="43" fontId="8" fillId="0" borderId="0" xfId="2" applyNumberFormat="1" applyFont="1" applyBorder="1"/>
    <xf numFmtId="41" fontId="8" fillId="0" borderId="1" xfId="2" applyNumberFormat="1" applyFont="1" applyBorder="1" applyAlignment="1">
      <alignment horizontal="right"/>
    </xf>
    <xf numFmtId="43" fontId="29" fillId="0" borderId="0" xfId="0" applyNumberFormat="1" applyFont="1"/>
    <xf numFmtId="41" fontId="3" fillId="0" borderId="13" xfId="2" applyNumberFormat="1" applyFont="1" applyBorder="1"/>
    <xf numFmtId="43" fontId="8" fillId="0" borderId="7" xfId="2" applyNumberFormat="1" applyFont="1" applyBorder="1"/>
    <xf numFmtId="166" fontId="8" fillId="0" borderId="0" xfId="2" applyNumberFormat="1" applyFont="1" applyBorder="1"/>
    <xf numFmtId="41" fontId="8" fillId="0" borderId="7" xfId="2" applyNumberFormat="1" applyFont="1" applyBorder="1"/>
    <xf numFmtId="9" fontId="3" fillId="0" borderId="1" xfId="2" applyNumberFormat="1" applyFont="1" applyBorder="1" applyAlignment="1">
      <alignment horizontal="center"/>
    </xf>
    <xf numFmtId="41" fontId="16" fillId="0" borderId="0" xfId="2" applyNumberFormat="1" applyFont="1" applyBorder="1"/>
    <xf numFmtId="43" fontId="3" fillId="0" borderId="6" xfId="2" applyNumberFormat="1" applyFont="1" applyBorder="1" applyAlignment="1">
      <alignment horizontal="center" vertical="center"/>
    </xf>
    <xf numFmtId="0" fontId="8" fillId="0" borderId="0" xfId="2" applyFont="1" applyBorder="1"/>
    <xf numFmtId="41" fontId="8" fillId="0" borderId="0" xfId="0" applyNumberFormat="1" applyFont="1" applyFill="1" applyBorder="1"/>
    <xf numFmtId="41" fontId="8" fillId="0" borderId="0" xfId="0" applyNumberFormat="1" applyFont="1"/>
    <xf numFmtId="41" fontId="8" fillId="0" borderId="1" xfId="0" applyNumberFormat="1" applyFont="1" applyBorder="1"/>
    <xf numFmtId="43" fontId="8" fillId="0" borderId="1" xfId="0" applyNumberFormat="1" applyFont="1" applyFill="1" applyBorder="1"/>
    <xf numFmtId="41" fontId="8" fillId="0" borderId="7" xfId="0" applyNumberFormat="1" applyFont="1" applyBorder="1"/>
    <xf numFmtId="41" fontId="8" fillId="0" borderId="0" xfId="0" applyNumberFormat="1" applyFont="1" applyBorder="1"/>
    <xf numFmtId="41" fontId="8" fillId="0" borderId="5" xfId="0" applyNumberFormat="1" applyFont="1" applyBorder="1"/>
    <xf numFmtId="43" fontId="8" fillId="0" borderId="0" xfId="0" applyNumberFormat="1" applyFont="1" applyFill="1" applyBorder="1"/>
    <xf numFmtId="41" fontId="16" fillId="0" borderId="0" xfId="0" applyNumberFormat="1" applyFont="1" applyBorder="1"/>
    <xf numFmtId="43" fontId="8" fillId="0" borderId="0" xfId="0" applyNumberFormat="1" applyFont="1" applyFill="1"/>
    <xf numFmtId="41" fontId="3" fillId="0" borderId="0" xfId="0" applyNumberFormat="1" applyFont="1" applyBorder="1"/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172" fontId="8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8" fillId="2" borderId="0" xfId="0" applyFont="1" applyFill="1" applyBorder="1"/>
    <xf numFmtId="0" fontId="8" fillId="0" borderId="5" xfId="0" applyFont="1" applyFill="1" applyBorder="1"/>
    <xf numFmtId="0" fontId="8" fillId="2" borderId="5" xfId="0" applyFont="1" applyFill="1" applyBorder="1"/>
    <xf numFmtId="0" fontId="8" fillId="0" borderId="1" xfId="0" applyFont="1" applyFill="1" applyBorder="1"/>
    <xf numFmtId="4" fontId="8" fillId="2" borderId="5" xfId="0" applyNumberFormat="1" applyFont="1" applyFill="1" applyBorder="1"/>
    <xf numFmtId="0" fontId="8" fillId="2" borderId="5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4" fontId="8" fillId="2" borderId="1" xfId="0" applyNumberFormat="1" applyFont="1" applyFill="1" applyBorder="1"/>
    <xf numFmtId="4" fontId="8" fillId="0" borderId="1" xfId="0" applyNumberFormat="1" applyFont="1" applyFill="1" applyBorder="1"/>
    <xf numFmtId="0" fontId="8" fillId="0" borderId="1" xfId="0" applyFont="1" applyFill="1" applyBorder="1" applyAlignment="1">
      <alignment wrapText="1"/>
    </xf>
    <xf numFmtId="4" fontId="8" fillId="0" borderId="5" xfId="0" applyNumberFormat="1" applyFont="1" applyFill="1" applyBorder="1"/>
    <xf numFmtId="0" fontId="8" fillId="0" borderId="8" xfId="0" applyFont="1" applyFill="1" applyBorder="1"/>
    <xf numFmtId="0" fontId="8" fillId="0" borderId="1" xfId="0" applyFont="1" applyFill="1" applyBorder="1" applyAlignment="1">
      <alignment horizontal="left" vertical="center"/>
    </xf>
    <xf numFmtId="4" fontId="8" fillId="0" borderId="1" xfId="0" applyNumberFormat="1" applyFont="1" applyFill="1" applyBorder="1" applyAlignment="1">
      <alignment horizontal="right" vertical="center"/>
    </xf>
    <xf numFmtId="0" fontId="8" fillId="2" borderId="3" xfId="0" applyFont="1" applyFill="1" applyBorder="1"/>
    <xf numFmtId="9" fontId="8" fillId="2" borderId="1" xfId="0" applyNumberFormat="1" applyFont="1" applyFill="1" applyBorder="1"/>
    <xf numFmtId="0" fontId="8" fillId="2" borderId="6" xfId="0" applyFont="1" applyFill="1" applyBorder="1"/>
    <xf numFmtId="4" fontId="8" fillId="0" borderId="6" xfId="0" applyNumberFormat="1" applyFont="1" applyFill="1" applyBorder="1"/>
    <xf numFmtId="0" fontId="8" fillId="2" borderId="3" xfId="0" applyFont="1" applyFill="1" applyBorder="1" applyAlignment="1">
      <alignment horizontal="center"/>
    </xf>
    <xf numFmtId="0" fontId="8" fillId="2" borderId="1" xfId="0" applyFont="1" applyFill="1" applyBorder="1" applyAlignment="1"/>
    <xf numFmtId="0" fontId="8" fillId="2" borderId="0" xfId="0" applyFont="1" applyFill="1" applyBorder="1" applyAlignment="1">
      <alignment wrapText="1"/>
    </xf>
    <xf numFmtId="4" fontId="8" fillId="2" borderId="0" xfId="0" applyNumberFormat="1" applyFont="1" applyFill="1"/>
    <xf numFmtId="0" fontId="8" fillId="2" borderId="0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vertical="top" wrapText="1"/>
    </xf>
    <xf numFmtId="0" fontId="35" fillId="5" borderId="1" xfId="0" applyFont="1" applyFill="1" applyBorder="1" applyAlignment="1"/>
    <xf numFmtId="0" fontId="3" fillId="0" borderId="1" xfId="0" applyFont="1" applyBorder="1" applyAlignment="1">
      <alignment horizontal="left"/>
    </xf>
    <xf numFmtId="0" fontId="35" fillId="5" borderId="1" xfId="0" applyFont="1" applyFill="1" applyBorder="1" applyAlignment="1">
      <alignment horizontal="left"/>
    </xf>
    <xf numFmtId="0" fontId="3" fillId="0" borderId="0" xfId="0" applyFont="1" applyAlignment="1"/>
    <xf numFmtId="4" fontId="8" fillId="0" borderId="0" xfId="0" applyNumberFormat="1" applyFont="1"/>
    <xf numFmtId="4" fontId="8" fillId="0" borderId="1" xfId="0" applyNumberFormat="1" applyFont="1" applyBorder="1" applyAlignment="1">
      <alignment horizontal="center"/>
    </xf>
    <xf numFmtId="4" fontId="8" fillId="0" borderId="0" xfId="0" applyNumberFormat="1" applyFont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35" fillId="5" borderId="1" xfId="0" applyFont="1" applyFill="1" applyBorder="1" applyAlignment="1">
      <alignment horizontal="center" vertical="top"/>
    </xf>
    <xf numFmtId="4" fontId="8" fillId="0" borderId="0" xfId="0" applyNumberFormat="1" applyFont="1" applyBorder="1" applyAlignment="1">
      <alignment horizontal="center"/>
    </xf>
    <xf numFmtId="0" fontId="36" fillId="5" borderId="1" xfId="0" applyFont="1" applyFill="1" applyBorder="1" applyAlignment="1">
      <alignment horizontal="left"/>
    </xf>
    <xf numFmtId="4" fontId="36" fillId="5" borderId="1" xfId="0" applyNumberFormat="1" applyFont="1" applyFill="1" applyBorder="1" applyAlignment="1">
      <alignment horizontal="center"/>
    </xf>
    <xf numFmtId="4" fontId="36" fillId="5" borderId="0" xfId="0" applyNumberFormat="1" applyFont="1" applyFill="1" applyBorder="1" applyAlignment="1">
      <alignment horizontal="center"/>
    </xf>
    <xf numFmtId="0" fontId="39" fillId="0" borderId="1" xfId="0" applyFont="1" applyFill="1" applyBorder="1" applyAlignment="1"/>
    <xf numFmtId="0" fontId="39" fillId="0" borderId="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35" fillId="5" borderId="1" xfId="3" applyFont="1" applyFill="1" applyBorder="1" applyAlignment="1">
      <alignment horizontal="center"/>
    </xf>
    <xf numFmtId="0" fontId="8" fillId="0" borderId="1" xfId="3" applyFont="1" applyBorder="1"/>
    <xf numFmtId="176" fontId="8" fillId="0" borderId="17" xfId="3" applyNumberFormat="1" applyFont="1" applyFill="1" applyBorder="1" applyAlignment="1">
      <alignment horizontal="center"/>
    </xf>
    <xf numFmtId="176" fontId="8" fillId="0" borderId="18" xfId="3" applyNumberFormat="1" applyFont="1" applyFill="1" applyBorder="1" applyAlignment="1">
      <alignment horizontal="center"/>
    </xf>
    <xf numFmtId="176" fontId="8" fillId="0" borderId="1" xfId="3" applyNumberFormat="1" applyFont="1" applyFill="1" applyBorder="1" applyAlignment="1">
      <alignment horizontal="center"/>
    </xf>
    <xf numFmtId="0" fontId="3" fillId="0" borderId="0" xfId="3" applyFont="1" applyAlignment="1">
      <alignment horizontal="center"/>
    </xf>
    <xf numFmtId="0" fontId="8" fillId="0" borderId="1" xfId="3" applyFont="1" applyBorder="1" applyAlignment="1">
      <alignment horizontal="center"/>
    </xf>
    <xf numFmtId="0" fontId="8" fillId="0" borderId="19" xfId="3" applyFont="1" applyFill="1" applyBorder="1" applyAlignment="1">
      <alignment horizontal="center"/>
    </xf>
    <xf numFmtId="0" fontId="8" fillId="0" borderId="20" xfId="3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8" fillId="4" borderId="1" xfId="0" applyFont="1" applyFill="1" applyBorder="1"/>
    <xf numFmtId="4" fontId="35" fillId="5" borderId="6" xfId="0" applyNumberFormat="1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4" fontId="35" fillId="5" borderId="6" xfId="0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9" fontId="8" fillId="0" borderId="1" xfId="0" applyNumberFormat="1" applyFont="1" applyBorder="1"/>
    <xf numFmtId="9" fontId="8" fillId="0" borderId="6" xfId="0" applyNumberFormat="1" applyFont="1" applyFill="1" applyBorder="1"/>
    <xf numFmtId="0" fontId="35" fillId="5" borderId="1" xfId="0" applyFont="1" applyFill="1" applyBorder="1" applyAlignment="1">
      <alignment horizontal="center"/>
    </xf>
    <xf numFmtId="0" fontId="35" fillId="5" borderId="6" xfId="0" applyFont="1" applyFill="1" applyBorder="1" applyAlignment="1">
      <alignment horizontal="center"/>
    </xf>
    <xf numFmtId="4" fontId="35" fillId="5" borderId="6" xfId="0" applyNumberFormat="1" applyFont="1" applyFill="1" applyBorder="1" applyAlignment="1">
      <alignment horizontal="center"/>
    </xf>
    <xf numFmtId="165" fontId="17" fillId="0" borderId="0" xfId="0" applyNumberFormat="1" applyFont="1" applyAlignment="1">
      <alignment vertical="center" wrapText="1"/>
    </xf>
    <xf numFmtId="165" fontId="0" fillId="0" borderId="0" xfId="0" applyNumberFormat="1"/>
    <xf numFmtId="0" fontId="2" fillId="0" borderId="5" xfId="0" applyFont="1" applyBorder="1" applyAlignment="1">
      <alignment horizontal="left" vertical="center"/>
    </xf>
    <xf numFmtId="165" fontId="2" fillId="0" borderId="5" xfId="1" applyNumberFormat="1" applyFont="1" applyBorder="1" applyAlignment="1">
      <alignment horizontal="right" vertical="center" wrapText="1"/>
    </xf>
    <xf numFmtId="165" fontId="2" fillId="0" borderId="0" xfId="0" applyNumberFormat="1" applyFont="1" applyAlignment="1">
      <alignment horizontal="right" vertical="center" wrapText="1"/>
    </xf>
    <xf numFmtId="165" fontId="2" fillId="0" borderId="0" xfId="1" applyNumberFormat="1" applyFont="1" applyAlignment="1">
      <alignment horizontal="right" vertical="center" wrapText="1"/>
    </xf>
    <xf numFmtId="0" fontId="2" fillId="0" borderId="1" xfId="0" applyFont="1" applyBorder="1" applyAlignment="1">
      <alignment horizontal="left" vertical="center"/>
    </xf>
    <xf numFmtId="165" fontId="2" fillId="0" borderId="1" xfId="1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/>
    </xf>
    <xf numFmtId="165" fontId="2" fillId="0" borderId="5" xfId="0" applyNumberFormat="1" applyFont="1" applyFill="1" applyBorder="1" applyAlignment="1">
      <alignment horizontal="right" vertical="center" wrapText="1"/>
    </xf>
    <xf numFmtId="165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 applyAlignment="1">
      <alignment horizontal="justify" vertical="center"/>
    </xf>
    <xf numFmtId="0" fontId="2" fillId="0" borderId="0" xfId="0" applyFont="1" applyBorder="1" applyAlignment="1">
      <alignment horizontal="justify" vertical="center"/>
    </xf>
    <xf numFmtId="0" fontId="6" fillId="0" borderId="5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center" wrapText="1"/>
    </xf>
    <xf numFmtId="173" fontId="0" fillId="0" borderId="0" xfId="4" applyNumberFormat="1" applyFont="1"/>
    <xf numFmtId="0" fontId="2" fillId="0" borderId="1" xfId="0" applyFont="1" applyBorder="1" applyAlignment="1">
      <alignment horizontal="left" vertical="center" wrapText="1"/>
    </xf>
    <xf numFmtId="165" fontId="0" fillId="0" borderId="1" xfId="0" applyNumberFormat="1" applyBorder="1"/>
    <xf numFmtId="0" fontId="0" fillId="0" borderId="5" xfId="0" applyBorder="1"/>
    <xf numFmtId="0" fontId="2" fillId="0" borderId="5" xfId="0" applyFont="1" applyBorder="1" applyAlignment="1">
      <alignment horizontal="center"/>
    </xf>
    <xf numFmtId="9" fontId="0" fillId="0" borderId="5" xfId="4" applyFont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0" borderId="1" xfId="4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5" fillId="5" borderId="11" xfId="0" applyFont="1" applyFill="1" applyBorder="1" applyAlignment="1">
      <alignment horizontal="center"/>
    </xf>
    <xf numFmtId="4" fontId="35" fillId="5" borderId="1" xfId="0" applyNumberFormat="1" applyFont="1" applyFill="1" applyBorder="1" applyAlignment="1">
      <alignment horizontal="center"/>
    </xf>
    <xf numFmtId="0" fontId="2" fillId="0" borderId="21" xfId="0" applyFont="1" applyBorder="1" applyAlignment="1">
      <alignment horizontal="left" vertical="center"/>
    </xf>
    <xf numFmtId="4" fontId="35" fillId="5" borderId="6" xfId="0" applyNumberFormat="1" applyFont="1" applyFill="1" applyBorder="1" applyAlignment="1">
      <alignment horizontal="center"/>
    </xf>
    <xf numFmtId="0" fontId="43" fillId="0" borderId="11" xfId="5" applyFont="1" applyBorder="1"/>
    <xf numFmtId="181" fontId="44" fillId="0" borderId="4" xfId="5" applyNumberFormat="1" applyFont="1" applyBorder="1" applyAlignment="1">
      <alignment horizontal="right"/>
    </xf>
    <xf numFmtId="0" fontId="43" fillId="0" borderId="14" xfId="5" applyFont="1" applyBorder="1"/>
    <xf numFmtId="0" fontId="43" fillId="0" borderId="0" xfId="5" applyFont="1" applyBorder="1"/>
    <xf numFmtId="0" fontId="45" fillId="5" borderId="1" xfId="2" applyFont="1" applyFill="1" applyBorder="1" applyAlignment="1">
      <alignment horizontal="center"/>
    </xf>
    <xf numFmtId="0" fontId="8" fillId="0" borderId="1" xfId="0" applyNumberFormat="1" applyFont="1" applyBorder="1"/>
    <xf numFmtId="0" fontId="35" fillId="5" borderId="6" xfId="0" applyFont="1" applyFill="1" applyBorder="1" applyAlignment="1">
      <alignment horizontal="center" vertical="center"/>
    </xf>
    <xf numFmtId="4" fontId="35" fillId="5" borderId="6" xfId="0" applyNumberFormat="1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76" fontId="8" fillId="0" borderId="0" xfId="3" applyNumberFormat="1" applyFont="1" applyFill="1" applyBorder="1" applyAlignment="1">
      <alignment horizontal="center"/>
    </xf>
    <xf numFmtId="0" fontId="8" fillId="0" borderId="16" xfId="3" applyFont="1" applyFill="1" applyBorder="1" applyAlignment="1">
      <alignment horizontal="center"/>
    </xf>
    <xf numFmtId="176" fontId="8" fillId="0" borderId="22" xfId="3" applyNumberFormat="1" applyFont="1" applyFill="1" applyBorder="1" applyAlignment="1">
      <alignment horizontal="center"/>
    </xf>
    <xf numFmtId="0" fontId="8" fillId="0" borderId="0" xfId="3" applyFont="1" applyBorder="1"/>
    <xf numFmtId="0" fontId="8" fillId="0" borderId="0" xfId="3" applyFont="1" applyBorder="1" applyAlignment="1">
      <alignment horizontal="center"/>
    </xf>
    <xf numFmtId="177" fontId="8" fillId="0" borderId="0" xfId="3" applyNumberFormat="1" applyFont="1" applyBorder="1" applyAlignment="1">
      <alignment horizontal="center"/>
    </xf>
    <xf numFmtId="0" fontId="42" fillId="0" borderId="1" xfId="3" applyFont="1" applyFill="1" applyBorder="1" applyAlignment="1">
      <alignment horizontal="center"/>
    </xf>
    <xf numFmtId="182" fontId="8" fillId="0" borderId="10" xfId="3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8" fillId="0" borderId="16" xfId="3" applyFont="1" applyBorder="1" applyAlignment="1">
      <alignment horizontal="left"/>
    </xf>
    <xf numFmtId="0" fontId="8" fillId="0" borderId="1" xfId="3" applyFont="1" applyBorder="1" applyAlignment="1">
      <alignment horizontal="left"/>
    </xf>
    <xf numFmtId="0" fontId="2" fillId="0" borderId="1" xfId="5" applyFont="1" applyBorder="1"/>
    <xf numFmtId="181" fontId="19" fillId="0" borderId="1" xfId="5" applyNumberFormat="1" applyFont="1" applyBorder="1" applyAlignment="1">
      <alignment horizontal="right"/>
    </xf>
    <xf numFmtId="10" fontId="19" fillId="0" borderId="1" xfId="5" applyNumberFormat="1" applyFont="1" applyBorder="1" applyAlignment="1">
      <alignment horizontal="right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right"/>
    </xf>
    <xf numFmtId="0" fontId="47" fillId="0" borderId="1" xfId="0" applyFont="1" applyFill="1" applyBorder="1"/>
    <xf numFmtId="0" fontId="46" fillId="0" borderId="1" xfId="0" applyFont="1" applyFill="1" applyBorder="1" applyAlignment="1">
      <alignment horizontal="center" wrapText="1"/>
    </xf>
    <xf numFmtId="0" fontId="47" fillId="0" borderId="1" xfId="0" applyFont="1" applyFill="1" applyBorder="1" applyAlignment="1">
      <alignment horizontal="right"/>
    </xf>
    <xf numFmtId="0" fontId="46" fillId="0" borderId="1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6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right" indent="1"/>
    </xf>
    <xf numFmtId="4" fontId="35" fillId="5" borderId="6" xfId="0" applyNumberFormat="1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 vertical="center"/>
    </xf>
    <xf numFmtId="4" fontId="48" fillId="5" borderId="1" xfId="0" applyNumberFormat="1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vertical="center"/>
    </xf>
    <xf numFmtId="4" fontId="27" fillId="0" borderId="0" xfId="0" applyNumberFormat="1" applyFont="1" applyFill="1" applyBorder="1" applyAlignment="1">
      <alignment horizontal="center" vertical="center"/>
    </xf>
    <xf numFmtId="172" fontId="27" fillId="0" borderId="11" xfId="0" applyNumberFormat="1" applyFont="1" applyFill="1" applyBorder="1" applyAlignment="1">
      <alignment horizontal="center" vertical="center"/>
    </xf>
    <xf numFmtId="172" fontId="27" fillId="0" borderId="12" xfId="0" applyNumberFormat="1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vertical="center"/>
    </xf>
    <xf numFmtId="172" fontId="27" fillId="0" borderId="13" xfId="0" applyNumberFormat="1" applyFont="1" applyFill="1" applyBorder="1" applyAlignment="1">
      <alignment horizontal="center" vertical="center"/>
    </xf>
    <xf numFmtId="172" fontId="27" fillId="0" borderId="15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/>
    </xf>
    <xf numFmtId="4" fontId="26" fillId="0" borderId="0" xfId="0" applyNumberFormat="1" applyFont="1" applyFill="1" applyBorder="1" applyAlignment="1">
      <alignment horizontal="center" vertical="center"/>
    </xf>
    <xf numFmtId="183" fontId="27" fillId="0" borderId="0" xfId="0" applyNumberFormat="1" applyFont="1" applyFill="1" applyBorder="1" applyAlignment="1">
      <alignment horizontal="center" vertical="center"/>
    </xf>
    <xf numFmtId="0" fontId="27" fillId="0" borderId="7" xfId="0" applyFont="1" applyBorder="1" applyAlignment="1">
      <alignment vertical="center"/>
    </xf>
    <xf numFmtId="4" fontId="27" fillId="0" borderId="0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vertical="center"/>
    </xf>
    <xf numFmtId="4" fontId="27" fillId="0" borderId="9" xfId="0" applyNumberFormat="1" applyFont="1" applyBorder="1" applyAlignment="1">
      <alignment horizontal="center" vertical="center"/>
    </xf>
    <xf numFmtId="0" fontId="27" fillId="0" borderId="6" xfId="0" applyFont="1" applyFill="1" applyBorder="1" applyAlignment="1">
      <alignment vertical="center"/>
    </xf>
    <xf numFmtId="4" fontId="27" fillId="4" borderId="6" xfId="0" applyNumberFormat="1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vertical="center"/>
    </xf>
    <xf numFmtId="4" fontId="27" fillId="4" borderId="7" xfId="0" applyNumberFormat="1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4" fontId="27" fillId="2" borderId="5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4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 applyBorder="1"/>
    <xf numFmtId="0" fontId="26" fillId="0" borderId="11" xfId="0" applyFont="1" applyBorder="1" applyAlignment="1">
      <alignment horizontal="left" vertical="center"/>
    </xf>
    <xf numFmtId="0" fontId="26" fillId="0" borderId="6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Continuous" vertical="center"/>
    </xf>
    <xf numFmtId="0" fontId="27" fillId="2" borderId="11" xfId="0" applyFont="1" applyFill="1" applyBorder="1" applyAlignment="1">
      <alignment vertical="center"/>
    </xf>
    <xf numFmtId="0" fontId="27" fillId="2" borderId="13" xfId="0" applyFont="1" applyFill="1" applyBorder="1" applyAlignment="1">
      <alignment vertical="center"/>
    </xf>
    <xf numFmtId="0" fontId="27" fillId="2" borderId="8" xfId="0" applyFont="1" applyFill="1" applyBorder="1" applyAlignment="1">
      <alignment vertical="center"/>
    </xf>
    <xf numFmtId="0" fontId="26" fillId="2" borderId="6" xfId="0" applyFont="1" applyFill="1" applyBorder="1" applyAlignment="1">
      <alignment horizontal="left" vertical="center"/>
    </xf>
    <xf numFmtId="0" fontId="26" fillId="2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26" fillId="2" borderId="12" xfId="0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left" vertical="center"/>
    </xf>
    <xf numFmtId="0" fontId="26" fillId="0" borderId="11" xfId="0" applyFont="1" applyBorder="1" applyAlignment="1">
      <alignment horizontal="center" vertical="center"/>
    </xf>
    <xf numFmtId="0" fontId="27" fillId="4" borderId="13" xfId="0" applyFont="1" applyFill="1" applyBorder="1" applyAlignment="1">
      <alignment vertical="center"/>
    </xf>
    <xf numFmtId="4" fontId="27" fillId="0" borderId="7" xfId="0" applyNumberFormat="1" applyFont="1" applyFill="1" applyBorder="1" applyAlignment="1">
      <alignment horizontal="center" vertical="center"/>
    </xf>
    <xf numFmtId="0" fontId="26" fillId="4" borderId="13" xfId="0" applyFont="1" applyFill="1" applyBorder="1" applyAlignment="1">
      <alignment horizontal="left" vertical="center"/>
    </xf>
    <xf numFmtId="0" fontId="26" fillId="0" borderId="7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Continuous" vertical="center"/>
    </xf>
    <xf numFmtId="0" fontId="27" fillId="2" borderId="21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4" fontId="27" fillId="4" borderId="5" xfId="0" applyNumberFormat="1" applyFont="1" applyFill="1" applyBorder="1" applyAlignment="1">
      <alignment horizontal="center" vertical="center"/>
    </xf>
    <xf numFmtId="0" fontId="27" fillId="0" borderId="0" xfId="0" applyFont="1"/>
    <xf numFmtId="0" fontId="48" fillId="5" borderId="3" xfId="0" applyFont="1" applyFill="1" applyBorder="1" applyAlignment="1">
      <alignment vertical="center"/>
    </xf>
    <xf numFmtId="0" fontId="27" fillId="0" borderId="11" xfId="0" applyFont="1" applyFill="1" applyBorder="1" applyAlignment="1">
      <alignment vertical="center"/>
    </xf>
    <xf numFmtId="4" fontId="27" fillId="0" borderId="6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48" fillId="5" borderId="1" xfId="0" applyFont="1" applyFill="1" applyBorder="1" applyAlignment="1">
      <alignment vertical="center"/>
    </xf>
    <xf numFmtId="4" fontId="48" fillId="5" borderId="1" xfId="0" applyNumberFormat="1" applyFont="1" applyFill="1" applyBorder="1" applyAlignment="1">
      <alignment horizontal="center" vertical="center" wrapText="1"/>
    </xf>
    <xf numFmtId="4" fontId="27" fillId="2" borderId="6" xfId="0" applyNumberFormat="1" applyFont="1" applyFill="1" applyBorder="1" applyAlignment="1">
      <alignment vertical="center"/>
    </xf>
    <xf numFmtId="10" fontId="27" fillId="2" borderId="6" xfId="0" applyNumberFormat="1" applyFont="1" applyFill="1" applyBorder="1" applyAlignment="1">
      <alignment horizontal="center" vertical="center"/>
    </xf>
    <xf numFmtId="173" fontId="27" fillId="2" borderId="6" xfId="0" applyNumberFormat="1" applyFont="1" applyFill="1" applyBorder="1" applyAlignment="1">
      <alignment horizontal="center" vertical="center"/>
    </xf>
    <xf numFmtId="4" fontId="27" fillId="2" borderId="7" xfId="0" applyNumberFormat="1" applyFont="1" applyFill="1" applyBorder="1" applyAlignment="1">
      <alignment vertical="center"/>
    </xf>
    <xf numFmtId="10" fontId="27" fillId="2" borderId="7" xfId="0" applyNumberFormat="1" applyFont="1" applyFill="1" applyBorder="1" applyAlignment="1">
      <alignment horizontal="center" vertical="center"/>
    </xf>
    <xf numFmtId="173" fontId="27" fillId="2" borderId="7" xfId="0" applyNumberFormat="1" applyFont="1" applyFill="1" applyBorder="1" applyAlignment="1">
      <alignment horizontal="center" vertical="center"/>
    </xf>
    <xf numFmtId="4" fontId="27" fillId="2" borderId="5" xfId="0" applyNumberFormat="1" applyFont="1" applyFill="1" applyBorder="1" applyAlignment="1">
      <alignment vertical="center"/>
    </xf>
    <xf numFmtId="10" fontId="27" fillId="2" borderId="5" xfId="0" applyNumberFormat="1" applyFont="1" applyFill="1" applyBorder="1" applyAlignment="1">
      <alignment horizontal="center" vertical="center"/>
    </xf>
    <xf numFmtId="173" fontId="27" fillId="2" borderId="5" xfId="0" applyNumberFormat="1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vertical="center"/>
    </xf>
    <xf numFmtId="0" fontId="48" fillId="5" borderId="2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vertical="center"/>
    </xf>
    <xf numFmtId="4" fontId="27" fillId="0" borderId="5" xfId="0" applyNumberFormat="1" applyFont="1" applyFill="1" applyBorder="1" applyAlignment="1">
      <alignment horizontal="center" vertical="center"/>
    </xf>
    <xf numFmtId="0" fontId="27" fillId="0" borderId="5" xfId="0" applyFont="1" applyBorder="1"/>
    <xf numFmtId="2" fontId="27" fillId="0" borderId="5" xfId="0" applyNumberFormat="1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0" xfId="0" applyFont="1" applyBorder="1"/>
    <xf numFmtId="0" fontId="8" fillId="0" borderId="4" xfId="0" applyFont="1" applyBorder="1" applyAlignment="1">
      <alignment horizontal="center"/>
    </xf>
    <xf numFmtId="2" fontId="8" fillId="0" borderId="1" xfId="0" applyNumberFormat="1" applyFont="1" applyBorder="1"/>
    <xf numFmtId="3" fontId="8" fillId="0" borderId="1" xfId="0" applyNumberFormat="1" applyFont="1" applyBorder="1" applyAlignment="1">
      <alignment horizontal="center"/>
    </xf>
    <xf numFmtId="0" fontId="35" fillId="0" borderId="3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49" fillId="7" borderId="1" xfId="0" applyFont="1" applyFill="1" applyBorder="1" applyAlignment="1">
      <alignment horizontal="center" vertical="center"/>
    </xf>
    <xf numFmtId="0" fontId="50" fillId="7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left" vertical="center" indent="1"/>
    </xf>
    <xf numFmtId="184" fontId="51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left" vertical="center" indent="1"/>
    </xf>
    <xf numFmtId="0" fontId="45" fillId="7" borderId="1" xfId="0" applyFont="1" applyFill="1" applyBorder="1" applyAlignment="1">
      <alignment horizontal="center" vertical="center"/>
    </xf>
    <xf numFmtId="9" fontId="51" fillId="0" borderId="1" xfId="0" applyNumberFormat="1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2" fillId="0" borderId="0" xfId="0" applyFont="1"/>
    <xf numFmtId="0" fontId="10" fillId="0" borderId="1" xfId="0" applyFont="1" applyBorder="1"/>
    <xf numFmtId="165" fontId="10" fillId="0" borderId="1" xfId="0" applyNumberFormat="1" applyFont="1" applyBorder="1"/>
    <xf numFmtId="0" fontId="49" fillId="5" borderId="1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/>
    </xf>
    <xf numFmtId="185" fontId="10" fillId="0" borderId="1" xfId="0" applyNumberFormat="1" applyFont="1" applyBorder="1"/>
    <xf numFmtId="0" fontId="49" fillId="5" borderId="1" xfId="0" applyFont="1" applyFill="1" applyBorder="1" applyAlignment="1">
      <alignment horizontal="center"/>
    </xf>
    <xf numFmtId="0" fontId="49" fillId="5" borderId="1" xfId="0" applyFont="1" applyFill="1" applyBorder="1" applyAlignment="1"/>
    <xf numFmtId="0" fontId="0" fillId="0" borderId="1" xfId="0" quotePrefix="1" applyBorder="1"/>
    <xf numFmtId="0" fontId="0" fillId="0" borderId="1" xfId="0" applyFont="1" applyBorder="1" applyAlignment="1">
      <alignment horizontal="left" indent="2"/>
    </xf>
    <xf numFmtId="0" fontId="52" fillId="0" borderId="1" xfId="0" applyFont="1" applyBorder="1"/>
    <xf numFmtId="43" fontId="53" fillId="0" borderId="1" xfId="1" applyNumberFormat="1" applyFont="1" applyFill="1" applyBorder="1" applyAlignment="1">
      <alignment horizontal="right"/>
    </xf>
    <xf numFmtId="0" fontId="0" fillId="0" borderId="1" xfId="0" applyBorder="1" applyAlignment="1">
      <alignment horizontal="left" indent="2"/>
    </xf>
    <xf numFmtId="0" fontId="54" fillId="0" borderId="1" xfId="0" applyFont="1" applyFill="1" applyBorder="1"/>
    <xf numFmtId="0" fontId="0" fillId="0" borderId="1" xfId="0" applyBorder="1" applyAlignment="1">
      <alignment horizontal="left" indent="3"/>
    </xf>
    <xf numFmtId="186" fontId="53" fillId="0" borderId="1" xfId="1" applyNumberFormat="1" applyFont="1" applyFill="1" applyBorder="1" applyAlignment="1">
      <alignment horizontal="right" indent="2"/>
    </xf>
    <xf numFmtId="186" fontId="0" fillId="0" borderId="1" xfId="1" applyNumberFormat="1" applyFont="1" applyBorder="1" applyAlignment="1">
      <alignment horizontal="center"/>
    </xf>
    <xf numFmtId="9" fontId="53" fillId="0" borderId="1" xfId="1" applyNumberFormat="1" applyFont="1" applyFill="1" applyBorder="1" applyAlignment="1">
      <alignment horizontal="center"/>
    </xf>
    <xf numFmtId="186" fontId="30" fillId="0" borderId="1" xfId="1" applyNumberFormat="1" applyFont="1" applyBorder="1" applyAlignment="1">
      <alignment horizontal="center"/>
    </xf>
    <xf numFmtId="186" fontId="53" fillId="0" borderId="1" xfId="1" applyNumberFormat="1" applyFont="1" applyBorder="1" applyAlignment="1">
      <alignment horizontal="left" indent="1"/>
    </xf>
    <xf numFmtId="186" fontId="0" fillId="0" borderId="1" xfId="1" applyNumberFormat="1" applyFont="1" applyBorder="1" applyAlignment="1">
      <alignment horizontal="left" indent="1"/>
    </xf>
    <xf numFmtId="43" fontId="56" fillId="0" borderId="0" xfId="1" applyNumberFormat="1" applyFont="1" applyFill="1" applyBorder="1" applyAlignment="1">
      <alignment horizontal="right"/>
    </xf>
    <xf numFmtId="0" fontId="49" fillId="5" borderId="1" xfId="0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49" fillId="5" borderId="3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indent="9"/>
    </xf>
    <xf numFmtId="0" fontId="7" fillId="0" borderId="1" xfId="0" applyFont="1" applyBorder="1"/>
    <xf numFmtId="0" fontId="7" fillId="0" borderId="1" xfId="0" applyFont="1" applyBorder="1" applyAlignme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6" xfId="0" applyFont="1" applyBorder="1" applyAlignment="1">
      <alignment horizontal="right"/>
    </xf>
    <xf numFmtId="165" fontId="7" fillId="0" borderId="1" xfId="0" applyNumberFormat="1" applyFont="1" applyBorder="1" applyAlignment="1">
      <alignment horizontal="center"/>
    </xf>
    <xf numFmtId="0" fontId="7" fillId="0" borderId="1" xfId="0" applyFont="1" applyFill="1" applyBorder="1" applyAlignment="1"/>
    <xf numFmtId="0" fontId="49" fillId="5" borderId="5" xfId="0" applyFont="1" applyFill="1" applyBorder="1" applyAlignment="1">
      <alignment horizontal="center" wrapText="1"/>
    </xf>
    <xf numFmtId="0" fontId="49" fillId="5" borderId="5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8" fillId="0" borderId="0" xfId="0" applyFont="1" applyAlignment="1">
      <alignment horizontal="center" vertical="top"/>
    </xf>
    <xf numFmtId="4" fontId="35" fillId="5" borderId="6" xfId="0" applyNumberFormat="1" applyFont="1" applyFill="1" applyBorder="1" applyAlignment="1">
      <alignment horizontal="center"/>
    </xf>
    <xf numFmtId="0" fontId="35" fillId="5" borderId="6" xfId="0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0" fontId="2" fillId="0" borderId="1" xfId="2" applyBorder="1" applyAlignment="1">
      <alignment vertical="center"/>
    </xf>
    <xf numFmtId="0" fontId="45" fillId="5" borderId="3" xfId="2" applyFont="1" applyFill="1" applyBorder="1" applyAlignment="1">
      <alignment horizontal="center"/>
    </xf>
    <xf numFmtId="0" fontId="37" fillId="5" borderId="1" xfId="2" applyFont="1" applyFill="1" applyBorder="1" applyAlignment="1">
      <alignment horizontal="right"/>
    </xf>
    <xf numFmtId="0" fontId="0" fillId="5" borderId="0" xfId="0" applyFill="1"/>
    <xf numFmtId="0" fontId="35" fillId="5" borderId="14" xfId="2" applyFont="1" applyFill="1" applyBorder="1" applyAlignment="1"/>
    <xf numFmtId="0" fontId="45" fillId="5" borderId="14" xfId="2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 vertical="top"/>
    </xf>
    <xf numFmtId="0" fontId="2" fillId="0" borderId="5" xfId="0" applyFont="1" applyBorder="1" applyAlignment="1">
      <alignment horizontal="justify" vertical="top"/>
    </xf>
    <xf numFmtId="0" fontId="2" fillId="0" borderId="1" xfId="0" applyFont="1" applyBorder="1" applyAlignment="1">
      <alignment horizontal="justify" vertical="top"/>
    </xf>
    <xf numFmtId="0" fontId="37" fillId="5" borderId="1" xfId="0" applyFont="1" applyFill="1" applyBorder="1" applyAlignment="1">
      <alignment horizontal="justify" vertical="top"/>
    </xf>
    <xf numFmtId="0" fontId="37" fillId="5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7" fillId="5" borderId="11" xfId="0" applyFont="1" applyFill="1" applyBorder="1" applyAlignment="1">
      <alignment vertical="top"/>
    </xf>
    <xf numFmtId="0" fontId="37" fillId="5" borderId="14" xfId="0" applyFont="1" applyFill="1" applyBorder="1" applyAlignment="1">
      <alignment vertical="top"/>
    </xf>
    <xf numFmtId="0" fontId="6" fillId="0" borderId="1" xfId="0" applyFont="1" applyBorder="1" applyAlignment="1">
      <alignment horizontal="left" vertical="top"/>
    </xf>
    <xf numFmtId="0" fontId="37" fillId="5" borderId="1" xfId="0" applyFont="1" applyFill="1" applyBorder="1" applyAlignment="1">
      <alignment horizontal="left" vertical="center"/>
    </xf>
    <xf numFmtId="0" fontId="37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37" fillId="5" borderId="5" xfId="0" applyFont="1" applyFill="1" applyBorder="1" applyAlignment="1">
      <alignment horizontal="justify" vertical="top"/>
    </xf>
    <xf numFmtId="0" fontId="35" fillId="5" borderId="5" xfId="0" applyFont="1" applyFill="1" applyBorder="1" applyAlignment="1">
      <alignment horizontal="center" vertical="top"/>
    </xf>
    <xf numFmtId="0" fontId="37" fillId="5" borderId="3" xfId="0" applyFont="1" applyFill="1" applyBorder="1" applyAlignment="1">
      <alignment vertical="top"/>
    </xf>
    <xf numFmtId="0" fontId="6" fillId="0" borderId="1" xfId="0" applyFont="1" applyBorder="1" applyAlignment="1">
      <alignment horizontal="justify" vertical="top"/>
    </xf>
    <xf numFmtId="0" fontId="35" fillId="5" borderId="3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justify" vertical="top"/>
    </xf>
    <xf numFmtId="0" fontId="6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horizontal="justify" vertical="center"/>
    </xf>
    <xf numFmtId="0" fontId="2" fillId="0" borderId="6" xfId="0" applyFont="1" applyBorder="1" applyAlignment="1">
      <alignment horizontal="left" vertical="center"/>
    </xf>
    <xf numFmtId="165" fontId="2" fillId="0" borderId="6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2" fillId="0" borderId="5" xfId="0" applyFont="1" applyFill="1" applyBorder="1" applyAlignment="1">
      <alignment horizontal="justify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1" xfId="0" applyNumberFormat="1" applyFont="1" applyFill="1" applyBorder="1" applyAlignment="1">
      <alignment horizontal="center" vertical="top"/>
    </xf>
    <xf numFmtId="0" fontId="2" fillId="4" borderId="1" xfId="0" applyFont="1" applyFill="1" applyBorder="1"/>
    <xf numFmtId="165" fontId="2" fillId="4" borderId="1" xfId="0" applyNumberFormat="1" applyFont="1" applyFill="1" applyBorder="1" applyAlignment="1">
      <alignment horizontal="center"/>
    </xf>
    <xf numFmtId="0" fontId="2" fillId="0" borderId="1" xfId="0" applyFont="1" applyBorder="1"/>
    <xf numFmtId="0" fontId="6" fillId="0" borderId="1" xfId="0" applyFont="1" applyBorder="1"/>
    <xf numFmtId="0" fontId="2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vertical="center"/>
    </xf>
    <xf numFmtId="0" fontId="37" fillId="5" borderId="1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left" wrapText="1"/>
    </xf>
    <xf numFmtId="0" fontId="37" fillId="5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3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5" fillId="5" borderId="1" xfId="0" applyFont="1" applyFill="1" applyBorder="1" applyAlignment="1">
      <alignment horizontal="center" vertical="center" wrapText="1"/>
    </xf>
    <xf numFmtId="0" fontId="8" fillId="0" borderId="1" xfId="3" applyFont="1" applyFill="1" applyBorder="1"/>
    <xf numFmtId="10" fontId="0" fillId="0" borderId="1" xfId="4" applyNumberFormat="1" applyFont="1" applyBorder="1"/>
    <xf numFmtId="0" fontId="61" fillId="0" borderId="1" xfId="0" applyFont="1" applyBorder="1" applyAlignment="1">
      <alignment vertical="top" wrapText="1"/>
    </xf>
    <xf numFmtId="0" fontId="61" fillId="6" borderId="1" xfId="0" applyFont="1" applyFill="1" applyBorder="1" applyAlignment="1">
      <alignment vertical="top" wrapText="1"/>
    </xf>
    <xf numFmtId="0" fontId="41" fillId="0" borderId="1" xfId="0" applyFont="1" applyBorder="1" applyAlignment="1">
      <alignment vertical="center" wrapText="1"/>
    </xf>
    <xf numFmtId="0" fontId="35" fillId="5" borderId="1" xfId="0" applyFont="1" applyFill="1" applyBorder="1" applyAlignment="1">
      <alignment vertical="center" wrapText="1"/>
    </xf>
    <xf numFmtId="0" fontId="37" fillId="5" borderId="1" xfId="0" applyFont="1" applyFill="1" applyBorder="1" applyAlignment="1">
      <alignment horizontal="center" vertical="top" wrapText="1"/>
    </xf>
    <xf numFmtId="0" fontId="61" fillId="0" borderId="1" xfId="0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165" fontId="61" fillId="0" borderId="1" xfId="0" applyNumberFormat="1" applyFont="1" applyBorder="1" applyAlignment="1">
      <alignment horizontal="center" vertical="center" wrapText="1"/>
    </xf>
    <xf numFmtId="10" fontId="6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7" fillId="0" borderId="1" xfId="2" applyFont="1" applyBorder="1"/>
    <xf numFmtId="2" fontId="27" fillId="0" borderId="1" xfId="2" applyNumberFormat="1" applyFont="1" applyFill="1" applyBorder="1"/>
    <xf numFmtId="0" fontId="27" fillId="0" borderId="1" xfId="2" applyFont="1" applyFill="1" applyBorder="1"/>
    <xf numFmtId="0" fontId="27" fillId="0" borderId="1" xfId="2" applyFont="1" applyBorder="1" applyAlignment="1">
      <alignment horizontal="left"/>
    </xf>
    <xf numFmtId="0" fontId="27" fillId="0" borderId="1" xfId="6" applyFont="1" applyFill="1" applyBorder="1" applyAlignment="1">
      <alignment horizontal="left" vertical="center" wrapText="1"/>
    </xf>
    <xf numFmtId="188" fontId="27" fillId="2" borderId="1" xfId="6" applyNumberFormat="1" applyFont="1" applyFill="1" applyBorder="1" applyAlignment="1">
      <alignment horizontal="left" vertical="center" wrapText="1"/>
    </xf>
    <xf numFmtId="2" fontId="27" fillId="0" borderId="1" xfId="2" applyNumberFormat="1" applyFont="1" applyBorder="1" applyAlignment="1">
      <alignment horizontal="center"/>
    </xf>
    <xf numFmtId="2" fontId="27" fillId="0" borderId="1" xfId="2" applyNumberFormat="1" applyFont="1" applyFill="1" applyBorder="1" applyAlignment="1">
      <alignment horizontal="center"/>
    </xf>
    <xf numFmtId="187" fontId="27" fillId="0" borderId="1" xfId="2" applyNumberFormat="1" applyFont="1" applyFill="1" applyBorder="1" applyAlignment="1">
      <alignment horizontal="center"/>
    </xf>
    <xf numFmtId="0" fontId="27" fillId="0" borderId="1" xfId="2" applyFont="1" applyFill="1" applyBorder="1" applyAlignment="1">
      <alignment horizontal="center"/>
    </xf>
    <xf numFmtId="188" fontId="27" fillId="0" borderId="1" xfId="6" applyNumberFormat="1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left" vertical="center" indent="1"/>
    </xf>
    <xf numFmtId="184" fontId="6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2" borderId="1" xfId="8" applyNumberFormat="1" applyFont="1" applyFill="1" applyBorder="1" applyAlignment="1">
      <alignment horizontal="fill"/>
    </xf>
    <xf numFmtId="0" fontId="4" fillId="0" borderId="1" xfId="0" applyFont="1" applyBorder="1"/>
    <xf numFmtId="2" fontId="4" fillId="0" borderId="1" xfId="0" applyNumberFormat="1" applyFont="1" applyBorder="1"/>
    <xf numFmtId="0" fontId="66" fillId="8" borderId="1" xfId="0" applyFont="1" applyFill="1" applyBorder="1" applyAlignment="1">
      <alignment horizontal="fill"/>
    </xf>
    <xf numFmtId="9" fontId="66" fillId="8" borderId="1" xfId="4" applyFont="1" applyFill="1" applyBorder="1" applyAlignment="1">
      <alignment horizontal="fill"/>
    </xf>
    <xf numFmtId="0" fontId="2" fillId="2" borderId="1" xfId="8" applyNumberFormat="1" applyFont="1" applyFill="1" applyBorder="1" applyAlignment="1">
      <alignment horizontal="fill"/>
    </xf>
    <xf numFmtId="169" fontId="2" fillId="0" borderId="1" xfId="7" applyNumberFormat="1" applyFont="1" applyBorder="1"/>
    <xf numFmtId="169" fontId="2" fillId="0" borderId="3" xfId="7" applyNumberFormat="1" applyFont="1" applyBorder="1" applyAlignment="1"/>
    <xf numFmtId="169" fontId="2" fillId="0" borderId="3" xfId="7" applyNumberFormat="1" applyFont="1" applyBorder="1"/>
    <xf numFmtId="169" fontId="4" fillId="0" borderId="3" xfId="7" applyNumberFormat="1" applyFont="1" applyBorder="1"/>
    <xf numFmtId="169" fontId="2" fillId="0" borderId="1" xfId="7" applyNumberFormat="1" applyFont="1" applyBorder="1" applyAlignment="1"/>
    <xf numFmtId="2" fontId="2" fillId="0" borderId="1" xfId="0" applyNumberFormat="1" applyFont="1" applyBorder="1"/>
    <xf numFmtId="169" fontId="2" fillId="0" borderId="1" xfId="0" applyNumberFormat="1" applyFont="1" applyBorder="1"/>
    <xf numFmtId="9" fontId="2" fillId="0" borderId="1" xfId="4" applyFont="1" applyBorder="1"/>
    <xf numFmtId="0" fontId="67" fillId="0" borderId="1" xfId="0" applyFont="1" applyBorder="1" applyAlignment="1">
      <alignment horizontal="center" wrapText="1"/>
    </xf>
    <xf numFmtId="0" fontId="67" fillId="0" borderId="1" xfId="0" applyFont="1" applyBorder="1" applyAlignment="1">
      <alignment horizontal="center" vertical="center"/>
    </xf>
    <xf numFmtId="41" fontId="2" fillId="2" borderId="1" xfId="0" applyNumberFormat="1" applyFont="1" applyFill="1" applyBorder="1" applyAlignment="1">
      <alignment vertical="center"/>
    </xf>
    <xf numFmtId="173" fontId="2" fillId="0" borderId="1" xfId="4" applyNumberFormat="1" applyFont="1" applyBorder="1"/>
    <xf numFmtId="189" fontId="2" fillId="0" borderId="1" xfId="7" applyNumberFormat="1" applyFont="1" applyBorder="1"/>
    <xf numFmtId="173" fontId="2" fillId="0" borderId="1" xfId="0" applyNumberFormat="1" applyFont="1" applyBorder="1"/>
    <xf numFmtId="10" fontId="2" fillId="0" borderId="1" xfId="0" applyNumberFormat="1" applyFont="1" applyBorder="1"/>
    <xf numFmtId="0" fontId="6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4" fontId="35" fillId="5" borderId="6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37" fillId="5" borderId="6" xfId="0" applyFont="1" applyFill="1" applyBorder="1" applyAlignment="1">
      <alignment horizontal="center" vertical="center"/>
    </xf>
    <xf numFmtId="4" fontId="37" fillId="5" borderId="6" xfId="0" applyNumberFormat="1" applyFont="1" applyFill="1" applyBorder="1" applyAlignment="1">
      <alignment horizontal="center" vertical="center"/>
    </xf>
    <xf numFmtId="0" fontId="37" fillId="5" borderId="1" xfId="0" applyFont="1" applyFill="1" applyBorder="1" applyAlignment="1"/>
    <xf numFmtId="4" fontId="37" fillId="5" borderId="6" xfId="0" applyNumberFormat="1" applyFont="1" applyFill="1" applyBorder="1" applyAlignment="1">
      <alignment horizontal="center"/>
    </xf>
    <xf numFmtId="0" fontId="6" fillId="4" borderId="21" xfId="9" applyFont="1" applyFill="1" applyBorder="1" applyAlignment="1">
      <alignment horizontal="center"/>
    </xf>
    <xf numFmtId="0" fontId="6" fillId="4" borderId="0" xfId="9" applyFont="1" applyFill="1" applyBorder="1" applyAlignment="1">
      <alignment horizontal="center"/>
    </xf>
    <xf numFmtId="0" fontId="6" fillId="4" borderId="26" xfId="9" applyFont="1" applyFill="1" applyBorder="1" applyAlignment="1">
      <alignment horizontal="center"/>
    </xf>
    <xf numFmtId="4" fontId="6" fillId="4" borderId="0" xfId="9" applyNumberFormat="1" applyFont="1" applyFill="1" applyBorder="1" applyAlignment="1">
      <alignment vertical="top"/>
    </xf>
    <xf numFmtId="0" fontId="2" fillId="4" borderId="26" xfId="9" applyFont="1" applyFill="1" applyBorder="1"/>
    <xf numFmtId="0" fontId="2" fillId="4" borderId="21" xfId="9" applyFont="1" applyFill="1" applyBorder="1" applyAlignment="1">
      <alignment vertical="top"/>
    </xf>
    <xf numFmtId="4" fontId="2" fillId="0" borderId="0" xfId="9" applyNumberFormat="1" applyFont="1" applyFill="1" applyBorder="1" applyAlignment="1">
      <alignment horizontal="right" vertical="top"/>
    </xf>
    <xf numFmtId="4" fontId="2" fillId="4" borderId="0" xfId="9" applyNumberFormat="1" applyFont="1" applyFill="1" applyBorder="1" applyAlignment="1">
      <alignment horizontal="right" vertical="top"/>
    </xf>
    <xf numFmtId="0" fontId="2" fillId="4" borderId="21" xfId="9" applyFont="1" applyFill="1" applyBorder="1"/>
    <xf numFmtId="0" fontId="2" fillId="4" borderId="0" xfId="9" applyFont="1" applyFill="1" applyBorder="1" applyAlignment="1">
      <alignment wrapText="1"/>
    </xf>
    <xf numFmtId="4" fontId="2" fillId="4" borderId="0" xfId="9" applyNumberFormat="1" applyFont="1" applyFill="1" applyBorder="1" applyAlignment="1">
      <alignment vertical="top"/>
    </xf>
    <xf numFmtId="0" fontId="6" fillId="4" borderId="0" xfId="9" applyFont="1" applyFill="1" applyBorder="1" applyAlignment="1"/>
    <xf numFmtId="0" fontId="6" fillId="4" borderId="26" xfId="9" applyFont="1" applyFill="1" applyBorder="1" applyAlignment="1"/>
    <xf numFmtId="0" fontId="2" fillId="4" borderId="0" xfId="9" applyFont="1" applyFill="1" applyBorder="1"/>
    <xf numFmtId="173" fontId="2" fillId="4" borderId="0" xfId="4" applyNumberFormat="1" applyFont="1" applyFill="1" applyBorder="1" applyAlignment="1">
      <alignment vertical="top"/>
    </xf>
    <xf numFmtId="4" fontId="2" fillId="4" borderId="0" xfId="9" applyNumberFormat="1" applyFont="1" applyFill="1" applyBorder="1" applyAlignment="1">
      <alignment horizontal="right" vertical="center"/>
    </xf>
    <xf numFmtId="0" fontId="2" fillId="4" borderId="21" xfId="9" applyFont="1" applyFill="1" applyBorder="1" applyAlignment="1">
      <alignment horizontal="left" vertical="center"/>
    </xf>
    <xf numFmtId="0" fontId="2" fillId="4" borderId="26" xfId="9" applyFont="1" applyFill="1" applyBorder="1" applyAlignment="1">
      <alignment vertical="center"/>
    </xf>
    <xf numFmtId="0" fontId="2" fillId="4" borderId="21" xfId="9" applyFont="1" applyFill="1" applyBorder="1" applyAlignment="1">
      <alignment horizontal="left" vertical="top"/>
    </xf>
    <xf numFmtId="2" fontId="2" fillId="4" borderId="21" xfId="9" applyNumberFormat="1" applyFont="1" applyFill="1" applyBorder="1" applyAlignment="1">
      <alignment horizontal="left" vertical="top"/>
    </xf>
    <xf numFmtId="4" fontId="2" fillId="4" borderId="0" xfId="9" applyNumberFormat="1" applyFont="1" applyFill="1" applyBorder="1" applyAlignment="1">
      <alignment vertical="center"/>
    </xf>
    <xf numFmtId="9" fontId="2" fillId="4" borderId="0" xfId="4" applyFont="1" applyFill="1" applyBorder="1" applyAlignment="1">
      <alignment vertical="top"/>
    </xf>
    <xf numFmtId="9" fontId="2" fillId="4" borderId="0" xfId="9" applyNumberFormat="1" applyFont="1" applyFill="1" applyBorder="1" applyAlignment="1">
      <alignment vertical="top"/>
    </xf>
    <xf numFmtId="0" fontId="2" fillId="4" borderId="27" xfId="9" applyFont="1" applyFill="1" applyBorder="1" applyAlignment="1">
      <alignment horizontal="left" vertical="top"/>
    </xf>
    <xf numFmtId="0" fontId="2" fillId="4" borderId="28" xfId="9" applyFont="1" applyFill="1" applyBorder="1" applyAlignment="1">
      <alignment wrapText="1"/>
    </xf>
    <xf numFmtId="4" fontId="2" fillId="4" borderId="28" xfId="9" applyNumberFormat="1" applyFont="1" applyFill="1" applyBorder="1" applyAlignment="1">
      <alignment horizontal="right" vertical="top"/>
    </xf>
    <xf numFmtId="0" fontId="2" fillId="4" borderId="29" xfId="9" applyFont="1" applyFill="1" applyBorder="1"/>
    <xf numFmtId="0" fontId="2" fillId="4" borderId="0" xfId="9" applyFont="1" applyFill="1" applyBorder="1" applyAlignment="1"/>
    <xf numFmtId="0" fontId="2" fillId="4" borderId="21" xfId="9" applyFont="1" applyFill="1" applyBorder="1" applyAlignment="1">
      <alignment vertical="center"/>
    </xf>
    <xf numFmtId="0" fontId="2" fillId="4" borderId="26" xfId="9" applyFont="1" applyFill="1" applyBorder="1" applyAlignment="1">
      <alignment wrapText="1"/>
    </xf>
    <xf numFmtId="0" fontId="2" fillId="4" borderId="27" xfId="9" applyFont="1" applyFill="1" applyBorder="1" applyAlignment="1">
      <alignment vertical="top"/>
    </xf>
    <xf numFmtId="41" fontId="8" fillId="0" borderId="1" xfId="0" applyNumberFormat="1" applyFont="1" applyBorder="1" applyAlignment="1">
      <alignment horizontal="center"/>
    </xf>
    <xf numFmtId="0" fontId="0" fillId="0" borderId="0" xfId="0" applyFont="1"/>
    <xf numFmtId="0" fontId="69" fillId="0" borderId="0" xfId="0" applyFont="1" applyAlignment="1">
      <alignment horizontal="center"/>
    </xf>
    <xf numFmtId="0" fontId="69" fillId="0" borderId="0" xfId="0" applyFont="1"/>
    <xf numFmtId="0" fontId="34" fillId="0" borderId="1" xfId="0" applyFont="1" applyBorder="1" applyAlignment="1">
      <alignment horizontal="right"/>
    </xf>
    <xf numFmtId="0" fontId="34" fillId="0" borderId="1" xfId="0" applyFont="1" applyBorder="1"/>
    <xf numFmtId="0" fontId="34" fillId="0" borderId="1" xfId="0" applyFont="1" applyBorder="1" applyAlignment="1">
      <alignment horizontal="center"/>
    </xf>
    <xf numFmtId="0" fontId="34" fillId="0" borderId="1" xfId="0" applyFont="1" applyFill="1" applyBorder="1" applyAlignment="1">
      <alignment horizontal="right"/>
    </xf>
    <xf numFmtId="0" fontId="61" fillId="0" borderId="1" xfId="0" applyFont="1" applyFill="1" applyBorder="1" applyAlignment="1">
      <alignment horizontal="right" vertical="center" wrapText="1"/>
    </xf>
    <xf numFmtId="165" fontId="6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/>
    </xf>
    <xf numFmtId="9" fontId="2" fillId="0" borderId="1" xfId="4" applyFont="1" applyFill="1" applyBorder="1" applyAlignment="1">
      <alignment horizontal="center"/>
    </xf>
    <xf numFmtId="0" fontId="6" fillId="0" borderId="1" xfId="0" applyFont="1" applyFill="1" applyBorder="1"/>
    <xf numFmtId="165" fontId="34" fillId="0" borderId="1" xfId="0" applyNumberFormat="1" applyFont="1" applyFill="1" applyBorder="1" applyAlignment="1">
      <alignment horizontal="center"/>
    </xf>
    <xf numFmtId="0" fontId="61" fillId="0" borderId="1" xfId="0" applyFont="1" applyBorder="1" applyAlignment="1">
      <alignment horizontal="right" vertical="center" wrapText="1"/>
    </xf>
    <xf numFmtId="0" fontId="38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34" fillId="0" borderId="1" xfId="0" applyFont="1" applyFill="1" applyBorder="1"/>
    <xf numFmtId="165" fontId="34" fillId="0" borderId="1" xfId="0" applyNumberFormat="1" applyFont="1" applyFill="1" applyBorder="1" applyAlignment="1">
      <alignment horizontal="left"/>
    </xf>
    <xf numFmtId="0" fontId="0" fillId="0" borderId="1" xfId="0" applyFont="1" applyBorder="1"/>
    <xf numFmtId="0" fontId="69" fillId="0" borderId="1" xfId="0" applyFont="1" applyBorder="1" applyAlignment="1">
      <alignment horizontal="center"/>
    </xf>
    <xf numFmtId="0" fontId="69" fillId="0" borderId="1" xfId="0" applyFont="1" applyBorder="1"/>
    <xf numFmtId="0" fontId="0" fillId="0" borderId="1" xfId="0" applyFont="1" applyBorder="1" applyAlignment="1">
      <alignment horizontal="right"/>
    </xf>
    <xf numFmtId="10" fontId="2" fillId="0" borderId="1" xfId="4" applyNumberFormat="1" applyFont="1" applyFill="1" applyBorder="1" applyAlignment="1">
      <alignment horizontal="center"/>
    </xf>
    <xf numFmtId="2" fontId="68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center"/>
    </xf>
    <xf numFmtId="0" fontId="49" fillId="7" borderId="1" xfId="0" applyFont="1" applyFill="1" applyBorder="1" applyAlignment="1">
      <alignment horizontal="center" vertical="center"/>
    </xf>
    <xf numFmtId="41" fontId="35" fillId="5" borderId="1" xfId="0" applyNumberFormat="1" applyFont="1" applyFill="1" applyBorder="1" applyAlignment="1">
      <alignment horizontal="center"/>
    </xf>
    <xf numFmtId="43" fontId="35" fillId="5" borderId="1" xfId="0" applyNumberFormat="1" applyFont="1" applyFill="1" applyBorder="1" applyAlignment="1"/>
    <xf numFmtId="41" fontId="53" fillId="0" borderId="1" xfId="0" applyNumberFormat="1" applyFont="1" applyBorder="1"/>
    <xf numFmtId="41" fontId="53" fillId="0" borderId="1" xfId="0" applyNumberFormat="1" applyFont="1" applyBorder="1" applyAlignment="1">
      <alignment horizontal="right"/>
    </xf>
    <xf numFmtId="41" fontId="53" fillId="0" borderId="1" xfId="0" applyNumberFormat="1" applyFont="1" applyBorder="1" applyAlignment="1">
      <alignment horizontal="center"/>
    </xf>
    <xf numFmtId="169" fontId="53" fillId="0" borderId="1" xfId="0" applyNumberFormat="1" applyFont="1" applyFill="1" applyBorder="1"/>
    <xf numFmtId="10" fontId="53" fillId="0" borderId="1" xfId="4" applyNumberFormat="1" applyFont="1" applyBorder="1" applyAlignment="1">
      <alignment horizontal="right"/>
    </xf>
    <xf numFmtId="169" fontId="53" fillId="0" borderId="1" xfId="0" applyNumberFormat="1" applyFont="1" applyBorder="1"/>
    <xf numFmtId="166" fontId="8" fillId="0" borderId="0" xfId="0" applyNumberFormat="1" applyFont="1"/>
    <xf numFmtId="41" fontId="8" fillId="5" borderId="1" xfId="0" applyNumberFormat="1" applyFont="1" applyFill="1" applyBorder="1"/>
    <xf numFmtId="41" fontId="3" fillId="0" borderId="1" xfId="0" applyNumberFormat="1" applyFont="1" applyBorder="1" applyAlignment="1">
      <alignment horizontal="center"/>
    </xf>
    <xf numFmtId="43" fontId="3" fillId="0" borderId="1" xfId="0" applyNumberFormat="1" applyFont="1" applyFill="1" applyBorder="1" applyAlignment="1"/>
    <xf numFmtId="43" fontId="53" fillId="0" borderId="1" xfId="0" applyNumberFormat="1" applyFont="1" applyFill="1" applyBorder="1"/>
    <xf numFmtId="41" fontId="53" fillId="0" borderId="7" xfId="0" applyNumberFormat="1" applyFont="1" applyBorder="1"/>
    <xf numFmtId="41" fontId="53" fillId="0" borderId="1" xfId="0" applyNumberFormat="1" applyFont="1" applyFill="1" applyBorder="1"/>
    <xf numFmtId="41" fontId="53" fillId="0" borderId="1" xfId="0" applyNumberFormat="1" applyFont="1" applyFill="1" applyBorder="1" applyAlignment="1">
      <alignment horizontal="center"/>
    </xf>
    <xf numFmtId="10" fontId="53" fillId="0" borderId="1" xfId="4" applyNumberFormat="1" applyFont="1" applyFill="1" applyBorder="1" applyAlignment="1">
      <alignment horizontal="right"/>
    </xf>
    <xf numFmtId="171" fontId="53" fillId="0" borderId="1" xfId="0" applyNumberFormat="1" applyFont="1" applyFill="1" applyBorder="1"/>
    <xf numFmtId="191" fontId="53" fillId="0" borderId="1" xfId="0" applyNumberFormat="1" applyFont="1" applyFill="1" applyBorder="1"/>
    <xf numFmtId="170" fontId="53" fillId="0" borderId="7" xfId="0" applyNumberFormat="1" applyFont="1" applyBorder="1"/>
    <xf numFmtId="167" fontId="53" fillId="0" borderId="1" xfId="0" applyNumberFormat="1" applyFont="1" applyFill="1" applyBorder="1"/>
    <xf numFmtId="191" fontId="53" fillId="0" borderId="1" xfId="0" applyNumberFormat="1" applyFont="1" applyBorder="1"/>
    <xf numFmtId="168" fontId="53" fillId="0" borderId="1" xfId="0" applyNumberFormat="1" applyFont="1" applyFill="1" applyBorder="1"/>
    <xf numFmtId="192" fontId="53" fillId="0" borderId="1" xfId="0" applyNumberFormat="1" applyFont="1" applyBorder="1"/>
    <xf numFmtId="41" fontId="55" fillId="0" borderId="1" xfId="0" applyNumberFormat="1" applyFont="1" applyFill="1" applyBorder="1"/>
    <xf numFmtId="41" fontId="8" fillId="0" borderId="7" xfId="0" applyNumberFormat="1" applyFont="1" applyFill="1" applyBorder="1"/>
    <xf numFmtId="41" fontId="8" fillId="0" borderId="0" xfId="0" applyNumberFormat="1" applyFont="1" applyFill="1"/>
    <xf numFmtId="193" fontId="53" fillId="0" borderId="1" xfId="0" applyNumberFormat="1" applyFont="1" applyBorder="1"/>
    <xf numFmtId="169" fontId="53" fillId="0" borderId="7" xfId="0" applyNumberFormat="1" applyFont="1" applyBorder="1"/>
    <xf numFmtId="192" fontId="53" fillId="0" borderId="1" xfId="0" applyNumberFormat="1" applyFont="1" applyFill="1" applyBorder="1"/>
    <xf numFmtId="41" fontId="53" fillId="0" borderId="1" xfId="0" applyNumberFormat="1" applyFont="1" applyBorder="1" applyAlignment="1">
      <alignment vertical="center"/>
    </xf>
    <xf numFmtId="41" fontId="53" fillId="0" borderId="1" xfId="0" applyNumberFormat="1" applyFont="1" applyBorder="1" applyAlignment="1">
      <alignment horizontal="left" vertical="center" wrapText="1"/>
    </xf>
    <xf numFmtId="9" fontId="55" fillId="0" borderId="1" xfId="0" applyNumberFormat="1" applyFont="1" applyFill="1" applyBorder="1" applyAlignment="1">
      <alignment horizontal="center" vertical="center"/>
    </xf>
    <xf numFmtId="41" fontId="55" fillId="0" borderId="1" xfId="0" applyNumberFormat="1" applyFont="1" applyBorder="1"/>
    <xf numFmtId="9" fontId="55" fillId="0" borderId="1" xfId="0" applyNumberFormat="1" applyFont="1" applyBorder="1" applyAlignment="1">
      <alignment horizontal="center"/>
    </xf>
    <xf numFmtId="41" fontId="53" fillId="0" borderId="1" xfId="0" applyNumberFormat="1" applyFont="1" applyFill="1" applyBorder="1" applyAlignment="1">
      <alignment horizontal="right"/>
    </xf>
    <xf numFmtId="41" fontId="53" fillId="0" borderId="1" xfId="10" applyNumberFormat="1" applyFont="1" applyFill="1" applyBorder="1" applyAlignment="1">
      <alignment horizontal="center"/>
    </xf>
    <xf numFmtId="43" fontId="53" fillId="0" borderId="1" xfId="10" applyNumberFormat="1" applyFont="1" applyFill="1" applyBorder="1"/>
    <xf numFmtId="41" fontId="72" fillId="0" borderId="7" xfId="0" applyNumberFormat="1" applyFont="1" applyBorder="1"/>
    <xf numFmtId="0" fontId="73" fillId="0" borderId="1" xfId="0" applyFont="1" applyBorder="1" applyAlignment="1">
      <alignment horizontal="left" vertical="center"/>
    </xf>
    <xf numFmtId="0" fontId="73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/>
    </xf>
    <xf numFmtId="41" fontId="53" fillId="0" borderId="1" xfId="1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49" fillId="5" borderId="1" xfId="0" applyFont="1" applyFill="1" applyBorder="1" applyAlignment="1">
      <alignment horizontal="center"/>
    </xf>
    <xf numFmtId="0" fontId="49" fillId="0" borderId="1" xfId="0" applyFont="1" applyFill="1" applyBorder="1" applyAlignment="1"/>
    <xf numFmtId="0" fontId="2" fillId="0" borderId="1" xfId="0" applyFont="1" applyBorder="1" applyAlignment="1">
      <alignment horizontal="left"/>
    </xf>
    <xf numFmtId="4" fontId="35" fillId="5" borderId="6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41" fontId="3" fillId="0" borderId="0" xfId="2" applyNumberFormat="1" applyFont="1" applyFill="1" applyBorder="1" applyAlignment="1"/>
    <xf numFmtId="41" fontId="3" fillId="0" borderId="0" xfId="2" applyNumberFormat="1" applyFont="1" applyFill="1" applyBorder="1" applyAlignment="1">
      <alignment vertical="center"/>
    </xf>
    <xf numFmtId="41" fontId="8" fillId="0" borderId="0" xfId="2" applyNumberFormat="1" applyFont="1" applyFill="1" applyBorder="1" applyAlignment="1"/>
    <xf numFmtId="0" fontId="8" fillId="0" borderId="1" xfId="0" applyFont="1" applyBorder="1" applyAlignment="1">
      <alignment horizontal="left"/>
    </xf>
    <xf numFmtId="0" fontId="8" fillId="4" borderId="1" xfId="11" applyFont="1" applyFill="1" applyBorder="1" applyAlignment="1">
      <alignment vertical="center"/>
    </xf>
    <xf numFmtId="4" fontId="8" fillId="0" borderId="2" xfId="0" applyNumberFormat="1" applyFont="1" applyFill="1" applyBorder="1"/>
    <xf numFmtId="2" fontId="8" fillId="4" borderId="1" xfId="11" applyNumberFormat="1" applyFont="1" applyFill="1" applyBorder="1" applyAlignment="1">
      <alignment vertical="center"/>
    </xf>
    <xf numFmtId="0" fontId="8" fillId="0" borderId="4" xfId="0" applyFont="1" applyBorder="1" applyAlignment="1">
      <alignment horizontal="left"/>
    </xf>
    <xf numFmtId="10" fontId="8" fillId="0" borderId="1" xfId="4" applyNumberFormat="1" applyFont="1" applyBorder="1"/>
    <xf numFmtId="10" fontId="8" fillId="0" borderId="1" xfId="4" applyNumberFormat="1" applyFont="1" applyBorder="1" applyAlignment="1"/>
    <xf numFmtId="0" fontId="37" fillId="5" borderId="1" xfId="0" applyFont="1" applyFill="1" applyBorder="1" applyAlignment="1">
      <alignment vertical="center"/>
    </xf>
    <xf numFmtId="0" fontId="37" fillId="5" borderId="3" xfId="0" applyFont="1" applyFill="1" applyBorder="1" applyAlignment="1">
      <alignment vertical="center"/>
    </xf>
    <xf numFmtId="0" fontId="37" fillId="5" borderId="4" xfId="0" applyFont="1" applyFill="1" applyBorder="1" applyAlignment="1">
      <alignment vertical="center"/>
    </xf>
    <xf numFmtId="0" fontId="8" fillId="0" borderId="3" xfId="3" applyFont="1" applyFill="1" applyBorder="1"/>
    <xf numFmtId="10" fontId="8" fillId="0" borderId="2" xfId="4" applyNumberFormat="1" applyFont="1" applyBorder="1"/>
    <xf numFmtId="0" fontId="37" fillId="5" borderId="2" xfId="0" applyFont="1" applyFill="1" applyBorder="1" applyAlignment="1">
      <alignment vertical="center"/>
    </xf>
    <xf numFmtId="0" fontId="35" fillId="5" borderId="1" xfId="0" applyFont="1" applyFill="1" applyBorder="1" applyAlignment="1">
      <alignment horizontal="center" vertical="center" wrapText="1"/>
    </xf>
    <xf numFmtId="0" fontId="45" fillId="5" borderId="3" xfId="2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0" fontId="45" fillId="5" borderId="14" xfId="2" applyFont="1" applyFill="1" applyBorder="1" applyAlignment="1">
      <alignment horizontal="center"/>
    </xf>
    <xf numFmtId="165" fontId="2" fillId="0" borderId="1" xfId="2" applyNumberFormat="1" applyFont="1" applyFill="1" applyBorder="1" applyAlignment="1">
      <alignment horizontal="center" vertical="center"/>
    </xf>
    <xf numFmtId="0" fontId="2" fillId="0" borderId="1" xfId="2" applyFill="1" applyBorder="1" applyAlignment="1">
      <alignment horizontal="left"/>
    </xf>
    <xf numFmtId="0" fontId="0" fillId="4" borderId="1" xfId="0" applyFill="1" applyBorder="1" applyAlignment="1">
      <alignment horizontal="right"/>
    </xf>
    <xf numFmtId="165" fontId="2" fillId="0" borderId="7" xfId="2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/>
    </xf>
    <xf numFmtId="0" fontId="6" fillId="10" borderId="1" xfId="2" applyFont="1" applyFill="1" applyBorder="1" applyAlignment="1">
      <alignment horizontal="right"/>
    </xf>
    <xf numFmtId="165" fontId="6" fillId="10" borderId="1" xfId="2" applyNumberFormat="1" applyFont="1" applyFill="1" applyBorder="1" applyAlignment="1">
      <alignment horizontal="center" vertical="center"/>
    </xf>
    <xf numFmtId="165" fontId="33" fillId="10" borderId="1" xfId="0" applyNumberFormat="1" applyFont="1" applyFill="1" applyBorder="1" applyAlignment="1">
      <alignment horizontal="center"/>
    </xf>
    <xf numFmtId="0" fontId="2" fillId="0" borderId="4" xfId="2" applyBorder="1" applyAlignment="1">
      <alignment horizontal="right"/>
    </xf>
    <xf numFmtId="0" fontId="2" fillId="0" borderId="14" xfId="2" applyBorder="1" applyAlignment="1">
      <alignment horizontal="right"/>
    </xf>
    <xf numFmtId="0" fontId="2" fillId="0" borderId="1" xfId="11" applyFont="1" applyFill="1" applyBorder="1" applyAlignment="1">
      <alignment vertical="center"/>
    </xf>
    <xf numFmtId="10" fontId="7" fillId="0" borderId="1" xfId="11" applyNumberFormat="1" applyFont="1" applyFill="1" applyBorder="1" applyAlignment="1">
      <alignment horizontal="center" vertical="center"/>
    </xf>
    <xf numFmtId="0" fontId="6" fillId="10" borderId="1" xfId="2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left" vertical="center"/>
    </xf>
    <xf numFmtId="165" fontId="8" fillId="0" borderId="1" xfId="0" applyNumberFormat="1" applyFont="1" applyFill="1" applyBorder="1" applyAlignment="1">
      <alignment vertical="center"/>
    </xf>
    <xf numFmtId="0" fontId="35" fillId="5" borderId="2" xfId="0" applyFont="1" applyFill="1" applyBorder="1" applyAlignment="1"/>
    <xf numFmtId="0" fontId="74" fillId="0" borderId="1" xfId="0" applyFont="1" applyBorder="1" applyAlignment="1">
      <alignment horizontal="center" vertical="center"/>
    </xf>
    <xf numFmtId="0" fontId="75" fillId="0" borderId="1" xfId="0" applyFont="1" applyBorder="1" applyAlignment="1">
      <alignment vertical="center"/>
    </xf>
    <xf numFmtId="2" fontId="75" fillId="0" borderId="1" xfId="0" applyNumberFormat="1" applyFont="1" applyBorder="1" applyAlignment="1">
      <alignment horizontal="right" vertical="center"/>
    </xf>
    <xf numFmtId="4" fontId="75" fillId="0" borderId="1" xfId="0" applyNumberFormat="1" applyFont="1" applyBorder="1" applyAlignment="1">
      <alignment horizontal="right" vertical="center"/>
    </xf>
    <xf numFmtId="4" fontId="75" fillId="0" borderId="1" xfId="1" applyNumberFormat="1" applyFont="1" applyBorder="1" applyAlignment="1">
      <alignment vertical="center"/>
    </xf>
    <xf numFmtId="0" fontId="70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6" fontId="10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45" fillId="5" borderId="1" xfId="2" applyFont="1" applyFill="1" applyBorder="1" applyAlignment="1">
      <alignment horizontal="center" vertical="center"/>
    </xf>
    <xf numFmtId="0" fontId="37" fillId="5" borderId="3" xfId="2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1" xfId="2" applyBorder="1" applyAlignment="1">
      <alignment horizontal="left" vertical="center"/>
    </xf>
    <xf numFmtId="0" fontId="2" fillId="0" borderId="1" xfId="2" applyBorder="1" applyAlignment="1"/>
    <xf numFmtId="0" fontId="2" fillId="0" borderId="1" xfId="0" applyFont="1" applyBorder="1" applyAlignment="1"/>
    <xf numFmtId="0" fontId="2" fillId="0" borderId="1" xfId="0" applyFont="1" applyFill="1" applyBorder="1" applyAlignment="1"/>
    <xf numFmtId="9" fontId="8" fillId="0" borderId="1" xfId="4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6" fillId="0" borderId="1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9" fontId="47" fillId="0" borderId="1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/>
    <xf numFmtId="0" fontId="46" fillId="0" borderId="6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center"/>
    </xf>
    <xf numFmtId="0" fontId="35" fillId="5" borderId="3" xfId="0" applyFont="1" applyFill="1" applyBorder="1" applyAlignment="1">
      <alignment horizontal="center" vertical="center"/>
    </xf>
    <xf numFmtId="0" fontId="35" fillId="5" borderId="4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justify" vertical="center" wrapText="1"/>
    </xf>
    <xf numFmtId="0" fontId="3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35" fillId="5" borderId="4" xfId="0" applyFont="1" applyFill="1" applyBorder="1" applyAlignment="1">
      <alignment horizontal="center"/>
    </xf>
    <xf numFmtId="0" fontId="35" fillId="5" borderId="2" xfId="0" applyFont="1" applyFill="1" applyBorder="1" applyAlignment="1">
      <alignment horizontal="center"/>
    </xf>
    <xf numFmtId="0" fontId="42" fillId="0" borderId="3" xfId="0" applyFont="1" applyFill="1" applyBorder="1" applyAlignment="1">
      <alignment horizontal="left"/>
    </xf>
    <xf numFmtId="0" fontId="42" fillId="0" borderId="2" xfId="0" applyFont="1" applyFill="1" applyBorder="1" applyAlignment="1">
      <alignment horizontal="left"/>
    </xf>
    <xf numFmtId="0" fontId="39" fillId="0" borderId="0" xfId="0" applyFont="1" applyAlignment="1">
      <alignment horizontal="center"/>
    </xf>
    <xf numFmtId="0" fontId="39" fillId="0" borderId="9" xfId="0" applyFont="1" applyBorder="1" applyAlignment="1">
      <alignment horizontal="center"/>
    </xf>
    <xf numFmtId="0" fontId="35" fillId="5" borderId="3" xfId="0" applyFont="1" applyFill="1" applyBorder="1" applyAlignment="1">
      <alignment horizontal="center"/>
    </xf>
    <xf numFmtId="41" fontId="35" fillId="5" borderId="3" xfId="2" applyNumberFormat="1" applyFont="1" applyFill="1" applyBorder="1" applyAlignment="1">
      <alignment horizontal="center"/>
    </xf>
    <xf numFmtId="41" fontId="35" fillId="5" borderId="4" xfId="2" applyNumberFormat="1" applyFont="1" applyFill="1" applyBorder="1" applyAlignment="1">
      <alignment horizontal="center"/>
    </xf>
    <xf numFmtId="41" fontId="35" fillId="5" borderId="2" xfId="2" applyNumberFormat="1" applyFont="1" applyFill="1" applyBorder="1" applyAlignment="1">
      <alignment horizontal="center"/>
    </xf>
    <xf numFmtId="41" fontId="3" fillId="0" borderId="0" xfId="2" applyNumberFormat="1" applyFont="1" applyFill="1" applyBorder="1" applyAlignment="1">
      <alignment horizontal="center"/>
    </xf>
    <xf numFmtId="41" fontId="8" fillId="0" borderId="0" xfId="2" applyNumberFormat="1" applyFont="1" applyFill="1" applyBorder="1" applyAlignment="1">
      <alignment horizontal="center"/>
    </xf>
    <xf numFmtId="41" fontId="35" fillId="5" borderId="8" xfId="2" applyNumberFormat="1" applyFont="1" applyFill="1" applyBorder="1" applyAlignment="1">
      <alignment horizontal="center"/>
    </xf>
    <xf numFmtId="41" fontId="35" fillId="5" borderId="9" xfId="2" applyNumberFormat="1" applyFont="1" applyFill="1" applyBorder="1" applyAlignment="1">
      <alignment horizontal="center"/>
    </xf>
    <xf numFmtId="41" fontId="35" fillId="5" borderId="10" xfId="2" applyNumberFormat="1" applyFont="1" applyFill="1" applyBorder="1" applyAlignment="1">
      <alignment horizontal="center"/>
    </xf>
    <xf numFmtId="43" fontId="3" fillId="0" borderId="11" xfId="2" applyNumberFormat="1" applyFont="1" applyBorder="1" applyAlignment="1">
      <alignment horizontal="center" vertical="center"/>
    </xf>
    <xf numFmtId="43" fontId="3" fillId="0" borderId="12" xfId="2" applyNumberFormat="1" applyFont="1" applyBorder="1" applyAlignment="1">
      <alignment horizontal="center" vertical="center"/>
    </xf>
    <xf numFmtId="41" fontId="3" fillId="0" borderId="0" xfId="2" applyNumberFormat="1" applyFont="1" applyFill="1" applyBorder="1" applyAlignment="1">
      <alignment horizontal="center" vertical="center"/>
    </xf>
    <xf numFmtId="41" fontId="8" fillId="0" borderId="3" xfId="2" applyNumberFormat="1" applyFont="1" applyBorder="1" applyAlignment="1">
      <alignment horizontal="left" wrapText="1"/>
    </xf>
    <xf numFmtId="41" fontId="8" fillId="0" borderId="2" xfId="2" applyNumberFormat="1" applyFont="1" applyBorder="1" applyAlignment="1">
      <alignment horizontal="left" wrapText="1"/>
    </xf>
    <xf numFmtId="173" fontId="8" fillId="0" borderId="1" xfId="4" applyNumberFormat="1" applyFont="1" applyFill="1" applyBorder="1" applyAlignment="1">
      <alignment horizontal="center" vertical="center"/>
    </xf>
    <xf numFmtId="1" fontId="32" fillId="0" borderId="9" xfId="0" applyNumberFormat="1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" fontId="35" fillId="5" borderId="6" xfId="0" applyNumberFormat="1" applyFont="1" applyFill="1" applyBorder="1" applyAlignment="1">
      <alignment horizontal="center"/>
    </xf>
    <xf numFmtId="4" fontId="35" fillId="5" borderId="5" xfId="0" applyNumberFormat="1" applyFont="1" applyFill="1" applyBorder="1" applyAlignment="1">
      <alignment horizontal="center"/>
    </xf>
    <xf numFmtId="0" fontId="35" fillId="5" borderId="6" xfId="0" applyFont="1" applyFill="1" applyBorder="1" applyAlignment="1">
      <alignment horizontal="left"/>
    </xf>
    <xf numFmtId="0" fontId="35" fillId="5" borderId="5" xfId="0" applyFont="1" applyFill="1" applyBorder="1" applyAlignment="1">
      <alignment horizontal="left"/>
    </xf>
    <xf numFmtId="0" fontId="35" fillId="5" borderId="6" xfId="0" applyFont="1" applyFill="1" applyBorder="1" applyAlignment="1">
      <alignment horizontal="center"/>
    </xf>
    <xf numFmtId="0" fontId="35" fillId="5" borderId="5" xfId="0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5" fillId="5" borderId="3" xfId="0" applyFont="1" applyFill="1" applyBorder="1" applyAlignment="1">
      <alignment horizontal="center" vertical="center"/>
    </xf>
    <xf numFmtId="0" fontId="58" fillId="5" borderId="4" xfId="0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3" fillId="0" borderId="13" xfId="3" applyFont="1" applyBorder="1" applyAlignment="1">
      <alignment horizontal="center" vertical="center"/>
    </xf>
    <xf numFmtId="0" fontId="3" fillId="0" borderId="0" xfId="3" applyFont="1" applyBorder="1" applyAlignment="1">
      <alignment horizontal="center" vertical="center"/>
    </xf>
    <xf numFmtId="0" fontId="35" fillId="5" borderId="11" xfId="3" applyFont="1" applyFill="1" applyBorder="1" applyAlignment="1">
      <alignment horizontal="center"/>
    </xf>
    <xf numFmtId="0" fontId="35" fillId="5" borderId="12" xfId="3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178" fontId="8" fillId="0" borderId="1" xfId="0" applyNumberFormat="1" applyFont="1" applyBorder="1" applyAlignment="1">
      <alignment horizontal="right"/>
    </xf>
    <xf numFmtId="0" fontId="35" fillId="5" borderId="1" xfId="0" applyFont="1" applyFill="1" applyBorder="1" applyAlignment="1">
      <alignment horizontal="center" shrinkToFit="1"/>
    </xf>
    <xf numFmtId="10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center"/>
    </xf>
    <xf numFmtId="0" fontId="35" fillId="5" borderId="1" xfId="0" applyFont="1" applyFill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right"/>
    </xf>
    <xf numFmtId="0" fontId="8" fillId="0" borderId="1" xfId="0" applyFont="1" applyBorder="1" applyAlignment="1"/>
    <xf numFmtId="179" fontId="8" fillId="0" borderId="1" xfId="0" applyNumberFormat="1" applyFont="1" applyBorder="1" applyAlignment="1">
      <alignment horizontal="right"/>
    </xf>
    <xf numFmtId="0" fontId="35" fillId="5" borderId="1" xfId="0" applyFont="1" applyFill="1" applyBorder="1" applyAlignment="1">
      <alignment horizontal="center" wrapText="1" shrinkToFi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right"/>
    </xf>
    <xf numFmtId="0" fontId="35" fillId="5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/>
    </xf>
    <xf numFmtId="2" fontId="8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wrapText="1"/>
    </xf>
    <xf numFmtId="180" fontId="8" fillId="0" borderId="1" xfId="1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center"/>
    </xf>
    <xf numFmtId="9" fontId="8" fillId="0" borderId="1" xfId="0" applyNumberFormat="1" applyFont="1" applyFill="1" applyBorder="1" applyAlignment="1">
      <alignment horizontal="right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45" fillId="5" borderId="4" xfId="0" applyFont="1" applyFill="1" applyBorder="1" applyAlignment="1">
      <alignment horizontal="center" vertical="center"/>
    </xf>
    <xf numFmtId="0" fontId="45" fillId="5" borderId="2" xfId="0" applyFont="1" applyFill="1" applyBorder="1" applyAlignment="1">
      <alignment horizontal="center" vertical="center"/>
    </xf>
    <xf numFmtId="0" fontId="35" fillId="5" borderId="3" xfId="0" applyFont="1" applyFill="1" applyBorder="1" applyAlignment="1">
      <alignment horizontal="left"/>
    </xf>
    <xf numFmtId="0" fontId="35" fillId="5" borderId="2" xfId="0" applyFont="1" applyFill="1" applyBorder="1" applyAlignment="1">
      <alignment horizontal="left"/>
    </xf>
    <xf numFmtId="0" fontId="8" fillId="0" borderId="9" xfId="0" applyFont="1" applyBorder="1" applyAlignment="1">
      <alignment horizontal="center"/>
    </xf>
    <xf numFmtId="0" fontId="35" fillId="5" borderId="1" xfId="0" applyFont="1" applyFill="1" applyBorder="1" applyAlignment="1">
      <alignment horizontal="left"/>
    </xf>
    <xf numFmtId="0" fontId="3" fillId="0" borderId="9" xfId="0" applyFont="1" applyBorder="1" applyAlignment="1">
      <alignment horizontal="center"/>
    </xf>
    <xf numFmtId="172" fontId="27" fillId="0" borderId="0" xfId="0" applyNumberFormat="1" applyFont="1" applyFill="1" applyBorder="1" applyAlignment="1">
      <alignment horizontal="center" vertical="center"/>
    </xf>
    <xf numFmtId="172" fontId="27" fillId="0" borderId="15" xfId="0" applyNumberFormat="1" applyFont="1" applyFill="1" applyBorder="1" applyAlignment="1">
      <alignment horizontal="center" vertical="center"/>
    </xf>
    <xf numFmtId="172" fontId="27" fillId="0" borderId="9" xfId="0" applyNumberFormat="1" applyFont="1" applyFill="1" applyBorder="1" applyAlignment="1">
      <alignment horizontal="center" vertical="center"/>
    </xf>
    <xf numFmtId="172" fontId="27" fillId="0" borderId="10" xfId="0" applyNumberFormat="1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48" fillId="5" borderId="3" xfId="0" applyFont="1" applyFill="1" applyBorder="1" applyAlignment="1">
      <alignment horizontal="center" vertical="center"/>
    </xf>
    <xf numFmtId="0" fontId="59" fillId="5" borderId="4" xfId="0" applyFont="1" applyFill="1" applyBorder="1"/>
    <xf numFmtId="0" fontId="59" fillId="5" borderId="2" xfId="0" applyFont="1" applyFill="1" applyBorder="1"/>
    <xf numFmtId="0" fontId="48" fillId="5" borderId="4" xfId="0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172" fontId="27" fillId="2" borderId="11" xfId="0" applyNumberFormat="1" applyFont="1" applyFill="1" applyBorder="1" applyAlignment="1">
      <alignment horizontal="center" vertical="center"/>
    </xf>
    <xf numFmtId="172" fontId="27" fillId="2" borderId="12" xfId="0" applyNumberFormat="1" applyFont="1" applyFill="1" applyBorder="1" applyAlignment="1">
      <alignment horizontal="center" vertical="center"/>
    </xf>
    <xf numFmtId="172" fontId="27" fillId="2" borderId="13" xfId="0" applyNumberFormat="1" applyFont="1" applyFill="1" applyBorder="1" applyAlignment="1">
      <alignment horizontal="center" vertical="center"/>
    </xf>
    <xf numFmtId="172" fontId="27" fillId="2" borderId="15" xfId="0" applyNumberFormat="1" applyFont="1" applyFill="1" applyBorder="1" applyAlignment="1">
      <alignment horizontal="center" vertical="center"/>
    </xf>
    <xf numFmtId="2" fontId="27" fillId="4" borderId="0" xfId="0" applyNumberFormat="1" applyFont="1" applyFill="1" applyBorder="1" applyAlignment="1">
      <alignment horizontal="center" vertical="center"/>
    </xf>
    <xf numFmtId="2" fontId="27" fillId="4" borderId="15" xfId="0" applyNumberFormat="1" applyFont="1" applyFill="1" applyBorder="1" applyAlignment="1">
      <alignment horizontal="center" vertical="center"/>
    </xf>
    <xf numFmtId="2" fontId="27" fillId="4" borderId="9" xfId="0" applyNumberFormat="1" applyFont="1" applyFill="1" applyBorder="1" applyAlignment="1">
      <alignment horizontal="center" vertical="center"/>
    </xf>
    <xf numFmtId="2" fontId="27" fillId="4" borderId="10" xfId="0" applyNumberFormat="1" applyFont="1" applyFill="1" applyBorder="1" applyAlignment="1">
      <alignment horizontal="center" vertical="center"/>
    </xf>
    <xf numFmtId="0" fontId="26" fillId="0" borderId="11" xfId="0" applyFont="1" applyBorder="1" applyAlignment="1">
      <alignment horizontal="left" vertical="center"/>
    </xf>
    <xf numFmtId="0" fontId="26" fillId="0" borderId="14" xfId="0" applyFont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172" fontId="27" fillId="0" borderId="7" xfId="0" applyNumberFormat="1" applyFont="1" applyFill="1" applyBorder="1" applyAlignment="1">
      <alignment horizontal="center" vertical="center"/>
    </xf>
    <xf numFmtId="172" fontId="27" fillId="2" borderId="7" xfId="0" applyNumberFormat="1" applyFont="1" applyFill="1" applyBorder="1" applyAlignment="1">
      <alignment horizontal="center" vertical="center"/>
    </xf>
    <xf numFmtId="172" fontId="27" fillId="2" borderId="8" xfId="0" applyNumberFormat="1" applyFont="1" applyFill="1" applyBorder="1" applyAlignment="1">
      <alignment horizontal="center" vertical="center"/>
    </xf>
    <xf numFmtId="172" fontId="27" fillId="2" borderId="10" xfId="0" applyNumberFormat="1" applyFont="1" applyFill="1" applyBorder="1" applyAlignment="1">
      <alignment horizontal="center" vertical="center"/>
    </xf>
    <xf numFmtId="0" fontId="48" fillId="5" borderId="8" xfId="0" applyFont="1" applyFill="1" applyBorder="1" applyAlignment="1">
      <alignment horizontal="left" vertical="center"/>
    </xf>
    <xf numFmtId="0" fontId="48" fillId="5" borderId="9" xfId="0" applyFont="1" applyFill="1" applyBorder="1" applyAlignment="1">
      <alignment horizontal="left" vertical="center"/>
    </xf>
    <xf numFmtId="0" fontId="48" fillId="5" borderId="10" xfId="0" applyFont="1" applyFill="1" applyBorder="1" applyAlignment="1">
      <alignment horizontal="left" vertical="center"/>
    </xf>
    <xf numFmtId="172" fontId="27" fillId="0" borderId="14" xfId="0" applyNumberFormat="1" applyFont="1" applyFill="1" applyBorder="1" applyAlignment="1">
      <alignment horizontal="center" vertical="center"/>
    </xf>
    <xf numFmtId="172" fontId="27" fillId="0" borderId="12" xfId="0" applyNumberFormat="1" applyFont="1" applyFill="1" applyBorder="1" applyAlignment="1">
      <alignment horizontal="center" vertical="center"/>
    </xf>
    <xf numFmtId="172" fontId="27" fillId="0" borderId="3" xfId="0" applyNumberFormat="1" applyFont="1" applyFill="1" applyBorder="1" applyAlignment="1">
      <alignment horizontal="center" vertical="center"/>
    </xf>
    <xf numFmtId="172" fontId="27" fillId="0" borderId="2" xfId="0" applyNumberFormat="1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left" vertical="center"/>
    </xf>
    <xf numFmtId="0" fontId="26" fillId="4" borderId="14" xfId="0" applyFont="1" applyFill="1" applyBorder="1" applyAlignment="1">
      <alignment horizontal="left" vertical="center"/>
    </xf>
    <xf numFmtId="0" fontId="26" fillId="4" borderId="12" xfId="0" applyFont="1" applyFill="1" applyBorder="1" applyAlignment="1">
      <alignment horizontal="left" vertical="center"/>
    </xf>
    <xf numFmtId="4" fontId="27" fillId="2" borderId="8" xfId="0" applyNumberFormat="1" applyFont="1" applyFill="1" applyBorder="1" applyAlignment="1">
      <alignment horizontal="center" vertical="center"/>
    </xf>
    <xf numFmtId="4" fontId="27" fillId="2" borderId="10" xfId="0" applyNumberFormat="1" applyFont="1" applyFill="1" applyBorder="1" applyAlignment="1">
      <alignment horizontal="center" vertical="center"/>
    </xf>
    <xf numFmtId="172" fontId="48" fillId="5" borderId="3" xfId="0" applyNumberFormat="1" applyFont="1" applyFill="1" applyBorder="1" applyAlignment="1">
      <alignment horizontal="center" vertical="center"/>
    </xf>
    <xf numFmtId="172" fontId="48" fillId="5" borderId="2" xfId="0" applyNumberFormat="1" applyFont="1" applyFill="1" applyBorder="1" applyAlignment="1">
      <alignment horizontal="center" vertical="center"/>
    </xf>
    <xf numFmtId="172" fontId="27" fillId="0" borderId="13" xfId="0" applyNumberFormat="1" applyFont="1" applyFill="1" applyBorder="1" applyAlignment="1">
      <alignment horizontal="center" vertical="center"/>
    </xf>
    <xf numFmtId="172" fontId="27" fillId="2" borderId="5" xfId="0" applyNumberFormat="1" applyFont="1" applyFill="1" applyBorder="1" applyAlignment="1">
      <alignment horizontal="center" vertical="center"/>
    </xf>
    <xf numFmtId="172" fontId="27" fillId="2" borderId="6" xfId="0" applyNumberFormat="1" applyFont="1" applyFill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172" fontId="27" fillId="2" borderId="14" xfId="0" applyNumberFormat="1" applyFont="1" applyFill="1" applyBorder="1" applyAlignment="1">
      <alignment horizontal="center" vertical="center"/>
    </xf>
    <xf numFmtId="172" fontId="27" fillId="2" borderId="0" xfId="0" applyNumberFormat="1" applyFont="1" applyFill="1" applyBorder="1" applyAlignment="1">
      <alignment horizontal="center" vertical="center"/>
    </xf>
    <xf numFmtId="172" fontId="27" fillId="2" borderId="9" xfId="0" applyNumberFormat="1" applyFont="1" applyFill="1" applyBorder="1" applyAlignment="1">
      <alignment horizontal="center" vertical="center"/>
    </xf>
    <xf numFmtId="172" fontId="27" fillId="0" borderId="13" xfId="0" applyNumberFormat="1" applyFont="1" applyBorder="1" applyAlignment="1">
      <alignment horizontal="center" vertical="center"/>
    </xf>
    <xf numFmtId="172" fontId="27" fillId="0" borderId="15" xfId="0" applyNumberFormat="1" applyFont="1" applyBorder="1" applyAlignment="1">
      <alignment horizontal="center" vertical="center"/>
    </xf>
    <xf numFmtId="172" fontId="27" fillId="0" borderId="8" xfId="0" applyNumberFormat="1" applyFont="1" applyFill="1" applyBorder="1" applyAlignment="1">
      <alignment horizontal="center" vertical="center"/>
    </xf>
    <xf numFmtId="0" fontId="60" fillId="5" borderId="11" xfId="0" applyFont="1" applyFill="1" applyBorder="1" applyAlignment="1">
      <alignment horizontal="center" vertical="center"/>
    </xf>
    <xf numFmtId="0" fontId="60" fillId="5" borderId="14" xfId="0" applyFont="1" applyFill="1" applyBorder="1" applyAlignment="1">
      <alignment horizontal="center" vertical="center"/>
    </xf>
    <xf numFmtId="0" fontId="60" fillId="5" borderId="12" xfId="0" applyFont="1" applyFill="1" applyBorder="1" applyAlignment="1">
      <alignment horizontal="center" vertical="center"/>
    </xf>
    <xf numFmtId="172" fontId="27" fillId="0" borderId="1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9" fillId="5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49" fillId="5" borderId="3" xfId="0" applyFont="1" applyFill="1" applyBorder="1" applyAlignment="1">
      <alignment horizontal="center"/>
    </xf>
    <xf numFmtId="0" fontId="49" fillId="5" borderId="4" xfId="0" applyFont="1" applyFill="1" applyBorder="1" applyAlignment="1">
      <alignment horizontal="center"/>
    </xf>
    <xf numFmtId="0" fontId="49" fillId="5" borderId="2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9" fillId="5" borderId="3" xfId="0" applyFont="1" applyFill="1" applyBorder="1" applyAlignment="1">
      <alignment horizontal="center" vertical="center"/>
    </xf>
    <xf numFmtId="0" fontId="49" fillId="5" borderId="4" xfId="0" applyFont="1" applyFill="1" applyBorder="1" applyAlignment="1">
      <alignment horizontal="center" vertical="center"/>
    </xf>
    <xf numFmtId="0" fontId="49" fillId="5" borderId="2" xfId="0" applyFont="1" applyFill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49" fillId="5" borderId="1" xfId="0" applyFont="1" applyFill="1" applyBorder="1" applyAlignment="1">
      <alignment horizontal="center" vertical="center"/>
    </xf>
    <xf numFmtId="0" fontId="49" fillId="5" borderId="13" xfId="0" applyFont="1" applyFill="1" applyBorder="1" applyAlignment="1">
      <alignment horizontal="center" vertical="center"/>
    </xf>
    <xf numFmtId="0" fontId="49" fillId="5" borderId="0" xfId="0" applyFont="1" applyFill="1" applyBorder="1" applyAlignment="1">
      <alignment horizontal="center" vertical="center"/>
    </xf>
    <xf numFmtId="0" fontId="49" fillId="5" borderId="11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49" fillId="5" borderId="13" xfId="0" applyFont="1" applyFill="1" applyBorder="1" applyAlignment="1">
      <alignment horizontal="center"/>
    </xf>
    <xf numFmtId="0" fontId="49" fillId="5" borderId="0" xfId="0" applyFont="1" applyFill="1" applyBorder="1" applyAlignment="1">
      <alignment horizontal="center"/>
    </xf>
    <xf numFmtId="0" fontId="49" fillId="5" borderId="11" xfId="0" applyFont="1" applyFill="1" applyBorder="1" applyAlignment="1">
      <alignment horizontal="center"/>
    </xf>
    <xf numFmtId="0" fontId="49" fillId="5" borderId="12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49" fillId="5" borderId="5" xfId="0" applyFont="1" applyFill="1" applyBorder="1" applyAlignment="1">
      <alignment horizontal="center"/>
    </xf>
    <xf numFmtId="0" fontId="45" fillId="5" borderId="3" xfId="2" applyFont="1" applyFill="1" applyBorder="1" applyAlignment="1">
      <alignment horizontal="center"/>
    </xf>
    <xf numFmtId="0" fontId="45" fillId="5" borderId="4" xfId="2" applyFont="1" applyFill="1" applyBorder="1" applyAlignment="1">
      <alignment horizontal="center"/>
    </xf>
    <xf numFmtId="0" fontId="45" fillId="5" borderId="2" xfId="2" applyFont="1" applyFill="1" applyBorder="1" applyAlignment="1">
      <alignment horizontal="center"/>
    </xf>
    <xf numFmtId="0" fontId="37" fillId="5" borderId="1" xfId="2" applyFont="1" applyFill="1" applyBorder="1" applyAlignment="1">
      <alignment horizontal="center"/>
    </xf>
    <xf numFmtId="165" fontId="2" fillId="0" borderId="3" xfId="2" applyNumberFormat="1" applyFont="1" applyFill="1" applyBorder="1" applyAlignment="1">
      <alignment horizontal="center"/>
    </xf>
    <xf numFmtId="165" fontId="2" fillId="0" borderId="2" xfId="2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6" fillId="0" borderId="0" xfId="0" applyFont="1" applyAlignment="1">
      <alignment horizontal="center"/>
    </xf>
    <xf numFmtId="1" fontId="32" fillId="0" borderId="0" xfId="0" applyNumberFormat="1" applyFont="1" applyAlignment="1">
      <alignment horizontal="center"/>
    </xf>
    <xf numFmtId="165" fontId="2" fillId="0" borderId="1" xfId="2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/>
    </xf>
    <xf numFmtId="165" fontId="38" fillId="5" borderId="1" xfId="2" applyNumberFormat="1" applyFont="1" applyFill="1" applyBorder="1" applyAlignment="1">
      <alignment horizontal="center"/>
    </xf>
    <xf numFmtId="0" fontId="38" fillId="5" borderId="1" xfId="0" applyFont="1" applyFill="1" applyBorder="1" applyAlignment="1">
      <alignment horizontal="center" vertical="top"/>
    </xf>
    <xf numFmtId="0" fontId="37" fillId="5" borderId="3" xfId="2" applyFont="1" applyFill="1" applyBorder="1" applyAlignment="1">
      <alignment horizontal="center"/>
    </xf>
    <xf numFmtId="0" fontId="37" fillId="5" borderId="4" xfId="2" applyFont="1" applyFill="1" applyBorder="1" applyAlignment="1">
      <alignment horizontal="center"/>
    </xf>
    <xf numFmtId="0" fontId="37" fillId="5" borderId="2" xfId="2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5" fillId="5" borderId="14" xfId="2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5" fillId="5" borderId="0" xfId="2" applyFont="1" applyFill="1" applyBorder="1" applyAlignment="1">
      <alignment horizontal="center"/>
    </xf>
    <xf numFmtId="9" fontId="34" fillId="0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top"/>
    </xf>
    <xf numFmtId="4" fontId="2" fillId="0" borderId="8" xfId="0" applyNumberFormat="1" applyFont="1" applyBorder="1" applyAlignment="1">
      <alignment horizontal="center" vertical="top"/>
    </xf>
    <xf numFmtId="4" fontId="2" fillId="0" borderId="10" xfId="0" applyNumberFormat="1" applyFont="1" applyBorder="1" applyAlignment="1">
      <alignment horizontal="center" vertical="top"/>
    </xf>
    <xf numFmtId="4" fontId="2" fillId="0" borderId="3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top"/>
    </xf>
    <xf numFmtId="0" fontId="35" fillId="5" borderId="1" xfId="0" applyFont="1" applyFill="1" applyBorder="1" applyAlignment="1">
      <alignment horizontal="center" vertical="top"/>
    </xf>
    <xf numFmtId="0" fontId="37" fillId="5" borderId="1" xfId="0" applyFont="1" applyFill="1" applyBorder="1" applyAlignment="1">
      <alignment horizontal="center" vertical="top"/>
    </xf>
    <xf numFmtId="0" fontId="35" fillId="5" borderId="3" xfId="0" applyFont="1" applyFill="1" applyBorder="1" applyAlignment="1">
      <alignment horizontal="center" vertical="top"/>
    </xf>
    <xf numFmtId="0" fontId="35" fillId="5" borderId="2" xfId="0" applyFont="1" applyFill="1" applyBorder="1" applyAlignment="1">
      <alignment horizontal="center" vertical="top"/>
    </xf>
    <xf numFmtId="0" fontId="35" fillId="5" borderId="4" xfId="0" applyFont="1" applyFill="1" applyBorder="1" applyAlignment="1">
      <alignment horizontal="center" vertical="top"/>
    </xf>
    <xf numFmtId="2" fontId="2" fillId="0" borderId="3" xfId="0" applyNumberFormat="1" applyFont="1" applyBorder="1" applyAlignment="1">
      <alignment horizontal="center" vertical="top"/>
    </xf>
    <xf numFmtId="2" fontId="2" fillId="0" borderId="2" xfId="0" applyNumberFormat="1" applyFont="1" applyBorder="1" applyAlignment="1">
      <alignment horizontal="center" vertical="top"/>
    </xf>
    <xf numFmtId="164" fontId="36" fillId="5" borderId="3" xfId="0" applyNumberFormat="1" applyFont="1" applyFill="1" applyBorder="1" applyAlignment="1">
      <alignment horizontal="center" vertical="top"/>
    </xf>
    <xf numFmtId="164" fontId="36" fillId="5" borderId="2" xfId="0" applyNumberFormat="1" applyFont="1" applyFill="1" applyBorder="1" applyAlignment="1">
      <alignment horizontal="center" vertical="top"/>
    </xf>
    <xf numFmtId="0" fontId="36" fillId="5" borderId="11" xfId="0" applyFont="1" applyFill="1" applyBorder="1" applyAlignment="1">
      <alignment horizontal="center" vertical="top"/>
    </xf>
    <xf numFmtId="0" fontId="36" fillId="5" borderId="14" xfId="0" applyFont="1" applyFill="1" applyBorder="1" applyAlignment="1">
      <alignment horizontal="center" vertical="top"/>
    </xf>
    <xf numFmtId="0" fontId="35" fillId="5" borderId="11" xfId="0" applyFont="1" applyFill="1" applyBorder="1" applyAlignment="1">
      <alignment horizontal="center" vertical="top"/>
    </xf>
    <xf numFmtId="0" fontId="35" fillId="5" borderId="14" xfId="0" applyFont="1" applyFill="1" applyBorder="1" applyAlignment="1">
      <alignment horizontal="center" vertical="top"/>
    </xf>
    <xf numFmtId="2" fontId="2" fillId="0" borderId="3" xfId="0" applyNumberFormat="1" applyFont="1" applyFill="1" applyBorder="1" applyAlignment="1">
      <alignment horizontal="center" vertical="top"/>
    </xf>
    <xf numFmtId="2" fontId="2" fillId="0" borderId="2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2" fontId="36" fillId="5" borderId="3" xfId="0" applyNumberFormat="1" applyFont="1" applyFill="1" applyBorder="1" applyAlignment="1">
      <alignment horizontal="center" vertical="top"/>
    </xf>
    <xf numFmtId="2" fontId="36" fillId="5" borderId="2" xfId="0" applyNumberFormat="1" applyFont="1" applyFill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36" fillId="5" borderId="8" xfId="0" applyFont="1" applyFill="1" applyBorder="1" applyAlignment="1">
      <alignment horizontal="center" vertical="top"/>
    </xf>
    <xf numFmtId="0" fontId="36" fillId="5" borderId="10" xfId="0" applyFont="1" applyFill="1" applyBorder="1" applyAlignment="1">
      <alignment horizontal="center" vertical="top"/>
    </xf>
    <xf numFmtId="0" fontId="36" fillId="5" borderId="1" xfId="0" applyFont="1" applyFill="1" applyBorder="1" applyAlignment="1">
      <alignment horizontal="center" vertical="top"/>
    </xf>
    <xf numFmtId="2" fontId="35" fillId="5" borderId="3" xfId="0" applyNumberFormat="1" applyFont="1" applyFill="1" applyBorder="1" applyAlignment="1">
      <alignment horizontal="center" vertical="top"/>
    </xf>
    <xf numFmtId="2" fontId="35" fillId="5" borderId="2" xfId="0" applyNumberFormat="1" applyFont="1" applyFill="1" applyBorder="1" applyAlignment="1">
      <alignment horizontal="center" vertical="top"/>
    </xf>
    <xf numFmtId="0" fontId="36" fillId="5" borderId="3" xfId="0" applyFont="1" applyFill="1" applyBorder="1" applyAlignment="1">
      <alignment horizontal="center" vertical="top"/>
    </xf>
    <xf numFmtId="0" fontId="36" fillId="5" borderId="2" xfId="0" applyFont="1" applyFill="1" applyBorder="1" applyAlignment="1">
      <alignment horizontal="center" vertical="top"/>
    </xf>
    <xf numFmtId="1" fontId="36" fillId="5" borderId="3" xfId="0" applyNumberFormat="1" applyFont="1" applyFill="1" applyBorder="1" applyAlignment="1">
      <alignment horizontal="center" vertical="top"/>
    </xf>
    <xf numFmtId="1" fontId="36" fillId="5" borderId="2" xfId="0" applyNumberFormat="1" applyFont="1" applyFill="1" applyBorder="1" applyAlignment="1">
      <alignment horizontal="center" vertical="top"/>
    </xf>
    <xf numFmtId="1" fontId="2" fillId="0" borderId="3" xfId="0" applyNumberFormat="1" applyFont="1" applyBorder="1" applyAlignment="1">
      <alignment horizontal="center" vertical="top"/>
    </xf>
    <xf numFmtId="1" fontId="2" fillId="0" borderId="2" xfId="0" applyNumberFormat="1" applyFont="1" applyBorder="1" applyAlignment="1">
      <alignment horizontal="center" vertical="top"/>
    </xf>
    <xf numFmtId="1" fontId="35" fillId="5" borderId="3" xfId="0" applyNumberFormat="1" applyFont="1" applyFill="1" applyBorder="1" applyAlignment="1">
      <alignment horizontal="center" vertical="top"/>
    </xf>
    <xf numFmtId="1" fontId="35" fillId="5" borderId="2" xfId="0" applyNumberFormat="1" applyFont="1" applyFill="1" applyBorder="1" applyAlignment="1">
      <alignment horizontal="center" vertical="top"/>
    </xf>
    <xf numFmtId="1" fontId="2" fillId="0" borderId="3" xfId="0" applyNumberFormat="1" applyFont="1" applyFill="1" applyBorder="1" applyAlignment="1">
      <alignment horizontal="center" vertical="top"/>
    </xf>
    <xf numFmtId="1" fontId="2" fillId="0" borderId="2" xfId="0" applyNumberFormat="1" applyFont="1" applyFill="1" applyBorder="1" applyAlignment="1">
      <alignment horizontal="center" vertical="top"/>
    </xf>
    <xf numFmtId="9" fontId="2" fillId="0" borderId="3" xfId="0" applyNumberFormat="1" applyFont="1" applyBorder="1" applyAlignment="1">
      <alignment horizontal="center" vertical="top"/>
    </xf>
    <xf numFmtId="9" fontId="2" fillId="0" borderId="2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0" fontId="37" fillId="5" borderId="3" xfId="0" applyFont="1" applyFill="1" applyBorder="1" applyAlignment="1">
      <alignment horizontal="center" vertical="top"/>
    </xf>
    <xf numFmtId="0" fontId="37" fillId="5" borderId="2" xfId="0" applyFont="1" applyFill="1" applyBorder="1" applyAlignment="1">
      <alignment horizontal="center" vertical="top"/>
    </xf>
    <xf numFmtId="0" fontId="37" fillId="5" borderId="1" xfId="0" applyFont="1" applyFill="1" applyBorder="1" applyAlignment="1">
      <alignment horizontal="center"/>
    </xf>
    <xf numFmtId="165" fontId="2" fillId="4" borderId="3" xfId="0" applyNumberFormat="1" applyFont="1" applyFill="1" applyBorder="1" applyAlignment="1">
      <alignment horizontal="center" vertical="center"/>
    </xf>
    <xf numFmtId="165" fontId="2" fillId="4" borderId="2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5" fontId="2" fillId="4" borderId="3" xfId="0" applyNumberFormat="1" applyFont="1" applyFill="1" applyBorder="1" applyAlignment="1">
      <alignment horizontal="center"/>
    </xf>
    <xf numFmtId="165" fontId="2" fillId="4" borderId="2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7" fillId="5" borderId="3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35" fillId="5" borderId="1" xfId="0" applyFont="1" applyFill="1" applyBorder="1" applyAlignment="1">
      <alignment horizontal="center" vertical="top" wrapText="1"/>
    </xf>
    <xf numFmtId="9" fontId="2" fillId="0" borderId="1" xfId="0" applyNumberFormat="1" applyFont="1" applyBorder="1" applyAlignment="1">
      <alignment horizontal="center" vertical="top" wrapText="1"/>
    </xf>
    <xf numFmtId="0" fontId="35" fillId="5" borderId="3" xfId="0" applyFont="1" applyFill="1" applyBorder="1" applyAlignment="1">
      <alignment horizontal="center" vertical="top" wrapText="1"/>
    </xf>
    <xf numFmtId="0" fontId="35" fillId="5" borderId="2" xfId="0" applyFont="1" applyFill="1" applyBorder="1" applyAlignment="1">
      <alignment horizontal="center" vertical="top" wrapText="1"/>
    </xf>
    <xf numFmtId="0" fontId="35" fillId="5" borderId="3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 wrapText="1"/>
    </xf>
    <xf numFmtId="165" fontId="61" fillId="0" borderId="1" xfId="0" applyNumberFormat="1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top" wrapText="1"/>
    </xf>
    <xf numFmtId="0" fontId="35" fillId="5" borderId="1" xfId="0" applyFont="1" applyFill="1" applyBorder="1" applyAlignment="1">
      <alignment vertical="top" wrapText="1"/>
    </xf>
    <xf numFmtId="0" fontId="35" fillId="5" borderId="3" xfId="0" applyFont="1" applyFill="1" applyBorder="1" applyAlignment="1">
      <alignment vertical="center" wrapText="1"/>
    </xf>
    <xf numFmtId="0" fontId="35" fillId="5" borderId="4" xfId="0" applyFont="1" applyFill="1" applyBorder="1" applyAlignment="1">
      <alignment vertical="center" wrapText="1"/>
    </xf>
    <xf numFmtId="0" fontId="35" fillId="5" borderId="2" xfId="0" applyFont="1" applyFill="1" applyBorder="1" applyAlignment="1">
      <alignment vertical="center" wrapText="1"/>
    </xf>
    <xf numFmtId="0" fontId="40" fillId="0" borderId="0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/>
    </xf>
    <xf numFmtId="0" fontId="61" fillId="0" borderId="3" xfId="0" applyFont="1" applyBorder="1" applyAlignment="1">
      <alignment horizontal="left" vertical="center" wrapText="1"/>
    </xf>
    <xf numFmtId="0" fontId="61" fillId="0" borderId="2" xfId="0" applyFont="1" applyBorder="1" applyAlignment="1">
      <alignment horizontal="left" vertical="center" wrapText="1"/>
    </xf>
    <xf numFmtId="0" fontId="35" fillId="5" borderId="4" xfId="0" applyFont="1" applyFill="1" applyBorder="1" applyAlignment="1">
      <alignment horizontal="center" vertical="top" wrapText="1"/>
    </xf>
    <xf numFmtId="0" fontId="49" fillId="7" borderId="3" xfId="0" applyFont="1" applyFill="1" applyBorder="1" applyAlignment="1">
      <alignment horizontal="center" vertical="center"/>
    </xf>
    <xf numFmtId="0" fontId="49" fillId="7" borderId="4" xfId="0" applyFont="1" applyFill="1" applyBorder="1" applyAlignment="1">
      <alignment horizontal="center" vertical="center"/>
    </xf>
    <xf numFmtId="0" fontId="49" fillId="7" borderId="2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left"/>
    </xf>
    <xf numFmtId="41" fontId="35" fillId="5" borderId="1" xfId="0" applyNumberFormat="1" applyFont="1" applyFill="1" applyBorder="1" applyAlignment="1">
      <alignment horizontal="center"/>
    </xf>
    <xf numFmtId="41" fontId="35" fillId="5" borderId="1" xfId="0" applyNumberFormat="1" applyFont="1" applyFill="1" applyBorder="1" applyAlignment="1">
      <alignment horizontal="left"/>
    </xf>
    <xf numFmtId="41" fontId="53" fillId="0" borderId="1" xfId="0" applyNumberFormat="1" applyFont="1" applyBorder="1" applyAlignment="1">
      <alignment horizontal="left" vertical="center" wrapText="1"/>
    </xf>
    <xf numFmtId="1" fontId="40" fillId="0" borderId="0" xfId="0" applyNumberFormat="1" applyFont="1" applyFill="1" applyBorder="1" applyAlignment="1">
      <alignment horizontal="center"/>
    </xf>
    <xf numFmtId="41" fontId="35" fillId="5" borderId="3" xfId="0" applyNumberFormat="1" applyFont="1" applyFill="1" applyBorder="1" applyAlignment="1">
      <alignment horizontal="center"/>
    </xf>
    <xf numFmtId="41" fontId="35" fillId="5" borderId="4" xfId="0" applyNumberFormat="1" applyFont="1" applyFill="1" applyBorder="1" applyAlignment="1">
      <alignment horizontal="center"/>
    </xf>
    <xf numFmtId="41" fontId="35" fillId="5" borderId="2" xfId="0" applyNumberFormat="1" applyFont="1" applyFill="1" applyBorder="1" applyAlignment="1">
      <alignment horizontal="center"/>
    </xf>
    <xf numFmtId="41" fontId="3" fillId="0" borderId="1" xfId="0" applyNumberFormat="1" applyFont="1" applyBorder="1" applyAlignment="1">
      <alignment horizontal="center" vertical="center"/>
    </xf>
    <xf numFmtId="41" fontId="3" fillId="0" borderId="7" xfId="0" applyNumberFormat="1" applyFont="1" applyBorder="1" applyAlignment="1">
      <alignment horizontal="center" vertical="center" wrapText="1"/>
    </xf>
    <xf numFmtId="41" fontId="8" fillId="0" borderId="1" xfId="0" applyNumberFormat="1" applyFont="1" applyBorder="1" applyAlignment="1">
      <alignment horizontal="center"/>
    </xf>
    <xf numFmtId="0" fontId="70" fillId="5" borderId="1" xfId="2" applyFont="1" applyFill="1" applyBorder="1" applyAlignment="1">
      <alignment horizontal="center" vertical="center" wrapText="1"/>
    </xf>
    <xf numFmtId="41" fontId="3" fillId="0" borderId="0" xfId="0" applyNumberFormat="1" applyFont="1" applyFill="1" applyBorder="1" applyAlignment="1">
      <alignment horizontal="center"/>
    </xf>
    <xf numFmtId="41" fontId="8" fillId="0" borderId="0" xfId="0" applyNumberFormat="1" applyFont="1" applyFill="1" applyBorder="1" applyAlignment="1">
      <alignment horizontal="center"/>
    </xf>
    <xf numFmtId="0" fontId="2" fillId="4" borderId="0" xfId="9" applyFont="1" applyFill="1" applyBorder="1" applyAlignment="1">
      <alignment wrapText="1"/>
    </xf>
    <xf numFmtId="0" fontId="2" fillId="4" borderId="28" xfId="9" applyFont="1" applyFill="1" applyBorder="1" applyAlignment="1">
      <alignment wrapText="1"/>
    </xf>
    <xf numFmtId="0" fontId="35" fillId="5" borderId="23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5" fillId="5" borderId="25" xfId="0" applyFont="1" applyFill="1" applyBorder="1" applyAlignment="1">
      <alignment horizontal="center"/>
    </xf>
    <xf numFmtId="0" fontId="6" fillId="4" borderId="21" xfId="9" applyFont="1" applyFill="1" applyBorder="1" applyAlignment="1">
      <alignment horizontal="center"/>
    </xf>
    <xf numFmtId="0" fontId="6" fillId="4" borderId="0" xfId="9" applyFont="1" applyFill="1" applyBorder="1" applyAlignment="1">
      <alignment horizontal="center"/>
    </xf>
    <xf numFmtId="0" fontId="2" fillId="4" borderId="26" xfId="9" applyFont="1" applyFill="1" applyBorder="1" applyAlignment="1">
      <alignment wrapText="1"/>
    </xf>
    <xf numFmtId="0" fontId="2" fillId="4" borderId="0" xfId="9" applyFont="1" applyFill="1" applyBorder="1" applyAlignment="1">
      <alignment vertical="center" wrapText="1"/>
    </xf>
    <xf numFmtId="0" fontId="2" fillId="4" borderId="0" xfId="9" applyFont="1" applyFill="1" applyBorder="1" applyAlignment="1">
      <alignment vertical="top" wrapText="1"/>
    </xf>
    <xf numFmtId="0" fontId="2" fillId="4" borderId="0" xfId="9" applyFont="1" applyFill="1" applyBorder="1"/>
    <xf numFmtId="2" fontId="2" fillId="4" borderId="0" xfId="9" applyNumberFormat="1" applyFont="1" applyFill="1" applyBorder="1" applyAlignment="1">
      <alignment wrapText="1"/>
    </xf>
    <xf numFmtId="0" fontId="34" fillId="0" borderId="3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61" fillId="0" borderId="1" xfId="0" applyFont="1" applyBorder="1" applyAlignment="1">
      <alignment horizontal="left" vertical="center" wrapText="1"/>
    </xf>
    <xf numFmtId="190" fontId="2" fillId="0" borderId="3" xfId="0" applyNumberFormat="1" applyFont="1" applyFill="1" applyBorder="1" applyAlignment="1">
      <alignment horizontal="center"/>
    </xf>
    <xf numFmtId="190" fontId="2" fillId="0" borderId="4" xfId="0" applyNumberFormat="1" applyFont="1" applyFill="1" applyBorder="1" applyAlignment="1">
      <alignment horizontal="center"/>
    </xf>
    <xf numFmtId="190" fontId="2" fillId="0" borderId="2" xfId="0" applyNumberFormat="1" applyFont="1" applyFill="1" applyBorder="1" applyAlignment="1">
      <alignment horizontal="center"/>
    </xf>
    <xf numFmtId="0" fontId="49" fillId="7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left"/>
    </xf>
    <xf numFmtId="0" fontId="39" fillId="0" borderId="1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6" fillId="5" borderId="1" xfId="0" applyFont="1" applyFill="1" applyBorder="1" applyAlignment="1">
      <alignment horizontal="center" vertical="center" wrapText="1"/>
    </xf>
    <xf numFmtId="0" fontId="35" fillId="5" borderId="11" xfId="0" applyFont="1" applyFill="1" applyBorder="1" applyAlignment="1">
      <alignment horizontal="center" vertical="center" wrapText="1"/>
    </xf>
    <xf numFmtId="0" fontId="35" fillId="5" borderId="12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/>
    </xf>
    <xf numFmtId="0" fontId="8" fillId="11" borderId="12" xfId="0" applyFont="1" applyFill="1" applyBorder="1" applyAlignment="1">
      <alignment horizontal="center" vertical="center"/>
    </xf>
    <xf numFmtId="0" fontId="8" fillId="11" borderId="1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/>
    </xf>
    <xf numFmtId="0" fontId="39" fillId="0" borderId="3" xfId="0" applyFont="1" applyFill="1" applyBorder="1" applyAlignment="1">
      <alignment horizontal="center"/>
    </xf>
    <xf numFmtId="0" fontId="39" fillId="0" borderId="4" xfId="0" applyFont="1" applyFill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top" wrapText="1"/>
    </xf>
    <xf numFmtId="4" fontId="8" fillId="11" borderId="1" xfId="0" applyNumberFormat="1" applyFont="1" applyFill="1" applyBorder="1" applyAlignment="1">
      <alignment horizontal="center" vertical="center" wrapText="1"/>
    </xf>
    <xf numFmtId="4" fontId="3" fillId="11" borderId="1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center" vertical="center"/>
    </xf>
    <xf numFmtId="0" fontId="8" fillId="0" borderId="3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/>
    </xf>
    <xf numFmtId="0" fontId="8" fillId="0" borderId="2" xfId="3" applyFont="1" applyFill="1" applyBorder="1" applyAlignment="1">
      <alignment horizontal="center"/>
    </xf>
    <xf numFmtId="0" fontId="37" fillId="5" borderId="1" xfId="0" applyFont="1" applyFill="1" applyBorder="1" applyAlignment="1">
      <alignment horizontal="left" vertical="center"/>
    </xf>
    <xf numFmtId="10" fontId="2" fillId="0" borderId="1" xfId="11" applyNumberFormat="1" applyFont="1" applyFill="1" applyBorder="1" applyAlignment="1">
      <alignment horizontal="center" vertical="center"/>
    </xf>
    <xf numFmtId="9" fontId="34" fillId="0" borderId="3" xfId="0" applyNumberFormat="1" applyFont="1" applyFill="1" applyBorder="1" applyAlignment="1">
      <alignment horizontal="center"/>
    </xf>
    <xf numFmtId="9" fontId="34" fillId="0" borderId="2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6" fillId="10" borderId="3" xfId="11" applyFont="1" applyFill="1" applyBorder="1" applyAlignment="1">
      <alignment horizontal="center" vertical="center"/>
    </xf>
    <xf numFmtId="0" fontId="6" fillId="10" borderId="2" xfId="11" applyFont="1" applyFill="1" applyBorder="1" applyAlignment="1">
      <alignment horizontal="center" vertical="center"/>
    </xf>
    <xf numFmtId="176" fontId="6" fillId="10" borderId="1" xfId="11" applyNumberFormat="1" applyFont="1" applyFill="1" applyBorder="1" applyAlignment="1">
      <alignment horizontal="center" vertical="center"/>
    </xf>
    <xf numFmtId="0" fontId="2" fillId="0" borderId="1" xfId="11" applyFont="1" applyFill="1" applyBorder="1" applyAlignment="1">
      <alignment horizontal="center" vertical="center"/>
    </xf>
    <xf numFmtId="9" fontId="2" fillId="0" borderId="1" xfId="12" applyFont="1" applyFill="1" applyBorder="1" applyAlignment="1">
      <alignment horizontal="center" vertical="center"/>
    </xf>
    <xf numFmtId="165" fontId="2" fillId="0" borderId="3" xfId="2" applyNumberFormat="1" applyFont="1" applyFill="1" applyBorder="1" applyAlignment="1">
      <alignment horizontal="center" vertical="center"/>
    </xf>
    <xf numFmtId="165" fontId="2" fillId="0" borderId="2" xfId="2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2" xfId="0" applyFont="1" applyFill="1" applyBorder="1" applyAlignment="1">
      <alignment horizontal="center" vertical="top"/>
    </xf>
    <xf numFmtId="0" fontId="6" fillId="10" borderId="1" xfId="11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74" fillId="0" borderId="1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9" fontId="0" fillId="0" borderId="1" xfId="0" applyNumberForma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7" fillId="5" borderId="11" xfId="2" applyFont="1" applyFill="1" applyBorder="1" applyAlignment="1">
      <alignment horizontal="center" vertical="center"/>
    </xf>
    <xf numFmtId="0" fontId="37" fillId="5" borderId="14" xfId="2" applyFont="1" applyFill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right" vertical="center"/>
    </xf>
    <xf numFmtId="0" fontId="37" fillId="5" borderId="13" xfId="2" applyFont="1" applyFill="1" applyBorder="1" applyAlignment="1">
      <alignment horizontal="center" vertical="center"/>
    </xf>
    <xf numFmtId="0" fontId="37" fillId="5" borderId="0" xfId="2" applyFont="1" applyFill="1" applyBorder="1" applyAlignment="1">
      <alignment horizontal="center" vertical="center"/>
    </xf>
    <xf numFmtId="0" fontId="37" fillId="5" borderId="3" xfId="2" applyFont="1" applyFill="1" applyBorder="1" applyAlignment="1">
      <alignment horizontal="center" vertical="center"/>
    </xf>
    <xf numFmtId="0" fontId="37" fillId="5" borderId="2" xfId="2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45" fillId="5" borderId="1" xfId="2" applyFont="1" applyFill="1" applyBorder="1" applyAlignment="1">
      <alignment horizontal="center" vertical="center"/>
    </xf>
    <xf numFmtId="0" fontId="37" fillId="5" borderId="1" xfId="2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5" fillId="5" borderId="3" xfId="2" applyFont="1" applyFill="1" applyBorder="1" applyAlignment="1">
      <alignment horizontal="center" vertical="center"/>
    </xf>
    <xf numFmtId="0" fontId="45" fillId="5" borderId="2" xfId="2" applyFont="1" applyFill="1" applyBorder="1" applyAlignment="1">
      <alignment horizontal="center" vertical="center"/>
    </xf>
  </cellXfs>
  <cellStyles count="13">
    <cellStyle name="Comma 2" xfId="8"/>
    <cellStyle name="Millares" xfId="1" builtinId="3"/>
    <cellStyle name="Millares [0]" xfId="7" builtinId="6"/>
    <cellStyle name="Normal" xfId="0" builtinId="0"/>
    <cellStyle name="Normal 11" xfId="11"/>
    <cellStyle name="Normal 2" xfId="2"/>
    <cellStyle name="Normal 3" xfId="10"/>
    <cellStyle name="Normal 5" xfId="9"/>
    <cellStyle name="Normal_Análisis Proyecto Para CEMAS- SUPERTPTE (2)" xfId="3"/>
    <cellStyle name="Normal_Archivo MGS SPRT" xfId="6"/>
    <cellStyle name="Porcentaje" xfId="4" builtinId="5"/>
    <cellStyle name="Porcentaje 2" xfId="12"/>
    <cellStyle name="Texto explicativo" xfId="5" builtinId="5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47</xdr:row>
      <xdr:rowOff>157162</xdr:rowOff>
    </xdr:from>
    <xdr:ext cx="1009059" cy="1960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/>
            <xdr:cNvSpPr txBox="1"/>
          </xdr:nvSpPr>
          <xdr:spPr>
            <a:xfrm>
              <a:off x="4810125" y="9110662"/>
              <a:ext cx="1009059" cy="1960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200" b="1" i="1">
                        <a:latin typeface="Cambria Math" panose="02040503050406030204" pitchFamily="18" charset="0"/>
                      </a:rPr>
                      <m:t>𝑯𝑨𝑺𝑻𝑨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𝟐𝟎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𝑴</m:t>
                        </m:r>
                      </m:e>
                      <m:sup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𝟑</m:t>
                        </m:r>
                      </m:sup>
                    </m:sSup>
                  </m:oMath>
                </m:oMathPara>
              </a14:m>
              <a:endParaRPr lang="es-CO" sz="1200" b="1"/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4810125" y="9110662"/>
              <a:ext cx="1009059" cy="1960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200" b="1" i="0">
                  <a:latin typeface="Cambria Math" panose="02040503050406030204" pitchFamily="18" charset="0"/>
                </a:rPr>
                <a:t>𝑯𝑨𝑺𝑻𝑨 𝟐𝟎 𝑴^𝟑</a:t>
              </a:r>
              <a:endParaRPr lang="es-CO" sz="1200" b="1"/>
            </a:p>
          </xdr:txBody>
        </xdr:sp>
      </mc:Fallback>
    </mc:AlternateContent>
    <xdr:clientData/>
  </xdr:oneCellAnchor>
  <xdr:oneCellAnchor>
    <xdr:from>
      <xdr:col>2</xdr:col>
      <xdr:colOff>9525</xdr:colOff>
      <xdr:row>47</xdr:row>
      <xdr:rowOff>147637</xdr:rowOff>
    </xdr:from>
    <xdr:ext cx="1252587" cy="17966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5829300" y="9101137"/>
              <a:ext cx="1252587" cy="1796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𝑬𝑵𝑻𝑹𝑬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𝟐𝟎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𝒚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𝟒𝟎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𝑴</m:t>
                        </m:r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𝟑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829300" y="9101137"/>
              <a:ext cx="1252587" cy="1796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𝑬𝑵𝑻𝑹𝑬 𝟐𝟎 𝒚 𝟒𝟎 𝑴^𝟑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3</xdr:col>
      <xdr:colOff>104775</xdr:colOff>
      <xdr:row>47</xdr:row>
      <xdr:rowOff>176212</xdr:rowOff>
    </xdr:from>
    <xdr:ext cx="990592" cy="17966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/>
            <xdr:cNvSpPr txBox="1"/>
          </xdr:nvSpPr>
          <xdr:spPr>
            <a:xfrm>
              <a:off x="5295900" y="9320212"/>
              <a:ext cx="990592" cy="1796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𝑴𝑨𝑺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𝑫𝑬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𝟒𝟎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𝑴</m:t>
                        </m:r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𝟑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5295900" y="9320212"/>
              <a:ext cx="990592" cy="1796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𝑴𝑨𝑺 𝑫𝑬 𝟒𝟎 𝑴^𝟑</a:t>
              </a:r>
              <a:endParaRPr lang="es-CO" sz="1100" b="1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storrios/Documents/BACK%20UP%20MAYO%202014/TARIFAS/PLANTILLAS%202014/TARIFAS%20OCENSA/tarifas%202011/Modelo%20Tarifa%20Puerto%20P&#250;blico%20OCENSA%20-%20con%20Aclara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%20UP%20NOV%202012/Nestor%20Rios/Documents/Confidencial/SPT/TARIFAS/TARIFAS%20PUERTO%20NUEVO/Tarifas%20PNSA%20-%20Modelo%20Financiero%20presentado%20a%20Superintendencia%20v2%2011mar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de Caja"/>
      <sheetName val="Cálculo Tarifa"/>
      <sheetName val="Información volumétrica"/>
      <sheetName val="Cálculo de Renta Presuntiva"/>
      <sheetName val="Publicación Tarifa"/>
    </sheetNames>
    <sheetDataSet>
      <sheetData sheetId="0" refreshError="1"/>
      <sheetData sheetId="1" refreshError="1">
        <row r="108">
          <cell r="C108">
            <v>3.44144884402637</v>
          </cell>
        </row>
        <row r="111">
          <cell r="C111">
            <v>0.50861172465865723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e Tarifas"/>
      <sheetName val="Modelo Fin"/>
    </sheetNames>
    <sheetDataSet>
      <sheetData sheetId="0"/>
      <sheetData sheetId="1">
        <row r="141">
          <cell r="F141">
            <v>0.55000000000000004</v>
          </cell>
        </row>
        <row r="143">
          <cell r="F143">
            <v>1000</v>
          </cell>
        </row>
        <row r="144">
          <cell r="F144">
            <v>100</v>
          </cell>
        </row>
        <row r="148">
          <cell r="F148">
            <v>4.5</v>
          </cell>
        </row>
        <row r="149">
          <cell r="F149">
            <v>1</v>
          </cell>
        </row>
        <row r="150">
          <cell r="F150">
            <v>0.2</v>
          </cell>
        </row>
        <row r="151">
          <cell r="F151">
            <v>90</v>
          </cell>
        </row>
        <row r="152">
          <cell r="F152">
            <v>50</v>
          </cell>
        </row>
        <row r="156">
          <cell r="F156">
            <v>0.1</v>
          </cell>
        </row>
        <row r="157">
          <cell r="F157">
            <v>0.12</v>
          </cell>
        </row>
        <row r="158">
          <cell r="F158">
            <v>0.15</v>
          </cell>
        </row>
        <row r="159">
          <cell r="F159">
            <v>0.2</v>
          </cell>
        </row>
        <row r="160">
          <cell r="F160">
            <v>0.3</v>
          </cell>
        </row>
        <row r="161">
          <cell r="F161">
            <v>0.4</v>
          </cell>
        </row>
        <row r="162">
          <cell r="F162">
            <v>0.5</v>
          </cell>
        </row>
        <row r="183">
          <cell r="D183" t="str">
            <v>por tonelada</v>
          </cell>
          <cell r="F183">
            <v>5</v>
          </cell>
        </row>
        <row r="184">
          <cell r="D184" t="str">
            <v>por KWhr</v>
          </cell>
          <cell r="F184">
            <v>0.2</v>
          </cell>
        </row>
        <row r="185">
          <cell r="D185" t="str">
            <v>por operación</v>
          </cell>
          <cell r="F185">
            <v>85</v>
          </cell>
        </row>
        <row r="186">
          <cell r="D186" t="str">
            <v>por operación</v>
          </cell>
          <cell r="F186">
            <v>115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293"/>
  <sheetViews>
    <sheetView workbookViewId="0">
      <selection activeCell="I20" sqref="I20"/>
    </sheetView>
  </sheetViews>
  <sheetFormatPr baseColWidth="10" defaultRowHeight="12.75"/>
  <cols>
    <col min="1" max="1" width="50.7109375" customWidth="1"/>
    <col min="2" max="2" width="29" customWidth="1"/>
    <col min="3" max="3" width="17.42578125" bestFit="1" customWidth="1"/>
  </cols>
  <sheetData>
    <row r="1" spans="1:5" ht="15">
      <c r="A1" s="680" t="s">
        <v>1619</v>
      </c>
      <c r="B1" s="680"/>
      <c r="C1" s="680"/>
      <c r="D1" s="680"/>
      <c r="E1" s="680"/>
    </row>
    <row r="2" spans="1:5" ht="15">
      <c r="A2" s="680" t="s">
        <v>1584</v>
      </c>
      <c r="B2" s="680"/>
      <c r="C2" s="680"/>
      <c r="D2" s="680"/>
      <c r="E2" s="680"/>
    </row>
    <row r="4" spans="1:5">
      <c r="A4" s="682" t="s">
        <v>1240</v>
      </c>
      <c r="B4" s="682"/>
      <c r="C4" s="682"/>
      <c r="D4" s="682"/>
      <c r="E4" s="682"/>
    </row>
    <row r="5" spans="1:5">
      <c r="A5" s="682" t="s">
        <v>1241</v>
      </c>
      <c r="B5" s="682"/>
      <c r="C5" s="682"/>
      <c r="D5" s="682"/>
      <c r="E5" s="682"/>
    </row>
    <row r="6" spans="1:5">
      <c r="A6" s="682" t="s">
        <v>1242</v>
      </c>
      <c r="B6" s="682"/>
      <c r="C6" s="682"/>
      <c r="D6" s="682"/>
      <c r="E6" s="682"/>
    </row>
    <row r="7" spans="1:5">
      <c r="A7" s="682" t="s">
        <v>1243</v>
      </c>
      <c r="B7" s="682"/>
      <c r="C7" s="682"/>
      <c r="D7" s="682"/>
      <c r="E7" s="682"/>
    </row>
    <row r="8" spans="1:5">
      <c r="A8" s="682" t="s">
        <v>1244</v>
      </c>
      <c r="B8" s="682"/>
      <c r="C8" s="682"/>
      <c r="D8" s="682"/>
      <c r="E8" s="682"/>
    </row>
    <row r="9" spans="1:5">
      <c r="A9" s="682" t="s">
        <v>1245</v>
      </c>
      <c r="B9" s="682"/>
      <c r="C9" s="682"/>
      <c r="D9" s="682"/>
      <c r="E9" s="682"/>
    </row>
    <row r="10" spans="1:5">
      <c r="A10" s="258" t="s">
        <v>1246</v>
      </c>
      <c r="B10" s="695" t="s">
        <v>1247</v>
      </c>
      <c r="C10" s="695"/>
      <c r="D10" s="695"/>
      <c r="E10" s="695"/>
    </row>
    <row r="11" spans="1:5">
      <c r="A11" s="259" t="s">
        <v>887</v>
      </c>
      <c r="B11" s="696" t="s">
        <v>1032</v>
      </c>
      <c r="C11" s="696"/>
      <c r="D11" s="696"/>
      <c r="E11" s="696"/>
    </row>
    <row r="12" spans="1:5">
      <c r="A12" s="259" t="s">
        <v>888</v>
      </c>
      <c r="B12" s="696" t="s">
        <v>1048</v>
      </c>
      <c r="C12" s="696"/>
      <c r="D12" s="696"/>
      <c r="E12" s="696"/>
    </row>
    <row r="13" spans="1:5">
      <c r="A13" s="682" t="s">
        <v>1248</v>
      </c>
      <c r="B13" s="682"/>
      <c r="C13" s="682"/>
      <c r="D13" s="682"/>
      <c r="E13" s="682"/>
    </row>
    <row r="14" spans="1:5">
      <c r="A14" s="260" t="s">
        <v>1249</v>
      </c>
      <c r="B14" s="687" t="s">
        <v>1250</v>
      </c>
      <c r="C14" s="687"/>
      <c r="D14" s="687"/>
      <c r="E14" s="687"/>
    </row>
    <row r="15" spans="1:5">
      <c r="A15" s="682" t="s">
        <v>1251</v>
      </c>
      <c r="B15" s="682"/>
      <c r="C15" s="682"/>
      <c r="D15" s="682"/>
      <c r="E15" s="682"/>
    </row>
    <row r="16" spans="1:5" ht="24">
      <c r="A16" s="261" t="s">
        <v>1252</v>
      </c>
      <c r="B16" s="691" t="s">
        <v>1247</v>
      </c>
      <c r="C16" s="691"/>
      <c r="D16" s="691"/>
      <c r="E16" s="691"/>
    </row>
    <row r="17" spans="1:5">
      <c r="A17" s="262" t="s">
        <v>1253</v>
      </c>
      <c r="B17" s="687" t="s">
        <v>1250</v>
      </c>
      <c r="C17" s="687"/>
      <c r="D17" s="687"/>
      <c r="E17" s="687"/>
    </row>
    <row r="18" spans="1:5">
      <c r="A18" s="262" t="s">
        <v>1254</v>
      </c>
      <c r="B18" s="687" t="s">
        <v>1255</v>
      </c>
      <c r="C18" s="687"/>
      <c r="D18" s="687"/>
      <c r="E18" s="687"/>
    </row>
    <row r="19" spans="1:5">
      <c r="A19" s="262" t="s">
        <v>1256</v>
      </c>
      <c r="B19" s="687" t="s">
        <v>1032</v>
      </c>
      <c r="C19" s="687"/>
      <c r="D19" s="687"/>
      <c r="E19" s="687"/>
    </row>
    <row r="20" spans="1:5">
      <c r="A20" s="262" t="s">
        <v>1257</v>
      </c>
      <c r="B20" s="687" t="s">
        <v>1258</v>
      </c>
      <c r="C20" s="687"/>
      <c r="D20" s="687"/>
      <c r="E20" s="687"/>
    </row>
    <row r="21" spans="1:5">
      <c r="A21" s="262" t="s">
        <v>903</v>
      </c>
      <c r="B21" s="687" t="s">
        <v>1040</v>
      </c>
      <c r="C21" s="687"/>
      <c r="D21" s="687"/>
      <c r="E21" s="687"/>
    </row>
    <row r="22" spans="1:5">
      <c r="A22" s="682" t="s">
        <v>1259</v>
      </c>
      <c r="B22" s="682"/>
      <c r="C22" s="682"/>
      <c r="D22" s="682"/>
      <c r="E22" s="682"/>
    </row>
    <row r="23" spans="1:5" ht="24">
      <c r="A23" s="261" t="s">
        <v>1252</v>
      </c>
      <c r="B23" s="691" t="s">
        <v>1247</v>
      </c>
      <c r="C23" s="691"/>
      <c r="D23" s="691"/>
      <c r="E23" s="691"/>
    </row>
    <row r="24" spans="1:5">
      <c r="A24" s="262" t="s">
        <v>889</v>
      </c>
      <c r="B24" s="687" t="s">
        <v>1250</v>
      </c>
      <c r="C24" s="687"/>
      <c r="D24" s="687"/>
      <c r="E24" s="687"/>
    </row>
    <row r="25" spans="1:5">
      <c r="A25" s="262" t="s">
        <v>1260</v>
      </c>
      <c r="B25" s="687" t="s">
        <v>1255</v>
      </c>
      <c r="C25" s="687"/>
      <c r="D25" s="687"/>
      <c r="E25" s="687"/>
    </row>
    <row r="26" spans="1:5">
      <c r="A26" s="262" t="s">
        <v>1261</v>
      </c>
      <c r="B26" s="687" t="s">
        <v>1032</v>
      </c>
      <c r="C26" s="687"/>
      <c r="D26" s="687"/>
      <c r="E26" s="687"/>
    </row>
    <row r="27" spans="1:5">
      <c r="A27" s="262" t="s">
        <v>891</v>
      </c>
      <c r="B27" s="687" t="s">
        <v>1258</v>
      </c>
      <c r="C27" s="687"/>
      <c r="D27" s="687"/>
      <c r="E27" s="687"/>
    </row>
    <row r="28" spans="1:5">
      <c r="A28" s="262" t="s">
        <v>1262</v>
      </c>
      <c r="B28" s="687" t="s">
        <v>1040</v>
      </c>
      <c r="C28" s="687"/>
      <c r="D28" s="687"/>
      <c r="E28" s="687"/>
    </row>
    <row r="29" spans="1:5">
      <c r="A29" s="682" t="s">
        <v>1263</v>
      </c>
      <c r="B29" s="682"/>
      <c r="C29" s="682"/>
      <c r="D29" s="682"/>
      <c r="E29" s="682"/>
    </row>
    <row r="30" spans="1:5" ht="24">
      <c r="A30" s="261" t="s">
        <v>1252</v>
      </c>
      <c r="B30" s="684" t="s">
        <v>1247</v>
      </c>
      <c r="C30" s="685"/>
      <c r="D30" s="685"/>
      <c r="E30" s="686"/>
    </row>
    <row r="31" spans="1:5">
      <c r="A31" s="262" t="s">
        <v>890</v>
      </c>
      <c r="B31" s="687" t="s">
        <v>1250</v>
      </c>
      <c r="C31" s="687"/>
      <c r="D31" s="687"/>
      <c r="E31" s="687"/>
    </row>
    <row r="32" spans="1:5">
      <c r="A32" s="262" t="s">
        <v>891</v>
      </c>
      <c r="B32" s="687" t="s">
        <v>1255</v>
      </c>
      <c r="C32" s="687"/>
      <c r="D32" s="687"/>
      <c r="E32" s="687"/>
    </row>
    <row r="33" spans="1:5">
      <c r="A33" s="262" t="s">
        <v>1264</v>
      </c>
      <c r="B33" s="687" t="s">
        <v>1032</v>
      </c>
      <c r="C33" s="687"/>
      <c r="D33" s="687"/>
      <c r="E33" s="687"/>
    </row>
    <row r="34" spans="1:5">
      <c r="A34" s="262" t="s">
        <v>1265</v>
      </c>
      <c r="B34" s="687" t="s">
        <v>1258</v>
      </c>
      <c r="C34" s="687"/>
      <c r="D34" s="687"/>
      <c r="E34" s="687"/>
    </row>
    <row r="35" spans="1:5">
      <c r="A35" s="262" t="s">
        <v>1266</v>
      </c>
      <c r="B35" s="687" t="s">
        <v>1040</v>
      </c>
      <c r="C35" s="687"/>
      <c r="D35" s="687"/>
      <c r="E35" s="687"/>
    </row>
    <row r="36" spans="1:5">
      <c r="A36" s="682" t="s">
        <v>1267</v>
      </c>
      <c r="B36" s="682"/>
      <c r="C36" s="682"/>
      <c r="D36" s="682"/>
      <c r="E36" s="682"/>
    </row>
    <row r="37" spans="1:5" ht="26.25" customHeight="1">
      <c r="A37" s="261" t="s">
        <v>1252</v>
      </c>
      <c r="B37" s="691" t="s">
        <v>1247</v>
      </c>
      <c r="C37" s="691"/>
      <c r="D37" s="691"/>
      <c r="E37" s="691"/>
    </row>
    <row r="38" spans="1:5">
      <c r="A38" s="262" t="s">
        <v>1268</v>
      </c>
      <c r="B38" s="687" t="s">
        <v>1250</v>
      </c>
      <c r="C38" s="687"/>
      <c r="D38" s="687"/>
      <c r="E38" s="687"/>
    </row>
    <row r="39" spans="1:5">
      <c r="A39" s="262" t="s">
        <v>1269</v>
      </c>
      <c r="B39" s="687" t="s">
        <v>1255</v>
      </c>
      <c r="C39" s="687"/>
      <c r="D39" s="687"/>
      <c r="E39" s="687"/>
    </row>
    <row r="40" spans="1:5">
      <c r="A40" s="262" t="s">
        <v>1270</v>
      </c>
      <c r="B40" s="687" t="s">
        <v>1032</v>
      </c>
      <c r="C40" s="687"/>
      <c r="D40" s="687"/>
      <c r="E40" s="687"/>
    </row>
    <row r="41" spans="1:5">
      <c r="A41" s="262" t="s">
        <v>1271</v>
      </c>
      <c r="B41" s="687" t="s">
        <v>1258</v>
      </c>
      <c r="C41" s="687"/>
      <c r="D41" s="687"/>
      <c r="E41" s="687"/>
    </row>
    <row r="42" spans="1:5">
      <c r="A42" s="262" t="s">
        <v>1272</v>
      </c>
      <c r="B42" s="687" t="s">
        <v>1040</v>
      </c>
      <c r="C42" s="687"/>
      <c r="D42" s="687"/>
      <c r="E42" s="687"/>
    </row>
    <row r="43" spans="1:5">
      <c r="A43" s="682" t="s">
        <v>1273</v>
      </c>
      <c r="B43" s="682"/>
      <c r="C43" s="682"/>
      <c r="D43" s="682"/>
      <c r="E43" s="682"/>
    </row>
    <row r="44" spans="1:5">
      <c r="A44" s="260" t="s">
        <v>1274</v>
      </c>
      <c r="B44" s="687" t="s">
        <v>1275</v>
      </c>
      <c r="C44" s="687"/>
      <c r="D44" s="687"/>
      <c r="E44" s="687"/>
    </row>
    <row r="45" spans="1:5">
      <c r="A45" s="682" t="s">
        <v>1276</v>
      </c>
      <c r="B45" s="682"/>
      <c r="C45" s="682"/>
      <c r="D45" s="682"/>
      <c r="E45" s="682"/>
    </row>
    <row r="46" spans="1:5">
      <c r="A46" s="682" t="s">
        <v>1277</v>
      </c>
      <c r="B46" s="682"/>
      <c r="C46" s="682"/>
      <c r="D46" s="682"/>
      <c r="E46" s="682"/>
    </row>
    <row r="47" spans="1:5">
      <c r="A47" s="682" t="s">
        <v>1278</v>
      </c>
      <c r="B47" s="682"/>
      <c r="C47" s="682"/>
      <c r="D47" s="682"/>
      <c r="E47" s="682"/>
    </row>
    <row r="48" spans="1:5">
      <c r="A48" s="682" t="s">
        <v>1279</v>
      </c>
      <c r="B48" s="682"/>
      <c r="C48" s="682"/>
      <c r="D48" s="682"/>
      <c r="E48" s="682"/>
    </row>
    <row r="49" spans="1:5">
      <c r="A49" s="263" t="s">
        <v>1280</v>
      </c>
      <c r="B49" s="681" t="s">
        <v>894</v>
      </c>
      <c r="C49" s="681"/>
      <c r="D49" s="681"/>
      <c r="E49" s="681"/>
    </row>
    <row r="50" spans="1:5">
      <c r="A50" s="262" t="s">
        <v>1281</v>
      </c>
      <c r="B50" s="687" t="s">
        <v>1282</v>
      </c>
      <c r="C50" s="687"/>
      <c r="D50" s="687"/>
      <c r="E50" s="687"/>
    </row>
    <row r="51" spans="1:5">
      <c r="A51" s="262" t="s">
        <v>1283</v>
      </c>
      <c r="B51" s="687" t="s">
        <v>1284</v>
      </c>
      <c r="C51" s="687"/>
      <c r="D51" s="687"/>
      <c r="E51" s="687"/>
    </row>
    <row r="52" spans="1:5">
      <c r="A52" s="262" t="s">
        <v>1285</v>
      </c>
      <c r="B52" s="687" t="s">
        <v>1286</v>
      </c>
      <c r="C52" s="687"/>
      <c r="D52" s="687"/>
      <c r="E52" s="687"/>
    </row>
    <row r="53" spans="1:5">
      <c r="A53" s="262" t="s">
        <v>1287</v>
      </c>
      <c r="B53" s="687" t="s">
        <v>1288</v>
      </c>
      <c r="C53" s="687"/>
      <c r="D53" s="687"/>
      <c r="E53" s="687"/>
    </row>
    <row r="54" spans="1:5">
      <c r="A54" s="262" t="s">
        <v>1289</v>
      </c>
      <c r="B54" s="687" t="s">
        <v>1034</v>
      </c>
      <c r="C54" s="687"/>
      <c r="D54" s="687"/>
      <c r="E54" s="687"/>
    </row>
    <row r="55" spans="1:5">
      <c r="A55" s="262" t="s">
        <v>1290</v>
      </c>
      <c r="B55" s="687" t="s">
        <v>1291</v>
      </c>
      <c r="C55" s="687"/>
      <c r="D55" s="687"/>
      <c r="E55" s="687"/>
    </row>
    <row r="56" spans="1:5">
      <c r="A56" s="682" t="s">
        <v>1292</v>
      </c>
      <c r="B56" s="682"/>
      <c r="C56" s="682"/>
      <c r="D56" s="682"/>
      <c r="E56" s="682"/>
    </row>
    <row r="57" spans="1:5">
      <c r="A57" s="263" t="s">
        <v>392</v>
      </c>
      <c r="B57" s="681" t="s">
        <v>894</v>
      </c>
      <c r="C57" s="681"/>
      <c r="D57" s="681"/>
      <c r="E57" s="681"/>
    </row>
    <row r="58" spans="1:5">
      <c r="A58" s="260" t="s">
        <v>895</v>
      </c>
      <c r="B58" s="687" t="s">
        <v>1282</v>
      </c>
      <c r="C58" s="687"/>
      <c r="D58" s="687"/>
      <c r="E58" s="687"/>
    </row>
    <row r="59" spans="1:5">
      <c r="A59" s="682" t="s">
        <v>1293</v>
      </c>
      <c r="B59" s="682"/>
      <c r="C59" s="682"/>
      <c r="D59" s="682"/>
      <c r="E59" s="682"/>
    </row>
    <row r="60" spans="1:5">
      <c r="A60" s="682" t="s">
        <v>1294</v>
      </c>
      <c r="B60" s="682"/>
      <c r="C60" s="682"/>
      <c r="D60" s="682"/>
      <c r="E60" s="682"/>
    </row>
    <row r="61" spans="1:5">
      <c r="A61" s="263" t="s">
        <v>1280</v>
      </c>
      <c r="B61" s="681" t="s">
        <v>894</v>
      </c>
      <c r="C61" s="681"/>
      <c r="D61" s="681"/>
      <c r="E61" s="681"/>
    </row>
    <row r="62" spans="1:5">
      <c r="A62" s="262" t="s">
        <v>1281</v>
      </c>
      <c r="B62" s="687" t="s">
        <v>1295</v>
      </c>
      <c r="C62" s="687"/>
      <c r="D62" s="687"/>
      <c r="E62" s="687"/>
    </row>
    <row r="63" spans="1:5">
      <c r="A63" s="262" t="s">
        <v>1283</v>
      </c>
      <c r="B63" s="687" t="s">
        <v>1296</v>
      </c>
      <c r="C63" s="687"/>
      <c r="D63" s="687"/>
      <c r="E63" s="687"/>
    </row>
    <row r="64" spans="1:5">
      <c r="A64" s="262" t="s">
        <v>1285</v>
      </c>
      <c r="B64" s="687" t="s">
        <v>1297</v>
      </c>
      <c r="C64" s="687"/>
      <c r="D64" s="687"/>
      <c r="E64" s="687"/>
    </row>
    <row r="65" spans="1:5">
      <c r="A65" s="262" t="s">
        <v>1287</v>
      </c>
      <c r="B65" s="687" t="s">
        <v>1298</v>
      </c>
      <c r="C65" s="687"/>
      <c r="D65" s="687"/>
      <c r="E65" s="687"/>
    </row>
    <row r="66" spans="1:5">
      <c r="A66" s="262" t="s">
        <v>1289</v>
      </c>
      <c r="B66" s="687" t="s">
        <v>1038</v>
      </c>
      <c r="C66" s="687"/>
      <c r="D66" s="687"/>
      <c r="E66" s="687"/>
    </row>
    <row r="67" spans="1:5">
      <c r="A67" s="262" t="s">
        <v>1299</v>
      </c>
      <c r="B67" s="687" t="s">
        <v>1300</v>
      </c>
      <c r="C67" s="687"/>
      <c r="D67" s="687"/>
      <c r="E67" s="687"/>
    </row>
    <row r="68" spans="1:5">
      <c r="A68" s="262" t="s">
        <v>1301</v>
      </c>
      <c r="B68" s="687" t="s">
        <v>1302</v>
      </c>
      <c r="C68" s="687"/>
      <c r="D68" s="687"/>
      <c r="E68" s="687"/>
    </row>
    <row r="69" spans="1:5">
      <c r="A69" s="682" t="s">
        <v>1303</v>
      </c>
      <c r="B69" s="682"/>
      <c r="C69" s="682"/>
      <c r="D69" s="682"/>
      <c r="E69" s="682"/>
    </row>
    <row r="70" spans="1:5">
      <c r="A70" s="691" t="s">
        <v>1252</v>
      </c>
      <c r="B70" s="691" t="s">
        <v>894</v>
      </c>
      <c r="C70" s="691"/>
      <c r="D70" s="691"/>
      <c r="E70" s="691"/>
    </row>
    <row r="71" spans="1:5">
      <c r="A71" s="691"/>
      <c r="B71" s="691"/>
      <c r="C71" s="691"/>
      <c r="D71" s="691"/>
      <c r="E71" s="691"/>
    </row>
    <row r="72" spans="1:5">
      <c r="A72" s="262" t="s">
        <v>1253</v>
      </c>
      <c r="B72" s="687" t="s">
        <v>1295</v>
      </c>
      <c r="C72" s="687"/>
      <c r="D72" s="687"/>
      <c r="E72" s="687"/>
    </row>
    <row r="73" spans="1:5">
      <c r="A73" s="262" t="s">
        <v>1254</v>
      </c>
      <c r="B73" s="687" t="s">
        <v>1297</v>
      </c>
      <c r="C73" s="687"/>
      <c r="D73" s="687"/>
      <c r="E73" s="687"/>
    </row>
    <row r="74" spans="1:5">
      <c r="A74" s="262" t="s">
        <v>1256</v>
      </c>
      <c r="B74" s="687" t="s">
        <v>1034</v>
      </c>
      <c r="C74" s="687"/>
      <c r="D74" s="687"/>
      <c r="E74" s="687"/>
    </row>
    <row r="75" spans="1:5">
      <c r="A75" s="262" t="s">
        <v>1257</v>
      </c>
      <c r="B75" s="687" t="s">
        <v>1042</v>
      </c>
      <c r="C75" s="687"/>
      <c r="D75" s="687"/>
      <c r="E75" s="687"/>
    </row>
    <row r="76" spans="1:5">
      <c r="A76" s="262" t="s">
        <v>903</v>
      </c>
      <c r="B76" s="687" t="s">
        <v>1302</v>
      </c>
      <c r="C76" s="687"/>
      <c r="D76" s="687"/>
      <c r="E76" s="687"/>
    </row>
    <row r="77" spans="1:5">
      <c r="A77" s="682" t="s">
        <v>1304</v>
      </c>
      <c r="B77" s="682"/>
      <c r="C77" s="682"/>
      <c r="D77" s="682"/>
      <c r="E77" s="682"/>
    </row>
    <row r="78" spans="1:5" ht="24">
      <c r="A78" s="261" t="s">
        <v>1252</v>
      </c>
      <c r="B78" s="691" t="s">
        <v>894</v>
      </c>
      <c r="C78" s="691"/>
      <c r="D78" s="691"/>
      <c r="E78" s="691"/>
    </row>
    <row r="79" spans="1:5">
      <c r="A79" s="262" t="s">
        <v>889</v>
      </c>
      <c r="B79" s="687" t="s">
        <v>1295</v>
      </c>
      <c r="C79" s="687"/>
      <c r="D79" s="687"/>
      <c r="E79" s="687"/>
    </row>
    <row r="80" spans="1:5">
      <c r="A80" s="262" t="s">
        <v>1260</v>
      </c>
      <c r="B80" s="687" t="s">
        <v>1297</v>
      </c>
      <c r="C80" s="687"/>
      <c r="D80" s="687"/>
      <c r="E80" s="687"/>
    </row>
    <row r="81" spans="1:5">
      <c r="A81" s="262" t="s">
        <v>1261</v>
      </c>
      <c r="B81" s="687" t="s">
        <v>1034</v>
      </c>
      <c r="C81" s="687"/>
      <c r="D81" s="687"/>
      <c r="E81" s="687"/>
    </row>
    <row r="82" spans="1:5">
      <c r="A82" s="262" t="s">
        <v>891</v>
      </c>
      <c r="B82" s="687" t="s">
        <v>1042</v>
      </c>
      <c r="C82" s="687"/>
      <c r="D82" s="687"/>
      <c r="E82" s="687"/>
    </row>
    <row r="83" spans="1:5">
      <c r="A83" s="262" t="s">
        <v>1262</v>
      </c>
      <c r="B83" s="687" t="s">
        <v>1302</v>
      </c>
      <c r="C83" s="687"/>
      <c r="D83" s="687"/>
      <c r="E83" s="687"/>
    </row>
    <row r="84" spans="1:5">
      <c r="A84" s="682" t="s">
        <v>1305</v>
      </c>
      <c r="B84" s="682"/>
      <c r="C84" s="682"/>
      <c r="D84" s="682"/>
      <c r="E84" s="682"/>
    </row>
    <row r="85" spans="1:5" ht="24">
      <c r="A85" s="261" t="s">
        <v>1252</v>
      </c>
      <c r="B85" s="691" t="s">
        <v>894</v>
      </c>
      <c r="C85" s="691"/>
      <c r="D85" s="691"/>
      <c r="E85" s="691"/>
    </row>
    <row r="86" spans="1:5">
      <c r="A86" s="262" t="s">
        <v>890</v>
      </c>
      <c r="B86" s="687" t="s">
        <v>1295</v>
      </c>
      <c r="C86" s="687"/>
      <c r="D86" s="687"/>
      <c r="E86" s="687"/>
    </row>
    <row r="87" spans="1:5">
      <c r="A87" s="262" t="s">
        <v>891</v>
      </c>
      <c r="B87" s="687" t="s">
        <v>1297</v>
      </c>
      <c r="C87" s="687"/>
      <c r="D87" s="687"/>
      <c r="E87" s="687"/>
    </row>
    <row r="88" spans="1:5">
      <c r="A88" s="262" t="s">
        <v>1264</v>
      </c>
      <c r="B88" s="687" t="s">
        <v>1034</v>
      </c>
      <c r="C88" s="687"/>
      <c r="D88" s="687"/>
      <c r="E88" s="687"/>
    </row>
    <row r="89" spans="1:5">
      <c r="A89" s="262" t="s">
        <v>1265</v>
      </c>
      <c r="B89" s="687" t="s">
        <v>1042</v>
      </c>
      <c r="C89" s="687"/>
      <c r="D89" s="687"/>
      <c r="E89" s="687"/>
    </row>
    <row r="90" spans="1:5">
      <c r="A90" s="262" t="s">
        <v>1266</v>
      </c>
      <c r="B90" s="687" t="s">
        <v>1302</v>
      </c>
      <c r="C90" s="687"/>
      <c r="D90" s="687"/>
      <c r="E90" s="687"/>
    </row>
    <row r="91" spans="1:5">
      <c r="A91" s="682" t="s">
        <v>1306</v>
      </c>
      <c r="B91" s="682"/>
      <c r="C91" s="682"/>
      <c r="D91" s="682"/>
      <c r="E91" s="682"/>
    </row>
    <row r="92" spans="1:5" ht="24">
      <c r="A92" s="261" t="s">
        <v>1252</v>
      </c>
      <c r="B92" s="691" t="s">
        <v>894</v>
      </c>
      <c r="C92" s="691"/>
      <c r="D92" s="691"/>
      <c r="E92" s="691"/>
    </row>
    <row r="93" spans="1:5">
      <c r="A93" s="262" t="s">
        <v>1268</v>
      </c>
      <c r="B93" s="687" t="s">
        <v>1295</v>
      </c>
      <c r="C93" s="687"/>
      <c r="D93" s="687"/>
      <c r="E93" s="687"/>
    </row>
    <row r="94" spans="1:5">
      <c r="A94" s="262" t="s">
        <v>1269</v>
      </c>
      <c r="B94" s="687" t="s">
        <v>1297</v>
      </c>
      <c r="C94" s="687"/>
      <c r="D94" s="687"/>
      <c r="E94" s="687"/>
    </row>
    <row r="95" spans="1:5">
      <c r="A95" s="262" t="s">
        <v>1270</v>
      </c>
      <c r="B95" s="687" t="s">
        <v>1034</v>
      </c>
      <c r="C95" s="687"/>
      <c r="D95" s="687"/>
      <c r="E95" s="687"/>
    </row>
    <row r="96" spans="1:5">
      <c r="A96" s="262" t="s">
        <v>1271</v>
      </c>
      <c r="B96" s="687" t="s">
        <v>1042</v>
      </c>
      <c r="C96" s="687"/>
      <c r="D96" s="687"/>
      <c r="E96" s="687"/>
    </row>
    <row r="97" spans="1:5">
      <c r="A97" s="262" t="s">
        <v>1272</v>
      </c>
      <c r="B97" s="687" t="s">
        <v>1302</v>
      </c>
      <c r="C97" s="687"/>
      <c r="D97" s="687"/>
      <c r="E97" s="687"/>
    </row>
    <row r="98" spans="1:5">
      <c r="A98" s="682" t="s">
        <v>1307</v>
      </c>
      <c r="B98" s="682"/>
      <c r="C98" s="682"/>
      <c r="D98" s="682"/>
      <c r="E98" s="682"/>
    </row>
    <row r="99" spans="1:5">
      <c r="A99" s="682" t="s">
        <v>1308</v>
      </c>
      <c r="B99" s="682"/>
      <c r="C99" s="682"/>
      <c r="D99" s="682"/>
      <c r="E99" s="682"/>
    </row>
    <row r="100" spans="1:5">
      <c r="A100" s="690" t="s">
        <v>898</v>
      </c>
      <c r="B100" s="681" t="s">
        <v>906</v>
      </c>
      <c r="C100" s="681"/>
      <c r="D100" s="681"/>
      <c r="E100" s="681"/>
    </row>
    <row r="101" spans="1:5">
      <c r="A101" s="690"/>
      <c r="B101" s="263" t="s">
        <v>1309</v>
      </c>
      <c r="C101" s="681" t="s">
        <v>1310</v>
      </c>
      <c r="D101" s="681"/>
      <c r="E101" s="681"/>
    </row>
    <row r="102" spans="1:5">
      <c r="A102" s="262" t="s">
        <v>1311</v>
      </c>
      <c r="B102" s="264" t="s">
        <v>1312</v>
      </c>
      <c r="C102" s="687" t="s">
        <v>1313</v>
      </c>
      <c r="D102" s="687"/>
      <c r="E102" s="687"/>
    </row>
    <row r="103" spans="1:5">
      <c r="A103" s="262" t="s">
        <v>899</v>
      </c>
      <c r="B103" s="264" t="s">
        <v>1314</v>
      </c>
      <c r="C103" s="687" t="s">
        <v>1315</v>
      </c>
      <c r="D103" s="687"/>
      <c r="E103" s="687"/>
    </row>
    <row r="104" spans="1:5">
      <c r="A104" s="262" t="s">
        <v>900</v>
      </c>
      <c r="B104" s="264" t="s">
        <v>1316</v>
      </c>
      <c r="C104" s="687" t="s">
        <v>1317</v>
      </c>
      <c r="D104" s="687"/>
      <c r="E104" s="687"/>
    </row>
    <row r="105" spans="1:5">
      <c r="A105" s="262" t="s">
        <v>901</v>
      </c>
      <c r="B105" s="264" t="s">
        <v>1318</v>
      </c>
      <c r="C105" s="687" t="s">
        <v>1319</v>
      </c>
      <c r="D105" s="687"/>
      <c r="E105" s="687"/>
    </row>
    <row r="106" spans="1:5">
      <c r="A106" s="262" t="s">
        <v>902</v>
      </c>
      <c r="B106" s="264" t="s">
        <v>1320</v>
      </c>
      <c r="C106" s="687" t="s">
        <v>1321</v>
      </c>
      <c r="D106" s="687"/>
      <c r="E106" s="687"/>
    </row>
    <row r="107" spans="1:5">
      <c r="A107" s="262" t="s">
        <v>1322</v>
      </c>
      <c r="B107" s="264" t="s">
        <v>1323</v>
      </c>
      <c r="C107" s="687" t="s">
        <v>1324</v>
      </c>
      <c r="D107" s="687"/>
      <c r="E107" s="687"/>
    </row>
    <row r="108" spans="1:5">
      <c r="A108" s="262" t="s">
        <v>1325</v>
      </c>
      <c r="B108" s="264" t="s">
        <v>1326</v>
      </c>
      <c r="C108" s="687" t="s">
        <v>1327</v>
      </c>
      <c r="D108" s="687"/>
      <c r="E108" s="687"/>
    </row>
    <row r="109" spans="1:5">
      <c r="A109" s="681" t="s">
        <v>1328</v>
      </c>
      <c r="B109" s="681"/>
      <c r="C109" s="681"/>
      <c r="D109" s="681"/>
      <c r="E109" s="681"/>
    </row>
    <row r="110" spans="1:5">
      <c r="A110" s="687" t="s">
        <v>1329</v>
      </c>
      <c r="B110" s="687"/>
      <c r="C110" s="687"/>
      <c r="D110" s="687"/>
      <c r="E110" s="687"/>
    </row>
    <row r="111" spans="1:5">
      <c r="A111" s="682" t="s">
        <v>1330</v>
      </c>
      <c r="B111" s="682"/>
      <c r="C111" s="682"/>
      <c r="D111" s="682"/>
      <c r="E111" s="682"/>
    </row>
    <row r="112" spans="1:5">
      <c r="A112" s="263" t="s">
        <v>49</v>
      </c>
      <c r="B112" s="263" t="s">
        <v>1309</v>
      </c>
      <c r="C112" s="681" t="s">
        <v>1310</v>
      </c>
      <c r="D112" s="681"/>
      <c r="E112" s="681"/>
    </row>
    <row r="113" spans="1:5">
      <c r="A113" s="260" t="s">
        <v>1331</v>
      </c>
      <c r="B113" s="264" t="s">
        <v>1332</v>
      </c>
      <c r="C113" s="687" t="s">
        <v>1333</v>
      </c>
      <c r="D113" s="687"/>
      <c r="E113" s="687"/>
    </row>
    <row r="114" spans="1:5">
      <c r="A114" s="260" t="s">
        <v>1334</v>
      </c>
      <c r="B114" s="264" t="s">
        <v>1335</v>
      </c>
      <c r="C114" s="687" t="s">
        <v>1313</v>
      </c>
      <c r="D114" s="687"/>
      <c r="E114" s="687"/>
    </row>
    <row r="115" spans="1:5">
      <c r="A115" s="260" t="s">
        <v>1336</v>
      </c>
      <c r="B115" s="687" t="s">
        <v>1337</v>
      </c>
      <c r="C115" s="687"/>
      <c r="D115" s="687"/>
      <c r="E115" s="687"/>
    </row>
    <row r="116" spans="1:5">
      <c r="A116" s="260" t="s">
        <v>1338</v>
      </c>
      <c r="B116" s="687" t="s">
        <v>1339</v>
      </c>
      <c r="C116" s="687"/>
      <c r="D116" s="687"/>
      <c r="E116" s="687"/>
    </row>
    <row r="117" spans="1:5">
      <c r="A117" s="682" t="s">
        <v>1340</v>
      </c>
      <c r="B117" s="682"/>
      <c r="C117" s="682"/>
      <c r="D117" s="682"/>
      <c r="E117" s="682"/>
    </row>
    <row r="118" spans="1:5">
      <c r="A118" s="682" t="s">
        <v>1341</v>
      </c>
      <c r="B118" s="682"/>
      <c r="C118" s="682"/>
      <c r="D118" s="682"/>
      <c r="E118" s="682"/>
    </row>
    <row r="119" spans="1:5">
      <c r="A119" s="263" t="s">
        <v>109</v>
      </c>
      <c r="B119" s="681" t="s">
        <v>906</v>
      </c>
      <c r="C119" s="681"/>
      <c r="D119" s="681"/>
      <c r="E119" s="681"/>
    </row>
    <row r="120" spans="1:5">
      <c r="A120" s="260" t="s">
        <v>1342</v>
      </c>
      <c r="B120" s="687" t="s">
        <v>1343</v>
      </c>
      <c r="C120" s="687"/>
      <c r="D120" s="687"/>
      <c r="E120" s="687"/>
    </row>
    <row r="121" spans="1:5">
      <c r="A121" s="260" t="s">
        <v>1344</v>
      </c>
      <c r="B121" s="687" t="s">
        <v>1345</v>
      </c>
      <c r="C121" s="687"/>
      <c r="D121" s="687"/>
      <c r="E121" s="687"/>
    </row>
    <row r="122" spans="1:5">
      <c r="A122" s="682" t="s">
        <v>1346</v>
      </c>
      <c r="B122" s="682"/>
      <c r="C122" s="682"/>
      <c r="D122" s="682"/>
      <c r="E122" s="682"/>
    </row>
    <row r="123" spans="1:5">
      <c r="A123" s="682" t="s">
        <v>1347</v>
      </c>
      <c r="B123" s="682"/>
      <c r="C123" s="682"/>
      <c r="D123" s="682"/>
      <c r="E123" s="682"/>
    </row>
    <row r="124" spans="1:5">
      <c r="A124" s="690" t="s">
        <v>898</v>
      </c>
      <c r="B124" s="681" t="s">
        <v>906</v>
      </c>
      <c r="C124" s="681"/>
      <c r="D124" s="681"/>
      <c r="E124" s="681"/>
    </row>
    <row r="125" spans="1:5">
      <c r="A125" s="690"/>
      <c r="B125" s="263" t="s">
        <v>640</v>
      </c>
      <c r="C125" s="681" t="s">
        <v>641</v>
      </c>
      <c r="D125" s="681"/>
      <c r="E125" s="681"/>
    </row>
    <row r="126" spans="1:5">
      <c r="A126" s="262" t="s">
        <v>1348</v>
      </c>
      <c r="B126" s="264" t="s">
        <v>1349</v>
      </c>
      <c r="C126" s="687" t="s">
        <v>1350</v>
      </c>
      <c r="D126" s="687"/>
      <c r="E126" s="687"/>
    </row>
    <row r="127" spans="1:5">
      <c r="A127" s="262" t="s">
        <v>1351</v>
      </c>
      <c r="B127" s="264" t="s">
        <v>1352</v>
      </c>
      <c r="C127" s="687" t="s">
        <v>1353</v>
      </c>
      <c r="D127" s="687"/>
      <c r="E127" s="687"/>
    </row>
    <row r="128" spans="1:5">
      <c r="A128" s="262" t="s">
        <v>903</v>
      </c>
      <c r="B128" s="264" t="s">
        <v>1354</v>
      </c>
      <c r="C128" s="687" t="s">
        <v>1355</v>
      </c>
      <c r="D128" s="687"/>
      <c r="E128" s="687"/>
    </row>
    <row r="129" spans="1:5">
      <c r="A129" s="682" t="s">
        <v>1356</v>
      </c>
      <c r="B129" s="682"/>
      <c r="C129" s="682"/>
      <c r="D129" s="682"/>
      <c r="E129" s="682"/>
    </row>
    <row r="130" spans="1:5">
      <c r="A130" s="682" t="s">
        <v>1357</v>
      </c>
      <c r="B130" s="682"/>
      <c r="C130" s="682"/>
      <c r="D130" s="682"/>
      <c r="E130" s="682"/>
    </row>
    <row r="131" spans="1:5">
      <c r="A131" s="263" t="s">
        <v>109</v>
      </c>
      <c r="B131" s="681" t="s">
        <v>906</v>
      </c>
      <c r="C131" s="681"/>
      <c r="D131" s="681"/>
      <c r="E131" s="681"/>
    </row>
    <row r="132" spans="1:5">
      <c r="A132" s="260" t="s">
        <v>789</v>
      </c>
      <c r="B132" s="687" t="s">
        <v>1350</v>
      </c>
      <c r="C132" s="687"/>
      <c r="D132" s="687"/>
      <c r="E132" s="687"/>
    </row>
    <row r="133" spans="1:5">
      <c r="A133" s="260" t="s">
        <v>791</v>
      </c>
      <c r="B133" s="687" t="s">
        <v>1358</v>
      </c>
      <c r="C133" s="687"/>
      <c r="D133" s="687"/>
      <c r="E133" s="687"/>
    </row>
    <row r="134" spans="1:5" ht="13.5">
      <c r="A134" s="682" t="s">
        <v>1618</v>
      </c>
      <c r="B134" s="682"/>
      <c r="C134" s="682"/>
      <c r="D134" s="682"/>
      <c r="E134" s="682"/>
    </row>
    <row r="135" spans="1:5">
      <c r="A135" s="682" t="s">
        <v>1359</v>
      </c>
      <c r="B135" s="682"/>
      <c r="C135" s="682"/>
      <c r="D135" s="682"/>
      <c r="E135" s="682"/>
    </row>
    <row r="136" spans="1:5" ht="13.5">
      <c r="A136" s="263" t="s">
        <v>1360</v>
      </c>
      <c r="B136" s="681" t="s">
        <v>905</v>
      </c>
      <c r="C136" s="681"/>
      <c r="D136" s="681"/>
      <c r="E136" s="681"/>
    </row>
    <row r="137" spans="1:5" ht="13.5">
      <c r="A137" s="262" t="s">
        <v>1361</v>
      </c>
      <c r="B137" s="687" t="s">
        <v>1362</v>
      </c>
      <c r="C137" s="687"/>
      <c r="D137" s="687"/>
      <c r="E137" s="687"/>
    </row>
    <row r="138" spans="1:5" ht="13.5">
      <c r="A138" s="262" t="s">
        <v>1363</v>
      </c>
      <c r="B138" s="687" t="s">
        <v>1364</v>
      </c>
      <c r="C138" s="687"/>
      <c r="D138" s="687"/>
      <c r="E138" s="687"/>
    </row>
    <row r="139" spans="1:5" ht="13.5">
      <c r="A139" s="262" t="s">
        <v>1365</v>
      </c>
      <c r="B139" s="687" t="s">
        <v>1318</v>
      </c>
      <c r="C139" s="687"/>
      <c r="D139" s="687"/>
      <c r="E139" s="687"/>
    </row>
    <row r="140" spans="1:5" ht="13.5">
      <c r="A140" s="262" t="s">
        <v>1366</v>
      </c>
      <c r="B140" s="687" t="s">
        <v>1367</v>
      </c>
      <c r="C140" s="687"/>
      <c r="D140" s="687"/>
      <c r="E140" s="687"/>
    </row>
    <row r="141" spans="1:5">
      <c r="A141" s="682" t="s">
        <v>1368</v>
      </c>
      <c r="B141" s="682"/>
      <c r="C141" s="682"/>
      <c r="D141" s="682"/>
      <c r="E141" s="682"/>
    </row>
    <row r="142" spans="1:5">
      <c r="A142" s="682" t="s">
        <v>1369</v>
      </c>
      <c r="B142" s="682"/>
      <c r="C142" s="682"/>
      <c r="D142" s="682"/>
      <c r="E142" s="682"/>
    </row>
    <row r="143" spans="1:5">
      <c r="A143" s="263" t="s">
        <v>392</v>
      </c>
      <c r="B143" s="681" t="s">
        <v>894</v>
      </c>
      <c r="C143" s="681"/>
      <c r="D143" s="681"/>
      <c r="E143" s="681"/>
    </row>
    <row r="144" spans="1:5">
      <c r="A144" s="260" t="s">
        <v>1370</v>
      </c>
      <c r="B144" s="687" t="s">
        <v>1302</v>
      </c>
      <c r="C144" s="687"/>
      <c r="D144" s="687"/>
      <c r="E144" s="687"/>
    </row>
    <row r="145" spans="1:5">
      <c r="A145" s="681" t="s">
        <v>1371</v>
      </c>
      <c r="B145" s="681"/>
      <c r="C145" s="681"/>
      <c r="D145" s="681"/>
      <c r="E145" s="681"/>
    </row>
    <row r="146" spans="1:5">
      <c r="A146" s="682" t="s">
        <v>1372</v>
      </c>
      <c r="B146" s="682"/>
      <c r="C146" s="682"/>
      <c r="D146" s="682"/>
      <c r="E146" s="682"/>
    </row>
    <row r="147" spans="1:5">
      <c r="A147" s="682" t="s">
        <v>1357</v>
      </c>
      <c r="B147" s="682"/>
      <c r="C147" s="682"/>
      <c r="D147" s="682"/>
      <c r="E147" s="682"/>
    </row>
    <row r="148" spans="1:5">
      <c r="A148" s="263" t="s">
        <v>907</v>
      </c>
      <c r="B148" s="681" t="s">
        <v>894</v>
      </c>
      <c r="C148" s="681"/>
      <c r="D148" s="681"/>
      <c r="E148" s="681"/>
    </row>
    <row r="149" spans="1:5">
      <c r="A149" s="262" t="s">
        <v>908</v>
      </c>
      <c r="B149" s="687" t="s">
        <v>1302</v>
      </c>
      <c r="C149" s="687"/>
      <c r="D149" s="687"/>
      <c r="E149" s="687"/>
    </row>
    <row r="150" spans="1:5">
      <c r="A150" s="262" t="s">
        <v>909</v>
      </c>
      <c r="B150" s="687" t="s">
        <v>1373</v>
      </c>
      <c r="C150" s="687"/>
      <c r="D150" s="687"/>
      <c r="E150" s="687"/>
    </row>
    <row r="151" spans="1:5">
      <c r="A151" s="262" t="s">
        <v>910</v>
      </c>
      <c r="B151" s="687" t="s">
        <v>1374</v>
      </c>
      <c r="C151" s="687"/>
      <c r="D151" s="687"/>
      <c r="E151" s="687"/>
    </row>
    <row r="152" spans="1:5">
      <c r="A152" s="262" t="s">
        <v>1375</v>
      </c>
      <c r="B152" s="687" t="s">
        <v>1376</v>
      </c>
      <c r="C152" s="687"/>
      <c r="D152" s="687"/>
      <c r="E152" s="687"/>
    </row>
    <row r="153" spans="1:5">
      <c r="A153" s="682" t="s">
        <v>1377</v>
      </c>
      <c r="B153" s="682"/>
      <c r="C153" s="682"/>
      <c r="D153" s="682"/>
      <c r="E153" s="682"/>
    </row>
    <row r="154" spans="1:5">
      <c r="A154" s="682" t="s">
        <v>1357</v>
      </c>
      <c r="B154" s="682"/>
      <c r="C154" s="682"/>
      <c r="D154" s="682"/>
      <c r="E154" s="682"/>
    </row>
    <row r="155" spans="1:5">
      <c r="A155" s="263" t="s">
        <v>907</v>
      </c>
      <c r="B155" s="681" t="s">
        <v>894</v>
      </c>
      <c r="C155" s="681"/>
      <c r="D155" s="681"/>
      <c r="E155" s="681"/>
    </row>
    <row r="156" spans="1:5">
      <c r="A156" s="262" t="s">
        <v>908</v>
      </c>
      <c r="B156" s="687" t="s">
        <v>1302</v>
      </c>
      <c r="C156" s="687"/>
      <c r="D156" s="687"/>
      <c r="E156" s="687"/>
    </row>
    <row r="157" spans="1:5">
      <c r="A157" s="262" t="s">
        <v>909</v>
      </c>
      <c r="B157" s="687" t="s">
        <v>1378</v>
      </c>
      <c r="C157" s="687"/>
      <c r="D157" s="687"/>
      <c r="E157" s="687"/>
    </row>
    <row r="158" spans="1:5">
      <c r="A158" s="262" t="s">
        <v>910</v>
      </c>
      <c r="B158" s="687" t="s">
        <v>1379</v>
      </c>
      <c r="C158" s="687"/>
      <c r="D158" s="687"/>
      <c r="E158" s="687"/>
    </row>
    <row r="159" spans="1:5">
      <c r="A159" s="262" t="s">
        <v>911</v>
      </c>
      <c r="B159" s="687" t="s">
        <v>1380</v>
      </c>
      <c r="C159" s="687"/>
      <c r="D159" s="687"/>
      <c r="E159" s="687"/>
    </row>
    <row r="160" spans="1:5">
      <c r="A160" s="262" t="s">
        <v>1381</v>
      </c>
      <c r="B160" s="687" t="s">
        <v>1382</v>
      </c>
      <c r="C160" s="687"/>
      <c r="D160" s="687"/>
      <c r="E160" s="687"/>
    </row>
    <row r="161" spans="1:5">
      <c r="A161" s="682" t="s">
        <v>1383</v>
      </c>
      <c r="B161" s="682"/>
      <c r="C161" s="682"/>
      <c r="D161" s="682"/>
      <c r="E161" s="682"/>
    </row>
    <row r="162" spans="1:5">
      <c r="A162" s="682" t="s">
        <v>1357</v>
      </c>
      <c r="B162" s="682"/>
      <c r="C162" s="682"/>
      <c r="D162" s="682"/>
      <c r="E162" s="682"/>
    </row>
    <row r="163" spans="1:5">
      <c r="A163" s="263" t="s">
        <v>907</v>
      </c>
      <c r="B163" s="681" t="s">
        <v>894</v>
      </c>
      <c r="C163" s="681"/>
      <c r="D163" s="681"/>
      <c r="E163" s="681"/>
    </row>
    <row r="164" spans="1:5">
      <c r="A164" s="262" t="s">
        <v>912</v>
      </c>
      <c r="B164" s="687" t="s">
        <v>1384</v>
      </c>
      <c r="C164" s="687"/>
      <c r="D164" s="687"/>
      <c r="E164" s="687"/>
    </row>
    <row r="165" spans="1:5">
      <c r="A165" s="262" t="s">
        <v>913</v>
      </c>
      <c r="B165" s="687" t="s">
        <v>1385</v>
      </c>
      <c r="C165" s="687"/>
      <c r="D165" s="687"/>
      <c r="E165" s="687"/>
    </row>
    <row r="166" spans="1:5">
      <c r="A166" s="262" t="s">
        <v>914</v>
      </c>
      <c r="B166" s="687" t="s">
        <v>1386</v>
      </c>
      <c r="C166" s="687"/>
      <c r="D166" s="687"/>
      <c r="E166" s="687"/>
    </row>
    <row r="167" spans="1:5">
      <c r="A167" s="262" t="s">
        <v>915</v>
      </c>
      <c r="B167" s="687" t="s">
        <v>1387</v>
      </c>
      <c r="C167" s="687"/>
      <c r="D167" s="687"/>
      <c r="E167" s="687"/>
    </row>
    <row r="168" spans="1:5">
      <c r="A168" s="262" t="s">
        <v>1388</v>
      </c>
      <c r="B168" s="687" t="s">
        <v>1389</v>
      </c>
      <c r="C168" s="687"/>
      <c r="D168" s="687"/>
      <c r="E168" s="687"/>
    </row>
    <row r="169" spans="1:5">
      <c r="A169" s="682" t="s">
        <v>1390</v>
      </c>
      <c r="B169" s="682"/>
      <c r="C169" s="682"/>
      <c r="D169" s="682"/>
      <c r="E169" s="682"/>
    </row>
    <row r="170" spans="1:5">
      <c r="A170" s="682" t="s">
        <v>1391</v>
      </c>
      <c r="B170" s="682"/>
      <c r="C170" s="682"/>
      <c r="D170" s="682"/>
      <c r="E170" s="682"/>
    </row>
    <row r="171" spans="1:5">
      <c r="A171" s="682" t="s">
        <v>1392</v>
      </c>
      <c r="B171" s="682"/>
      <c r="C171" s="682"/>
      <c r="D171" s="682"/>
      <c r="E171" s="682"/>
    </row>
    <row r="172" spans="1:5">
      <c r="A172" s="682" t="s">
        <v>1393</v>
      </c>
      <c r="B172" s="682"/>
      <c r="C172" s="682"/>
      <c r="D172" s="682"/>
      <c r="E172" s="682"/>
    </row>
    <row r="173" spans="1:5">
      <c r="A173" s="263" t="s">
        <v>392</v>
      </c>
      <c r="B173" s="681" t="s">
        <v>894</v>
      </c>
      <c r="C173" s="681"/>
      <c r="D173" s="681"/>
      <c r="E173" s="681"/>
    </row>
    <row r="174" spans="1:5">
      <c r="A174" s="260" t="s">
        <v>1394</v>
      </c>
      <c r="B174" s="687" t="s">
        <v>1033</v>
      </c>
      <c r="C174" s="687"/>
      <c r="D174" s="687"/>
      <c r="E174" s="687"/>
    </row>
    <row r="175" spans="1:5">
      <c r="A175" s="682" t="s">
        <v>1395</v>
      </c>
      <c r="B175" s="682"/>
      <c r="C175" s="682"/>
      <c r="D175" s="682"/>
      <c r="E175" s="682"/>
    </row>
    <row r="176" spans="1:5">
      <c r="A176" s="682" t="s">
        <v>1396</v>
      </c>
      <c r="B176" s="682"/>
      <c r="C176" s="682"/>
      <c r="D176" s="682"/>
      <c r="E176" s="682"/>
    </row>
    <row r="177" spans="1:5" ht="24">
      <c r="A177" s="261" t="s">
        <v>1252</v>
      </c>
      <c r="B177" s="691" t="s">
        <v>894</v>
      </c>
      <c r="C177" s="691"/>
      <c r="D177" s="691"/>
      <c r="E177" s="691"/>
    </row>
    <row r="178" spans="1:5">
      <c r="A178" s="262" t="s">
        <v>1253</v>
      </c>
      <c r="B178" s="687" t="s">
        <v>1033</v>
      </c>
      <c r="C178" s="687"/>
      <c r="D178" s="687"/>
      <c r="E178" s="687"/>
    </row>
    <row r="179" spans="1:5">
      <c r="A179" s="262" t="s">
        <v>1254</v>
      </c>
      <c r="B179" s="687" t="s">
        <v>1397</v>
      </c>
      <c r="C179" s="687"/>
      <c r="D179" s="687"/>
      <c r="E179" s="687"/>
    </row>
    <row r="180" spans="1:5">
      <c r="A180" s="262" t="s">
        <v>1256</v>
      </c>
      <c r="B180" s="687" t="s">
        <v>1041</v>
      </c>
      <c r="C180" s="687"/>
      <c r="D180" s="687"/>
      <c r="E180" s="687"/>
    </row>
    <row r="181" spans="1:5">
      <c r="A181" s="262" t="s">
        <v>1257</v>
      </c>
      <c r="B181" s="687" t="s">
        <v>1045</v>
      </c>
      <c r="C181" s="687"/>
      <c r="D181" s="687"/>
      <c r="E181" s="687"/>
    </row>
    <row r="182" spans="1:5">
      <c r="A182" s="262" t="s">
        <v>903</v>
      </c>
      <c r="B182" s="687" t="s">
        <v>1049</v>
      </c>
      <c r="C182" s="687"/>
      <c r="D182" s="687"/>
      <c r="E182" s="687"/>
    </row>
    <row r="183" spans="1:5">
      <c r="A183" s="682" t="s">
        <v>1398</v>
      </c>
      <c r="B183" s="682"/>
      <c r="C183" s="682"/>
      <c r="D183" s="682"/>
      <c r="E183" s="682"/>
    </row>
    <row r="184" spans="1:5" ht="24">
      <c r="A184" s="261" t="s">
        <v>1252</v>
      </c>
      <c r="B184" s="691" t="s">
        <v>894</v>
      </c>
      <c r="C184" s="691"/>
      <c r="D184" s="691"/>
      <c r="E184" s="691"/>
    </row>
    <row r="185" spans="1:5">
      <c r="A185" s="262" t="s">
        <v>889</v>
      </c>
      <c r="B185" s="687" t="s">
        <v>1033</v>
      </c>
      <c r="C185" s="687"/>
      <c r="D185" s="687"/>
      <c r="E185" s="687"/>
    </row>
    <row r="186" spans="1:5">
      <c r="A186" s="262" t="s">
        <v>1260</v>
      </c>
      <c r="B186" s="687" t="s">
        <v>1397</v>
      </c>
      <c r="C186" s="687"/>
      <c r="D186" s="687"/>
      <c r="E186" s="687"/>
    </row>
    <row r="187" spans="1:5">
      <c r="A187" s="262" t="s">
        <v>1261</v>
      </c>
      <c r="B187" s="687" t="s">
        <v>1041</v>
      </c>
      <c r="C187" s="687"/>
      <c r="D187" s="687"/>
      <c r="E187" s="687"/>
    </row>
    <row r="188" spans="1:5">
      <c r="A188" s="262" t="s">
        <v>891</v>
      </c>
      <c r="B188" s="687" t="s">
        <v>1045</v>
      </c>
      <c r="C188" s="687"/>
      <c r="D188" s="687"/>
      <c r="E188" s="687"/>
    </row>
    <row r="189" spans="1:5">
      <c r="A189" s="262" t="s">
        <v>1262</v>
      </c>
      <c r="B189" s="687" t="s">
        <v>1049</v>
      </c>
      <c r="C189" s="687"/>
      <c r="D189" s="687"/>
      <c r="E189" s="687"/>
    </row>
    <row r="190" spans="1:5">
      <c r="A190" s="682" t="s">
        <v>1399</v>
      </c>
      <c r="B190" s="682"/>
      <c r="C190" s="682"/>
      <c r="D190" s="682"/>
      <c r="E190" s="682"/>
    </row>
    <row r="191" spans="1:5" ht="24">
      <c r="A191" s="261" t="s">
        <v>1252</v>
      </c>
      <c r="B191" s="691" t="s">
        <v>894</v>
      </c>
      <c r="C191" s="691"/>
      <c r="D191" s="691"/>
      <c r="E191" s="691"/>
    </row>
    <row r="192" spans="1:5">
      <c r="A192" s="262" t="s">
        <v>890</v>
      </c>
      <c r="B192" s="687" t="s">
        <v>1033</v>
      </c>
      <c r="C192" s="687"/>
      <c r="D192" s="687"/>
      <c r="E192" s="687"/>
    </row>
    <row r="193" spans="1:5">
      <c r="A193" s="262" t="s">
        <v>891</v>
      </c>
      <c r="B193" s="687" t="s">
        <v>1397</v>
      </c>
      <c r="C193" s="687"/>
      <c r="D193" s="687"/>
      <c r="E193" s="687"/>
    </row>
    <row r="194" spans="1:5">
      <c r="A194" s="262" t="s">
        <v>1264</v>
      </c>
      <c r="B194" s="687" t="s">
        <v>1041</v>
      </c>
      <c r="C194" s="687"/>
      <c r="D194" s="687"/>
      <c r="E194" s="687"/>
    </row>
    <row r="195" spans="1:5">
      <c r="A195" s="262" t="s">
        <v>1265</v>
      </c>
      <c r="B195" s="687" t="s">
        <v>1045</v>
      </c>
      <c r="C195" s="687"/>
      <c r="D195" s="687"/>
      <c r="E195" s="687"/>
    </row>
    <row r="196" spans="1:5">
      <c r="A196" s="262" t="s">
        <v>1266</v>
      </c>
      <c r="B196" s="687" t="s">
        <v>1049</v>
      </c>
      <c r="C196" s="687"/>
      <c r="D196" s="687"/>
      <c r="E196" s="687"/>
    </row>
    <row r="197" spans="1:5">
      <c r="A197" s="682" t="s">
        <v>1400</v>
      </c>
      <c r="B197" s="682"/>
      <c r="C197" s="682"/>
      <c r="D197" s="682"/>
      <c r="E197" s="682"/>
    </row>
    <row r="198" spans="1:5" ht="24">
      <c r="A198" s="261" t="s">
        <v>1252</v>
      </c>
      <c r="B198" s="691" t="s">
        <v>894</v>
      </c>
      <c r="C198" s="691"/>
      <c r="D198" s="691"/>
      <c r="E198" s="691"/>
    </row>
    <row r="199" spans="1:5">
      <c r="A199" s="262" t="s">
        <v>892</v>
      </c>
      <c r="B199" s="687" t="s">
        <v>1033</v>
      </c>
      <c r="C199" s="687"/>
      <c r="D199" s="687"/>
      <c r="E199" s="687"/>
    </row>
    <row r="200" spans="1:5">
      <c r="A200" s="262" t="s">
        <v>1401</v>
      </c>
      <c r="B200" s="687" t="s">
        <v>1048</v>
      </c>
      <c r="C200" s="687"/>
      <c r="D200" s="687"/>
      <c r="E200" s="687"/>
    </row>
    <row r="201" spans="1:5">
      <c r="A201" s="262" t="s">
        <v>1402</v>
      </c>
      <c r="B201" s="687" t="s">
        <v>1045</v>
      </c>
      <c r="C201" s="687"/>
      <c r="D201" s="687"/>
      <c r="E201" s="687"/>
    </row>
    <row r="202" spans="1:5">
      <c r="A202" s="262" t="s">
        <v>1403</v>
      </c>
      <c r="B202" s="687" t="s">
        <v>1049</v>
      </c>
      <c r="C202" s="687"/>
      <c r="D202" s="687"/>
      <c r="E202" s="687"/>
    </row>
    <row r="203" spans="1:5">
      <c r="A203" s="682" t="s">
        <v>1404</v>
      </c>
      <c r="B203" s="682"/>
      <c r="C203" s="682"/>
      <c r="D203" s="682"/>
      <c r="E203" s="682"/>
    </row>
    <row r="204" spans="1:5" ht="24">
      <c r="A204" s="261" t="s">
        <v>1252</v>
      </c>
      <c r="B204" s="691" t="s">
        <v>894</v>
      </c>
      <c r="C204" s="691"/>
      <c r="D204" s="691"/>
      <c r="E204" s="691"/>
    </row>
    <row r="205" spans="1:5">
      <c r="A205" s="262" t="s">
        <v>1268</v>
      </c>
      <c r="B205" s="687" t="s">
        <v>1033</v>
      </c>
      <c r="C205" s="687"/>
      <c r="D205" s="687"/>
      <c r="E205" s="687"/>
    </row>
    <row r="206" spans="1:5">
      <c r="A206" s="262" t="s">
        <v>1269</v>
      </c>
      <c r="B206" s="687" t="s">
        <v>1397</v>
      </c>
      <c r="C206" s="687"/>
      <c r="D206" s="687"/>
      <c r="E206" s="687"/>
    </row>
    <row r="207" spans="1:5">
      <c r="A207" s="262" t="s">
        <v>1270</v>
      </c>
      <c r="B207" s="687" t="s">
        <v>1041</v>
      </c>
      <c r="C207" s="687"/>
      <c r="D207" s="687"/>
      <c r="E207" s="687"/>
    </row>
    <row r="208" spans="1:5">
      <c r="A208" s="262" t="s">
        <v>1271</v>
      </c>
      <c r="B208" s="687" t="s">
        <v>1045</v>
      </c>
      <c r="C208" s="687"/>
      <c r="D208" s="687"/>
      <c r="E208" s="687"/>
    </row>
    <row r="209" spans="1:5">
      <c r="A209" s="262" t="s">
        <v>1272</v>
      </c>
      <c r="B209" s="687" t="s">
        <v>1049</v>
      </c>
      <c r="C209" s="687"/>
      <c r="D209" s="687"/>
      <c r="E209" s="687"/>
    </row>
    <row r="210" spans="1:5">
      <c r="A210" s="682" t="s">
        <v>1405</v>
      </c>
      <c r="B210" s="682"/>
      <c r="C210" s="682"/>
      <c r="D210" s="682"/>
      <c r="E210" s="682"/>
    </row>
    <row r="211" spans="1:5">
      <c r="A211" s="260" t="s">
        <v>894</v>
      </c>
      <c r="B211" s="687" t="s">
        <v>1033</v>
      </c>
      <c r="C211" s="687"/>
      <c r="D211" s="687"/>
      <c r="E211" s="687"/>
    </row>
    <row r="212" spans="1:5">
      <c r="A212" s="682" t="s">
        <v>1406</v>
      </c>
      <c r="B212" s="682"/>
      <c r="C212" s="682"/>
      <c r="D212" s="682"/>
      <c r="E212" s="682"/>
    </row>
    <row r="213" spans="1:5">
      <c r="A213" s="260" t="s">
        <v>894</v>
      </c>
      <c r="B213" s="687" t="s">
        <v>1033</v>
      </c>
      <c r="C213" s="687"/>
      <c r="D213" s="687"/>
      <c r="E213" s="687"/>
    </row>
    <row r="214" spans="1:5">
      <c r="A214" s="682" t="s">
        <v>1407</v>
      </c>
      <c r="B214" s="682"/>
      <c r="C214" s="682"/>
      <c r="D214" s="682"/>
      <c r="E214" s="682"/>
    </row>
    <row r="215" spans="1:5">
      <c r="A215" s="682" t="s">
        <v>1408</v>
      </c>
      <c r="B215" s="682"/>
      <c r="C215" s="682"/>
      <c r="D215" s="682"/>
      <c r="E215" s="682"/>
    </row>
    <row r="216" spans="1:5">
      <c r="A216" s="693" t="s">
        <v>109</v>
      </c>
      <c r="B216" s="681" t="s">
        <v>906</v>
      </c>
      <c r="C216" s="681"/>
      <c r="D216" s="681"/>
      <c r="E216" s="681"/>
    </row>
    <row r="217" spans="1:5">
      <c r="A217" s="694"/>
      <c r="B217" s="681" t="s">
        <v>1309</v>
      </c>
      <c r="C217" s="681"/>
      <c r="D217" s="681" t="s">
        <v>1310</v>
      </c>
      <c r="E217" s="681"/>
    </row>
    <row r="218" spans="1:5">
      <c r="A218" s="262" t="s">
        <v>379</v>
      </c>
      <c r="B218" s="687" t="s">
        <v>1409</v>
      </c>
      <c r="C218" s="687"/>
      <c r="D218" s="687" t="s">
        <v>1410</v>
      </c>
      <c r="E218" s="687"/>
    </row>
    <row r="219" spans="1:5">
      <c r="A219" s="682" t="s">
        <v>1411</v>
      </c>
      <c r="B219" s="682"/>
      <c r="C219" s="682"/>
      <c r="D219" s="682"/>
      <c r="E219" s="682"/>
    </row>
    <row r="220" spans="1:5">
      <c r="A220" s="682" t="s">
        <v>1412</v>
      </c>
      <c r="B220" s="682"/>
      <c r="C220" s="682"/>
      <c r="D220" s="682"/>
      <c r="E220" s="682"/>
    </row>
    <row r="221" spans="1:5" ht="21.75" customHeight="1">
      <c r="A221" s="265" t="s">
        <v>109</v>
      </c>
      <c r="B221" s="691" t="s">
        <v>906</v>
      </c>
      <c r="C221" s="691"/>
      <c r="D221" s="691"/>
      <c r="E221" s="691"/>
    </row>
    <row r="222" spans="1:5">
      <c r="A222" s="262" t="s">
        <v>379</v>
      </c>
      <c r="B222" s="687" t="s">
        <v>1300</v>
      </c>
      <c r="C222" s="687"/>
      <c r="D222" s="687"/>
      <c r="E222" s="687"/>
    </row>
    <row r="223" spans="1:5">
      <c r="A223" s="682" t="s">
        <v>1413</v>
      </c>
      <c r="B223" s="682"/>
      <c r="C223" s="682"/>
      <c r="D223" s="682"/>
      <c r="E223" s="682"/>
    </row>
    <row r="224" spans="1:5">
      <c r="A224" s="682" t="s">
        <v>893</v>
      </c>
      <c r="B224" s="682"/>
      <c r="C224" s="682"/>
      <c r="D224" s="682"/>
      <c r="E224" s="682"/>
    </row>
    <row r="225" spans="1:6" ht="20.25" customHeight="1">
      <c r="A225" s="265" t="s">
        <v>109</v>
      </c>
      <c r="B225" s="691" t="s">
        <v>906</v>
      </c>
      <c r="C225" s="691"/>
      <c r="D225" s="691"/>
      <c r="E225" s="691"/>
    </row>
    <row r="226" spans="1:6">
      <c r="A226" s="262" t="s">
        <v>379</v>
      </c>
      <c r="B226" s="687" t="s">
        <v>1414</v>
      </c>
      <c r="C226" s="687"/>
      <c r="D226" s="687"/>
      <c r="E226" s="687"/>
    </row>
    <row r="227" spans="1:6">
      <c r="A227" s="692" t="s">
        <v>1415</v>
      </c>
      <c r="B227" s="692"/>
      <c r="C227" s="692"/>
      <c r="D227" s="692"/>
      <c r="E227" s="692"/>
      <c r="F227" s="266"/>
    </row>
    <row r="228" spans="1:6" ht="15" customHeight="1">
      <c r="A228" s="682" t="s">
        <v>1416</v>
      </c>
      <c r="B228" s="682"/>
      <c r="C228" s="682"/>
      <c r="D228" s="682"/>
      <c r="E228" s="682"/>
    </row>
    <row r="229" spans="1:6">
      <c r="A229" s="682" t="s">
        <v>1417</v>
      </c>
      <c r="B229" s="682"/>
      <c r="C229" s="682"/>
      <c r="D229" s="682"/>
      <c r="E229" s="682"/>
    </row>
    <row r="230" spans="1:6" ht="19.5" customHeight="1">
      <c r="A230" s="267" t="s">
        <v>109</v>
      </c>
      <c r="B230" s="690" t="s">
        <v>906</v>
      </c>
      <c r="C230" s="690"/>
      <c r="D230" s="690"/>
      <c r="E230" s="690"/>
    </row>
    <row r="231" spans="1:6">
      <c r="A231" s="260" t="s">
        <v>1418</v>
      </c>
      <c r="B231" s="687" t="s">
        <v>1382</v>
      </c>
      <c r="C231" s="687"/>
      <c r="D231" s="687"/>
      <c r="E231" s="687"/>
    </row>
    <row r="232" spans="1:6">
      <c r="A232" s="260" t="s">
        <v>1419</v>
      </c>
      <c r="B232" s="687" t="s">
        <v>1033</v>
      </c>
      <c r="C232" s="687"/>
      <c r="D232" s="687"/>
      <c r="E232" s="687"/>
    </row>
    <row r="233" spans="1:6">
      <c r="A233" s="682" t="s">
        <v>1420</v>
      </c>
      <c r="B233" s="682"/>
      <c r="C233" s="682"/>
      <c r="D233" s="682"/>
      <c r="E233" s="682"/>
    </row>
    <row r="234" spans="1:6" ht="21" customHeight="1">
      <c r="A234" s="267" t="s">
        <v>896</v>
      </c>
      <c r="B234" s="690" t="s">
        <v>894</v>
      </c>
      <c r="C234" s="690"/>
      <c r="D234" s="690"/>
      <c r="E234" s="690"/>
    </row>
    <row r="235" spans="1:6">
      <c r="A235" s="260" t="s">
        <v>897</v>
      </c>
      <c r="B235" s="687" t="s">
        <v>1421</v>
      </c>
      <c r="C235" s="687"/>
      <c r="D235" s="687"/>
      <c r="E235" s="687"/>
    </row>
    <row r="236" spans="1:6" ht="15" customHeight="1">
      <c r="A236" s="682" t="s">
        <v>1422</v>
      </c>
      <c r="B236" s="682"/>
      <c r="C236" s="682"/>
      <c r="D236" s="682"/>
      <c r="E236" s="682"/>
    </row>
    <row r="237" spans="1:6">
      <c r="A237" s="682" t="s">
        <v>1423</v>
      </c>
      <c r="B237" s="682"/>
      <c r="C237" s="682"/>
      <c r="D237" s="682"/>
      <c r="E237" s="682"/>
    </row>
    <row r="238" spans="1:6">
      <c r="A238" s="263" t="s">
        <v>408</v>
      </c>
      <c r="B238" s="681" t="s">
        <v>918</v>
      </c>
      <c r="C238" s="681"/>
      <c r="D238" s="681"/>
      <c r="E238" s="681"/>
    </row>
    <row r="239" spans="1:6">
      <c r="A239" s="260" t="s">
        <v>1424</v>
      </c>
      <c r="B239" s="687" t="s">
        <v>1362</v>
      </c>
      <c r="C239" s="687"/>
      <c r="D239" s="687"/>
      <c r="E239" s="687"/>
    </row>
    <row r="240" spans="1:6" ht="15" customHeight="1">
      <c r="A240" s="682" t="s">
        <v>1425</v>
      </c>
      <c r="B240" s="682"/>
      <c r="C240" s="682"/>
      <c r="D240" s="682"/>
      <c r="E240" s="682"/>
    </row>
    <row r="241" spans="1:5">
      <c r="A241" s="682" t="s">
        <v>1423</v>
      </c>
      <c r="B241" s="682"/>
      <c r="C241" s="682"/>
      <c r="D241" s="682"/>
      <c r="E241" s="682"/>
    </row>
    <row r="242" spans="1:5">
      <c r="A242" s="263" t="s">
        <v>408</v>
      </c>
      <c r="B242" s="681" t="s">
        <v>918</v>
      </c>
      <c r="C242" s="681"/>
      <c r="D242" s="681"/>
      <c r="E242" s="681"/>
    </row>
    <row r="243" spans="1:5">
      <c r="A243" s="260" t="s">
        <v>1424</v>
      </c>
      <c r="B243" s="687" t="s">
        <v>1426</v>
      </c>
      <c r="C243" s="687"/>
      <c r="D243" s="687"/>
      <c r="E243" s="687"/>
    </row>
    <row r="244" spans="1:5">
      <c r="A244" s="682" t="s">
        <v>1427</v>
      </c>
      <c r="B244" s="682"/>
      <c r="C244" s="682"/>
      <c r="D244" s="682"/>
      <c r="E244" s="682"/>
    </row>
    <row r="245" spans="1:5">
      <c r="A245" s="682" t="s">
        <v>1428</v>
      </c>
      <c r="B245" s="682"/>
      <c r="C245" s="682"/>
      <c r="D245" s="682"/>
      <c r="E245" s="682"/>
    </row>
    <row r="246" spans="1:5">
      <c r="A246" s="263" t="s">
        <v>916</v>
      </c>
      <c r="B246" s="681" t="s">
        <v>158</v>
      </c>
      <c r="C246" s="681"/>
      <c r="D246" s="681" t="s">
        <v>159</v>
      </c>
      <c r="E246" s="681"/>
    </row>
    <row r="247" spans="1:5">
      <c r="A247" s="262" t="s">
        <v>160</v>
      </c>
      <c r="B247" s="687" t="s">
        <v>161</v>
      </c>
      <c r="C247" s="687"/>
      <c r="D247" s="687" t="s">
        <v>161</v>
      </c>
      <c r="E247" s="687"/>
    </row>
    <row r="248" spans="1:5">
      <c r="A248" s="262" t="s">
        <v>162</v>
      </c>
      <c r="B248" s="687" t="s">
        <v>1429</v>
      </c>
      <c r="C248" s="687"/>
      <c r="D248" s="687" t="s">
        <v>1430</v>
      </c>
      <c r="E248" s="687"/>
    </row>
    <row r="249" spans="1:5">
      <c r="A249" s="262" t="s">
        <v>163</v>
      </c>
      <c r="B249" s="687" t="s">
        <v>1431</v>
      </c>
      <c r="C249" s="687"/>
      <c r="D249" s="687" t="s">
        <v>1384</v>
      </c>
      <c r="E249" s="687"/>
    </row>
    <row r="250" spans="1:5">
      <c r="A250" s="262" t="s">
        <v>1432</v>
      </c>
      <c r="B250" s="687" t="s">
        <v>1433</v>
      </c>
      <c r="C250" s="687"/>
      <c r="D250" s="687" t="s">
        <v>1434</v>
      </c>
      <c r="E250" s="687"/>
    </row>
    <row r="251" spans="1:5">
      <c r="A251" s="682" t="s">
        <v>1435</v>
      </c>
      <c r="B251" s="682"/>
      <c r="C251" s="682"/>
      <c r="D251" s="682"/>
      <c r="E251" s="682"/>
    </row>
    <row r="252" spans="1:5">
      <c r="A252" s="688" t="s">
        <v>916</v>
      </c>
      <c r="B252" s="681" t="s">
        <v>640</v>
      </c>
      <c r="C252" s="681"/>
      <c r="D252" s="681" t="s">
        <v>641</v>
      </c>
      <c r="E252" s="681"/>
    </row>
    <row r="253" spans="1:5">
      <c r="A253" s="689"/>
      <c r="B253" s="263" t="s">
        <v>1436</v>
      </c>
      <c r="C253" s="263" t="s">
        <v>1437</v>
      </c>
      <c r="D253" s="263" t="s">
        <v>1436</v>
      </c>
      <c r="E253" s="263" t="s">
        <v>1437</v>
      </c>
    </row>
    <row r="254" spans="1:5">
      <c r="A254" s="262" t="s">
        <v>160</v>
      </c>
      <c r="B254" s="687" t="s">
        <v>161</v>
      </c>
      <c r="C254" s="687"/>
      <c r="D254" s="687" t="s">
        <v>161</v>
      </c>
      <c r="E254" s="687"/>
    </row>
    <row r="255" spans="1:5">
      <c r="A255" s="262" t="s">
        <v>162</v>
      </c>
      <c r="B255" s="268" t="s">
        <v>1438</v>
      </c>
      <c r="C255" s="268" t="s">
        <v>1439</v>
      </c>
      <c r="D255" s="268" t="s">
        <v>1440</v>
      </c>
      <c r="E255" s="268" t="s">
        <v>1441</v>
      </c>
    </row>
    <row r="256" spans="1:5">
      <c r="A256" s="262" t="s">
        <v>163</v>
      </c>
      <c r="B256" s="268" t="s">
        <v>1442</v>
      </c>
      <c r="C256" s="268" t="s">
        <v>1443</v>
      </c>
      <c r="D256" s="268" t="s">
        <v>1444</v>
      </c>
      <c r="E256" s="268" t="s">
        <v>1445</v>
      </c>
    </row>
    <row r="257" spans="1:5">
      <c r="A257" s="262" t="s">
        <v>1432</v>
      </c>
      <c r="B257" s="268" t="s">
        <v>1364</v>
      </c>
      <c r="C257" s="268" t="s">
        <v>1446</v>
      </c>
      <c r="D257" s="268" t="s">
        <v>1447</v>
      </c>
      <c r="E257" s="268" t="s">
        <v>1448</v>
      </c>
    </row>
    <row r="258" spans="1:5">
      <c r="A258" s="682" t="s">
        <v>1449</v>
      </c>
      <c r="B258" s="682"/>
      <c r="C258" s="682"/>
      <c r="D258" s="682"/>
      <c r="E258" s="682"/>
    </row>
    <row r="259" spans="1:5">
      <c r="A259" s="688" t="s">
        <v>916</v>
      </c>
      <c r="B259" s="681" t="s">
        <v>640</v>
      </c>
      <c r="C259" s="681"/>
      <c r="D259" s="681" t="s">
        <v>641</v>
      </c>
      <c r="E259" s="681"/>
    </row>
    <row r="260" spans="1:5">
      <c r="A260" s="689"/>
      <c r="B260" s="263" t="s">
        <v>1436</v>
      </c>
      <c r="C260" s="263" t="s">
        <v>1437</v>
      </c>
      <c r="D260" s="263" t="s">
        <v>1436</v>
      </c>
      <c r="E260" s="263" t="s">
        <v>1437</v>
      </c>
    </row>
    <row r="261" spans="1:5">
      <c r="A261" s="262" t="s">
        <v>1450</v>
      </c>
      <c r="B261" s="687" t="s">
        <v>161</v>
      </c>
      <c r="C261" s="687"/>
      <c r="D261" s="687" t="s">
        <v>161</v>
      </c>
      <c r="E261" s="687"/>
    </row>
    <row r="262" spans="1:5">
      <c r="A262" s="262" t="s">
        <v>1451</v>
      </c>
      <c r="B262" s="268" t="s">
        <v>1442</v>
      </c>
      <c r="C262" s="268" t="s">
        <v>1443</v>
      </c>
      <c r="D262" s="268" t="s">
        <v>1444</v>
      </c>
      <c r="E262" s="268" t="s">
        <v>1445</v>
      </c>
    </row>
    <row r="263" spans="1:5">
      <c r="A263" s="262" t="s">
        <v>1452</v>
      </c>
      <c r="B263" s="268" t="s">
        <v>1364</v>
      </c>
      <c r="C263" s="268" t="s">
        <v>1446</v>
      </c>
      <c r="D263" s="268" t="s">
        <v>1447</v>
      </c>
      <c r="E263" s="268" t="s">
        <v>1448</v>
      </c>
    </row>
    <row r="264" spans="1:5" ht="13.5">
      <c r="A264" s="682" t="s">
        <v>1487</v>
      </c>
      <c r="B264" s="682"/>
      <c r="C264" s="682"/>
      <c r="D264" s="682"/>
      <c r="E264" s="682"/>
    </row>
    <row r="265" spans="1:5" ht="25.5" customHeight="1">
      <c r="A265" s="267" t="s">
        <v>916</v>
      </c>
      <c r="B265" s="267" t="s">
        <v>1453</v>
      </c>
      <c r="C265" s="267" t="s">
        <v>1454</v>
      </c>
      <c r="D265" s="267" t="s">
        <v>1455</v>
      </c>
      <c r="E265" s="267" t="s">
        <v>1456</v>
      </c>
    </row>
    <row r="266" spans="1:5">
      <c r="A266" s="262" t="s">
        <v>160</v>
      </c>
      <c r="B266" s="264" t="s">
        <v>161</v>
      </c>
      <c r="C266" s="264" t="s">
        <v>161</v>
      </c>
      <c r="D266" s="264" t="s">
        <v>161</v>
      </c>
      <c r="E266" s="264" t="s">
        <v>161</v>
      </c>
    </row>
    <row r="267" spans="1:5">
      <c r="A267" s="262" t="s">
        <v>162</v>
      </c>
      <c r="B267" s="262" t="s">
        <v>1457</v>
      </c>
      <c r="C267" s="262" t="s">
        <v>1295</v>
      </c>
      <c r="D267" s="262" t="s">
        <v>1458</v>
      </c>
      <c r="E267" s="262" t="s">
        <v>1445</v>
      </c>
    </row>
    <row r="268" spans="1:5">
      <c r="A268" s="262" t="s">
        <v>163</v>
      </c>
      <c r="B268" s="262" t="s">
        <v>1034</v>
      </c>
      <c r="C268" s="262" t="s">
        <v>1459</v>
      </c>
      <c r="D268" s="262" t="s">
        <v>1355</v>
      </c>
      <c r="E268" s="262" t="s">
        <v>1343</v>
      </c>
    </row>
    <row r="269" spans="1:5">
      <c r="A269" s="262" t="s">
        <v>1432</v>
      </c>
      <c r="B269" s="262" t="s">
        <v>1444</v>
      </c>
      <c r="C269" s="262" t="s">
        <v>1460</v>
      </c>
      <c r="D269" s="262" t="s">
        <v>1461</v>
      </c>
      <c r="E269" s="262" t="s">
        <v>1462</v>
      </c>
    </row>
    <row r="270" spans="1:5">
      <c r="A270" s="682" t="s">
        <v>1463</v>
      </c>
      <c r="B270" s="682"/>
      <c r="C270" s="682"/>
      <c r="D270" s="682"/>
      <c r="E270" s="682"/>
    </row>
    <row r="271" spans="1:5" ht="15" customHeight="1">
      <c r="A271" s="682" t="s">
        <v>1464</v>
      </c>
      <c r="B271" s="682"/>
      <c r="C271" s="682"/>
      <c r="D271" s="682"/>
      <c r="E271" s="682"/>
    </row>
    <row r="272" spans="1:5" ht="15" customHeight="1">
      <c r="A272" s="682" t="s">
        <v>1465</v>
      </c>
      <c r="B272" s="682"/>
      <c r="C272" s="682"/>
      <c r="D272" s="682"/>
      <c r="E272" s="682"/>
    </row>
    <row r="273" spans="1:5">
      <c r="A273" s="260" t="s">
        <v>1466</v>
      </c>
      <c r="B273" s="687" t="s">
        <v>1467</v>
      </c>
      <c r="C273" s="687"/>
      <c r="D273" s="687"/>
      <c r="E273" s="687"/>
    </row>
    <row r="274" spans="1:5">
      <c r="A274" s="682" t="s">
        <v>1468</v>
      </c>
      <c r="B274" s="682"/>
      <c r="C274" s="682"/>
      <c r="D274" s="682"/>
      <c r="E274" s="682"/>
    </row>
    <row r="275" spans="1:5">
      <c r="A275" s="682" t="s">
        <v>1469</v>
      </c>
      <c r="B275" s="682"/>
      <c r="C275" s="682"/>
      <c r="D275" s="682"/>
      <c r="E275" s="682"/>
    </row>
    <row r="276" spans="1:5">
      <c r="A276" s="682" t="s">
        <v>1470</v>
      </c>
      <c r="B276" s="682"/>
      <c r="C276" s="682"/>
      <c r="D276" s="682"/>
      <c r="E276" s="682"/>
    </row>
    <row r="277" spans="1:5">
      <c r="A277" s="260" t="s">
        <v>1471</v>
      </c>
      <c r="B277" s="687" t="s">
        <v>1472</v>
      </c>
      <c r="C277" s="687"/>
      <c r="D277" s="687"/>
      <c r="E277" s="687"/>
    </row>
    <row r="278" spans="1:5">
      <c r="A278" s="682" t="s">
        <v>1473</v>
      </c>
      <c r="B278" s="682"/>
      <c r="C278" s="682"/>
      <c r="D278" s="682"/>
      <c r="E278" s="682"/>
    </row>
    <row r="279" spans="1:5" ht="24">
      <c r="A279" s="261" t="s">
        <v>1474</v>
      </c>
      <c r="B279" s="684" t="s">
        <v>917</v>
      </c>
      <c r="C279" s="685"/>
      <c r="D279" s="685"/>
      <c r="E279" s="686"/>
    </row>
    <row r="280" spans="1:5">
      <c r="A280" s="262" t="s">
        <v>1475</v>
      </c>
      <c r="B280" s="687" t="s">
        <v>1476</v>
      </c>
      <c r="C280" s="687"/>
      <c r="D280" s="687"/>
      <c r="E280" s="687"/>
    </row>
    <row r="281" spans="1:5">
      <c r="A281" s="262" t="s">
        <v>1477</v>
      </c>
      <c r="B281" s="687" t="s">
        <v>1478</v>
      </c>
      <c r="C281" s="687"/>
      <c r="D281" s="687"/>
      <c r="E281" s="687"/>
    </row>
    <row r="282" spans="1:5">
      <c r="A282" s="262" t="s">
        <v>1479</v>
      </c>
      <c r="B282" s="687" t="s">
        <v>1480</v>
      </c>
      <c r="C282" s="687"/>
      <c r="D282" s="687"/>
      <c r="E282" s="687"/>
    </row>
    <row r="283" spans="1:5">
      <c r="A283" s="262" t="s">
        <v>1481</v>
      </c>
      <c r="B283" s="687" t="s">
        <v>1472</v>
      </c>
      <c r="C283" s="687"/>
      <c r="D283" s="687"/>
      <c r="E283" s="687"/>
    </row>
    <row r="284" spans="1:5">
      <c r="A284" s="682" t="s">
        <v>586</v>
      </c>
      <c r="B284" s="682"/>
      <c r="C284" s="682"/>
      <c r="D284" s="682"/>
      <c r="E284" s="682"/>
    </row>
    <row r="285" spans="1:5">
      <c r="A285" s="682" t="s">
        <v>1482</v>
      </c>
      <c r="B285" s="682"/>
      <c r="C285" s="682"/>
      <c r="D285" s="682"/>
      <c r="E285" s="682"/>
    </row>
    <row r="286" spans="1:5">
      <c r="A286" s="681" t="s">
        <v>1483</v>
      </c>
      <c r="B286" s="681"/>
      <c r="C286" s="681"/>
      <c r="D286" s="681"/>
      <c r="E286" s="681"/>
    </row>
    <row r="287" spans="1:5">
      <c r="A287" s="260" t="s">
        <v>1484</v>
      </c>
      <c r="B287" s="683">
        <v>0.25</v>
      </c>
      <c r="C287" s="683"/>
      <c r="D287" s="683"/>
      <c r="E287" s="683"/>
    </row>
    <row r="288" spans="1:5">
      <c r="A288" s="681" t="s">
        <v>1485</v>
      </c>
      <c r="B288" s="681"/>
      <c r="C288" s="681"/>
      <c r="D288" s="681"/>
      <c r="E288" s="681"/>
    </row>
    <row r="289" spans="1:5">
      <c r="A289" s="260" t="s">
        <v>1484</v>
      </c>
      <c r="B289" s="683">
        <v>0.4</v>
      </c>
      <c r="C289" s="683"/>
      <c r="D289" s="683"/>
      <c r="E289" s="683"/>
    </row>
    <row r="290" spans="1:5">
      <c r="A290" s="682" t="s">
        <v>114</v>
      </c>
      <c r="B290" s="682"/>
      <c r="C290" s="682"/>
      <c r="D290" s="682"/>
      <c r="E290" s="682"/>
    </row>
    <row r="291" spans="1:5">
      <c r="A291" s="681" t="s">
        <v>1486</v>
      </c>
      <c r="B291" s="681"/>
      <c r="C291" s="681"/>
      <c r="D291" s="681"/>
      <c r="E291" s="681"/>
    </row>
    <row r="292" spans="1:5">
      <c r="A292" s="3"/>
      <c r="B292" s="3"/>
      <c r="C292" s="3"/>
      <c r="D292" s="3"/>
      <c r="E292" s="3"/>
    </row>
    <row r="293" spans="1:5">
      <c r="A293" s="3"/>
      <c r="B293" s="3"/>
      <c r="C293" s="3"/>
      <c r="D293" s="3"/>
      <c r="E293" s="3"/>
    </row>
  </sheetData>
  <sheetProtection algorithmName="SHA-512" hashValue="3uK2X+WTG9ON1SLQJp7o8RWK/do/hoyt4R+amLjHzjrr7xmRlLk/vFX09aNyK1uYA8sGB58D8jvewLYN8KWzNg==" saltValue="2++g683fhOrrlb4XnYk18A==" spinCount="100000" sheet="1" objects="1" scenarios="1"/>
  <mergeCells count="294">
    <mergeCell ref="A4:E4"/>
    <mergeCell ref="A5:E5"/>
    <mergeCell ref="A6:E6"/>
    <mergeCell ref="A7:E7"/>
    <mergeCell ref="A8:E8"/>
    <mergeCell ref="A9:E9"/>
    <mergeCell ref="B16:E16"/>
    <mergeCell ref="B17:E17"/>
    <mergeCell ref="B18:E18"/>
    <mergeCell ref="B19:E19"/>
    <mergeCell ref="B20:E20"/>
    <mergeCell ref="B21:E21"/>
    <mergeCell ref="B10:E10"/>
    <mergeCell ref="B11:E11"/>
    <mergeCell ref="B12:E12"/>
    <mergeCell ref="A13:E13"/>
    <mergeCell ref="B14:E14"/>
    <mergeCell ref="A15:E15"/>
    <mergeCell ref="B28:E28"/>
    <mergeCell ref="A29:E29"/>
    <mergeCell ref="B30:E30"/>
    <mergeCell ref="B31:E31"/>
    <mergeCell ref="B32:E32"/>
    <mergeCell ref="B33:E33"/>
    <mergeCell ref="A22:E22"/>
    <mergeCell ref="B23:E23"/>
    <mergeCell ref="B24:E24"/>
    <mergeCell ref="B25:E25"/>
    <mergeCell ref="B26:E26"/>
    <mergeCell ref="B27:E27"/>
    <mergeCell ref="B40:E40"/>
    <mergeCell ref="B41:E41"/>
    <mergeCell ref="B42:E42"/>
    <mergeCell ref="A43:E43"/>
    <mergeCell ref="B44:E44"/>
    <mergeCell ref="A45:E45"/>
    <mergeCell ref="B34:E34"/>
    <mergeCell ref="B35:E35"/>
    <mergeCell ref="A36:E36"/>
    <mergeCell ref="B37:E37"/>
    <mergeCell ref="B38:E38"/>
    <mergeCell ref="B39:E39"/>
    <mergeCell ref="B52:E52"/>
    <mergeCell ref="B53:E53"/>
    <mergeCell ref="B54:E54"/>
    <mergeCell ref="B55:E55"/>
    <mergeCell ref="A56:E56"/>
    <mergeCell ref="B57:E57"/>
    <mergeCell ref="A46:E46"/>
    <mergeCell ref="A47:E47"/>
    <mergeCell ref="A48:E48"/>
    <mergeCell ref="B49:E49"/>
    <mergeCell ref="B50:E50"/>
    <mergeCell ref="B51:E51"/>
    <mergeCell ref="B64:E64"/>
    <mergeCell ref="B65:E65"/>
    <mergeCell ref="B66:E66"/>
    <mergeCell ref="B67:E67"/>
    <mergeCell ref="B68:E68"/>
    <mergeCell ref="A69:E69"/>
    <mergeCell ref="B58:E58"/>
    <mergeCell ref="A59:E59"/>
    <mergeCell ref="A60:E60"/>
    <mergeCell ref="B61:E61"/>
    <mergeCell ref="B62:E62"/>
    <mergeCell ref="B63:E63"/>
    <mergeCell ref="B76:E76"/>
    <mergeCell ref="A77:E77"/>
    <mergeCell ref="B78:E78"/>
    <mergeCell ref="B79:E79"/>
    <mergeCell ref="B80:E80"/>
    <mergeCell ref="B81:E81"/>
    <mergeCell ref="A70:A71"/>
    <mergeCell ref="B70:E71"/>
    <mergeCell ref="B72:E72"/>
    <mergeCell ref="B73:E73"/>
    <mergeCell ref="B74:E74"/>
    <mergeCell ref="B75:E75"/>
    <mergeCell ref="B88:E88"/>
    <mergeCell ref="B89:E89"/>
    <mergeCell ref="B90:E90"/>
    <mergeCell ref="A91:E91"/>
    <mergeCell ref="B92:E92"/>
    <mergeCell ref="B93:E93"/>
    <mergeCell ref="B82:E82"/>
    <mergeCell ref="B83:E83"/>
    <mergeCell ref="A84:E84"/>
    <mergeCell ref="B85:E85"/>
    <mergeCell ref="B86:E86"/>
    <mergeCell ref="B87:E87"/>
    <mergeCell ref="A100:A101"/>
    <mergeCell ref="B100:E100"/>
    <mergeCell ref="C101:E101"/>
    <mergeCell ref="C102:E102"/>
    <mergeCell ref="C103:E103"/>
    <mergeCell ref="C104:E104"/>
    <mergeCell ref="B94:E94"/>
    <mergeCell ref="B95:E95"/>
    <mergeCell ref="B96:E96"/>
    <mergeCell ref="B97:E97"/>
    <mergeCell ref="A98:E98"/>
    <mergeCell ref="A99:E99"/>
    <mergeCell ref="A111:E111"/>
    <mergeCell ref="C112:E112"/>
    <mergeCell ref="C113:E113"/>
    <mergeCell ref="C114:E114"/>
    <mergeCell ref="B115:E115"/>
    <mergeCell ref="B116:E116"/>
    <mergeCell ref="C105:E105"/>
    <mergeCell ref="C106:E106"/>
    <mergeCell ref="C107:E107"/>
    <mergeCell ref="C108:E108"/>
    <mergeCell ref="A109:E109"/>
    <mergeCell ref="A110:E110"/>
    <mergeCell ref="A123:E123"/>
    <mergeCell ref="A124:A125"/>
    <mergeCell ref="B124:E124"/>
    <mergeCell ref="C125:E125"/>
    <mergeCell ref="C126:E126"/>
    <mergeCell ref="C127:E127"/>
    <mergeCell ref="A117:E117"/>
    <mergeCell ref="A118:E118"/>
    <mergeCell ref="B119:E119"/>
    <mergeCell ref="B120:E120"/>
    <mergeCell ref="B121:E121"/>
    <mergeCell ref="A122:E122"/>
    <mergeCell ref="A134:E134"/>
    <mergeCell ref="A135:E135"/>
    <mergeCell ref="B136:E136"/>
    <mergeCell ref="B137:E137"/>
    <mergeCell ref="B138:E138"/>
    <mergeCell ref="B139:E139"/>
    <mergeCell ref="C128:E128"/>
    <mergeCell ref="A129:E129"/>
    <mergeCell ref="A130:E130"/>
    <mergeCell ref="B131:E131"/>
    <mergeCell ref="B132:E132"/>
    <mergeCell ref="B133:E133"/>
    <mergeCell ref="A146:E146"/>
    <mergeCell ref="A147:E147"/>
    <mergeCell ref="B148:E148"/>
    <mergeCell ref="B149:E149"/>
    <mergeCell ref="B150:E150"/>
    <mergeCell ref="B151:E151"/>
    <mergeCell ref="B140:E140"/>
    <mergeCell ref="A141:E141"/>
    <mergeCell ref="A142:E142"/>
    <mergeCell ref="B143:E143"/>
    <mergeCell ref="B144:E144"/>
    <mergeCell ref="A145:E145"/>
    <mergeCell ref="B158:E158"/>
    <mergeCell ref="B159:E159"/>
    <mergeCell ref="B160:E160"/>
    <mergeCell ref="A161:E161"/>
    <mergeCell ref="A162:E162"/>
    <mergeCell ref="B163:E163"/>
    <mergeCell ref="B152:E152"/>
    <mergeCell ref="A153:E153"/>
    <mergeCell ref="A154:E154"/>
    <mergeCell ref="B155:E155"/>
    <mergeCell ref="B156:E156"/>
    <mergeCell ref="B157:E157"/>
    <mergeCell ref="A170:E170"/>
    <mergeCell ref="A171:E171"/>
    <mergeCell ref="A172:E172"/>
    <mergeCell ref="B173:E173"/>
    <mergeCell ref="B174:E174"/>
    <mergeCell ref="A175:E175"/>
    <mergeCell ref="B164:E164"/>
    <mergeCell ref="B165:E165"/>
    <mergeCell ref="B166:E166"/>
    <mergeCell ref="B167:E167"/>
    <mergeCell ref="B168:E168"/>
    <mergeCell ref="A169:E169"/>
    <mergeCell ref="B182:E182"/>
    <mergeCell ref="A183:E183"/>
    <mergeCell ref="B184:E184"/>
    <mergeCell ref="B185:E185"/>
    <mergeCell ref="B186:E186"/>
    <mergeCell ref="B187:E187"/>
    <mergeCell ref="A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A197:E197"/>
    <mergeCell ref="B198:E198"/>
    <mergeCell ref="B199:E199"/>
    <mergeCell ref="B188:E188"/>
    <mergeCell ref="B189:E189"/>
    <mergeCell ref="A190:E190"/>
    <mergeCell ref="B191:E191"/>
    <mergeCell ref="B192:E192"/>
    <mergeCell ref="B193:E193"/>
    <mergeCell ref="B206:E206"/>
    <mergeCell ref="B207:E207"/>
    <mergeCell ref="B208:E208"/>
    <mergeCell ref="B209:E209"/>
    <mergeCell ref="A210:E210"/>
    <mergeCell ref="B211:E211"/>
    <mergeCell ref="B200:E200"/>
    <mergeCell ref="B201:E201"/>
    <mergeCell ref="B202:E202"/>
    <mergeCell ref="A203:E203"/>
    <mergeCell ref="B204:E204"/>
    <mergeCell ref="B205:E205"/>
    <mergeCell ref="B218:C218"/>
    <mergeCell ref="D218:E218"/>
    <mergeCell ref="A219:E219"/>
    <mergeCell ref="A220:E220"/>
    <mergeCell ref="B221:E221"/>
    <mergeCell ref="B222:E222"/>
    <mergeCell ref="A212:E212"/>
    <mergeCell ref="B213:E213"/>
    <mergeCell ref="A214:E214"/>
    <mergeCell ref="A215:E215"/>
    <mergeCell ref="A216:A217"/>
    <mergeCell ref="B216:E216"/>
    <mergeCell ref="B217:C217"/>
    <mergeCell ref="D217:E217"/>
    <mergeCell ref="A229:E229"/>
    <mergeCell ref="B230:E230"/>
    <mergeCell ref="B231:E231"/>
    <mergeCell ref="B232:E232"/>
    <mergeCell ref="A233:E233"/>
    <mergeCell ref="B234:E234"/>
    <mergeCell ref="A223:E223"/>
    <mergeCell ref="A224:E224"/>
    <mergeCell ref="B225:E225"/>
    <mergeCell ref="B226:E226"/>
    <mergeCell ref="A227:E227"/>
    <mergeCell ref="A228:E228"/>
    <mergeCell ref="A241:E241"/>
    <mergeCell ref="B242:E242"/>
    <mergeCell ref="B243:E243"/>
    <mergeCell ref="A244:E244"/>
    <mergeCell ref="A245:E245"/>
    <mergeCell ref="B246:C246"/>
    <mergeCell ref="D246:E246"/>
    <mergeCell ref="B235:E235"/>
    <mergeCell ref="A236:E236"/>
    <mergeCell ref="A237:E237"/>
    <mergeCell ref="B238:E238"/>
    <mergeCell ref="B239:E239"/>
    <mergeCell ref="A240:E240"/>
    <mergeCell ref="B250:C250"/>
    <mergeCell ref="D250:E250"/>
    <mergeCell ref="A251:E251"/>
    <mergeCell ref="A252:A253"/>
    <mergeCell ref="B252:C252"/>
    <mergeCell ref="D252:E252"/>
    <mergeCell ref="B247:C247"/>
    <mergeCell ref="D247:E247"/>
    <mergeCell ref="B248:C248"/>
    <mergeCell ref="D248:E248"/>
    <mergeCell ref="B249:C249"/>
    <mergeCell ref="D249:E249"/>
    <mergeCell ref="A270:E270"/>
    <mergeCell ref="A271:E271"/>
    <mergeCell ref="A272:E272"/>
    <mergeCell ref="B254:C254"/>
    <mergeCell ref="D254:E254"/>
    <mergeCell ref="A258:E258"/>
    <mergeCell ref="A259:A260"/>
    <mergeCell ref="B259:C259"/>
    <mergeCell ref="D259:E259"/>
    <mergeCell ref="A1:E1"/>
    <mergeCell ref="A2:E2"/>
    <mergeCell ref="A291:E291"/>
    <mergeCell ref="A285:E285"/>
    <mergeCell ref="A286:E286"/>
    <mergeCell ref="B287:E287"/>
    <mergeCell ref="A288:E288"/>
    <mergeCell ref="B289:E289"/>
    <mergeCell ref="A290:E290"/>
    <mergeCell ref="B279:E279"/>
    <mergeCell ref="B280:E280"/>
    <mergeCell ref="B281:E281"/>
    <mergeCell ref="B282:E282"/>
    <mergeCell ref="B283:E283"/>
    <mergeCell ref="A284:E284"/>
    <mergeCell ref="B273:E273"/>
    <mergeCell ref="A274:E274"/>
    <mergeCell ref="A275:E275"/>
    <mergeCell ref="A276:E276"/>
    <mergeCell ref="B277:E277"/>
    <mergeCell ref="A278:E278"/>
    <mergeCell ref="B261:C261"/>
    <mergeCell ref="D261:E261"/>
    <mergeCell ref="A264:E264"/>
  </mergeCells>
  <pageMargins left="0.7" right="0.7" top="0.75" bottom="0.75" header="0.3" footer="0.3"/>
  <pageSetup orientation="portrait" verticalDpi="599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IV360"/>
  <sheetViews>
    <sheetView workbookViewId="0">
      <selection activeCell="B353" sqref="B353"/>
    </sheetView>
  </sheetViews>
  <sheetFormatPr baseColWidth="10" defaultRowHeight="12.75"/>
  <sheetData>
    <row r="1" spans="1:256">
      <c r="A1" t="e">
        <f>IF(#REF!,"AAAAADrfzwA=",0)</f>
        <v>#REF!</v>
      </c>
      <c r="B1" t="e">
        <f>AND(#REF!,"AAAAADrfzwE=")</f>
        <v>#REF!</v>
      </c>
      <c r="C1" t="e">
        <f>AND(#REF!,"AAAAADrfzwI=")</f>
        <v>#REF!</v>
      </c>
      <c r="D1" t="e">
        <f>AND(#REF!,"AAAAADrfzwM=")</f>
        <v>#REF!</v>
      </c>
      <c r="E1" t="e">
        <f>AND(#REF!,"AAAAADrfzwQ=")</f>
        <v>#REF!</v>
      </c>
      <c r="F1" t="e">
        <f>AND(#REF!,"AAAAADrfzwU=")</f>
        <v>#REF!</v>
      </c>
      <c r="G1" t="e">
        <f>AND(#REF!,"AAAAADrfzwY=")</f>
        <v>#REF!</v>
      </c>
      <c r="H1" t="e">
        <f>IF(#REF!,"AAAAADrfzwc=",0)</f>
        <v>#REF!</v>
      </c>
      <c r="I1" t="e">
        <f>AND(#REF!,"AAAAADrfzwg=")</f>
        <v>#REF!</v>
      </c>
      <c r="J1" t="e">
        <f>AND(#REF!,"AAAAADrfzwk=")</f>
        <v>#REF!</v>
      </c>
      <c r="K1" t="e">
        <f>AND(#REF!,"AAAAADrfzwo=")</f>
        <v>#REF!</v>
      </c>
      <c r="L1" t="e">
        <f>AND(#REF!,"AAAAADrfzws=")</f>
        <v>#REF!</v>
      </c>
      <c r="M1" t="e">
        <f>AND(#REF!,"AAAAADrfzww=")</f>
        <v>#REF!</v>
      </c>
      <c r="N1" t="e">
        <f>AND(#REF!,"AAAAADrfzw0=")</f>
        <v>#REF!</v>
      </c>
      <c r="O1" t="e">
        <f>IF(#REF!,"AAAAADrfzw4=",0)</f>
        <v>#REF!</v>
      </c>
      <c r="P1" t="e">
        <f>AND(#REF!,"AAAAADrfzw8=")</f>
        <v>#REF!</v>
      </c>
      <c r="Q1" t="e">
        <f>AND(#REF!,"AAAAADrfzxA=")</f>
        <v>#REF!</v>
      </c>
      <c r="R1" t="e">
        <f>AND(#REF!,"AAAAADrfzxE=")</f>
        <v>#REF!</v>
      </c>
      <c r="S1" t="e">
        <f>AND(#REF!,"AAAAADrfzxI=")</f>
        <v>#REF!</v>
      </c>
      <c r="T1" t="e">
        <f>AND(#REF!,"AAAAADrfzxM=")</f>
        <v>#REF!</v>
      </c>
      <c r="U1" t="e">
        <f>AND(#REF!,"AAAAADrfzxQ=")</f>
        <v>#REF!</v>
      </c>
      <c r="V1" t="e">
        <f>IF(#REF!,"AAAAADrfzxU=",0)</f>
        <v>#REF!</v>
      </c>
      <c r="W1" t="e">
        <f>AND(#REF!,"AAAAADrfzxY=")</f>
        <v>#REF!</v>
      </c>
      <c r="X1" t="e">
        <f>AND(#REF!,"AAAAADrfzxc=")</f>
        <v>#REF!</v>
      </c>
      <c r="Y1" t="e">
        <f>AND(#REF!,"AAAAADrfzxg=")</f>
        <v>#REF!</v>
      </c>
      <c r="Z1" t="e">
        <f>AND(#REF!,"AAAAADrfzxk=")</f>
        <v>#REF!</v>
      </c>
      <c r="AA1" t="e">
        <f>AND(#REF!,"AAAAADrfzxo=")</f>
        <v>#REF!</v>
      </c>
      <c r="AB1" t="e">
        <f>AND(#REF!,"AAAAADrfzxs=")</f>
        <v>#REF!</v>
      </c>
      <c r="AC1" t="e">
        <f>IF(#REF!,"AAAAADrfzxw=",0)</f>
        <v>#REF!</v>
      </c>
      <c r="AD1" t="e">
        <f>AND(#REF!,"AAAAADrfzx0=")</f>
        <v>#REF!</v>
      </c>
      <c r="AE1" t="e">
        <f>AND(#REF!,"AAAAADrfzx4=")</f>
        <v>#REF!</v>
      </c>
      <c r="AF1" t="e">
        <f>AND(#REF!,"AAAAADrfzx8=")</f>
        <v>#REF!</v>
      </c>
      <c r="AG1" t="e">
        <f>AND(#REF!,"AAAAADrfzyA=")</f>
        <v>#REF!</v>
      </c>
      <c r="AH1" t="e">
        <f>AND(#REF!,"AAAAADrfzyE=")</f>
        <v>#REF!</v>
      </c>
      <c r="AI1" t="e">
        <f>AND(#REF!,"AAAAADrfzyI=")</f>
        <v>#REF!</v>
      </c>
      <c r="AJ1" t="e">
        <f>IF(#REF!,"AAAAADrfzyM=",0)</f>
        <v>#REF!</v>
      </c>
      <c r="AK1" t="e">
        <f>AND(#REF!,"AAAAADrfzyQ=")</f>
        <v>#REF!</v>
      </c>
      <c r="AL1" t="e">
        <f>AND(#REF!,"AAAAADrfzyU=")</f>
        <v>#REF!</v>
      </c>
      <c r="AM1" t="e">
        <f>AND(#REF!,"AAAAADrfzyY=")</f>
        <v>#REF!</v>
      </c>
      <c r="AN1" t="e">
        <f>AND(#REF!,"AAAAADrfzyc=")</f>
        <v>#REF!</v>
      </c>
      <c r="AO1" t="e">
        <f>AND(#REF!,"AAAAADrfzyg=")</f>
        <v>#REF!</v>
      </c>
      <c r="AP1" t="e">
        <f>AND(#REF!,"AAAAADrfzyk=")</f>
        <v>#REF!</v>
      </c>
      <c r="AQ1" t="e">
        <f>IF(#REF!,"AAAAADrfzyo=",0)</f>
        <v>#REF!</v>
      </c>
      <c r="AR1" t="e">
        <f>AND(#REF!,"AAAAADrfzys=")</f>
        <v>#REF!</v>
      </c>
      <c r="AS1" t="e">
        <f>AND(#REF!,"AAAAADrfzyw=")</f>
        <v>#REF!</v>
      </c>
      <c r="AT1" t="e">
        <f>AND(#REF!,"AAAAADrfzy0=")</f>
        <v>#REF!</v>
      </c>
      <c r="AU1" t="e">
        <f>AND(#REF!,"AAAAADrfzy4=")</f>
        <v>#REF!</v>
      </c>
      <c r="AV1" t="e">
        <f>AND(#REF!,"AAAAADrfzy8=")</f>
        <v>#REF!</v>
      </c>
      <c r="AW1" t="e">
        <f>AND(#REF!,"AAAAADrfzzA=")</f>
        <v>#REF!</v>
      </c>
      <c r="AX1" t="e">
        <f>IF(#REF!,"AAAAADrfzzE=",0)</f>
        <v>#REF!</v>
      </c>
      <c r="AY1" t="e">
        <f>AND(#REF!,"AAAAADrfzzI=")</f>
        <v>#REF!</v>
      </c>
      <c r="AZ1" t="e">
        <f>AND(#REF!,"AAAAADrfzzM=")</f>
        <v>#REF!</v>
      </c>
      <c r="BA1" t="e">
        <f>AND(#REF!,"AAAAADrfzzQ=")</f>
        <v>#REF!</v>
      </c>
      <c r="BB1" t="e">
        <f>AND(#REF!,"AAAAADrfzzU=")</f>
        <v>#REF!</v>
      </c>
      <c r="BC1" t="e">
        <f>AND(#REF!,"AAAAADrfzzY=")</f>
        <v>#REF!</v>
      </c>
      <c r="BD1" t="e">
        <f>AND(#REF!,"AAAAADrfzzc=")</f>
        <v>#REF!</v>
      </c>
      <c r="BE1" t="e">
        <f>IF(#REF!,"AAAAADrfzzg=",0)</f>
        <v>#REF!</v>
      </c>
      <c r="BF1" t="e">
        <f>AND(#REF!,"AAAAADrfzzk=")</f>
        <v>#REF!</v>
      </c>
      <c r="BG1" t="e">
        <f>AND(#REF!,"AAAAADrfzzo=")</f>
        <v>#REF!</v>
      </c>
      <c r="BH1" t="e">
        <f>AND(#REF!,"AAAAADrfzzs=")</f>
        <v>#REF!</v>
      </c>
      <c r="BI1" t="e">
        <f>AND(#REF!,"AAAAADrfzzw=")</f>
        <v>#REF!</v>
      </c>
      <c r="BJ1" t="e">
        <f>AND(#REF!,"AAAAADrfzz0=")</f>
        <v>#REF!</v>
      </c>
      <c r="BK1" t="e">
        <f>AND(#REF!,"AAAAADrfzz4=")</f>
        <v>#REF!</v>
      </c>
      <c r="BL1" t="e">
        <f>IF(#REF!,"AAAAADrfzz8=",0)</f>
        <v>#REF!</v>
      </c>
      <c r="BM1" t="e">
        <f>AND(#REF!,"AAAAADrfz0A=")</f>
        <v>#REF!</v>
      </c>
      <c r="BN1" t="e">
        <f>AND(#REF!,"AAAAADrfz0E=")</f>
        <v>#REF!</v>
      </c>
      <c r="BO1" t="e">
        <f>AND(#REF!,"AAAAADrfz0I=")</f>
        <v>#REF!</v>
      </c>
      <c r="BP1" t="e">
        <f>AND(#REF!,"AAAAADrfz0M=")</f>
        <v>#REF!</v>
      </c>
      <c r="BQ1" t="e">
        <f>AND(#REF!,"AAAAADrfz0Q=")</f>
        <v>#REF!</v>
      </c>
      <c r="BR1" t="e">
        <f>AND(#REF!,"AAAAADrfz0U=")</f>
        <v>#REF!</v>
      </c>
      <c r="BS1" t="e">
        <f>IF(#REF!,"AAAAADrfz0Y=",0)</f>
        <v>#REF!</v>
      </c>
      <c r="BT1" t="e">
        <f>AND(#REF!,"AAAAADrfz0c=")</f>
        <v>#REF!</v>
      </c>
      <c r="BU1" t="e">
        <f>AND(#REF!,"AAAAADrfz0g=")</f>
        <v>#REF!</v>
      </c>
      <c r="BV1" t="e">
        <f>AND(#REF!,"AAAAADrfz0k=")</f>
        <v>#REF!</v>
      </c>
      <c r="BW1" t="e">
        <f>AND(#REF!,"AAAAADrfz0o=")</f>
        <v>#REF!</v>
      </c>
      <c r="BX1" t="e">
        <f>AND(#REF!,"AAAAADrfz0s=")</f>
        <v>#REF!</v>
      </c>
      <c r="BY1" t="e">
        <f>AND(#REF!,"AAAAADrfz0w=")</f>
        <v>#REF!</v>
      </c>
      <c r="BZ1" t="e">
        <f>IF(#REF!,"AAAAADrfz00=",0)</f>
        <v>#REF!</v>
      </c>
      <c r="CA1" t="e">
        <f>AND(#REF!,"AAAAADrfz04=")</f>
        <v>#REF!</v>
      </c>
      <c r="CB1" t="e">
        <f>AND(#REF!,"AAAAADrfz08=")</f>
        <v>#REF!</v>
      </c>
      <c r="CC1" t="e">
        <f>AND(#REF!,"AAAAADrfz1A=")</f>
        <v>#REF!</v>
      </c>
      <c r="CD1" t="e">
        <f>AND(#REF!,"AAAAADrfz1E=")</f>
        <v>#REF!</v>
      </c>
      <c r="CE1" t="e">
        <f>AND(#REF!,"AAAAADrfz1I=")</f>
        <v>#REF!</v>
      </c>
      <c r="CF1" t="e">
        <f>AND(#REF!,"AAAAADrfz1M=")</f>
        <v>#REF!</v>
      </c>
      <c r="CG1" t="e">
        <f>IF(#REF!,"AAAAADrfz1Q=",0)</f>
        <v>#REF!</v>
      </c>
      <c r="CH1" t="e">
        <f>AND(#REF!,"AAAAADrfz1U=")</f>
        <v>#REF!</v>
      </c>
      <c r="CI1" t="e">
        <f>AND(#REF!,"AAAAADrfz1Y=")</f>
        <v>#REF!</v>
      </c>
      <c r="CJ1" t="e">
        <f>AND(#REF!,"AAAAADrfz1c=")</f>
        <v>#REF!</v>
      </c>
      <c r="CK1" t="e">
        <f>AND(#REF!,"AAAAADrfz1g=")</f>
        <v>#REF!</v>
      </c>
      <c r="CL1" t="e">
        <f>AND(#REF!,"AAAAADrfz1k=")</f>
        <v>#REF!</v>
      </c>
      <c r="CM1" t="e">
        <f>AND(#REF!,"AAAAADrfz1o=")</f>
        <v>#REF!</v>
      </c>
      <c r="CN1" t="e">
        <f>IF(#REF!,"AAAAADrfz1s=",0)</f>
        <v>#REF!</v>
      </c>
      <c r="CO1" t="e">
        <f>AND(#REF!,"AAAAADrfz1w=")</f>
        <v>#REF!</v>
      </c>
      <c r="CP1" t="e">
        <f>AND(#REF!,"AAAAADrfz10=")</f>
        <v>#REF!</v>
      </c>
      <c r="CQ1" t="e">
        <f>AND(#REF!,"AAAAADrfz14=")</f>
        <v>#REF!</v>
      </c>
      <c r="CR1" t="e">
        <f>AND(#REF!,"AAAAADrfz18=")</f>
        <v>#REF!</v>
      </c>
      <c r="CS1" t="e">
        <f>AND(#REF!,"AAAAADrfz2A=")</f>
        <v>#REF!</v>
      </c>
      <c r="CT1" t="e">
        <f>AND(#REF!,"AAAAADrfz2E=")</f>
        <v>#REF!</v>
      </c>
      <c r="CU1" t="e">
        <f>IF(#REF!,"AAAAADrfz2I=",0)</f>
        <v>#REF!</v>
      </c>
      <c r="CV1" t="e">
        <f>AND(#REF!,"AAAAADrfz2M=")</f>
        <v>#REF!</v>
      </c>
      <c r="CW1" t="e">
        <f>AND(#REF!,"AAAAADrfz2Q=")</f>
        <v>#REF!</v>
      </c>
      <c r="CX1" t="e">
        <f>AND(#REF!,"AAAAADrfz2U=")</f>
        <v>#REF!</v>
      </c>
      <c r="CY1" t="e">
        <f>AND(#REF!,"AAAAADrfz2Y=")</f>
        <v>#REF!</v>
      </c>
      <c r="CZ1" t="e">
        <f>AND(#REF!,"AAAAADrfz2c=")</f>
        <v>#REF!</v>
      </c>
      <c r="DA1" t="e">
        <f>AND(#REF!,"AAAAADrfz2g=")</f>
        <v>#REF!</v>
      </c>
      <c r="DB1" t="e">
        <f>IF(#REF!,"AAAAADrfz2k=",0)</f>
        <v>#REF!</v>
      </c>
      <c r="DC1" t="e">
        <f>AND(#REF!,"AAAAADrfz2o=")</f>
        <v>#REF!</v>
      </c>
      <c r="DD1" t="e">
        <f>AND(#REF!,"AAAAADrfz2s=")</f>
        <v>#REF!</v>
      </c>
      <c r="DE1" t="e">
        <f>AND(#REF!,"AAAAADrfz2w=")</f>
        <v>#REF!</v>
      </c>
      <c r="DF1" t="e">
        <f>AND(#REF!,"AAAAADrfz20=")</f>
        <v>#REF!</v>
      </c>
      <c r="DG1" t="e">
        <f>AND(#REF!,"AAAAADrfz24=")</f>
        <v>#REF!</v>
      </c>
      <c r="DH1" t="e">
        <f>AND(#REF!,"AAAAADrfz28=")</f>
        <v>#REF!</v>
      </c>
      <c r="DI1" t="e">
        <f>IF(#REF!,"AAAAADrfz3A=",0)</f>
        <v>#REF!</v>
      </c>
      <c r="DJ1" t="e">
        <f>AND(#REF!,"AAAAADrfz3E=")</f>
        <v>#REF!</v>
      </c>
      <c r="DK1" t="e">
        <f>AND(#REF!,"AAAAADrfz3I=")</f>
        <v>#REF!</v>
      </c>
      <c r="DL1" t="e">
        <f>AND(#REF!,"AAAAADrfz3M=")</f>
        <v>#REF!</v>
      </c>
      <c r="DM1" t="e">
        <f>AND(#REF!,"AAAAADrfz3Q=")</f>
        <v>#REF!</v>
      </c>
      <c r="DN1" t="e">
        <f>AND(#REF!,"AAAAADrfz3U=")</f>
        <v>#REF!</v>
      </c>
      <c r="DO1" t="e">
        <f>AND(#REF!,"AAAAADrfz3Y=")</f>
        <v>#REF!</v>
      </c>
      <c r="DP1" t="e">
        <f>IF(#REF!,"AAAAADrfz3c=",0)</f>
        <v>#REF!</v>
      </c>
      <c r="DQ1" t="e">
        <f>AND(#REF!,"AAAAADrfz3g=")</f>
        <v>#REF!</v>
      </c>
      <c r="DR1" t="e">
        <f>AND(#REF!,"AAAAADrfz3k=")</f>
        <v>#REF!</v>
      </c>
      <c r="DS1" t="e">
        <f>AND(#REF!,"AAAAADrfz3o=")</f>
        <v>#REF!</v>
      </c>
      <c r="DT1" t="e">
        <f>AND(#REF!,"AAAAADrfz3s=")</f>
        <v>#REF!</v>
      </c>
      <c r="DU1" t="e">
        <f>AND(#REF!,"AAAAADrfz3w=")</f>
        <v>#REF!</v>
      </c>
      <c r="DV1" t="e">
        <f>AND(#REF!,"AAAAADrfz30=")</f>
        <v>#REF!</v>
      </c>
      <c r="DW1" t="e">
        <f>IF(#REF!,"AAAAADrfz34=",0)</f>
        <v>#REF!</v>
      </c>
      <c r="DX1" t="e">
        <f>AND(#REF!,"AAAAADrfz38=")</f>
        <v>#REF!</v>
      </c>
      <c r="DY1" t="e">
        <f>AND(#REF!,"AAAAADrfz4A=")</f>
        <v>#REF!</v>
      </c>
      <c r="DZ1" t="e">
        <f>AND(#REF!,"AAAAADrfz4E=")</f>
        <v>#REF!</v>
      </c>
      <c r="EA1" t="e">
        <f>AND(#REF!,"AAAAADrfz4I=")</f>
        <v>#REF!</v>
      </c>
      <c r="EB1" t="e">
        <f>AND(#REF!,"AAAAADrfz4M=")</f>
        <v>#REF!</v>
      </c>
      <c r="EC1" t="e">
        <f>AND(#REF!,"AAAAADrfz4Q=")</f>
        <v>#REF!</v>
      </c>
      <c r="ED1" t="e">
        <f>IF(#REF!,"AAAAADrfz4U=",0)</f>
        <v>#REF!</v>
      </c>
      <c r="EE1" t="e">
        <f>AND(#REF!,"AAAAADrfz4Y=")</f>
        <v>#REF!</v>
      </c>
      <c r="EF1" t="e">
        <f>AND(#REF!,"AAAAADrfz4c=")</f>
        <v>#REF!</v>
      </c>
      <c r="EG1" t="e">
        <f>AND(#REF!,"AAAAADrfz4g=")</f>
        <v>#REF!</v>
      </c>
      <c r="EH1" t="e">
        <f>AND(#REF!,"AAAAADrfz4k=")</f>
        <v>#REF!</v>
      </c>
      <c r="EI1" t="e">
        <f>AND(#REF!,"AAAAADrfz4o=")</f>
        <v>#REF!</v>
      </c>
      <c r="EJ1" t="e">
        <f>AND(#REF!,"AAAAADrfz4s=")</f>
        <v>#REF!</v>
      </c>
      <c r="EK1" t="e">
        <f>IF(#REF!,"AAAAADrfz4w=",0)</f>
        <v>#REF!</v>
      </c>
      <c r="EL1" t="e">
        <f>AND(#REF!,"AAAAADrfz40=")</f>
        <v>#REF!</v>
      </c>
      <c r="EM1" t="e">
        <f>AND(#REF!,"AAAAADrfz44=")</f>
        <v>#REF!</v>
      </c>
      <c r="EN1" t="e">
        <f>AND(#REF!,"AAAAADrfz48=")</f>
        <v>#REF!</v>
      </c>
      <c r="EO1" t="e">
        <f>AND(#REF!,"AAAAADrfz5A=")</f>
        <v>#REF!</v>
      </c>
      <c r="EP1" t="e">
        <f>AND(#REF!,"AAAAADrfz5E=")</f>
        <v>#REF!</v>
      </c>
      <c r="EQ1" t="e">
        <f>AND(#REF!,"AAAAADrfz5I=")</f>
        <v>#REF!</v>
      </c>
      <c r="ER1" t="e">
        <f>IF(#REF!,"AAAAADrfz5M=",0)</f>
        <v>#REF!</v>
      </c>
      <c r="ES1" t="e">
        <f>AND(#REF!,"AAAAADrfz5Q=")</f>
        <v>#REF!</v>
      </c>
      <c r="ET1" t="e">
        <f>AND(#REF!,"AAAAADrfz5U=")</f>
        <v>#REF!</v>
      </c>
      <c r="EU1" t="e">
        <f>AND(#REF!,"AAAAADrfz5Y=")</f>
        <v>#REF!</v>
      </c>
      <c r="EV1" t="e">
        <f>AND(#REF!,"AAAAADrfz5c=")</f>
        <v>#REF!</v>
      </c>
      <c r="EW1" t="e">
        <f>AND(#REF!,"AAAAADrfz5g=")</f>
        <v>#REF!</v>
      </c>
      <c r="EX1" t="e">
        <f>AND(#REF!,"AAAAADrfz5k=")</f>
        <v>#REF!</v>
      </c>
      <c r="EY1" t="e">
        <f>IF(#REF!,"AAAAADrfz5o=",0)</f>
        <v>#REF!</v>
      </c>
      <c r="EZ1" t="e">
        <f>AND(#REF!,"AAAAADrfz5s=")</f>
        <v>#REF!</v>
      </c>
      <c r="FA1" t="e">
        <f>AND(#REF!,"AAAAADrfz5w=")</f>
        <v>#REF!</v>
      </c>
      <c r="FB1" t="e">
        <f>AND(#REF!,"AAAAADrfz50=")</f>
        <v>#REF!</v>
      </c>
      <c r="FC1" t="e">
        <f>AND(#REF!,"AAAAADrfz54=")</f>
        <v>#REF!</v>
      </c>
      <c r="FD1" t="e">
        <f>AND(#REF!,"AAAAADrfz58=")</f>
        <v>#REF!</v>
      </c>
      <c r="FE1" t="e">
        <f>AND(#REF!,"AAAAADrfz6A=")</f>
        <v>#REF!</v>
      </c>
      <c r="FF1" t="e">
        <f>IF(#REF!,"AAAAADrfz6E=",0)</f>
        <v>#REF!</v>
      </c>
      <c r="FG1" t="e">
        <f>AND(#REF!,"AAAAADrfz6I=")</f>
        <v>#REF!</v>
      </c>
      <c r="FH1" t="e">
        <f>AND(#REF!,"AAAAADrfz6M=")</f>
        <v>#REF!</v>
      </c>
      <c r="FI1" t="e">
        <f>AND(#REF!,"AAAAADrfz6Q=")</f>
        <v>#REF!</v>
      </c>
      <c r="FJ1" t="e">
        <f>AND(#REF!,"AAAAADrfz6U=")</f>
        <v>#REF!</v>
      </c>
      <c r="FK1" t="e">
        <f>AND(#REF!,"AAAAADrfz6Y=")</f>
        <v>#REF!</v>
      </c>
      <c r="FL1" t="e">
        <f>AND(#REF!,"AAAAADrfz6c=")</f>
        <v>#REF!</v>
      </c>
      <c r="FM1" t="e">
        <f>IF(#REF!,"AAAAADrfz6g=",0)</f>
        <v>#REF!</v>
      </c>
      <c r="FN1" t="e">
        <f>AND(#REF!,"AAAAADrfz6k=")</f>
        <v>#REF!</v>
      </c>
      <c r="FO1" t="e">
        <f>AND(#REF!,"AAAAADrfz6o=")</f>
        <v>#REF!</v>
      </c>
      <c r="FP1" t="e">
        <f>AND(#REF!,"AAAAADrfz6s=")</f>
        <v>#REF!</v>
      </c>
      <c r="FQ1" t="e">
        <f>AND(#REF!,"AAAAADrfz6w=")</f>
        <v>#REF!</v>
      </c>
      <c r="FR1" t="e">
        <f>AND(#REF!,"AAAAADrfz60=")</f>
        <v>#REF!</v>
      </c>
      <c r="FS1" t="e">
        <f>AND(#REF!,"AAAAADrfz64=")</f>
        <v>#REF!</v>
      </c>
      <c r="FT1" t="e">
        <f>IF(#REF!,"AAAAADrfz68=",0)</f>
        <v>#REF!</v>
      </c>
      <c r="FU1" t="e">
        <f>AND(#REF!,"AAAAADrfz7A=")</f>
        <v>#REF!</v>
      </c>
      <c r="FV1" t="e">
        <f>AND(#REF!,"AAAAADrfz7E=")</f>
        <v>#REF!</v>
      </c>
      <c r="FW1" t="e">
        <f>AND(#REF!,"AAAAADrfz7I=")</f>
        <v>#REF!</v>
      </c>
      <c r="FX1" t="e">
        <f>AND(#REF!,"AAAAADrfz7M=")</f>
        <v>#REF!</v>
      </c>
      <c r="FY1" t="e">
        <f>AND(#REF!,"AAAAADrfz7Q=")</f>
        <v>#REF!</v>
      </c>
      <c r="FZ1" t="e">
        <f>AND(#REF!,"AAAAADrfz7U=")</f>
        <v>#REF!</v>
      </c>
      <c r="GA1" t="e">
        <f>IF(#REF!,"AAAAADrfz7Y=",0)</f>
        <v>#REF!</v>
      </c>
      <c r="GB1" t="e">
        <f>AND(#REF!,"AAAAADrfz7c=")</f>
        <v>#REF!</v>
      </c>
      <c r="GC1" t="e">
        <f>AND(#REF!,"AAAAADrfz7g=")</f>
        <v>#REF!</v>
      </c>
      <c r="GD1" t="e">
        <f>AND(#REF!,"AAAAADrfz7k=")</f>
        <v>#REF!</v>
      </c>
      <c r="GE1" t="e">
        <f>AND(#REF!,"AAAAADrfz7o=")</f>
        <v>#REF!</v>
      </c>
      <c r="GF1" t="e">
        <f>AND(#REF!,"AAAAADrfz7s=")</f>
        <v>#REF!</v>
      </c>
      <c r="GG1" t="e">
        <f>AND(#REF!,"AAAAADrfz7w=")</f>
        <v>#REF!</v>
      </c>
      <c r="GH1" t="e">
        <f>IF(#REF!,"AAAAADrfz70=",0)</f>
        <v>#REF!</v>
      </c>
      <c r="GI1" t="e">
        <f>AND(#REF!,"AAAAADrfz74=")</f>
        <v>#REF!</v>
      </c>
      <c r="GJ1" t="e">
        <f>AND(#REF!,"AAAAADrfz78=")</f>
        <v>#REF!</v>
      </c>
      <c r="GK1" t="e">
        <f>AND(#REF!,"AAAAADrfz8A=")</f>
        <v>#REF!</v>
      </c>
      <c r="GL1" t="e">
        <f>AND(#REF!,"AAAAADrfz8E=")</f>
        <v>#REF!</v>
      </c>
      <c r="GM1" t="e">
        <f>AND(#REF!,"AAAAADrfz8I=")</f>
        <v>#REF!</v>
      </c>
      <c r="GN1" t="e">
        <f>AND(#REF!,"AAAAADrfz8M=")</f>
        <v>#REF!</v>
      </c>
      <c r="GO1" t="e">
        <f>IF(#REF!,"AAAAADrfz8Q=",0)</f>
        <v>#REF!</v>
      </c>
      <c r="GP1" t="e">
        <f>AND(#REF!,"AAAAADrfz8U=")</f>
        <v>#REF!</v>
      </c>
      <c r="GQ1" t="e">
        <f>AND(#REF!,"AAAAADrfz8Y=")</f>
        <v>#REF!</v>
      </c>
      <c r="GR1" t="e">
        <f>AND(#REF!,"AAAAADrfz8c=")</f>
        <v>#REF!</v>
      </c>
      <c r="GS1" t="e">
        <f>AND(#REF!,"AAAAADrfz8g=")</f>
        <v>#REF!</v>
      </c>
      <c r="GT1" t="e">
        <f>AND(#REF!,"AAAAADrfz8k=")</f>
        <v>#REF!</v>
      </c>
      <c r="GU1" t="e">
        <f>AND(#REF!,"AAAAADrfz8o=")</f>
        <v>#REF!</v>
      </c>
      <c r="GV1" t="e">
        <f>IF(#REF!,"AAAAADrfz8s=",0)</f>
        <v>#REF!</v>
      </c>
      <c r="GW1" t="e">
        <f>AND(#REF!,"AAAAADrfz8w=")</f>
        <v>#REF!</v>
      </c>
      <c r="GX1" t="e">
        <f>AND(#REF!,"AAAAADrfz80=")</f>
        <v>#REF!</v>
      </c>
      <c r="GY1" t="e">
        <f>AND(#REF!,"AAAAADrfz84=")</f>
        <v>#REF!</v>
      </c>
      <c r="GZ1" t="e">
        <f>AND(#REF!,"AAAAADrfz88=")</f>
        <v>#REF!</v>
      </c>
      <c r="HA1" t="e">
        <f>AND(#REF!,"AAAAADrfz9A=")</f>
        <v>#REF!</v>
      </c>
      <c r="HB1" t="e">
        <f>AND(#REF!,"AAAAADrfz9E=")</f>
        <v>#REF!</v>
      </c>
      <c r="HC1" t="e">
        <f>IF(#REF!,"AAAAADrfz9I=",0)</f>
        <v>#REF!</v>
      </c>
      <c r="HD1" t="e">
        <f>AND(#REF!,"AAAAADrfz9M=")</f>
        <v>#REF!</v>
      </c>
      <c r="HE1" t="e">
        <f>AND(#REF!,"AAAAADrfz9Q=")</f>
        <v>#REF!</v>
      </c>
      <c r="HF1" t="e">
        <f>AND(#REF!,"AAAAADrfz9U=")</f>
        <v>#REF!</v>
      </c>
      <c r="HG1" t="e">
        <f>AND(#REF!,"AAAAADrfz9Y=")</f>
        <v>#REF!</v>
      </c>
      <c r="HH1" t="e">
        <f>AND(#REF!,"AAAAADrfz9c=")</f>
        <v>#REF!</v>
      </c>
      <c r="HI1" t="e">
        <f>AND(#REF!,"AAAAADrfz9g=")</f>
        <v>#REF!</v>
      </c>
      <c r="HJ1" t="e">
        <f>IF(#REF!,"AAAAADrfz9k=",0)</f>
        <v>#REF!</v>
      </c>
      <c r="HK1" t="e">
        <f>AND(#REF!,"AAAAADrfz9o=")</f>
        <v>#REF!</v>
      </c>
      <c r="HL1" t="e">
        <f>AND(#REF!,"AAAAADrfz9s=")</f>
        <v>#REF!</v>
      </c>
      <c r="HM1" t="e">
        <f>AND(#REF!,"AAAAADrfz9w=")</f>
        <v>#REF!</v>
      </c>
      <c r="HN1" t="e">
        <f>AND(#REF!,"AAAAADrfz90=")</f>
        <v>#REF!</v>
      </c>
      <c r="HO1" t="e">
        <f>AND(#REF!,"AAAAADrfz94=")</f>
        <v>#REF!</v>
      </c>
      <c r="HP1" t="e">
        <f>AND(#REF!,"AAAAADrfz98=")</f>
        <v>#REF!</v>
      </c>
      <c r="HQ1" t="e">
        <f>IF(#REF!,"AAAAADrfz+A=",0)</f>
        <v>#REF!</v>
      </c>
      <c r="HR1" t="e">
        <f>AND(#REF!,"AAAAADrfz+E=")</f>
        <v>#REF!</v>
      </c>
      <c r="HS1" t="e">
        <f>AND(#REF!,"AAAAADrfz+I=")</f>
        <v>#REF!</v>
      </c>
      <c r="HT1" t="e">
        <f>AND(#REF!,"AAAAADrfz+M=")</f>
        <v>#REF!</v>
      </c>
      <c r="HU1" t="e">
        <f>AND(#REF!,"AAAAADrfz+Q=")</f>
        <v>#REF!</v>
      </c>
      <c r="HV1" t="e">
        <f>AND(#REF!,"AAAAADrfz+U=")</f>
        <v>#REF!</v>
      </c>
      <c r="HW1" t="e">
        <f>AND(#REF!,"AAAAADrfz+Y=")</f>
        <v>#REF!</v>
      </c>
      <c r="HX1" t="e">
        <f>IF(#REF!,"AAAAADrfz+c=",0)</f>
        <v>#REF!</v>
      </c>
      <c r="HY1" t="e">
        <f>AND(#REF!,"AAAAADrfz+g=")</f>
        <v>#REF!</v>
      </c>
      <c r="HZ1" t="e">
        <f>AND(#REF!,"AAAAADrfz+k=")</f>
        <v>#REF!</v>
      </c>
      <c r="IA1" t="e">
        <f>AND(#REF!,"AAAAADrfz+o=")</f>
        <v>#REF!</v>
      </c>
      <c r="IB1" t="e">
        <f>AND(#REF!,"AAAAADrfz+s=")</f>
        <v>#REF!</v>
      </c>
      <c r="IC1" t="e">
        <f>AND(#REF!,"AAAAADrfz+w=")</f>
        <v>#REF!</v>
      </c>
      <c r="ID1" t="e">
        <f>AND(#REF!,"AAAAADrfz+0=")</f>
        <v>#REF!</v>
      </c>
      <c r="IE1" t="e">
        <f>IF(#REF!,"AAAAADrfz+4=",0)</f>
        <v>#REF!</v>
      </c>
      <c r="IF1" t="e">
        <f>AND(#REF!,"AAAAADrfz+8=")</f>
        <v>#REF!</v>
      </c>
      <c r="IG1" t="e">
        <f>AND(#REF!,"AAAAADrfz/A=")</f>
        <v>#REF!</v>
      </c>
      <c r="IH1" t="e">
        <f>AND(#REF!,"AAAAADrfz/E=")</f>
        <v>#REF!</v>
      </c>
      <c r="II1" t="e">
        <f>AND(#REF!,"AAAAADrfz/I=")</f>
        <v>#REF!</v>
      </c>
      <c r="IJ1" t="e">
        <f>AND(#REF!,"AAAAADrfz/M=")</f>
        <v>#REF!</v>
      </c>
      <c r="IK1" t="e">
        <f>AND(#REF!,"AAAAADrfz/Q=")</f>
        <v>#REF!</v>
      </c>
      <c r="IL1" t="e">
        <f>IF(#REF!,"AAAAADrfz/U=",0)</f>
        <v>#REF!</v>
      </c>
      <c r="IM1" t="e">
        <f>AND(#REF!,"AAAAADrfz/Y=")</f>
        <v>#REF!</v>
      </c>
      <c r="IN1" t="e">
        <f>AND(#REF!,"AAAAADrfz/c=")</f>
        <v>#REF!</v>
      </c>
      <c r="IO1" t="e">
        <f>AND(#REF!,"AAAAADrfz/g=")</f>
        <v>#REF!</v>
      </c>
      <c r="IP1" t="e">
        <f>AND(#REF!,"AAAAADrfz/k=")</f>
        <v>#REF!</v>
      </c>
      <c r="IQ1" t="e">
        <f>AND(#REF!,"AAAAADrfz/o=")</f>
        <v>#REF!</v>
      </c>
      <c r="IR1" t="e">
        <f>AND(#REF!,"AAAAADrfz/s=")</f>
        <v>#REF!</v>
      </c>
      <c r="IS1" t="e">
        <f>IF(#REF!,"AAAAADrfz/w=",0)</f>
        <v>#REF!</v>
      </c>
      <c r="IT1" t="e">
        <f>AND(#REF!,"AAAAADrfz/0=")</f>
        <v>#REF!</v>
      </c>
      <c r="IU1" t="e">
        <f>AND(#REF!,"AAAAADrfz/4=")</f>
        <v>#REF!</v>
      </c>
      <c r="IV1" t="e">
        <f>AND(#REF!,"AAAAADrfz/8=")</f>
        <v>#REF!</v>
      </c>
    </row>
    <row r="2" spans="1:256">
      <c r="A2" t="e">
        <f>AND(#REF!,"AAAAAEj79wA=")</f>
        <v>#REF!</v>
      </c>
      <c r="B2" t="e">
        <f>AND(#REF!,"AAAAAEj79wE=")</f>
        <v>#REF!</v>
      </c>
      <c r="C2" t="e">
        <f>AND(#REF!,"AAAAAEj79wI=")</f>
        <v>#REF!</v>
      </c>
      <c r="D2" t="e">
        <f>IF(#REF!,"AAAAAEj79wM=",0)</f>
        <v>#REF!</v>
      </c>
      <c r="E2" t="e">
        <f>AND(#REF!,"AAAAAEj79wQ=")</f>
        <v>#REF!</v>
      </c>
      <c r="F2" t="e">
        <f>AND(#REF!,"AAAAAEj79wU=")</f>
        <v>#REF!</v>
      </c>
      <c r="G2" t="e">
        <f>AND(#REF!,"AAAAAEj79wY=")</f>
        <v>#REF!</v>
      </c>
      <c r="H2" t="e">
        <f>AND(#REF!,"AAAAAEj79wc=")</f>
        <v>#REF!</v>
      </c>
      <c r="I2" t="e">
        <f>AND(#REF!,"AAAAAEj79wg=")</f>
        <v>#REF!</v>
      </c>
      <c r="J2" t="e">
        <f>AND(#REF!,"AAAAAEj79wk=")</f>
        <v>#REF!</v>
      </c>
      <c r="K2" t="e">
        <f>IF(#REF!,"AAAAAEj79wo=",0)</f>
        <v>#REF!</v>
      </c>
      <c r="L2" t="e">
        <f>AND(#REF!,"AAAAAEj79ws=")</f>
        <v>#REF!</v>
      </c>
      <c r="M2" t="e">
        <f>AND(#REF!,"AAAAAEj79ww=")</f>
        <v>#REF!</v>
      </c>
      <c r="N2" t="e">
        <f>AND(#REF!,"AAAAAEj79w0=")</f>
        <v>#REF!</v>
      </c>
      <c r="O2" t="e">
        <f>AND(#REF!,"AAAAAEj79w4=")</f>
        <v>#REF!</v>
      </c>
      <c r="P2" t="e">
        <f>AND(#REF!,"AAAAAEj79w8=")</f>
        <v>#REF!</v>
      </c>
      <c r="Q2" t="e">
        <f>AND(#REF!,"AAAAAEj79xA=")</f>
        <v>#REF!</v>
      </c>
      <c r="R2" t="e">
        <f>IF(#REF!,"AAAAAEj79xE=",0)</f>
        <v>#REF!</v>
      </c>
      <c r="S2" t="e">
        <f>AND(#REF!,"AAAAAEj79xI=")</f>
        <v>#REF!</v>
      </c>
      <c r="T2" t="e">
        <f>AND(#REF!,"AAAAAEj79xM=")</f>
        <v>#REF!</v>
      </c>
      <c r="U2" t="e">
        <f>AND(#REF!,"AAAAAEj79xQ=")</f>
        <v>#REF!</v>
      </c>
      <c r="V2" t="e">
        <f>AND(#REF!,"AAAAAEj79xU=")</f>
        <v>#REF!</v>
      </c>
      <c r="W2" t="e">
        <f>AND(#REF!,"AAAAAEj79xY=")</f>
        <v>#REF!</v>
      </c>
      <c r="X2" t="e">
        <f>AND(#REF!,"AAAAAEj79xc=")</f>
        <v>#REF!</v>
      </c>
      <c r="Y2" t="e">
        <f>IF(#REF!,"AAAAAEj79xg=",0)</f>
        <v>#REF!</v>
      </c>
      <c r="Z2" t="e">
        <f>AND(#REF!,"AAAAAEj79xk=")</f>
        <v>#REF!</v>
      </c>
      <c r="AA2" t="e">
        <f>AND(#REF!,"AAAAAEj79xo=")</f>
        <v>#REF!</v>
      </c>
      <c r="AB2" t="e">
        <f>AND(#REF!,"AAAAAEj79xs=")</f>
        <v>#REF!</v>
      </c>
      <c r="AC2" t="e">
        <f>AND(#REF!,"AAAAAEj79xw=")</f>
        <v>#REF!</v>
      </c>
      <c r="AD2" t="e">
        <f>AND(#REF!,"AAAAAEj79x0=")</f>
        <v>#REF!</v>
      </c>
      <c r="AE2" t="e">
        <f>AND(#REF!,"AAAAAEj79x4=")</f>
        <v>#REF!</v>
      </c>
      <c r="AF2" t="e">
        <f>IF(#REF!,"AAAAAEj79x8=",0)</f>
        <v>#REF!</v>
      </c>
      <c r="AG2" t="e">
        <f>AND(#REF!,"AAAAAEj79yA=")</f>
        <v>#REF!</v>
      </c>
      <c r="AH2" t="e">
        <f>AND(#REF!,"AAAAAEj79yE=")</f>
        <v>#REF!</v>
      </c>
      <c r="AI2" t="e">
        <f>AND(#REF!,"AAAAAEj79yI=")</f>
        <v>#REF!</v>
      </c>
      <c r="AJ2" t="e">
        <f>AND(#REF!,"AAAAAEj79yM=")</f>
        <v>#REF!</v>
      </c>
      <c r="AK2" t="e">
        <f>AND(#REF!,"AAAAAEj79yQ=")</f>
        <v>#REF!</v>
      </c>
      <c r="AL2" t="e">
        <f>AND(#REF!,"AAAAAEj79yU=")</f>
        <v>#REF!</v>
      </c>
      <c r="AM2" t="e">
        <f>IF(#REF!,"AAAAAEj79yY=",0)</f>
        <v>#REF!</v>
      </c>
      <c r="AN2" t="e">
        <f>AND(#REF!,"AAAAAEj79yc=")</f>
        <v>#REF!</v>
      </c>
      <c r="AO2" t="e">
        <f>AND(#REF!,"AAAAAEj79yg=")</f>
        <v>#REF!</v>
      </c>
      <c r="AP2" t="e">
        <f>AND(#REF!,"AAAAAEj79yk=")</f>
        <v>#REF!</v>
      </c>
      <c r="AQ2" t="e">
        <f>AND(#REF!,"AAAAAEj79yo=")</f>
        <v>#REF!</v>
      </c>
      <c r="AR2" t="e">
        <f>AND(#REF!,"AAAAAEj79ys=")</f>
        <v>#REF!</v>
      </c>
      <c r="AS2" t="e">
        <f>AND(#REF!,"AAAAAEj79yw=")</f>
        <v>#REF!</v>
      </c>
      <c r="AT2" t="e">
        <f>IF(#REF!,"AAAAAEj79y0=",0)</f>
        <v>#REF!</v>
      </c>
      <c r="AU2" t="e">
        <f>AND(#REF!,"AAAAAEj79y4=")</f>
        <v>#REF!</v>
      </c>
      <c r="AV2" t="e">
        <f>AND(#REF!,"AAAAAEj79y8=")</f>
        <v>#REF!</v>
      </c>
      <c r="AW2" t="e">
        <f>AND(#REF!,"AAAAAEj79zA=")</f>
        <v>#REF!</v>
      </c>
      <c r="AX2" t="e">
        <f>AND(#REF!,"AAAAAEj79zE=")</f>
        <v>#REF!</v>
      </c>
      <c r="AY2" t="e">
        <f>AND(#REF!,"AAAAAEj79zI=")</f>
        <v>#REF!</v>
      </c>
      <c r="AZ2" t="e">
        <f>AND(#REF!,"AAAAAEj79zM=")</f>
        <v>#REF!</v>
      </c>
      <c r="BA2" t="e">
        <f>IF(#REF!,"AAAAAEj79zQ=",0)</f>
        <v>#REF!</v>
      </c>
      <c r="BB2" t="e">
        <f>AND(#REF!,"AAAAAEj79zU=")</f>
        <v>#REF!</v>
      </c>
      <c r="BC2" t="e">
        <f>AND(#REF!,"AAAAAEj79zY=")</f>
        <v>#REF!</v>
      </c>
      <c r="BD2" t="e">
        <f>AND(#REF!,"AAAAAEj79zc=")</f>
        <v>#REF!</v>
      </c>
      <c r="BE2" t="e">
        <f>AND(#REF!,"AAAAAEj79zg=")</f>
        <v>#REF!</v>
      </c>
      <c r="BF2" t="e">
        <f>AND(#REF!,"AAAAAEj79zk=")</f>
        <v>#REF!</v>
      </c>
      <c r="BG2" t="e">
        <f>AND(#REF!,"AAAAAEj79zo=")</f>
        <v>#REF!</v>
      </c>
      <c r="BH2" t="e">
        <f>IF(#REF!,"AAAAAEj79zs=",0)</f>
        <v>#REF!</v>
      </c>
      <c r="BI2" t="e">
        <f>AND(#REF!,"AAAAAEj79zw=")</f>
        <v>#REF!</v>
      </c>
      <c r="BJ2" t="e">
        <f>AND(#REF!,"AAAAAEj79z0=")</f>
        <v>#REF!</v>
      </c>
      <c r="BK2" t="e">
        <f>AND(#REF!,"AAAAAEj79z4=")</f>
        <v>#REF!</v>
      </c>
      <c r="BL2" t="e">
        <f>AND(#REF!,"AAAAAEj79z8=")</f>
        <v>#REF!</v>
      </c>
      <c r="BM2" t="e">
        <f>AND(#REF!,"AAAAAEj790A=")</f>
        <v>#REF!</v>
      </c>
      <c r="BN2" t="e">
        <f>AND(#REF!,"AAAAAEj790E=")</f>
        <v>#REF!</v>
      </c>
      <c r="BO2" t="e">
        <f>IF(#REF!,"AAAAAEj790I=",0)</f>
        <v>#REF!</v>
      </c>
      <c r="BP2" t="e">
        <f>AND(#REF!,"AAAAAEj790M=")</f>
        <v>#REF!</v>
      </c>
      <c r="BQ2" t="e">
        <f>AND(#REF!,"AAAAAEj790Q=")</f>
        <v>#REF!</v>
      </c>
      <c r="BR2" t="e">
        <f>AND(#REF!,"AAAAAEj790U=")</f>
        <v>#REF!</v>
      </c>
      <c r="BS2" t="e">
        <f>AND(#REF!,"AAAAAEj790Y=")</f>
        <v>#REF!</v>
      </c>
      <c r="BT2" t="e">
        <f>AND(#REF!,"AAAAAEj790c=")</f>
        <v>#REF!</v>
      </c>
      <c r="BU2" t="e">
        <f>AND(#REF!,"AAAAAEj790g=")</f>
        <v>#REF!</v>
      </c>
      <c r="BV2" t="e">
        <f>IF(#REF!,"AAAAAEj790k=",0)</f>
        <v>#REF!</v>
      </c>
      <c r="BW2" t="e">
        <f>AND(#REF!,"AAAAAEj790o=")</f>
        <v>#REF!</v>
      </c>
      <c r="BX2" t="e">
        <f>AND(#REF!,"AAAAAEj790s=")</f>
        <v>#REF!</v>
      </c>
      <c r="BY2" t="e">
        <f>IF(#REF!,"AAAAAEj790w=",0)</f>
        <v>#REF!</v>
      </c>
      <c r="BZ2" t="e">
        <f>AND(#REF!,"AAAAAEj7900=")</f>
        <v>#REF!</v>
      </c>
      <c r="CA2" t="e">
        <f>AND(#REF!,"AAAAAEj7904=")</f>
        <v>#REF!</v>
      </c>
      <c r="CB2" t="e">
        <f>IF(#REF!,"AAAAAEj7908=",0)</f>
        <v>#REF!</v>
      </c>
      <c r="CC2" t="e">
        <f>AND(#REF!,"AAAAAEj791A=")</f>
        <v>#REF!</v>
      </c>
      <c r="CD2" t="e">
        <f>AND(#REF!,"AAAAAEj791E=")</f>
        <v>#REF!</v>
      </c>
      <c r="CE2" t="e">
        <f>IF(#REF!,"AAAAAEj791I=",0)</f>
        <v>#REF!</v>
      </c>
      <c r="CF2" t="e">
        <f>AND(#REF!,"AAAAAEj791M=")</f>
        <v>#REF!</v>
      </c>
      <c r="CG2" t="e">
        <f>AND(#REF!,"AAAAAEj791Q=")</f>
        <v>#REF!</v>
      </c>
      <c r="CH2" t="e">
        <f>IF(#REF!,"AAAAAEj791U=",0)</f>
        <v>#REF!</v>
      </c>
      <c r="CI2" t="e">
        <f>AND(#REF!,"AAAAAEj791Y=")</f>
        <v>#REF!</v>
      </c>
      <c r="CJ2" t="e">
        <f>AND(#REF!,"AAAAAEj791c=")</f>
        <v>#REF!</v>
      </c>
      <c r="CK2" t="e">
        <f>IF(#REF!,"AAAAAEj791g=",0)</f>
        <v>#REF!</v>
      </c>
      <c r="CL2" t="e">
        <f>AND(#REF!,"AAAAAEj791k=")</f>
        <v>#REF!</v>
      </c>
      <c r="CM2" t="e">
        <f>AND(#REF!,"AAAAAEj791o=")</f>
        <v>#REF!</v>
      </c>
      <c r="CN2" t="e">
        <f>IF(#REF!,"AAAAAEj791s=",0)</f>
        <v>#REF!</v>
      </c>
      <c r="CO2" t="e">
        <f>AND(#REF!,"AAAAAEj791w=")</f>
        <v>#REF!</v>
      </c>
      <c r="CP2" t="e">
        <f>AND(#REF!,"AAAAAEj7910=")</f>
        <v>#REF!</v>
      </c>
      <c r="CQ2" t="e">
        <f>IF(#REF!,"AAAAAEj7914=",0)</f>
        <v>#REF!</v>
      </c>
      <c r="CR2" t="e">
        <f>AND(#REF!,"AAAAAEj7918=")</f>
        <v>#REF!</v>
      </c>
      <c r="CS2" t="e">
        <f>AND(#REF!,"AAAAAEj792A=")</f>
        <v>#REF!</v>
      </c>
      <c r="CT2" t="e">
        <f>IF(#REF!,"AAAAAEj792E=",0)</f>
        <v>#REF!</v>
      </c>
      <c r="CU2" t="e">
        <f>AND(#REF!,"AAAAAEj792I=")</f>
        <v>#REF!</v>
      </c>
      <c r="CV2" t="e">
        <f>AND(#REF!,"AAAAAEj792M=")</f>
        <v>#REF!</v>
      </c>
      <c r="CW2" t="e">
        <f>IF(#REF!,"AAAAAEj792Q=",0)</f>
        <v>#REF!</v>
      </c>
      <c r="CX2" t="e">
        <f>AND(#REF!,"AAAAAEj792U=")</f>
        <v>#REF!</v>
      </c>
      <c r="CY2" t="e">
        <f>AND(#REF!,"AAAAAEj792Y=")</f>
        <v>#REF!</v>
      </c>
      <c r="CZ2" t="e">
        <f>IF(#REF!,"AAAAAEj792c=",0)</f>
        <v>#REF!</v>
      </c>
      <c r="DA2" t="e">
        <f>AND(#REF!,"AAAAAEj792g=")</f>
        <v>#REF!</v>
      </c>
      <c r="DB2" t="e">
        <f>AND(#REF!,"AAAAAEj792k=")</f>
        <v>#REF!</v>
      </c>
      <c r="DC2" t="e">
        <f>IF(#REF!,"AAAAAEj792o=",0)</f>
        <v>#REF!</v>
      </c>
      <c r="DD2" t="e">
        <f>AND(#REF!,"AAAAAEj792s=")</f>
        <v>#REF!</v>
      </c>
      <c r="DE2" t="e">
        <f>AND(#REF!,"AAAAAEj792w=")</f>
        <v>#REF!</v>
      </c>
      <c r="DF2" t="e">
        <f>IF(#REF!,"AAAAAEj7920=",0)</f>
        <v>#REF!</v>
      </c>
      <c r="DG2" t="e">
        <f>AND(#REF!,"AAAAAEj7924=")</f>
        <v>#REF!</v>
      </c>
      <c r="DH2" t="e">
        <f>AND(#REF!,"AAAAAEj7928=")</f>
        <v>#REF!</v>
      </c>
      <c r="DI2" t="e">
        <f>IF(#REF!,"AAAAAEj793A=",0)</f>
        <v>#REF!</v>
      </c>
      <c r="DJ2" t="e">
        <f>AND(#REF!,"AAAAAEj793E=")</f>
        <v>#REF!</v>
      </c>
      <c r="DK2" t="e">
        <f>AND(#REF!,"AAAAAEj793I=")</f>
        <v>#REF!</v>
      </c>
      <c r="DL2" t="e">
        <f>IF(#REF!,"AAAAAEj793M=",0)</f>
        <v>#REF!</v>
      </c>
      <c r="DM2" t="e">
        <f>AND(#REF!,"AAAAAEj793Q=")</f>
        <v>#REF!</v>
      </c>
      <c r="DN2" t="e">
        <f>AND(#REF!,"AAAAAEj793U=")</f>
        <v>#REF!</v>
      </c>
      <c r="DO2" t="e">
        <f>IF(#REF!,"AAAAAEj793Y=",0)</f>
        <v>#REF!</v>
      </c>
      <c r="DP2" t="e">
        <f>AND(#REF!,"AAAAAEj793c=")</f>
        <v>#REF!</v>
      </c>
      <c r="DQ2" t="e">
        <f>AND(#REF!,"AAAAAEj793g=")</f>
        <v>#REF!</v>
      </c>
      <c r="DR2" t="e">
        <f>IF(#REF!,"AAAAAEj793k=",0)</f>
        <v>#REF!</v>
      </c>
      <c r="DS2" t="e">
        <f>AND(#REF!,"AAAAAEj793o=")</f>
        <v>#REF!</v>
      </c>
      <c r="DT2" t="e">
        <f>AND(#REF!,"AAAAAEj793s=")</f>
        <v>#REF!</v>
      </c>
      <c r="DU2" t="e">
        <f>IF(#REF!,"AAAAAEj793w=",0)</f>
        <v>#REF!</v>
      </c>
      <c r="DV2" t="e">
        <f>AND(#REF!,"AAAAAEj7930=")</f>
        <v>#REF!</v>
      </c>
      <c r="DW2" t="e">
        <f>AND(#REF!,"AAAAAEj7934=")</f>
        <v>#REF!</v>
      </c>
      <c r="DX2" t="e">
        <f>IF(#REF!,"AAAAAEj7938=",0)</f>
        <v>#REF!</v>
      </c>
      <c r="DY2" t="e">
        <f>AND(#REF!,"AAAAAEj794A=")</f>
        <v>#REF!</v>
      </c>
      <c r="DZ2" t="e">
        <f>AND(#REF!,"AAAAAEj794E=")</f>
        <v>#REF!</v>
      </c>
      <c r="EA2" t="e">
        <f>IF(#REF!,"AAAAAEj794I=",0)</f>
        <v>#REF!</v>
      </c>
      <c r="EB2" t="e">
        <f>AND(#REF!,"AAAAAEj794M=")</f>
        <v>#REF!</v>
      </c>
      <c r="EC2" t="e">
        <f>AND(#REF!,"AAAAAEj794Q=")</f>
        <v>#REF!</v>
      </c>
      <c r="ED2" t="e">
        <f>IF(#REF!,"AAAAAEj794U=",0)</f>
        <v>#REF!</v>
      </c>
      <c r="EE2" t="e">
        <f>AND(#REF!,"AAAAAEj794Y=")</f>
        <v>#REF!</v>
      </c>
      <c r="EF2" t="e">
        <f>AND(#REF!,"AAAAAEj794c=")</f>
        <v>#REF!</v>
      </c>
      <c r="EG2" t="e">
        <f>IF(#REF!,"AAAAAEj794g=",0)</f>
        <v>#REF!</v>
      </c>
      <c r="EH2" t="e">
        <f>AND(#REF!,"AAAAAEj794k=")</f>
        <v>#REF!</v>
      </c>
      <c r="EI2" t="e">
        <f>AND(#REF!,"AAAAAEj794o=")</f>
        <v>#REF!</v>
      </c>
      <c r="EJ2" t="e">
        <f>IF(#REF!,"AAAAAEj794s=",0)</f>
        <v>#REF!</v>
      </c>
      <c r="EK2" t="e">
        <f>AND(#REF!,"AAAAAEj794w=")</f>
        <v>#REF!</v>
      </c>
      <c r="EL2" t="e">
        <f>AND(#REF!,"AAAAAEj7940=")</f>
        <v>#REF!</v>
      </c>
      <c r="EM2" t="e">
        <f>IF(#REF!,"AAAAAEj7944=",0)</f>
        <v>#REF!</v>
      </c>
      <c r="EN2" t="e">
        <f>AND(#REF!,"AAAAAEj7948=")</f>
        <v>#REF!</v>
      </c>
      <c r="EO2" t="e">
        <f>AND(#REF!,"AAAAAEj795A=")</f>
        <v>#REF!</v>
      </c>
      <c r="EP2" t="e">
        <f>IF(#REF!,"AAAAAEj795E=",0)</f>
        <v>#REF!</v>
      </c>
      <c r="EQ2" t="e">
        <f>AND(#REF!,"AAAAAEj795I=")</f>
        <v>#REF!</v>
      </c>
      <c r="ER2" t="e">
        <f>AND(#REF!,"AAAAAEj795M=")</f>
        <v>#REF!</v>
      </c>
      <c r="ES2" t="e">
        <f>IF(#REF!,"AAAAAEj795Q=",0)</f>
        <v>#REF!</v>
      </c>
      <c r="ET2" t="e">
        <f>AND(#REF!,"AAAAAEj795U=")</f>
        <v>#REF!</v>
      </c>
      <c r="EU2" t="e">
        <f>AND(#REF!,"AAAAAEj795Y=")</f>
        <v>#REF!</v>
      </c>
      <c r="EV2" t="e">
        <f>IF(#REF!,"AAAAAEj795c=",0)</f>
        <v>#REF!</v>
      </c>
      <c r="EW2" t="e">
        <f>IF(#REF!,"AAAAAEj795g=",0)</f>
        <v>#REF!</v>
      </c>
      <c r="EX2" t="e">
        <f>IF(#REF!,"AAAAAEj795k=",0)</f>
        <v>#REF!</v>
      </c>
      <c r="EY2" t="e">
        <f>IF(#REF!,"AAAAAEj795o=",0)</f>
        <v>#REF!</v>
      </c>
      <c r="EZ2" t="e">
        <f>IF(#REF!,"AAAAAEj795s=",0)</f>
        <v>#REF!</v>
      </c>
      <c r="FA2" t="e">
        <f>IF(#REF!,"AAAAAEj795w=",0)</f>
        <v>#REF!</v>
      </c>
      <c r="FB2" t="e">
        <f>IF(#REF!,"AAAAAEj7950=",0)</f>
        <v>#REF!</v>
      </c>
      <c r="FC2" t="e">
        <f>AND(#REF!,"AAAAAEj7954=")</f>
        <v>#REF!</v>
      </c>
      <c r="FD2" t="e">
        <f>AND(#REF!,"AAAAAEj7958=")</f>
        <v>#REF!</v>
      </c>
      <c r="FE2" t="e">
        <f>AND(#REF!,"AAAAAEj796A=")</f>
        <v>#REF!</v>
      </c>
      <c r="FF2" t="e">
        <f>AND(#REF!,"AAAAAEj796E=")</f>
        <v>#REF!</v>
      </c>
      <c r="FG2" t="e">
        <f>AND(#REF!,"AAAAAEj796I=")</f>
        <v>#REF!</v>
      </c>
      <c r="FH2" t="e">
        <f>IF(#REF!,"AAAAAEj796M=",0)</f>
        <v>#REF!</v>
      </c>
      <c r="FI2" t="e">
        <f>AND(#REF!,"AAAAAEj796Q=")</f>
        <v>#REF!</v>
      </c>
      <c r="FJ2" t="e">
        <f>AND(#REF!,"AAAAAEj796U=")</f>
        <v>#REF!</v>
      </c>
      <c r="FK2" t="e">
        <f>AND(#REF!,"AAAAAEj796Y=")</f>
        <v>#REF!</v>
      </c>
      <c r="FL2" t="e">
        <f>AND(#REF!,"AAAAAEj796c=")</f>
        <v>#REF!</v>
      </c>
      <c r="FM2" t="e">
        <f>AND(#REF!,"AAAAAEj796g=")</f>
        <v>#REF!</v>
      </c>
      <c r="FN2" t="e">
        <f>IF(#REF!,"AAAAAEj796k=",0)</f>
        <v>#REF!</v>
      </c>
      <c r="FO2" t="e">
        <f>AND(#REF!,"AAAAAEj796o=")</f>
        <v>#REF!</v>
      </c>
      <c r="FP2" t="e">
        <f>AND(#REF!,"AAAAAEj796s=")</f>
        <v>#REF!</v>
      </c>
      <c r="FQ2" t="e">
        <f>AND(#REF!,"AAAAAEj796w=")</f>
        <v>#REF!</v>
      </c>
      <c r="FR2" t="e">
        <f>AND(#REF!,"AAAAAEj7960=")</f>
        <v>#REF!</v>
      </c>
      <c r="FS2" t="e">
        <f>AND(#REF!,"AAAAAEj7964=")</f>
        <v>#REF!</v>
      </c>
      <c r="FT2" t="e">
        <f>IF(#REF!,"AAAAAEj7968=",0)</f>
        <v>#REF!</v>
      </c>
      <c r="FU2" t="e">
        <f>AND(#REF!,"AAAAAEj797A=")</f>
        <v>#REF!</v>
      </c>
      <c r="FV2" t="e">
        <f>AND(#REF!,"AAAAAEj797E=")</f>
        <v>#REF!</v>
      </c>
      <c r="FW2" t="e">
        <f>AND(#REF!,"AAAAAEj797I=")</f>
        <v>#REF!</v>
      </c>
      <c r="FX2" t="e">
        <f>AND(#REF!,"AAAAAEj797M=")</f>
        <v>#REF!</v>
      </c>
      <c r="FY2" t="e">
        <f>AND(#REF!,"AAAAAEj797Q=")</f>
        <v>#REF!</v>
      </c>
      <c r="FZ2" t="e">
        <f>IF(#REF!,"AAAAAEj797U=",0)</f>
        <v>#REF!</v>
      </c>
      <c r="GA2" t="e">
        <f>AND(#REF!,"AAAAAEj797Y=")</f>
        <v>#REF!</v>
      </c>
      <c r="GB2" t="e">
        <f>AND(#REF!,"AAAAAEj797c=")</f>
        <v>#REF!</v>
      </c>
      <c r="GC2" t="e">
        <f>AND(#REF!,"AAAAAEj797g=")</f>
        <v>#REF!</v>
      </c>
      <c r="GD2" t="e">
        <f>AND(#REF!,"AAAAAEj797k=")</f>
        <v>#REF!</v>
      </c>
      <c r="GE2" t="e">
        <f>AND(#REF!,"AAAAAEj797o=")</f>
        <v>#REF!</v>
      </c>
      <c r="GF2" t="e">
        <f>IF(#REF!,"AAAAAEj797s=",0)</f>
        <v>#REF!</v>
      </c>
      <c r="GG2" t="e">
        <f>AND(#REF!,"AAAAAEj797w=")</f>
        <v>#REF!</v>
      </c>
      <c r="GH2" t="e">
        <f>AND(#REF!,"AAAAAEj7970=")</f>
        <v>#REF!</v>
      </c>
      <c r="GI2" t="e">
        <f>AND(#REF!,"AAAAAEj7974=")</f>
        <v>#REF!</v>
      </c>
      <c r="GJ2" t="e">
        <f>AND(#REF!,"AAAAAEj7978=")</f>
        <v>#REF!</v>
      </c>
      <c r="GK2" t="e">
        <f>AND(#REF!,"AAAAAEj798A=")</f>
        <v>#REF!</v>
      </c>
      <c r="GL2" t="e">
        <f>IF(#REF!,"AAAAAEj798E=",0)</f>
        <v>#REF!</v>
      </c>
      <c r="GM2" t="e">
        <f>AND(#REF!,"AAAAAEj798I=")</f>
        <v>#REF!</v>
      </c>
      <c r="GN2" t="e">
        <f>AND(#REF!,"AAAAAEj798M=")</f>
        <v>#REF!</v>
      </c>
      <c r="GO2" t="e">
        <f>AND(#REF!,"AAAAAEj798Q=")</f>
        <v>#REF!</v>
      </c>
      <c r="GP2" t="e">
        <f>AND(#REF!,"AAAAAEj798U=")</f>
        <v>#REF!</v>
      </c>
      <c r="GQ2" t="e">
        <f>AND(#REF!,"AAAAAEj798Y=")</f>
        <v>#REF!</v>
      </c>
      <c r="GR2" t="e">
        <f>IF(#REF!,"AAAAAEj798c=",0)</f>
        <v>#REF!</v>
      </c>
      <c r="GS2" t="e">
        <f>AND(#REF!,"AAAAAEj798g=")</f>
        <v>#REF!</v>
      </c>
      <c r="GT2" t="e">
        <f>AND(#REF!,"AAAAAEj798k=")</f>
        <v>#REF!</v>
      </c>
      <c r="GU2" t="e">
        <f>AND(#REF!,"AAAAAEj798o=")</f>
        <v>#REF!</v>
      </c>
      <c r="GV2" t="e">
        <f>AND(#REF!,"AAAAAEj798s=")</f>
        <v>#REF!</v>
      </c>
      <c r="GW2" t="e">
        <f>AND(#REF!,"AAAAAEj798w=")</f>
        <v>#REF!</v>
      </c>
      <c r="GX2" t="e">
        <f>IF(#REF!,"AAAAAEj7980=",0)</f>
        <v>#REF!</v>
      </c>
      <c r="GY2" t="e">
        <f>AND(#REF!,"AAAAAEj7984=")</f>
        <v>#REF!</v>
      </c>
      <c r="GZ2" t="e">
        <f>AND(#REF!,"AAAAAEj7988=")</f>
        <v>#REF!</v>
      </c>
      <c r="HA2" t="e">
        <f>AND(#REF!,"AAAAAEj799A=")</f>
        <v>#REF!</v>
      </c>
      <c r="HB2" t="e">
        <f>AND(#REF!,"AAAAAEj799E=")</f>
        <v>#REF!</v>
      </c>
      <c r="HC2" t="e">
        <f>AND(#REF!,"AAAAAEj799I=")</f>
        <v>#REF!</v>
      </c>
      <c r="HD2" t="e">
        <f>IF(#REF!,"AAAAAEj799M=",0)</f>
        <v>#REF!</v>
      </c>
      <c r="HE2" t="e">
        <f>AND(#REF!,"AAAAAEj799Q=")</f>
        <v>#REF!</v>
      </c>
      <c r="HF2" t="e">
        <f>AND(#REF!,"AAAAAEj799U=")</f>
        <v>#REF!</v>
      </c>
      <c r="HG2" t="e">
        <f>AND(#REF!,"AAAAAEj799Y=")</f>
        <v>#REF!</v>
      </c>
      <c r="HH2" t="e">
        <f>AND(#REF!,"AAAAAEj799c=")</f>
        <v>#REF!</v>
      </c>
      <c r="HI2" t="e">
        <f>AND(#REF!,"AAAAAEj799g=")</f>
        <v>#REF!</v>
      </c>
      <c r="HJ2" t="e">
        <f>IF(#REF!,"AAAAAEj799k=",0)</f>
        <v>#REF!</v>
      </c>
      <c r="HK2" t="e">
        <f>AND(#REF!,"AAAAAEj799o=")</f>
        <v>#REF!</v>
      </c>
      <c r="HL2" t="e">
        <f>AND(#REF!,"AAAAAEj799s=")</f>
        <v>#REF!</v>
      </c>
      <c r="HM2" t="e">
        <f>AND(#REF!,"AAAAAEj799w=")</f>
        <v>#REF!</v>
      </c>
      <c r="HN2" t="e">
        <f>AND(#REF!,"AAAAAEj7990=")</f>
        <v>#REF!</v>
      </c>
      <c r="HO2" t="e">
        <f>AND(#REF!,"AAAAAEj7994=")</f>
        <v>#REF!</v>
      </c>
      <c r="HP2" t="e">
        <f>IF(#REF!,"AAAAAEj7998=",0)</f>
        <v>#REF!</v>
      </c>
      <c r="HQ2" t="e">
        <f>AND(#REF!,"AAAAAEj79+A=")</f>
        <v>#REF!</v>
      </c>
      <c r="HR2" t="e">
        <f>AND(#REF!,"AAAAAEj79+E=")</f>
        <v>#REF!</v>
      </c>
      <c r="HS2" t="e">
        <f>AND(#REF!,"AAAAAEj79+I=")</f>
        <v>#REF!</v>
      </c>
      <c r="HT2" t="e">
        <f>AND(#REF!,"AAAAAEj79+M=")</f>
        <v>#REF!</v>
      </c>
      <c r="HU2" t="e">
        <f>AND(#REF!,"AAAAAEj79+Q=")</f>
        <v>#REF!</v>
      </c>
      <c r="HV2" t="e">
        <f>IF(#REF!,"AAAAAEj79+U=",0)</f>
        <v>#REF!</v>
      </c>
      <c r="HW2" t="e">
        <f>AND(#REF!,"AAAAAEj79+Y=")</f>
        <v>#REF!</v>
      </c>
      <c r="HX2" t="e">
        <f>AND(#REF!,"AAAAAEj79+c=")</f>
        <v>#REF!</v>
      </c>
      <c r="HY2" t="e">
        <f>AND(#REF!,"AAAAAEj79+g=")</f>
        <v>#REF!</v>
      </c>
      <c r="HZ2" t="e">
        <f>AND(#REF!,"AAAAAEj79+k=")</f>
        <v>#REF!</v>
      </c>
      <c r="IA2" t="e">
        <f>AND(#REF!,"AAAAAEj79+o=")</f>
        <v>#REF!</v>
      </c>
      <c r="IB2" t="e">
        <f>IF(#REF!,"AAAAAEj79+s=",0)</f>
        <v>#REF!</v>
      </c>
      <c r="IC2" t="e">
        <f>AND(#REF!,"AAAAAEj79+w=")</f>
        <v>#REF!</v>
      </c>
      <c r="ID2" t="e">
        <f>AND(#REF!,"AAAAAEj79+0=")</f>
        <v>#REF!</v>
      </c>
      <c r="IE2" t="e">
        <f>AND(#REF!,"AAAAAEj79+4=")</f>
        <v>#REF!</v>
      </c>
      <c r="IF2" t="e">
        <f>AND(#REF!,"AAAAAEj79+8=")</f>
        <v>#REF!</v>
      </c>
      <c r="IG2" t="e">
        <f>AND(#REF!,"AAAAAEj79/A=")</f>
        <v>#REF!</v>
      </c>
      <c r="IH2" t="e">
        <f>IF(#REF!,"AAAAAEj79/E=",0)</f>
        <v>#REF!</v>
      </c>
      <c r="II2" t="e">
        <f>AND(#REF!,"AAAAAEj79/I=")</f>
        <v>#REF!</v>
      </c>
      <c r="IJ2" t="e">
        <f>AND(#REF!,"AAAAAEj79/M=")</f>
        <v>#REF!</v>
      </c>
      <c r="IK2" t="e">
        <f>AND(#REF!,"AAAAAEj79/Q=")</f>
        <v>#REF!</v>
      </c>
      <c r="IL2" t="e">
        <f>AND(#REF!,"AAAAAEj79/U=")</f>
        <v>#REF!</v>
      </c>
      <c r="IM2" t="e">
        <f>AND(#REF!,"AAAAAEj79/Y=")</f>
        <v>#REF!</v>
      </c>
      <c r="IN2" t="e">
        <f>IF(#REF!,"AAAAAEj79/c=",0)</f>
        <v>#REF!</v>
      </c>
      <c r="IO2" t="e">
        <f>AND(#REF!,"AAAAAEj79/g=")</f>
        <v>#REF!</v>
      </c>
      <c r="IP2" t="e">
        <f>AND(#REF!,"AAAAAEj79/k=")</f>
        <v>#REF!</v>
      </c>
      <c r="IQ2" t="e">
        <f>AND(#REF!,"AAAAAEj79/o=")</f>
        <v>#REF!</v>
      </c>
      <c r="IR2" t="e">
        <f>AND(#REF!,"AAAAAEj79/s=")</f>
        <v>#REF!</v>
      </c>
      <c r="IS2" t="e">
        <f>AND(#REF!,"AAAAAEj79/w=")</f>
        <v>#REF!</v>
      </c>
      <c r="IT2" t="e">
        <f>IF(#REF!,"AAAAAEj79/0=",0)</f>
        <v>#REF!</v>
      </c>
      <c r="IU2" t="e">
        <f>AND(#REF!,"AAAAAEj79/4=")</f>
        <v>#REF!</v>
      </c>
      <c r="IV2" t="e">
        <f>AND(#REF!,"AAAAAEj79/8=")</f>
        <v>#REF!</v>
      </c>
    </row>
    <row r="3" spans="1:256">
      <c r="A3" t="e">
        <f>AND(#REF!,"AAAAAH/X7wA=")</f>
        <v>#REF!</v>
      </c>
      <c r="B3" t="e">
        <f>AND(#REF!,"AAAAAH/X7wE=")</f>
        <v>#REF!</v>
      </c>
      <c r="C3" t="e">
        <f>AND(#REF!,"AAAAAH/X7wI=")</f>
        <v>#REF!</v>
      </c>
      <c r="D3" t="e">
        <f>IF(#REF!,"AAAAAH/X7wM=",0)</f>
        <v>#REF!</v>
      </c>
      <c r="E3" t="e">
        <f>AND(#REF!,"AAAAAH/X7wQ=")</f>
        <v>#REF!</v>
      </c>
      <c r="F3" t="e">
        <f>AND(#REF!,"AAAAAH/X7wU=")</f>
        <v>#REF!</v>
      </c>
      <c r="G3" t="e">
        <f>AND(#REF!,"AAAAAH/X7wY=")</f>
        <v>#REF!</v>
      </c>
      <c r="H3" t="e">
        <f>AND(#REF!,"AAAAAH/X7wc=")</f>
        <v>#REF!</v>
      </c>
      <c r="I3" t="e">
        <f>AND(#REF!,"AAAAAH/X7wg=")</f>
        <v>#REF!</v>
      </c>
      <c r="J3" t="e">
        <f>IF(#REF!,"AAAAAH/X7wk=",0)</f>
        <v>#REF!</v>
      </c>
      <c r="K3" t="e">
        <f>AND(#REF!,"AAAAAH/X7wo=")</f>
        <v>#REF!</v>
      </c>
      <c r="L3" t="e">
        <f>AND(#REF!,"AAAAAH/X7ws=")</f>
        <v>#REF!</v>
      </c>
      <c r="M3" t="e">
        <f>AND(#REF!,"AAAAAH/X7ww=")</f>
        <v>#REF!</v>
      </c>
      <c r="N3" t="e">
        <f>AND(#REF!,"AAAAAH/X7w0=")</f>
        <v>#REF!</v>
      </c>
      <c r="O3" t="e">
        <f>AND(#REF!,"AAAAAH/X7w4=")</f>
        <v>#REF!</v>
      </c>
      <c r="P3" t="e">
        <f>IF(#REF!,"AAAAAH/X7w8=",0)</f>
        <v>#REF!</v>
      </c>
      <c r="Q3" t="e">
        <f>AND(#REF!,"AAAAAH/X7xA=")</f>
        <v>#REF!</v>
      </c>
      <c r="R3" t="e">
        <f>AND(#REF!,"AAAAAH/X7xE=")</f>
        <v>#REF!</v>
      </c>
      <c r="S3" t="e">
        <f>AND(#REF!,"AAAAAH/X7xI=")</f>
        <v>#REF!</v>
      </c>
      <c r="T3" t="e">
        <f>AND(#REF!,"AAAAAH/X7xM=")</f>
        <v>#REF!</v>
      </c>
      <c r="U3" t="e">
        <f>AND(#REF!,"AAAAAH/X7xQ=")</f>
        <v>#REF!</v>
      </c>
      <c r="V3" t="e">
        <f>IF(#REF!,"AAAAAH/X7xU=",0)</f>
        <v>#REF!</v>
      </c>
      <c r="W3" t="e">
        <f>AND(#REF!,"AAAAAH/X7xY=")</f>
        <v>#REF!</v>
      </c>
      <c r="X3" t="e">
        <f>AND(#REF!,"AAAAAH/X7xc=")</f>
        <v>#REF!</v>
      </c>
      <c r="Y3" t="e">
        <f>AND(#REF!,"AAAAAH/X7xg=")</f>
        <v>#REF!</v>
      </c>
      <c r="Z3" t="e">
        <f>AND(#REF!,"AAAAAH/X7xk=")</f>
        <v>#REF!</v>
      </c>
      <c r="AA3" t="e">
        <f>AND(#REF!,"AAAAAH/X7xo=")</f>
        <v>#REF!</v>
      </c>
      <c r="AB3" t="e">
        <f>IF(#REF!,"AAAAAH/X7xs=",0)</f>
        <v>#REF!</v>
      </c>
      <c r="AC3" t="e">
        <f>AND(#REF!,"AAAAAH/X7xw=")</f>
        <v>#REF!</v>
      </c>
      <c r="AD3" t="e">
        <f>AND(#REF!,"AAAAAH/X7x0=")</f>
        <v>#REF!</v>
      </c>
      <c r="AE3" t="e">
        <f>AND(#REF!,"AAAAAH/X7x4=")</f>
        <v>#REF!</v>
      </c>
      <c r="AF3" t="e">
        <f>AND(#REF!,"AAAAAH/X7x8=")</f>
        <v>#REF!</v>
      </c>
      <c r="AG3" t="e">
        <f>AND(#REF!,"AAAAAH/X7yA=")</f>
        <v>#REF!</v>
      </c>
      <c r="AH3" t="e">
        <f>IF(#REF!,"AAAAAH/X7yE=",0)</f>
        <v>#REF!</v>
      </c>
      <c r="AI3" t="e">
        <f>AND(#REF!,"AAAAAH/X7yI=")</f>
        <v>#REF!</v>
      </c>
      <c r="AJ3" t="e">
        <f>AND(#REF!,"AAAAAH/X7yM=")</f>
        <v>#REF!</v>
      </c>
      <c r="AK3" t="e">
        <f>AND(#REF!,"AAAAAH/X7yQ=")</f>
        <v>#REF!</v>
      </c>
      <c r="AL3" t="e">
        <f>AND(#REF!,"AAAAAH/X7yU=")</f>
        <v>#REF!</v>
      </c>
      <c r="AM3" t="e">
        <f>AND(#REF!,"AAAAAH/X7yY=")</f>
        <v>#REF!</v>
      </c>
      <c r="AN3" t="e">
        <f>IF(#REF!,"AAAAAH/X7yc=",0)</f>
        <v>#REF!</v>
      </c>
      <c r="AO3" t="e">
        <f>AND(#REF!,"AAAAAH/X7yg=")</f>
        <v>#REF!</v>
      </c>
      <c r="AP3" t="e">
        <f>AND(#REF!,"AAAAAH/X7yk=")</f>
        <v>#REF!</v>
      </c>
      <c r="AQ3" t="e">
        <f>AND(#REF!,"AAAAAH/X7yo=")</f>
        <v>#REF!</v>
      </c>
      <c r="AR3" t="e">
        <f>AND(#REF!,"AAAAAH/X7ys=")</f>
        <v>#REF!</v>
      </c>
      <c r="AS3" t="e">
        <f>AND(#REF!,"AAAAAH/X7yw=")</f>
        <v>#REF!</v>
      </c>
      <c r="AT3" t="e">
        <f>IF(#REF!,"AAAAAH/X7y0=",0)</f>
        <v>#REF!</v>
      </c>
      <c r="AU3" t="e">
        <f>AND(#REF!,"AAAAAH/X7y4=")</f>
        <v>#REF!</v>
      </c>
      <c r="AV3" t="e">
        <f>AND(#REF!,"AAAAAH/X7y8=")</f>
        <v>#REF!</v>
      </c>
      <c r="AW3" t="e">
        <f>AND(#REF!,"AAAAAH/X7zA=")</f>
        <v>#REF!</v>
      </c>
      <c r="AX3" t="e">
        <f>AND(#REF!,"AAAAAH/X7zE=")</f>
        <v>#REF!</v>
      </c>
      <c r="AY3" t="e">
        <f>AND(#REF!,"AAAAAH/X7zI=")</f>
        <v>#REF!</v>
      </c>
      <c r="AZ3" t="e">
        <f>IF(#REF!,"AAAAAH/X7zM=",0)</f>
        <v>#REF!</v>
      </c>
      <c r="BA3" t="e">
        <f>AND(#REF!,"AAAAAH/X7zQ=")</f>
        <v>#REF!</v>
      </c>
      <c r="BB3" t="e">
        <f>AND(#REF!,"AAAAAH/X7zU=")</f>
        <v>#REF!</v>
      </c>
      <c r="BC3" t="e">
        <f>AND(#REF!,"AAAAAH/X7zY=")</f>
        <v>#REF!</v>
      </c>
      <c r="BD3" t="e">
        <f>AND(#REF!,"AAAAAH/X7zc=")</f>
        <v>#REF!</v>
      </c>
      <c r="BE3" t="e">
        <f>AND(#REF!,"AAAAAH/X7zg=")</f>
        <v>#REF!</v>
      </c>
      <c r="BF3" t="e">
        <f>IF(#REF!,"AAAAAH/X7zk=",0)</f>
        <v>#REF!</v>
      </c>
      <c r="BG3" t="e">
        <f>AND(#REF!,"AAAAAH/X7zo=")</f>
        <v>#REF!</v>
      </c>
      <c r="BH3" t="e">
        <f>AND(#REF!,"AAAAAH/X7zs=")</f>
        <v>#REF!</v>
      </c>
      <c r="BI3" t="e">
        <f>AND(#REF!,"AAAAAH/X7zw=")</f>
        <v>#REF!</v>
      </c>
      <c r="BJ3" t="e">
        <f>AND(#REF!,"AAAAAH/X7z0=")</f>
        <v>#REF!</v>
      </c>
      <c r="BK3" t="e">
        <f>AND(#REF!,"AAAAAH/X7z4=")</f>
        <v>#REF!</v>
      </c>
      <c r="BL3" t="e">
        <f>IF(#REF!,"AAAAAH/X7z8=",0)</f>
        <v>#REF!</v>
      </c>
      <c r="BM3" t="e">
        <f>AND(#REF!,"AAAAAH/X70A=")</f>
        <v>#REF!</v>
      </c>
      <c r="BN3" t="e">
        <f>AND(#REF!,"AAAAAH/X70E=")</f>
        <v>#REF!</v>
      </c>
      <c r="BO3" t="e">
        <f>AND(#REF!,"AAAAAH/X70I=")</f>
        <v>#REF!</v>
      </c>
      <c r="BP3" t="e">
        <f>AND(#REF!,"AAAAAH/X70M=")</f>
        <v>#REF!</v>
      </c>
      <c r="BQ3" t="e">
        <f>AND(#REF!,"AAAAAH/X70Q=")</f>
        <v>#REF!</v>
      </c>
      <c r="BR3" t="e">
        <f>IF(#REF!,"AAAAAH/X70U=",0)</f>
        <v>#REF!</v>
      </c>
      <c r="BS3" t="e">
        <f>AND(#REF!,"AAAAAH/X70Y=")</f>
        <v>#REF!</v>
      </c>
      <c r="BT3" t="e">
        <f>AND(#REF!,"AAAAAH/X70c=")</f>
        <v>#REF!</v>
      </c>
      <c r="BU3" t="e">
        <f>AND(#REF!,"AAAAAH/X70g=")</f>
        <v>#REF!</v>
      </c>
      <c r="BV3" t="e">
        <f>AND(#REF!,"AAAAAH/X70k=")</f>
        <v>#REF!</v>
      </c>
      <c r="BW3" t="e">
        <f>AND(#REF!,"AAAAAH/X70o=")</f>
        <v>#REF!</v>
      </c>
      <c r="BX3" t="e">
        <f>IF(#REF!,"AAAAAH/X70s=",0)</f>
        <v>#REF!</v>
      </c>
      <c r="BY3" t="e">
        <f>AND(#REF!,"AAAAAH/X70w=")</f>
        <v>#REF!</v>
      </c>
      <c r="BZ3" t="e">
        <f>AND(#REF!,"AAAAAH/X700=")</f>
        <v>#REF!</v>
      </c>
      <c r="CA3" t="e">
        <f>AND(#REF!,"AAAAAH/X704=")</f>
        <v>#REF!</v>
      </c>
      <c r="CB3" t="e">
        <f>AND(#REF!,"AAAAAH/X708=")</f>
        <v>#REF!</v>
      </c>
      <c r="CC3" t="e">
        <f>AND(#REF!,"AAAAAH/X71A=")</f>
        <v>#REF!</v>
      </c>
      <c r="CD3" t="e">
        <f>IF(#REF!,"AAAAAH/X71E=",0)</f>
        <v>#REF!</v>
      </c>
      <c r="CE3" t="e">
        <f>AND(#REF!,"AAAAAH/X71I=")</f>
        <v>#REF!</v>
      </c>
      <c r="CF3" t="e">
        <f>AND(#REF!,"AAAAAH/X71M=")</f>
        <v>#REF!</v>
      </c>
      <c r="CG3" t="e">
        <f>AND(#REF!,"AAAAAH/X71Q=")</f>
        <v>#REF!</v>
      </c>
      <c r="CH3" t="e">
        <f>AND(#REF!,"AAAAAH/X71U=")</f>
        <v>#REF!</v>
      </c>
      <c r="CI3" t="e">
        <f>AND(#REF!,"AAAAAH/X71Y=")</f>
        <v>#REF!</v>
      </c>
      <c r="CJ3" t="e">
        <f>IF(#REF!,"AAAAAH/X71c=",0)</f>
        <v>#REF!</v>
      </c>
      <c r="CK3" t="e">
        <f>AND(#REF!,"AAAAAH/X71g=")</f>
        <v>#REF!</v>
      </c>
      <c r="CL3" t="e">
        <f>AND(#REF!,"AAAAAH/X71k=")</f>
        <v>#REF!</v>
      </c>
      <c r="CM3" t="e">
        <f>AND(#REF!,"AAAAAH/X71o=")</f>
        <v>#REF!</v>
      </c>
      <c r="CN3" t="e">
        <f>AND(#REF!,"AAAAAH/X71s=")</f>
        <v>#REF!</v>
      </c>
      <c r="CO3" t="e">
        <f>AND(#REF!,"AAAAAH/X71w=")</f>
        <v>#REF!</v>
      </c>
      <c r="CP3" t="e">
        <f>IF(#REF!,"AAAAAH/X710=",0)</f>
        <v>#REF!</v>
      </c>
      <c r="CQ3" t="e">
        <f>AND(#REF!,"AAAAAH/X714=")</f>
        <v>#REF!</v>
      </c>
      <c r="CR3" t="e">
        <f>AND(#REF!,"AAAAAH/X718=")</f>
        <v>#REF!</v>
      </c>
      <c r="CS3" t="e">
        <f>AND(#REF!,"AAAAAH/X72A=")</f>
        <v>#REF!</v>
      </c>
      <c r="CT3" t="e">
        <f>AND(#REF!,"AAAAAH/X72E=")</f>
        <v>#REF!</v>
      </c>
      <c r="CU3" t="e">
        <f>AND(#REF!,"AAAAAH/X72I=")</f>
        <v>#REF!</v>
      </c>
      <c r="CV3" t="e">
        <f>IF(#REF!,"AAAAAH/X72M=",0)</f>
        <v>#REF!</v>
      </c>
      <c r="CW3" t="e">
        <f>AND(#REF!,"AAAAAH/X72Q=")</f>
        <v>#REF!</v>
      </c>
      <c r="CX3" t="e">
        <f>AND(#REF!,"AAAAAH/X72U=")</f>
        <v>#REF!</v>
      </c>
      <c r="CY3" t="e">
        <f>AND(#REF!,"AAAAAH/X72Y=")</f>
        <v>#REF!</v>
      </c>
      <c r="CZ3" t="e">
        <f>AND(#REF!,"AAAAAH/X72c=")</f>
        <v>#REF!</v>
      </c>
      <c r="DA3" t="e">
        <f>AND(#REF!,"AAAAAH/X72g=")</f>
        <v>#REF!</v>
      </c>
      <c r="DB3" t="e">
        <f>IF(#REF!,"AAAAAH/X72k=",0)</f>
        <v>#REF!</v>
      </c>
      <c r="DC3" t="e">
        <f>AND(#REF!,"AAAAAH/X72o=")</f>
        <v>#REF!</v>
      </c>
      <c r="DD3" t="e">
        <f>AND(#REF!,"AAAAAH/X72s=")</f>
        <v>#REF!</v>
      </c>
      <c r="DE3" t="e">
        <f>AND(#REF!,"AAAAAH/X72w=")</f>
        <v>#REF!</v>
      </c>
      <c r="DF3" t="e">
        <f>AND(#REF!,"AAAAAH/X720=")</f>
        <v>#REF!</v>
      </c>
      <c r="DG3" t="e">
        <f>AND(#REF!,"AAAAAH/X724=")</f>
        <v>#REF!</v>
      </c>
      <c r="DH3" t="e">
        <f>IF(#REF!,"AAAAAH/X728=",0)</f>
        <v>#REF!</v>
      </c>
      <c r="DI3" t="e">
        <f>AND(#REF!,"AAAAAH/X73A=")</f>
        <v>#REF!</v>
      </c>
      <c r="DJ3" t="e">
        <f>AND(#REF!,"AAAAAH/X73E=")</f>
        <v>#REF!</v>
      </c>
      <c r="DK3" t="e">
        <f>AND(#REF!,"AAAAAH/X73I=")</f>
        <v>#REF!</v>
      </c>
      <c r="DL3" t="e">
        <f>AND(#REF!,"AAAAAH/X73M=")</f>
        <v>#REF!</v>
      </c>
      <c r="DM3" t="e">
        <f>AND(#REF!,"AAAAAH/X73Q=")</f>
        <v>#REF!</v>
      </c>
      <c r="DN3" t="e">
        <f>IF(#REF!,"AAAAAH/X73U=",0)</f>
        <v>#REF!</v>
      </c>
      <c r="DO3" t="e">
        <f>AND(#REF!,"AAAAAH/X73Y=")</f>
        <v>#REF!</v>
      </c>
      <c r="DP3" t="e">
        <f>AND(#REF!,"AAAAAH/X73c=")</f>
        <v>#REF!</v>
      </c>
      <c r="DQ3" t="e">
        <f>AND(#REF!,"AAAAAH/X73g=")</f>
        <v>#REF!</v>
      </c>
      <c r="DR3" t="e">
        <f>AND(#REF!,"AAAAAH/X73k=")</f>
        <v>#REF!</v>
      </c>
      <c r="DS3" t="e">
        <f>AND(#REF!,"AAAAAH/X73o=")</f>
        <v>#REF!</v>
      </c>
      <c r="DT3" t="e">
        <f>IF(#REF!,"AAAAAH/X73s=",0)</f>
        <v>#REF!</v>
      </c>
      <c r="DU3" t="e">
        <f>AND(#REF!,"AAAAAH/X73w=")</f>
        <v>#REF!</v>
      </c>
      <c r="DV3" t="e">
        <f>AND(#REF!,"AAAAAH/X730=")</f>
        <v>#REF!</v>
      </c>
      <c r="DW3" t="e">
        <f>AND(#REF!,"AAAAAH/X734=")</f>
        <v>#REF!</v>
      </c>
      <c r="DX3" t="e">
        <f>AND(#REF!,"AAAAAH/X738=")</f>
        <v>#REF!</v>
      </c>
      <c r="DY3" t="e">
        <f>AND(#REF!,"AAAAAH/X74A=")</f>
        <v>#REF!</v>
      </c>
      <c r="DZ3" t="e">
        <f>IF(#REF!,"AAAAAH/X74E=",0)</f>
        <v>#REF!</v>
      </c>
      <c r="EA3" t="e">
        <f>AND(#REF!,"AAAAAH/X74I=")</f>
        <v>#REF!</v>
      </c>
      <c r="EB3" t="e">
        <f>AND(#REF!,"AAAAAH/X74M=")</f>
        <v>#REF!</v>
      </c>
      <c r="EC3" t="e">
        <f>AND(#REF!,"AAAAAH/X74Q=")</f>
        <v>#REF!</v>
      </c>
      <c r="ED3" t="e">
        <f>AND(#REF!,"AAAAAH/X74U=")</f>
        <v>#REF!</v>
      </c>
      <c r="EE3" t="e">
        <f>AND(#REF!,"AAAAAH/X74Y=")</f>
        <v>#REF!</v>
      </c>
      <c r="EF3" t="e">
        <f>IF(#REF!,"AAAAAH/X74c=",0)</f>
        <v>#REF!</v>
      </c>
      <c r="EG3" t="e">
        <f>AND(#REF!,"AAAAAH/X74g=")</f>
        <v>#REF!</v>
      </c>
      <c r="EH3" t="e">
        <f>AND(#REF!,"AAAAAH/X74k=")</f>
        <v>#REF!</v>
      </c>
      <c r="EI3" t="e">
        <f>AND(#REF!,"AAAAAH/X74o=")</f>
        <v>#REF!</v>
      </c>
      <c r="EJ3" t="e">
        <f>AND(#REF!,"AAAAAH/X74s=")</f>
        <v>#REF!</v>
      </c>
      <c r="EK3" t="e">
        <f>AND(#REF!,"AAAAAH/X74w=")</f>
        <v>#REF!</v>
      </c>
      <c r="EL3" t="e">
        <f>IF(#REF!,"AAAAAH/X740=",0)</f>
        <v>#REF!</v>
      </c>
      <c r="EM3" t="e">
        <f>AND(#REF!,"AAAAAH/X744=")</f>
        <v>#REF!</v>
      </c>
      <c r="EN3" t="e">
        <f>AND(#REF!,"AAAAAH/X748=")</f>
        <v>#REF!</v>
      </c>
      <c r="EO3" t="e">
        <f>AND(#REF!,"AAAAAH/X75A=")</f>
        <v>#REF!</v>
      </c>
      <c r="EP3" t="e">
        <f>AND(#REF!,"AAAAAH/X75E=")</f>
        <v>#REF!</v>
      </c>
      <c r="EQ3" t="e">
        <f>AND(#REF!,"AAAAAH/X75I=")</f>
        <v>#REF!</v>
      </c>
      <c r="ER3" t="e">
        <f>IF(#REF!,"AAAAAH/X75M=",0)</f>
        <v>#REF!</v>
      </c>
      <c r="ES3" t="e">
        <f>AND(#REF!,"AAAAAH/X75Q=")</f>
        <v>#REF!</v>
      </c>
      <c r="ET3" t="e">
        <f>AND(#REF!,"AAAAAH/X75U=")</f>
        <v>#REF!</v>
      </c>
      <c r="EU3" t="e">
        <f>AND(#REF!,"AAAAAH/X75Y=")</f>
        <v>#REF!</v>
      </c>
      <c r="EV3" t="e">
        <f>AND(#REF!,"AAAAAH/X75c=")</f>
        <v>#REF!</v>
      </c>
      <c r="EW3" t="e">
        <f>AND(#REF!,"AAAAAH/X75g=")</f>
        <v>#REF!</v>
      </c>
      <c r="EX3" t="e">
        <f>IF(#REF!,"AAAAAH/X75k=",0)</f>
        <v>#REF!</v>
      </c>
      <c r="EY3" t="e">
        <f>AND(#REF!,"AAAAAH/X75o=")</f>
        <v>#REF!</v>
      </c>
      <c r="EZ3" t="e">
        <f>AND(#REF!,"AAAAAH/X75s=")</f>
        <v>#REF!</v>
      </c>
      <c r="FA3" t="e">
        <f>AND(#REF!,"AAAAAH/X75w=")</f>
        <v>#REF!</v>
      </c>
      <c r="FB3" t="e">
        <f>AND(#REF!,"AAAAAH/X750=")</f>
        <v>#REF!</v>
      </c>
      <c r="FC3" t="e">
        <f>AND(#REF!,"AAAAAH/X754=")</f>
        <v>#REF!</v>
      </c>
      <c r="FD3" t="e">
        <f>IF(#REF!,"AAAAAH/X758=",0)</f>
        <v>#REF!</v>
      </c>
      <c r="FE3" t="e">
        <f>AND(#REF!,"AAAAAH/X76A=")</f>
        <v>#REF!</v>
      </c>
      <c r="FF3" t="e">
        <f>AND(#REF!,"AAAAAH/X76E=")</f>
        <v>#REF!</v>
      </c>
      <c r="FG3" t="e">
        <f>AND(#REF!,"AAAAAH/X76I=")</f>
        <v>#REF!</v>
      </c>
      <c r="FH3" t="e">
        <f>AND(#REF!,"AAAAAH/X76M=")</f>
        <v>#REF!</v>
      </c>
      <c r="FI3" t="e">
        <f>AND(#REF!,"AAAAAH/X76Q=")</f>
        <v>#REF!</v>
      </c>
      <c r="FJ3" t="e">
        <f>IF(#REF!,"AAAAAH/X76U=",0)</f>
        <v>#REF!</v>
      </c>
      <c r="FK3" t="e">
        <f>AND(#REF!,"AAAAAH/X76Y=")</f>
        <v>#REF!</v>
      </c>
      <c r="FL3" t="e">
        <f>AND(#REF!,"AAAAAH/X76c=")</f>
        <v>#REF!</v>
      </c>
      <c r="FM3" t="e">
        <f>AND(#REF!,"AAAAAH/X76g=")</f>
        <v>#REF!</v>
      </c>
      <c r="FN3" t="e">
        <f>AND(#REF!,"AAAAAH/X76k=")</f>
        <v>#REF!</v>
      </c>
      <c r="FO3" t="e">
        <f>AND(#REF!,"AAAAAH/X76o=")</f>
        <v>#REF!</v>
      </c>
      <c r="FP3" t="e">
        <f>IF(#REF!,"AAAAAH/X76s=",0)</f>
        <v>#REF!</v>
      </c>
      <c r="FQ3" t="e">
        <f>AND(#REF!,"AAAAAH/X76w=")</f>
        <v>#REF!</v>
      </c>
      <c r="FR3" t="e">
        <f>AND(#REF!,"AAAAAH/X760=")</f>
        <v>#REF!</v>
      </c>
      <c r="FS3" t="e">
        <f>AND(#REF!,"AAAAAH/X764=")</f>
        <v>#REF!</v>
      </c>
      <c r="FT3" t="e">
        <f>AND(#REF!,"AAAAAH/X768=")</f>
        <v>#REF!</v>
      </c>
      <c r="FU3" t="e">
        <f>AND(#REF!,"AAAAAH/X77A=")</f>
        <v>#REF!</v>
      </c>
      <c r="FV3" t="e">
        <f>IF(#REF!,"AAAAAH/X77E=",0)</f>
        <v>#REF!</v>
      </c>
      <c r="FW3" t="e">
        <f>AND(#REF!,"AAAAAH/X77I=")</f>
        <v>#REF!</v>
      </c>
      <c r="FX3" t="e">
        <f>AND(#REF!,"AAAAAH/X77M=")</f>
        <v>#REF!</v>
      </c>
      <c r="FY3" t="e">
        <f>AND(#REF!,"AAAAAH/X77Q=")</f>
        <v>#REF!</v>
      </c>
      <c r="FZ3" t="e">
        <f>AND(#REF!,"AAAAAH/X77U=")</f>
        <v>#REF!</v>
      </c>
      <c r="GA3" t="e">
        <f>AND(#REF!,"AAAAAH/X77Y=")</f>
        <v>#REF!</v>
      </c>
      <c r="GB3" t="e">
        <f>IF(#REF!,"AAAAAH/X77c=",0)</f>
        <v>#REF!</v>
      </c>
      <c r="GC3" t="e">
        <f>AND(#REF!,"AAAAAH/X77g=")</f>
        <v>#REF!</v>
      </c>
      <c r="GD3" t="e">
        <f>AND(#REF!,"AAAAAH/X77k=")</f>
        <v>#REF!</v>
      </c>
      <c r="GE3" t="e">
        <f>AND(#REF!,"AAAAAH/X77o=")</f>
        <v>#REF!</v>
      </c>
      <c r="GF3" t="e">
        <f>AND(#REF!,"AAAAAH/X77s=")</f>
        <v>#REF!</v>
      </c>
      <c r="GG3" t="e">
        <f>AND(#REF!,"AAAAAH/X77w=")</f>
        <v>#REF!</v>
      </c>
      <c r="GH3" t="e">
        <f>IF(#REF!,"AAAAAH/X770=",0)</f>
        <v>#REF!</v>
      </c>
      <c r="GI3" t="e">
        <f>AND(#REF!,"AAAAAH/X774=")</f>
        <v>#REF!</v>
      </c>
      <c r="GJ3" t="e">
        <f>AND(#REF!,"AAAAAH/X778=")</f>
        <v>#REF!</v>
      </c>
      <c r="GK3" t="e">
        <f>AND(#REF!,"AAAAAH/X78A=")</f>
        <v>#REF!</v>
      </c>
      <c r="GL3" t="e">
        <f>AND(#REF!,"AAAAAH/X78E=")</f>
        <v>#REF!</v>
      </c>
      <c r="GM3" t="e">
        <f>AND(#REF!,"AAAAAH/X78I=")</f>
        <v>#REF!</v>
      </c>
      <c r="GN3" t="e">
        <f>IF(#REF!,"AAAAAH/X78M=",0)</f>
        <v>#REF!</v>
      </c>
      <c r="GO3" t="e">
        <f>AND(#REF!,"AAAAAH/X78Q=")</f>
        <v>#REF!</v>
      </c>
      <c r="GP3" t="e">
        <f>AND(#REF!,"AAAAAH/X78U=")</f>
        <v>#REF!</v>
      </c>
      <c r="GQ3" t="e">
        <f>AND(#REF!,"AAAAAH/X78Y=")</f>
        <v>#REF!</v>
      </c>
      <c r="GR3" t="e">
        <f>AND(#REF!,"AAAAAH/X78c=")</f>
        <v>#REF!</v>
      </c>
      <c r="GS3" t="e">
        <f>AND(#REF!,"AAAAAH/X78g=")</f>
        <v>#REF!</v>
      </c>
      <c r="GT3" t="e">
        <f>IF(#REF!,"AAAAAH/X78k=",0)</f>
        <v>#REF!</v>
      </c>
      <c r="GU3" t="e">
        <f>AND(#REF!,"AAAAAH/X78o=")</f>
        <v>#REF!</v>
      </c>
      <c r="GV3" t="e">
        <f>AND(#REF!,"AAAAAH/X78s=")</f>
        <v>#REF!</v>
      </c>
      <c r="GW3" t="e">
        <f>AND(#REF!,"AAAAAH/X78w=")</f>
        <v>#REF!</v>
      </c>
      <c r="GX3" t="e">
        <f>AND(#REF!,"AAAAAH/X780=")</f>
        <v>#REF!</v>
      </c>
      <c r="GY3" t="e">
        <f>AND(#REF!,"AAAAAH/X784=")</f>
        <v>#REF!</v>
      </c>
      <c r="GZ3" t="e">
        <f>IF(#REF!,"AAAAAH/X788=",0)</f>
        <v>#REF!</v>
      </c>
      <c r="HA3" t="e">
        <f>AND(#REF!,"AAAAAH/X79A=")</f>
        <v>#REF!</v>
      </c>
      <c r="HB3" t="e">
        <f>AND(#REF!,"AAAAAH/X79E=")</f>
        <v>#REF!</v>
      </c>
      <c r="HC3" t="e">
        <f>AND(#REF!,"AAAAAH/X79I=")</f>
        <v>#REF!</v>
      </c>
      <c r="HD3" t="e">
        <f>AND(#REF!,"AAAAAH/X79M=")</f>
        <v>#REF!</v>
      </c>
      <c r="HE3" t="e">
        <f>AND(#REF!,"AAAAAH/X79Q=")</f>
        <v>#REF!</v>
      </c>
      <c r="HF3" t="e">
        <f>IF(#REF!,"AAAAAH/X79U=",0)</f>
        <v>#REF!</v>
      </c>
      <c r="HG3" t="e">
        <f>AND(#REF!,"AAAAAH/X79Y=")</f>
        <v>#REF!</v>
      </c>
      <c r="HH3" t="e">
        <f>AND(#REF!,"AAAAAH/X79c=")</f>
        <v>#REF!</v>
      </c>
      <c r="HI3" t="e">
        <f>AND(#REF!,"AAAAAH/X79g=")</f>
        <v>#REF!</v>
      </c>
      <c r="HJ3" t="e">
        <f>AND(#REF!,"AAAAAH/X79k=")</f>
        <v>#REF!</v>
      </c>
      <c r="HK3" t="e">
        <f>AND(#REF!,"AAAAAH/X79o=")</f>
        <v>#REF!</v>
      </c>
      <c r="HL3" t="e">
        <f>IF(#REF!,"AAAAAH/X79s=",0)</f>
        <v>#REF!</v>
      </c>
      <c r="HM3" t="e">
        <f>AND(#REF!,"AAAAAH/X79w=")</f>
        <v>#REF!</v>
      </c>
      <c r="HN3" t="e">
        <f>AND(#REF!,"AAAAAH/X790=")</f>
        <v>#REF!</v>
      </c>
      <c r="HO3" t="e">
        <f>AND(#REF!,"AAAAAH/X794=")</f>
        <v>#REF!</v>
      </c>
      <c r="HP3" t="e">
        <f>AND(#REF!,"AAAAAH/X798=")</f>
        <v>#REF!</v>
      </c>
      <c r="HQ3" t="e">
        <f>AND(#REF!,"AAAAAH/X7+A=")</f>
        <v>#REF!</v>
      </c>
      <c r="HR3" t="e">
        <f>IF(#REF!,"AAAAAH/X7+E=",0)</f>
        <v>#REF!</v>
      </c>
      <c r="HS3" t="e">
        <f>AND(#REF!,"AAAAAH/X7+I=")</f>
        <v>#REF!</v>
      </c>
      <c r="HT3" t="e">
        <f>AND(#REF!,"AAAAAH/X7+M=")</f>
        <v>#REF!</v>
      </c>
      <c r="HU3" t="e">
        <f>AND(#REF!,"AAAAAH/X7+Q=")</f>
        <v>#REF!</v>
      </c>
      <c r="HV3" t="e">
        <f>AND(#REF!,"AAAAAH/X7+U=")</f>
        <v>#REF!</v>
      </c>
      <c r="HW3" t="e">
        <f>AND(#REF!,"AAAAAH/X7+Y=")</f>
        <v>#REF!</v>
      </c>
      <c r="HX3" t="e">
        <f>IF(#REF!,"AAAAAH/X7+c=",0)</f>
        <v>#REF!</v>
      </c>
      <c r="HY3" t="e">
        <f>AND(#REF!,"AAAAAH/X7+g=")</f>
        <v>#REF!</v>
      </c>
      <c r="HZ3" t="e">
        <f>AND(#REF!,"AAAAAH/X7+k=")</f>
        <v>#REF!</v>
      </c>
      <c r="IA3" t="e">
        <f>AND(#REF!,"AAAAAH/X7+o=")</f>
        <v>#REF!</v>
      </c>
      <c r="IB3" t="e">
        <f>AND(#REF!,"AAAAAH/X7+s=")</f>
        <v>#REF!</v>
      </c>
      <c r="IC3" t="e">
        <f>AND(#REF!,"AAAAAH/X7+w=")</f>
        <v>#REF!</v>
      </c>
      <c r="ID3" t="e">
        <f>IF(#REF!,"AAAAAH/X7+0=",0)</f>
        <v>#REF!</v>
      </c>
      <c r="IE3" t="e">
        <f>AND(#REF!,"AAAAAH/X7+4=")</f>
        <v>#REF!</v>
      </c>
      <c r="IF3" t="e">
        <f>AND(#REF!,"AAAAAH/X7+8=")</f>
        <v>#REF!</v>
      </c>
      <c r="IG3" t="e">
        <f>AND(#REF!,"AAAAAH/X7/A=")</f>
        <v>#REF!</v>
      </c>
      <c r="IH3" t="e">
        <f>AND(#REF!,"AAAAAH/X7/E=")</f>
        <v>#REF!</v>
      </c>
      <c r="II3" t="e">
        <f>AND(#REF!,"AAAAAH/X7/I=")</f>
        <v>#REF!</v>
      </c>
      <c r="IJ3" t="e">
        <f>IF(#REF!,"AAAAAH/X7/M=",0)</f>
        <v>#REF!</v>
      </c>
      <c r="IK3" t="e">
        <f>AND(#REF!,"AAAAAH/X7/Q=")</f>
        <v>#REF!</v>
      </c>
      <c r="IL3" t="e">
        <f>AND(#REF!,"AAAAAH/X7/U=")</f>
        <v>#REF!</v>
      </c>
      <c r="IM3" t="e">
        <f>AND(#REF!,"AAAAAH/X7/Y=")</f>
        <v>#REF!</v>
      </c>
      <c r="IN3" t="e">
        <f>AND(#REF!,"AAAAAH/X7/c=")</f>
        <v>#REF!</v>
      </c>
      <c r="IO3" t="e">
        <f>AND(#REF!,"AAAAAH/X7/g=")</f>
        <v>#REF!</v>
      </c>
      <c r="IP3" t="e">
        <f>IF(#REF!,"AAAAAH/X7/k=",0)</f>
        <v>#REF!</v>
      </c>
      <c r="IQ3" t="e">
        <f>AND(#REF!,"AAAAAH/X7/o=")</f>
        <v>#REF!</v>
      </c>
      <c r="IR3" t="e">
        <f>AND(#REF!,"AAAAAH/X7/s=")</f>
        <v>#REF!</v>
      </c>
      <c r="IS3" t="e">
        <f>AND(#REF!,"AAAAAH/X7/w=")</f>
        <v>#REF!</v>
      </c>
      <c r="IT3" t="e">
        <f>AND(#REF!,"AAAAAH/X7/0=")</f>
        <v>#REF!</v>
      </c>
      <c r="IU3" t="e">
        <f>AND(#REF!,"AAAAAH/X7/4=")</f>
        <v>#REF!</v>
      </c>
      <c r="IV3" t="e">
        <f>IF(#REF!,"AAAAAH/X7/8=",0)</f>
        <v>#REF!</v>
      </c>
    </row>
    <row r="4" spans="1:256">
      <c r="A4" t="e">
        <f>AND(#REF!,"AAAAADmvHwA=")</f>
        <v>#REF!</v>
      </c>
      <c r="B4" t="e">
        <f>AND(#REF!,"AAAAADmvHwE=")</f>
        <v>#REF!</v>
      </c>
      <c r="C4" t="e">
        <f>AND(#REF!,"AAAAADmvHwI=")</f>
        <v>#REF!</v>
      </c>
      <c r="D4" t="e">
        <f>AND(#REF!,"AAAAADmvHwM=")</f>
        <v>#REF!</v>
      </c>
      <c r="E4" t="e">
        <f>AND(#REF!,"AAAAADmvHwQ=")</f>
        <v>#REF!</v>
      </c>
      <c r="F4" t="e">
        <f>IF(#REF!,"AAAAADmvHwU=",0)</f>
        <v>#REF!</v>
      </c>
      <c r="G4" t="e">
        <f>AND(#REF!,"AAAAADmvHwY=")</f>
        <v>#REF!</v>
      </c>
      <c r="H4" t="e">
        <f>AND(#REF!,"AAAAADmvHwc=")</f>
        <v>#REF!</v>
      </c>
      <c r="I4" t="e">
        <f>AND(#REF!,"AAAAADmvHwg=")</f>
        <v>#REF!</v>
      </c>
      <c r="J4" t="e">
        <f>AND(#REF!,"AAAAADmvHwk=")</f>
        <v>#REF!</v>
      </c>
      <c r="K4" t="e">
        <f>AND(#REF!,"AAAAADmvHwo=")</f>
        <v>#REF!</v>
      </c>
      <c r="L4" t="e">
        <f>IF(#REF!,"AAAAADmvHws=",0)</f>
        <v>#REF!</v>
      </c>
      <c r="M4" t="e">
        <f>AND(#REF!,"AAAAADmvHww=")</f>
        <v>#REF!</v>
      </c>
      <c r="N4" t="e">
        <f>AND(#REF!,"AAAAADmvHw0=")</f>
        <v>#REF!</v>
      </c>
      <c r="O4" t="e">
        <f>AND(#REF!,"AAAAADmvHw4=")</f>
        <v>#REF!</v>
      </c>
      <c r="P4" t="e">
        <f>AND(#REF!,"AAAAADmvHw8=")</f>
        <v>#REF!</v>
      </c>
      <c r="Q4" t="e">
        <f>AND(#REF!,"AAAAADmvHxA=")</f>
        <v>#REF!</v>
      </c>
      <c r="R4" t="e">
        <f>IF(#REF!,"AAAAADmvHxE=",0)</f>
        <v>#REF!</v>
      </c>
      <c r="S4" t="e">
        <f>AND(#REF!,"AAAAADmvHxI=")</f>
        <v>#REF!</v>
      </c>
      <c r="T4" t="e">
        <f>AND(#REF!,"AAAAADmvHxM=")</f>
        <v>#REF!</v>
      </c>
      <c r="U4" t="e">
        <f>AND(#REF!,"AAAAADmvHxQ=")</f>
        <v>#REF!</v>
      </c>
      <c r="V4" t="e">
        <f>AND(#REF!,"AAAAADmvHxU=")</f>
        <v>#REF!</v>
      </c>
      <c r="W4" t="e">
        <f>AND(#REF!,"AAAAADmvHxY=")</f>
        <v>#REF!</v>
      </c>
      <c r="X4" t="e">
        <f>IF(#REF!,"AAAAADmvHxc=",0)</f>
        <v>#REF!</v>
      </c>
      <c r="Y4" t="e">
        <f>AND(#REF!,"AAAAADmvHxg=")</f>
        <v>#REF!</v>
      </c>
      <c r="Z4" t="e">
        <f>AND(#REF!,"AAAAADmvHxk=")</f>
        <v>#REF!</v>
      </c>
      <c r="AA4" t="e">
        <f>AND(#REF!,"AAAAADmvHxo=")</f>
        <v>#REF!</v>
      </c>
      <c r="AB4" t="e">
        <f>AND(#REF!,"AAAAADmvHxs=")</f>
        <v>#REF!</v>
      </c>
      <c r="AC4" t="e">
        <f>AND(#REF!,"AAAAADmvHxw=")</f>
        <v>#REF!</v>
      </c>
      <c r="AD4" t="e">
        <f>IF(#REF!,"AAAAADmvHx0=",0)</f>
        <v>#REF!</v>
      </c>
      <c r="AE4" t="e">
        <f>AND(#REF!,"AAAAADmvHx4=")</f>
        <v>#REF!</v>
      </c>
      <c r="AF4" t="e">
        <f>AND(#REF!,"AAAAADmvHx8=")</f>
        <v>#REF!</v>
      </c>
      <c r="AG4" t="e">
        <f>AND(#REF!,"AAAAADmvHyA=")</f>
        <v>#REF!</v>
      </c>
      <c r="AH4" t="e">
        <f>AND(#REF!,"AAAAADmvHyE=")</f>
        <v>#REF!</v>
      </c>
      <c r="AI4" t="e">
        <f>AND(#REF!,"AAAAADmvHyI=")</f>
        <v>#REF!</v>
      </c>
      <c r="AJ4" t="e">
        <f>IF(#REF!,"AAAAADmvHyM=",0)</f>
        <v>#REF!</v>
      </c>
      <c r="AK4" t="e">
        <f>AND(#REF!,"AAAAADmvHyQ=")</f>
        <v>#REF!</v>
      </c>
      <c r="AL4" t="e">
        <f>AND(#REF!,"AAAAADmvHyU=")</f>
        <v>#REF!</v>
      </c>
      <c r="AM4" t="e">
        <f>AND(#REF!,"AAAAADmvHyY=")</f>
        <v>#REF!</v>
      </c>
      <c r="AN4" t="e">
        <f>AND(#REF!,"AAAAADmvHyc=")</f>
        <v>#REF!</v>
      </c>
      <c r="AO4" t="e">
        <f>AND(#REF!,"AAAAADmvHyg=")</f>
        <v>#REF!</v>
      </c>
      <c r="AP4" t="e">
        <f>IF(#REF!,"AAAAADmvHyk=",0)</f>
        <v>#REF!</v>
      </c>
      <c r="AQ4" t="e">
        <f>AND(#REF!,"AAAAADmvHyo=")</f>
        <v>#REF!</v>
      </c>
      <c r="AR4" t="e">
        <f>AND(#REF!,"AAAAADmvHys=")</f>
        <v>#REF!</v>
      </c>
      <c r="AS4" t="e">
        <f>AND(#REF!,"AAAAADmvHyw=")</f>
        <v>#REF!</v>
      </c>
      <c r="AT4" t="e">
        <f>AND(#REF!,"AAAAADmvHy0=")</f>
        <v>#REF!</v>
      </c>
      <c r="AU4" t="e">
        <f>AND(#REF!,"AAAAADmvHy4=")</f>
        <v>#REF!</v>
      </c>
      <c r="AV4" t="e">
        <f>IF(#REF!,"AAAAADmvHy8=",0)</f>
        <v>#REF!</v>
      </c>
      <c r="AW4" t="e">
        <f>AND(#REF!,"AAAAADmvHzA=")</f>
        <v>#REF!</v>
      </c>
      <c r="AX4" t="e">
        <f>AND(#REF!,"AAAAADmvHzE=")</f>
        <v>#REF!</v>
      </c>
      <c r="AY4" t="e">
        <f>AND(#REF!,"AAAAADmvHzI=")</f>
        <v>#REF!</v>
      </c>
      <c r="AZ4" t="e">
        <f>AND(#REF!,"AAAAADmvHzM=")</f>
        <v>#REF!</v>
      </c>
      <c r="BA4" t="e">
        <f>AND(#REF!,"AAAAADmvHzQ=")</f>
        <v>#REF!</v>
      </c>
      <c r="BB4" t="e">
        <f>IF(#REF!,"AAAAADmvHzU=",0)</f>
        <v>#REF!</v>
      </c>
      <c r="BC4" t="e">
        <f>AND(#REF!,"AAAAADmvHzY=")</f>
        <v>#REF!</v>
      </c>
      <c r="BD4" t="e">
        <f>AND(#REF!,"AAAAADmvHzc=")</f>
        <v>#REF!</v>
      </c>
      <c r="BE4" t="e">
        <f>AND(#REF!,"AAAAADmvHzg=")</f>
        <v>#REF!</v>
      </c>
      <c r="BF4" t="e">
        <f>AND(#REF!,"AAAAADmvHzk=")</f>
        <v>#REF!</v>
      </c>
      <c r="BG4" t="e">
        <f>AND(#REF!,"AAAAADmvHzo=")</f>
        <v>#REF!</v>
      </c>
      <c r="BH4" t="e">
        <f>IF(#REF!,"AAAAADmvHzs=",0)</f>
        <v>#REF!</v>
      </c>
      <c r="BI4" t="e">
        <f>AND(#REF!,"AAAAADmvHzw=")</f>
        <v>#REF!</v>
      </c>
      <c r="BJ4" t="e">
        <f>AND(#REF!,"AAAAADmvHz0=")</f>
        <v>#REF!</v>
      </c>
      <c r="BK4" t="e">
        <f>AND(#REF!,"AAAAADmvHz4=")</f>
        <v>#REF!</v>
      </c>
      <c r="BL4" t="e">
        <f>AND(#REF!,"AAAAADmvHz8=")</f>
        <v>#REF!</v>
      </c>
      <c r="BM4" t="e">
        <f>AND(#REF!,"AAAAADmvH0A=")</f>
        <v>#REF!</v>
      </c>
      <c r="BN4" t="e">
        <f>IF(#REF!,"AAAAADmvH0E=",0)</f>
        <v>#REF!</v>
      </c>
      <c r="BO4" t="e">
        <f>AND(#REF!,"AAAAADmvH0I=")</f>
        <v>#REF!</v>
      </c>
      <c r="BP4" t="e">
        <f>AND(#REF!,"AAAAADmvH0M=")</f>
        <v>#REF!</v>
      </c>
      <c r="BQ4" t="e">
        <f>AND(#REF!,"AAAAADmvH0Q=")</f>
        <v>#REF!</v>
      </c>
      <c r="BR4" t="e">
        <f>AND(#REF!,"AAAAADmvH0U=")</f>
        <v>#REF!</v>
      </c>
      <c r="BS4" t="e">
        <f>AND(#REF!,"AAAAADmvH0Y=")</f>
        <v>#REF!</v>
      </c>
      <c r="BT4" t="e">
        <f>IF(#REF!,"AAAAADmvH0c=",0)</f>
        <v>#REF!</v>
      </c>
      <c r="BU4" t="e">
        <f>AND(#REF!,"AAAAADmvH0g=")</f>
        <v>#REF!</v>
      </c>
      <c r="BV4" t="e">
        <f>AND(#REF!,"AAAAADmvH0k=")</f>
        <v>#REF!</v>
      </c>
      <c r="BW4" t="e">
        <f>AND(#REF!,"AAAAADmvH0o=")</f>
        <v>#REF!</v>
      </c>
      <c r="BX4" t="e">
        <f>AND(#REF!,"AAAAADmvH0s=")</f>
        <v>#REF!</v>
      </c>
      <c r="BY4" t="e">
        <f>AND(#REF!,"AAAAADmvH0w=")</f>
        <v>#REF!</v>
      </c>
      <c r="BZ4" t="e">
        <f>IF(#REF!,"AAAAADmvH00=",0)</f>
        <v>#REF!</v>
      </c>
      <c r="CA4" t="e">
        <f>AND(#REF!,"AAAAADmvH04=")</f>
        <v>#REF!</v>
      </c>
      <c r="CB4" t="e">
        <f>AND(#REF!,"AAAAADmvH08=")</f>
        <v>#REF!</v>
      </c>
      <c r="CC4" t="e">
        <f>AND(#REF!,"AAAAADmvH1A=")</f>
        <v>#REF!</v>
      </c>
      <c r="CD4" t="e">
        <f>AND(#REF!,"AAAAADmvH1E=")</f>
        <v>#REF!</v>
      </c>
      <c r="CE4" t="e">
        <f>AND(#REF!,"AAAAADmvH1I=")</f>
        <v>#REF!</v>
      </c>
      <c r="CF4" t="e">
        <f>IF(#REF!,"AAAAADmvH1M=",0)</f>
        <v>#REF!</v>
      </c>
      <c r="CG4" t="e">
        <f>AND(#REF!,"AAAAADmvH1Q=")</f>
        <v>#REF!</v>
      </c>
      <c r="CH4" t="e">
        <f>AND(#REF!,"AAAAADmvH1U=")</f>
        <v>#REF!</v>
      </c>
      <c r="CI4" t="e">
        <f>AND(#REF!,"AAAAADmvH1Y=")</f>
        <v>#REF!</v>
      </c>
      <c r="CJ4" t="e">
        <f>AND(#REF!,"AAAAADmvH1c=")</f>
        <v>#REF!</v>
      </c>
      <c r="CK4" t="e">
        <f>AND(#REF!,"AAAAADmvH1g=")</f>
        <v>#REF!</v>
      </c>
      <c r="CL4" t="e">
        <f>IF(#REF!,"AAAAADmvH1k=",0)</f>
        <v>#REF!</v>
      </c>
      <c r="CM4" t="e">
        <f>AND(#REF!,"AAAAADmvH1o=")</f>
        <v>#REF!</v>
      </c>
      <c r="CN4" t="e">
        <f>AND(#REF!,"AAAAADmvH1s=")</f>
        <v>#REF!</v>
      </c>
      <c r="CO4" t="e">
        <f>AND(#REF!,"AAAAADmvH1w=")</f>
        <v>#REF!</v>
      </c>
      <c r="CP4" t="e">
        <f>AND(#REF!,"AAAAADmvH10=")</f>
        <v>#REF!</v>
      </c>
      <c r="CQ4" t="e">
        <f>AND(#REF!,"AAAAADmvH14=")</f>
        <v>#REF!</v>
      </c>
      <c r="CR4" t="e">
        <f>IF(#REF!,"AAAAADmvH18=",0)</f>
        <v>#REF!</v>
      </c>
      <c r="CS4" t="e">
        <f>AND(#REF!,"AAAAADmvH2A=")</f>
        <v>#REF!</v>
      </c>
      <c r="CT4" t="e">
        <f>AND(#REF!,"AAAAADmvH2E=")</f>
        <v>#REF!</v>
      </c>
      <c r="CU4" t="e">
        <f>AND(#REF!,"AAAAADmvH2I=")</f>
        <v>#REF!</v>
      </c>
      <c r="CV4" t="e">
        <f>AND(#REF!,"AAAAADmvH2M=")</f>
        <v>#REF!</v>
      </c>
      <c r="CW4" t="e">
        <f>AND(#REF!,"AAAAADmvH2Q=")</f>
        <v>#REF!</v>
      </c>
      <c r="CX4" t="e">
        <f>IF(#REF!,"AAAAADmvH2U=",0)</f>
        <v>#REF!</v>
      </c>
      <c r="CY4" t="e">
        <f>AND(#REF!,"AAAAADmvH2Y=")</f>
        <v>#REF!</v>
      </c>
      <c r="CZ4" t="e">
        <f>AND(#REF!,"AAAAADmvH2c=")</f>
        <v>#REF!</v>
      </c>
      <c r="DA4" t="e">
        <f>AND(#REF!,"AAAAADmvH2g=")</f>
        <v>#REF!</v>
      </c>
      <c r="DB4" t="e">
        <f>AND(#REF!,"AAAAADmvH2k=")</f>
        <v>#REF!</v>
      </c>
      <c r="DC4" t="e">
        <f>AND(#REF!,"AAAAADmvH2o=")</f>
        <v>#REF!</v>
      </c>
      <c r="DD4" t="e">
        <f>IF(#REF!,"AAAAADmvH2s=",0)</f>
        <v>#REF!</v>
      </c>
      <c r="DE4" t="e">
        <f>AND(#REF!,"AAAAADmvH2w=")</f>
        <v>#REF!</v>
      </c>
      <c r="DF4" t="e">
        <f>AND(#REF!,"AAAAADmvH20=")</f>
        <v>#REF!</v>
      </c>
      <c r="DG4" t="e">
        <f>AND(#REF!,"AAAAADmvH24=")</f>
        <v>#REF!</v>
      </c>
      <c r="DH4" t="e">
        <f>AND(#REF!,"AAAAADmvH28=")</f>
        <v>#REF!</v>
      </c>
      <c r="DI4" t="e">
        <f>AND(#REF!,"AAAAADmvH3A=")</f>
        <v>#REF!</v>
      </c>
      <c r="DJ4" t="e">
        <f>IF(#REF!,"AAAAADmvH3E=",0)</f>
        <v>#REF!</v>
      </c>
      <c r="DK4" t="e">
        <f>AND(#REF!,"AAAAADmvH3I=")</f>
        <v>#REF!</v>
      </c>
      <c r="DL4" t="e">
        <f>AND(#REF!,"AAAAADmvH3M=")</f>
        <v>#REF!</v>
      </c>
      <c r="DM4" t="e">
        <f>AND(#REF!,"AAAAADmvH3Q=")</f>
        <v>#REF!</v>
      </c>
      <c r="DN4" t="e">
        <f>AND(#REF!,"AAAAADmvH3U=")</f>
        <v>#REF!</v>
      </c>
      <c r="DO4" t="e">
        <f>AND(#REF!,"AAAAADmvH3Y=")</f>
        <v>#REF!</v>
      </c>
      <c r="DP4" t="e">
        <f>IF(#REF!,"AAAAADmvH3c=",0)</f>
        <v>#REF!</v>
      </c>
      <c r="DQ4" t="e">
        <f>AND(#REF!,"AAAAADmvH3g=")</f>
        <v>#REF!</v>
      </c>
      <c r="DR4" t="e">
        <f>AND(#REF!,"AAAAADmvH3k=")</f>
        <v>#REF!</v>
      </c>
      <c r="DS4" t="e">
        <f>AND(#REF!,"AAAAADmvH3o=")</f>
        <v>#REF!</v>
      </c>
      <c r="DT4" t="e">
        <f>AND(#REF!,"AAAAADmvH3s=")</f>
        <v>#REF!</v>
      </c>
      <c r="DU4" t="e">
        <f>AND(#REF!,"AAAAADmvH3w=")</f>
        <v>#REF!</v>
      </c>
      <c r="DV4" t="e">
        <f>IF(#REF!,"AAAAADmvH30=",0)</f>
        <v>#REF!</v>
      </c>
      <c r="DW4" t="e">
        <f>AND(#REF!,"AAAAADmvH34=")</f>
        <v>#REF!</v>
      </c>
      <c r="DX4" t="e">
        <f>AND(#REF!,"AAAAADmvH38=")</f>
        <v>#REF!</v>
      </c>
      <c r="DY4" t="e">
        <f>AND(#REF!,"AAAAADmvH4A=")</f>
        <v>#REF!</v>
      </c>
      <c r="DZ4" t="e">
        <f>AND(#REF!,"AAAAADmvH4E=")</f>
        <v>#REF!</v>
      </c>
      <c r="EA4" t="e">
        <f>AND(#REF!,"AAAAADmvH4I=")</f>
        <v>#REF!</v>
      </c>
      <c r="EB4" t="e">
        <f>IF(#REF!,"AAAAADmvH4M=",0)</f>
        <v>#REF!</v>
      </c>
      <c r="EC4" t="e">
        <f>AND(#REF!,"AAAAADmvH4Q=")</f>
        <v>#REF!</v>
      </c>
      <c r="ED4" t="e">
        <f>AND(#REF!,"AAAAADmvH4U=")</f>
        <v>#REF!</v>
      </c>
      <c r="EE4" t="e">
        <f>AND(#REF!,"AAAAADmvH4Y=")</f>
        <v>#REF!</v>
      </c>
      <c r="EF4" t="e">
        <f>AND(#REF!,"AAAAADmvH4c=")</f>
        <v>#REF!</v>
      </c>
      <c r="EG4" t="e">
        <f>AND(#REF!,"AAAAADmvH4g=")</f>
        <v>#REF!</v>
      </c>
      <c r="EH4" t="e">
        <f>IF(#REF!,"AAAAADmvH4k=",0)</f>
        <v>#REF!</v>
      </c>
      <c r="EI4" t="e">
        <f>AND(#REF!,"AAAAADmvH4o=")</f>
        <v>#REF!</v>
      </c>
      <c r="EJ4" t="e">
        <f>AND(#REF!,"AAAAADmvH4s=")</f>
        <v>#REF!</v>
      </c>
      <c r="EK4" t="e">
        <f>AND(#REF!,"AAAAADmvH4w=")</f>
        <v>#REF!</v>
      </c>
      <c r="EL4" t="e">
        <f>AND(#REF!,"AAAAADmvH40=")</f>
        <v>#REF!</v>
      </c>
      <c r="EM4" t="e">
        <f>AND(#REF!,"AAAAADmvH44=")</f>
        <v>#REF!</v>
      </c>
      <c r="EN4" t="e">
        <f>IF(#REF!,"AAAAADmvH48=",0)</f>
        <v>#REF!</v>
      </c>
      <c r="EO4" t="e">
        <f>AND(#REF!,"AAAAADmvH5A=")</f>
        <v>#REF!</v>
      </c>
      <c r="EP4" t="e">
        <f>AND(#REF!,"AAAAADmvH5E=")</f>
        <v>#REF!</v>
      </c>
      <c r="EQ4" t="e">
        <f>AND(#REF!,"AAAAADmvH5I=")</f>
        <v>#REF!</v>
      </c>
      <c r="ER4" t="e">
        <f>AND(#REF!,"AAAAADmvH5M=")</f>
        <v>#REF!</v>
      </c>
      <c r="ES4" t="e">
        <f>AND(#REF!,"AAAAADmvH5Q=")</f>
        <v>#REF!</v>
      </c>
      <c r="ET4" t="e">
        <f>IF(#REF!,"AAAAADmvH5U=",0)</f>
        <v>#REF!</v>
      </c>
      <c r="EU4" t="e">
        <f>AND(#REF!,"AAAAADmvH5Y=")</f>
        <v>#REF!</v>
      </c>
      <c r="EV4" t="e">
        <f>AND(#REF!,"AAAAADmvH5c=")</f>
        <v>#REF!</v>
      </c>
      <c r="EW4" t="e">
        <f>AND(#REF!,"AAAAADmvH5g=")</f>
        <v>#REF!</v>
      </c>
      <c r="EX4" t="e">
        <f>AND(#REF!,"AAAAADmvH5k=")</f>
        <v>#REF!</v>
      </c>
      <c r="EY4" t="e">
        <f>AND(#REF!,"AAAAADmvH5o=")</f>
        <v>#REF!</v>
      </c>
      <c r="EZ4" t="e">
        <f>IF(#REF!,"AAAAADmvH5s=",0)</f>
        <v>#REF!</v>
      </c>
      <c r="FA4" t="e">
        <f>AND(#REF!,"AAAAADmvH5w=")</f>
        <v>#REF!</v>
      </c>
      <c r="FB4" t="e">
        <f>AND(#REF!,"AAAAADmvH50=")</f>
        <v>#REF!</v>
      </c>
      <c r="FC4" t="e">
        <f>AND(#REF!,"AAAAADmvH54=")</f>
        <v>#REF!</v>
      </c>
      <c r="FD4" t="e">
        <f>AND(#REF!,"AAAAADmvH58=")</f>
        <v>#REF!</v>
      </c>
      <c r="FE4" t="e">
        <f>AND(#REF!,"AAAAADmvH6A=")</f>
        <v>#REF!</v>
      </c>
      <c r="FF4" t="e">
        <f>IF(#REF!,"AAAAADmvH6E=",0)</f>
        <v>#REF!</v>
      </c>
      <c r="FG4" t="e">
        <f>AND(#REF!,"AAAAADmvH6I=")</f>
        <v>#REF!</v>
      </c>
      <c r="FH4" t="e">
        <f>AND(#REF!,"AAAAADmvH6M=")</f>
        <v>#REF!</v>
      </c>
      <c r="FI4" t="e">
        <f>AND(#REF!,"AAAAADmvH6Q=")</f>
        <v>#REF!</v>
      </c>
      <c r="FJ4" t="e">
        <f>AND(#REF!,"AAAAADmvH6U=")</f>
        <v>#REF!</v>
      </c>
      <c r="FK4" t="e">
        <f>AND(#REF!,"AAAAADmvH6Y=")</f>
        <v>#REF!</v>
      </c>
      <c r="FL4" t="e">
        <f>IF(#REF!,"AAAAADmvH6c=",0)</f>
        <v>#REF!</v>
      </c>
      <c r="FM4" t="e">
        <f>AND(#REF!,"AAAAADmvH6g=")</f>
        <v>#REF!</v>
      </c>
      <c r="FN4" t="e">
        <f>AND(#REF!,"AAAAADmvH6k=")</f>
        <v>#REF!</v>
      </c>
      <c r="FO4" t="e">
        <f>AND(#REF!,"AAAAADmvH6o=")</f>
        <v>#REF!</v>
      </c>
      <c r="FP4" t="e">
        <f>AND(#REF!,"AAAAADmvH6s=")</f>
        <v>#REF!</v>
      </c>
      <c r="FQ4" t="e">
        <f>AND(#REF!,"AAAAADmvH6w=")</f>
        <v>#REF!</v>
      </c>
      <c r="FR4" t="e">
        <f>IF(#REF!,"AAAAADmvH60=",0)</f>
        <v>#REF!</v>
      </c>
      <c r="FS4" t="e">
        <f>AND(#REF!,"AAAAADmvH64=")</f>
        <v>#REF!</v>
      </c>
      <c r="FT4" t="e">
        <f>AND(#REF!,"AAAAADmvH68=")</f>
        <v>#REF!</v>
      </c>
      <c r="FU4" t="e">
        <f>AND(#REF!,"AAAAADmvH7A=")</f>
        <v>#REF!</v>
      </c>
      <c r="FV4" t="e">
        <f>AND(#REF!,"AAAAADmvH7E=")</f>
        <v>#REF!</v>
      </c>
      <c r="FW4" t="e">
        <f>AND(#REF!,"AAAAADmvH7I=")</f>
        <v>#REF!</v>
      </c>
      <c r="FX4" t="e">
        <f>IF(#REF!,"AAAAADmvH7M=",0)</f>
        <v>#REF!</v>
      </c>
      <c r="FY4" t="e">
        <f>AND(#REF!,"AAAAADmvH7Q=")</f>
        <v>#REF!</v>
      </c>
      <c r="FZ4" t="e">
        <f>AND(#REF!,"AAAAADmvH7U=")</f>
        <v>#REF!</v>
      </c>
      <c r="GA4" t="e">
        <f>AND(#REF!,"AAAAADmvH7Y=")</f>
        <v>#REF!</v>
      </c>
      <c r="GB4" t="e">
        <f>AND(#REF!,"AAAAADmvH7c=")</f>
        <v>#REF!</v>
      </c>
      <c r="GC4" t="e">
        <f>AND(#REF!,"AAAAADmvH7g=")</f>
        <v>#REF!</v>
      </c>
      <c r="GD4" t="e">
        <f>IF(#REF!,"AAAAADmvH7k=",0)</f>
        <v>#REF!</v>
      </c>
      <c r="GE4" t="e">
        <f>AND(#REF!,"AAAAADmvH7o=")</f>
        <v>#REF!</v>
      </c>
      <c r="GF4" t="e">
        <f>AND(#REF!,"AAAAADmvH7s=")</f>
        <v>#REF!</v>
      </c>
      <c r="GG4" t="e">
        <f>AND(#REF!,"AAAAADmvH7w=")</f>
        <v>#REF!</v>
      </c>
      <c r="GH4" t="e">
        <f>AND(#REF!,"AAAAADmvH70=")</f>
        <v>#REF!</v>
      </c>
      <c r="GI4" t="e">
        <f>AND(#REF!,"AAAAADmvH74=")</f>
        <v>#REF!</v>
      </c>
      <c r="GJ4" t="e">
        <f>IF(#REF!,"AAAAADmvH78=",0)</f>
        <v>#REF!</v>
      </c>
      <c r="GK4" t="e">
        <f>AND(#REF!,"AAAAADmvH8A=")</f>
        <v>#REF!</v>
      </c>
      <c r="GL4" t="e">
        <f>AND(#REF!,"AAAAADmvH8E=")</f>
        <v>#REF!</v>
      </c>
      <c r="GM4" t="e">
        <f>AND(#REF!,"AAAAADmvH8I=")</f>
        <v>#REF!</v>
      </c>
      <c r="GN4" t="e">
        <f>AND(#REF!,"AAAAADmvH8M=")</f>
        <v>#REF!</v>
      </c>
      <c r="GO4" t="e">
        <f>AND(#REF!,"AAAAADmvH8Q=")</f>
        <v>#REF!</v>
      </c>
      <c r="GP4" t="e">
        <f>IF(#REF!,"AAAAADmvH8U=",0)</f>
        <v>#REF!</v>
      </c>
      <c r="GQ4" t="e">
        <f>AND(#REF!,"AAAAADmvH8Y=")</f>
        <v>#REF!</v>
      </c>
      <c r="GR4" t="e">
        <f>AND(#REF!,"AAAAADmvH8c=")</f>
        <v>#REF!</v>
      </c>
      <c r="GS4" t="e">
        <f>AND(#REF!,"AAAAADmvH8g=")</f>
        <v>#REF!</v>
      </c>
      <c r="GT4" t="e">
        <f>AND(#REF!,"AAAAADmvH8k=")</f>
        <v>#REF!</v>
      </c>
      <c r="GU4" t="e">
        <f>AND(#REF!,"AAAAADmvH8o=")</f>
        <v>#REF!</v>
      </c>
      <c r="GV4" t="e">
        <f>IF(#REF!,"AAAAADmvH8s=",0)</f>
        <v>#REF!</v>
      </c>
      <c r="GW4" t="e">
        <f>AND(#REF!,"AAAAADmvH8w=")</f>
        <v>#REF!</v>
      </c>
      <c r="GX4" t="e">
        <f>AND(#REF!,"AAAAADmvH80=")</f>
        <v>#REF!</v>
      </c>
      <c r="GY4" t="e">
        <f>AND(#REF!,"AAAAADmvH84=")</f>
        <v>#REF!</v>
      </c>
      <c r="GZ4" t="e">
        <f>AND(#REF!,"AAAAADmvH88=")</f>
        <v>#REF!</v>
      </c>
      <c r="HA4" t="e">
        <f>AND(#REF!,"AAAAADmvH9A=")</f>
        <v>#REF!</v>
      </c>
      <c r="HB4" t="e">
        <f>IF(#REF!,"AAAAADmvH9E=",0)</f>
        <v>#REF!</v>
      </c>
      <c r="HC4" t="e">
        <f>AND(#REF!,"AAAAADmvH9I=")</f>
        <v>#REF!</v>
      </c>
      <c r="HD4" t="e">
        <f>AND(#REF!,"AAAAADmvH9M=")</f>
        <v>#REF!</v>
      </c>
      <c r="HE4" t="e">
        <f>AND(#REF!,"AAAAADmvH9Q=")</f>
        <v>#REF!</v>
      </c>
      <c r="HF4" t="e">
        <f>AND(#REF!,"AAAAADmvH9U=")</f>
        <v>#REF!</v>
      </c>
      <c r="HG4" t="e">
        <f>AND(#REF!,"AAAAADmvH9Y=")</f>
        <v>#REF!</v>
      </c>
      <c r="HH4" t="e">
        <f>IF(#REF!,"AAAAADmvH9c=",0)</f>
        <v>#REF!</v>
      </c>
      <c r="HI4" t="e">
        <f>AND(#REF!,"AAAAADmvH9g=")</f>
        <v>#REF!</v>
      </c>
      <c r="HJ4" t="e">
        <f>AND(#REF!,"AAAAADmvH9k=")</f>
        <v>#REF!</v>
      </c>
      <c r="HK4" t="e">
        <f>AND(#REF!,"AAAAADmvH9o=")</f>
        <v>#REF!</v>
      </c>
      <c r="HL4" t="e">
        <f>AND(#REF!,"AAAAADmvH9s=")</f>
        <v>#REF!</v>
      </c>
      <c r="HM4" t="e">
        <f>AND(#REF!,"AAAAADmvH9w=")</f>
        <v>#REF!</v>
      </c>
      <c r="HN4" t="e">
        <f>IF(#REF!,"AAAAADmvH90=",0)</f>
        <v>#REF!</v>
      </c>
      <c r="HO4" t="e">
        <f>IF(#REF!,"AAAAADmvH94=",0)</f>
        <v>#REF!</v>
      </c>
      <c r="HP4" t="e">
        <f>IF(#REF!,"AAAAADmvH98=",0)</f>
        <v>#REF!</v>
      </c>
      <c r="HQ4" t="e">
        <f>IF(#REF!,"AAAAADmvH+A=",0)</f>
        <v>#REF!</v>
      </c>
      <c r="HR4" t="e">
        <f>IF(#REF!,"AAAAADmvH+E=",0)</f>
        <v>#REF!</v>
      </c>
      <c r="HS4" t="e">
        <f>IF(#REF!,"AAAAADmvH+I=",0)</f>
        <v>#REF!</v>
      </c>
      <c r="HT4" t="e">
        <f>IF(#REF!,"AAAAADmvH+M=",0)</f>
        <v>#REF!</v>
      </c>
      <c r="HU4" t="e">
        <f>IF(#REF!,"AAAAADmvH+Q=",0)</f>
        <v>#REF!</v>
      </c>
      <c r="HV4">
        <f>IF('SPR BARRANQUILLA'!1:1,"AAAAADmvH+U=",0)</f>
        <v>0</v>
      </c>
      <c r="HW4" t="e">
        <f>AND('SPR BARRANQUILLA'!A1,"AAAAADmvH+Y=")</f>
        <v>#VALUE!</v>
      </c>
      <c r="HX4" t="e">
        <f>AND('SPR BARRANQUILLA'!B1,"AAAAADmvH+c=")</f>
        <v>#VALUE!</v>
      </c>
      <c r="HY4" t="e">
        <f>AND('SPR BARRANQUILLA'!C1,"AAAAADmvH+g=")</f>
        <v>#VALUE!</v>
      </c>
      <c r="HZ4" t="e">
        <f>AND('SPR BARRANQUILLA'!D1,"AAAAADmvH+k=")</f>
        <v>#VALUE!</v>
      </c>
      <c r="IA4" t="e">
        <f>AND('SPR BARRANQUILLA'!E1,"AAAAADmvH+o=")</f>
        <v>#VALUE!</v>
      </c>
      <c r="IB4" t="e">
        <f>AND('SPR BARRANQUILLA'!F1,"AAAAADmvH+s=")</f>
        <v>#VALUE!</v>
      </c>
      <c r="IC4" t="e">
        <f>AND('SPR BARRANQUILLA'!G1,"AAAAADmvH+w=")</f>
        <v>#VALUE!</v>
      </c>
      <c r="ID4" t="e">
        <f>AND('SPR BARRANQUILLA'!H1,"AAAAADmvH+0=")</f>
        <v>#VALUE!</v>
      </c>
      <c r="IE4" t="e">
        <f>AND('SPR BARRANQUILLA'!I1,"AAAAADmvH+4=")</f>
        <v>#VALUE!</v>
      </c>
      <c r="IF4" t="e">
        <f>AND('SPR BARRANQUILLA'!J1,"AAAAADmvH+8=")</f>
        <v>#VALUE!</v>
      </c>
      <c r="IG4" t="e">
        <f>AND('SPR BARRANQUILLA'!K1,"AAAAADmvH/A=")</f>
        <v>#VALUE!</v>
      </c>
      <c r="IH4" t="e">
        <f>AND('SPR BARRANQUILLA'!L1,"AAAAADmvH/E=")</f>
        <v>#VALUE!</v>
      </c>
      <c r="II4" t="e">
        <f>AND('SPR BARRANQUILLA'!M1,"AAAAADmvH/I=")</f>
        <v>#VALUE!</v>
      </c>
      <c r="IJ4" t="e">
        <f>AND('SPR BARRANQUILLA'!N1,"AAAAADmvH/M=")</f>
        <v>#VALUE!</v>
      </c>
      <c r="IK4" t="e">
        <f>AND('SPR BARRANQUILLA'!O1,"AAAAADmvH/Q=")</f>
        <v>#VALUE!</v>
      </c>
      <c r="IL4" t="e">
        <f>AND('SPR BARRANQUILLA'!P1,"AAAAADmvH/U=")</f>
        <v>#VALUE!</v>
      </c>
      <c r="IM4" t="e">
        <f>AND('SPR BARRANQUILLA'!Q1,"AAAAADmvH/Y=")</f>
        <v>#VALUE!</v>
      </c>
      <c r="IN4" t="e">
        <f>AND('SPR BARRANQUILLA'!R1,"AAAAADmvH/c=")</f>
        <v>#VALUE!</v>
      </c>
      <c r="IO4" t="e">
        <f>AND('SPR BARRANQUILLA'!S1,"AAAAADmvH/g=")</f>
        <v>#VALUE!</v>
      </c>
      <c r="IP4" t="e">
        <f>AND('SPR BARRANQUILLA'!T1,"AAAAADmvH/k=")</f>
        <v>#VALUE!</v>
      </c>
      <c r="IQ4" t="e">
        <f>AND('SPR BARRANQUILLA'!U1,"AAAAADmvH/o=")</f>
        <v>#VALUE!</v>
      </c>
      <c r="IR4" t="e">
        <f>AND('SPR BARRANQUILLA'!V1,"AAAAADmvH/s=")</f>
        <v>#VALUE!</v>
      </c>
      <c r="IS4" t="e">
        <f>AND('SPR BARRANQUILLA'!W1,"AAAAADmvH/w=")</f>
        <v>#VALUE!</v>
      </c>
      <c r="IT4" t="e">
        <f>AND('SPR BARRANQUILLA'!X1,"AAAAADmvH/0=")</f>
        <v>#VALUE!</v>
      </c>
      <c r="IU4" t="e">
        <f>AND('SPR BARRANQUILLA'!Y1,"AAAAADmvH/4=")</f>
        <v>#VALUE!</v>
      </c>
      <c r="IV4" t="e">
        <f>AND('SPR BARRANQUILLA'!Z1,"AAAAADmvH/8=")</f>
        <v>#VALUE!</v>
      </c>
    </row>
    <row r="5" spans="1:256">
      <c r="A5" t="e">
        <f>AND('SPR BARRANQUILLA'!AA1,"AAAAAH35bwA=")</f>
        <v>#VALUE!</v>
      </c>
      <c r="B5" t="e">
        <f>AND('SPR BARRANQUILLA'!AB1,"AAAAAH35bwE=")</f>
        <v>#VALUE!</v>
      </c>
      <c r="C5" t="e">
        <f>AND('SPR BARRANQUILLA'!AC1,"AAAAAH35bwI=")</f>
        <v>#VALUE!</v>
      </c>
      <c r="D5" t="e">
        <f>AND('SPR BARRANQUILLA'!AD1,"AAAAAH35bwM=")</f>
        <v>#VALUE!</v>
      </c>
      <c r="E5" t="e">
        <f>AND('SPR BARRANQUILLA'!AE1,"AAAAAH35bwQ=")</f>
        <v>#VALUE!</v>
      </c>
      <c r="F5" t="e">
        <f>AND('SPR BARRANQUILLA'!AF1,"AAAAAH35bwU=")</f>
        <v>#VALUE!</v>
      </c>
      <c r="G5" t="e">
        <f>AND('SPR BARRANQUILLA'!AG1,"AAAAAH35bwY=")</f>
        <v>#VALUE!</v>
      </c>
      <c r="H5" t="e">
        <f>AND('SPR BARRANQUILLA'!AH1,"AAAAAH35bwc=")</f>
        <v>#VALUE!</v>
      </c>
      <c r="I5" t="e">
        <f>AND('SPR BARRANQUILLA'!AI1,"AAAAAH35bwg=")</f>
        <v>#VALUE!</v>
      </c>
      <c r="J5" t="e">
        <f>AND('SPR BARRANQUILLA'!AJ1,"AAAAAH35bwk=")</f>
        <v>#VALUE!</v>
      </c>
      <c r="K5" t="e">
        <f>AND('SPR BARRANQUILLA'!AK1,"AAAAAH35bwo=")</f>
        <v>#VALUE!</v>
      </c>
      <c r="L5" t="e">
        <f>AND('SPR BARRANQUILLA'!AL1,"AAAAAH35bws=")</f>
        <v>#VALUE!</v>
      </c>
      <c r="M5" t="e">
        <f>AND('SPR BARRANQUILLA'!AM1,"AAAAAH35bww=")</f>
        <v>#VALUE!</v>
      </c>
      <c r="N5" t="e">
        <f>AND('SPR BARRANQUILLA'!AN1,"AAAAAH35bw0=")</f>
        <v>#VALUE!</v>
      </c>
      <c r="O5" t="e">
        <f>AND('SPR BARRANQUILLA'!AO1,"AAAAAH35bw4=")</f>
        <v>#VALUE!</v>
      </c>
      <c r="P5" t="e">
        <f>AND('SPR BARRANQUILLA'!AP1,"AAAAAH35bw8=")</f>
        <v>#VALUE!</v>
      </c>
      <c r="Q5" t="e">
        <f>AND('SPR BARRANQUILLA'!AQ1,"AAAAAH35bxA=")</f>
        <v>#VALUE!</v>
      </c>
      <c r="R5" t="e">
        <f>AND('SPR BARRANQUILLA'!AR1,"AAAAAH35bxE=")</f>
        <v>#VALUE!</v>
      </c>
      <c r="S5" t="e">
        <f>AND('SPR BARRANQUILLA'!AS1,"AAAAAH35bxI=")</f>
        <v>#VALUE!</v>
      </c>
      <c r="T5" t="e">
        <f>AND('SPR BARRANQUILLA'!AT1,"AAAAAH35bxM=")</f>
        <v>#VALUE!</v>
      </c>
      <c r="U5" t="e">
        <f>AND('SPR BARRANQUILLA'!AU1,"AAAAAH35bxQ=")</f>
        <v>#VALUE!</v>
      </c>
      <c r="V5" t="e">
        <f>AND('SPR BARRANQUILLA'!AV1,"AAAAAH35bxU=")</f>
        <v>#VALUE!</v>
      </c>
      <c r="W5" t="e">
        <f>AND('SPR BARRANQUILLA'!AW1,"AAAAAH35bxY=")</f>
        <v>#VALUE!</v>
      </c>
      <c r="X5" t="e">
        <f>AND('SPR BARRANQUILLA'!AX1,"AAAAAH35bxc=")</f>
        <v>#VALUE!</v>
      </c>
      <c r="Y5" t="e">
        <f>AND('SPR BARRANQUILLA'!AY1,"AAAAAH35bxg=")</f>
        <v>#VALUE!</v>
      </c>
      <c r="Z5" t="e">
        <f>AND('SPR BARRANQUILLA'!AZ1,"AAAAAH35bxk=")</f>
        <v>#VALUE!</v>
      </c>
      <c r="AA5" t="e">
        <f>AND('SPR BARRANQUILLA'!BA1,"AAAAAH35bxo=")</f>
        <v>#VALUE!</v>
      </c>
      <c r="AB5" t="e">
        <f>AND('SPR BARRANQUILLA'!BB1,"AAAAAH35bxs=")</f>
        <v>#VALUE!</v>
      </c>
      <c r="AC5" t="e">
        <f>AND('SPR BARRANQUILLA'!BC1,"AAAAAH35bxw=")</f>
        <v>#VALUE!</v>
      </c>
      <c r="AD5" t="e">
        <f>AND('SPR BARRANQUILLA'!BD1,"AAAAAH35bx0=")</f>
        <v>#VALUE!</v>
      </c>
      <c r="AE5" t="e">
        <f>AND('SPR BARRANQUILLA'!BE1,"AAAAAH35bx4=")</f>
        <v>#VALUE!</v>
      </c>
      <c r="AF5" t="e">
        <f>AND('SPR BARRANQUILLA'!BF1,"AAAAAH35bx8=")</f>
        <v>#VALUE!</v>
      </c>
      <c r="AG5" t="e">
        <f>AND('SPR BARRANQUILLA'!BG1,"AAAAAH35byA=")</f>
        <v>#VALUE!</v>
      </c>
      <c r="AH5" t="e">
        <f>AND('SPR BARRANQUILLA'!BH1,"AAAAAH35byE=")</f>
        <v>#VALUE!</v>
      </c>
      <c r="AI5" t="e">
        <f>AND('SPR BARRANQUILLA'!BI1,"AAAAAH35byI=")</f>
        <v>#VALUE!</v>
      </c>
      <c r="AJ5" t="e">
        <f>AND('SPR BARRANQUILLA'!BJ1,"AAAAAH35byM=")</f>
        <v>#VALUE!</v>
      </c>
      <c r="AK5" t="e">
        <f>AND('SPR BARRANQUILLA'!BK1,"AAAAAH35byQ=")</f>
        <v>#VALUE!</v>
      </c>
      <c r="AL5" t="e">
        <f>AND('SPR BARRANQUILLA'!BL1,"AAAAAH35byU=")</f>
        <v>#VALUE!</v>
      </c>
      <c r="AM5" t="e">
        <f>AND('SPR BARRANQUILLA'!BM1,"AAAAAH35byY=")</f>
        <v>#VALUE!</v>
      </c>
      <c r="AN5" t="e">
        <f>AND('SPR BARRANQUILLA'!BN1,"AAAAAH35byc=")</f>
        <v>#VALUE!</v>
      </c>
      <c r="AO5" t="e">
        <f>AND('SPR BARRANQUILLA'!BO1,"AAAAAH35byg=")</f>
        <v>#VALUE!</v>
      </c>
      <c r="AP5" t="e">
        <f>AND('SPR BARRANQUILLA'!BP1,"AAAAAH35byk=")</f>
        <v>#VALUE!</v>
      </c>
      <c r="AQ5" t="e">
        <f>AND('SPR BARRANQUILLA'!BQ1,"AAAAAH35byo=")</f>
        <v>#VALUE!</v>
      </c>
      <c r="AR5" t="e">
        <f>AND('SPR BARRANQUILLA'!BR1,"AAAAAH35bys=")</f>
        <v>#VALUE!</v>
      </c>
      <c r="AS5" t="e">
        <f>AND('SPR BARRANQUILLA'!BS1,"AAAAAH35byw=")</f>
        <v>#VALUE!</v>
      </c>
      <c r="AT5" t="e">
        <f>AND('SPR BARRANQUILLA'!BT1,"AAAAAH35by0=")</f>
        <v>#VALUE!</v>
      </c>
      <c r="AU5" t="e">
        <f>AND('SPR BARRANQUILLA'!BU1,"AAAAAH35by4=")</f>
        <v>#VALUE!</v>
      </c>
      <c r="AV5" t="e">
        <f>AND('SPR BARRANQUILLA'!BV1,"AAAAAH35by8=")</f>
        <v>#VALUE!</v>
      </c>
      <c r="AW5" t="e">
        <f>AND('SPR BARRANQUILLA'!BW1,"AAAAAH35bzA=")</f>
        <v>#VALUE!</v>
      </c>
      <c r="AX5" t="e">
        <f>AND('SPR BARRANQUILLA'!BX1,"AAAAAH35bzE=")</f>
        <v>#VALUE!</v>
      </c>
      <c r="AY5" t="e">
        <f>AND('SPR BARRANQUILLA'!BY1,"AAAAAH35bzI=")</f>
        <v>#VALUE!</v>
      </c>
      <c r="AZ5" t="e">
        <f>AND('SPR BARRANQUILLA'!BZ1,"AAAAAH35bzM=")</f>
        <v>#VALUE!</v>
      </c>
      <c r="BA5" t="e">
        <f>AND('SPR BARRANQUILLA'!CA1,"AAAAAH35bzQ=")</f>
        <v>#VALUE!</v>
      </c>
      <c r="BB5" t="e">
        <f>AND('SPR BARRANQUILLA'!CB1,"AAAAAH35bzU=")</f>
        <v>#VALUE!</v>
      </c>
      <c r="BC5" t="e">
        <f>AND('SPR BARRANQUILLA'!CC1,"AAAAAH35bzY=")</f>
        <v>#VALUE!</v>
      </c>
      <c r="BD5" t="e">
        <f>AND('SPR BARRANQUILLA'!CD1,"AAAAAH35bzc=")</f>
        <v>#VALUE!</v>
      </c>
      <c r="BE5" t="e">
        <f>AND('SPR BARRANQUILLA'!CE1,"AAAAAH35bzg=")</f>
        <v>#VALUE!</v>
      </c>
      <c r="BF5" t="e">
        <f>AND('SPR BARRANQUILLA'!CF1,"AAAAAH35bzk=")</f>
        <v>#VALUE!</v>
      </c>
      <c r="BG5" t="e">
        <f>AND('SPR BARRANQUILLA'!CG1,"AAAAAH35bzo=")</f>
        <v>#VALUE!</v>
      </c>
      <c r="BH5" t="e">
        <f>AND('SPR BARRANQUILLA'!CH1,"AAAAAH35bzs=")</f>
        <v>#VALUE!</v>
      </c>
      <c r="BI5" t="e">
        <f>AND('SPR BARRANQUILLA'!CI1,"AAAAAH35bzw=")</f>
        <v>#VALUE!</v>
      </c>
      <c r="BJ5" t="e">
        <f>AND('SPR BARRANQUILLA'!CJ1,"AAAAAH35bz0=")</f>
        <v>#VALUE!</v>
      </c>
      <c r="BK5" t="e">
        <f>AND('SPR BARRANQUILLA'!CK1,"AAAAAH35bz4=")</f>
        <v>#VALUE!</v>
      </c>
      <c r="BL5" t="e">
        <f>AND('SPR BARRANQUILLA'!CL1,"AAAAAH35bz8=")</f>
        <v>#VALUE!</v>
      </c>
      <c r="BM5" t="e">
        <f>AND('SPR BARRANQUILLA'!CM1,"AAAAAH35b0A=")</f>
        <v>#VALUE!</v>
      </c>
      <c r="BN5" t="e">
        <f>AND('SPR BARRANQUILLA'!CN1,"AAAAAH35b0E=")</f>
        <v>#VALUE!</v>
      </c>
      <c r="BO5" t="e">
        <f>AND('SPR BARRANQUILLA'!CO1,"AAAAAH35b0I=")</f>
        <v>#VALUE!</v>
      </c>
      <c r="BP5" t="e">
        <f>AND('SPR BARRANQUILLA'!CP1,"AAAAAH35b0M=")</f>
        <v>#VALUE!</v>
      </c>
      <c r="BQ5" t="e">
        <f>AND('SPR BARRANQUILLA'!CQ1,"AAAAAH35b0Q=")</f>
        <v>#VALUE!</v>
      </c>
      <c r="BR5" t="e">
        <f>AND('SPR BARRANQUILLA'!CR1,"AAAAAH35b0U=")</f>
        <v>#VALUE!</v>
      </c>
      <c r="BS5" t="e">
        <f>AND('SPR BARRANQUILLA'!CS1,"AAAAAH35b0Y=")</f>
        <v>#VALUE!</v>
      </c>
      <c r="BT5" t="e">
        <f>AND('SPR BARRANQUILLA'!CT1,"AAAAAH35b0c=")</f>
        <v>#VALUE!</v>
      </c>
      <c r="BU5" t="e">
        <f>AND('SPR BARRANQUILLA'!CU1,"AAAAAH35b0g=")</f>
        <v>#VALUE!</v>
      </c>
      <c r="BV5" t="e">
        <f>AND('SPR BARRANQUILLA'!CV1,"AAAAAH35b0k=")</f>
        <v>#VALUE!</v>
      </c>
      <c r="BW5" t="e">
        <f>AND('SPR BARRANQUILLA'!CW1,"AAAAAH35b0o=")</f>
        <v>#VALUE!</v>
      </c>
      <c r="BX5" t="e">
        <f>AND('SPR BARRANQUILLA'!CX1,"AAAAAH35b0s=")</f>
        <v>#VALUE!</v>
      </c>
      <c r="BY5" t="e">
        <f>AND('SPR BARRANQUILLA'!CY1,"AAAAAH35b0w=")</f>
        <v>#VALUE!</v>
      </c>
      <c r="BZ5" t="e">
        <f>AND('SPR BARRANQUILLA'!CZ1,"AAAAAH35b00=")</f>
        <v>#VALUE!</v>
      </c>
      <c r="CA5" t="e">
        <f>AND('SPR BARRANQUILLA'!DA1,"AAAAAH35b04=")</f>
        <v>#VALUE!</v>
      </c>
      <c r="CB5" t="e">
        <f>AND('SPR BARRANQUILLA'!DB1,"AAAAAH35b08=")</f>
        <v>#VALUE!</v>
      </c>
      <c r="CC5" t="e">
        <f>AND('SPR BARRANQUILLA'!DC1,"AAAAAH35b1A=")</f>
        <v>#VALUE!</v>
      </c>
      <c r="CD5" t="e">
        <f>AND('SPR BARRANQUILLA'!DD1,"AAAAAH35b1E=")</f>
        <v>#VALUE!</v>
      </c>
      <c r="CE5" t="e">
        <f>AND('SPR BARRANQUILLA'!DE1,"AAAAAH35b1I=")</f>
        <v>#VALUE!</v>
      </c>
      <c r="CF5" t="e">
        <f>AND('SPR BARRANQUILLA'!DF1,"AAAAAH35b1M=")</f>
        <v>#VALUE!</v>
      </c>
      <c r="CG5" t="e">
        <f>AND('SPR BARRANQUILLA'!DG1,"AAAAAH35b1Q=")</f>
        <v>#VALUE!</v>
      </c>
      <c r="CH5" t="e">
        <f>AND('SPR BARRANQUILLA'!DH1,"AAAAAH35b1U=")</f>
        <v>#VALUE!</v>
      </c>
      <c r="CI5" t="e">
        <f>AND('SPR BARRANQUILLA'!DI1,"AAAAAH35b1Y=")</f>
        <v>#VALUE!</v>
      </c>
      <c r="CJ5" t="e">
        <f>AND('SPR BARRANQUILLA'!DJ1,"AAAAAH35b1c=")</f>
        <v>#VALUE!</v>
      </c>
      <c r="CK5" t="e">
        <f>AND('SPR BARRANQUILLA'!DK1,"AAAAAH35b1g=")</f>
        <v>#VALUE!</v>
      </c>
      <c r="CL5" t="e">
        <f>AND('SPR BARRANQUILLA'!DL1,"AAAAAH35b1k=")</f>
        <v>#VALUE!</v>
      </c>
      <c r="CM5" t="e">
        <f>AND('SPR BARRANQUILLA'!DM1,"AAAAAH35b1o=")</f>
        <v>#VALUE!</v>
      </c>
      <c r="CN5" t="e">
        <f>AND('SPR BARRANQUILLA'!DN1,"AAAAAH35b1s=")</f>
        <v>#VALUE!</v>
      </c>
      <c r="CO5" t="e">
        <f>AND('SPR BARRANQUILLA'!DO1,"AAAAAH35b1w=")</f>
        <v>#VALUE!</v>
      </c>
      <c r="CP5" t="e">
        <f>AND('SPR BARRANQUILLA'!DP1,"AAAAAH35b10=")</f>
        <v>#VALUE!</v>
      </c>
      <c r="CQ5" t="e">
        <f>AND('SPR BARRANQUILLA'!DQ1,"AAAAAH35b14=")</f>
        <v>#VALUE!</v>
      </c>
      <c r="CR5" t="e">
        <f>AND('SPR BARRANQUILLA'!DR1,"AAAAAH35b18=")</f>
        <v>#VALUE!</v>
      </c>
      <c r="CS5" t="e">
        <f>AND('SPR BARRANQUILLA'!DS1,"AAAAAH35b2A=")</f>
        <v>#VALUE!</v>
      </c>
      <c r="CT5" t="e">
        <f>AND('SPR BARRANQUILLA'!DT1,"AAAAAH35b2E=")</f>
        <v>#VALUE!</v>
      </c>
      <c r="CU5" t="e">
        <f>AND('SPR BARRANQUILLA'!DU1,"AAAAAH35b2I=")</f>
        <v>#VALUE!</v>
      </c>
      <c r="CV5" t="e">
        <f>AND('SPR BARRANQUILLA'!DV1,"AAAAAH35b2M=")</f>
        <v>#VALUE!</v>
      </c>
      <c r="CW5" t="e">
        <f>AND('SPR BARRANQUILLA'!DW1,"AAAAAH35b2Q=")</f>
        <v>#VALUE!</v>
      </c>
      <c r="CX5" t="e">
        <f>AND('SPR BARRANQUILLA'!DX1,"AAAAAH35b2U=")</f>
        <v>#VALUE!</v>
      </c>
      <c r="CY5" t="e">
        <f>AND('SPR BARRANQUILLA'!DY1,"AAAAAH35b2Y=")</f>
        <v>#VALUE!</v>
      </c>
      <c r="CZ5" t="e">
        <f>AND('SPR BARRANQUILLA'!DZ1,"AAAAAH35b2c=")</f>
        <v>#VALUE!</v>
      </c>
      <c r="DA5" t="e">
        <f>AND('SPR BARRANQUILLA'!EA1,"AAAAAH35b2g=")</f>
        <v>#VALUE!</v>
      </c>
      <c r="DB5" t="e">
        <f>AND('SPR BARRANQUILLA'!EB1,"AAAAAH35b2k=")</f>
        <v>#VALUE!</v>
      </c>
      <c r="DC5" t="e">
        <f>AND('SPR BARRANQUILLA'!EC1,"AAAAAH35b2o=")</f>
        <v>#VALUE!</v>
      </c>
      <c r="DD5" t="e">
        <f>AND('SPR BARRANQUILLA'!ED1,"AAAAAH35b2s=")</f>
        <v>#VALUE!</v>
      </c>
      <c r="DE5" t="e">
        <f>AND('SPR BARRANQUILLA'!EE1,"AAAAAH35b2w=")</f>
        <v>#VALUE!</v>
      </c>
      <c r="DF5" t="e">
        <f>AND('SPR BARRANQUILLA'!EF1,"AAAAAH35b20=")</f>
        <v>#VALUE!</v>
      </c>
      <c r="DG5" t="e">
        <f>AND('SPR BARRANQUILLA'!EG1,"AAAAAH35b24=")</f>
        <v>#VALUE!</v>
      </c>
      <c r="DH5" t="e">
        <f>AND('SPR BARRANQUILLA'!EH1,"AAAAAH35b28=")</f>
        <v>#VALUE!</v>
      </c>
      <c r="DI5" t="e">
        <f>AND('SPR BARRANQUILLA'!EI1,"AAAAAH35b3A=")</f>
        <v>#VALUE!</v>
      </c>
      <c r="DJ5" t="e">
        <f>AND('SPR BARRANQUILLA'!EJ1,"AAAAAH35b3E=")</f>
        <v>#VALUE!</v>
      </c>
      <c r="DK5" t="e">
        <f>AND('SPR BARRANQUILLA'!EK1,"AAAAAH35b3I=")</f>
        <v>#VALUE!</v>
      </c>
      <c r="DL5" t="e">
        <f>AND('SPR BARRANQUILLA'!EL1,"AAAAAH35b3M=")</f>
        <v>#VALUE!</v>
      </c>
      <c r="DM5" t="e">
        <f>AND('SPR BARRANQUILLA'!EM1,"AAAAAH35b3Q=")</f>
        <v>#VALUE!</v>
      </c>
      <c r="DN5" t="e">
        <f>AND('SPR BARRANQUILLA'!EN1,"AAAAAH35b3U=")</f>
        <v>#VALUE!</v>
      </c>
      <c r="DO5" t="e">
        <f>AND('SPR BARRANQUILLA'!EO1,"AAAAAH35b3Y=")</f>
        <v>#VALUE!</v>
      </c>
      <c r="DP5" t="e">
        <f>AND('SPR BARRANQUILLA'!EP1,"AAAAAH35b3c=")</f>
        <v>#VALUE!</v>
      </c>
      <c r="DQ5" t="e">
        <f>AND('SPR BARRANQUILLA'!EQ1,"AAAAAH35b3g=")</f>
        <v>#VALUE!</v>
      </c>
      <c r="DR5" t="e">
        <f>AND('SPR BARRANQUILLA'!ER1,"AAAAAH35b3k=")</f>
        <v>#VALUE!</v>
      </c>
      <c r="DS5" t="e">
        <f>AND('SPR BARRANQUILLA'!ES1,"AAAAAH35b3o=")</f>
        <v>#VALUE!</v>
      </c>
      <c r="DT5" t="e">
        <f>AND('SPR BARRANQUILLA'!ET1,"AAAAAH35b3s=")</f>
        <v>#VALUE!</v>
      </c>
      <c r="DU5" t="e">
        <f>AND('SPR BARRANQUILLA'!EU1,"AAAAAH35b3w=")</f>
        <v>#VALUE!</v>
      </c>
      <c r="DV5" t="e">
        <f>AND('SPR BARRANQUILLA'!EV1,"AAAAAH35b30=")</f>
        <v>#VALUE!</v>
      </c>
      <c r="DW5" t="e">
        <f>AND('SPR BARRANQUILLA'!EW1,"AAAAAH35b34=")</f>
        <v>#VALUE!</v>
      </c>
      <c r="DX5" t="e">
        <f>AND('SPR BARRANQUILLA'!EX1,"AAAAAH35b38=")</f>
        <v>#VALUE!</v>
      </c>
      <c r="DY5" t="e">
        <f>AND('SPR BARRANQUILLA'!EY1,"AAAAAH35b4A=")</f>
        <v>#VALUE!</v>
      </c>
      <c r="DZ5" t="e">
        <f>AND('SPR BARRANQUILLA'!EZ1,"AAAAAH35b4E=")</f>
        <v>#VALUE!</v>
      </c>
      <c r="EA5" t="e">
        <f>AND('SPR BARRANQUILLA'!FA1,"AAAAAH35b4I=")</f>
        <v>#VALUE!</v>
      </c>
      <c r="EB5" t="e">
        <f>AND('SPR BARRANQUILLA'!FB1,"AAAAAH35b4M=")</f>
        <v>#VALUE!</v>
      </c>
      <c r="EC5" t="e">
        <f>AND('SPR BARRANQUILLA'!FC1,"AAAAAH35b4Q=")</f>
        <v>#VALUE!</v>
      </c>
      <c r="ED5" t="e">
        <f>AND('SPR BARRANQUILLA'!FD1,"AAAAAH35b4U=")</f>
        <v>#VALUE!</v>
      </c>
      <c r="EE5" t="e">
        <f>AND('SPR BARRANQUILLA'!FE1,"AAAAAH35b4Y=")</f>
        <v>#VALUE!</v>
      </c>
      <c r="EF5" t="e">
        <f>AND('SPR BARRANQUILLA'!FF1,"AAAAAH35b4c=")</f>
        <v>#VALUE!</v>
      </c>
      <c r="EG5" t="e">
        <f>AND('SPR BARRANQUILLA'!FG1,"AAAAAH35b4g=")</f>
        <v>#VALUE!</v>
      </c>
      <c r="EH5" t="e">
        <f>AND('SPR BARRANQUILLA'!FH1,"AAAAAH35b4k=")</f>
        <v>#VALUE!</v>
      </c>
      <c r="EI5" t="e">
        <f>AND('SPR BARRANQUILLA'!FI1,"AAAAAH35b4o=")</f>
        <v>#VALUE!</v>
      </c>
      <c r="EJ5" t="e">
        <f>AND('SPR BARRANQUILLA'!FJ1,"AAAAAH35b4s=")</f>
        <v>#VALUE!</v>
      </c>
      <c r="EK5" t="e">
        <f>AND('SPR BARRANQUILLA'!FK1,"AAAAAH35b4w=")</f>
        <v>#VALUE!</v>
      </c>
      <c r="EL5" t="e">
        <f>AND('SPR BARRANQUILLA'!FL1,"AAAAAH35b40=")</f>
        <v>#VALUE!</v>
      </c>
      <c r="EM5" t="e">
        <f>AND('SPR BARRANQUILLA'!FM1,"AAAAAH35b44=")</f>
        <v>#VALUE!</v>
      </c>
      <c r="EN5" t="e">
        <f>AND('SPR BARRANQUILLA'!FN1,"AAAAAH35b48=")</f>
        <v>#VALUE!</v>
      </c>
      <c r="EO5" t="e">
        <f>AND('SPR BARRANQUILLA'!FO1,"AAAAAH35b5A=")</f>
        <v>#VALUE!</v>
      </c>
      <c r="EP5" t="e">
        <f>AND('SPR BARRANQUILLA'!FP1,"AAAAAH35b5E=")</f>
        <v>#VALUE!</v>
      </c>
      <c r="EQ5" t="e">
        <f>AND('SPR BARRANQUILLA'!FQ1,"AAAAAH35b5I=")</f>
        <v>#VALUE!</v>
      </c>
      <c r="ER5" t="e">
        <f>AND('SPR BARRANQUILLA'!FR1,"AAAAAH35b5M=")</f>
        <v>#VALUE!</v>
      </c>
      <c r="ES5" t="e">
        <f>AND('SPR BARRANQUILLA'!FS1,"AAAAAH35b5Q=")</f>
        <v>#VALUE!</v>
      </c>
      <c r="ET5" t="e">
        <f>AND('SPR BARRANQUILLA'!FT1,"AAAAAH35b5U=")</f>
        <v>#VALUE!</v>
      </c>
      <c r="EU5" t="e">
        <f>AND('SPR BARRANQUILLA'!FU1,"AAAAAH35b5Y=")</f>
        <v>#VALUE!</v>
      </c>
      <c r="EV5" t="e">
        <f>AND('SPR BARRANQUILLA'!FV1,"AAAAAH35b5c=")</f>
        <v>#VALUE!</v>
      </c>
      <c r="EW5" t="e">
        <f>AND('SPR BARRANQUILLA'!FW1,"AAAAAH35b5g=")</f>
        <v>#VALUE!</v>
      </c>
      <c r="EX5" t="e">
        <f>AND('SPR BARRANQUILLA'!FX1,"AAAAAH35b5k=")</f>
        <v>#VALUE!</v>
      </c>
      <c r="EY5" t="e">
        <f>AND('SPR BARRANQUILLA'!FY1,"AAAAAH35b5o=")</f>
        <v>#VALUE!</v>
      </c>
      <c r="EZ5" t="e">
        <f>AND('SPR BARRANQUILLA'!FZ1,"AAAAAH35b5s=")</f>
        <v>#VALUE!</v>
      </c>
      <c r="FA5" t="e">
        <f>AND('SPR BARRANQUILLA'!GA1,"AAAAAH35b5w=")</f>
        <v>#VALUE!</v>
      </c>
      <c r="FB5" t="e">
        <f>AND('SPR BARRANQUILLA'!GB1,"AAAAAH35b50=")</f>
        <v>#VALUE!</v>
      </c>
      <c r="FC5" t="e">
        <f>AND('SPR BARRANQUILLA'!GC1,"AAAAAH35b54=")</f>
        <v>#VALUE!</v>
      </c>
      <c r="FD5" t="e">
        <f>AND('SPR BARRANQUILLA'!GD1,"AAAAAH35b58=")</f>
        <v>#VALUE!</v>
      </c>
      <c r="FE5" t="e">
        <f>AND('SPR BARRANQUILLA'!GE1,"AAAAAH35b6A=")</f>
        <v>#VALUE!</v>
      </c>
      <c r="FF5" t="e">
        <f>AND('SPR BARRANQUILLA'!GF1,"AAAAAH35b6E=")</f>
        <v>#VALUE!</v>
      </c>
      <c r="FG5" t="e">
        <f>AND('SPR BARRANQUILLA'!GG1,"AAAAAH35b6I=")</f>
        <v>#VALUE!</v>
      </c>
      <c r="FH5" t="e">
        <f>AND('SPR BARRANQUILLA'!GH1,"AAAAAH35b6M=")</f>
        <v>#VALUE!</v>
      </c>
      <c r="FI5" t="e">
        <f>AND('SPR BARRANQUILLA'!GI1,"AAAAAH35b6Q=")</f>
        <v>#VALUE!</v>
      </c>
      <c r="FJ5" t="e">
        <f>AND('SPR BARRANQUILLA'!GJ1,"AAAAAH35b6U=")</f>
        <v>#VALUE!</v>
      </c>
      <c r="FK5" t="e">
        <f>AND('SPR BARRANQUILLA'!GK1,"AAAAAH35b6Y=")</f>
        <v>#VALUE!</v>
      </c>
      <c r="FL5" t="e">
        <f>AND('SPR BARRANQUILLA'!GL1,"AAAAAH35b6c=")</f>
        <v>#VALUE!</v>
      </c>
      <c r="FM5" t="e">
        <f>AND('SPR BARRANQUILLA'!GM1,"AAAAAH35b6g=")</f>
        <v>#VALUE!</v>
      </c>
      <c r="FN5" t="e">
        <f>AND('SPR BARRANQUILLA'!GN1,"AAAAAH35b6k=")</f>
        <v>#VALUE!</v>
      </c>
      <c r="FO5" t="e">
        <f>AND('SPR BARRANQUILLA'!GO1,"AAAAAH35b6o=")</f>
        <v>#VALUE!</v>
      </c>
      <c r="FP5" t="e">
        <f>AND('SPR BARRANQUILLA'!GP1,"AAAAAH35b6s=")</f>
        <v>#VALUE!</v>
      </c>
      <c r="FQ5" t="e">
        <f>AND('SPR BARRANQUILLA'!GQ1,"AAAAAH35b6w=")</f>
        <v>#VALUE!</v>
      </c>
      <c r="FR5" t="e">
        <f>AND('SPR BARRANQUILLA'!GR1,"AAAAAH35b60=")</f>
        <v>#VALUE!</v>
      </c>
      <c r="FS5" t="e">
        <f>AND('SPR BARRANQUILLA'!GS1,"AAAAAH35b64=")</f>
        <v>#VALUE!</v>
      </c>
      <c r="FT5" t="e">
        <f>AND('SPR BARRANQUILLA'!GT1,"AAAAAH35b68=")</f>
        <v>#VALUE!</v>
      </c>
      <c r="FU5" t="e">
        <f>AND('SPR BARRANQUILLA'!GU1,"AAAAAH35b7A=")</f>
        <v>#VALUE!</v>
      </c>
      <c r="FV5" t="e">
        <f>AND('SPR BARRANQUILLA'!GV1,"AAAAAH35b7E=")</f>
        <v>#VALUE!</v>
      </c>
      <c r="FW5" t="e">
        <f>AND('SPR BARRANQUILLA'!GW1,"AAAAAH35b7I=")</f>
        <v>#VALUE!</v>
      </c>
      <c r="FX5" t="e">
        <f>AND('SPR BARRANQUILLA'!GX1,"AAAAAH35b7M=")</f>
        <v>#VALUE!</v>
      </c>
      <c r="FY5" t="e">
        <f>AND('SPR BARRANQUILLA'!GY1,"AAAAAH35b7Q=")</f>
        <v>#VALUE!</v>
      </c>
      <c r="FZ5">
        <f>IF('SPR BARRANQUILLA'!2:2,"AAAAAH35b7U=",0)</f>
        <v>0</v>
      </c>
      <c r="GA5" t="e">
        <f>AND('SPR BARRANQUILLA'!A2,"AAAAAH35b7Y=")</f>
        <v>#VALUE!</v>
      </c>
      <c r="GB5" t="e">
        <f>AND('SPR BARRANQUILLA'!B2,"AAAAAH35b7c=")</f>
        <v>#VALUE!</v>
      </c>
      <c r="GC5" t="e">
        <f>AND('SPR BARRANQUILLA'!C2,"AAAAAH35b7g=")</f>
        <v>#VALUE!</v>
      </c>
      <c r="GD5" t="e">
        <f>AND('SPR BARRANQUILLA'!D2,"AAAAAH35b7k=")</f>
        <v>#VALUE!</v>
      </c>
      <c r="GE5" t="e">
        <f>AND('SPR BARRANQUILLA'!E2,"AAAAAH35b7o=")</f>
        <v>#VALUE!</v>
      </c>
      <c r="GF5" t="e">
        <f>AND('SPR BARRANQUILLA'!F2,"AAAAAH35b7s=")</f>
        <v>#VALUE!</v>
      </c>
      <c r="GG5" t="e">
        <f>AND('SPR BARRANQUILLA'!G2,"AAAAAH35b7w=")</f>
        <v>#VALUE!</v>
      </c>
      <c r="GH5" t="e">
        <f>AND('SPR BARRANQUILLA'!H2,"AAAAAH35b70=")</f>
        <v>#VALUE!</v>
      </c>
      <c r="GI5" t="e">
        <f>AND('SPR BARRANQUILLA'!I2,"AAAAAH35b74=")</f>
        <v>#VALUE!</v>
      </c>
      <c r="GJ5" t="e">
        <f>AND('SPR BARRANQUILLA'!J2,"AAAAAH35b78=")</f>
        <v>#VALUE!</v>
      </c>
      <c r="GK5" t="e">
        <f>AND('SPR BARRANQUILLA'!K2,"AAAAAH35b8A=")</f>
        <v>#VALUE!</v>
      </c>
      <c r="GL5" t="e">
        <f>AND('SPR BARRANQUILLA'!L2,"AAAAAH35b8E=")</f>
        <v>#VALUE!</v>
      </c>
      <c r="GM5" t="e">
        <f>AND('SPR BARRANQUILLA'!M2,"AAAAAH35b8I=")</f>
        <v>#VALUE!</v>
      </c>
      <c r="GN5" t="e">
        <f>AND('SPR BARRANQUILLA'!N2,"AAAAAH35b8M=")</f>
        <v>#VALUE!</v>
      </c>
      <c r="GO5" t="e">
        <f>AND('SPR BARRANQUILLA'!O2,"AAAAAH35b8Q=")</f>
        <v>#VALUE!</v>
      </c>
      <c r="GP5" t="e">
        <f>AND('SPR BARRANQUILLA'!P2,"AAAAAH35b8U=")</f>
        <v>#VALUE!</v>
      </c>
      <c r="GQ5" t="e">
        <f>AND('SPR BARRANQUILLA'!Q2,"AAAAAH35b8Y=")</f>
        <v>#VALUE!</v>
      </c>
      <c r="GR5" t="e">
        <f>AND('SPR BARRANQUILLA'!R2,"AAAAAH35b8c=")</f>
        <v>#VALUE!</v>
      </c>
      <c r="GS5" t="e">
        <f>AND('SPR BARRANQUILLA'!S2,"AAAAAH35b8g=")</f>
        <v>#VALUE!</v>
      </c>
      <c r="GT5" t="e">
        <f>AND('SPR BARRANQUILLA'!T2,"AAAAAH35b8k=")</f>
        <v>#VALUE!</v>
      </c>
      <c r="GU5" t="e">
        <f>AND('SPR BARRANQUILLA'!U2,"AAAAAH35b8o=")</f>
        <v>#VALUE!</v>
      </c>
      <c r="GV5" t="e">
        <f>AND('SPR BARRANQUILLA'!V2,"AAAAAH35b8s=")</f>
        <v>#VALUE!</v>
      </c>
      <c r="GW5" t="e">
        <f>AND('SPR BARRANQUILLA'!W2,"AAAAAH35b8w=")</f>
        <v>#VALUE!</v>
      </c>
      <c r="GX5" t="e">
        <f>AND('SPR BARRANQUILLA'!X2,"AAAAAH35b80=")</f>
        <v>#VALUE!</v>
      </c>
      <c r="GY5" t="e">
        <f>AND('SPR BARRANQUILLA'!Y2,"AAAAAH35b84=")</f>
        <v>#VALUE!</v>
      </c>
      <c r="GZ5" t="e">
        <f>AND('SPR BARRANQUILLA'!Z2,"AAAAAH35b88=")</f>
        <v>#VALUE!</v>
      </c>
      <c r="HA5" t="e">
        <f>AND('SPR BARRANQUILLA'!AA2,"AAAAAH35b9A=")</f>
        <v>#VALUE!</v>
      </c>
      <c r="HB5" t="e">
        <f>AND('SPR BARRANQUILLA'!AB2,"AAAAAH35b9E=")</f>
        <v>#VALUE!</v>
      </c>
      <c r="HC5" t="e">
        <f>AND('SPR BARRANQUILLA'!AC2,"AAAAAH35b9I=")</f>
        <v>#VALUE!</v>
      </c>
      <c r="HD5" t="e">
        <f>AND('SPR BARRANQUILLA'!AD2,"AAAAAH35b9M=")</f>
        <v>#VALUE!</v>
      </c>
      <c r="HE5" t="e">
        <f>AND('SPR BARRANQUILLA'!AE2,"AAAAAH35b9Q=")</f>
        <v>#VALUE!</v>
      </c>
      <c r="HF5" t="e">
        <f>AND('SPR BARRANQUILLA'!AF2,"AAAAAH35b9U=")</f>
        <v>#VALUE!</v>
      </c>
      <c r="HG5" t="e">
        <f>AND('SPR BARRANQUILLA'!AG2,"AAAAAH35b9Y=")</f>
        <v>#VALUE!</v>
      </c>
      <c r="HH5" t="e">
        <f>AND('SPR BARRANQUILLA'!AH2,"AAAAAH35b9c=")</f>
        <v>#VALUE!</v>
      </c>
      <c r="HI5" t="e">
        <f>AND('SPR BARRANQUILLA'!AI2,"AAAAAH35b9g=")</f>
        <v>#VALUE!</v>
      </c>
      <c r="HJ5" t="e">
        <f>AND('SPR BARRANQUILLA'!AJ2,"AAAAAH35b9k=")</f>
        <v>#VALUE!</v>
      </c>
      <c r="HK5" t="e">
        <f>AND('SPR BARRANQUILLA'!AK2,"AAAAAH35b9o=")</f>
        <v>#VALUE!</v>
      </c>
      <c r="HL5" t="e">
        <f>AND('SPR BARRANQUILLA'!AL2,"AAAAAH35b9s=")</f>
        <v>#VALUE!</v>
      </c>
      <c r="HM5" t="e">
        <f>AND('SPR BARRANQUILLA'!AM2,"AAAAAH35b9w=")</f>
        <v>#VALUE!</v>
      </c>
      <c r="HN5" t="e">
        <f>AND('SPR BARRANQUILLA'!AN2,"AAAAAH35b90=")</f>
        <v>#VALUE!</v>
      </c>
      <c r="HO5" t="e">
        <f>AND('SPR BARRANQUILLA'!AO2,"AAAAAH35b94=")</f>
        <v>#VALUE!</v>
      </c>
      <c r="HP5" t="e">
        <f>AND('SPR BARRANQUILLA'!AP2,"AAAAAH35b98=")</f>
        <v>#VALUE!</v>
      </c>
      <c r="HQ5" t="e">
        <f>AND('SPR BARRANQUILLA'!AQ2,"AAAAAH35b+A=")</f>
        <v>#VALUE!</v>
      </c>
      <c r="HR5" t="e">
        <f>AND('SPR BARRANQUILLA'!AR2,"AAAAAH35b+E=")</f>
        <v>#VALUE!</v>
      </c>
      <c r="HS5" t="e">
        <f>AND('SPR BARRANQUILLA'!AS2,"AAAAAH35b+I=")</f>
        <v>#VALUE!</v>
      </c>
      <c r="HT5" t="e">
        <f>AND('SPR BARRANQUILLA'!AT2,"AAAAAH35b+M=")</f>
        <v>#VALUE!</v>
      </c>
      <c r="HU5" t="e">
        <f>AND('SPR BARRANQUILLA'!AU2,"AAAAAH35b+Q=")</f>
        <v>#VALUE!</v>
      </c>
      <c r="HV5" t="e">
        <f>AND('SPR BARRANQUILLA'!AV2,"AAAAAH35b+U=")</f>
        <v>#VALUE!</v>
      </c>
      <c r="HW5" t="e">
        <f>AND('SPR BARRANQUILLA'!AW2,"AAAAAH35b+Y=")</f>
        <v>#VALUE!</v>
      </c>
      <c r="HX5" t="e">
        <f>AND('SPR BARRANQUILLA'!AX2,"AAAAAH35b+c=")</f>
        <v>#VALUE!</v>
      </c>
      <c r="HY5" t="e">
        <f>AND('SPR BARRANQUILLA'!AY2,"AAAAAH35b+g=")</f>
        <v>#VALUE!</v>
      </c>
      <c r="HZ5" t="e">
        <f>AND('SPR BARRANQUILLA'!AZ2,"AAAAAH35b+k=")</f>
        <v>#VALUE!</v>
      </c>
      <c r="IA5" t="e">
        <f>AND('SPR BARRANQUILLA'!BA2,"AAAAAH35b+o=")</f>
        <v>#VALUE!</v>
      </c>
      <c r="IB5" t="e">
        <f>AND('SPR BARRANQUILLA'!BB2,"AAAAAH35b+s=")</f>
        <v>#VALUE!</v>
      </c>
      <c r="IC5" t="e">
        <f>AND('SPR BARRANQUILLA'!BC2,"AAAAAH35b+w=")</f>
        <v>#VALUE!</v>
      </c>
      <c r="ID5" t="e">
        <f>AND('SPR BARRANQUILLA'!BD2,"AAAAAH35b+0=")</f>
        <v>#VALUE!</v>
      </c>
      <c r="IE5" t="e">
        <f>AND('SPR BARRANQUILLA'!BE2,"AAAAAH35b+4=")</f>
        <v>#VALUE!</v>
      </c>
      <c r="IF5" t="e">
        <f>AND('SPR BARRANQUILLA'!BF2,"AAAAAH35b+8=")</f>
        <v>#VALUE!</v>
      </c>
      <c r="IG5" t="e">
        <f>AND('SPR BARRANQUILLA'!BG2,"AAAAAH35b/A=")</f>
        <v>#VALUE!</v>
      </c>
      <c r="IH5" t="e">
        <f>AND('SPR BARRANQUILLA'!BH2,"AAAAAH35b/E=")</f>
        <v>#VALUE!</v>
      </c>
      <c r="II5" t="e">
        <f>AND('SPR BARRANQUILLA'!BI2,"AAAAAH35b/I=")</f>
        <v>#VALUE!</v>
      </c>
      <c r="IJ5" t="e">
        <f>AND('SPR BARRANQUILLA'!BJ2,"AAAAAH35b/M=")</f>
        <v>#VALUE!</v>
      </c>
      <c r="IK5" t="e">
        <f>AND('SPR BARRANQUILLA'!BK2,"AAAAAH35b/Q=")</f>
        <v>#VALUE!</v>
      </c>
      <c r="IL5" t="e">
        <f>AND('SPR BARRANQUILLA'!BL2,"AAAAAH35b/U=")</f>
        <v>#VALUE!</v>
      </c>
      <c r="IM5" t="e">
        <f>AND('SPR BARRANQUILLA'!BM2,"AAAAAH35b/Y=")</f>
        <v>#VALUE!</v>
      </c>
      <c r="IN5" t="e">
        <f>AND('SPR BARRANQUILLA'!BN2,"AAAAAH35b/c=")</f>
        <v>#VALUE!</v>
      </c>
      <c r="IO5" t="e">
        <f>AND('SPR BARRANQUILLA'!BO2,"AAAAAH35b/g=")</f>
        <v>#VALUE!</v>
      </c>
      <c r="IP5" t="e">
        <f>AND('SPR BARRANQUILLA'!BP2,"AAAAAH35b/k=")</f>
        <v>#VALUE!</v>
      </c>
      <c r="IQ5" t="e">
        <f>AND('SPR BARRANQUILLA'!BQ2,"AAAAAH35b/o=")</f>
        <v>#VALUE!</v>
      </c>
      <c r="IR5" t="e">
        <f>AND('SPR BARRANQUILLA'!BR2,"AAAAAH35b/s=")</f>
        <v>#VALUE!</v>
      </c>
      <c r="IS5" t="e">
        <f>AND('SPR BARRANQUILLA'!BS2,"AAAAAH35b/w=")</f>
        <v>#VALUE!</v>
      </c>
      <c r="IT5" t="e">
        <f>AND('SPR BARRANQUILLA'!BT2,"AAAAAH35b/0=")</f>
        <v>#VALUE!</v>
      </c>
      <c r="IU5" t="e">
        <f>AND('SPR BARRANQUILLA'!BU2,"AAAAAH35b/4=")</f>
        <v>#VALUE!</v>
      </c>
      <c r="IV5" t="e">
        <f>AND('SPR BARRANQUILLA'!BV2,"AAAAAH35b/8=")</f>
        <v>#VALUE!</v>
      </c>
    </row>
    <row r="6" spans="1:256">
      <c r="A6" t="e">
        <f>AND('SPR BARRANQUILLA'!BW2,"AAAAABO+tgA=")</f>
        <v>#VALUE!</v>
      </c>
      <c r="B6" t="e">
        <f>AND('SPR BARRANQUILLA'!BX2,"AAAAABO+tgE=")</f>
        <v>#VALUE!</v>
      </c>
      <c r="C6" t="e">
        <f>AND('SPR BARRANQUILLA'!BY2,"AAAAABO+tgI=")</f>
        <v>#VALUE!</v>
      </c>
      <c r="D6" t="e">
        <f>AND('SPR BARRANQUILLA'!BZ2,"AAAAABO+tgM=")</f>
        <v>#VALUE!</v>
      </c>
      <c r="E6" t="e">
        <f>AND('SPR BARRANQUILLA'!CA2,"AAAAABO+tgQ=")</f>
        <v>#VALUE!</v>
      </c>
      <c r="F6" t="e">
        <f>AND('SPR BARRANQUILLA'!CB2,"AAAAABO+tgU=")</f>
        <v>#VALUE!</v>
      </c>
      <c r="G6" t="e">
        <f>AND('SPR BARRANQUILLA'!CC2,"AAAAABO+tgY=")</f>
        <v>#VALUE!</v>
      </c>
      <c r="H6" t="e">
        <f>AND('SPR BARRANQUILLA'!CD2,"AAAAABO+tgc=")</f>
        <v>#VALUE!</v>
      </c>
      <c r="I6" t="e">
        <f>AND('SPR BARRANQUILLA'!CE2,"AAAAABO+tgg=")</f>
        <v>#VALUE!</v>
      </c>
      <c r="J6" t="e">
        <f>AND('SPR BARRANQUILLA'!CF2,"AAAAABO+tgk=")</f>
        <v>#VALUE!</v>
      </c>
      <c r="K6" t="e">
        <f>AND('SPR BARRANQUILLA'!CG2,"AAAAABO+tgo=")</f>
        <v>#VALUE!</v>
      </c>
      <c r="L6" t="e">
        <f>AND('SPR BARRANQUILLA'!CH2,"AAAAABO+tgs=")</f>
        <v>#VALUE!</v>
      </c>
      <c r="M6" t="e">
        <f>AND('SPR BARRANQUILLA'!CI2,"AAAAABO+tgw=")</f>
        <v>#VALUE!</v>
      </c>
      <c r="N6" t="e">
        <f>AND('SPR BARRANQUILLA'!CJ2,"AAAAABO+tg0=")</f>
        <v>#VALUE!</v>
      </c>
      <c r="O6" t="e">
        <f>AND('SPR BARRANQUILLA'!CK2,"AAAAABO+tg4=")</f>
        <v>#VALUE!</v>
      </c>
      <c r="P6" t="e">
        <f>AND('SPR BARRANQUILLA'!CL2,"AAAAABO+tg8=")</f>
        <v>#VALUE!</v>
      </c>
      <c r="Q6" t="e">
        <f>AND('SPR BARRANQUILLA'!CM2,"AAAAABO+thA=")</f>
        <v>#VALUE!</v>
      </c>
      <c r="R6" t="e">
        <f>AND('SPR BARRANQUILLA'!CN2,"AAAAABO+thE=")</f>
        <v>#VALUE!</v>
      </c>
      <c r="S6" t="e">
        <f>AND('SPR BARRANQUILLA'!CO2,"AAAAABO+thI=")</f>
        <v>#VALUE!</v>
      </c>
      <c r="T6" t="e">
        <f>AND('SPR BARRANQUILLA'!CP2,"AAAAABO+thM=")</f>
        <v>#VALUE!</v>
      </c>
      <c r="U6" t="e">
        <f>AND('SPR BARRANQUILLA'!CQ2,"AAAAABO+thQ=")</f>
        <v>#VALUE!</v>
      </c>
      <c r="V6" t="e">
        <f>AND('SPR BARRANQUILLA'!CR2,"AAAAABO+thU=")</f>
        <v>#VALUE!</v>
      </c>
      <c r="W6" t="e">
        <f>AND('SPR BARRANQUILLA'!CS2,"AAAAABO+thY=")</f>
        <v>#VALUE!</v>
      </c>
      <c r="X6" t="e">
        <f>AND('SPR BARRANQUILLA'!CT2,"AAAAABO+thc=")</f>
        <v>#VALUE!</v>
      </c>
      <c r="Y6" t="e">
        <f>AND('SPR BARRANQUILLA'!CU2,"AAAAABO+thg=")</f>
        <v>#VALUE!</v>
      </c>
      <c r="Z6" t="e">
        <f>AND('SPR BARRANQUILLA'!CV2,"AAAAABO+thk=")</f>
        <v>#VALUE!</v>
      </c>
      <c r="AA6" t="e">
        <f>AND('SPR BARRANQUILLA'!CW2,"AAAAABO+tho=")</f>
        <v>#VALUE!</v>
      </c>
      <c r="AB6" t="e">
        <f>AND('SPR BARRANQUILLA'!CX2,"AAAAABO+ths=")</f>
        <v>#VALUE!</v>
      </c>
      <c r="AC6" t="e">
        <f>AND('SPR BARRANQUILLA'!CY2,"AAAAABO+thw=")</f>
        <v>#VALUE!</v>
      </c>
      <c r="AD6" t="e">
        <f>AND('SPR BARRANQUILLA'!CZ2,"AAAAABO+th0=")</f>
        <v>#VALUE!</v>
      </c>
      <c r="AE6" t="e">
        <f>AND('SPR BARRANQUILLA'!DA2,"AAAAABO+th4=")</f>
        <v>#VALUE!</v>
      </c>
      <c r="AF6" t="e">
        <f>AND('SPR BARRANQUILLA'!DB2,"AAAAABO+th8=")</f>
        <v>#VALUE!</v>
      </c>
      <c r="AG6" t="e">
        <f>AND('SPR BARRANQUILLA'!DC2,"AAAAABO+tiA=")</f>
        <v>#VALUE!</v>
      </c>
      <c r="AH6" t="e">
        <f>AND('SPR BARRANQUILLA'!DD2,"AAAAABO+tiE=")</f>
        <v>#VALUE!</v>
      </c>
      <c r="AI6" t="e">
        <f>AND('SPR BARRANQUILLA'!DE2,"AAAAABO+tiI=")</f>
        <v>#VALUE!</v>
      </c>
      <c r="AJ6" t="e">
        <f>AND('SPR BARRANQUILLA'!DF2,"AAAAABO+tiM=")</f>
        <v>#VALUE!</v>
      </c>
      <c r="AK6" t="e">
        <f>AND('SPR BARRANQUILLA'!DG2,"AAAAABO+tiQ=")</f>
        <v>#VALUE!</v>
      </c>
      <c r="AL6" t="e">
        <f>AND('SPR BARRANQUILLA'!DH2,"AAAAABO+tiU=")</f>
        <v>#VALUE!</v>
      </c>
      <c r="AM6" t="e">
        <f>AND('SPR BARRANQUILLA'!DI2,"AAAAABO+tiY=")</f>
        <v>#VALUE!</v>
      </c>
      <c r="AN6" t="e">
        <f>AND('SPR BARRANQUILLA'!DJ2,"AAAAABO+tic=")</f>
        <v>#VALUE!</v>
      </c>
      <c r="AO6" t="e">
        <f>AND('SPR BARRANQUILLA'!DK2,"AAAAABO+tig=")</f>
        <v>#VALUE!</v>
      </c>
      <c r="AP6" t="e">
        <f>AND('SPR BARRANQUILLA'!DL2,"AAAAABO+tik=")</f>
        <v>#VALUE!</v>
      </c>
      <c r="AQ6" t="e">
        <f>AND('SPR BARRANQUILLA'!DM2,"AAAAABO+tio=")</f>
        <v>#VALUE!</v>
      </c>
      <c r="AR6" t="e">
        <f>AND('SPR BARRANQUILLA'!DN2,"AAAAABO+tis=")</f>
        <v>#VALUE!</v>
      </c>
      <c r="AS6" t="e">
        <f>AND('SPR BARRANQUILLA'!DO2,"AAAAABO+tiw=")</f>
        <v>#VALUE!</v>
      </c>
      <c r="AT6" t="e">
        <f>AND('SPR BARRANQUILLA'!DP2,"AAAAABO+ti0=")</f>
        <v>#VALUE!</v>
      </c>
      <c r="AU6" t="e">
        <f>AND('SPR BARRANQUILLA'!DQ2,"AAAAABO+ti4=")</f>
        <v>#VALUE!</v>
      </c>
      <c r="AV6" t="e">
        <f>AND('SPR BARRANQUILLA'!DR2,"AAAAABO+ti8=")</f>
        <v>#VALUE!</v>
      </c>
      <c r="AW6" t="e">
        <f>AND('SPR BARRANQUILLA'!DS2,"AAAAABO+tjA=")</f>
        <v>#VALUE!</v>
      </c>
      <c r="AX6" t="e">
        <f>AND('SPR BARRANQUILLA'!DT2,"AAAAABO+tjE=")</f>
        <v>#VALUE!</v>
      </c>
      <c r="AY6" t="e">
        <f>AND('SPR BARRANQUILLA'!DU2,"AAAAABO+tjI=")</f>
        <v>#VALUE!</v>
      </c>
      <c r="AZ6" t="e">
        <f>AND('SPR BARRANQUILLA'!DV2,"AAAAABO+tjM=")</f>
        <v>#VALUE!</v>
      </c>
      <c r="BA6" t="e">
        <f>AND('SPR BARRANQUILLA'!DW2,"AAAAABO+tjQ=")</f>
        <v>#VALUE!</v>
      </c>
      <c r="BB6" t="e">
        <f>AND('SPR BARRANQUILLA'!DX2,"AAAAABO+tjU=")</f>
        <v>#VALUE!</v>
      </c>
      <c r="BC6" t="e">
        <f>AND('SPR BARRANQUILLA'!DY2,"AAAAABO+tjY=")</f>
        <v>#VALUE!</v>
      </c>
      <c r="BD6" t="e">
        <f>AND('SPR BARRANQUILLA'!DZ2,"AAAAABO+tjc=")</f>
        <v>#VALUE!</v>
      </c>
      <c r="BE6" t="e">
        <f>AND('SPR BARRANQUILLA'!EA2,"AAAAABO+tjg=")</f>
        <v>#VALUE!</v>
      </c>
      <c r="BF6" t="e">
        <f>AND('SPR BARRANQUILLA'!EB2,"AAAAABO+tjk=")</f>
        <v>#VALUE!</v>
      </c>
      <c r="BG6" t="e">
        <f>AND('SPR BARRANQUILLA'!EC2,"AAAAABO+tjo=")</f>
        <v>#VALUE!</v>
      </c>
      <c r="BH6" t="e">
        <f>AND('SPR BARRANQUILLA'!ED2,"AAAAABO+tjs=")</f>
        <v>#VALUE!</v>
      </c>
      <c r="BI6" t="e">
        <f>AND('SPR BARRANQUILLA'!EE2,"AAAAABO+tjw=")</f>
        <v>#VALUE!</v>
      </c>
      <c r="BJ6" t="e">
        <f>AND('SPR BARRANQUILLA'!EF2,"AAAAABO+tj0=")</f>
        <v>#VALUE!</v>
      </c>
      <c r="BK6" t="e">
        <f>AND('SPR BARRANQUILLA'!EG2,"AAAAABO+tj4=")</f>
        <v>#VALUE!</v>
      </c>
      <c r="BL6" t="e">
        <f>AND('SPR BARRANQUILLA'!EH2,"AAAAABO+tj8=")</f>
        <v>#VALUE!</v>
      </c>
      <c r="BM6" t="e">
        <f>AND('SPR BARRANQUILLA'!EI2,"AAAAABO+tkA=")</f>
        <v>#VALUE!</v>
      </c>
      <c r="BN6" t="e">
        <f>AND('SPR BARRANQUILLA'!EJ2,"AAAAABO+tkE=")</f>
        <v>#VALUE!</v>
      </c>
      <c r="BO6" t="e">
        <f>AND('SPR BARRANQUILLA'!EK2,"AAAAABO+tkI=")</f>
        <v>#VALUE!</v>
      </c>
      <c r="BP6" t="e">
        <f>AND('SPR BARRANQUILLA'!EL2,"AAAAABO+tkM=")</f>
        <v>#VALUE!</v>
      </c>
      <c r="BQ6" t="e">
        <f>AND('SPR BARRANQUILLA'!EM2,"AAAAABO+tkQ=")</f>
        <v>#VALUE!</v>
      </c>
      <c r="BR6" t="e">
        <f>AND('SPR BARRANQUILLA'!EN2,"AAAAABO+tkU=")</f>
        <v>#VALUE!</v>
      </c>
      <c r="BS6" t="e">
        <f>AND('SPR BARRANQUILLA'!EO2,"AAAAABO+tkY=")</f>
        <v>#VALUE!</v>
      </c>
      <c r="BT6" t="e">
        <f>AND('SPR BARRANQUILLA'!EP2,"AAAAABO+tkc=")</f>
        <v>#VALUE!</v>
      </c>
      <c r="BU6" t="e">
        <f>AND('SPR BARRANQUILLA'!EQ2,"AAAAABO+tkg=")</f>
        <v>#VALUE!</v>
      </c>
      <c r="BV6" t="e">
        <f>AND('SPR BARRANQUILLA'!ER2,"AAAAABO+tkk=")</f>
        <v>#VALUE!</v>
      </c>
      <c r="BW6" t="e">
        <f>AND('SPR BARRANQUILLA'!ES2,"AAAAABO+tko=")</f>
        <v>#VALUE!</v>
      </c>
      <c r="BX6" t="e">
        <f>AND('SPR BARRANQUILLA'!ET2,"AAAAABO+tks=")</f>
        <v>#VALUE!</v>
      </c>
      <c r="BY6" t="e">
        <f>AND('SPR BARRANQUILLA'!EU2,"AAAAABO+tkw=")</f>
        <v>#VALUE!</v>
      </c>
      <c r="BZ6" t="e">
        <f>AND('SPR BARRANQUILLA'!EV2,"AAAAABO+tk0=")</f>
        <v>#VALUE!</v>
      </c>
      <c r="CA6" t="e">
        <f>AND('SPR BARRANQUILLA'!EW2,"AAAAABO+tk4=")</f>
        <v>#VALUE!</v>
      </c>
      <c r="CB6" t="e">
        <f>AND('SPR BARRANQUILLA'!EX2,"AAAAABO+tk8=")</f>
        <v>#VALUE!</v>
      </c>
      <c r="CC6" t="e">
        <f>AND('SPR BARRANQUILLA'!EY2,"AAAAABO+tlA=")</f>
        <v>#VALUE!</v>
      </c>
      <c r="CD6" t="e">
        <f>AND('SPR BARRANQUILLA'!EZ2,"AAAAABO+tlE=")</f>
        <v>#VALUE!</v>
      </c>
      <c r="CE6" t="e">
        <f>AND('SPR BARRANQUILLA'!FA2,"AAAAABO+tlI=")</f>
        <v>#VALUE!</v>
      </c>
      <c r="CF6" t="e">
        <f>AND('SPR BARRANQUILLA'!FB2,"AAAAABO+tlM=")</f>
        <v>#VALUE!</v>
      </c>
      <c r="CG6" t="e">
        <f>AND('SPR BARRANQUILLA'!FC2,"AAAAABO+tlQ=")</f>
        <v>#VALUE!</v>
      </c>
      <c r="CH6" t="e">
        <f>AND('SPR BARRANQUILLA'!FD2,"AAAAABO+tlU=")</f>
        <v>#VALUE!</v>
      </c>
      <c r="CI6" t="e">
        <f>AND('SPR BARRANQUILLA'!FE2,"AAAAABO+tlY=")</f>
        <v>#VALUE!</v>
      </c>
      <c r="CJ6" t="e">
        <f>AND('SPR BARRANQUILLA'!FF2,"AAAAABO+tlc=")</f>
        <v>#VALUE!</v>
      </c>
      <c r="CK6" t="e">
        <f>AND('SPR BARRANQUILLA'!FG2,"AAAAABO+tlg=")</f>
        <v>#VALUE!</v>
      </c>
      <c r="CL6" t="e">
        <f>AND('SPR BARRANQUILLA'!FH2,"AAAAABO+tlk=")</f>
        <v>#VALUE!</v>
      </c>
      <c r="CM6" t="e">
        <f>AND('SPR BARRANQUILLA'!FI2,"AAAAABO+tlo=")</f>
        <v>#VALUE!</v>
      </c>
      <c r="CN6" t="e">
        <f>AND('SPR BARRANQUILLA'!FJ2,"AAAAABO+tls=")</f>
        <v>#VALUE!</v>
      </c>
      <c r="CO6" t="e">
        <f>AND('SPR BARRANQUILLA'!FK2,"AAAAABO+tlw=")</f>
        <v>#VALUE!</v>
      </c>
      <c r="CP6" t="e">
        <f>AND('SPR BARRANQUILLA'!FL2,"AAAAABO+tl0=")</f>
        <v>#VALUE!</v>
      </c>
      <c r="CQ6" t="e">
        <f>AND('SPR BARRANQUILLA'!FM2,"AAAAABO+tl4=")</f>
        <v>#VALUE!</v>
      </c>
      <c r="CR6" t="e">
        <f>AND('SPR BARRANQUILLA'!FN2,"AAAAABO+tl8=")</f>
        <v>#VALUE!</v>
      </c>
      <c r="CS6" t="e">
        <f>AND('SPR BARRANQUILLA'!FO2,"AAAAABO+tmA=")</f>
        <v>#VALUE!</v>
      </c>
      <c r="CT6" t="e">
        <f>AND('SPR BARRANQUILLA'!FP2,"AAAAABO+tmE=")</f>
        <v>#VALUE!</v>
      </c>
      <c r="CU6" t="e">
        <f>AND('SPR BARRANQUILLA'!FQ2,"AAAAABO+tmI=")</f>
        <v>#VALUE!</v>
      </c>
      <c r="CV6" t="e">
        <f>AND('SPR BARRANQUILLA'!FR2,"AAAAABO+tmM=")</f>
        <v>#VALUE!</v>
      </c>
      <c r="CW6" t="e">
        <f>AND('SPR BARRANQUILLA'!FS2,"AAAAABO+tmQ=")</f>
        <v>#VALUE!</v>
      </c>
      <c r="CX6" t="e">
        <f>AND('SPR BARRANQUILLA'!FT2,"AAAAABO+tmU=")</f>
        <v>#VALUE!</v>
      </c>
      <c r="CY6" t="e">
        <f>AND('SPR BARRANQUILLA'!FU2,"AAAAABO+tmY=")</f>
        <v>#VALUE!</v>
      </c>
      <c r="CZ6" t="e">
        <f>AND('SPR BARRANQUILLA'!FV2,"AAAAABO+tmc=")</f>
        <v>#VALUE!</v>
      </c>
      <c r="DA6" t="e">
        <f>AND('SPR BARRANQUILLA'!FW2,"AAAAABO+tmg=")</f>
        <v>#VALUE!</v>
      </c>
      <c r="DB6" t="e">
        <f>AND('SPR BARRANQUILLA'!FX2,"AAAAABO+tmk=")</f>
        <v>#VALUE!</v>
      </c>
      <c r="DC6" t="e">
        <f>AND('SPR BARRANQUILLA'!FY2,"AAAAABO+tmo=")</f>
        <v>#VALUE!</v>
      </c>
      <c r="DD6" t="e">
        <f>AND('SPR BARRANQUILLA'!FZ2,"AAAAABO+tms=")</f>
        <v>#VALUE!</v>
      </c>
      <c r="DE6" t="e">
        <f>AND('SPR BARRANQUILLA'!GA2,"AAAAABO+tmw=")</f>
        <v>#VALUE!</v>
      </c>
      <c r="DF6" t="e">
        <f>AND('SPR BARRANQUILLA'!GB2,"AAAAABO+tm0=")</f>
        <v>#VALUE!</v>
      </c>
      <c r="DG6" t="e">
        <f>AND('SPR BARRANQUILLA'!GC2,"AAAAABO+tm4=")</f>
        <v>#VALUE!</v>
      </c>
      <c r="DH6" t="e">
        <f>AND('SPR BARRANQUILLA'!GD2,"AAAAABO+tm8=")</f>
        <v>#VALUE!</v>
      </c>
      <c r="DI6" t="e">
        <f>AND('SPR BARRANQUILLA'!GE2,"AAAAABO+tnA=")</f>
        <v>#VALUE!</v>
      </c>
      <c r="DJ6" t="e">
        <f>AND('SPR BARRANQUILLA'!GF2,"AAAAABO+tnE=")</f>
        <v>#VALUE!</v>
      </c>
      <c r="DK6" t="e">
        <f>AND('SPR BARRANQUILLA'!GG2,"AAAAABO+tnI=")</f>
        <v>#VALUE!</v>
      </c>
      <c r="DL6" t="e">
        <f>AND('SPR BARRANQUILLA'!GH2,"AAAAABO+tnM=")</f>
        <v>#VALUE!</v>
      </c>
      <c r="DM6" t="e">
        <f>AND('SPR BARRANQUILLA'!GI2,"AAAAABO+tnQ=")</f>
        <v>#VALUE!</v>
      </c>
      <c r="DN6" t="e">
        <f>AND('SPR BARRANQUILLA'!GJ2,"AAAAABO+tnU=")</f>
        <v>#VALUE!</v>
      </c>
      <c r="DO6" t="e">
        <f>AND('SPR BARRANQUILLA'!GK2,"AAAAABO+tnY=")</f>
        <v>#VALUE!</v>
      </c>
      <c r="DP6" t="e">
        <f>AND('SPR BARRANQUILLA'!GL2,"AAAAABO+tnc=")</f>
        <v>#VALUE!</v>
      </c>
      <c r="DQ6" t="e">
        <f>AND('SPR BARRANQUILLA'!GM2,"AAAAABO+tng=")</f>
        <v>#VALUE!</v>
      </c>
      <c r="DR6" t="e">
        <f>AND('SPR BARRANQUILLA'!GN2,"AAAAABO+tnk=")</f>
        <v>#VALUE!</v>
      </c>
      <c r="DS6" t="e">
        <f>AND('SPR BARRANQUILLA'!GO2,"AAAAABO+tno=")</f>
        <v>#VALUE!</v>
      </c>
      <c r="DT6" t="e">
        <f>AND('SPR BARRANQUILLA'!GP2,"AAAAABO+tns=")</f>
        <v>#VALUE!</v>
      </c>
      <c r="DU6" t="e">
        <f>AND('SPR BARRANQUILLA'!GQ2,"AAAAABO+tnw=")</f>
        <v>#VALUE!</v>
      </c>
      <c r="DV6" t="e">
        <f>AND('SPR BARRANQUILLA'!GR2,"AAAAABO+tn0=")</f>
        <v>#VALUE!</v>
      </c>
      <c r="DW6" t="e">
        <f>AND('SPR BARRANQUILLA'!GS2,"AAAAABO+tn4=")</f>
        <v>#VALUE!</v>
      </c>
      <c r="DX6" t="e">
        <f>AND('SPR BARRANQUILLA'!GT2,"AAAAABO+tn8=")</f>
        <v>#VALUE!</v>
      </c>
      <c r="DY6" t="e">
        <f>AND('SPR BARRANQUILLA'!GU2,"AAAAABO+toA=")</f>
        <v>#VALUE!</v>
      </c>
      <c r="DZ6" t="e">
        <f>AND('SPR BARRANQUILLA'!GV2,"AAAAABO+toE=")</f>
        <v>#VALUE!</v>
      </c>
      <c r="EA6" t="e">
        <f>AND('SPR BARRANQUILLA'!GW2,"AAAAABO+toI=")</f>
        <v>#VALUE!</v>
      </c>
      <c r="EB6" t="e">
        <f>AND('SPR BARRANQUILLA'!GX2,"AAAAABO+toM=")</f>
        <v>#VALUE!</v>
      </c>
      <c r="EC6" t="e">
        <f>AND('SPR BARRANQUILLA'!GY2,"AAAAABO+toQ=")</f>
        <v>#VALUE!</v>
      </c>
      <c r="ED6">
        <f>IF('SPR BARRANQUILLA'!3:3,"AAAAABO+toU=",0)</f>
        <v>0</v>
      </c>
      <c r="EE6" t="e">
        <f>AND('SPR BARRANQUILLA'!A3,"AAAAABO+toY=")</f>
        <v>#VALUE!</v>
      </c>
      <c r="EF6" t="e">
        <f>AND('SPR BARRANQUILLA'!B3,"AAAAABO+toc=")</f>
        <v>#VALUE!</v>
      </c>
      <c r="EG6" t="e">
        <f>AND('SPR BARRANQUILLA'!C3,"AAAAABO+tog=")</f>
        <v>#VALUE!</v>
      </c>
      <c r="EH6" t="e">
        <f>AND('SPR BARRANQUILLA'!D3,"AAAAABO+tok=")</f>
        <v>#VALUE!</v>
      </c>
      <c r="EI6" t="e">
        <f>AND('SPR BARRANQUILLA'!E3,"AAAAABO+too=")</f>
        <v>#VALUE!</v>
      </c>
      <c r="EJ6" t="e">
        <f>AND('SPR BARRANQUILLA'!F3,"AAAAABO+tos=")</f>
        <v>#VALUE!</v>
      </c>
      <c r="EK6" t="e">
        <f>AND('SPR BARRANQUILLA'!G3,"AAAAABO+tow=")</f>
        <v>#VALUE!</v>
      </c>
      <c r="EL6" t="e">
        <f>AND('SPR BARRANQUILLA'!H3,"AAAAABO+to0=")</f>
        <v>#VALUE!</v>
      </c>
      <c r="EM6" t="e">
        <f>AND('SPR BARRANQUILLA'!I3,"AAAAABO+to4=")</f>
        <v>#VALUE!</v>
      </c>
      <c r="EN6" t="e">
        <f>AND('SPR BARRANQUILLA'!J3,"AAAAABO+to8=")</f>
        <v>#VALUE!</v>
      </c>
      <c r="EO6" t="e">
        <f>AND('SPR BARRANQUILLA'!K3,"AAAAABO+tpA=")</f>
        <v>#VALUE!</v>
      </c>
      <c r="EP6" t="e">
        <f>AND('SPR BARRANQUILLA'!L3,"AAAAABO+tpE=")</f>
        <v>#VALUE!</v>
      </c>
      <c r="EQ6" t="e">
        <f>AND('SPR BARRANQUILLA'!M3,"AAAAABO+tpI=")</f>
        <v>#VALUE!</v>
      </c>
      <c r="ER6" t="e">
        <f>AND('SPR BARRANQUILLA'!N3,"AAAAABO+tpM=")</f>
        <v>#VALUE!</v>
      </c>
      <c r="ES6" t="e">
        <f>AND('SPR BARRANQUILLA'!O3,"AAAAABO+tpQ=")</f>
        <v>#VALUE!</v>
      </c>
      <c r="ET6" t="e">
        <f>AND('SPR BARRANQUILLA'!P3,"AAAAABO+tpU=")</f>
        <v>#VALUE!</v>
      </c>
      <c r="EU6" t="e">
        <f>AND('SPR BARRANQUILLA'!Q3,"AAAAABO+tpY=")</f>
        <v>#VALUE!</v>
      </c>
      <c r="EV6" t="e">
        <f>AND('SPR BARRANQUILLA'!R3,"AAAAABO+tpc=")</f>
        <v>#VALUE!</v>
      </c>
      <c r="EW6" t="e">
        <f>AND('SPR BARRANQUILLA'!S3,"AAAAABO+tpg=")</f>
        <v>#VALUE!</v>
      </c>
      <c r="EX6" t="e">
        <f>AND('SPR BARRANQUILLA'!T3,"AAAAABO+tpk=")</f>
        <v>#VALUE!</v>
      </c>
      <c r="EY6" t="e">
        <f>AND('SPR BARRANQUILLA'!U3,"AAAAABO+tpo=")</f>
        <v>#VALUE!</v>
      </c>
      <c r="EZ6" t="e">
        <f>AND('SPR BARRANQUILLA'!V3,"AAAAABO+tps=")</f>
        <v>#VALUE!</v>
      </c>
      <c r="FA6" t="e">
        <f>AND('SPR BARRANQUILLA'!W3,"AAAAABO+tpw=")</f>
        <v>#VALUE!</v>
      </c>
      <c r="FB6" t="e">
        <f>AND('SPR BARRANQUILLA'!X3,"AAAAABO+tp0=")</f>
        <v>#VALUE!</v>
      </c>
      <c r="FC6" t="e">
        <f>AND('SPR BARRANQUILLA'!Y3,"AAAAABO+tp4=")</f>
        <v>#VALUE!</v>
      </c>
      <c r="FD6" t="e">
        <f>AND('SPR BARRANQUILLA'!Z3,"AAAAABO+tp8=")</f>
        <v>#VALUE!</v>
      </c>
      <c r="FE6" t="e">
        <f>AND('SPR BARRANQUILLA'!AA3,"AAAAABO+tqA=")</f>
        <v>#VALUE!</v>
      </c>
      <c r="FF6" t="e">
        <f>AND('SPR BARRANQUILLA'!AB3,"AAAAABO+tqE=")</f>
        <v>#VALUE!</v>
      </c>
      <c r="FG6" t="e">
        <f>AND('SPR BARRANQUILLA'!AC3,"AAAAABO+tqI=")</f>
        <v>#VALUE!</v>
      </c>
      <c r="FH6" t="e">
        <f>AND('SPR BARRANQUILLA'!AD3,"AAAAABO+tqM=")</f>
        <v>#VALUE!</v>
      </c>
      <c r="FI6" t="e">
        <f>AND('SPR BARRANQUILLA'!AE3,"AAAAABO+tqQ=")</f>
        <v>#VALUE!</v>
      </c>
      <c r="FJ6" t="e">
        <f>AND('SPR BARRANQUILLA'!AF3,"AAAAABO+tqU=")</f>
        <v>#VALUE!</v>
      </c>
      <c r="FK6" t="e">
        <f>AND('SPR BARRANQUILLA'!AG3,"AAAAABO+tqY=")</f>
        <v>#VALUE!</v>
      </c>
      <c r="FL6" t="e">
        <f>AND('SPR BARRANQUILLA'!AH3,"AAAAABO+tqc=")</f>
        <v>#VALUE!</v>
      </c>
      <c r="FM6" t="e">
        <f>AND('SPR BARRANQUILLA'!AI3,"AAAAABO+tqg=")</f>
        <v>#VALUE!</v>
      </c>
      <c r="FN6" t="e">
        <f>AND('SPR BARRANQUILLA'!AJ3,"AAAAABO+tqk=")</f>
        <v>#VALUE!</v>
      </c>
      <c r="FO6" t="e">
        <f>AND('SPR BARRANQUILLA'!AK3,"AAAAABO+tqo=")</f>
        <v>#VALUE!</v>
      </c>
      <c r="FP6" t="e">
        <f>AND('SPR BARRANQUILLA'!AL3,"AAAAABO+tqs=")</f>
        <v>#VALUE!</v>
      </c>
      <c r="FQ6" t="e">
        <f>AND('SPR BARRANQUILLA'!AM3,"AAAAABO+tqw=")</f>
        <v>#VALUE!</v>
      </c>
      <c r="FR6" t="e">
        <f>AND('SPR BARRANQUILLA'!AN3,"AAAAABO+tq0=")</f>
        <v>#VALUE!</v>
      </c>
      <c r="FS6" t="e">
        <f>AND('SPR BARRANQUILLA'!AO3,"AAAAABO+tq4=")</f>
        <v>#VALUE!</v>
      </c>
      <c r="FT6" t="e">
        <f>AND('SPR BARRANQUILLA'!AP3,"AAAAABO+tq8=")</f>
        <v>#VALUE!</v>
      </c>
      <c r="FU6" t="e">
        <f>AND('SPR BARRANQUILLA'!AQ3,"AAAAABO+trA=")</f>
        <v>#VALUE!</v>
      </c>
      <c r="FV6" t="e">
        <f>AND('SPR BARRANQUILLA'!AR3,"AAAAABO+trE=")</f>
        <v>#VALUE!</v>
      </c>
      <c r="FW6" t="e">
        <f>AND('SPR BARRANQUILLA'!AS3,"AAAAABO+trI=")</f>
        <v>#VALUE!</v>
      </c>
      <c r="FX6" t="e">
        <f>AND('SPR BARRANQUILLA'!AT3,"AAAAABO+trM=")</f>
        <v>#VALUE!</v>
      </c>
      <c r="FY6" t="e">
        <f>AND('SPR BARRANQUILLA'!AU3,"AAAAABO+trQ=")</f>
        <v>#VALUE!</v>
      </c>
      <c r="FZ6" t="e">
        <f>AND('SPR BARRANQUILLA'!AV3,"AAAAABO+trU=")</f>
        <v>#VALUE!</v>
      </c>
      <c r="GA6" t="e">
        <f>AND('SPR BARRANQUILLA'!AW3,"AAAAABO+trY=")</f>
        <v>#VALUE!</v>
      </c>
      <c r="GB6" t="e">
        <f>AND('SPR BARRANQUILLA'!AX3,"AAAAABO+trc=")</f>
        <v>#VALUE!</v>
      </c>
      <c r="GC6" t="e">
        <f>AND('SPR BARRANQUILLA'!AY3,"AAAAABO+trg=")</f>
        <v>#VALUE!</v>
      </c>
      <c r="GD6" t="e">
        <f>AND('SPR BARRANQUILLA'!AZ3,"AAAAABO+trk=")</f>
        <v>#VALUE!</v>
      </c>
      <c r="GE6" t="e">
        <f>AND('SPR BARRANQUILLA'!BA3,"AAAAABO+tro=")</f>
        <v>#VALUE!</v>
      </c>
      <c r="GF6" t="e">
        <f>AND('SPR BARRANQUILLA'!BB3,"AAAAABO+trs=")</f>
        <v>#VALUE!</v>
      </c>
      <c r="GG6" t="e">
        <f>AND('SPR BARRANQUILLA'!BC3,"AAAAABO+trw=")</f>
        <v>#VALUE!</v>
      </c>
      <c r="GH6" t="e">
        <f>AND('SPR BARRANQUILLA'!BD3,"AAAAABO+tr0=")</f>
        <v>#VALUE!</v>
      </c>
      <c r="GI6" t="e">
        <f>AND('SPR BARRANQUILLA'!BE3,"AAAAABO+tr4=")</f>
        <v>#VALUE!</v>
      </c>
      <c r="GJ6" t="e">
        <f>AND('SPR BARRANQUILLA'!BF3,"AAAAABO+tr8=")</f>
        <v>#VALUE!</v>
      </c>
      <c r="GK6" t="e">
        <f>AND('SPR BARRANQUILLA'!BG3,"AAAAABO+tsA=")</f>
        <v>#VALUE!</v>
      </c>
      <c r="GL6" t="e">
        <f>AND('SPR BARRANQUILLA'!BH3,"AAAAABO+tsE=")</f>
        <v>#VALUE!</v>
      </c>
      <c r="GM6" t="e">
        <f>AND('SPR BARRANQUILLA'!BI3,"AAAAABO+tsI=")</f>
        <v>#VALUE!</v>
      </c>
      <c r="GN6" t="e">
        <f>AND('SPR BARRANQUILLA'!BJ3,"AAAAABO+tsM=")</f>
        <v>#VALUE!</v>
      </c>
      <c r="GO6" t="e">
        <f>AND('SPR BARRANQUILLA'!BK3,"AAAAABO+tsQ=")</f>
        <v>#VALUE!</v>
      </c>
      <c r="GP6" t="e">
        <f>AND('SPR BARRANQUILLA'!BL3,"AAAAABO+tsU=")</f>
        <v>#VALUE!</v>
      </c>
      <c r="GQ6" t="e">
        <f>AND('SPR BARRANQUILLA'!BM3,"AAAAABO+tsY=")</f>
        <v>#VALUE!</v>
      </c>
      <c r="GR6" t="e">
        <f>AND('SPR BARRANQUILLA'!BN3,"AAAAABO+tsc=")</f>
        <v>#VALUE!</v>
      </c>
      <c r="GS6" t="e">
        <f>AND('SPR BARRANQUILLA'!BO3,"AAAAABO+tsg=")</f>
        <v>#VALUE!</v>
      </c>
      <c r="GT6" t="e">
        <f>AND('SPR BARRANQUILLA'!BP3,"AAAAABO+tsk=")</f>
        <v>#VALUE!</v>
      </c>
      <c r="GU6" t="e">
        <f>AND('SPR BARRANQUILLA'!BQ3,"AAAAABO+tso=")</f>
        <v>#VALUE!</v>
      </c>
      <c r="GV6" t="e">
        <f>AND('SPR BARRANQUILLA'!BR3,"AAAAABO+tss=")</f>
        <v>#VALUE!</v>
      </c>
      <c r="GW6" t="e">
        <f>AND('SPR BARRANQUILLA'!BS3,"AAAAABO+tsw=")</f>
        <v>#VALUE!</v>
      </c>
      <c r="GX6" t="e">
        <f>AND('SPR BARRANQUILLA'!BT3,"AAAAABO+ts0=")</f>
        <v>#VALUE!</v>
      </c>
      <c r="GY6" t="e">
        <f>AND('SPR BARRANQUILLA'!BU3,"AAAAABO+ts4=")</f>
        <v>#VALUE!</v>
      </c>
      <c r="GZ6" t="e">
        <f>AND('SPR BARRANQUILLA'!BV3,"AAAAABO+ts8=")</f>
        <v>#VALUE!</v>
      </c>
      <c r="HA6" t="e">
        <f>AND('SPR BARRANQUILLA'!BW3,"AAAAABO+ttA=")</f>
        <v>#VALUE!</v>
      </c>
      <c r="HB6" t="e">
        <f>AND('SPR BARRANQUILLA'!BX3,"AAAAABO+ttE=")</f>
        <v>#VALUE!</v>
      </c>
      <c r="HC6" t="e">
        <f>AND('SPR BARRANQUILLA'!BY3,"AAAAABO+ttI=")</f>
        <v>#VALUE!</v>
      </c>
      <c r="HD6" t="e">
        <f>AND('SPR BARRANQUILLA'!BZ3,"AAAAABO+ttM=")</f>
        <v>#VALUE!</v>
      </c>
      <c r="HE6" t="e">
        <f>AND('SPR BARRANQUILLA'!CA3,"AAAAABO+ttQ=")</f>
        <v>#VALUE!</v>
      </c>
      <c r="HF6" t="e">
        <f>AND('SPR BARRANQUILLA'!CB3,"AAAAABO+ttU=")</f>
        <v>#VALUE!</v>
      </c>
      <c r="HG6" t="e">
        <f>AND('SPR BARRANQUILLA'!CC3,"AAAAABO+ttY=")</f>
        <v>#VALUE!</v>
      </c>
      <c r="HH6" t="e">
        <f>AND('SPR BARRANQUILLA'!CD3,"AAAAABO+ttc=")</f>
        <v>#VALUE!</v>
      </c>
      <c r="HI6" t="e">
        <f>AND('SPR BARRANQUILLA'!CE3,"AAAAABO+ttg=")</f>
        <v>#VALUE!</v>
      </c>
      <c r="HJ6" t="e">
        <f>AND('SPR BARRANQUILLA'!CF3,"AAAAABO+ttk=")</f>
        <v>#VALUE!</v>
      </c>
      <c r="HK6" t="e">
        <f>AND('SPR BARRANQUILLA'!CG3,"AAAAABO+tto=")</f>
        <v>#VALUE!</v>
      </c>
      <c r="HL6" t="e">
        <f>AND('SPR BARRANQUILLA'!CH3,"AAAAABO+tts=")</f>
        <v>#VALUE!</v>
      </c>
      <c r="HM6" t="e">
        <f>AND('SPR BARRANQUILLA'!CI3,"AAAAABO+ttw=")</f>
        <v>#VALUE!</v>
      </c>
      <c r="HN6" t="e">
        <f>AND('SPR BARRANQUILLA'!CJ3,"AAAAABO+tt0=")</f>
        <v>#VALUE!</v>
      </c>
      <c r="HO6" t="e">
        <f>AND('SPR BARRANQUILLA'!CK3,"AAAAABO+tt4=")</f>
        <v>#VALUE!</v>
      </c>
      <c r="HP6" t="e">
        <f>AND('SPR BARRANQUILLA'!CL3,"AAAAABO+tt8=")</f>
        <v>#VALUE!</v>
      </c>
      <c r="HQ6" t="e">
        <f>AND('SPR BARRANQUILLA'!CM3,"AAAAABO+tuA=")</f>
        <v>#VALUE!</v>
      </c>
      <c r="HR6" t="e">
        <f>AND('SPR BARRANQUILLA'!CN3,"AAAAABO+tuE=")</f>
        <v>#VALUE!</v>
      </c>
      <c r="HS6" t="e">
        <f>AND('SPR BARRANQUILLA'!CO3,"AAAAABO+tuI=")</f>
        <v>#VALUE!</v>
      </c>
      <c r="HT6" t="e">
        <f>AND('SPR BARRANQUILLA'!CP3,"AAAAABO+tuM=")</f>
        <v>#VALUE!</v>
      </c>
      <c r="HU6" t="e">
        <f>AND('SPR BARRANQUILLA'!CQ3,"AAAAABO+tuQ=")</f>
        <v>#VALUE!</v>
      </c>
      <c r="HV6" t="e">
        <f>AND('SPR BARRANQUILLA'!CR3,"AAAAABO+tuU=")</f>
        <v>#VALUE!</v>
      </c>
      <c r="HW6" t="e">
        <f>AND('SPR BARRANQUILLA'!CS3,"AAAAABO+tuY=")</f>
        <v>#VALUE!</v>
      </c>
      <c r="HX6" t="e">
        <f>AND('SPR BARRANQUILLA'!CT3,"AAAAABO+tuc=")</f>
        <v>#VALUE!</v>
      </c>
      <c r="HY6" t="e">
        <f>AND('SPR BARRANQUILLA'!CU3,"AAAAABO+tug=")</f>
        <v>#VALUE!</v>
      </c>
      <c r="HZ6" t="e">
        <f>AND('SPR BARRANQUILLA'!CV3,"AAAAABO+tuk=")</f>
        <v>#VALUE!</v>
      </c>
      <c r="IA6" t="e">
        <f>AND('SPR BARRANQUILLA'!CW3,"AAAAABO+tuo=")</f>
        <v>#VALUE!</v>
      </c>
      <c r="IB6" t="e">
        <f>AND('SPR BARRANQUILLA'!CX3,"AAAAABO+tus=")</f>
        <v>#VALUE!</v>
      </c>
      <c r="IC6" t="e">
        <f>AND('SPR BARRANQUILLA'!CY3,"AAAAABO+tuw=")</f>
        <v>#VALUE!</v>
      </c>
      <c r="ID6" t="e">
        <f>AND('SPR BARRANQUILLA'!CZ3,"AAAAABO+tu0=")</f>
        <v>#VALUE!</v>
      </c>
      <c r="IE6" t="e">
        <f>AND('SPR BARRANQUILLA'!DA3,"AAAAABO+tu4=")</f>
        <v>#VALUE!</v>
      </c>
      <c r="IF6" t="e">
        <f>AND('SPR BARRANQUILLA'!DB3,"AAAAABO+tu8=")</f>
        <v>#VALUE!</v>
      </c>
      <c r="IG6" t="e">
        <f>AND('SPR BARRANQUILLA'!DC3,"AAAAABO+tvA=")</f>
        <v>#VALUE!</v>
      </c>
      <c r="IH6" t="e">
        <f>AND('SPR BARRANQUILLA'!DD3,"AAAAABO+tvE=")</f>
        <v>#VALUE!</v>
      </c>
      <c r="II6" t="e">
        <f>AND('SPR BARRANQUILLA'!DE3,"AAAAABO+tvI=")</f>
        <v>#VALUE!</v>
      </c>
      <c r="IJ6" t="e">
        <f>AND('SPR BARRANQUILLA'!DF3,"AAAAABO+tvM=")</f>
        <v>#VALUE!</v>
      </c>
      <c r="IK6" t="e">
        <f>AND('SPR BARRANQUILLA'!DG3,"AAAAABO+tvQ=")</f>
        <v>#VALUE!</v>
      </c>
      <c r="IL6" t="e">
        <f>AND('SPR BARRANQUILLA'!DH3,"AAAAABO+tvU=")</f>
        <v>#VALUE!</v>
      </c>
      <c r="IM6" t="e">
        <f>AND('SPR BARRANQUILLA'!DI3,"AAAAABO+tvY=")</f>
        <v>#VALUE!</v>
      </c>
      <c r="IN6" t="e">
        <f>AND('SPR BARRANQUILLA'!DJ3,"AAAAABO+tvc=")</f>
        <v>#VALUE!</v>
      </c>
      <c r="IO6" t="e">
        <f>AND('SPR BARRANQUILLA'!DK3,"AAAAABO+tvg=")</f>
        <v>#VALUE!</v>
      </c>
      <c r="IP6" t="e">
        <f>AND('SPR BARRANQUILLA'!DL3,"AAAAABO+tvk=")</f>
        <v>#VALUE!</v>
      </c>
      <c r="IQ6" t="e">
        <f>AND('SPR BARRANQUILLA'!DM3,"AAAAABO+tvo=")</f>
        <v>#VALUE!</v>
      </c>
      <c r="IR6" t="e">
        <f>AND('SPR BARRANQUILLA'!DN3,"AAAAABO+tvs=")</f>
        <v>#VALUE!</v>
      </c>
      <c r="IS6" t="e">
        <f>AND('SPR BARRANQUILLA'!DO3,"AAAAABO+tvw=")</f>
        <v>#VALUE!</v>
      </c>
      <c r="IT6" t="e">
        <f>AND('SPR BARRANQUILLA'!DP3,"AAAAABO+tv0=")</f>
        <v>#VALUE!</v>
      </c>
      <c r="IU6" t="e">
        <f>AND('SPR BARRANQUILLA'!DQ3,"AAAAABO+tv4=")</f>
        <v>#VALUE!</v>
      </c>
      <c r="IV6" t="e">
        <f>AND('SPR BARRANQUILLA'!DR3,"AAAAABO+tv8=")</f>
        <v>#VALUE!</v>
      </c>
    </row>
    <row r="7" spans="1:256">
      <c r="A7" t="e">
        <f>AND('SPR BARRANQUILLA'!DS3,"AAAAACLL/wA=")</f>
        <v>#VALUE!</v>
      </c>
      <c r="B7" t="e">
        <f>AND('SPR BARRANQUILLA'!DT3,"AAAAACLL/wE=")</f>
        <v>#VALUE!</v>
      </c>
      <c r="C7" t="e">
        <f>AND('SPR BARRANQUILLA'!DU3,"AAAAACLL/wI=")</f>
        <v>#VALUE!</v>
      </c>
      <c r="D7" t="e">
        <f>AND('SPR BARRANQUILLA'!DV3,"AAAAACLL/wM=")</f>
        <v>#VALUE!</v>
      </c>
      <c r="E7" t="e">
        <f>AND('SPR BARRANQUILLA'!DW3,"AAAAACLL/wQ=")</f>
        <v>#VALUE!</v>
      </c>
      <c r="F7" t="e">
        <f>AND('SPR BARRANQUILLA'!DX3,"AAAAACLL/wU=")</f>
        <v>#VALUE!</v>
      </c>
      <c r="G7" t="e">
        <f>AND('SPR BARRANQUILLA'!DY3,"AAAAACLL/wY=")</f>
        <v>#VALUE!</v>
      </c>
      <c r="H7" t="e">
        <f>AND('SPR BARRANQUILLA'!DZ3,"AAAAACLL/wc=")</f>
        <v>#VALUE!</v>
      </c>
      <c r="I7" t="e">
        <f>AND('SPR BARRANQUILLA'!EA3,"AAAAACLL/wg=")</f>
        <v>#VALUE!</v>
      </c>
      <c r="J7" t="e">
        <f>AND('SPR BARRANQUILLA'!EB3,"AAAAACLL/wk=")</f>
        <v>#VALUE!</v>
      </c>
      <c r="K7" t="e">
        <f>AND('SPR BARRANQUILLA'!EC3,"AAAAACLL/wo=")</f>
        <v>#VALUE!</v>
      </c>
      <c r="L7" t="e">
        <f>AND('SPR BARRANQUILLA'!ED3,"AAAAACLL/ws=")</f>
        <v>#VALUE!</v>
      </c>
      <c r="M7" t="e">
        <f>AND('SPR BARRANQUILLA'!EE3,"AAAAACLL/ww=")</f>
        <v>#VALUE!</v>
      </c>
      <c r="N7" t="e">
        <f>AND('SPR BARRANQUILLA'!EF3,"AAAAACLL/w0=")</f>
        <v>#VALUE!</v>
      </c>
      <c r="O7" t="e">
        <f>AND('SPR BARRANQUILLA'!EG3,"AAAAACLL/w4=")</f>
        <v>#VALUE!</v>
      </c>
      <c r="P7" t="e">
        <f>AND('SPR BARRANQUILLA'!EH3,"AAAAACLL/w8=")</f>
        <v>#VALUE!</v>
      </c>
      <c r="Q7" t="e">
        <f>AND('SPR BARRANQUILLA'!EI3,"AAAAACLL/xA=")</f>
        <v>#VALUE!</v>
      </c>
      <c r="R7" t="e">
        <f>AND('SPR BARRANQUILLA'!EJ3,"AAAAACLL/xE=")</f>
        <v>#VALUE!</v>
      </c>
      <c r="S7" t="e">
        <f>AND('SPR BARRANQUILLA'!EK3,"AAAAACLL/xI=")</f>
        <v>#VALUE!</v>
      </c>
      <c r="T7" t="e">
        <f>AND('SPR BARRANQUILLA'!EL3,"AAAAACLL/xM=")</f>
        <v>#VALUE!</v>
      </c>
      <c r="U7" t="e">
        <f>AND('SPR BARRANQUILLA'!EM3,"AAAAACLL/xQ=")</f>
        <v>#VALUE!</v>
      </c>
      <c r="V7" t="e">
        <f>AND('SPR BARRANQUILLA'!EN3,"AAAAACLL/xU=")</f>
        <v>#VALUE!</v>
      </c>
      <c r="W7" t="e">
        <f>AND('SPR BARRANQUILLA'!EO3,"AAAAACLL/xY=")</f>
        <v>#VALUE!</v>
      </c>
      <c r="X7" t="e">
        <f>AND('SPR BARRANQUILLA'!EP3,"AAAAACLL/xc=")</f>
        <v>#VALUE!</v>
      </c>
      <c r="Y7" t="e">
        <f>AND('SPR BARRANQUILLA'!EQ3,"AAAAACLL/xg=")</f>
        <v>#VALUE!</v>
      </c>
      <c r="Z7" t="e">
        <f>AND('SPR BARRANQUILLA'!ER3,"AAAAACLL/xk=")</f>
        <v>#VALUE!</v>
      </c>
      <c r="AA7" t="e">
        <f>AND('SPR BARRANQUILLA'!ES3,"AAAAACLL/xo=")</f>
        <v>#VALUE!</v>
      </c>
      <c r="AB7" t="e">
        <f>AND('SPR BARRANQUILLA'!ET3,"AAAAACLL/xs=")</f>
        <v>#VALUE!</v>
      </c>
      <c r="AC7" t="e">
        <f>AND('SPR BARRANQUILLA'!EU3,"AAAAACLL/xw=")</f>
        <v>#VALUE!</v>
      </c>
      <c r="AD7" t="e">
        <f>AND('SPR BARRANQUILLA'!EV3,"AAAAACLL/x0=")</f>
        <v>#VALUE!</v>
      </c>
      <c r="AE7" t="e">
        <f>AND('SPR BARRANQUILLA'!EW3,"AAAAACLL/x4=")</f>
        <v>#VALUE!</v>
      </c>
      <c r="AF7" t="e">
        <f>AND('SPR BARRANQUILLA'!EX3,"AAAAACLL/x8=")</f>
        <v>#VALUE!</v>
      </c>
      <c r="AG7" t="e">
        <f>AND('SPR BARRANQUILLA'!EY3,"AAAAACLL/yA=")</f>
        <v>#VALUE!</v>
      </c>
      <c r="AH7" t="e">
        <f>AND('SPR BARRANQUILLA'!EZ3,"AAAAACLL/yE=")</f>
        <v>#VALUE!</v>
      </c>
      <c r="AI7" t="e">
        <f>AND('SPR BARRANQUILLA'!FA3,"AAAAACLL/yI=")</f>
        <v>#VALUE!</v>
      </c>
      <c r="AJ7" t="e">
        <f>AND('SPR BARRANQUILLA'!FB3,"AAAAACLL/yM=")</f>
        <v>#VALUE!</v>
      </c>
      <c r="AK7" t="e">
        <f>AND('SPR BARRANQUILLA'!FC3,"AAAAACLL/yQ=")</f>
        <v>#VALUE!</v>
      </c>
      <c r="AL7" t="e">
        <f>AND('SPR BARRANQUILLA'!FD3,"AAAAACLL/yU=")</f>
        <v>#VALUE!</v>
      </c>
      <c r="AM7" t="e">
        <f>AND('SPR BARRANQUILLA'!FE3,"AAAAACLL/yY=")</f>
        <v>#VALUE!</v>
      </c>
      <c r="AN7" t="e">
        <f>AND('SPR BARRANQUILLA'!FF3,"AAAAACLL/yc=")</f>
        <v>#VALUE!</v>
      </c>
      <c r="AO7" t="e">
        <f>AND('SPR BARRANQUILLA'!FG3,"AAAAACLL/yg=")</f>
        <v>#VALUE!</v>
      </c>
      <c r="AP7" t="e">
        <f>AND('SPR BARRANQUILLA'!FH3,"AAAAACLL/yk=")</f>
        <v>#VALUE!</v>
      </c>
      <c r="AQ7" t="e">
        <f>AND('SPR BARRANQUILLA'!FI3,"AAAAACLL/yo=")</f>
        <v>#VALUE!</v>
      </c>
      <c r="AR7" t="e">
        <f>AND('SPR BARRANQUILLA'!FJ3,"AAAAACLL/ys=")</f>
        <v>#VALUE!</v>
      </c>
      <c r="AS7" t="e">
        <f>AND('SPR BARRANQUILLA'!FK3,"AAAAACLL/yw=")</f>
        <v>#VALUE!</v>
      </c>
      <c r="AT7" t="e">
        <f>AND('SPR BARRANQUILLA'!FL3,"AAAAACLL/y0=")</f>
        <v>#VALUE!</v>
      </c>
      <c r="AU7" t="e">
        <f>AND('SPR BARRANQUILLA'!FM3,"AAAAACLL/y4=")</f>
        <v>#VALUE!</v>
      </c>
      <c r="AV7" t="e">
        <f>AND('SPR BARRANQUILLA'!FN3,"AAAAACLL/y8=")</f>
        <v>#VALUE!</v>
      </c>
      <c r="AW7" t="e">
        <f>AND('SPR BARRANQUILLA'!FO3,"AAAAACLL/zA=")</f>
        <v>#VALUE!</v>
      </c>
      <c r="AX7" t="e">
        <f>AND('SPR BARRANQUILLA'!FP3,"AAAAACLL/zE=")</f>
        <v>#VALUE!</v>
      </c>
      <c r="AY7" t="e">
        <f>AND('SPR BARRANQUILLA'!FQ3,"AAAAACLL/zI=")</f>
        <v>#VALUE!</v>
      </c>
      <c r="AZ7" t="e">
        <f>AND('SPR BARRANQUILLA'!FR3,"AAAAACLL/zM=")</f>
        <v>#VALUE!</v>
      </c>
      <c r="BA7" t="e">
        <f>AND('SPR BARRANQUILLA'!FS3,"AAAAACLL/zQ=")</f>
        <v>#VALUE!</v>
      </c>
      <c r="BB7" t="e">
        <f>AND('SPR BARRANQUILLA'!FT3,"AAAAACLL/zU=")</f>
        <v>#VALUE!</v>
      </c>
      <c r="BC7" t="e">
        <f>AND('SPR BARRANQUILLA'!FU3,"AAAAACLL/zY=")</f>
        <v>#VALUE!</v>
      </c>
      <c r="BD7" t="e">
        <f>AND('SPR BARRANQUILLA'!FV3,"AAAAACLL/zc=")</f>
        <v>#VALUE!</v>
      </c>
      <c r="BE7" t="e">
        <f>AND('SPR BARRANQUILLA'!FW3,"AAAAACLL/zg=")</f>
        <v>#VALUE!</v>
      </c>
      <c r="BF7" t="e">
        <f>AND('SPR BARRANQUILLA'!FX3,"AAAAACLL/zk=")</f>
        <v>#VALUE!</v>
      </c>
      <c r="BG7" t="e">
        <f>AND('SPR BARRANQUILLA'!FY3,"AAAAACLL/zo=")</f>
        <v>#VALUE!</v>
      </c>
      <c r="BH7" t="e">
        <f>AND('SPR BARRANQUILLA'!FZ3,"AAAAACLL/zs=")</f>
        <v>#VALUE!</v>
      </c>
      <c r="BI7" t="e">
        <f>AND('SPR BARRANQUILLA'!GA3,"AAAAACLL/zw=")</f>
        <v>#VALUE!</v>
      </c>
      <c r="BJ7" t="e">
        <f>AND('SPR BARRANQUILLA'!GB3,"AAAAACLL/z0=")</f>
        <v>#VALUE!</v>
      </c>
      <c r="BK7" t="e">
        <f>AND('SPR BARRANQUILLA'!GC3,"AAAAACLL/z4=")</f>
        <v>#VALUE!</v>
      </c>
      <c r="BL7" t="e">
        <f>AND('SPR BARRANQUILLA'!GD3,"AAAAACLL/z8=")</f>
        <v>#VALUE!</v>
      </c>
      <c r="BM7" t="e">
        <f>AND('SPR BARRANQUILLA'!GE3,"AAAAACLL/0A=")</f>
        <v>#VALUE!</v>
      </c>
      <c r="BN7" t="e">
        <f>AND('SPR BARRANQUILLA'!GF3,"AAAAACLL/0E=")</f>
        <v>#VALUE!</v>
      </c>
      <c r="BO7" t="e">
        <f>AND('SPR BARRANQUILLA'!GG3,"AAAAACLL/0I=")</f>
        <v>#VALUE!</v>
      </c>
      <c r="BP7" t="e">
        <f>AND('SPR BARRANQUILLA'!GH3,"AAAAACLL/0M=")</f>
        <v>#VALUE!</v>
      </c>
      <c r="BQ7" t="e">
        <f>AND('SPR BARRANQUILLA'!GI3,"AAAAACLL/0Q=")</f>
        <v>#VALUE!</v>
      </c>
      <c r="BR7" t="e">
        <f>AND('SPR BARRANQUILLA'!GJ3,"AAAAACLL/0U=")</f>
        <v>#VALUE!</v>
      </c>
      <c r="BS7" t="e">
        <f>AND('SPR BARRANQUILLA'!GK3,"AAAAACLL/0Y=")</f>
        <v>#VALUE!</v>
      </c>
      <c r="BT7" t="e">
        <f>AND('SPR BARRANQUILLA'!GL3,"AAAAACLL/0c=")</f>
        <v>#VALUE!</v>
      </c>
      <c r="BU7" t="e">
        <f>AND('SPR BARRANQUILLA'!GM3,"AAAAACLL/0g=")</f>
        <v>#VALUE!</v>
      </c>
      <c r="BV7" t="e">
        <f>AND('SPR BARRANQUILLA'!GN3,"AAAAACLL/0k=")</f>
        <v>#VALUE!</v>
      </c>
      <c r="BW7" t="e">
        <f>AND('SPR BARRANQUILLA'!GO3,"AAAAACLL/0o=")</f>
        <v>#VALUE!</v>
      </c>
      <c r="BX7" t="e">
        <f>AND('SPR BARRANQUILLA'!GP3,"AAAAACLL/0s=")</f>
        <v>#VALUE!</v>
      </c>
      <c r="BY7" t="e">
        <f>AND('SPR BARRANQUILLA'!GQ3,"AAAAACLL/0w=")</f>
        <v>#VALUE!</v>
      </c>
      <c r="BZ7" t="e">
        <f>AND('SPR BARRANQUILLA'!GR3,"AAAAACLL/00=")</f>
        <v>#VALUE!</v>
      </c>
      <c r="CA7" t="e">
        <f>AND('SPR BARRANQUILLA'!GS3,"AAAAACLL/04=")</f>
        <v>#VALUE!</v>
      </c>
      <c r="CB7" t="e">
        <f>AND('SPR BARRANQUILLA'!GT3,"AAAAACLL/08=")</f>
        <v>#VALUE!</v>
      </c>
      <c r="CC7" t="e">
        <f>AND('SPR BARRANQUILLA'!GU3,"AAAAACLL/1A=")</f>
        <v>#VALUE!</v>
      </c>
      <c r="CD7" t="e">
        <f>AND('SPR BARRANQUILLA'!GV3,"AAAAACLL/1E=")</f>
        <v>#VALUE!</v>
      </c>
      <c r="CE7" t="e">
        <f>AND('SPR BARRANQUILLA'!GW3,"AAAAACLL/1I=")</f>
        <v>#VALUE!</v>
      </c>
      <c r="CF7" t="e">
        <f>AND('SPR BARRANQUILLA'!GX3,"AAAAACLL/1M=")</f>
        <v>#VALUE!</v>
      </c>
      <c r="CG7" t="e">
        <f>AND('SPR BARRANQUILLA'!GY3,"AAAAACLL/1Q=")</f>
        <v>#VALUE!</v>
      </c>
      <c r="CH7">
        <f>IF('SPR BARRANQUILLA'!4:4,"AAAAACLL/1U=",0)</f>
        <v>0</v>
      </c>
      <c r="CI7" t="e">
        <f>AND('SPR BARRANQUILLA'!A4,"AAAAACLL/1Y=")</f>
        <v>#VALUE!</v>
      </c>
      <c r="CJ7" t="e">
        <f>AND('SPR BARRANQUILLA'!B4,"AAAAACLL/1c=")</f>
        <v>#VALUE!</v>
      </c>
      <c r="CK7" t="e">
        <f>AND('SPR BARRANQUILLA'!C4,"AAAAACLL/1g=")</f>
        <v>#VALUE!</v>
      </c>
      <c r="CL7" t="e">
        <f>AND('SPR BARRANQUILLA'!D4,"AAAAACLL/1k=")</f>
        <v>#VALUE!</v>
      </c>
      <c r="CM7" t="e">
        <f>AND('SPR BARRANQUILLA'!E4,"AAAAACLL/1o=")</f>
        <v>#VALUE!</v>
      </c>
      <c r="CN7" t="e">
        <f>AND('SPR BARRANQUILLA'!F4,"AAAAACLL/1s=")</f>
        <v>#VALUE!</v>
      </c>
      <c r="CO7" t="e">
        <f>AND('SPR BARRANQUILLA'!G4,"AAAAACLL/1w=")</f>
        <v>#VALUE!</v>
      </c>
      <c r="CP7" t="e">
        <f>AND('SPR BARRANQUILLA'!H4,"AAAAACLL/10=")</f>
        <v>#VALUE!</v>
      </c>
      <c r="CQ7" t="e">
        <f>AND('SPR BARRANQUILLA'!I4,"AAAAACLL/14=")</f>
        <v>#VALUE!</v>
      </c>
      <c r="CR7" t="e">
        <f>AND('SPR BARRANQUILLA'!J4,"AAAAACLL/18=")</f>
        <v>#VALUE!</v>
      </c>
      <c r="CS7" t="e">
        <f>AND('SPR BARRANQUILLA'!K4,"AAAAACLL/2A=")</f>
        <v>#VALUE!</v>
      </c>
      <c r="CT7" t="e">
        <f>AND('SPR BARRANQUILLA'!L4,"AAAAACLL/2E=")</f>
        <v>#VALUE!</v>
      </c>
      <c r="CU7" t="e">
        <f>AND('SPR BARRANQUILLA'!M4,"AAAAACLL/2I=")</f>
        <v>#VALUE!</v>
      </c>
      <c r="CV7" t="e">
        <f>AND('SPR BARRANQUILLA'!N4,"AAAAACLL/2M=")</f>
        <v>#VALUE!</v>
      </c>
      <c r="CW7" t="e">
        <f>AND('SPR BARRANQUILLA'!O4,"AAAAACLL/2Q=")</f>
        <v>#VALUE!</v>
      </c>
      <c r="CX7" t="e">
        <f>AND('SPR BARRANQUILLA'!P4,"AAAAACLL/2U=")</f>
        <v>#VALUE!</v>
      </c>
      <c r="CY7" t="e">
        <f>AND('SPR BARRANQUILLA'!Q4,"AAAAACLL/2Y=")</f>
        <v>#VALUE!</v>
      </c>
      <c r="CZ7" t="e">
        <f>AND('SPR BARRANQUILLA'!R4,"AAAAACLL/2c=")</f>
        <v>#VALUE!</v>
      </c>
      <c r="DA7" t="e">
        <f>AND('SPR BARRANQUILLA'!S4,"AAAAACLL/2g=")</f>
        <v>#VALUE!</v>
      </c>
      <c r="DB7" t="e">
        <f>AND('SPR BARRANQUILLA'!T4,"AAAAACLL/2k=")</f>
        <v>#VALUE!</v>
      </c>
      <c r="DC7" t="e">
        <f>AND('SPR BARRANQUILLA'!U4,"AAAAACLL/2o=")</f>
        <v>#VALUE!</v>
      </c>
      <c r="DD7" t="e">
        <f>AND('SPR BARRANQUILLA'!V4,"AAAAACLL/2s=")</f>
        <v>#VALUE!</v>
      </c>
      <c r="DE7" t="e">
        <f>AND('SPR BARRANQUILLA'!W4,"AAAAACLL/2w=")</f>
        <v>#VALUE!</v>
      </c>
      <c r="DF7" t="e">
        <f>AND('SPR BARRANQUILLA'!X4,"AAAAACLL/20=")</f>
        <v>#VALUE!</v>
      </c>
      <c r="DG7" t="e">
        <f>AND('SPR BARRANQUILLA'!Y4,"AAAAACLL/24=")</f>
        <v>#VALUE!</v>
      </c>
      <c r="DH7" t="e">
        <f>AND('SPR BARRANQUILLA'!Z4,"AAAAACLL/28=")</f>
        <v>#VALUE!</v>
      </c>
      <c r="DI7" t="e">
        <f>AND('SPR BARRANQUILLA'!AA4,"AAAAACLL/3A=")</f>
        <v>#VALUE!</v>
      </c>
      <c r="DJ7" t="e">
        <f>AND('SPR BARRANQUILLA'!AB4,"AAAAACLL/3E=")</f>
        <v>#VALUE!</v>
      </c>
      <c r="DK7" t="e">
        <f>AND('SPR BARRANQUILLA'!AC4,"AAAAACLL/3I=")</f>
        <v>#VALUE!</v>
      </c>
      <c r="DL7" t="e">
        <f>AND('SPR BARRANQUILLA'!AD4,"AAAAACLL/3M=")</f>
        <v>#VALUE!</v>
      </c>
      <c r="DM7" t="e">
        <f>AND('SPR BARRANQUILLA'!AE4,"AAAAACLL/3Q=")</f>
        <v>#VALUE!</v>
      </c>
      <c r="DN7" t="e">
        <f>AND('SPR BARRANQUILLA'!AF4,"AAAAACLL/3U=")</f>
        <v>#VALUE!</v>
      </c>
      <c r="DO7" t="e">
        <f>AND('SPR BARRANQUILLA'!AG4,"AAAAACLL/3Y=")</f>
        <v>#VALUE!</v>
      </c>
      <c r="DP7" t="e">
        <f>AND('SPR BARRANQUILLA'!AH4,"AAAAACLL/3c=")</f>
        <v>#VALUE!</v>
      </c>
      <c r="DQ7" t="e">
        <f>AND('SPR BARRANQUILLA'!AI4,"AAAAACLL/3g=")</f>
        <v>#VALUE!</v>
      </c>
      <c r="DR7" t="e">
        <f>AND('SPR BARRANQUILLA'!AJ4,"AAAAACLL/3k=")</f>
        <v>#VALUE!</v>
      </c>
      <c r="DS7" t="e">
        <f>AND('SPR BARRANQUILLA'!AK4,"AAAAACLL/3o=")</f>
        <v>#VALUE!</v>
      </c>
      <c r="DT7" t="e">
        <f>AND('SPR BARRANQUILLA'!AL4,"AAAAACLL/3s=")</f>
        <v>#VALUE!</v>
      </c>
      <c r="DU7" t="e">
        <f>AND('SPR BARRANQUILLA'!AM4,"AAAAACLL/3w=")</f>
        <v>#VALUE!</v>
      </c>
      <c r="DV7" t="e">
        <f>AND('SPR BARRANQUILLA'!AN4,"AAAAACLL/30=")</f>
        <v>#VALUE!</v>
      </c>
      <c r="DW7" t="e">
        <f>AND('SPR BARRANQUILLA'!AO4,"AAAAACLL/34=")</f>
        <v>#VALUE!</v>
      </c>
      <c r="DX7" t="e">
        <f>AND('SPR BARRANQUILLA'!AP4,"AAAAACLL/38=")</f>
        <v>#VALUE!</v>
      </c>
      <c r="DY7" t="e">
        <f>AND('SPR BARRANQUILLA'!AQ4,"AAAAACLL/4A=")</f>
        <v>#VALUE!</v>
      </c>
      <c r="DZ7" t="e">
        <f>AND('SPR BARRANQUILLA'!AR4,"AAAAACLL/4E=")</f>
        <v>#VALUE!</v>
      </c>
      <c r="EA7" t="e">
        <f>AND('SPR BARRANQUILLA'!AS4,"AAAAACLL/4I=")</f>
        <v>#VALUE!</v>
      </c>
      <c r="EB7" t="e">
        <f>AND('SPR BARRANQUILLA'!AT4,"AAAAACLL/4M=")</f>
        <v>#VALUE!</v>
      </c>
      <c r="EC7" t="e">
        <f>AND('SPR BARRANQUILLA'!AU4,"AAAAACLL/4Q=")</f>
        <v>#VALUE!</v>
      </c>
      <c r="ED7" t="e">
        <f>AND('SPR BARRANQUILLA'!AV4,"AAAAACLL/4U=")</f>
        <v>#VALUE!</v>
      </c>
      <c r="EE7" t="e">
        <f>AND('SPR BARRANQUILLA'!AW4,"AAAAACLL/4Y=")</f>
        <v>#VALUE!</v>
      </c>
      <c r="EF7" t="e">
        <f>AND('SPR BARRANQUILLA'!AX4,"AAAAACLL/4c=")</f>
        <v>#VALUE!</v>
      </c>
      <c r="EG7" t="e">
        <f>AND('SPR BARRANQUILLA'!AY4,"AAAAACLL/4g=")</f>
        <v>#VALUE!</v>
      </c>
      <c r="EH7" t="e">
        <f>AND('SPR BARRANQUILLA'!AZ4,"AAAAACLL/4k=")</f>
        <v>#VALUE!</v>
      </c>
      <c r="EI7" t="e">
        <f>AND('SPR BARRANQUILLA'!BA4,"AAAAACLL/4o=")</f>
        <v>#VALUE!</v>
      </c>
      <c r="EJ7" t="e">
        <f>AND('SPR BARRANQUILLA'!BB4,"AAAAACLL/4s=")</f>
        <v>#VALUE!</v>
      </c>
      <c r="EK7" t="e">
        <f>AND('SPR BARRANQUILLA'!BC4,"AAAAACLL/4w=")</f>
        <v>#VALUE!</v>
      </c>
      <c r="EL7" t="e">
        <f>AND('SPR BARRANQUILLA'!BD4,"AAAAACLL/40=")</f>
        <v>#VALUE!</v>
      </c>
      <c r="EM7" t="e">
        <f>AND('SPR BARRANQUILLA'!BE4,"AAAAACLL/44=")</f>
        <v>#VALUE!</v>
      </c>
      <c r="EN7" t="e">
        <f>AND('SPR BARRANQUILLA'!BF4,"AAAAACLL/48=")</f>
        <v>#VALUE!</v>
      </c>
      <c r="EO7" t="e">
        <f>AND('SPR BARRANQUILLA'!BG4,"AAAAACLL/5A=")</f>
        <v>#VALUE!</v>
      </c>
      <c r="EP7" t="e">
        <f>AND('SPR BARRANQUILLA'!BH4,"AAAAACLL/5E=")</f>
        <v>#VALUE!</v>
      </c>
      <c r="EQ7" t="e">
        <f>AND('SPR BARRANQUILLA'!BI4,"AAAAACLL/5I=")</f>
        <v>#VALUE!</v>
      </c>
      <c r="ER7" t="e">
        <f>AND('SPR BARRANQUILLA'!BJ4,"AAAAACLL/5M=")</f>
        <v>#VALUE!</v>
      </c>
      <c r="ES7" t="e">
        <f>AND('SPR BARRANQUILLA'!BK4,"AAAAACLL/5Q=")</f>
        <v>#VALUE!</v>
      </c>
      <c r="ET7" t="e">
        <f>AND('SPR BARRANQUILLA'!BL4,"AAAAACLL/5U=")</f>
        <v>#VALUE!</v>
      </c>
      <c r="EU7" t="e">
        <f>AND('SPR BARRANQUILLA'!BM4,"AAAAACLL/5Y=")</f>
        <v>#VALUE!</v>
      </c>
      <c r="EV7" t="e">
        <f>AND('SPR BARRANQUILLA'!BN4,"AAAAACLL/5c=")</f>
        <v>#VALUE!</v>
      </c>
      <c r="EW7" t="e">
        <f>AND('SPR BARRANQUILLA'!BO4,"AAAAACLL/5g=")</f>
        <v>#VALUE!</v>
      </c>
      <c r="EX7" t="e">
        <f>AND('SPR BARRANQUILLA'!BP4,"AAAAACLL/5k=")</f>
        <v>#VALUE!</v>
      </c>
      <c r="EY7" t="e">
        <f>AND('SPR BARRANQUILLA'!BQ4,"AAAAACLL/5o=")</f>
        <v>#VALUE!</v>
      </c>
      <c r="EZ7" t="e">
        <f>AND('SPR BARRANQUILLA'!BR4,"AAAAACLL/5s=")</f>
        <v>#VALUE!</v>
      </c>
      <c r="FA7" t="e">
        <f>AND('SPR BARRANQUILLA'!BS4,"AAAAACLL/5w=")</f>
        <v>#VALUE!</v>
      </c>
      <c r="FB7" t="e">
        <f>AND('SPR BARRANQUILLA'!BT4,"AAAAACLL/50=")</f>
        <v>#VALUE!</v>
      </c>
      <c r="FC7" t="e">
        <f>AND('SPR BARRANQUILLA'!BU4,"AAAAACLL/54=")</f>
        <v>#VALUE!</v>
      </c>
      <c r="FD7" t="e">
        <f>AND('SPR BARRANQUILLA'!BV4,"AAAAACLL/58=")</f>
        <v>#VALUE!</v>
      </c>
      <c r="FE7" t="e">
        <f>AND('SPR BARRANQUILLA'!BW4,"AAAAACLL/6A=")</f>
        <v>#VALUE!</v>
      </c>
      <c r="FF7" t="e">
        <f>AND('SPR BARRANQUILLA'!BX4,"AAAAACLL/6E=")</f>
        <v>#VALUE!</v>
      </c>
      <c r="FG7" t="e">
        <f>AND('SPR BARRANQUILLA'!BY4,"AAAAACLL/6I=")</f>
        <v>#VALUE!</v>
      </c>
      <c r="FH7" t="e">
        <f>AND('SPR BARRANQUILLA'!BZ4,"AAAAACLL/6M=")</f>
        <v>#VALUE!</v>
      </c>
      <c r="FI7" t="e">
        <f>AND('SPR BARRANQUILLA'!CA4,"AAAAACLL/6Q=")</f>
        <v>#VALUE!</v>
      </c>
      <c r="FJ7" t="e">
        <f>AND('SPR BARRANQUILLA'!CB4,"AAAAACLL/6U=")</f>
        <v>#VALUE!</v>
      </c>
      <c r="FK7" t="e">
        <f>AND('SPR BARRANQUILLA'!CC4,"AAAAACLL/6Y=")</f>
        <v>#VALUE!</v>
      </c>
      <c r="FL7" t="e">
        <f>AND('SPR BARRANQUILLA'!CD4,"AAAAACLL/6c=")</f>
        <v>#VALUE!</v>
      </c>
      <c r="FM7" t="e">
        <f>AND('SPR BARRANQUILLA'!CE4,"AAAAACLL/6g=")</f>
        <v>#VALUE!</v>
      </c>
      <c r="FN7" t="e">
        <f>AND('SPR BARRANQUILLA'!CF4,"AAAAACLL/6k=")</f>
        <v>#VALUE!</v>
      </c>
      <c r="FO7" t="e">
        <f>AND('SPR BARRANQUILLA'!CG4,"AAAAACLL/6o=")</f>
        <v>#VALUE!</v>
      </c>
      <c r="FP7" t="e">
        <f>AND('SPR BARRANQUILLA'!CH4,"AAAAACLL/6s=")</f>
        <v>#VALUE!</v>
      </c>
      <c r="FQ7" t="e">
        <f>AND('SPR BARRANQUILLA'!CI4,"AAAAACLL/6w=")</f>
        <v>#VALUE!</v>
      </c>
      <c r="FR7" t="e">
        <f>AND('SPR BARRANQUILLA'!CJ4,"AAAAACLL/60=")</f>
        <v>#VALUE!</v>
      </c>
      <c r="FS7" t="e">
        <f>AND('SPR BARRANQUILLA'!CK4,"AAAAACLL/64=")</f>
        <v>#VALUE!</v>
      </c>
      <c r="FT7" t="e">
        <f>AND('SPR BARRANQUILLA'!CL4,"AAAAACLL/68=")</f>
        <v>#VALUE!</v>
      </c>
      <c r="FU7" t="e">
        <f>AND('SPR BARRANQUILLA'!CM4,"AAAAACLL/7A=")</f>
        <v>#VALUE!</v>
      </c>
      <c r="FV7" t="e">
        <f>AND('SPR BARRANQUILLA'!CN4,"AAAAACLL/7E=")</f>
        <v>#VALUE!</v>
      </c>
      <c r="FW7" t="e">
        <f>AND('SPR BARRANQUILLA'!CO4,"AAAAACLL/7I=")</f>
        <v>#VALUE!</v>
      </c>
      <c r="FX7" t="e">
        <f>AND('SPR BARRANQUILLA'!CP4,"AAAAACLL/7M=")</f>
        <v>#VALUE!</v>
      </c>
      <c r="FY7" t="e">
        <f>AND('SPR BARRANQUILLA'!CQ4,"AAAAACLL/7Q=")</f>
        <v>#VALUE!</v>
      </c>
      <c r="FZ7" t="e">
        <f>AND('SPR BARRANQUILLA'!CR4,"AAAAACLL/7U=")</f>
        <v>#VALUE!</v>
      </c>
      <c r="GA7" t="e">
        <f>AND('SPR BARRANQUILLA'!CS4,"AAAAACLL/7Y=")</f>
        <v>#VALUE!</v>
      </c>
      <c r="GB7" t="e">
        <f>AND('SPR BARRANQUILLA'!CT4,"AAAAACLL/7c=")</f>
        <v>#VALUE!</v>
      </c>
      <c r="GC7" t="e">
        <f>AND('SPR BARRANQUILLA'!CU4,"AAAAACLL/7g=")</f>
        <v>#VALUE!</v>
      </c>
      <c r="GD7" t="e">
        <f>AND('SPR BARRANQUILLA'!CV4,"AAAAACLL/7k=")</f>
        <v>#VALUE!</v>
      </c>
      <c r="GE7" t="e">
        <f>AND('SPR BARRANQUILLA'!CW4,"AAAAACLL/7o=")</f>
        <v>#VALUE!</v>
      </c>
      <c r="GF7" t="e">
        <f>AND('SPR BARRANQUILLA'!CX4,"AAAAACLL/7s=")</f>
        <v>#VALUE!</v>
      </c>
      <c r="GG7" t="e">
        <f>AND('SPR BARRANQUILLA'!CY4,"AAAAACLL/7w=")</f>
        <v>#VALUE!</v>
      </c>
      <c r="GH7" t="e">
        <f>AND('SPR BARRANQUILLA'!CZ4,"AAAAACLL/70=")</f>
        <v>#VALUE!</v>
      </c>
      <c r="GI7" t="e">
        <f>AND('SPR BARRANQUILLA'!DA4,"AAAAACLL/74=")</f>
        <v>#VALUE!</v>
      </c>
      <c r="GJ7" t="e">
        <f>AND('SPR BARRANQUILLA'!DB4,"AAAAACLL/78=")</f>
        <v>#VALUE!</v>
      </c>
      <c r="GK7" t="e">
        <f>AND('SPR BARRANQUILLA'!DC4,"AAAAACLL/8A=")</f>
        <v>#VALUE!</v>
      </c>
      <c r="GL7" t="e">
        <f>AND('SPR BARRANQUILLA'!DD4,"AAAAACLL/8E=")</f>
        <v>#VALUE!</v>
      </c>
      <c r="GM7" t="e">
        <f>AND('SPR BARRANQUILLA'!DE4,"AAAAACLL/8I=")</f>
        <v>#VALUE!</v>
      </c>
      <c r="GN7" t="e">
        <f>AND('SPR BARRANQUILLA'!DF4,"AAAAACLL/8M=")</f>
        <v>#VALUE!</v>
      </c>
      <c r="GO7" t="e">
        <f>AND('SPR BARRANQUILLA'!DG4,"AAAAACLL/8Q=")</f>
        <v>#VALUE!</v>
      </c>
      <c r="GP7" t="e">
        <f>AND('SPR BARRANQUILLA'!DH4,"AAAAACLL/8U=")</f>
        <v>#VALUE!</v>
      </c>
      <c r="GQ7" t="e">
        <f>AND('SPR BARRANQUILLA'!DI4,"AAAAACLL/8Y=")</f>
        <v>#VALUE!</v>
      </c>
      <c r="GR7" t="e">
        <f>AND('SPR BARRANQUILLA'!DJ4,"AAAAACLL/8c=")</f>
        <v>#VALUE!</v>
      </c>
      <c r="GS7" t="e">
        <f>AND('SPR BARRANQUILLA'!DK4,"AAAAACLL/8g=")</f>
        <v>#VALUE!</v>
      </c>
      <c r="GT7" t="e">
        <f>AND('SPR BARRANQUILLA'!DL4,"AAAAACLL/8k=")</f>
        <v>#VALUE!</v>
      </c>
      <c r="GU7" t="e">
        <f>AND('SPR BARRANQUILLA'!DM4,"AAAAACLL/8o=")</f>
        <v>#VALUE!</v>
      </c>
      <c r="GV7" t="e">
        <f>AND('SPR BARRANQUILLA'!DN4,"AAAAACLL/8s=")</f>
        <v>#VALUE!</v>
      </c>
      <c r="GW7" t="e">
        <f>AND('SPR BARRANQUILLA'!DO4,"AAAAACLL/8w=")</f>
        <v>#VALUE!</v>
      </c>
      <c r="GX7" t="e">
        <f>AND('SPR BARRANQUILLA'!DP4,"AAAAACLL/80=")</f>
        <v>#VALUE!</v>
      </c>
      <c r="GY7" t="e">
        <f>AND('SPR BARRANQUILLA'!DQ4,"AAAAACLL/84=")</f>
        <v>#VALUE!</v>
      </c>
      <c r="GZ7" t="e">
        <f>AND('SPR BARRANQUILLA'!DR4,"AAAAACLL/88=")</f>
        <v>#VALUE!</v>
      </c>
      <c r="HA7" t="e">
        <f>AND('SPR BARRANQUILLA'!DS4,"AAAAACLL/9A=")</f>
        <v>#VALUE!</v>
      </c>
      <c r="HB7" t="e">
        <f>AND('SPR BARRANQUILLA'!DT4,"AAAAACLL/9E=")</f>
        <v>#VALUE!</v>
      </c>
      <c r="HC7" t="e">
        <f>AND('SPR BARRANQUILLA'!DU4,"AAAAACLL/9I=")</f>
        <v>#VALUE!</v>
      </c>
      <c r="HD7" t="e">
        <f>AND('SPR BARRANQUILLA'!DV4,"AAAAACLL/9M=")</f>
        <v>#VALUE!</v>
      </c>
      <c r="HE7" t="e">
        <f>AND('SPR BARRANQUILLA'!DW4,"AAAAACLL/9Q=")</f>
        <v>#VALUE!</v>
      </c>
      <c r="HF7" t="e">
        <f>AND('SPR BARRANQUILLA'!DX4,"AAAAACLL/9U=")</f>
        <v>#VALUE!</v>
      </c>
      <c r="HG7" t="e">
        <f>AND('SPR BARRANQUILLA'!DY4,"AAAAACLL/9Y=")</f>
        <v>#VALUE!</v>
      </c>
      <c r="HH7" t="e">
        <f>AND('SPR BARRANQUILLA'!DZ4,"AAAAACLL/9c=")</f>
        <v>#VALUE!</v>
      </c>
      <c r="HI7" t="e">
        <f>AND('SPR BARRANQUILLA'!EA4,"AAAAACLL/9g=")</f>
        <v>#VALUE!</v>
      </c>
      <c r="HJ7" t="e">
        <f>AND('SPR BARRANQUILLA'!EB4,"AAAAACLL/9k=")</f>
        <v>#VALUE!</v>
      </c>
      <c r="HK7" t="e">
        <f>AND('SPR BARRANQUILLA'!EC4,"AAAAACLL/9o=")</f>
        <v>#VALUE!</v>
      </c>
      <c r="HL7" t="e">
        <f>AND('SPR BARRANQUILLA'!ED4,"AAAAACLL/9s=")</f>
        <v>#VALUE!</v>
      </c>
      <c r="HM7" t="e">
        <f>AND('SPR BARRANQUILLA'!EE4,"AAAAACLL/9w=")</f>
        <v>#VALUE!</v>
      </c>
      <c r="HN7" t="e">
        <f>AND('SPR BARRANQUILLA'!EF4,"AAAAACLL/90=")</f>
        <v>#VALUE!</v>
      </c>
      <c r="HO7" t="e">
        <f>AND('SPR BARRANQUILLA'!EG4,"AAAAACLL/94=")</f>
        <v>#VALUE!</v>
      </c>
      <c r="HP7" t="e">
        <f>AND('SPR BARRANQUILLA'!EH4,"AAAAACLL/98=")</f>
        <v>#VALUE!</v>
      </c>
      <c r="HQ7" t="e">
        <f>AND('SPR BARRANQUILLA'!EI4,"AAAAACLL/+A=")</f>
        <v>#VALUE!</v>
      </c>
      <c r="HR7" t="e">
        <f>AND('SPR BARRANQUILLA'!EJ4,"AAAAACLL/+E=")</f>
        <v>#VALUE!</v>
      </c>
      <c r="HS7" t="e">
        <f>AND('SPR BARRANQUILLA'!EK4,"AAAAACLL/+I=")</f>
        <v>#VALUE!</v>
      </c>
      <c r="HT7" t="e">
        <f>AND('SPR BARRANQUILLA'!EL4,"AAAAACLL/+M=")</f>
        <v>#VALUE!</v>
      </c>
      <c r="HU7" t="e">
        <f>AND('SPR BARRANQUILLA'!EM4,"AAAAACLL/+Q=")</f>
        <v>#VALUE!</v>
      </c>
      <c r="HV7" t="e">
        <f>AND('SPR BARRANQUILLA'!EN4,"AAAAACLL/+U=")</f>
        <v>#VALUE!</v>
      </c>
      <c r="HW7" t="e">
        <f>AND('SPR BARRANQUILLA'!EO4,"AAAAACLL/+Y=")</f>
        <v>#VALUE!</v>
      </c>
      <c r="HX7" t="e">
        <f>AND('SPR BARRANQUILLA'!EP4,"AAAAACLL/+c=")</f>
        <v>#VALUE!</v>
      </c>
      <c r="HY7" t="e">
        <f>AND('SPR BARRANQUILLA'!EQ4,"AAAAACLL/+g=")</f>
        <v>#VALUE!</v>
      </c>
      <c r="HZ7" t="e">
        <f>AND('SPR BARRANQUILLA'!ER4,"AAAAACLL/+k=")</f>
        <v>#VALUE!</v>
      </c>
      <c r="IA7" t="e">
        <f>AND('SPR BARRANQUILLA'!ES4,"AAAAACLL/+o=")</f>
        <v>#VALUE!</v>
      </c>
      <c r="IB7" t="e">
        <f>AND('SPR BARRANQUILLA'!ET4,"AAAAACLL/+s=")</f>
        <v>#VALUE!</v>
      </c>
      <c r="IC7" t="e">
        <f>AND('SPR BARRANQUILLA'!EU4,"AAAAACLL/+w=")</f>
        <v>#VALUE!</v>
      </c>
      <c r="ID7" t="e">
        <f>AND('SPR BARRANQUILLA'!EV4,"AAAAACLL/+0=")</f>
        <v>#VALUE!</v>
      </c>
      <c r="IE7" t="e">
        <f>AND('SPR BARRANQUILLA'!EW4,"AAAAACLL/+4=")</f>
        <v>#VALUE!</v>
      </c>
      <c r="IF7" t="e">
        <f>AND('SPR BARRANQUILLA'!EX4,"AAAAACLL/+8=")</f>
        <v>#VALUE!</v>
      </c>
      <c r="IG7" t="e">
        <f>AND('SPR BARRANQUILLA'!EY4,"AAAAACLL//A=")</f>
        <v>#VALUE!</v>
      </c>
      <c r="IH7" t="e">
        <f>AND('SPR BARRANQUILLA'!EZ4,"AAAAACLL//E=")</f>
        <v>#VALUE!</v>
      </c>
      <c r="II7" t="e">
        <f>AND('SPR BARRANQUILLA'!FA4,"AAAAACLL//I=")</f>
        <v>#VALUE!</v>
      </c>
      <c r="IJ7" t="e">
        <f>AND('SPR BARRANQUILLA'!FB4,"AAAAACLL//M=")</f>
        <v>#VALUE!</v>
      </c>
      <c r="IK7" t="e">
        <f>AND('SPR BARRANQUILLA'!FC4,"AAAAACLL//Q=")</f>
        <v>#VALUE!</v>
      </c>
      <c r="IL7" t="e">
        <f>AND('SPR BARRANQUILLA'!FD4,"AAAAACLL//U=")</f>
        <v>#VALUE!</v>
      </c>
      <c r="IM7" t="e">
        <f>AND('SPR BARRANQUILLA'!FE4,"AAAAACLL//Y=")</f>
        <v>#VALUE!</v>
      </c>
      <c r="IN7" t="e">
        <f>AND('SPR BARRANQUILLA'!FF4,"AAAAACLL//c=")</f>
        <v>#VALUE!</v>
      </c>
      <c r="IO7" t="e">
        <f>AND('SPR BARRANQUILLA'!FG4,"AAAAACLL//g=")</f>
        <v>#VALUE!</v>
      </c>
      <c r="IP7" t="e">
        <f>AND('SPR BARRANQUILLA'!FH4,"AAAAACLL//k=")</f>
        <v>#VALUE!</v>
      </c>
      <c r="IQ7" t="e">
        <f>AND('SPR BARRANQUILLA'!FI4,"AAAAACLL//o=")</f>
        <v>#VALUE!</v>
      </c>
      <c r="IR7" t="e">
        <f>AND('SPR BARRANQUILLA'!FJ4,"AAAAACLL//s=")</f>
        <v>#VALUE!</v>
      </c>
      <c r="IS7" t="e">
        <f>AND('SPR BARRANQUILLA'!FK4,"AAAAACLL//w=")</f>
        <v>#VALUE!</v>
      </c>
      <c r="IT7" t="e">
        <f>AND('SPR BARRANQUILLA'!FL4,"AAAAACLL//0=")</f>
        <v>#VALUE!</v>
      </c>
      <c r="IU7" t="e">
        <f>AND('SPR BARRANQUILLA'!FM4,"AAAAACLL//4=")</f>
        <v>#VALUE!</v>
      </c>
      <c r="IV7" t="e">
        <f>AND('SPR BARRANQUILLA'!FN4,"AAAAACLL//8=")</f>
        <v>#VALUE!</v>
      </c>
    </row>
    <row r="8" spans="1:256">
      <c r="A8" t="e">
        <f>AND('SPR BARRANQUILLA'!FO4,"AAAAAC/fmwA=")</f>
        <v>#VALUE!</v>
      </c>
      <c r="B8" t="e">
        <f>AND('SPR BARRANQUILLA'!FP4,"AAAAAC/fmwE=")</f>
        <v>#VALUE!</v>
      </c>
      <c r="C8" t="e">
        <f>AND('SPR BARRANQUILLA'!FQ4,"AAAAAC/fmwI=")</f>
        <v>#VALUE!</v>
      </c>
      <c r="D8" t="e">
        <f>AND('SPR BARRANQUILLA'!FR4,"AAAAAC/fmwM=")</f>
        <v>#VALUE!</v>
      </c>
      <c r="E8" t="e">
        <f>AND('SPR BARRANQUILLA'!FS4,"AAAAAC/fmwQ=")</f>
        <v>#VALUE!</v>
      </c>
      <c r="F8" t="e">
        <f>AND('SPR BARRANQUILLA'!FT4,"AAAAAC/fmwU=")</f>
        <v>#VALUE!</v>
      </c>
      <c r="G8" t="e">
        <f>AND('SPR BARRANQUILLA'!FU4,"AAAAAC/fmwY=")</f>
        <v>#VALUE!</v>
      </c>
      <c r="H8" t="e">
        <f>AND('SPR BARRANQUILLA'!FV4,"AAAAAC/fmwc=")</f>
        <v>#VALUE!</v>
      </c>
      <c r="I8" t="e">
        <f>AND('SPR BARRANQUILLA'!FW4,"AAAAAC/fmwg=")</f>
        <v>#VALUE!</v>
      </c>
      <c r="J8" t="e">
        <f>AND('SPR BARRANQUILLA'!FX4,"AAAAAC/fmwk=")</f>
        <v>#VALUE!</v>
      </c>
      <c r="K8" t="e">
        <f>AND('SPR BARRANQUILLA'!FY4,"AAAAAC/fmwo=")</f>
        <v>#VALUE!</v>
      </c>
      <c r="L8" t="e">
        <f>AND('SPR BARRANQUILLA'!FZ4,"AAAAAC/fmws=")</f>
        <v>#VALUE!</v>
      </c>
      <c r="M8" t="e">
        <f>AND('SPR BARRANQUILLA'!GA4,"AAAAAC/fmww=")</f>
        <v>#VALUE!</v>
      </c>
      <c r="N8" t="e">
        <f>AND('SPR BARRANQUILLA'!GB4,"AAAAAC/fmw0=")</f>
        <v>#VALUE!</v>
      </c>
      <c r="O8" t="e">
        <f>AND('SPR BARRANQUILLA'!GC4,"AAAAAC/fmw4=")</f>
        <v>#VALUE!</v>
      </c>
      <c r="P8" t="e">
        <f>AND('SPR BARRANQUILLA'!GD4,"AAAAAC/fmw8=")</f>
        <v>#VALUE!</v>
      </c>
      <c r="Q8" t="e">
        <f>AND('SPR BARRANQUILLA'!GE4,"AAAAAC/fmxA=")</f>
        <v>#VALUE!</v>
      </c>
      <c r="R8" t="e">
        <f>AND('SPR BARRANQUILLA'!GF4,"AAAAAC/fmxE=")</f>
        <v>#VALUE!</v>
      </c>
      <c r="S8" t="e">
        <f>AND('SPR BARRANQUILLA'!GG4,"AAAAAC/fmxI=")</f>
        <v>#VALUE!</v>
      </c>
      <c r="T8" t="e">
        <f>AND('SPR BARRANQUILLA'!GH4,"AAAAAC/fmxM=")</f>
        <v>#VALUE!</v>
      </c>
      <c r="U8" t="e">
        <f>AND('SPR BARRANQUILLA'!GI4,"AAAAAC/fmxQ=")</f>
        <v>#VALUE!</v>
      </c>
      <c r="V8" t="e">
        <f>AND('SPR BARRANQUILLA'!GJ4,"AAAAAC/fmxU=")</f>
        <v>#VALUE!</v>
      </c>
      <c r="W8" t="e">
        <f>AND('SPR BARRANQUILLA'!GK4,"AAAAAC/fmxY=")</f>
        <v>#VALUE!</v>
      </c>
      <c r="X8" t="e">
        <f>AND('SPR BARRANQUILLA'!GL4,"AAAAAC/fmxc=")</f>
        <v>#VALUE!</v>
      </c>
      <c r="Y8" t="e">
        <f>AND('SPR BARRANQUILLA'!GM4,"AAAAAC/fmxg=")</f>
        <v>#VALUE!</v>
      </c>
      <c r="Z8" t="e">
        <f>AND('SPR BARRANQUILLA'!GN4,"AAAAAC/fmxk=")</f>
        <v>#VALUE!</v>
      </c>
      <c r="AA8" t="e">
        <f>AND('SPR BARRANQUILLA'!GO4,"AAAAAC/fmxo=")</f>
        <v>#VALUE!</v>
      </c>
      <c r="AB8" t="e">
        <f>AND('SPR BARRANQUILLA'!GP4,"AAAAAC/fmxs=")</f>
        <v>#VALUE!</v>
      </c>
      <c r="AC8" t="e">
        <f>AND('SPR BARRANQUILLA'!GQ4,"AAAAAC/fmxw=")</f>
        <v>#VALUE!</v>
      </c>
      <c r="AD8" t="e">
        <f>AND('SPR BARRANQUILLA'!GR4,"AAAAAC/fmx0=")</f>
        <v>#VALUE!</v>
      </c>
      <c r="AE8" t="e">
        <f>AND('SPR BARRANQUILLA'!GS4,"AAAAAC/fmx4=")</f>
        <v>#VALUE!</v>
      </c>
      <c r="AF8" t="e">
        <f>AND('SPR BARRANQUILLA'!GT4,"AAAAAC/fmx8=")</f>
        <v>#VALUE!</v>
      </c>
      <c r="AG8" t="e">
        <f>AND('SPR BARRANQUILLA'!GU4,"AAAAAC/fmyA=")</f>
        <v>#VALUE!</v>
      </c>
      <c r="AH8" t="e">
        <f>AND('SPR BARRANQUILLA'!GV4,"AAAAAC/fmyE=")</f>
        <v>#VALUE!</v>
      </c>
      <c r="AI8" t="e">
        <f>AND('SPR BARRANQUILLA'!GW4,"AAAAAC/fmyI=")</f>
        <v>#VALUE!</v>
      </c>
      <c r="AJ8" t="e">
        <f>AND('SPR BARRANQUILLA'!GX4,"AAAAAC/fmyM=")</f>
        <v>#VALUE!</v>
      </c>
      <c r="AK8" t="e">
        <f>AND('SPR BARRANQUILLA'!GY4,"AAAAAC/fmyQ=")</f>
        <v>#VALUE!</v>
      </c>
      <c r="AL8">
        <f>IF('SPR BARRANQUILLA'!5:5,"AAAAAC/fmyU=",0)</f>
        <v>0</v>
      </c>
      <c r="AM8" t="e">
        <f>AND('SPR BARRANQUILLA'!A5,"AAAAAC/fmyY=")</f>
        <v>#VALUE!</v>
      </c>
      <c r="AN8" t="e">
        <f>AND('SPR BARRANQUILLA'!B5,"AAAAAC/fmyc=")</f>
        <v>#VALUE!</v>
      </c>
      <c r="AO8" t="e">
        <f>AND('SPR BARRANQUILLA'!C5,"AAAAAC/fmyg=")</f>
        <v>#VALUE!</v>
      </c>
      <c r="AP8" t="e">
        <f>AND('SPR BARRANQUILLA'!D5,"AAAAAC/fmyk=")</f>
        <v>#VALUE!</v>
      </c>
      <c r="AQ8" t="e">
        <f>AND('SPR BARRANQUILLA'!E5,"AAAAAC/fmyo=")</f>
        <v>#VALUE!</v>
      </c>
      <c r="AR8" t="e">
        <f>AND('SPR BARRANQUILLA'!F5,"AAAAAC/fmys=")</f>
        <v>#VALUE!</v>
      </c>
      <c r="AS8" t="e">
        <f>AND('SPR BARRANQUILLA'!G5,"AAAAAC/fmyw=")</f>
        <v>#VALUE!</v>
      </c>
      <c r="AT8" t="e">
        <f>AND('SPR BARRANQUILLA'!H5,"AAAAAC/fmy0=")</f>
        <v>#VALUE!</v>
      </c>
      <c r="AU8" t="e">
        <f>AND('SPR BARRANQUILLA'!I5,"AAAAAC/fmy4=")</f>
        <v>#VALUE!</v>
      </c>
      <c r="AV8" t="e">
        <f>AND('SPR BARRANQUILLA'!J5,"AAAAAC/fmy8=")</f>
        <v>#VALUE!</v>
      </c>
      <c r="AW8" t="e">
        <f>AND('SPR BARRANQUILLA'!K5,"AAAAAC/fmzA=")</f>
        <v>#VALUE!</v>
      </c>
      <c r="AX8" t="e">
        <f>AND('SPR BARRANQUILLA'!L5,"AAAAAC/fmzE=")</f>
        <v>#VALUE!</v>
      </c>
      <c r="AY8" t="e">
        <f>AND('SPR BARRANQUILLA'!M5,"AAAAAC/fmzI=")</f>
        <v>#VALUE!</v>
      </c>
      <c r="AZ8" t="e">
        <f>AND('SPR BARRANQUILLA'!N5,"AAAAAC/fmzM=")</f>
        <v>#VALUE!</v>
      </c>
      <c r="BA8" t="e">
        <f>AND('SPR BARRANQUILLA'!O5,"AAAAAC/fmzQ=")</f>
        <v>#VALUE!</v>
      </c>
      <c r="BB8" t="e">
        <f>AND('SPR BARRANQUILLA'!P5,"AAAAAC/fmzU=")</f>
        <v>#VALUE!</v>
      </c>
      <c r="BC8" t="e">
        <f>AND('SPR BARRANQUILLA'!Q5,"AAAAAC/fmzY=")</f>
        <v>#VALUE!</v>
      </c>
      <c r="BD8" t="e">
        <f>AND('SPR BARRANQUILLA'!R5,"AAAAAC/fmzc=")</f>
        <v>#VALUE!</v>
      </c>
      <c r="BE8" t="e">
        <f>AND('SPR BARRANQUILLA'!S5,"AAAAAC/fmzg=")</f>
        <v>#VALUE!</v>
      </c>
      <c r="BF8" t="e">
        <f>AND('SPR BARRANQUILLA'!T5,"AAAAAC/fmzk=")</f>
        <v>#VALUE!</v>
      </c>
      <c r="BG8" t="e">
        <f>AND('SPR BARRANQUILLA'!U5,"AAAAAC/fmzo=")</f>
        <v>#VALUE!</v>
      </c>
      <c r="BH8" t="e">
        <f>AND('SPR BARRANQUILLA'!V5,"AAAAAC/fmzs=")</f>
        <v>#VALUE!</v>
      </c>
      <c r="BI8" t="e">
        <f>AND('SPR BARRANQUILLA'!W5,"AAAAAC/fmzw=")</f>
        <v>#VALUE!</v>
      </c>
      <c r="BJ8" t="e">
        <f>AND('SPR BARRANQUILLA'!X5,"AAAAAC/fmz0=")</f>
        <v>#VALUE!</v>
      </c>
      <c r="BK8" t="e">
        <f>AND('SPR BARRANQUILLA'!Y5,"AAAAAC/fmz4=")</f>
        <v>#VALUE!</v>
      </c>
      <c r="BL8" t="e">
        <f>AND('SPR BARRANQUILLA'!Z5,"AAAAAC/fmz8=")</f>
        <v>#VALUE!</v>
      </c>
      <c r="BM8" t="e">
        <f>AND('SPR BARRANQUILLA'!AA5,"AAAAAC/fm0A=")</f>
        <v>#VALUE!</v>
      </c>
      <c r="BN8" t="e">
        <f>AND('SPR BARRANQUILLA'!AB5,"AAAAAC/fm0E=")</f>
        <v>#VALUE!</v>
      </c>
      <c r="BO8" t="e">
        <f>AND('SPR BARRANQUILLA'!AC5,"AAAAAC/fm0I=")</f>
        <v>#VALUE!</v>
      </c>
      <c r="BP8" t="e">
        <f>AND('SPR BARRANQUILLA'!AD5,"AAAAAC/fm0M=")</f>
        <v>#VALUE!</v>
      </c>
      <c r="BQ8" t="e">
        <f>AND('SPR BARRANQUILLA'!AE5,"AAAAAC/fm0Q=")</f>
        <v>#VALUE!</v>
      </c>
      <c r="BR8" t="e">
        <f>AND('SPR BARRANQUILLA'!AF5,"AAAAAC/fm0U=")</f>
        <v>#VALUE!</v>
      </c>
      <c r="BS8" t="e">
        <f>AND('SPR BARRANQUILLA'!AG5,"AAAAAC/fm0Y=")</f>
        <v>#VALUE!</v>
      </c>
      <c r="BT8" t="e">
        <f>AND('SPR BARRANQUILLA'!AH5,"AAAAAC/fm0c=")</f>
        <v>#VALUE!</v>
      </c>
      <c r="BU8" t="e">
        <f>AND('SPR BARRANQUILLA'!AI5,"AAAAAC/fm0g=")</f>
        <v>#VALUE!</v>
      </c>
      <c r="BV8" t="e">
        <f>AND('SPR BARRANQUILLA'!AJ5,"AAAAAC/fm0k=")</f>
        <v>#VALUE!</v>
      </c>
      <c r="BW8" t="e">
        <f>AND('SPR BARRANQUILLA'!AK5,"AAAAAC/fm0o=")</f>
        <v>#VALUE!</v>
      </c>
      <c r="BX8" t="e">
        <f>AND('SPR BARRANQUILLA'!AL5,"AAAAAC/fm0s=")</f>
        <v>#VALUE!</v>
      </c>
      <c r="BY8" t="e">
        <f>AND('SPR BARRANQUILLA'!AM5,"AAAAAC/fm0w=")</f>
        <v>#VALUE!</v>
      </c>
      <c r="BZ8" t="e">
        <f>AND('SPR BARRANQUILLA'!AN5,"AAAAAC/fm00=")</f>
        <v>#VALUE!</v>
      </c>
      <c r="CA8" t="e">
        <f>AND('SPR BARRANQUILLA'!AO5,"AAAAAC/fm04=")</f>
        <v>#VALUE!</v>
      </c>
      <c r="CB8" t="e">
        <f>AND('SPR BARRANQUILLA'!AP5,"AAAAAC/fm08=")</f>
        <v>#VALUE!</v>
      </c>
      <c r="CC8" t="e">
        <f>AND('SPR BARRANQUILLA'!AQ5,"AAAAAC/fm1A=")</f>
        <v>#VALUE!</v>
      </c>
      <c r="CD8" t="e">
        <f>AND('SPR BARRANQUILLA'!AR5,"AAAAAC/fm1E=")</f>
        <v>#VALUE!</v>
      </c>
      <c r="CE8" t="e">
        <f>AND('SPR BARRANQUILLA'!AS5,"AAAAAC/fm1I=")</f>
        <v>#VALUE!</v>
      </c>
      <c r="CF8" t="e">
        <f>AND('SPR BARRANQUILLA'!AT5,"AAAAAC/fm1M=")</f>
        <v>#VALUE!</v>
      </c>
      <c r="CG8" t="e">
        <f>AND('SPR BARRANQUILLA'!AU5,"AAAAAC/fm1Q=")</f>
        <v>#VALUE!</v>
      </c>
      <c r="CH8" t="e">
        <f>AND('SPR BARRANQUILLA'!AV5,"AAAAAC/fm1U=")</f>
        <v>#VALUE!</v>
      </c>
      <c r="CI8" t="e">
        <f>AND('SPR BARRANQUILLA'!AW5,"AAAAAC/fm1Y=")</f>
        <v>#VALUE!</v>
      </c>
      <c r="CJ8" t="e">
        <f>AND('SPR BARRANQUILLA'!AX5,"AAAAAC/fm1c=")</f>
        <v>#VALUE!</v>
      </c>
      <c r="CK8" t="e">
        <f>AND('SPR BARRANQUILLA'!AY5,"AAAAAC/fm1g=")</f>
        <v>#VALUE!</v>
      </c>
      <c r="CL8" t="e">
        <f>AND('SPR BARRANQUILLA'!AZ5,"AAAAAC/fm1k=")</f>
        <v>#VALUE!</v>
      </c>
      <c r="CM8" t="e">
        <f>AND('SPR BARRANQUILLA'!BA5,"AAAAAC/fm1o=")</f>
        <v>#VALUE!</v>
      </c>
      <c r="CN8" t="e">
        <f>AND('SPR BARRANQUILLA'!BB5,"AAAAAC/fm1s=")</f>
        <v>#VALUE!</v>
      </c>
      <c r="CO8" t="e">
        <f>AND('SPR BARRANQUILLA'!BC5,"AAAAAC/fm1w=")</f>
        <v>#VALUE!</v>
      </c>
      <c r="CP8" t="e">
        <f>AND('SPR BARRANQUILLA'!BD5,"AAAAAC/fm10=")</f>
        <v>#VALUE!</v>
      </c>
      <c r="CQ8" t="e">
        <f>AND('SPR BARRANQUILLA'!BE5,"AAAAAC/fm14=")</f>
        <v>#VALUE!</v>
      </c>
      <c r="CR8" t="e">
        <f>AND('SPR BARRANQUILLA'!BF5,"AAAAAC/fm18=")</f>
        <v>#VALUE!</v>
      </c>
      <c r="CS8" t="e">
        <f>AND('SPR BARRANQUILLA'!BG5,"AAAAAC/fm2A=")</f>
        <v>#VALUE!</v>
      </c>
      <c r="CT8" t="e">
        <f>AND('SPR BARRANQUILLA'!BH5,"AAAAAC/fm2E=")</f>
        <v>#VALUE!</v>
      </c>
      <c r="CU8" t="e">
        <f>AND('SPR BARRANQUILLA'!BI5,"AAAAAC/fm2I=")</f>
        <v>#VALUE!</v>
      </c>
      <c r="CV8" t="e">
        <f>AND('SPR BARRANQUILLA'!BJ5,"AAAAAC/fm2M=")</f>
        <v>#VALUE!</v>
      </c>
      <c r="CW8" t="e">
        <f>AND('SPR BARRANQUILLA'!BK5,"AAAAAC/fm2Q=")</f>
        <v>#VALUE!</v>
      </c>
      <c r="CX8" t="e">
        <f>AND('SPR BARRANQUILLA'!BL5,"AAAAAC/fm2U=")</f>
        <v>#VALUE!</v>
      </c>
      <c r="CY8" t="e">
        <f>AND('SPR BARRANQUILLA'!BM5,"AAAAAC/fm2Y=")</f>
        <v>#VALUE!</v>
      </c>
      <c r="CZ8" t="e">
        <f>AND('SPR BARRANQUILLA'!BN5,"AAAAAC/fm2c=")</f>
        <v>#VALUE!</v>
      </c>
      <c r="DA8" t="e">
        <f>AND('SPR BARRANQUILLA'!BO5,"AAAAAC/fm2g=")</f>
        <v>#VALUE!</v>
      </c>
      <c r="DB8" t="e">
        <f>AND('SPR BARRANQUILLA'!BP5,"AAAAAC/fm2k=")</f>
        <v>#VALUE!</v>
      </c>
      <c r="DC8" t="e">
        <f>AND('SPR BARRANQUILLA'!BQ5,"AAAAAC/fm2o=")</f>
        <v>#VALUE!</v>
      </c>
      <c r="DD8" t="e">
        <f>AND('SPR BARRANQUILLA'!BR5,"AAAAAC/fm2s=")</f>
        <v>#VALUE!</v>
      </c>
      <c r="DE8" t="e">
        <f>AND('SPR BARRANQUILLA'!BS5,"AAAAAC/fm2w=")</f>
        <v>#VALUE!</v>
      </c>
      <c r="DF8" t="e">
        <f>AND('SPR BARRANQUILLA'!BT5,"AAAAAC/fm20=")</f>
        <v>#VALUE!</v>
      </c>
      <c r="DG8" t="e">
        <f>AND('SPR BARRANQUILLA'!BU5,"AAAAAC/fm24=")</f>
        <v>#VALUE!</v>
      </c>
      <c r="DH8" t="e">
        <f>AND('SPR BARRANQUILLA'!BV5,"AAAAAC/fm28=")</f>
        <v>#VALUE!</v>
      </c>
      <c r="DI8" t="e">
        <f>AND('SPR BARRANQUILLA'!BW5,"AAAAAC/fm3A=")</f>
        <v>#VALUE!</v>
      </c>
      <c r="DJ8" t="e">
        <f>AND('SPR BARRANQUILLA'!BX5,"AAAAAC/fm3E=")</f>
        <v>#VALUE!</v>
      </c>
      <c r="DK8" t="e">
        <f>AND('SPR BARRANQUILLA'!BY5,"AAAAAC/fm3I=")</f>
        <v>#VALUE!</v>
      </c>
      <c r="DL8" t="e">
        <f>AND('SPR BARRANQUILLA'!BZ5,"AAAAAC/fm3M=")</f>
        <v>#VALUE!</v>
      </c>
      <c r="DM8" t="e">
        <f>AND('SPR BARRANQUILLA'!CA5,"AAAAAC/fm3Q=")</f>
        <v>#VALUE!</v>
      </c>
      <c r="DN8" t="e">
        <f>AND('SPR BARRANQUILLA'!CB5,"AAAAAC/fm3U=")</f>
        <v>#VALUE!</v>
      </c>
      <c r="DO8" t="e">
        <f>AND('SPR BARRANQUILLA'!CC5,"AAAAAC/fm3Y=")</f>
        <v>#VALUE!</v>
      </c>
      <c r="DP8" t="e">
        <f>AND('SPR BARRANQUILLA'!CD5,"AAAAAC/fm3c=")</f>
        <v>#VALUE!</v>
      </c>
      <c r="DQ8" t="e">
        <f>AND('SPR BARRANQUILLA'!CE5,"AAAAAC/fm3g=")</f>
        <v>#VALUE!</v>
      </c>
      <c r="DR8" t="e">
        <f>AND('SPR BARRANQUILLA'!CF5,"AAAAAC/fm3k=")</f>
        <v>#VALUE!</v>
      </c>
      <c r="DS8" t="e">
        <f>AND('SPR BARRANQUILLA'!CG5,"AAAAAC/fm3o=")</f>
        <v>#VALUE!</v>
      </c>
      <c r="DT8" t="e">
        <f>AND('SPR BARRANQUILLA'!CH5,"AAAAAC/fm3s=")</f>
        <v>#VALUE!</v>
      </c>
      <c r="DU8" t="e">
        <f>AND('SPR BARRANQUILLA'!CI5,"AAAAAC/fm3w=")</f>
        <v>#VALUE!</v>
      </c>
      <c r="DV8" t="e">
        <f>AND('SPR BARRANQUILLA'!CJ5,"AAAAAC/fm30=")</f>
        <v>#VALUE!</v>
      </c>
      <c r="DW8" t="e">
        <f>AND('SPR BARRANQUILLA'!CK5,"AAAAAC/fm34=")</f>
        <v>#VALUE!</v>
      </c>
      <c r="DX8" t="e">
        <f>AND('SPR BARRANQUILLA'!CL5,"AAAAAC/fm38=")</f>
        <v>#VALUE!</v>
      </c>
      <c r="DY8" t="e">
        <f>AND('SPR BARRANQUILLA'!CM5,"AAAAAC/fm4A=")</f>
        <v>#VALUE!</v>
      </c>
      <c r="DZ8" t="e">
        <f>AND('SPR BARRANQUILLA'!CN5,"AAAAAC/fm4E=")</f>
        <v>#VALUE!</v>
      </c>
      <c r="EA8" t="e">
        <f>AND('SPR BARRANQUILLA'!CO5,"AAAAAC/fm4I=")</f>
        <v>#VALUE!</v>
      </c>
      <c r="EB8" t="e">
        <f>AND('SPR BARRANQUILLA'!CP5,"AAAAAC/fm4M=")</f>
        <v>#VALUE!</v>
      </c>
      <c r="EC8" t="e">
        <f>AND('SPR BARRANQUILLA'!CQ5,"AAAAAC/fm4Q=")</f>
        <v>#VALUE!</v>
      </c>
      <c r="ED8" t="e">
        <f>AND('SPR BARRANQUILLA'!CR5,"AAAAAC/fm4U=")</f>
        <v>#VALUE!</v>
      </c>
      <c r="EE8" t="e">
        <f>AND('SPR BARRANQUILLA'!CS5,"AAAAAC/fm4Y=")</f>
        <v>#VALUE!</v>
      </c>
      <c r="EF8" t="e">
        <f>AND('SPR BARRANQUILLA'!CT5,"AAAAAC/fm4c=")</f>
        <v>#VALUE!</v>
      </c>
      <c r="EG8" t="e">
        <f>AND('SPR BARRANQUILLA'!CU5,"AAAAAC/fm4g=")</f>
        <v>#VALUE!</v>
      </c>
      <c r="EH8" t="e">
        <f>AND('SPR BARRANQUILLA'!CV5,"AAAAAC/fm4k=")</f>
        <v>#VALUE!</v>
      </c>
      <c r="EI8" t="e">
        <f>AND('SPR BARRANQUILLA'!CW5,"AAAAAC/fm4o=")</f>
        <v>#VALUE!</v>
      </c>
      <c r="EJ8" t="e">
        <f>AND('SPR BARRANQUILLA'!CX5,"AAAAAC/fm4s=")</f>
        <v>#VALUE!</v>
      </c>
      <c r="EK8" t="e">
        <f>AND('SPR BARRANQUILLA'!CY5,"AAAAAC/fm4w=")</f>
        <v>#VALUE!</v>
      </c>
      <c r="EL8" t="e">
        <f>AND('SPR BARRANQUILLA'!CZ5,"AAAAAC/fm40=")</f>
        <v>#VALUE!</v>
      </c>
      <c r="EM8" t="e">
        <f>AND('SPR BARRANQUILLA'!DA5,"AAAAAC/fm44=")</f>
        <v>#VALUE!</v>
      </c>
      <c r="EN8" t="e">
        <f>AND('SPR BARRANQUILLA'!DB5,"AAAAAC/fm48=")</f>
        <v>#VALUE!</v>
      </c>
      <c r="EO8" t="e">
        <f>AND('SPR BARRANQUILLA'!DC5,"AAAAAC/fm5A=")</f>
        <v>#VALUE!</v>
      </c>
      <c r="EP8" t="e">
        <f>AND('SPR BARRANQUILLA'!DD5,"AAAAAC/fm5E=")</f>
        <v>#VALUE!</v>
      </c>
      <c r="EQ8" t="e">
        <f>AND('SPR BARRANQUILLA'!DE5,"AAAAAC/fm5I=")</f>
        <v>#VALUE!</v>
      </c>
      <c r="ER8" t="e">
        <f>AND('SPR BARRANQUILLA'!DF5,"AAAAAC/fm5M=")</f>
        <v>#VALUE!</v>
      </c>
      <c r="ES8" t="e">
        <f>AND('SPR BARRANQUILLA'!DG5,"AAAAAC/fm5Q=")</f>
        <v>#VALUE!</v>
      </c>
      <c r="ET8" t="e">
        <f>AND('SPR BARRANQUILLA'!DH5,"AAAAAC/fm5U=")</f>
        <v>#VALUE!</v>
      </c>
      <c r="EU8" t="e">
        <f>AND('SPR BARRANQUILLA'!DI5,"AAAAAC/fm5Y=")</f>
        <v>#VALUE!</v>
      </c>
      <c r="EV8" t="e">
        <f>AND('SPR BARRANQUILLA'!DJ5,"AAAAAC/fm5c=")</f>
        <v>#VALUE!</v>
      </c>
      <c r="EW8" t="e">
        <f>AND('SPR BARRANQUILLA'!DK5,"AAAAAC/fm5g=")</f>
        <v>#VALUE!</v>
      </c>
      <c r="EX8" t="e">
        <f>AND('SPR BARRANQUILLA'!DL5,"AAAAAC/fm5k=")</f>
        <v>#VALUE!</v>
      </c>
      <c r="EY8" t="e">
        <f>AND('SPR BARRANQUILLA'!DM5,"AAAAAC/fm5o=")</f>
        <v>#VALUE!</v>
      </c>
      <c r="EZ8" t="e">
        <f>AND('SPR BARRANQUILLA'!DN5,"AAAAAC/fm5s=")</f>
        <v>#VALUE!</v>
      </c>
      <c r="FA8" t="e">
        <f>AND('SPR BARRANQUILLA'!DO5,"AAAAAC/fm5w=")</f>
        <v>#VALUE!</v>
      </c>
      <c r="FB8" t="e">
        <f>AND('SPR BARRANQUILLA'!DP5,"AAAAAC/fm50=")</f>
        <v>#VALUE!</v>
      </c>
      <c r="FC8" t="e">
        <f>AND('SPR BARRANQUILLA'!DQ5,"AAAAAC/fm54=")</f>
        <v>#VALUE!</v>
      </c>
      <c r="FD8" t="e">
        <f>AND('SPR BARRANQUILLA'!DR5,"AAAAAC/fm58=")</f>
        <v>#VALUE!</v>
      </c>
      <c r="FE8" t="e">
        <f>AND('SPR BARRANQUILLA'!DS5,"AAAAAC/fm6A=")</f>
        <v>#VALUE!</v>
      </c>
      <c r="FF8" t="e">
        <f>AND('SPR BARRANQUILLA'!DT5,"AAAAAC/fm6E=")</f>
        <v>#VALUE!</v>
      </c>
      <c r="FG8" t="e">
        <f>AND('SPR BARRANQUILLA'!DU5,"AAAAAC/fm6I=")</f>
        <v>#VALUE!</v>
      </c>
      <c r="FH8" t="e">
        <f>AND('SPR BARRANQUILLA'!DV5,"AAAAAC/fm6M=")</f>
        <v>#VALUE!</v>
      </c>
      <c r="FI8" t="e">
        <f>AND('SPR BARRANQUILLA'!DW5,"AAAAAC/fm6Q=")</f>
        <v>#VALUE!</v>
      </c>
      <c r="FJ8" t="e">
        <f>AND('SPR BARRANQUILLA'!DX5,"AAAAAC/fm6U=")</f>
        <v>#VALUE!</v>
      </c>
      <c r="FK8" t="e">
        <f>AND('SPR BARRANQUILLA'!DY5,"AAAAAC/fm6Y=")</f>
        <v>#VALUE!</v>
      </c>
      <c r="FL8" t="e">
        <f>AND('SPR BARRANQUILLA'!DZ5,"AAAAAC/fm6c=")</f>
        <v>#VALUE!</v>
      </c>
      <c r="FM8" t="e">
        <f>AND('SPR BARRANQUILLA'!EA5,"AAAAAC/fm6g=")</f>
        <v>#VALUE!</v>
      </c>
      <c r="FN8" t="e">
        <f>AND('SPR BARRANQUILLA'!EB5,"AAAAAC/fm6k=")</f>
        <v>#VALUE!</v>
      </c>
      <c r="FO8" t="e">
        <f>AND('SPR BARRANQUILLA'!EC5,"AAAAAC/fm6o=")</f>
        <v>#VALUE!</v>
      </c>
      <c r="FP8" t="e">
        <f>AND('SPR BARRANQUILLA'!ED5,"AAAAAC/fm6s=")</f>
        <v>#VALUE!</v>
      </c>
      <c r="FQ8" t="e">
        <f>AND('SPR BARRANQUILLA'!EE5,"AAAAAC/fm6w=")</f>
        <v>#VALUE!</v>
      </c>
      <c r="FR8" t="e">
        <f>AND('SPR BARRANQUILLA'!EF5,"AAAAAC/fm60=")</f>
        <v>#VALUE!</v>
      </c>
      <c r="FS8" t="e">
        <f>AND('SPR BARRANQUILLA'!EG5,"AAAAAC/fm64=")</f>
        <v>#VALUE!</v>
      </c>
      <c r="FT8" t="e">
        <f>AND('SPR BARRANQUILLA'!EH5,"AAAAAC/fm68=")</f>
        <v>#VALUE!</v>
      </c>
      <c r="FU8" t="e">
        <f>AND('SPR BARRANQUILLA'!EI5,"AAAAAC/fm7A=")</f>
        <v>#VALUE!</v>
      </c>
      <c r="FV8" t="e">
        <f>AND('SPR BARRANQUILLA'!EJ5,"AAAAAC/fm7E=")</f>
        <v>#VALUE!</v>
      </c>
      <c r="FW8" t="e">
        <f>AND('SPR BARRANQUILLA'!EK5,"AAAAAC/fm7I=")</f>
        <v>#VALUE!</v>
      </c>
      <c r="FX8" t="e">
        <f>AND('SPR BARRANQUILLA'!EL5,"AAAAAC/fm7M=")</f>
        <v>#VALUE!</v>
      </c>
      <c r="FY8" t="e">
        <f>AND('SPR BARRANQUILLA'!EM5,"AAAAAC/fm7Q=")</f>
        <v>#VALUE!</v>
      </c>
      <c r="FZ8" t="e">
        <f>AND('SPR BARRANQUILLA'!EN5,"AAAAAC/fm7U=")</f>
        <v>#VALUE!</v>
      </c>
      <c r="GA8" t="e">
        <f>AND('SPR BARRANQUILLA'!EO5,"AAAAAC/fm7Y=")</f>
        <v>#VALUE!</v>
      </c>
      <c r="GB8" t="e">
        <f>AND('SPR BARRANQUILLA'!EP5,"AAAAAC/fm7c=")</f>
        <v>#VALUE!</v>
      </c>
      <c r="GC8" t="e">
        <f>AND('SPR BARRANQUILLA'!EQ5,"AAAAAC/fm7g=")</f>
        <v>#VALUE!</v>
      </c>
      <c r="GD8" t="e">
        <f>AND('SPR BARRANQUILLA'!ER5,"AAAAAC/fm7k=")</f>
        <v>#VALUE!</v>
      </c>
      <c r="GE8" t="e">
        <f>AND('SPR BARRANQUILLA'!ES5,"AAAAAC/fm7o=")</f>
        <v>#VALUE!</v>
      </c>
      <c r="GF8" t="e">
        <f>AND('SPR BARRANQUILLA'!ET5,"AAAAAC/fm7s=")</f>
        <v>#VALUE!</v>
      </c>
      <c r="GG8" t="e">
        <f>AND('SPR BARRANQUILLA'!EU5,"AAAAAC/fm7w=")</f>
        <v>#VALUE!</v>
      </c>
      <c r="GH8" t="e">
        <f>AND('SPR BARRANQUILLA'!EV5,"AAAAAC/fm70=")</f>
        <v>#VALUE!</v>
      </c>
      <c r="GI8" t="e">
        <f>AND('SPR BARRANQUILLA'!EW5,"AAAAAC/fm74=")</f>
        <v>#VALUE!</v>
      </c>
      <c r="GJ8" t="e">
        <f>AND('SPR BARRANQUILLA'!EX5,"AAAAAC/fm78=")</f>
        <v>#VALUE!</v>
      </c>
      <c r="GK8" t="e">
        <f>AND('SPR BARRANQUILLA'!EY5,"AAAAAC/fm8A=")</f>
        <v>#VALUE!</v>
      </c>
      <c r="GL8" t="e">
        <f>AND('SPR BARRANQUILLA'!EZ5,"AAAAAC/fm8E=")</f>
        <v>#VALUE!</v>
      </c>
      <c r="GM8" t="e">
        <f>AND('SPR BARRANQUILLA'!FA5,"AAAAAC/fm8I=")</f>
        <v>#VALUE!</v>
      </c>
      <c r="GN8" t="e">
        <f>AND('SPR BARRANQUILLA'!FB5,"AAAAAC/fm8M=")</f>
        <v>#VALUE!</v>
      </c>
      <c r="GO8" t="e">
        <f>AND('SPR BARRANQUILLA'!FC5,"AAAAAC/fm8Q=")</f>
        <v>#VALUE!</v>
      </c>
      <c r="GP8" t="e">
        <f>AND('SPR BARRANQUILLA'!FD5,"AAAAAC/fm8U=")</f>
        <v>#VALUE!</v>
      </c>
      <c r="GQ8" t="e">
        <f>AND('SPR BARRANQUILLA'!FE5,"AAAAAC/fm8Y=")</f>
        <v>#VALUE!</v>
      </c>
      <c r="GR8" t="e">
        <f>AND('SPR BARRANQUILLA'!FF5,"AAAAAC/fm8c=")</f>
        <v>#VALUE!</v>
      </c>
      <c r="GS8" t="e">
        <f>AND('SPR BARRANQUILLA'!FG5,"AAAAAC/fm8g=")</f>
        <v>#VALUE!</v>
      </c>
      <c r="GT8" t="e">
        <f>AND('SPR BARRANQUILLA'!FH5,"AAAAAC/fm8k=")</f>
        <v>#VALUE!</v>
      </c>
      <c r="GU8" t="e">
        <f>AND('SPR BARRANQUILLA'!FI5,"AAAAAC/fm8o=")</f>
        <v>#VALUE!</v>
      </c>
      <c r="GV8" t="e">
        <f>AND('SPR BARRANQUILLA'!FJ5,"AAAAAC/fm8s=")</f>
        <v>#VALUE!</v>
      </c>
      <c r="GW8" t="e">
        <f>AND('SPR BARRANQUILLA'!FK5,"AAAAAC/fm8w=")</f>
        <v>#VALUE!</v>
      </c>
      <c r="GX8" t="e">
        <f>AND('SPR BARRANQUILLA'!FL5,"AAAAAC/fm80=")</f>
        <v>#VALUE!</v>
      </c>
      <c r="GY8" t="e">
        <f>AND('SPR BARRANQUILLA'!FM5,"AAAAAC/fm84=")</f>
        <v>#VALUE!</v>
      </c>
      <c r="GZ8" t="e">
        <f>AND('SPR BARRANQUILLA'!FN5,"AAAAAC/fm88=")</f>
        <v>#VALUE!</v>
      </c>
      <c r="HA8" t="e">
        <f>AND('SPR BARRANQUILLA'!FO5,"AAAAAC/fm9A=")</f>
        <v>#VALUE!</v>
      </c>
      <c r="HB8" t="e">
        <f>AND('SPR BARRANQUILLA'!FP5,"AAAAAC/fm9E=")</f>
        <v>#VALUE!</v>
      </c>
      <c r="HC8" t="e">
        <f>AND('SPR BARRANQUILLA'!FQ5,"AAAAAC/fm9I=")</f>
        <v>#VALUE!</v>
      </c>
      <c r="HD8" t="e">
        <f>AND('SPR BARRANQUILLA'!FR5,"AAAAAC/fm9M=")</f>
        <v>#VALUE!</v>
      </c>
      <c r="HE8" t="e">
        <f>AND('SPR BARRANQUILLA'!FS5,"AAAAAC/fm9Q=")</f>
        <v>#VALUE!</v>
      </c>
      <c r="HF8" t="e">
        <f>AND('SPR BARRANQUILLA'!FT5,"AAAAAC/fm9U=")</f>
        <v>#VALUE!</v>
      </c>
      <c r="HG8" t="e">
        <f>AND('SPR BARRANQUILLA'!FU5,"AAAAAC/fm9Y=")</f>
        <v>#VALUE!</v>
      </c>
      <c r="HH8" t="e">
        <f>AND('SPR BARRANQUILLA'!FV5,"AAAAAC/fm9c=")</f>
        <v>#VALUE!</v>
      </c>
      <c r="HI8" t="e">
        <f>AND('SPR BARRANQUILLA'!FW5,"AAAAAC/fm9g=")</f>
        <v>#VALUE!</v>
      </c>
      <c r="HJ8" t="e">
        <f>AND('SPR BARRANQUILLA'!FX5,"AAAAAC/fm9k=")</f>
        <v>#VALUE!</v>
      </c>
      <c r="HK8" t="e">
        <f>AND('SPR BARRANQUILLA'!FY5,"AAAAAC/fm9o=")</f>
        <v>#VALUE!</v>
      </c>
      <c r="HL8" t="e">
        <f>AND('SPR BARRANQUILLA'!FZ5,"AAAAAC/fm9s=")</f>
        <v>#VALUE!</v>
      </c>
      <c r="HM8" t="e">
        <f>AND('SPR BARRANQUILLA'!GA5,"AAAAAC/fm9w=")</f>
        <v>#VALUE!</v>
      </c>
      <c r="HN8" t="e">
        <f>AND('SPR BARRANQUILLA'!GB5,"AAAAAC/fm90=")</f>
        <v>#VALUE!</v>
      </c>
      <c r="HO8" t="e">
        <f>AND('SPR BARRANQUILLA'!GC5,"AAAAAC/fm94=")</f>
        <v>#VALUE!</v>
      </c>
      <c r="HP8" t="e">
        <f>AND('SPR BARRANQUILLA'!GD5,"AAAAAC/fm98=")</f>
        <v>#VALUE!</v>
      </c>
      <c r="HQ8" t="e">
        <f>AND('SPR BARRANQUILLA'!GE5,"AAAAAC/fm+A=")</f>
        <v>#VALUE!</v>
      </c>
      <c r="HR8" t="e">
        <f>AND('SPR BARRANQUILLA'!GF5,"AAAAAC/fm+E=")</f>
        <v>#VALUE!</v>
      </c>
      <c r="HS8" t="e">
        <f>AND('SPR BARRANQUILLA'!GG5,"AAAAAC/fm+I=")</f>
        <v>#VALUE!</v>
      </c>
      <c r="HT8" t="e">
        <f>AND('SPR BARRANQUILLA'!GH5,"AAAAAC/fm+M=")</f>
        <v>#VALUE!</v>
      </c>
      <c r="HU8" t="e">
        <f>AND('SPR BARRANQUILLA'!GI5,"AAAAAC/fm+Q=")</f>
        <v>#VALUE!</v>
      </c>
      <c r="HV8" t="e">
        <f>AND('SPR BARRANQUILLA'!GJ5,"AAAAAC/fm+U=")</f>
        <v>#VALUE!</v>
      </c>
      <c r="HW8" t="e">
        <f>AND('SPR BARRANQUILLA'!GK5,"AAAAAC/fm+Y=")</f>
        <v>#VALUE!</v>
      </c>
      <c r="HX8" t="e">
        <f>AND('SPR BARRANQUILLA'!GL5,"AAAAAC/fm+c=")</f>
        <v>#VALUE!</v>
      </c>
      <c r="HY8" t="e">
        <f>AND('SPR BARRANQUILLA'!GM5,"AAAAAC/fm+g=")</f>
        <v>#VALUE!</v>
      </c>
      <c r="HZ8" t="e">
        <f>AND('SPR BARRANQUILLA'!GN5,"AAAAAC/fm+k=")</f>
        <v>#VALUE!</v>
      </c>
      <c r="IA8" t="e">
        <f>AND('SPR BARRANQUILLA'!GO5,"AAAAAC/fm+o=")</f>
        <v>#VALUE!</v>
      </c>
      <c r="IB8" t="e">
        <f>AND('SPR BARRANQUILLA'!GP5,"AAAAAC/fm+s=")</f>
        <v>#VALUE!</v>
      </c>
      <c r="IC8" t="e">
        <f>AND('SPR BARRANQUILLA'!GQ5,"AAAAAC/fm+w=")</f>
        <v>#VALUE!</v>
      </c>
      <c r="ID8" t="e">
        <f>AND('SPR BARRANQUILLA'!GR5,"AAAAAC/fm+0=")</f>
        <v>#VALUE!</v>
      </c>
      <c r="IE8" t="e">
        <f>AND('SPR BARRANQUILLA'!GS5,"AAAAAC/fm+4=")</f>
        <v>#VALUE!</v>
      </c>
      <c r="IF8" t="e">
        <f>AND('SPR BARRANQUILLA'!GT5,"AAAAAC/fm+8=")</f>
        <v>#VALUE!</v>
      </c>
      <c r="IG8" t="e">
        <f>AND('SPR BARRANQUILLA'!GU5,"AAAAAC/fm/A=")</f>
        <v>#VALUE!</v>
      </c>
      <c r="IH8" t="e">
        <f>AND('SPR BARRANQUILLA'!GV5,"AAAAAC/fm/E=")</f>
        <v>#VALUE!</v>
      </c>
      <c r="II8" t="e">
        <f>AND('SPR BARRANQUILLA'!GW5,"AAAAAC/fm/I=")</f>
        <v>#VALUE!</v>
      </c>
      <c r="IJ8" t="e">
        <f>AND('SPR BARRANQUILLA'!GX5,"AAAAAC/fm/M=")</f>
        <v>#VALUE!</v>
      </c>
      <c r="IK8" t="e">
        <f>AND('SPR BARRANQUILLA'!GY5,"AAAAAC/fm/Q=")</f>
        <v>#VALUE!</v>
      </c>
      <c r="IL8">
        <f>IF('SPR BARRANQUILLA'!6:6,"AAAAAC/fm/U=",0)</f>
        <v>0</v>
      </c>
      <c r="IM8" t="e">
        <f>AND('SPR BARRANQUILLA'!A6,"AAAAAC/fm/Y=")</f>
        <v>#VALUE!</v>
      </c>
      <c r="IN8" t="e">
        <f>AND('SPR BARRANQUILLA'!B6,"AAAAAC/fm/c=")</f>
        <v>#VALUE!</v>
      </c>
      <c r="IO8" t="e">
        <f>AND('SPR BARRANQUILLA'!C6,"AAAAAC/fm/g=")</f>
        <v>#VALUE!</v>
      </c>
      <c r="IP8" t="e">
        <f>AND('SPR BARRANQUILLA'!D6,"AAAAAC/fm/k=")</f>
        <v>#VALUE!</v>
      </c>
      <c r="IQ8" t="e">
        <f>AND('SPR BARRANQUILLA'!E6,"AAAAAC/fm/o=")</f>
        <v>#VALUE!</v>
      </c>
      <c r="IR8" t="e">
        <f>AND('SPR BARRANQUILLA'!F6,"AAAAAC/fm/s=")</f>
        <v>#VALUE!</v>
      </c>
      <c r="IS8" t="e">
        <f>AND('SPR BARRANQUILLA'!G6,"AAAAAC/fm/w=")</f>
        <v>#VALUE!</v>
      </c>
      <c r="IT8" t="e">
        <f>AND('SPR BARRANQUILLA'!H6,"AAAAAC/fm/0=")</f>
        <v>#VALUE!</v>
      </c>
      <c r="IU8" t="e">
        <f>AND('SPR BARRANQUILLA'!I6,"AAAAAC/fm/4=")</f>
        <v>#VALUE!</v>
      </c>
      <c r="IV8" t="e">
        <f>AND('SPR BARRANQUILLA'!J6,"AAAAAC/fm/8=")</f>
        <v>#VALUE!</v>
      </c>
    </row>
    <row r="9" spans="1:256">
      <c r="A9" t="e">
        <f>AND('SPR BARRANQUILLA'!K6,"AAAAAFm/+gA=")</f>
        <v>#VALUE!</v>
      </c>
      <c r="B9" t="e">
        <f>AND('SPR BARRANQUILLA'!L6,"AAAAAFm/+gE=")</f>
        <v>#VALUE!</v>
      </c>
      <c r="C9" t="e">
        <f>AND('SPR BARRANQUILLA'!M6,"AAAAAFm/+gI=")</f>
        <v>#VALUE!</v>
      </c>
      <c r="D9" t="e">
        <f>AND('SPR BARRANQUILLA'!N6,"AAAAAFm/+gM=")</f>
        <v>#VALUE!</v>
      </c>
      <c r="E9" t="e">
        <f>AND('SPR BARRANQUILLA'!O6,"AAAAAFm/+gQ=")</f>
        <v>#VALUE!</v>
      </c>
      <c r="F9" t="e">
        <f>AND('SPR BARRANQUILLA'!P6,"AAAAAFm/+gU=")</f>
        <v>#VALUE!</v>
      </c>
      <c r="G9" t="e">
        <f>AND('SPR BARRANQUILLA'!Q6,"AAAAAFm/+gY=")</f>
        <v>#VALUE!</v>
      </c>
      <c r="H9" t="e">
        <f>AND('SPR BARRANQUILLA'!R6,"AAAAAFm/+gc=")</f>
        <v>#VALUE!</v>
      </c>
      <c r="I9" t="e">
        <f>AND('SPR BARRANQUILLA'!S6,"AAAAAFm/+gg=")</f>
        <v>#VALUE!</v>
      </c>
      <c r="J9" t="e">
        <f>AND('SPR BARRANQUILLA'!T6,"AAAAAFm/+gk=")</f>
        <v>#VALUE!</v>
      </c>
      <c r="K9" t="e">
        <f>AND('SPR BARRANQUILLA'!U6,"AAAAAFm/+go=")</f>
        <v>#VALUE!</v>
      </c>
      <c r="L9" t="e">
        <f>AND('SPR BARRANQUILLA'!V6,"AAAAAFm/+gs=")</f>
        <v>#VALUE!</v>
      </c>
      <c r="M9" t="e">
        <f>AND('SPR BARRANQUILLA'!W6,"AAAAAFm/+gw=")</f>
        <v>#VALUE!</v>
      </c>
      <c r="N9" t="e">
        <f>AND('SPR BARRANQUILLA'!X6,"AAAAAFm/+g0=")</f>
        <v>#VALUE!</v>
      </c>
      <c r="O9" t="e">
        <f>AND('SPR BARRANQUILLA'!Y6,"AAAAAFm/+g4=")</f>
        <v>#VALUE!</v>
      </c>
      <c r="P9" t="e">
        <f>AND('SPR BARRANQUILLA'!Z6,"AAAAAFm/+g8=")</f>
        <v>#VALUE!</v>
      </c>
      <c r="Q9" t="e">
        <f>AND('SPR BARRANQUILLA'!AA6,"AAAAAFm/+hA=")</f>
        <v>#VALUE!</v>
      </c>
      <c r="R9" t="e">
        <f>AND('SPR BARRANQUILLA'!AB6,"AAAAAFm/+hE=")</f>
        <v>#VALUE!</v>
      </c>
      <c r="S9" t="e">
        <f>AND('SPR BARRANQUILLA'!AC6,"AAAAAFm/+hI=")</f>
        <v>#VALUE!</v>
      </c>
      <c r="T9" t="e">
        <f>AND('SPR BARRANQUILLA'!AD6,"AAAAAFm/+hM=")</f>
        <v>#VALUE!</v>
      </c>
      <c r="U9" t="e">
        <f>AND('SPR BARRANQUILLA'!AE6,"AAAAAFm/+hQ=")</f>
        <v>#VALUE!</v>
      </c>
      <c r="V9" t="e">
        <f>AND('SPR BARRANQUILLA'!AF6,"AAAAAFm/+hU=")</f>
        <v>#VALUE!</v>
      </c>
      <c r="W9" t="e">
        <f>AND('SPR BARRANQUILLA'!AG6,"AAAAAFm/+hY=")</f>
        <v>#VALUE!</v>
      </c>
      <c r="X9" t="e">
        <f>AND('SPR BARRANQUILLA'!AH6,"AAAAAFm/+hc=")</f>
        <v>#VALUE!</v>
      </c>
      <c r="Y9" t="e">
        <f>AND('SPR BARRANQUILLA'!AI6,"AAAAAFm/+hg=")</f>
        <v>#VALUE!</v>
      </c>
      <c r="Z9" t="e">
        <f>AND('SPR BARRANQUILLA'!AJ6,"AAAAAFm/+hk=")</f>
        <v>#VALUE!</v>
      </c>
      <c r="AA9" t="e">
        <f>AND('SPR BARRANQUILLA'!AK6,"AAAAAFm/+ho=")</f>
        <v>#VALUE!</v>
      </c>
      <c r="AB9" t="e">
        <f>AND('SPR BARRANQUILLA'!AL6,"AAAAAFm/+hs=")</f>
        <v>#VALUE!</v>
      </c>
      <c r="AC9" t="e">
        <f>AND('SPR BARRANQUILLA'!AM6,"AAAAAFm/+hw=")</f>
        <v>#VALUE!</v>
      </c>
      <c r="AD9" t="e">
        <f>AND('SPR BARRANQUILLA'!AN6,"AAAAAFm/+h0=")</f>
        <v>#VALUE!</v>
      </c>
      <c r="AE9" t="e">
        <f>AND('SPR BARRANQUILLA'!AO6,"AAAAAFm/+h4=")</f>
        <v>#VALUE!</v>
      </c>
      <c r="AF9" t="e">
        <f>AND('SPR BARRANQUILLA'!AP6,"AAAAAFm/+h8=")</f>
        <v>#VALUE!</v>
      </c>
      <c r="AG9" t="e">
        <f>AND('SPR BARRANQUILLA'!AQ6,"AAAAAFm/+iA=")</f>
        <v>#VALUE!</v>
      </c>
      <c r="AH9" t="e">
        <f>AND('SPR BARRANQUILLA'!AR6,"AAAAAFm/+iE=")</f>
        <v>#VALUE!</v>
      </c>
      <c r="AI9" t="e">
        <f>AND('SPR BARRANQUILLA'!AS6,"AAAAAFm/+iI=")</f>
        <v>#VALUE!</v>
      </c>
      <c r="AJ9" t="e">
        <f>AND('SPR BARRANQUILLA'!AT6,"AAAAAFm/+iM=")</f>
        <v>#VALUE!</v>
      </c>
      <c r="AK9" t="e">
        <f>AND('SPR BARRANQUILLA'!AU6,"AAAAAFm/+iQ=")</f>
        <v>#VALUE!</v>
      </c>
      <c r="AL9" t="e">
        <f>AND('SPR BARRANQUILLA'!AV6,"AAAAAFm/+iU=")</f>
        <v>#VALUE!</v>
      </c>
      <c r="AM9" t="e">
        <f>AND('SPR BARRANQUILLA'!AW6,"AAAAAFm/+iY=")</f>
        <v>#VALUE!</v>
      </c>
      <c r="AN9" t="e">
        <f>AND('SPR BARRANQUILLA'!AX6,"AAAAAFm/+ic=")</f>
        <v>#VALUE!</v>
      </c>
      <c r="AO9" t="e">
        <f>AND('SPR BARRANQUILLA'!AY6,"AAAAAFm/+ig=")</f>
        <v>#VALUE!</v>
      </c>
      <c r="AP9" t="e">
        <f>AND('SPR BARRANQUILLA'!AZ6,"AAAAAFm/+ik=")</f>
        <v>#VALUE!</v>
      </c>
      <c r="AQ9" t="e">
        <f>AND('SPR BARRANQUILLA'!BA6,"AAAAAFm/+io=")</f>
        <v>#VALUE!</v>
      </c>
      <c r="AR9" t="e">
        <f>AND('SPR BARRANQUILLA'!BB6,"AAAAAFm/+is=")</f>
        <v>#VALUE!</v>
      </c>
      <c r="AS9" t="e">
        <f>AND('SPR BARRANQUILLA'!BC6,"AAAAAFm/+iw=")</f>
        <v>#VALUE!</v>
      </c>
      <c r="AT9" t="e">
        <f>AND('SPR BARRANQUILLA'!BD6,"AAAAAFm/+i0=")</f>
        <v>#VALUE!</v>
      </c>
      <c r="AU9" t="e">
        <f>AND('SPR BARRANQUILLA'!BE6,"AAAAAFm/+i4=")</f>
        <v>#VALUE!</v>
      </c>
      <c r="AV9" t="e">
        <f>AND('SPR BARRANQUILLA'!BF6,"AAAAAFm/+i8=")</f>
        <v>#VALUE!</v>
      </c>
      <c r="AW9" t="e">
        <f>AND('SPR BARRANQUILLA'!BG6,"AAAAAFm/+jA=")</f>
        <v>#VALUE!</v>
      </c>
      <c r="AX9" t="e">
        <f>AND('SPR BARRANQUILLA'!BH6,"AAAAAFm/+jE=")</f>
        <v>#VALUE!</v>
      </c>
      <c r="AY9" t="e">
        <f>AND('SPR BARRANQUILLA'!BI6,"AAAAAFm/+jI=")</f>
        <v>#VALUE!</v>
      </c>
      <c r="AZ9" t="e">
        <f>AND('SPR BARRANQUILLA'!BJ6,"AAAAAFm/+jM=")</f>
        <v>#VALUE!</v>
      </c>
      <c r="BA9" t="e">
        <f>AND('SPR BARRANQUILLA'!BK6,"AAAAAFm/+jQ=")</f>
        <v>#VALUE!</v>
      </c>
      <c r="BB9" t="e">
        <f>AND('SPR BARRANQUILLA'!BL6,"AAAAAFm/+jU=")</f>
        <v>#VALUE!</v>
      </c>
      <c r="BC9" t="e">
        <f>AND('SPR BARRANQUILLA'!BM6,"AAAAAFm/+jY=")</f>
        <v>#VALUE!</v>
      </c>
      <c r="BD9" t="e">
        <f>AND('SPR BARRANQUILLA'!BN6,"AAAAAFm/+jc=")</f>
        <v>#VALUE!</v>
      </c>
      <c r="BE9" t="e">
        <f>AND('SPR BARRANQUILLA'!BO6,"AAAAAFm/+jg=")</f>
        <v>#VALUE!</v>
      </c>
      <c r="BF9" t="e">
        <f>AND('SPR BARRANQUILLA'!BP6,"AAAAAFm/+jk=")</f>
        <v>#VALUE!</v>
      </c>
      <c r="BG9" t="e">
        <f>AND('SPR BARRANQUILLA'!BQ6,"AAAAAFm/+jo=")</f>
        <v>#VALUE!</v>
      </c>
      <c r="BH9" t="e">
        <f>AND('SPR BARRANQUILLA'!BR6,"AAAAAFm/+js=")</f>
        <v>#VALUE!</v>
      </c>
      <c r="BI9" t="e">
        <f>AND('SPR BARRANQUILLA'!BS6,"AAAAAFm/+jw=")</f>
        <v>#VALUE!</v>
      </c>
      <c r="BJ9" t="e">
        <f>AND('SPR BARRANQUILLA'!BT6,"AAAAAFm/+j0=")</f>
        <v>#VALUE!</v>
      </c>
      <c r="BK9" t="e">
        <f>AND('SPR BARRANQUILLA'!BU6,"AAAAAFm/+j4=")</f>
        <v>#VALUE!</v>
      </c>
      <c r="BL9" t="e">
        <f>AND('SPR BARRANQUILLA'!BV6,"AAAAAFm/+j8=")</f>
        <v>#VALUE!</v>
      </c>
      <c r="BM9" t="e">
        <f>AND('SPR BARRANQUILLA'!BW6,"AAAAAFm/+kA=")</f>
        <v>#VALUE!</v>
      </c>
      <c r="BN9" t="e">
        <f>AND('SPR BARRANQUILLA'!BX6,"AAAAAFm/+kE=")</f>
        <v>#VALUE!</v>
      </c>
      <c r="BO9" t="e">
        <f>AND('SPR BARRANQUILLA'!BY6,"AAAAAFm/+kI=")</f>
        <v>#VALUE!</v>
      </c>
      <c r="BP9" t="e">
        <f>AND('SPR BARRANQUILLA'!BZ6,"AAAAAFm/+kM=")</f>
        <v>#VALUE!</v>
      </c>
      <c r="BQ9" t="e">
        <f>AND('SPR BARRANQUILLA'!CA6,"AAAAAFm/+kQ=")</f>
        <v>#VALUE!</v>
      </c>
      <c r="BR9" t="e">
        <f>AND('SPR BARRANQUILLA'!CB6,"AAAAAFm/+kU=")</f>
        <v>#VALUE!</v>
      </c>
      <c r="BS9" t="e">
        <f>AND('SPR BARRANQUILLA'!CC6,"AAAAAFm/+kY=")</f>
        <v>#VALUE!</v>
      </c>
      <c r="BT9" t="e">
        <f>AND('SPR BARRANQUILLA'!CD6,"AAAAAFm/+kc=")</f>
        <v>#VALUE!</v>
      </c>
      <c r="BU9" t="e">
        <f>AND('SPR BARRANQUILLA'!CE6,"AAAAAFm/+kg=")</f>
        <v>#VALUE!</v>
      </c>
      <c r="BV9" t="e">
        <f>AND('SPR BARRANQUILLA'!CF6,"AAAAAFm/+kk=")</f>
        <v>#VALUE!</v>
      </c>
      <c r="BW9" t="e">
        <f>AND('SPR BARRANQUILLA'!CG6,"AAAAAFm/+ko=")</f>
        <v>#VALUE!</v>
      </c>
      <c r="BX9" t="e">
        <f>AND('SPR BARRANQUILLA'!CH6,"AAAAAFm/+ks=")</f>
        <v>#VALUE!</v>
      </c>
      <c r="BY9" t="e">
        <f>AND('SPR BARRANQUILLA'!CI6,"AAAAAFm/+kw=")</f>
        <v>#VALUE!</v>
      </c>
      <c r="BZ9" t="e">
        <f>AND('SPR BARRANQUILLA'!CJ6,"AAAAAFm/+k0=")</f>
        <v>#VALUE!</v>
      </c>
      <c r="CA9" t="e">
        <f>AND('SPR BARRANQUILLA'!CK6,"AAAAAFm/+k4=")</f>
        <v>#VALUE!</v>
      </c>
      <c r="CB9" t="e">
        <f>AND('SPR BARRANQUILLA'!CL6,"AAAAAFm/+k8=")</f>
        <v>#VALUE!</v>
      </c>
      <c r="CC9" t="e">
        <f>AND('SPR BARRANQUILLA'!CM6,"AAAAAFm/+lA=")</f>
        <v>#VALUE!</v>
      </c>
      <c r="CD9" t="e">
        <f>AND('SPR BARRANQUILLA'!CN6,"AAAAAFm/+lE=")</f>
        <v>#VALUE!</v>
      </c>
      <c r="CE9" t="e">
        <f>AND('SPR BARRANQUILLA'!CO6,"AAAAAFm/+lI=")</f>
        <v>#VALUE!</v>
      </c>
      <c r="CF9" t="e">
        <f>AND('SPR BARRANQUILLA'!CP6,"AAAAAFm/+lM=")</f>
        <v>#VALUE!</v>
      </c>
      <c r="CG9" t="e">
        <f>AND('SPR BARRANQUILLA'!CQ6,"AAAAAFm/+lQ=")</f>
        <v>#VALUE!</v>
      </c>
      <c r="CH9" t="e">
        <f>AND('SPR BARRANQUILLA'!CR6,"AAAAAFm/+lU=")</f>
        <v>#VALUE!</v>
      </c>
      <c r="CI9" t="e">
        <f>AND('SPR BARRANQUILLA'!CS6,"AAAAAFm/+lY=")</f>
        <v>#VALUE!</v>
      </c>
      <c r="CJ9" t="e">
        <f>AND('SPR BARRANQUILLA'!CT6,"AAAAAFm/+lc=")</f>
        <v>#VALUE!</v>
      </c>
      <c r="CK9" t="e">
        <f>AND('SPR BARRANQUILLA'!CU6,"AAAAAFm/+lg=")</f>
        <v>#VALUE!</v>
      </c>
      <c r="CL9" t="e">
        <f>AND('SPR BARRANQUILLA'!CV6,"AAAAAFm/+lk=")</f>
        <v>#VALUE!</v>
      </c>
      <c r="CM9" t="e">
        <f>AND('SPR BARRANQUILLA'!CW6,"AAAAAFm/+lo=")</f>
        <v>#VALUE!</v>
      </c>
      <c r="CN9" t="e">
        <f>AND('SPR BARRANQUILLA'!CX6,"AAAAAFm/+ls=")</f>
        <v>#VALUE!</v>
      </c>
      <c r="CO9" t="e">
        <f>AND('SPR BARRANQUILLA'!CY6,"AAAAAFm/+lw=")</f>
        <v>#VALUE!</v>
      </c>
      <c r="CP9" t="e">
        <f>AND('SPR BARRANQUILLA'!CZ6,"AAAAAFm/+l0=")</f>
        <v>#VALUE!</v>
      </c>
      <c r="CQ9" t="e">
        <f>AND('SPR BARRANQUILLA'!DA6,"AAAAAFm/+l4=")</f>
        <v>#VALUE!</v>
      </c>
      <c r="CR9" t="e">
        <f>AND('SPR BARRANQUILLA'!DB6,"AAAAAFm/+l8=")</f>
        <v>#VALUE!</v>
      </c>
      <c r="CS9" t="e">
        <f>AND('SPR BARRANQUILLA'!DC6,"AAAAAFm/+mA=")</f>
        <v>#VALUE!</v>
      </c>
      <c r="CT9" t="e">
        <f>AND('SPR BARRANQUILLA'!DD6,"AAAAAFm/+mE=")</f>
        <v>#VALUE!</v>
      </c>
      <c r="CU9" t="e">
        <f>AND('SPR BARRANQUILLA'!DE6,"AAAAAFm/+mI=")</f>
        <v>#VALUE!</v>
      </c>
      <c r="CV9" t="e">
        <f>AND('SPR BARRANQUILLA'!DF6,"AAAAAFm/+mM=")</f>
        <v>#VALUE!</v>
      </c>
      <c r="CW9" t="e">
        <f>AND('SPR BARRANQUILLA'!DG6,"AAAAAFm/+mQ=")</f>
        <v>#VALUE!</v>
      </c>
      <c r="CX9" t="e">
        <f>AND('SPR BARRANQUILLA'!DH6,"AAAAAFm/+mU=")</f>
        <v>#VALUE!</v>
      </c>
      <c r="CY9" t="e">
        <f>AND('SPR BARRANQUILLA'!DI6,"AAAAAFm/+mY=")</f>
        <v>#VALUE!</v>
      </c>
      <c r="CZ9" t="e">
        <f>AND('SPR BARRANQUILLA'!DJ6,"AAAAAFm/+mc=")</f>
        <v>#VALUE!</v>
      </c>
      <c r="DA9" t="e">
        <f>AND('SPR BARRANQUILLA'!DK6,"AAAAAFm/+mg=")</f>
        <v>#VALUE!</v>
      </c>
      <c r="DB9" t="e">
        <f>AND('SPR BARRANQUILLA'!DL6,"AAAAAFm/+mk=")</f>
        <v>#VALUE!</v>
      </c>
      <c r="DC9" t="e">
        <f>AND('SPR BARRANQUILLA'!DM6,"AAAAAFm/+mo=")</f>
        <v>#VALUE!</v>
      </c>
      <c r="DD9" t="e">
        <f>AND('SPR BARRANQUILLA'!DN6,"AAAAAFm/+ms=")</f>
        <v>#VALUE!</v>
      </c>
      <c r="DE9" t="e">
        <f>AND('SPR BARRANQUILLA'!DO6,"AAAAAFm/+mw=")</f>
        <v>#VALUE!</v>
      </c>
      <c r="DF9" t="e">
        <f>AND('SPR BARRANQUILLA'!DP6,"AAAAAFm/+m0=")</f>
        <v>#VALUE!</v>
      </c>
      <c r="DG9" t="e">
        <f>AND('SPR BARRANQUILLA'!DQ6,"AAAAAFm/+m4=")</f>
        <v>#VALUE!</v>
      </c>
      <c r="DH9" t="e">
        <f>AND('SPR BARRANQUILLA'!DR6,"AAAAAFm/+m8=")</f>
        <v>#VALUE!</v>
      </c>
      <c r="DI9" t="e">
        <f>AND('SPR BARRANQUILLA'!DS6,"AAAAAFm/+nA=")</f>
        <v>#VALUE!</v>
      </c>
      <c r="DJ9" t="e">
        <f>AND('SPR BARRANQUILLA'!DT6,"AAAAAFm/+nE=")</f>
        <v>#VALUE!</v>
      </c>
      <c r="DK9" t="e">
        <f>AND('SPR BARRANQUILLA'!DU6,"AAAAAFm/+nI=")</f>
        <v>#VALUE!</v>
      </c>
      <c r="DL9" t="e">
        <f>AND('SPR BARRANQUILLA'!DV6,"AAAAAFm/+nM=")</f>
        <v>#VALUE!</v>
      </c>
      <c r="DM9" t="e">
        <f>AND('SPR BARRANQUILLA'!DW6,"AAAAAFm/+nQ=")</f>
        <v>#VALUE!</v>
      </c>
      <c r="DN9" t="e">
        <f>AND('SPR BARRANQUILLA'!DX6,"AAAAAFm/+nU=")</f>
        <v>#VALUE!</v>
      </c>
      <c r="DO9" t="e">
        <f>AND('SPR BARRANQUILLA'!DY6,"AAAAAFm/+nY=")</f>
        <v>#VALUE!</v>
      </c>
      <c r="DP9" t="e">
        <f>AND('SPR BARRANQUILLA'!DZ6,"AAAAAFm/+nc=")</f>
        <v>#VALUE!</v>
      </c>
      <c r="DQ9" t="e">
        <f>AND('SPR BARRANQUILLA'!EA6,"AAAAAFm/+ng=")</f>
        <v>#VALUE!</v>
      </c>
      <c r="DR9" t="e">
        <f>AND('SPR BARRANQUILLA'!EB6,"AAAAAFm/+nk=")</f>
        <v>#VALUE!</v>
      </c>
      <c r="DS9" t="e">
        <f>AND('SPR BARRANQUILLA'!EC6,"AAAAAFm/+no=")</f>
        <v>#VALUE!</v>
      </c>
      <c r="DT9" t="e">
        <f>AND('SPR BARRANQUILLA'!ED6,"AAAAAFm/+ns=")</f>
        <v>#VALUE!</v>
      </c>
      <c r="DU9" t="e">
        <f>AND('SPR BARRANQUILLA'!EE6,"AAAAAFm/+nw=")</f>
        <v>#VALUE!</v>
      </c>
      <c r="DV9" t="e">
        <f>AND('SPR BARRANQUILLA'!EF6,"AAAAAFm/+n0=")</f>
        <v>#VALUE!</v>
      </c>
      <c r="DW9" t="e">
        <f>AND('SPR BARRANQUILLA'!EG6,"AAAAAFm/+n4=")</f>
        <v>#VALUE!</v>
      </c>
      <c r="DX9" t="e">
        <f>AND('SPR BARRANQUILLA'!EH6,"AAAAAFm/+n8=")</f>
        <v>#VALUE!</v>
      </c>
      <c r="DY9" t="e">
        <f>AND('SPR BARRANQUILLA'!EI6,"AAAAAFm/+oA=")</f>
        <v>#VALUE!</v>
      </c>
      <c r="DZ9" t="e">
        <f>AND('SPR BARRANQUILLA'!EJ6,"AAAAAFm/+oE=")</f>
        <v>#VALUE!</v>
      </c>
      <c r="EA9" t="e">
        <f>AND('SPR BARRANQUILLA'!EK6,"AAAAAFm/+oI=")</f>
        <v>#VALUE!</v>
      </c>
      <c r="EB9" t="e">
        <f>AND('SPR BARRANQUILLA'!EL6,"AAAAAFm/+oM=")</f>
        <v>#VALUE!</v>
      </c>
      <c r="EC9" t="e">
        <f>AND('SPR BARRANQUILLA'!EM6,"AAAAAFm/+oQ=")</f>
        <v>#VALUE!</v>
      </c>
      <c r="ED9" t="e">
        <f>AND('SPR BARRANQUILLA'!EN6,"AAAAAFm/+oU=")</f>
        <v>#VALUE!</v>
      </c>
      <c r="EE9" t="e">
        <f>AND('SPR BARRANQUILLA'!EO6,"AAAAAFm/+oY=")</f>
        <v>#VALUE!</v>
      </c>
      <c r="EF9" t="e">
        <f>AND('SPR BARRANQUILLA'!EP6,"AAAAAFm/+oc=")</f>
        <v>#VALUE!</v>
      </c>
      <c r="EG9" t="e">
        <f>AND('SPR BARRANQUILLA'!EQ6,"AAAAAFm/+og=")</f>
        <v>#VALUE!</v>
      </c>
      <c r="EH9" t="e">
        <f>AND('SPR BARRANQUILLA'!ER6,"AAAAAFm/+ok=")</f>
        <v>#VALUE!</v>
      </c>
      <c r="EI9" t="e">
        <f>AND('SPR BARRANQUILLA'!ES6,"AAAAAFm/+oo=")</f>
        <v>#VALUE!</v>
      </c>
      <c r="EJ9" t="e">
        <f>AND('SPR BARRANQUILLA'!ET6,"AAAAAFm/+os=")</f>
        <v>#VALUE!</v>
      </c>
      <c r="EK9" t="e">
        <f>AND('SPR BARRANQUILLA'!EU6,"AAAAAFm/+ow=")</f>
        <v>#VALUE!</v>
      </c>
      <c r="EL9" t="e">
        <f>AND('SPR BARRANQUILLA'!EV6,"AAAAAFm/+o0=")</f>
        <v>#VALUE!</v>
      </c>
      <c r="EM9" t="e">
        <f>AND('SPR BARRANQUILLA'!EW6,"AAAAAFm/+o4=")</f>
        <v>#VALUE!</v>
      </c>
      <c r="EN9" t="e">
        <f>AND('SPR BARRANQUILLA'!EX6,"AAAAAFm/+o8=")</f>
        <v>#VALUE!</v>
      </c>
      <c r="EO9" t="e">
        <f>AND('SPR BARRANQUILLA'!EY6,"AAAAAFm/+pA=")</f>
        <v>#VALUE!</v>
      </c>
      <c r="EP9" t="e">
        <f>AND('SPR BARRANQUILLA'!EZ6,"AAAAAFm/+pE=")</f>
        <v>#VALUE!</v>
      </c>
      <c r="EQ9" t="e">
        <f>AND('SPR BARRANQUILLA'!FA6,"AAAAAFm/+pI=")</f>
        <v>#VALUE!</v>
      </c>
      <c r="ER9" t="e">
        <f>AND('SPR BARRANQUILLA'!FB6,"AAAAAFm/+pM=")</f>
        <v>#VALUE!</v>
      </c>
      <c r="ES9" t="e">
        <f>AND('SPR BARRANQUILLA'!FC6,"AAAAAFm/+pQ=")</f>
        <v>#VALUE!</v>
      </c>
      <c r="ET9" t="e">
        <f>AND('SPR BARRANQUILLA'!FD6,"AAAAAFm/+pU=")</f>
        <v>#VALUE!</v>
      </c>
      <c r="EU9" t="e">
        <f>AND('SPR BARRANQUILLA'!FE6,"AAAAAFm/+pY=")</f>
        <v>#VALUE!</v>
      </c>
      <c r="EV9" t="e">
        <f>AND('SPR BARRANQUILLA'!FF6,"AAAAAFm/+pc=")</f>
        <v>#VALUE!</v>
      </c>
      <c r="EW9" t="e">
        <f>AND('SPR BARRANQUILLA'!FG6,"AAAAAFm/+pg=")</f>
        <v>#VALUE!</v>
      </c>
      <c r="EX9" t="e">
        <f>AND('SPR BARRANQUILLA'!FH6,"AAAAAFm/+pk=")</f>
        <v>#VALUE!</v>
      </c>
      <c r="EY9" t="e">
        <f>AND('SPR BARRANQUILLA'!FI6,"AAAAAFm/+po=")</f>
        <v>#VALUE!</v>
      </c>
      <c r="EZ9" t="e">
        <f>AND('SPR BARRANQUILLA'!FJ6,"AAAAAFm/+ps=")</f>
        <v>#VALUE!</v>
      </c>
      <c r="FA9" t="e">
        <f>AND('SPR BARRANQUILLA'!FK6,"AAAAAFm/+pw=")</f>
        <v>#VALUE!</v>
      </c>
      <c r="FB9" t="e">
        <f>AND('SPR BARRANQUILLA'!FL6,"AAAAAFm/+p0=")</f>
        <v>#VALUE!</v>
      </c>
      <c r="FC9" t="e">
        <f>AND('SPR BARRANQUILLA'!FM6,"AAAAAFm/+p4=")</f>
        <v>#VALUE!</v>
      </c>
      <c r="FD9" t="e">
        <f>AND('SPR BARRANQUILLA'!FN6,"AAAAAFm/+p8=")</f>
        <v>#VALUE!</v>
      </c>
      <c r="FE9" t="e">
        <f>AND('SPR BARRANQUILLA'!FO6,"AAAAAFm/+qA=")</f>
        <v>#VALUE!</v>
      </c>
      <c r="FF9" t="e">
        <f>AND('SPR BARRANQUILLA'!FP6,"AAAAAFm/+qE=")</f>
        <v>#VALUE!</v>
      </c>
      <c r="FG9" t="e">
        <f>AND('SPR BARRANQUILLA'!FQ6,"AAAAAFm/+qI=")</f>
        <v>#VALUE!</v>
      </c>
      <c r="FH9" t="e">
        <f>AND('SPR BARRANQUILLA'!FR6,"AAAAAFm/+qM=")</f>
        <v>#VALUE!</v>
      </c>
      <c r="FI9" t="e">
        <f>AND('SPR BARRANQUILLA'!FS6,"AAAAAFm/+qQ=")</f>
        <v>#VALUE!</v>
      </c>
      <c r="FJ9" t="e">
        <f>AND('SPR BARRANQUILLA'!FT6,"AAAAAFm/+qU=")</f>
        <v>#VALUE!</v>
      </c>
      <c r="FK9" t="e">
        <f>AND('SPR BARRANQUILLA'!FU6,"AAAAAFm/+qY=")</f>
        <v>#VALUE!</v>
      </c>
      <c r="FL9" t="e">
        <f>AND('SPR BARRANQUILLA'!FV6,"AAAAAFm/+qc=")</f>
        <v>#VALUE!</v>
      </c>
      <c r="FM9" t="e">
        <f>AND('SPR BARRANQUILLA'!FW6,"AAAAAFm/+qg=")</f>
        <v>#VALUE!</v>
      </c>
      <c r="FN9" t="e">
        <f>AND('SPR BARRANQUILLA'!FX6,"AAAAAFm/+qk=")</f>
        <v>#VALUE!</v>
      </c>
      <c r="FO9" t="e">
        <f>AND('SPR BARRANQUILLA'!FY6,"AAAAAFm/+qo=")</f>
        <v>#VALUE!</v>
      </c>
      <c r="FP9" t="e">
        <f>AND('SPR BARRANQUILLA'!FZ6,"AAAAAFm/+qs=")</f>
        <v>#VALUE!</v>
      </c>
      <c r="FQ9" t="e">
        <f>AND('SPR BARRANQUILLA'!GA6,"AAAAAFm/+qw=")</f>
        <v>#VALUE!</v>
      </c>
      <c r="FR9" t="e">
        <f>AND('SPR BARRANQUILLA'!GB6,"AAAAAFm/+q0=")</f>
        <v>#VALUE!</v>
      </c>
      <c r="FS9" t="e">
        <f>AND('SPR BARRANQUILLA'!GC6,"AAAAAFm/+q4=")</f>
        <v>#VALUE!</v>
      </c>
      <c r="FT9" t="e">
        <f>AND('SPR BARRANQUILLA'!GD6,"AAAAAFm/+q8=")</f>
        <v>#VALUE!</v>
      </c>
      <c r="FU9" t="e">
        <f>AND('SPR BARRANQUILLA'!GE6,"AAAAAFm/+rA=")</f>
        <v>#VALUE!</v>
      </c>
      <c r="FV9" t="e">
        <f>AND('SPR BARRANQUILLA'!GF6,"AAAAAFm/+rE=")</f>
        <v>#VALUE!</v>
      </c>
      <c r="FW9" t="e">
        <f>AND('SPR BARRANQUILLA'!GG6,"AAAAAFm/+rI=")</f>
        <v>#VALUE!</v>
      </c>
      <c r="FX9" t="e">
        <f>AND('SPR BARRANQUILLA'!GH6,"AAAAAFm/+rM=")</f>
        <v>#VALUE!</v>
      </c>
      <c r="FY9" t="e">
        <f>AND('SPR BARRANQUILLA'!GI6,"AAAAAFm/+rQ=")</f>
        <v>#VALUE!</v>
      </c>
      <c r="FZ9" t="e">
        <f>AND('SPR BARRANQUILLA'!GJ6,"AAAAAFm/+rU=")</f>
        <v>#VALUE!</v>
      </c>
      <c r="GA9" t="e">
        <f>AND('SPR BARRANQUILLA'!GK6,"AAAAAFm/+rY=")</f>
        <v>#VALUE!</v>
      </c>
      <c r="GB9" t="e">
        <f>AND('SPR BARRANQUILLA'!GL6,"AAAAAFm/+rc=")</f>
        <v>#VALUE!</v>
      </c>
      <c r="GC9" t="e">
        <f>AND('SPR BARRANQUILLA'!GM6,"AAAAAFm/+rg=")</f>
        <v>#VALUE!</v>
      </c>
      <c r="GD9" t="e">
        <f>AND('SPR BARRANQUILLA'!GN6,"AAAAAFm/+rk=")</f>
        <v>#VALUE!</v>
      </c>
      <c r="GE9" t="e">
        <f>AND('SPR BARRANQUILLA'!GO6,"AAAAAFm/+ro=")</f>
        <v>#VALUE!</v>
      </c>
      <c r="GF9" t="e">
        <f>AND('SPR BARRANQUILLA'!GP6,"AAAAAFm/+rs=")</f>
        <v>#VALUE!</v>
      </c>
      <c r="GG9" t="e">
        <f>AND('SPR BARRANQUILLA'!GQ6,"AAAAAFm/+rw=")</f>
        <v>#VALUE!</v>
      </c>
      <c r="GH9" t="e">
        <f>AND('SPR BARRANQUILLA'!GR6,"AAAAAFm/+r0=")</f>
        <v>#VALUE!</v>
      </c>
      <c r="GI9" t="e">
        <f>AND('SPR BARRANQUILLA'!GS6,"AAAAAFm/+r4=")</f>
        <v>#VALUE!</v>
      </c>
      <c r="GJ9" t="e">
        <f>AND('SPR BARRANQUILLA'!GT6,"AAAAAFm/+r8=")</f>
        <v>#VALUE!</v>
      </c>
      <c r="GK9" t="e">
        <f>AND('SPR BARRANQUILLA'!GU6,"AAAAAFm/+sA=")</f>
        <v>#VALUE!</v>
      </c>
      <c r="GL9" t="e">
        <f>AND('SPR BARRANQUILLA'!GV6,"AAAAAFm/+sE=")</f>
        <v>#VALUE!</v>
      </c>
      <c r="GM9" t="e">
        <f>AND('SPR BARRANQUILLA'!GW6,"AAAAAFm/+sI=")</f>
        <v>#VALUE!</v>
      </c>
      <c r="GN9" t="e">
        <f>AND('SPR BARRANQUILLA'!GX6,"AAAAAFm/+sM=")</f>
        <v>#VALUE!</v>
      </c>
      <c r="GO9" t="e">
        <f>AND('SPR BARRANQUILLA'!GY6,"AAAAAFm/+sQ=")</f>
        <v>#VALUE!</v>
      </c>
      <c r="GP9">
        <f>IF('SPR BARRANQUILLA'!7:7,"AAAAAFm/+sU=",0)</f>
        <v>0</v>
      </c>
      <c r="GQ9" t="e">
        <f>AND('SPR BARRANQUILLA'!A7,"AAAAAFm/+sY=")</f>
        <v>#VALUE!</v>
      </c>
      <c r="GR9" t="e">
        <f>AND('SPR BARRANQUILLA'!B7,"AAAAAFm/+sc=")</f>
        <v>#VALUE!</v>
      </c>
      <c r="GS9" t="e">
        <f>AND('SPR BARRANQUILLA'!C7,"AAAAAFm/+sg=")</f>
        <v>#VALUE!</v>
      </c>
      <c r="GT9" t="e">
        <f>AND('SPR BARRANQUILLA'!D7,"AAAAAFm/+sk=")</f>
        <v>#VALUE!</v>
      </c>
      <c r="GU9" t="e">
        <f>AND('SPR BARRANQUILLA'!E7,"AAAAAFm/+so=")</f>
        <v>#VALUE!</v>
      </c>
      <c r="GV9" t="e">
        <f>AND('SPR BARRANQUILLA'!F7,"AAAAAFm/+ss=")</f>
        <v>#VALUE!</v>
      </c>
      <c r="GW9" t="e">
        <f>AND('SPR BARRANQUILLA'!G7,"AAAAAFm/+sw=")</f>
        <v>#VALUE!</v>
      </c>
      <c r="GX9" t="e">
        <f>AND('SPR BARRANQUILLA'!H7,"AAAAAFm/+s0=")</f>
        <v>#VALUE!</v>
      </c>
      <c r="GY9" t="e">
        <f>AND('SPR BARRANQUILLA'!I7,"AAAAAFm/+s4=")</f>
        <v>#VALUE!</v>
      </c>
      <c r="GZ9" t="e">
        <f>AND('SPR BARRANQUILLA'!J7,"AAAAAFm/+s8=")</f>
        <v>#VALUE!</v>
      </c>
      <c r="HA9" t="e">
        <f>AND('SPR BARRANQUILLA'!K7,"AAAAAFm/+tA=")</f>
        <v>#VALUE!</v>
      </c>
      <c r="HB9" t="e">
        <f>AND('SPR BARRANQUILLA'!L7,"AAAAAFm/+tE=")</f>
        <v>#VALUE!</v>
      </c>
      <c r="HC9" t="e">
        <f>AND('SPR BARRANQUILLA'!M7,"AAAAAFm/+tI=")</f>
        <v>#VALUE!</v>
      </c>
      <c r="HD9" t="e">
        <f>AND('SPR BARRANQUILLA'!N7,"AAAAAFm/+tM=")</f>
        <v>#VALUE!</v>
      </c>
      <c r="HE9" t="e">
        <f>AND('SPR BARRANQUILLA'!O7,"AAAAAFm/+tQ=")</f>
        <v>#VALUE!</v>
      </c>
      <c r="HF9" t="e">
        <f>AND('SPR BARRANQUILLA'!P7,"AAAAAFm/+tU=")</f>
        <v>#VALUE!</v>
      </c>
      <c r="HG9" t="e">
        <f>AND('SPR BARRANQUILLA'!Q7,"AAAAAFm/+tY=")</f>
        <v>#VALUE!</v>
      </c>
      <c r="HH9" t="e">
        <f>AND('SPR BARRANQUILLA'!R7,"AAAAAFm/+tc=")</f>
        <v>#VALUE!</v>
      </c>
      <c r="HI9" t="e">
        <f>AND('SPR BARRANQUILLA'!S7,"AAAAAFm/+tg=")</f>
        <v>#VALUE!</v>
      </c>
      <c r="HJ9" t="e">
        <f>AND('SPR BARRANQUILLA'!T7,"AAAAAFm/+tk=")</f>
        <v>#VALUE!</v>
      </c>
      <c r="HK9" t="e">
        <f>AND('SPR BARRANQUILLA'!U7,"AAAAAFm/+to=")</f>
        <v>#VALUE!</v>
      </c>
      <c r="HL9" t="e">
        <f>AND('SPR BARRANQUILLA'!V7,"AAAAAFm/+ts=")</f>
        <v>#VALUE!</v>
      </c>
      <c r="HM9" t="e">
        <f>AND('SPR BARRANQUILLA'!W7,"AAAAAFm/+tw=")</f>
        <v>#VALUE!</v>
      </c>
      <c r="HN9" t="e">
        <f>AND('SPR BARRANQUILLA'!X7,"AAAAAFm/+t0=")</f>
        <v>#VALUE!</v>
      </c>
      <c r="HO9" t="e">
        <f>AND('SPR BARRANQUILLA'!Y7,"AAAAAFm/+t4=")</f>
        <v>#VALUE!</v>
      </c>
      <c r="HP9" t="e">
        <f>AND('SPR BARRANQUILLA'!Z7,"AAAAAFm/+t8=")</f>
        <v>#VALUE!</v>
      </c>
      <c r="HQ9" t="e">
        <f>AND('SPR BARRANQUILLA'!AA7,"AAAAAFm/+uA=")</f>
        <v>#VALUE!</v>
      </c>
      <c r="HR9" t="e">
        <f>AND('SPR BARRANQUILLA'!AB7,"AAAAAFm/+uE=")</f>
        <v>#VALUE!</v>
      </c>
      <c r="HS9" t="e">
        <f>AND('SPR BARRANQUILLA'!AC7,"AAAAAFm/+uI=")</f>
        <v>#VALUE!</v>
      </c>
      <c r="HT9" t="e">
        <f>AND('SPR BARRANQUILLA'!AD7,"AAAAAFm/+uM=")</f>
        <v>#VALUE!</v>
      </c>
      <c r="HU9" t="e">
        <f>AND('SPR BARRANQUILLA'!AE7,"AAAAAFm/+uQ=")</f>
        <v>#VALUE!</v>
      </c>
      <c r="HV9" t="e">
        <f>AND('SPR BARRANQUILLA'!AF7,"AAAAAFm/+uU=")</f>
        <v>#VALUE!</v>
      </c>
      <c r="HW9" t="e">
        <f>AND('SPR BARRANQUILLA'!AG7,"AAAAAFm/+uY=")</f>
        <v>#VALUE!</v>
      </c>
      <c r="HX9" t="e">
        <f>AND('SPR BARRANQUILLA'!AH7,"AAAAAFm/+uc=")</f>
        <v>#VALUE!</v>
      </c>
      <c r="HY9" t="e">
        <f>AND('SPR BARRANQUILLA'!AI7,"AAAAAFm/+ug=")</f>
        <v>#VALUE!</v>
      </c>
      <c r="HZ9" t="e">
        <f>AND('SPR BARRANQUILLA'!AJ7,"AAAAAFm/+uk=")</f>
        <v>#VALUE!</v>
      </c>
      <c r="IA9" t="e">
        <f>AND('SPR BARRANQUILLA'!AK7,"AAAAAFm/+uo=")</f>
        <v>#VALUE!</v>
      </c>
      <c r="IB9" t="e">
        <f>AND('SPR BARRANQUILLA'!AL7,"AAAAAFm/+us=")</f>
        <v>#VALUE!</v>
      </c>
      <c r="IC9" t="e">
        <f>AND('SPR BARRANQUILLA'!AM7,"AAAAAFm/+uw=")</f>
        <v>#VALUE!</v>
      </c>
      <c r="ID9" t="e">
        <f>AND('SPR BARRANQUILLA'!AN7,"AAAAAFm/+u0=")</f>
        <v>#VALUE!</v>
      </c>
      <c r="IE9" t="e">
        <f>AND('SPR BARRANQUILLA'!AO7,"AAAAAFm/+u4=")</f>
        <v>#VALUE!</v>
      </c>
      <c r="IF9" t="e">
        <f>AND('SPR BARRANQUILLA'!AP7,"AAAAAFm/+u8=")</f>
        <v>#VALUE!</v>
      </c>
      <c r="IG9" t="e">
        <f>AND('SPR BARRANQUILLA'!AQ7,"AAAAAFm/+vA=")</f>
        <v>#VALUE!</v>
      </c>
      <c r="IH9" t="e">
        <f>AND('SPR BARRANQUILLA'!AR7,"AAAAAFm/+vE=")</f>
        <v>#VALUE!</v>
      </c>
      <c r="II9" t="e">
        <f>AND('SPR BARRANQUILLA'!AS7,"AAAAAFm/+vI=")</f>
        <v>#VALUE!</v>
      </c>
      <c r="IJ9" t="e">
        <f>AND('SPR BARRANQUILLA'!AT7,"AAAAAFm/+vM=")</f>
        <v>#VALUE!</v>
      </c>
      <c r="IK9" t="e">
        <f>AND('SPR BARRANQUILLA'!AU7,"AAAAAFm/+vQ=")</f>
        <v>#VALUE!</v>
      </c>
      <c r="IL9" t="e">
        <f>AND('SPR BARRANQUILLA'!AV7,"AAAAAFm/+vU=")</f>
        <v>#VALUE!</v>
      </c>
      <c r="IM9" t="e">
        <f>AND('SPR BARRANQUILLA'!AW7,"AAAAAFm/+vY=")</f>
        <v>#VALUE!</v>
      </c>
      <c r="IN9" t="e">
        <f>AND('SPR BARRANQUILLA'!AX7,"AAAAAFm/+vc=")</f>
        <v>#VALUE!</v>
      </c>
      <c r="IO9" t="e">
        <f>AND('SPR BARRANQUILLA'!AY7,"AAAAAFm/+vg=")</f>
        <v>#VALUE!</v>
      </c>
      <c r="IP9" t="e">
        <f>AND('SPR BARRANQUILLA'!AZ7,"AAAAAFm/+vk=")</f>
        <v>#VALUE!</v>
      </c>
      <c r="IQ9" t="e">
        <f>AND('SPR BARRANQUILLA'!BA7,"AAAAAFm/+vo=")</f>
        <v>#VALUE!</v>
      </c>
      <c r="IR9" t="e">
        <f>AND('SPR BARRANQUILLA'!BB7,"AAAAAFm/+vs=")</f>
        <v>#VALUE!</v>
      </c>
      <c r="IS9" t="e">
        <f>AND('SPR BARRANQUILLA'!BC7,"AAAAAFm/+vw=")</f>
        <v>#VALUE!</v>
      </c>
      <c r="IT9" t="e">
        <f>AND('SPR BARRANQUILLA'!BD7,"AAAAAFm/+v0=")</f>
        <v>#VALUE!</v>
      </c>
      <c r="IU9" t="e">
        <f>AND('SPR BARRANQUILLA'!BE7,"AAAAAFm/+v4=")</f>
        <v>#VALUE!</v>
      </c>
      <c r="IV9" t="e">
        <f>AND('SPR BARRANQUILLA'!BF7,"AAAAAFm/+v8=")</f>
        <v>#VALUE!</v>
      </c>
    </row>
    <row r="10" spans="1:256">
      <c r="A10" t="e">
        <f>AND('SPR BARRANQUILLA'!BG7,"AAAAAFps8AA=")</f>
        <v>#VALUE!</v>
      </c>
      <c r="B10" t="e">
        <f>AND('SPR BARRANQUILLA'!BH7,"AAAAAFps8AE=")</f>
        <v>#VALUE!</v>
      </c>
      <c r="C10" t="e">
        <f>AND('SPR BARRANQUILLA'!BI7,"AAAAAFps8AI=")</f>
        <v>#VALUE!</v>
      </c>
      <c r="D10" t="e">
        <f>AND('SPR BARRANQUILLA'!BJ7,"AAAAAFps8AM=")</f>
        <v>#VALUE!</v>
      </c>
      <c r="E10" t="e">
        <f>AND('SPR BARRANQUILLA'!BK7,"AAAAAFps8AQ=")</f>
        <v>#VALUE!</v>
      </c>
      <c r="F10" t="e">
        <f>AND('SPR BARRANQUILLA'!BL7,"AAAAAFps8AU=")</f>
        <v>#VALUE!</v>
      </c>
      <c r="G10" t="e">
        <f>AND('SPR BARRANQUILLA'!BM7,"AAAAAFps8AY=")</f>
        <v>#VALUE!</v>
      </c>
      <c r="H10" t="e">
        <f>AND('SPR BARRANQUILLA'!BN7,"AAAAAFps8Ac=")</f>
        <v>#VALUE!</v>
      </c>
      <c r="I10" t="e">
        <f>AND('SPR BARRANQUILLA'!BO7,"AAAAAFps8Ag=")</f>
        <v>#VALUE!</v>
      </c>
      <c r="J10" t="e">
        <f>AND('SPR BARRANQUILLA'!BP7,"AAAAAFps8Ak=")</f>
        <v>#VALUE!</v>
      </c>
      <c r="K10" t="e">
        <f>AND('SPR BARRANQUILLA'!BQ7,"AAAAAFps8Ao=")</f>
        <v>#VALUE!</v>
      </c>
      <c r="L10" t="e">
        <f>AND('SPR BARRANQUILLA'!BR7,"AAAAAFps8As=")</f>
        <v>#VALUE!</v>
      </c>
      <c r="M10" t="e">
        <f>AND('SPR BARRANQUILLA'!BS7,"AAAAAFps8Aw=")</f>
        <v>#VALUE!</v>
      </c>
      <c r="N10" t="e">
        <f>AND('SPR BARRANQUILLA'!BT7,"AAAAAFps8A0=")</f>
        <v>#VALUE!</v>
      </c>
      <c r="O10" t="e">
        <f>AND('SPR BARRANQUILLA'!BU7,"AAAAAFps8A4=")</f>
        <v>#VALUE!</v>
      </c>
      <c r="P10" t="e">
        <f>AND('SPR BARRANQUILLA'!BV7,"AAAAAFps8A8=")</f>
        <v>#VALUE!</v>
      </c>
      <c r="Q10" t="e">
        <f>AND('SPR BARRANQUILLA'!BW7,"AAAAAFps8BA=")</f>
        <v>#VALUE!</v>
      </c>
      <c r="R10" t="e">
        <f>AND('SPR BARRANQUILLA'!BX7,"AAAAAFps8BE=")</f>
        <v>#VALUE!</v>
      </c>
      <c r="S10" t="e">
        <f>AND('SPR BARRANQUILLA'!BY7,"AAAAAFps8BI=")</f>
        <v>#VALUE!</v>
      </c>
      <c r="T10" t="e">
        <f>AND('SPR BARRANQUILLA'!BZ7,"AAAAAFps8BM=")</f>
        <v>#VALUE!</v>
      </c>
      <c r="U10" t="e">
        <f>AND('SPR BARRANQUILLA'!CA7,"AAAAAFps8BQ=")</f>
        <v>#VALUE!</v>
      </c>
      <c r="V10" t="e">
        <f>AND('SPR BARRANQUILLA'!CB7,"AAAAAFps8BU=")</f>
        <v>#VALUE!</v>
      </c>
      <c r="W10" t="e">
        <f>AND('SPR BARRANQUILLA'!CC7,"AAAAAFps8BY=")</f>
        <v>#VALUE!</v>
      </c>
      <c r="X10" t="e">
        <f>AND('SPR BARRANQUILLA'!CD7,"AAAAAFps8Bc=")</f>
        <v>#VALUE!</v>
      </c>
      <c r="Y10" t="e">
        <f>AND('SPR BARRANQUILLA'!CE7,"AAAAAFps8Bg=")</f>
        <v>#VALUE!</v>
      </c>
      <c r="Z10" t="e">
        <f>AND('SPR BARRANQUILLA'!CF7,"AAAAAFps8Bk=")</f>
        <v>#VALUE!</v>
      </c>
      <c r="AA10" t="e">
        <f>AND('SPR BARRANQUILLA'!CG7,"AAAAAFps8Bo=")</f>
        <v>#VALUE!</v>
      </c>
      <c r="AB10" t="e">
        <f>AND('SPR BARRANQUILLA'!CH7,"AAAAAFps8Bs=")</f>
        <v>#VALUE!</v>
      </c>
      <c r="AC10" t="e">
        <f>AND('SPR BARRANQUILLA'!CI7,"AAAAAFps8Bw=")</f>
        <v>#VALUE!</v>
      </c>
      <c r="AD10" t="e">
        <f>AND('SPR BARRANQUILLA'!CJ7,"AAAAAFps8B0=")</f>
        <v>#VALUE!</v>
      </c>
      <c r="AE10" t="e">
        <f>AND('SPR BARRANQUILLA'!CK7,"AAAAAFps8B4=")</f>
        <v>#VALUE!</v>
      </c>
      <c r="AF10" t="e">
        <f>AND('SPR BARRANQUILLA'!CL7,"AAAAAFps8B8=")</f>
        <v>#VALUE!</v>
      </c>
      <c r="AG10" t="e">
        <f>AND('SPR BARRANQUILLA'!CM7,"AAAAAFps8CA=")</f>
        <v>#VALUE!</v>
      </c>
      <c r="AH10" t="e">
        <f>AND('SPR BARRANQUILLA'!CN7,"AAAAAFps8CE=")</f>
        <v>#VALUE!</v>
      </c>
      <c r="AI10" t="e">
        <f>AND('SPR BARRANQUILLA'!CO7,"AAAAAFps8CI=")</f>
        <v>#VALUE!</v>
      </c>
      <c r="AJ10" t="e">
        <f>AND('SPR BARRANQUILLA'!CP7,"AAAAAFps8CM=")</f>
        <v>#VALUE!</v>
      </c>
      <c r="AK10" t="e">
        <f>AND('SPR BARRANQUILLA'!CQ7,"AAAAAFps8CQ=")</f>
        <v>#VALUE!</v>
      </c>
      <c r="AL10" t="e">
        <f>AND('SPR BARRANQUILLA'!CR7,"AAAAAFps8CU=")</f>
        <v>#VALUE!</v>
      </c>
      <c r="AM10" t="e">
        <f>AND('SPR BARRANQUILLA'!CS7,"AAAAAFps8CY=")</f>
        <v>#VALUE!</v>
      </c>
      <c r="AN10" t="e">
        <f>AND('SPR BARRANQUILLA'!CT7,"AAAAAFps8Cc=")</f>
        <v>#VALUE!</v>
      </c>
      <c r="AO10" t="e">
        <f>AND('SPR BARRANQUILLA'!CU7,"AAAAAFps8Cg=")</f>
        <v>#VALUE!</v>
      </c>
      <c r="AP10" t="e">
        <f>AND('SPR BARRANQUILLA'!CV7,"AAAAAFps8Ck=")</f>
        <v>#VALUE!</v>
      </c>
      <c r="AQ10" t="e">
        <f>AND('SPR BARRANQUILLA'!CW7,"AAAAAFps8Co=")</f>
        <v>#VALUE!</v>
      </c>
      <c r="AR10" t="e">
        <f>AND('SPR BARRANQUILLA'!CX7,"AAAAAFps8Cs=")</f>
        <v>#VALUE!</v>
      </c>
      <c r="AS10" t="e">
        <f>AND('SPR BARRANQUILLA'!CY7,"AAAAAFps8Cw=")</f>
        <v>#VALUE!</v>
      </c>
      <c r="AT10" t="e">
        <f>AND('SPR BARRANQUILLA'!CZ7,"AAAAAFps8C0=")</f>
        <v>#VALUE!</v>
      </c>
      <c r="AU10" t="e">
        <f>AND('SPR BARRANQUILLA'!DA7,"AAAAAFps8C4=")</f>
        <v>#VALUE!</v>
      </c>
      <c r="AV10" t="e">
        <f>AND('SPR BARRANQUILLA'!DB7,"AAAAAFps8C8=")</f>
        <v>#VALUE!</v>
      </c>
      <c r="AW10" t="e">
        <f>AND('SPR BARRANQUILLA'!DC7,"AAAAAFps8DA=")</f>
        <v>#VALUE!</v>
      </c>
      <c r="AX10" t="e">
        <f>AND('SPR BARRANQUILLA'!DD7,"AAAAAFps8DE=")</f>
        <v>#VALUE!</v>
      </c>
      <c r="AY10" t="e">
        <f>AND('SPR BARRANQUILLA'!DE7,"AAAAAFps8DI=")</f>
        <v>#VALUE!</v>
      </c>
      <c r="AZ10" t="e">
        <f>AND('SPR BARRANQUILLA'!DF7,"AAAAAFps8DM=")</f>
        <v>#VALUE!</v>
      </c>
      <c r="BA10" t="e">
        <f>AND('SPR BARRANQUILLA'!DG7,"AAAAAFps8DQ=")</f>
        <v>#VALUE!</v>
      </c>
      <c r="BB10" t="e">
        <f>AND('SPR BARRANQUILLA'!DH7,"AAAAAFps8DU=")</f>
        <v>#VALUE!</v>
      </c>
      <c r="BC10" t="e">
        <f>AND('SPR BARRANQUILLA'!DI7,"AAAAAFps8DY=")</f>
        <v>#VALUE!</v>
      </c>
      <c r="BD10" t="e">
        <f>AND('SPR BARRANQUILLA'!DJ7,"AAAAAFps8Dc=")</f>
        <v>#VALUE!</v>
      </c>
      <c r="BE10" t="e">
        <f>AND('SPR BARRANQUILLA'!DK7,"AAAAAFps8Dg=")</f>
        <v>#VALUE!</v>
      </c>
      <c r="BF10" t="e">
        <f>AND('SPR BARRANQUILLA'!DL7,"AAAAAFps8Dk=")</f>
        <v>#VALUE!</v>
      </c>
      <c r="BG10" t="e">
        <f>AND('SPR BARRANQUILLA'!DM7,"AAAAAFps8Do=")</f>
        <v>#VALUE!</v>
      </c>
      <c r="BH10" t="e">
        <f>AND('SPR BARRANQUILLA'!DN7,"AAAAAFps8Ds=")</f>
        <v>#VALUE!</v>
      </c>
      <c r="BI10" t="e">
        <f>AND('SPR BARRANQUILLA'!DO7,"AAAAAFps8Dw=")</f>
        <v>#VALUE!</v>
      </c>
      <c r="BJ10" t="e">
        <f>AND('SPR BARRANQUILLA'!DP7,"AAAAAFps8D0=")</f>
        <v>#VALUE!</v>
      </c>
      <c r="BK10" t="e">
        <f>AND('SPR BARRANQUILLA'!DQ7,"AAAAAFps8D4=")</f>
        <v>#VALUE!</v>
      </c>
      <c r="BL10" t="e">
        <f>AND('SPR BARRANQUILLA'!DR7,"AAAAAFps8D8=")</f>
        <v>#VALUE!</v>
      </c>
      <c r="BM10" t="e">
        <f>AND('SPR BARRANQUILLA'!DS7,"AAAAAFps8EA=")</f>
        <v>#VALUE!</v>
      </c>
      <c r="BN10" t="e">
        <f>AND('SPR BARRANQUILLA'!DT7,"AAAAAFps8EE=")</f>
        <v>#VALUE!</v>
      </c>
      <c r="BO10" t="e">
        <f>AND('SPR BARRANQUILLA'!DU7,"AAAAAFps8EI=")</f>
        <v>#VALUE!</v>
      </c>
      <c r="BP10" t="e">
        <f>AND('SPR BARRANQUILLA'!DV7,"AAAAAFps8EM=")</f>
        <v>#VALUE!</v>
      </c>
      <c r="BQ10" t="e">
        <f>AND('SPR BARRANQUILLA'!DW7,"AAAAAFps8EQ=")</f>
        <v>#VALUE!</v>
      </c>
      <c r="BR10" t="e">
        <f>AND('SPR BARRANQUILLA'!DX7,"AAAAAFps8EU=")</f>
        <v>#VALUE!</v>
      </c>
      <c r="BS10" t="e">
        <f>AND('SPR BARRANQUILLA'!DY7,"AAAAAFps8EY=")</f>
        <v>#VALUE!</v>
      </c>
      <c r="BT10" t="e">
        <f>AND('SPR BARRANQUILLA'!DZ7,"AAAAAFps8Ec=")</f>
        <v>#VALUE!</v>
      </c>
      <c r="BU10" t="e">
        <f>AND('SPR BARRANQUILLA'!EA7,"AAAAAFps8Eg=")</f>
        <v>#VALUE!</v>
      </c>
      <c r="BV10" t="e">
        <f>AND('SPR BARRANQUILLA'!EB7,"AAAAAFps8Ek=")</f>
        <v>#VALUE!</v>
      </c>
      <c r="BW10" t="e">
        <f>AND('SPR BARRANQUILLA'!EC7,"AAAAAFps8Eo=")</f>
        <v>#VALUE!</v>
      </c>
      <c r="BX10" t="e">
        <f>AND('SPR BARRANQUILLA'!ED7,"AAAAAFps8Es=")</f>
        <v>#VALUE!</v>
      </c>
      <c r="BY10" t="e">
        <f>AND('SPR BARRANQUILLA'!EE7,"AAAAAFps8Ew=")</f>
        <v>#VALUE!</v>
      </c>
      <c r="BZ10" t="e">
        <f>AND('SPR BARRANQUILLA'!EF7,"AAAAAFps8E0=")</f>
        <v>#VALUE!</v>
      </c>
      <c r="CA10" t="e">
        <f>AND('SPR BARRANQUILLA'!EG7,"AAAAAFps8E4=")</f>
        <v>#VALUE!</v>
      </c>
      <c r="CB10" t="e">
        <f>AND('SPR BARRANQUILLA'!EH7,"AAAAAFps8E8=")</f>
        <v>#VALUE!</v>
      </c>
      <c r="CC10" t="e">
        <f>AND('SPR BARRANQUILLA'!EI7,"AAAAAFps8FA=")</f>
        <v>#VALUE!</v>
      </c>
      <c r="CD10" t="e">
        <f>AND('SPR BARRANQUILLA'!EJ7,"AAAAAFps8FE=")</f>
        <v>#VALUE!</v>
      </c>
      <c r="CE10" t="e">
        <f>AND('SPR BARRANQUILLA'!EK7,"AAAAAFps8FI=")</f>
        <v>#VALUE!</v>
      </c>
      <c r="CF10" t="e">
        <f>AND('SPR BARRANQUILLA'!EL7,"AAAAAFps8FM=")</f>
        <v>#VALUE!</v>
      </c>
      <c r="CG10" t="e">
        <f>AND('SPR BARRANQUILLA'!EM7,"AAAAAFps8FQ=")</f>
        <v>#VALUE!</v>
      </c>
      <c r="CH10" t="e">
        <f>AND('SPR BARRANQUILLA'!EN7,"AAAAAFps8FU=")</f>
        <v>#VALUE!</v>
      </c>
      <c r="CI10" t="e">
        <f>AND('SPR BARRANQUILLA'!EO7,"AAAAAFps8FY=")</f>
        <v>#VALUE!</v>
      </c>
      <c r="CJ10" t="e">
        <f>AND('SPR BARRANQUILLA'!EP7,"AAAAAFps8Fc=")</f>
        <v>#VALUE!</v>
      </c>
      <c r="CK10" t="e">
        <f>AND('SPR BARRANQUILLA'!EQ7,"AAAAAFps8Fg=")</f>
        <v>#VALUE!</v>
      </c>
      <c r="CL10" t="e">
        <f>AND('SPR BARRANQUILLA'!ER7,"AAAAAFps8Fk=")</f>
        <v>#VALUE!</v>
      </c>
      <c r="CM10" t="e">
        <f>AND('SPR BARRANQUILLA'!ES7,"AAAAAFps8Fo=")</f>
        <v>#VALUE!</v>
      </c>
      <c r="CN10" t="e">
        <f>AND('SPR BARRANQUILLA'!ET7,"AAAAAFps8Fs=")</f>
        <v>#VALUE!</v>
      </c>
      <c r="CO10" t="e">
        <f>AND('SPR BARRANQUILLA'!EU7,"AAAAAFps8Fw=")</f>
        <v>#VALUE!</v>
      </c>
      <c r="CP10" t="e">
        <f>AND('SPR BARRANQUILLA'!EV7,"AAAAAFps8F0=")</f>
        <v>#VALUE!</v>
      </c>
      <c r="CQ10" t="e">
        <f>AND('SPR BARRANQUILLA'!EW7,"AAAAAFps8F4=")</f>
        <v>#VALUE!</v>
      </c>
      <c r="CR10" t="e">
        <f>AND('SPR BARRANQUILLA'!EX7,"AAAAAFps8F8=")</f>
        <v>#VALUE!</v>
      </c>
      <c r="CS10" t="e">
        <f>AND('SPR BARRANQUILLA'!EY7,"AAAAAFps8GA=")</f>
        <v>#VALUE!</v>
      </c>
      <c r="CT10" t="e">
        <f>AND('SPR BARRANQUILLA'!EZ7,"AAAAAFps8GE=")</f>
        <v>#VALUE!</v>
      </c>
      <c r="CU10" t="e">
        <f>AND('SPR BARRANQUILLA'!FA7,"AAAAAFps8GI=")</f>
        <v>#VALUE!</v>
      </c>
      <c r="CV10" t="e">
        <f>AND('SPR BARRANQUILLA'!FB7,"AAAAAFps8GM=")</f>
        <v>#VALUE!</v>
      </c>
      <c r="CW10" t="e">
        <f>AND('SPR BARRANQUILLA'!FC7,"AAAAAFps8GQ=")</f>
        <v>#VALUE!</v>
      </c>
      <c r="CX10" t="e">
        <f>AND('SPR BARRANQUILLA'!FD7,"AAAAAFps8GU=")</f>
        <v>#VALUE!</v>
      </c>
      <c r="CY10" t="e">
        <f>AND('SPR BARRANQUILLA'!FE7,"AAAAAFps8GY=")</f>
        <v>#VALUE!</v>
      </c>
      <c r="CZ10" t="e">
        <f>AND('SPR BARRANQUILLA'!FF7,"AAAAAFps8Gc=")</f>
        <v>#VALUE!</v>
      </c>
      <c r="DA10" t="e">
        <f>AND('SPR BARRANQUILLA'!FG7,"AAAAAFps8Gg=")</f>
        <v>#VALUE!</v>
      </c>
      <c r="DB10" t="e">
        <f>AND('SPR BARRANQUILLA'!FH7,"AAAAAFps8Gk=")</f>
        <v>#VALUE!</v>
      </c>
      <c r="DC10" t="e">
        <f>AND('SPR BARRANQUILLA'!FI7,"AAAAAFps8Go=")</f>
        <v>#VALUE!</v>
      </c>
      <c r="DD10" t="e">
        <f>AND('SPR BARRANQUILLA'!FJ7,"AAAAAFps8Gs=")</f>
        <v>#VALUE!</v>
      </c>
      <c r="DE10" t="e">
        <f>AND('SPR BARRANQUILLA'!FK7,"AAAAAFps8Gw=")</f>
        <v>#VALUE!</v>
      </c>
      <c r="DF10" t="e">
        <f>AND('SPR BARRANQUILLA'!FL7,"AAAAAFps8G0=")</f>
        <v>#VALUE!</v>
      </c>
      <c r="DG10" t="e">
        <f>AND('SPR BARRANQUILLA'!FM7,"AAAAAFps8G4=")</f>
        <v>#VALUE!</v>
      </c>
      <c r="DH10" t="e">
        <f>AND('SPR BARRANQUILLA'!FN7,"AAAAAFps8G8=")</f>
        <v>#VALUE!</v>
      </c>
      <c r="DI10" t="e">
        <f>AND('SPR BARRANQUILLA'!FO7,"AAAAAFps8HA=")</f>
        <v>#VALUE!</v>
      </c>
      <c r="DJ10" t="e">
        <f>AND('SPR BARRANQUILLA'!FP7,"AAAAAFps8HE=")</f>
        <v>#VALUE!</v>
      </c>
      <c r="DK10" t="e">
        <f>AND('SPR BARRANQUILLA'!FQ7,"AAAAAFps8HI=")</f>
        <v>#VALUE!</v>
      </c>
      <c r="DL10" t="e">
        <f>AND('SPR BARRANQUILLA'!FR7,"AAAAAFps8HM=")</f>
        <v>#VALUE!</v>
      </c>
      <c r="DM10" t="e">
        <f>AND('SPR BARRANQUILLA'!FS7,"AAAAAFps8HQ=")</f>
        <v>#VALUE!</v>
      </c>
      <c r="DN10" t="e">
        <f>AND('SPR BARRANQUILLA'!FT7,"AAAAAFps8HU=")</f>
        <v>#VALUE!</v>
      </c>
      <c r="DO10" t="e">
        <f>AND('SPR BARRANQUILLA'!FU7,"AAAAAFps8HY=")</f>
        <v>#VALUE!</v>
      </c>
      <c r="DP10" t="e">
        <f>AND('SPR BARRANQUILLA'!FV7,"AAAAAFps8Hc=")</f>
        <v>#VALUE!</v>
      </c>
      <c r="DQ10" t="e">
        <f>AND('SPR BARRANQUILLA'!FW7,"AAAAAFps8Hg=")</f>
        <v>#VALUE!</v>
      </c>
      <c r="DR10" t="e">
        <f>AND('SPR BARRANQUILLA'!FX7,"AAAAAFps8Hk=")</f>
        <v>#VALUE!</v>
      </c>
      <c r="DS10" t="e">
        <f>AND('SPR BARRANQUILLA'!FY7,"AAAAAFps8Ho=")</f>
        <v>#VALUE!</v>
      </c>
      <c r="DT10" t="e">
        <f>AND('SPR BARRANQUILLA'!FZ7,"AAAAAFps8Hs=")</f>
        <v>#VALUE!</v>
      </c>
      <c r="DU10" t="e">
        <f>AND('SPR BARRANQUILLA'!GA7,"AAAAAFps8Hw=")</f>
        <v>#VALUE!</v>
      </c>
      <c r="DV10" t="e">
        <f>AND('SPR BARRANQUILLA'!GB7,"AAAAAFps8H0=")</f>
        <v>#VALUE!</v>
      </c>
      <c r="DW10" t="e">
        <f>AND('SPR BARRANQUILLA'!GC7,"AAAAAFps8H4=")</f>
        <v>#VALUE!</v>
      </c>
      <c r="DX10" t="e">
        <f>AND('SPR BARRANQUILLA'!GD7,"AAAAAFps8H8=")</f>
        <v>#VALUE!</v>
      </c>
      <c r="DY10" t="e">
        <f>AND('SPR BARRANQUILLA'!GE7,"AAAAAFps8IA=")</f>
        <v>#VALUE!</v>
      </c>
      <c r="DZ10" t="e">
        <f>AND('SPR BARRANQUILLA'!GF7,"AAAAAFps8IE=")</f>
        <v>#VALUE!</v>
      </c>
      <c r="EA10" t="e">
        <f>AND('SPR BARRANQUILLA'!GG7,"AAAAAFps8II=")</f>
        <v>#VALUE!</v>
      </c>
      <c r="EB10" t="e">
        <f>AND('SPR BARRANQUILLA'!GH7,"AAAAAFps8IM=")</f>
        <v>#VALUE!</v>
      </c>
      <c r="EC10" t="e">
        <f>AND('SPR BARRANQUILLA'!GI7,"AAAAAFps8IQ=")</f>
        <v>#VALUE!</v>
      </c>
      <c r="ED10" t="e">
        <f>AND('SPR BARRANQUILLA'!GJ7,"AAAAAFps8IU=")</f>
        <v>#VALUE!</v>
      </c>
      <c r="EE10" t="e">
        <f>AND('SPR BARRANQUILLA'!GK7,"AAAAAFps8IY=")</f>
        <v>#VALUE!</v>
      </c>
      <c r="EF10" t="e">
        <f>AND('SPR BARRANQUILLA'!GL7,"AAAAAFps8Ic=")</f>
        <v>#VALUE!</v>
      </c>
      <c r="EG10" t="e">
        <f>AND('SPR BARRANQUILLA'!GM7,"AAAAAFps8Ig=")</f>
        <v>#VALUE!</v>
      </c>
      <c r="EH10" t="e">
        <f>AND('SPR BARRANQUILLA'!GN7,"AAAAAFps8Ik=")</f>
        <v>#VALUE!</v>
      </c>
      <c r="EI10" t="e">
        <f>AND('SPR BARRANQUILLA'!GO7,"AAAAAFps8Io=")</f>
        <v>#VALUE!</v>
      </c>
      <c r="EJ10" t="e">
        <f>AND('SPR BARRANQUILLA'!GP7,"AAAAAFps8Is=")</f>
        <v>#VALUE!</v>
      </c>
      <c r="EK10" t="e">
        <f>AND('SPR BARRANQUILLA'!GQ7,"AAAAAFps8Iw=")</f>
        <v>#VALUE!</v>
      </c>
      <c r="EL10" t="e">
        <f>AND('SPR BARRANQUILLA'!GR7,"AAAAAFps8I0=")</f>
        <v>#VALUE!</v>
      </c>
      <c r="EM10" t="e">
        <f>AND('SPR BARRANQUILLA'!GS7,"AAAAAFps8I4=")</f>
        <v>#VALUE!</v>
      </c>
      <c r="EN10" t="e">
        <f>AND('SPR BARRANQUILLA'!GT7,"AAAAAFps8I8=")</f>
        <v>#VALUE!</v>
      </c>
      <c r="EO10" t="e">
        <f>AND('SPR BARRANQUILLA'!GU7,"AAAAAFps8JA=")</f>
        <v>#VALUE!</v>
      </c>
      <c r="EP10" t="e">
        <f>AND('SPR BARRANQUILLA'!GV7,"AAAAAFps8JE=")</f>
        <v>#VALUE!</v>
      </c>
      <c r="EQ10" t="e">
        <f>AND('SPR BARRANQUILLA'!GW7,"AAAAAFps8JI=")</f>
        <v>#VALUE!</v>
      </c>
      <c r="ER10" t="e">
        <f>AND('SPR BARRANQUILLA'!GX7,"AAAAAFps8JM=")</f>
        <v>#VALUE!</v>
      </c>
      <c r="ES10" t="e">
        <f>AND('SPR BARRANQUILLA'!GY7,"AAAAAFps8JQ=")</f>
        <v>#VALUE!</v>
      </c>
      <c r="ET10">
        <f>IF('SPR BARRANQUILLA'!8:8,"AAAAAFps8JU=",0)</f>
        <v>0</v>
      </c>
      <c r="EU10" t="e">
        <f>AND('SPR BARRANQUILLA'!A8,"AAAAAFps8JY=")</f>
        <v>#VALUE!</v>
      </c>
      <c r="EV10" t="e">
        <f>AND('SPR BARRANQUILLA'!B8,"AAAAAFps8Jc=")</f>
        <v>#VALUE!</v>
      </c>
      <c r="EW10" t="e">
        <f>AND('SPR BARRANQUILLA'!C8,"AAAAAFps8Jg=")</f>
        <v>#VALUE!</v>
      </c>
      <c r="EX10" t="e">
        <f>AND('SPR BARRANQUILLA'!D8,"AAAAAFps8Jk=")</f>
        <v>#VALUE!</v>
      </c>
      <c r="EY10" t="e">
        <f>AND('SPR BARRANQUILLA'!E8,"AAAAAFps8Jo=")</f>
        <v>#VALUE!</v>
      </c>
      <c r="EZ10" t="e">
        <f>AND('SPR BARRANQUILLA'!F8,"AAAAAFps8Js=")</f>
        <v>#VALUE!</v>
      </c>
      <c r="FA10" t="e">
        <f>AND('SPR BARRANQUILLA'!G8,"AAAAAFps8Jw=")</f>
        <v>#VALUE!</v>
      </c>
      <c r="FB10" t="e">
        <f>AND('SPR BARRANQUILLA'!H8,"AAAAAFps8J0=")</f>
        <v>#VALUE!</v>
      </c>
      <c r="FC10" t="e">
        <f>AND('SPR BARRANQUILLA'!I8,"AAAAAFps8J4=")</f>
        <v>#VALUE!</v>
      </c>
      <c r="FD10" t="e">
        <f>AND('SPR BARRANQUILLA'!J8,"AAAAAFps8J8=")</f>
        <v>#VALUE!</v>
      </c>
      <c r="FE10" t="e">
        <f>AND('SPR BARRANQUILLA'!K8,"AAAAAFps8KA=")</f>
        <v>#VALUE!</v>
      </c>
      <c r="FF10" t="e">
        <f>AND('SPR BARRANQUILLA'!L8,"AAAAAFps8KE=")</f>
        <v>#VALUE!</v>
      </c>
      <c r="FG10" t="e">
        <f>AND('SPR BARRANQUILLA'!M8,"AAAAAFps8KI=")</f>
        <v>#VALUE!</v>
      </c>
      <c r="FH10" t="e">
        <f>AND('SPR BARRANQUILLA'!N8,"AAAAAFps8KM=")</f>
        <v>#VALUE!</v>
      </c>
      <c r="FI10" t="e">
        <f>AND('SPR BARRANQUILLA'!O8,"AAAAAFps8KQ=")</f>
        <v>#VALUE!</v>
      </c>
      <c r="FJ10" t="e">
        <f>AND('SPR BARRANQUILLA'!P8,"AAAAAFps8KU=")</f>
        <v>#VALUE!</v>
      </c>
      <c r="FK10" t="e">
        <f>AND('SPR BARRANQUILLA'!Q8,"AAAAAFps8KY=")</f>
        <v>#VALUE!</v>
      </c>
      <c r="FL10" t="e">
        <f>AND('SPR BARRANQUILLA'!R8,"AAAAAFps8Kc=")</f>
        <v>#VALUE!</v>
      </c>
      <c r="FM10" t="e">
        <f>AND('SPR BARRANQUILLA'!S8,"AAAAAFps8Kg=")</f>
        <v>#VALUE!</v>
      </c>
      <c r="FN10" t="e">
        <f>AND('SPR BARRANQUILLA'!T8,"AAAAAFps8Kk=")</f>
        <v>#VALUE!</v>
      </c>
      <c r="FO10" t="e">
        <f>AND('SPR BARRANQUILLA'!U8,"AAAAAFps8Ko=")</f>
        <v>#VALUE!</v>
      </c>
      <c r="FP10" t="e">
        <f>AND('SPR BARRANQUILLA'!V8,"AAAAAFps8Ks=")</f>
        <v>#VALUE!</v>
      </c>
      <c r="FQ10" t="e">
        <f>AND('SPR BARRANQUILLA'!W8,"AAAAAFps8Kw=")</f>
        <v>#VALUE!</v>
      </c>
      <c r="FR10" t="e">
        <f>AND('SPR BARRANQUILLA'!X8,"AAAAAFps8K0=")</f>
        <v>#VALUE!</v>
      </c>
      <c r="FS10" t="e">
        <f>AND('SPR BARRANQUILLA'!Y8,"AAAAAFps8K4=")</f>
        <v>#VALUE!</v>
      </c>
      <c r="FT10" t="e">
        <f>AND('SPR BARRANQUILLA'!Z8,"AAAAAFps8K8=")</f>
        <v>#VALUE!</v>
      </c>
      <c r="FU10" t="e">
        <f>AND('SPR BARRANQUILLA'!AA8,"AAAAAFps8LA=")</f>
        <v>#VALUE!</v>
      </c>
      <c r="FV10" t="e">
        <f>AND('SPR BARRANQUILLA'!AB8,"AAAAAFps8LE=")</f>
        <v>#VALUE!</v>
      </c>
      <c r="FW10" t="e">
        <f>AND('SPR BARRANQUILLA'!AC8,"AAAAAFps8LI=")</f>
        <v>#VALUE!</v>
      </c>
      <c r="FX10" t="e">
        <f>AND('SPR BARRANQUILLA'!AD8,"AAAAAFps8LM=")</f>
        <v>#VALUE!</v>
      </c>
      <c r="FY10" t="e">
        <f>AND('SPR BARRANQUILLA'!AE8,"AAAAAFps8LQ=")</f>
        <v>#VALUE!</v>
      </c>
      <c r="FZ10" t="e">
        <f>AND('SPR BARRANQUILLA'!AF8,"AAAAAFps8LU=")</f>
        <v>#VALUE!</v>
      </c>
      <c r="GA10" t="e">
        <f>AND('SPR BARRANQUILLA'!AG8,"AAAAAFps8LY=")</f>
        <v>#VALUE!</v>
      </c>
      <c r="GB10" t="e">
        <f>AND('SPR BARRANQUILLA'!AH8,"AAAAAFps8Lc=")</f>
        <v>#VALUE!</v>
      </c>
      <c r="GC10" t="e">
        <f>AND('SPR BARRANQUILLA'!AI8,"AAAAAFps8Lg=")</f>
        <v>#VALUE!</v>
      </c>
      <c r="GD10" t="e">
        <f>AND('SPR BARRANQUILLA'!AJ8,"AAAAAFps8Lk=")</f>
        <v>#VALUE!</v>
      </c>
      <c r="GE10" t="e">
        <f>AND('SPR BARRANQUILLA'!AK8,"AAAAAFps8Lo=")</f>
        <v>#VALUE!</v>
      </c>
      <c r="GF10" t="e">
        <f>AND('SPR BARRANQUILLA'!AL8,"AAAAAFps8Ls=")</f>
        <v>#VALUE!</v>
      </c>
      <c r="GG10" t="e">
        <f>AND('SPR BARRANQUILLA'!AM8,"AAAAAFps8Lw=")</f>
        <v>#VALUE!</v>
      </c>
      <c r="GH10" t="e">
        <f>AND('SPR BARRANQUILLA'!AN8,"AAAAAFps8L0=")</f>
        <v>#VALUE!</v>
      </c>
      <c r="GI10" t="e">
        <f>AND('SPR BARRANQUILLA'!AO8,"AAAAAFps8L4=")</f>
        <v>#VALUE!</v>
      </c>
      <c r="GJ10" t="e">
        <f>AND('SPR BARRANQUILLA'!AP8,"AAAAAFps8L8=")</f>
        <v>#VALUE!</v>
      </c>
      <c r="GK10" t="e">
        <f>AND('SPR BARRANQUILLA'!AQ8,"AAAAAFps8MA=")</f>
        <v>#VALUE!</v>
      </c>
      <c r="GL10" t="e">
        <f>AND('SPR BARRANQUILLA'!AR8,"AAAAAFps8ME=")</f>
        <v>#VALUE!</v>
      </c>
      <c r="GM10" t="e">
        <f>AND('SPR BARRANQUILLA'!AS8,"AAAAAFps8MI=")</f>
        <v>#VALUE!</v>
      </c>
      <c r="GN10" t="e">
        <f>AND('SPR BARRANQUILLA'!AT8,"AAAAAFps8MM=")</f>
        <v>#VALUE!</v>
      </c>
      <c r="GO10" t="e">
        <f>AND('SPR BARRANQUILLA'!AU8,"AAAAAFps8MQ=")</f>
        <v>#VALUE!</v>
      </c>
      <c r="GP10" t="e">
        <f>AND('SPR BARRANQUILLA'!AV8,"AAAAAFps8MU=")</f>
        <v>#VALUE!</v>
      </c>
      <c r="GQ10" t="e">
        <f>AND('SPR BARRANQUILLA'!AW8,"AAAAAFps8MY=")</f>
        <v>#VALUE!</v>
      </c>
      <c r="GR10" t="e">
        <f>AND('SPR BARRANQUILLA'!AX8,"AAAAAFps8Mc=")</f>
        <v>#VALUE!</v>
      </c>
      <c r="GS10" t="e">
        <f>AND('SPR BARRANQUILLA'!AY8,"AAAAAFps8Mg=")</f>
        <v>#VALUE!</v>
      </c>
      <c r="GT10" t="e">
        <f>AND('SPR BARRANQUILLA'!AZ8,"AAAAAFps8Mk=")</f>
        <v>#VALUE!</v>
      </c>
      <c r="GU10" t="e">
        <f>AND('SPR BARRANQUILLA'!BA8,"AAAAAFps8Mo=")</f>
        <v>#VALUE!</v>
      </c>
      <c r="GV10" t="e">
        <f>AND('SPR BARRANQUILLA'!BB8,"AAAAAFps8Ms=")</f>
        <v>#VALUE!</v>
      </c>
      <c r="GW10" t="e">
        <f>AND('SPR BARRANQUILLA'!BC8,"AAAAAFps8Mw=")</f>
        <v>#VALUE!</v>
      </c>
      <c r="GX10" t="e">
        <f>AND('SPR BARRANQUILLA'!BD8,"AAAAAFps8M0=")</f>
        <v>#VALUE!</v>
      </c>
      <c r="GY10" t="e">
        <f>AND('SPR BARRANQUILLA'!BE8,"AAAAAFps8M4=")</f>
        <v>#VALUE!</v>
      </c>
      <c r="GZ10" t="e">
        <f>AND('SPR BARRANQUILLA'!BF8,"AAAAAFps8M8=")</f>
        <v>#VALUE!</v>
      </c>
      <c r="HA10" t="e">
        <f>AND('SPR BARRANQUILLA'!BG8,"AAAAAFps8NA=")</f>
        <v>#VALUE!</v>
      </c>
      <c r="HB10" t="e">
        <f>AND('SPR BARRANQUILLA'!BH8,"AAAAAFps8NE=")</f>
        <v>#VALUE!</v>
      </c>
      <c r="HC10" t="e">
        <f>AND('SPR BARRANQUILLA'!BI8,"AAAAAFps8NI=")</f>
        <v>#VALUE!</v>
      </c>
      <c r="HD10" t="e">
        <f>AND('SPR BARRANQUILLA'!BJ8,"AAAAAFps8NM=")</f>
        <v>#VALUE!</v>
      </c>
      <c r="HE10" t="e">
        <f>AND('SPR BARRANQUILLA'!BK8,"AAAAAFps8NQ=")</f>
        <v>#VALUE!</v>
      </c>
      <c r="HF10" t="e">
        <f>AND('SPR BARRANQUILLA'!BL8,"AAAAAFps8NU=")</f>
        <v>#VALUE!</v>
      </c>
      <c r="HG10" t="e">
        <f>AND('SPR BARRANQUILLA'!BM8,"AAAAAFps8NY=")</f>
        <v>#VALUE!</v>
      </c>
      <c r="HH10" t="e">
        <f>AND('SPR BARRANQUILLA'!BN8,"AAAAAFps8Nc=")</f>
        <v>#VALUE!</v>
      </c>
      <c r="HI10" t="e">
        <f>AND('SPR BARRANQUILLA'!BO8,"AAAAAFps8Ng=")</f>
        <v>#VALUE!</v>
      </c>
      <c r="HJ10" t="e">
        <f>AND('SPR BARRANQUILLA'!BP8,"AAAAAFps8Nk=")</f>
        <v>#VALUE!</v>
      </c>
      <c r="HK10" t="e">
        <f>AND('SPR BARRANQUILLA'!BQ8,"AAAAAFps8No=")</f>
        <v>#VALUE!</v>
      </c>
      <c r="HL10" t="e">
        <f>AND('SPR BARRANQUILLA'!BR8,"AAAAAFps8Ns=")</f>
        <v>#VALUE!</v>
      </c>
      <c r="HM10" t="e">
        <f>AND('SPR BARRANQUILLA'!BS8,"AAAAAFps8Nw=")</f>
        <v>#VALUE!</v>
      </c>
      <c r="HN10" t="e">
        <f>AND('SPR BARRANQUILLA'!BT8,"AAAAAFps8N0=")</f>
        <v>#VALUE!</v>
      </c>
      <c r="HO10" t="e">
        <f>AND('SPR BARRANQUILLA'!BU8,"AAAAAFps8N4=")</f>
        <v>#VALUE!</v>
      </c>
      <c r="HP10" t="e">
        <f>AND('SPR BARRANQUILLA'!BV8,"AAAAAFps8N8=")</f>
        <v>#VALUE!</v>
      </c>
      <c r="HQ10" t="e">
        <f>AND('SPR BARRANQUILLA'!BW8,"AAAAAFps8OA=")</f>
        <v>#VALUE!</v>
      </c>
      <c r="HR10" t="e">
        <f>AND('SPR BARRANQUILLA'!BX8,"AAAAAFps8OE=")</f>
        <v>#VALUE!</v>
      </c>
      <c r="HS10" t="e">
        <f>AND('SPR BARRANQUILLA'!BY8,"AAAAAFps8OI=")</f>
        <v>#VALUE!</v>
      </c>
      <c r="HT10" t="e">
        <f>AND('SPR BARRANQUILLA'!BZ8,"AAAAAFps8OM=")</f>
        <v>#VALUE!</v>
      </c>
      <c r="HU10" t="e">
        <f>AND('SPR BARRANQUILLA'!CA8,"AAAAAFps8OQ=")</f>
        <v>#VALUE!</v>
      </c>
      <c r="HV10" t="e">
        <f>AND('SPR BARRANQUILLA'!CB8,"AAAAAFps8OU=")</f>
        <v>#VALUE!</v>
      </c>
      <c r="HW10" t="e">
        <f>AND('SPR BARRANQUILLA'!CC8,"AAAAAFps8OY=")</f>
        <v>#VALUE!</v>
      </c>
      <c r="HX10" t="e">
        <f>AND('SPR BARRANQUILLA'!CD8,"AAAAAFps8Oc=")</f>
        <v>#VALUE!</v>
      </c>
      <c r="HY10" t="e">
        <f>AND('SPR BARRANQUILLA'!CE8,"AAAAAFps8Og=")</f>
        <v>#VALUE!</v>
      </c>
      <c r="HZ10" t="e">
        <f>AND('SPR BARRANQUILLA'!CF8,"AAAAAFps8Ok=")</f>
        <v>#VALUE!</v>
      </c>
      <c r="IA10" t="e">
        <f>AND('SPR BARRANQUILLA'!CG8,"AAAAAFps8Oo=")</f>
        <v>#VALUE!</v>
      </c>
      <c r="IB10" t="e">
        <f>AND('SPR BARRANQUILLA'!CH8,"AAAAAFps8Os=")</f>
        <v>#VALUE!</v>
      </c>
      <c r="IC10" t="e">
        <f>AND('SPR BARRANQUILLA'!CI8,"AAAAAFps8Ow=")</f>
        <v>#VALUE!</v>
      </c>
      <c r="ID10" t="e">
        <f>AND('SPR BARRANQUILLA'!CJ8,"AAAAAFps8O0=")</f>
        <v>#VALUE!</v>
      </c>
      <c r="IE10" t="e">
        <f>AND('SPR BARRANQUILLA'!CK8,"AAAAAFps8O4=")</f>
        <v>#VALUE!</v>
      </c>
      <c r="IF10" t="e">
        <f>AND('SPR BARRANQUILLA'!CL8,"AAAAAFps8O8=")</f>
        <v>#VALUE!</v>
      </c>
      <c r="IG10" t="e">
        <f>AND('SPR BARRANQUILLA'!CM8,"AAAAAFps8PA=")</f>
        <v>#VALUE!</v>
      </c>
      <c r="IH10" t="e">
        <f>AND('SPR BARRANQUILLA'!CN8,"AAAAAFps8PE=")</f>
        <v>#VALUE!</v>
      </c>
      <c r="II10" t="e">
        <f>AND('SPR BARRANQUILLA'!CO8,"AAAAAFps8PI=")</f>
        <v>#VALUE!</v>
      </c>
      <c r="IJ10" t="e">
        <f>AND('SPR BARRANQUILLA'!CP8,"AAAAAFps8PM=")</f>
        <v>#VALUE!</v>
      </c>
      <c r="IK10" t="e">
        <f>AND('SPR BARRANQUILLA'!CQ8,"AAAAAFps8PQ=")</f>
        <v>#VALUE!</v>
      </c>
      <c r="IL10" t="e">
        <f>AND('SPR BARRANQUILLA'!CR8,"AAAAAFps8PU=")</f>
        <v>#VALUE!</v>
      </c>
      <c r="IM10" t="e">
        <f>AND('SPR BARRANQUILLA'!CS8,"AAAAAFps8PY=")</f>
        <v>#VALUE!</v>
      </c>
      <c r="IN10" t="e">
        <f>AND('SPR BARRANQUILLA'!CT8,"AAAAAFps8Pc=")</f>
        <v>#VALUE!</v>
      </c>
      <c r="IO10" t="e">
        <f>AND('SPR BARRANQUILLA'!CU8,"AAAAAFps8Pg=")</f>
        <v>#VALUE!</v>
      </c>
      <c r="IP10" t="e">
        <f>AND('SPR BARRANQUILLA'!CV8,"AAAAAFps8Pk=")</f>
        <v>#VALUE!</v>
      </c>
      <c r="IQ10" t="e">
        <f>AND('SPR BARRANQUILLA'!CW8,"AAAAAFps8Po=")</f>
        <v>#VALUE!</v>
      </c>
      <c r="IR10" t="e">
        <f>AND('SPR BARRANQUILLA'!CX8,"AAAAAFps8Ps=")</f>
        <v>#VALUE!</v>
      </c>
      <c r="IS10" t="e">
        <f>AND('SPR BARRANQUILLA'!CY8,"AAAAAFps8Pw=")</f>
        <v>#VALUE!</v>
      </c>
      <c r="IT10" t="e">
        <f>AND('SPR BARRANQUILLA'!CZ8,"AAAAAFps8P0=")</f>
        <v>#VALUE!</v>
      </c>
      <c r="IU10" t="e">
        <f>AND('SPR BARRANQUILLA'!DA8,"AAAAAFps8P4=")</f>
        <v>#VALUE!</v>
      </c>
      <c r="IV10" t="e">
        <f>AND('SPR BARRANQUILLA'!DB8,"AAAAAFps8P8=")</f>
        <v>#VALUE!</v>
      </c>
    </row>
    <row r="11" spans="1:256">
      <c r="A11" t="e">
        <f>AND('SPR BARRANQUILLA'!DC8,"AAAAAGfWdwA=")</f>
        <v>#VALUE!</v>
      </c>
      <c r="B11" t="e">
        <f>AND('SPR BARRANQUILLA'!DD8,"AAAAAGfWdwE=")</f>
        <v>#VALUE!</v>
      </c>
      <c r="C11" t="e">
        <f>AND('SPR BARRANQUILLA'!DE8,"AAAAAGfWdwI=")</f>
        <v>#VALUE!</v>
      </c>
      <c r="D11" t="e">
        <f>AND('SPR BARRANQUILLA'!DF8,"AAAAAGfWdwM=")</f>
        <v>#VALUE!</v>
      </c>
      <c r="E11" t="e">
        <f>AND('SPR BARRANQUILLA'!DG8,"AAAAAGfWdwQ=")</f>
        <v>#VALUE!</v>
      </c>
      <c r="F11" t="e">
        <f>AND('SPR BARRANQUILLA'!DH8,"AAAAAGfWdwU=")</f>
        <v>#VALUE!</v>
      </c>
      <c r="G11" t="e">
        <f>AND('SPR BARRANQUILLA'!DI8,"AAAAAGfWdwY=")</f>
        <v>#VALUE!</v>
      </c>
      <c r="H11" t="e">
        <f>AND('SPR BARRANQUILLA'!DJ8,"AAAAAGfWdwc=")</f>
        <v>#VALUE!</v>
      </c>
      <c r="I11" t="e">
        <f>AND('SPR BARRANQUILLA'!DK8,"AAAAAGfWdwg=")</f>
        <v>#VALUE!</v>
      </c>
      <c r="J11" t="e">
        <f>AND('SPR BARRANQUILLA'!DL8,"AAAAAGfWdwk=")</f>
        <v>#VALUE!</v>
      </c>
      <c r="K11" t="e">
        <f>AND('SPR BARRANQUILLA'!DM8,"AAAAAGfWdwo=")</f>
        <v>#VALUE!</v>
      </c>
      <c r="L11" t="e">
        <f>AND('SPR BARRANQUILLA'!DN8,"AAAAAGfWdws=")</f>
        <v>#VALUE!</v>
      </c>
      <c r="M11" t="e">
        <f>AND('SPR BARRANQUILLA'!DO8,"AAAAAGfWdww=")</f>
        <v>#VALUE!</v>
      </c>
      <c r="N11" t="e">
        <f>AND('SPR BARRANQUILLA'!DP8,"AAAAAGfWdw0=")</f>
        <v>#VALUE!</v>
      </c>
      <c r="O11" t="e">
        <f>AND('SPR BARRANQUILLA'!DQ8,"AAAAAGfWdw4=")</f>
        <v>#VALUE!</v>
      </c>
      <c r="P11" t="e">
        <f>AND('SPR BARRANQUILLA'!DR8,"AAAAAGfWdw8=")</f>
        <v>#VALUE!</v>
      </c>
      <c r="Q11" t="e">
        <f>AND('SPR BARRANQUILLA'!DS8,"AAAAAGfWdxA=")</f>
        <v>#VALUE!</v>
      </c>
      <c r="R11" t="e">
        <f>AND('SPR BARRANQUILLA'!DT8,"AAAAAGfWdxE=")</f>
        <v>#VALUE!</v>
      </c>
      <c r="S11" t="e">
        <f>AND('SPR BARRANQUILLA'!DU8,"AAAAAGfWdxI=")</f>
        <v>#VALUE!</v>
      </c>
      <c r="T11" t="e">
        <f>AND('SPR BARRANQUILLA'!DV8,"AAAAAGfWdxM=")</f>
        <v>#VALUE!</v>
      </c>
      <c r="U11" t="e">
        <f>AND('SPR BARRANQUILLA'!DW8,"AAAAAGfWdxQ=")</f>
        <v>#VALUE!</v>
      </c>
      <c r="V11" t="e">
        <f>AND('SPR BARRANQUILLA'!DX8,"AAAAAGfWdxU=")</f>
        <v>#VALUE!</v>
      </c>
      <c r="W11" t="e">
        <f>AND('SPR BARRANQUILLA'!DY8,"AAAAAGfWdxY=")</f>
        <v>#VALUE!</v>
      </c>
      <c r="X11" t="e">
        <f>AND('SPR BARRANQUILLA'!DZ8,"AAAAAGfWdxc=")</f>
        <v>#VALUE!</v>
      </c>
      <c r="Y11" t="e">
        <f>AND('SPR BARRANQUILLA'!EA8,"AAAAAGfWdxg=")</f>
        <v>#VALUE!</v>
      </c>
      <c r="Z11" t="e">
        <f>AND('SPR BARRANQUILLA'!EB8,"AAAAAGfWdxk=")</f>
        <v>#VALUE!</v>
      </c>
      <c r="AA11" t="e">
        <f>AND('SPR BARRANQUILLA'!EC8,"AAAAAGfWdxo=")</f>
        <v>#VALUE!</v>
      </c>
      <c r="AB11" t="e">
        <f>AND('SPR BARRANQUILLA'!ED8,"AAAAAGfWdxs=")</f>
        <v>#VALUE!</v>
      </c>
      <c r="AC11" t="e">
        <f>AND('SPR BARRANQUILLA'!EE8,"AAAAAGfWdxw=")</f>
        <v>#VALUE!</v>
      </c>
      <c r="AD11" t="e">
        <f>AND('SPR BARRANQUILLA'!EF8,"AAAAAGfWdx0=")</f>
        <v>#VALUE!</v>
      </c>
      <c r="AE11" t="e">
        <f>AND('SPR BARRANQUILLA'!EG8,"AAAAAGfWdx4=")</f>
        <v>#VALUE!</v>
      </c>
      <c r="AF11" t="e">
        <f>AND('SPR BARRANQUILLA'!EH8,"AAAAAGfWdx8=")</f>
        <v>#VALUE!</v>
      </c>
      <c r="AG11" t="e">
        <f>AND('SPR BARRANQUILLA'!EI8,"AAAAAGfWdyA=")</f>
        <v>#VALUE!</v>
      </c>
      <c r="AH11" t="e">
        <f>AND('SPR BARRANQUILLA'!EJ8,"AAAAAGfWdyE=")</f>
        <v>#VALUE!</v>
      </c>
      <c r="AI11" t="e">
        <f>AND('SPR BARRANQUILLA'!EK8,"AAAAAGfWdyI=")</f>
        <v>#VALUE!</v>
      </c>
      <c r="AJ11" t="e">
        <f>AND('SPR BARRANQUILLA'!EL8,"AAAAAGfWdyM=")</f>
        <v>#VALUE!</v>
      </c>
      <c r="AK11" t="e">
        <f>AND('SPR BARRANQUILLA'!EM8,"AAAAAGfWdyQ=")</f>
        <v>#VALUE!</v>
      </c>
      <c r="AL11" t="e">
        <f>AND('SPR BARRANQUILLA'!EN8,"AAAAAGfWdyU=")</f>
        <v>#VALUE!</v>
      </c>
      <c r="AM11" t="e">
        <f>AND('SPR BARRANQUILLA'!EO8,"AAAAAGfWdyY=")</f>
        <v>#VALUE!</v>
      </c>
      <c r="AN11" t="e">
        <f>AND('SPR BARRANQUILLA'!EP8,"AAAAAGfWdyc=")</f>
        <v>#VALUE!</v>
      </c>
      <c r="AO11" t="e">
        <f>AND('SPR BARRANQUILLA'!EQ8,"AAAAAGfWdyg=")</f>
        <v>#VALUE!</v>
      </c>
      <c r="AP11" t="e">
        <f>AND('SPR BARRANQUILLA'!ER8,"AAAAAGfWdyk=")</f>
        <v>#VALUE!</v>
      </c>
      <c r="AQ11" t="e">
        <f>AND('SPR BARRANQUILLA'!ES8,"AAAAAGfWdyo=")</f>
        <v>#VALUE!</v>
      </c>
      <c r="AR11" t="e">
        <f>AND('SPR BARRANQUILLA'!ET8,"AAAAAGfWdys=")</f>
        <v>#VALUE!</v>
      </c>
      <c r="AS11" t="e">
        <f>AND('SPR BARRANQUILLA'!EU8,"AAAAAGfWdyw=")</f>
        <v>#VALUE!</v>
      </c>
      <c r="AT11" t="e">
        <f>AND('SPR BARRANQUILLA'!EV8,"AAAAAGfWdy0=")</f>
        <v>#VALUE!</v>
      </c>
      <c r="AU11" t="e">
        <f>AND('SPR BARRANQUILLA'!EW8,"AAAAAGfWdy4=")</f>
        <v>#VALUE!</v>
      </c>
      <c r="AV11" t="e">
        <f>AND('SPR BARRANQUILLA'!EX8,"AAAAAGfWdy8=")</f>
        <v>#VALUE!</v>
      </c>
      <c r="AW11" t="e">
        <f>AND('SPR BARRANQUILLA'!EY8,"AAAAAGfWdzA=")</f>
        <v>#VALUE!</v>
      </c>
      <c r="AX11" t="e">
        <f>AND('SPR BARRANQUILLA'!EZ8,"AAAAAGfWdzE=")</f>
        <v>#VALUE!</v>
      </c>
      <c r="AY11" t="e">
        <f>AND('SPR BARRANQUILLA'!FA8,"AAAAAGfWdzI=")</f>
        <v>#VALUE!</v>
      </c>
      <c r="AZ11" t="e">
        <f>AND('SPR BARRANQUILLA'!FB8,"AAAAAGfWdzM=")</f>
        <v>#VALUE!</v>
      </c>
      <c r="BA11" t="e">
        <f>AND('SPR BARRANQUILLA'!FC8,"AAAAAGfWdzQ=")</f>
        <v>#VALUE!</v>
      </c>
      <c r="BB11" t="e">
        <f>AND('SPR BARRANQUILLA'!FD8,"AAAAAGfWdzU=")</f>
        <v>#VALUE!</v>
      </c>
      <c r="BC11" t="e">
        <f>AND('SPR BARRANQUILLA'!FE8,"AAAAAGfWdzY=")</f>
        <v>#VALUE!</v>
      </c>
      <c r="BD11" t="e">
        <f>AND('SPR BARRANQUILLA'!FF8,"AAAAAGfWdzc=")</f>
        <v>#VALUE!</v>
      </c>
      <c r="BE11" t="e">
        <f>AND('SPR BARRANQUILLA'!FG8,"AAAAAGfWdzg=")</f>
        <v>#VALUE!</v>
      </c>
      <c r="BF11" t="e">
        <f>AND('SPR BARRANQUILLA'!FH8,"AAAAAGfWdzk=")</f>
        <v>#VALUE!</v>
      </c>
      <c r="BG11" t="e">
        <f>AND('SPR BARRANQUILLA'!FI8,"AAAAAGfWdzo=")</f>
        <v>#VALUE!</v>
      </c>
      <c r="BH11" t="e">
        <f>AND('SPR BARRANQUILLA'!FJ8,"AAAAAGfWdzs=")</f>
        <v>#VALUE!</v>
      </c>
      <c r="BI11" t="e">
        <f>AND('SPR BARRANQUILLA'!FK8,"AAAAAGfWdzw=")</f>
        <v>#VALUE!</v>
      </c>
      <c r="BJ11" t="e">
        <f>AND('SPR BARRANQUILLA'!FL8,"AAAAAGfWdz0=")</f>
        <v>#VALUE!</v>
      </c>
      <c r="BK11" t="e">
        <f>AND('SPR BARRANQUILLA'!FM8,"AAAAAGfWdz4=")</f>
        <v>#VALUE!</v>
      </c>
      <c r="BL11" t="e">
        <f>AND('SPR BARRANQUILLA'!FN8,"AAAAAGfWdz8=")</f>
        <v>#VALUE!</v>
      </c>
      <c r="BM11" t="e">
        <f>AND('SPR BARRANQUILLA'!FO8,"AAAAAGfWd0A=")</f>
        <v>#VALUE!</v>
      </c>
      <c r="BN11" t="e">
        <f>AND('SPR BARRANQUILLA'!FP8,"AAAAAGfWd0E=")</f>
        <v>#VALUE!</v>
      </c>
      <c r="BO11" t="e">
        <f>AND('SPR BARRANQUILLA'!FQ8,"AAAAAGfWd0I=")</f>
        <v>#VALUE!</v>
      </c>
      <c r="BP11" t="e">
        <f>AND('SPR BARRANQUILLA'!FR8,"AAAAAGfWd0M=")</f>
        <v>#VALUE!</v>
      </c>
      <c r="BQ11" t="e">
        <f>AND('SPR BARRANQUILLA'!FS8,"AAAAAGfWd0Q=")</f>
        <v>#VALUE!</v>
      </c>
      <c r="BR11" t="e">
        <f>AND('SPR BARRANQUILLA'!FT8,"AAAAAGfWd0U=")</f>
        <v>#VALUE!</v>
      </c>
      <c r="BS11" t="e">
        <f>AND('SPR BARRANQUILLA'!FU8,"AAAAAGfWd0Y=")</f>
        <v>#VALUE!</v>
      </c>
      <c r="BT11" t="e">
        <f>AND('SPR BARRANQUILLA'!FV8,"AAAAAGfWd0c=")</f>
        <v>#VALUE!</v>
      </c>
      <c r="BU11" t="e">
        <f>AND('SPR BARRANQUILLA'!FW8,"AAAAAGfWd0g=")</f>
        <v>#VALUE!</v>
      </c>
      <c r="BV11" t="e">
        <f>AND('SPR BARRANQUILLA'!FX8,"AAAAAGfWd0k=")</f>
        <v>#VALUE!</v>
      </c>
      <c r="BW11" t="e">
        <f>AND('SPR BARRANQUILLA'!FY8,"AAAAAGfWd0o=")</f>
        <v>#VALUE!</v>
      </c>
      <c r="BX11" t="e">
        <f>AND('SPR BARRANQUILLA'!FZ8,"AAAAAGfWd0s=")</f>
        <v>#VALUE!</v>
      </c>
      <c r="BY11" t="e">
        <f>AND('SPR BARRANQUILLA'!GA8,"AAAAAGfWd0w=")</f>
        <v>#VALUE!</v>
      </c>
      <c r="BZ11" t="e">
        <f>AND('SPR BARRANQUILLA'!GB8,"AAAAAGfWd00=")</f>
        <v>#VALUE!</v>
      </c>
      <c r="CA11" t="e">
        <f>AND('SPR BARRANQUILLA'!GC8,"AAAAAGfWd04=")</f>
        <v>#VALUE!</v>
      </c>
      <c r="CB11" t="e">
        <f>AND('SPR BARRANQUILLA'!GD8,"AAAAAGfWd08=")</f>
        <v>#VALUE!</v>
      </c>
      <c r="CC11" t="e">
        <f>AND('SPR BARRANQUILLA'!GE8,"AAAAAGfWd1A=")</f>
        <v>#VALUE!</v>
      </c>
      <c r="CD11" t="e">
        <f>AND('SPR BARRANQUILLA'!GF8,"AAAAAGfWd1E=")</f>
        <v>#VALUE!</v>
      </c>
      <c r="CE11" t="e">
        <f>AND('SPR BARRANQUILLA'!GG8,"AAAAAGfWd1I=")</f>
        <v>#VALUE!</v>
      </c>
      <c r="CF11" t="e">
        <f>AND('SPR BARRANQUILLA'!GH8,"AAAAAGfWd1M=")</f>
        <v>#VALUE!</v>
      </c>
      <c r="CG11" t="e">
        <f>AND('SPR BARRANQUILLA'!GI8,"AAAAAGfWd1Q=")</f>
        <v>#VALUE!</v>
      </c>
      <c r="CH11" t="e">
        <f>AND('SPR BARRANQUILLA'!GJ8,"AAAAAGfWd1U=")</f>
        <v>#VALUE!</v>
      </c>
      <c r="CI11" t="e">
        <f>AND('SPR BARRANQUILLA'!GK8,"AAAAAGfWd1Y=")</f>
        <v>#VALUE!</v>
      </c>
      <c r="CJ11" t="e">
        <f>AND('SPR BARRANQUILLA'!GL8,"AAAAAGfWd1c=")</f>
        <v>#VALUE!</v>
      </c>
      <c r="CK11" t="e">
        <f>AND('SPR BARRANQUILLA'!GM8,"AAAAAGfWd1g=")</f>
        <v>#VALUE!</v>
      </c>
      <c r="CL11" t="e">
        <f>AND('SPR BARRANQUILLA'!GN8,"AAAAAGfWd1k=")</f>
        <v>#VALUE!</v>
      </c>
      <c r="CM11" t="e">
        <f>AND('SPR BARRANQUILLA'!GO8,"AAAAAGfWd1o=")</f>
        <v>#VALUE!</v>
      </c>
      <c r="CN11" t="e">
        <f>AND('SPR BARRANQUILLA'!GP8,"AAAAAGfWd1s=")</f>
        <v>#VALUE!</v>
      </c>
      <c r="CO11" t="e">
        <f>AND('SPR BARRANQUILLA'!GQ8,"AAAAAGfWd1w=")</f>
        <v>#VALUE!</v>
      </c>
      <c r="CP11" t="e">
        <f>AND('SPR BARRANQUILLA'!GR8,"AAAAAGfWd10=")</f>
        <v>#VALUE!</v>
      </c>
      <c r="CQ11" t="e">
        <f>AND('SPR BARRANQUILLA'!GS8,"AAAAAGfWd14=")</f>
        <v>#VALUE!</v>
      </c>
      <c r="CR11" t="e">
        <f>AND('SPR BARRANQUILLA'!GT8,"AAAAAGfWd18=")</f>
        <v>#VALUE!</v>
      </c>
      <c r="CS11" t="e">
        <f>AND('SPR BARRANQUILLA'!GU8,"AAAAAGfWd2A=")</f>
        <v>#VALUE!</v>
      </c>
      <c r="CT11" t="e">
        <f>AND('SPR BARRANQUILLA'!GV8,"AAAAAGfWd2E=")</f>
        <v>#VALUE!</v>
      </c>
      <c r="CU11" t="e">
        <f>AND('SPR BARRANQUILLA'!GW8,"AAAAAGfWd2I=")</f>
        <v>#VALUE!</v>
      </c>
      <c r="CV11" t="e">
        <f>AND('SPR BARRANQUILLA'!GX8,"AAAAAGfWd2M=")</f>
        <v>#VALUE!</v>
      </c>
      <c r="CW11" t="e">
        <f>AND('SPR BARRANQUILLA'!GY8,"AAAAAGfWd2Q=")</f>
        <v>#VALUE!</v>
      </c>
      <c r="CX11">
        <f>IF('SPR BARRANQUILLA'!9:9,"AAAAAGfWd2U=",0)</f>
        <v>0</v>
      </c>
      <c r="CY11" t="e">
        <f>AND('SPR BARRANQUILLA'!A9,"AAAAAGfWd2Y=")</f>
        <v>#VALUE!</v>
      </c>
      <c r="CZ11" t="e">
        <f>AND('SPR BARRANQUILLA'!B9,"AAAAAGfWd2c=")</f>
        <v>#VALUE!</v>
      </c>
      <c r="DA11" t="e">
        <f>AND('SPR BARRANQUILLA'!C9,"AAAAAGfWd2g=")</f>
        <v>#VALUE!</v>
      </c>
      <c r="DB11" t="e">
        <f>AND('SPR BARRANQUILLA'!D9,"AAAAAGfWd2k=")</f>
        <v>#VALUE!</v>
      </c>
      <c r="DC11" t="e">
        <f>AND('SPR BARRANQUILLA'!E9,"AAAAAGfWd2o=")</f>
        <v>#VALUE!</v>
      </c>
      <c r="DD11" t="e">
        <f>AND('SPR BARRANQUILLA'!F9,"AAAAAGfWd2s=")</f>
        <v>#VALUE!</v>
      </c>
      <c r="DE11" t="e">
        <f>AND('SPR BARRANQUILLA'!G9,"AAAAAGfWd2w=")</f>
        <v>#VALUE!</v>
      </c>
      <c r="DF11" t="e">
        <f>AND('SPR BARRANQUILLA'!H9,"AAAAAGfWd20=")</f>
        <v>#VALUE!</v>
      </c>
      <c r="DG11" t="e">
        <f>AND('SPR BARRANQUILLA'!I9,"AAAAAGfWd24=")</f>
        <v>#VALUE!</v>
      </c>
      <c r="DH11" t="e">
        <f>AND('SPR BARRANQUILLA'!J9,"AAAAAGfWd28=")</f>
        <v>#VALUE!</v>
      </c>
      <c r="DI11" t="e">
        <f>AND('SPR BARRANQUILLA'!K9,"AAAAAGfWd3A=")</f>
        <v>#VALUE!</v>
      </c>
      <c r="DJ11" t="e">
        <f>AND('SPR BARRANQUILLA'!L9,"AAAAAGfWd3E=")</f>
        <v>#VALUE!</v>
      </c>
      <c r="DK11" t="e">
        <f>AND('SPR BARRANQUILLA'!M9,"AAAAAGfWd3I=")</f>
        <v>#VALUE!</v>
      </c>
      <c r="DL11" t="e">
        <f>AND('SPR BARRANQUILLA'!N9,"AAAAAGfWd3M=")</f>
        <v>#VALUE!</v>
      </c>
      <c r="DM11" t="e">
        <f>AND('SPR BARRANQUILLA'!O9,"AAAAAGfWd3Q=")</f>
        <v>#VALUE!</v>
      </c>
      <c r="DN11" t="e">
        <f>AND('SPR BARRANQUILLA'!P9,"AAAAAGfWd3U=")</f>
        <v>#VALUE!</v>
      </c>
      <c r="DO11" t="e">
        <f>AND('SPR BARRANQUILLA'!Q9,"AAAAAGfWd3Y=")</f>
        <v>#VALUE!</v>
      </c>
      <c r="DP11" t="e">
        <f>AND('SPR BARRANQUILLA'!R9,"AAAAAGfWd3c=")</f>
        <v>#VALUE!</v>
      </c>
      <c r="DQ11" t="e">
        <f>AND('SPR BARRANQUILLA'!S9,"AAAAAGfWd3g=")</f>
        <v>#VALUE!</v>
      </c>
      <c r="DR11" t="e">
        <f>AND('SPR BARRANQUILLA'!T9,"AAAAAGfWd3k=")</f>
        <v>#VALUE!</v>
      </c>
      <c r="DS11" t="e">
        <f>AND('SPR BARRANQUILLA'!U9,"AAAAAGfWd3o=")</f>
        <v>#VALUE!</v>
      </c>
      <c r="DT11" t="e">
        <f>AND('SPR BARRANQUILLA'!V9,"AAAAAGfWd3s=")</f>
        <v>#VALUE!</v>
      </c>
      <c r="DU11" t="e">
        <f>AND('SPR BARRANQUILLA'!W9,"AAAAAGfWd3w=")</f>
        <v>#VALUE!</v>
      </c>
      <c r="DV11" t="e">
        <f>AND('SPR BARRANQUILLA'!X9,"AAAAAGfWd30=")</f>
        <v>#VALUE!</v>
      </c>
      <c r="DW11" t="e">
        <f>AND('SPR BARRANQUILLA'!Y9,"AAAAAGfWd34=")</f>
        <v>#VALUE!</v>
      </c>
      <c r="DX11" t="e">
        <f>AND('SPR BARRANQUILLA'!Z9,"AAAAAGfWd38=")</f>
        <v>#VALUE!</v>
      </c>
      <c r="DY11" t="e">
        <f>AND('SPR BARRANQUILLA'!AA9,"AAAAAGfWd4A=")</f>
        <v>#VALUE!</v>
      </c>
      <c r="DZ11" t="e">
        <f>AND('SPR BARRANQUILLA'!AB9,"AAAAAGfWd4E=")</f>
        <v>#VALUE!</v>
      </c>
      <c r="EA11" t="e">
        <f>AND('SPR BARRANQUILLA'!AC9,"AAAAAGfWd4I=")</f>
        <v>#VALUE!</v>
      </c>
      <c r="EB11" t="e">
        <f>AND('SPR BARRANQUILLA'!AD9,"AAAAAGfWd4M=")</f>
        <v>#VALUE!</v>
      </c>
      <c r="EC11" t="e">
        <f>AND('SPR BARRANQUILLA'!AE9,"AAAAAGfWd4Q=")</f>
        <v>#VALUE!</v>
      </c>
      <c r="ED11" t="e">
        <f>AND('SPR BARRANQUILLA'!AF9,"AAAAAGfWd4U=")</f>
        <v>#VALUE!</v>
      </c>
      <c r="EE11" t="e">
        <f>AND('SPR BARRANQUILLA'!AG9,"AAAAAGfWd4Y=")</f>
        <v>#VALUE!</v>
      </c>
      <c r="EF11" t="e">
        <f>AND('SPR BARRANQUILLA'!AH9,"AAAAAGfWd4c=")</f>
        <v>#VALUE!</v>
      </c>
      <c r="EG11" t="e">
        <f>AND('SPR BARRANQUILLA'!AI9,"AAAAAGfWd4g=")</f>
        <v>#VALUE!</v>
      </c>
      <c r="EH11" t="e">
        <f>AND('SPR BARRANQUILLA'!AJ9,"AAAAAGfWd4k=")</f>
        <v>#VALUE!</v>
      </c>
      <c r="EI11" t="e">
        <f>AND('SPR BARRANQUILLA'!AK9,"AAAAAGfWd4o=")</f>
        <v>#VALUE!</v>
      </c>
      <c r="EJ11" t="e">
        <f>AND('SPR BARRANQUILLA'!AL9,"AAAAAGfWd4s=")</f>
        <v>#VALUE!</v>
      </c>
      <c r="EK11" t="e">
        <f>AND('SPR BARRANQUILLA'!AM9,"AAAAAGfWd4w=")</f>
        <v>#VALUE!</v>
      </c>
      <c r="EL11" t="e">
        <f>AND('SPR BARRANQUILLA'!AN9,"AAAAAGfWd40=")</f>
        <v>#VALUE!</v>
      </c>
      <c r="EM11" t="e">
        <f>AND('SPR BARRANQUILLA'!AO9,"AAAAAGfWd44=")</f>
        <v>#VALUE!</v>
      </c>
      <c r="EN11" t="e">
        <f>AND('SPR BARRANQUILLA'!AP9,"AAAAAGfWd48=")</f>
        <v>#VALUE!</v>
      </c>
      <c r="EO11" t="e">
        <f>AND('SPR BARRANQUILLA'!AQ9,"AAAAAGfWd5A=")</f>
        <v>#VALUE!</v>
      </c>
      <c r="EP11" t="e">
        <f>AND('SPR BARRANQUILLA'!AR9,"AAAAAGfWd5E=")</f>
        <v>#VALUE!</v>
      </c>
      <c r="EQ11" t="e">
        <f>AND('SPR BARRANQUILLA'!AS9,"AAAAAGfWd5I=")</f>
        <v>#VALUE!</v>
      </c>
      <c r="ER11" t="e">
        <f>AND('SPR BARRANQUILLA'!AT9,"AAAAAGfWd5M=")</f>
        <v>#VALUE!</v>
      </c>
      <c r="ES11" t="e">
        <f>AND('SPR BARRANQUILLA'!AU9,"AAAAAGfWd5Q=")</f>
        <v>#VALUE!</v>
      </c>
      <c r="ET11" t="e">
        <f>AND('SPR BARRANQUILLA'!AV9,"AAAAAGfWd5U=")</f>
        <v>#VALUE!</v>
      </c>
      <c r="EU11" t="e">
        <f>AND('SPR BARRANQUILLA'!AW9,"AAAAAGfWd5Y=")</f>
        <v>#VALUE!</v>
      </c>
      <c r="EV11" t="e">
        <f>AND('SPR BARRANQUILLA'!AX9,"AAAAAGfWd5c=")</f>
        <v>#VALUE!</v>
      </c>
      <c r="EW11" t="e">
        <f>AND('SPR BARRANQUILLA'!AY9,"AAAAAGfWd5g=")</f>
        <v>#VALUE!</v>
      </c>
      <c r="EX11" t="e">
        <f>AND('SPR BARRANQUILLA'!AZ9,"AAAAAGfWd5k=")</f>
        <v>#VALUE!</v>
      </c>
      <c r="EY11" t="e">
        <f>AND('SPR BARRANQUILLA'!BA9,"AAAAAGfWd5o=")</f>
        <v>#VALUE!</v>
      </c>
      <c r="EZ11" t="e">
        <f>AND('SPR BARRANQUILLA'!BB9,"AAAAAGfWd5s=")</f>
        <v>#VALUE!</v>
      </c>
      <c r="FA11" t="e">
        <f>AND('SPR BARRANQUILLA'!BC9,"AAAAAGfWd5w=")</f>
        <v>#VALUE!</v>
      </c>
      <c r="FB11" t="e">
        <f>AND('SPR BARRANQUILLA'!BD9,"AAAAAGfWd50=")</f>
        <v>#VALUE!</v>
      </c>
      <c r="FC11" t="e">
        <f>AND('SPR BARRANQUILLA'!BE9,"AAAAAGfWd54=")</f>
        <v>#VALUE!</v>
      </c>
      <c r="FD11" t="e">
        <f>AND('SPR BARRANQUILLA'!BF9,"AAAAAGfWd58=")</f>
        <v>#VALUE!</v>
      </c>
      <c r="FE11" t="e">
        <f>AND('SPR BARRANQUILLA'!BG9,"AAAAAGfWd6A=")</f>
        <v>#VALUE!</v>
      </c>
      <c r="FF11" t="e">
        <f>AND('SPR BARRANQUILLA'!BH9,"AAAAAGfWd6E=")</f>
        <v>#VALUE!</v>
      </c>
      <c r="FG11" t="e">
        <f>AND('SPR BARRANQUILLA'!BI9,"AAAAAGfWd6I=")</f>
        <v>#VALUE!</v>
      </c>
      <c r="FH11" t="e">
        <f>AND('SPR BARRANQUILLA'!BJ9,"AAAAAGfWd6M=")</f>
        <v>#VALUE!</v>
      </c>
      <c r="FI11" t="e">
        <f>AND('SPR BARRANQUILLA'!BK9,"AAAAAGfWd6Q=")</f>
        <v>#VALUE!</v>
      </c>
      <c r="FJ11" t="e">
        <f>AND('SPR BARRANQUILLA'!BL9,"AAAAAGfWd6U=")</f>
        <v>#VALUE!</v>
      </c>
      <c r="FK11" t="e">
        <f>AND('SPR BARRANQUILLA'!BM9,"AAAAAGfWd6Y=")</f>
        <v>#VALUE!</v>
      </c>
      <c r="FL11" t="e">
        <f>AND('SPR BARRANQUILLA'!BN9,"AAAAAGfWd6c=")</f>
        <v>#VALUE!</v>
      </c>
      <c r="FM11" t="e">
        <f>AND('SPR BARRANQUILLA'!BO9,"AAAAAGfWd6g=")</f>
        <v>#VALUE!</v>
      </c>
      <c r="FN11" t="e">
        <f>AND('SPR BARRANQUILLA'!BP9,"AAAAAGfWd6k=")</f>
        <v>#VALUE!</v>
      </c>
      <c r="FO11" t="e">
        <f>AND('SPR BARRANQUILLA'!BQ9,"AAAAAGfWd6o=")</f>
        <v>#VALUE!</v>
      </c>
      <c r="FP11" t="e">
        <f>AND('SPR BARRANQUILLA'!BR9,"AAAAAGfWd6s=")</f>
        <v>#VALUE!</v>
      </c>
      <c r="FQ11" t="e">
        <f>AND('SPR BARRANQUILLA'!BS9,"AAAAAGfWd6w=")</f>
        <v>#VALUE!</v>
      </c>
      <c r="FR11" t="e">
        <f>AND('SPR BARRANQUILLA'!BT9,"AAAAAGfWd60=")</f>
        <v>#VALUE!</v>
      </c>
      <c r="FS11" t="e">
        <f>AND('SPR BARRANQUILLA'!BU9,"AAAAAGfWd64=")</f>
        <v>#VALUE!</v>
      </c>
      <c r="FT11" t="e">
        <f>AND('SPR BARRANQUILLA'!BV9,"AAAAAGfWd68=")</f>
        <v>#VALUE!</v>
      </c>
      <c r="FU11" t="e">
        <f>AND('SPR BARRANQUILLA'!BW9,"AAAAAGfWd7A=")</f>
        <v>#VALUE!</v>
      </c>
      <c r="FV11" t="e">
        <f>AND('SPR BARRANQUILLA'!BX9,"AAAAAGfWd7E=")</f>
        <v>#VALUE!</v>
      </c>
      <c r="FW11" t="e">
        <f>AND('SPR BARRANQUILLA'!BY9,"AAAAAGfWd7I=")</f>
        <v>#VALUE!</v>
      </c>
      <c r="FX11" t="e">
        <f>AND('SPR BARRANQUILLA'!BZ9,"AAAAAGfWd7M=")</f>
        <v>#VALUE!</v>
      </c>
      <c r="FY11" t="e">
        <f>AND('SPR BARRANQUILLA'!CA9,"AAAAAGfWd7Q=")</f>
        <v>#VALUE!</v>
      </c>
      <c r="FZ11" t="e">
        <f>AND('SPR BARRANQUILLA'!CB9,"AAAAAGfWd7U=")</f>
        <v>#VALUE!</v>
      </c>
      <c r="GA11" t="e">
        <f>AND('SPR BARRANQUILLA'!CC9,"AAAAAGfWd7Y=")</f>
        <v>#VALUE!</v>
      </c>
      <c r="GB11" t="e">
        <f>AND('SPR BARRANQUILLA'!CD9,"AAAAAGfWd7c=")</f>
        <v>#VALUE!</v>
      </c>
      <c r="GC11" t="e">
        <f>AND('SPR BARRANQUILLA'!CE9,"AAAAAGfWd7g=")</f>
        <v>#VALUE!</v>
      </c>
      <c r="GD11" t="e">
        <f>AND('SPR BARRANQUILLA'!CF9,"AAAAAGfWd7k=")</f>
        <v>#VALUE!</v>
      </c>
      <c r="GE11" t="e">
        <f>AND('SPR BARRANQUILLA'!CG9,"AAAAAGfWd7o=")</f>
        <v>#VALUE!</v>
      </c>
      <c r="GF11" t="e">
        <f>AND('SPR BARRANQUILLA'!CH9,"AAAAAGfWd7s=")</f>
        <v>#VALUE!</v>
      </c>
      <c r="GG11" t="e">
        <f>AND('SPR BARRANQUILLA'!CI9,"AAAAAGfWd7w=")</f>
        <v>#VALUE!</v>
      </c>
      <c r="GH11" t="e">
        <f>AND('SPR BARRANQUILLA'!CJ9,"AAAAAGfWd70=")</f>
        <v>#VALUE!</v>
      </c>
      <c r="GI11" t="e">
        <f>AND('SPR BARRANQUILLA'!CK9,"AAAAAGfWd74=")</f>
        <v>#VALUE!</v>
      </c>
      <c r="GJ11" t="e">
        <f>AND('SPR BARRANQUILLA'!CL9,"AAAAAGfWd78=")</f>
        <v>#VALUE!</v>
      </c>
      <c r="GK11" t="e">
        <f>AND('SPR BARRANQUILLA'!CM9,"AAAAAGfWd8A=")</f>
        <v>#VALUE!</v>
      </c>
      <c r="GL11" t="e">
        <f>AND('SPR BARRANQUILLA'!CN9,"AAAAAGfWd8E=")</f>
        <v>#VALUE!</v>
      </c>
      <c r="GM11" t="e">
        <f>AND('SPR BARRANQUILLA'!CO9,"AAAAAGfWd8I=")</f>
        <v>#VALUE!</v>
      </c>
      <c r="GN11" t="e">
        <f>AND('SPR BARRANQUILLA'!CP9,"AAAAAGfWd8M=")</f>
        <v>#VALUE!</v>
      </c>
      <c r="GO11" t="e">
        <f>AND('SPR BARRANQUILLA'!CQ9,"AAAAAGfWd8Q=")</f>
        <v>#VALUE!</v>
      </c>
      <c r="GP11" t="e">
        <f>AND('SPR BARRANQUILLA'!CR9,"AAAAAGfWd8U=")</f>
        <v>#VALUE!</v>
      </c>
      <c r="GQ11" t="e">
        <f>AND('SPR BARRANQUILLA'!CS9,"AAAAAGfWd8Y=")</f>
        <v>#VALUE!</v>
      </c>
      <c r="GR11" t="e">
        <f>AND('SPR BARRANQUILLA'!CT9,"AAAAAGfWd8c=")</f>
        <v>#VALUE!</v>
      </c>
      <c r="GS11" t="e">
        <f>AND('SPR BARRANQUILLA'!CU9,"AAAAAGfWd8g=")</f>
        <v>#VALUE!</v>
      </c>
      <c r="GT11" t="e">
        <f>AND('SPR BARRANQUILLA'!CV9,"AAAAAGfWd8k=")</f>
        <v>#VALUE!</v>
      </c>
      <c r="GU11" t="e">
        <f>AND('SPR BARRANQUILLA'!CW9,"AAAAAGfWd8o=")</f>
        <v>#VALUE!</v>
      </c>
      <c r="GV11" t="e">
        <f>AND('SPR BARRANQUILLA'!CX9,"AAAAAGfWd8s=")</f>
        <v>#VALUE!</v>
      </c>
      <c r="GW11" t="e">
        <f>AND('SPR BARRANQUILLA'!CY9,"AAAAAGfWd8w=")</f>
        <v>#VALUE!</v>
      </c>
      <c r="GX11" t="e">
        <f>AND('SPR BARRANQUILLA'!CZ9,"AAAAAGfWd80=")</f>
        <v>#VALUE!</v>
      </c>
      <c r="GY11" t="e">
        <f>AND('SPR BARRANQUILLA'!DA9,"AAAAAGfWd84=")</f>
        <v>#VALUE!</v>
      </c>
      <c r="GZ11" t="e">
        <f>AND('SPR BARRANQUILLA'!DB9,"AAAAAGfWd88=")</f>
        <v>#VALUE!</v>
      </c>
      <c r="HA11" t="e">
        <f>AND('SPR BARRANQUILLA'!DC9,"AAAAAGfWd9A=")</f>
        <v>#VALUE!</v>
      </c>
      <c r="HB11" t="e">
        <f>AND('SPR BARRANQUILLA'!DD9,"AAAAAGfWd9E=")</f>
        <v>#VALUE!</v>
      </c>
      <c r="HC11" t="e">
        <f>AND('SPR BARRANQUILLA'!DE9,"AAAAAGfWd9I=")</f>
        <v>#VALUE!</v>
      </c>
      <c r="HD11" t="e">
        <f>AND('SPR BARRANQUILLA'!DF9,"AAAAAGfWd9M=")</f>
        <v>#VALUE!</v>
      </c>
      <c r="HE11" t="e">
        <f>AND('SPR BARRANQUILLA'!DG9,"AAAAAGfWd9Q=")</f>
        <v>#VALUE!</v>
      </c>
      <c r="HF11" t="e">
        <f>AND('SPR BARRANQUILLA'!DH9,"AAAAAGfWd9U=")</f>
        <v>#VALUE!</v>
      </c>
      <c r="HG11" t="e">
        <f>AND('SPR BARRANQUILLA'!DI9,"AAAAAGfWd9Y=")</f>
        <v>#VALUE!</v>
      </c>
      <c r="HH11" t="e">
        <f>AND('SPR BARRANQUILLA'!DJ9,"AAAAAGfWd9c=")</f>
        <v>#VALUE!</v>
      </c>
      <c r="HI11" t="e">
        <f>AND('SPR BARRANQUILLA'!DK9,"AAAAAGfWd9g=")</f>
        <v>#VALUE!</v>
      </c>
      <c r="HJ11" t="e">
        <f>AND('SPR BARRANQUILLA'!DL9,"AAAAAGfWd9k=")</f>
        <v>#VALUE!</v>
      </c>
      <c r="HK11" t="e">
        <f>AND('SPR BARRANQUILLA'!DM9,"AAAAAGfWd9o=")</f>
        <v>#VALUE!</v>
      </c>
      <c r="HL11" t="e">
        <f>AND('SPR BARRANQUILLA'!DN9,"AAAAAGfWd9s=")</f>
        <v>#VALUE!</v>
      </c>
      <c r="HM11" t="e">
        <f>AND('SPR BARRANQUILLA'!DO9,"AAAAAGfWd9w=")</f>
        <v>#VALUE!</v>
      </c>
      <c r="HN11" t="e">
        <f>AND('SPR BARRANQUILLA'!DP9,"AAAAAGfWd90=")</f>
        <v>#VALUE!</v>
      </c>
      <c r="HO11" t="e">
        <f>AND('SPR BARRANQUILLA'!DQ9,"AAAAAGfWd94=")</f>
        <v>#VALUE!</v>
      </c>
      <c r="HP11" t="e">
        <f>AND('SPR BARRANQUILLA'!DR9,"AAAAAGfWd98=")</f>
        <v>#VALUE!</v>
      </c>
      <c r="HQ11" t="e">
        <f>AND('SPR BARRANQUILLA'!DS9,"AAAAAGfWd+A=")</f>
        <v>#VALUE!</v>
      </c>
      <c r="HR11" t="e">
        <f>AND('SPR BARRANQUILLA'!DT9,"AAAAAGfWd+E=")</f>
        <v>#VALUE!</v>
      </c>
      <c r="HS11" t="e">
        <f>AND('SPR BARRANQUILLA'!DU9,"AAAAAGfWd+I=")</f>
        <v>#VALUE!</v>
      </c>
      <c r="HT11" t="e">
        <f>AND('SPR BARRANQUILLA'!DV9,"AAAAAGfWd+M=")</f>
        <v>#VALUE!</v>
      </c>
      <c r="HU11" t="e">
        <f>AND('SPR BARRANQUILLA'!DW9,"AAAAAGfWd+Q=")</f>
        <v>#VALUE!</v>
      </c>
      <c r="HV11" t="e">
        <f>AND('SPR BARRANQUILLA'!DX9,"AAAAAGfWd+U=")</f>
        <v>#VALUE!</v>
      </c>
      <c r="HW11" t="e">
        <f>AND('SPR BARRANQUILLA'!DY9,"AAAAAGfWd+Y=")</f>
        <v>#VALUE!</v>
      </c>
      <c r="HX11" t="e">
        <f>AND('SPR BARRANQUILLA'!DZ9,"AAAAAGfWd+c=")</f>
        <v>#VALUE!</v>
      </c>
      <c r="HY11" t="e">
        <f>AND('SPR BARRANQUILLA'!EA9,"AAAAAGfWd+g=")</f>
        <v>#VALUE!</v>
      </c>
      <c r="HZ11" t="e">
        <f>AND('SPR BARRANQUILLA'!EB9,"AAAAAGfWd+k=")</f>
        <v>#VALUE!</v>
      </c>
      <c r="IA11" t="e">
        <f>AND('SPR BARRANQUILLA'!EC9,"AAAAAGfWd+o=")</f>
        <v>#VALUE!</v>
      </c>
      <c r="IB11" t="e">
        <f>AND('SPR BARRANQUILLA'!ED9,"AAAAAGfWd+s=")</f>
        <v>#VALUE!</v>
      </c>
      <c r="IC11" t="e">
        <f>AND('SPR BARRANQUILLA'!EE9,"AAAAAGfWd+w=")</f>
        <v>#VALUE!</v>
      </c>
      <c r="ID11" t="e">
        <f>AND('SPR BARRANQUILLA'!EF9,"AAAAAGfWd+0=")</f>
        <v>#VALUE!</v>
      </c>
      <c r="IE11" t="e">
        <f>AND('SPR BARRANQUILLA'!EG9,"AAAAAGfWd+4=")</f>
        <v>#VALUE!</v>
      </c>
      <c r="IF11" t="e">
        <f>AND('SPR BARRANQUILLA'!EH9,"AAAAAGfWd+8=")</f>
        <v>#VALUE!</v>
      </c>
      <c r="IG11" t="e">
        <f>AND('SPR BARRANQUILLA'!EI9,"AAAAAGfWd/A=")</f>
        <v>#VALUE!</v>
      </c>
      <c r="IH11" t="e">
        <f>AND('SPR BARRANQUILLA'!EJ9,"AAAAAGfWd/E=")</f>
        <v>#VALUE!</v>
      </c>
      <c r="II11" t="e">
        <f>AND('SPR BARRANQUILLA'!EK9,"AAAAAGfWd/I=")</f>
        <v>#VALUE!</v>
      </c>
      <c r="IJ11" t="e">
        <f>AND('SPR BARRANQUILLA'!EL9,"AAAAAGfWd/M=")</f>
        <v>#VALUE!</v>
      </c>
      <c r="IK11" t="e">
        <f>AND('SPR BARRANQUILLA'!EM9,"AAAAAGfWd/Q=")</f>
        <v>#VALUE!</v>
      </c>
      <c r="IL11" t="e">
        <f>AND('SPR BARRANQUILLA'!EN9,"AAAAAGfWd/U=")</f>
        <v>#VALUE!</v>
      </c>
      <c r="IM11" t="e">
        <f>AND('SPR BARRANQUILLA'!EO9,"AAAAAGfWd/Y=")</f>
        <v>#VALUE!</v>
      </c>
      <c r="IN11" t="e">
        <f>AND('SPR BARRANQUILLA'!EP9,"AAAAAGfWd/c=")</f>
        <v>#VALUE!</v>
      </c>
      <c r="IO11" t="e">
        <f>AND('SPR BARRANQUILLA'!EQ9,"AAAAAGfWd/g=")</f>
        <v>#VALUE!</v>
      </c>
      <c r="IP11" t="e">
        <f>AND('SPR BARRANQUILLA'!ER9,"AAAAAGfWd/k=")</f>
        <v>#VALUE!</v>
      </c>
      <c r="IQ11" t="e">
        <f>AND('SPR BARRANQUILLA'!ES9,"AAAAAGfWd/o=")</f>
        <v>#VALUE!</v>
      </c>
      <c r="IR11" t="e">
        <f>AND('SPR BARRANQUILLA'!ET9,"AAAAAGfWd/s=")</f>
        <v>#VALUE!</v>
      </c>
      <c r="IS11" t="e">
        <f>AND('SPR BARRANQUILLA'!EU9,"AAAAAGfWd/w=")</f>
        <v>#VALUE!</v>
      </c>
      <c r="IT11" t="e">
        <f>AND('SPR BARRANQUILLA'!EV9,"AAAAAGfWd/0=")</f>
        <v>#VALUE!</v>
      </c>
      <c r="IU11" t="e">
        <f>AND('SPR BARRANQUILLA'!EW9,"AAAAAGfWd/4=")</f>
        <v>#VALUE!</v>
      </c>
      <c r="IV11" t="e">
        <f>AND('SPR BARRANQUILLA'!EX9,"AAAAAGfWd/8=")</f>
        <v>#VALUE!</v>
      </c>
    </row>
    <row r="12" spans="1:256">
      <c r="A12" t="e">
        <f>AND('SPR BARRANQUILLA'!EY9,"AAAAAH77tQA=")</f>
        <v>#VALUE!</v>
      </c>
      <c r="B12" t="e">
        <f>AND('SPR BARRANQUILLA'!EZ9,"AAAAAH77tQE=")</f>
        <v>#VALUE!</v>
      </c>
      <c r="C12" t="e">
        <f>AND('SPR BARRANQUILLA'!FA9,"AAAAAH77tQI=")</f>
        <v>#VALUE!</v>
      </c>
      <c r="D12" t="e">
        <f>AND('SPR BARRANQUILLA'!FB9,"AAAAAH77tQM=")</f>
        <v>#VALUE!</v>
      </c>
      <c r="E12" t="e">
        <f>AND('SPR BARRANQUILLA'!FC9,"AAAAAH77tQQ=")</f>
        <v>#VALUE!</v>
      </c>
      <c r="F12" t="e">
        <f>AND('SPR BARRANQUILLA'!FD9,"AAAAAH77tQU=")</f>
        <v>#VALUE!</v>
      </c>
      <c r="G12" t="e">
        <f>AND('SPR BARRANQUILLA'!FE9,"AAAAAH77tQY=")</f>
        <v>#VALUE!</v>
      </c>
      <c r="H12" t="e">
        <f>AND('SPR BARRANQUILLA'!FF9,"AAAAAH77tQc=")</f>
        <v>#VALUE!</v>
      </c>
      <c r="I12" t="e">
        <f>AND('SPR BARRANQUILLA'!FG9,"AAAAAH77tQg=")</f>
        <v>#VALUE!</v>
      </c>
      <c r="J12" t="e">
        <f>AND('SPR BARRANQUILLA'!FH9,"AAAAAH77tQk=")</f>
        <v>#VALUE!</v>
      </c>
      <c r="K12" t="e">
        <f>AND('SPR BARRANQUILLA'!FI9,"AAAAAH77tQo=")</f>
        <v>#VALUE!</v>
      </c>
      <c r="L12" t="e">
        <f>AND('SPR BARRANQUILLA'!FJ9,"AAAAAH77tQs=")</f>
        <v>#VALUE!</v>
      </c>
      <c r="M12" t="e">
        <f>AND('SPR BARRANQUILLA'!FK9,"AAAAAH77tQw=")</f>
        <v>#VALUE!</v>
      </c>
      <c r="N12" t="e">
        <f>AND('SPR BARRANQUILLA'!FL9,"AAAAAH77tQ0=")</f>
        <v>#VALUE!</v>
      </c>
      <c r="O12" t="e">
        <f>AND('SPR BARRANQUILLA'!FM9,"AAAAAH77tQ4=")</f>
        <v>#VALUE!</v>
      </c>
      <c r="P12" t="e">
        <f>AND('SPR BARRANQUILLA'!FN9,"AAAAAH77tQ8=")</f>
        <v>#VALUE!</v>
      </c>
      <c r="Q12" t="e">
        <f>AND('SPR BARRANQUILLA'!FO9,"AAAAAH77tRA=")</f>
        <v>#VALUE!</v>
      </c>
      <c r="R12" t="e">
        <f>AND('SPR BARRANQUILLA'!FP9,"AAAAAH77tRE=")</f>
        <v>#VALUE!</v>
      </c>
      <c r="S12" t="e">
        <f>AND('SPR BARRANQUILLA'!FQ9,"AAAAAH77tRI=")</f>
        <v>#VALUE!</v>
      </c>
      <c r="T12" t="e">
        <f>AND('SPR BARRANQUILLA'!FR9,"AAAAAH77tRM=")</f>
        <v>#VALUE!</v>
      </c>
      <c r="U12" t="e">
        <f>AND('SPR BARRANQUILLA'!FS9,"AAAAAH77tRQ=")</f>
        <v>#VALUE!</v>
      </c>
      <c r="V12" t="e">
        <f>AND('SPR BARRANQUILLA'!FT9,"AAAAAH77tRU=")</f>
        <v>#VALUE!</v>
      </c>
      <c r="W12" t="e">
        <f>AND('SPR BARRANQUILLA'!FU9,"AAAAAH77tRY=")</f>
        <v>#VALUE!</v>
      </c>
      <c r="X12" t="e">
        <f>AND('SPR BARRANQUILLA'!FV9,"AAAAAH77tRc=")</f>
        <v>#VALUE!</v>
      </c>
      <c r="Y12" t="e">
        <f>AND('SPR BARRANQUILLA'!FW9,"AAAAAH77tRg=")</f>
        <v>#VALUE!</v>
      </c>
      <c r="Z12" t="e">
        <f>AND('SPR BARRANQUILLA'!FX9,"AAAAAH77tRk=")</f>
        <v>#VALUE!</v>
      </c>
      <c r="AA12" t="e">
        <f>AND('SPR BARRANQUILLA'!FY9,"AAAAAH77tRo=")</f>
        <v>#VALUE!</v>
      </c>
      <c r="AB12" t="e">
        <f>AND('SPR BARRANQUILLA'!FZ9,"AAAAAH77tRs=")</f>
        <v>#VALUE!</v>
      </c>
      <c r="AC12" t="e">
        <f>AND('SPR BARRANQUILLA'!GA9,"AAAAAH77tRw=")</f>
        <v>#VALUE!</v>
      </c>
      <c r="AD12" t="e">
        <f>AND('SPR BARRANQUILLA'!GB9,"AAAAAH77tR0=")</f>
        <v>#VALUE!</v>
      </c>
      <c r="AE12" t="e">
        <f>AND('SPR BARRANQUILLA'!GC9,"AAAAAH77tR4=")</f>
        <v>#VALUE!</v>
      </c>
      <c r="AF12" t="e">
        <f>AND('SPR BARRANQUILLA'!GD9,"AAAAAH77tR8=")</f>
        <v>#VALUE!</v>
      </c>
      <c r="AG12" t="e">
        <f>AND('SPR BARRANQUILLA'!GE9,"AAAAAH77tSA=")</f>
        <v>#VALUE!</v>
      </c>
      <c r="AH12" t="e">
        <f>AND('SPR BARRANQUILLA'!GF9,"AAAAAH77tSE=")</f>
        <v>#VALUE!</v>
      </c>
      <c r="AI12" t="e">
        <f>AND('SPR BARRANQUILLA'!GG9,"AAAAAH77tSI=")</f>
        <v>#VALUE!</v>
      </c>
      <c r="AJ12" t="e">
        <f>AND('SPR BARRANQUILLA'!GH9,"AAAAAH77tSM=")</f>
        <v>#VALUE!</v>
      </c>
      <c r="AK12" t="e">
        <f>AND('SPR BARRANQUILLA'!GI9,"AAAAAH77tSQ=")</f>
        <v>#VALUE!</v>
      </c>
      <c r="AL12" t="e">
        <f>AND('SPR BARRANQUILLA'!GJ9,"AAAAAH77tSU=")</f>
        <v>#VALUE!</v>
      </c>
      <c r="AM12" t="e">
        <f>AND('SPR BARRANQUILLA'!GK9,"AAAAAH77tSY=")</f>
        <v>#VALUE!</v>
      </c>
      <c r="AN12" t="e">
        <f>AND('SPR BARRANQUILLA'!GL9,"AAAAAH77tSc=")</f>
        <v>#VALUE!</v>
      </c>
      <c r="AO12" t="e">
        <f>AND('SPR BARRANQUILLA'!GM9,"AAAAAH77tSg=")</f>
        <v>#VALUE!</v>
      </c>
      <c r="AP12" t="e">
        <f>AND('SPR BARRANQUILLA'!GN9,"AAAAAH77tSk=")</f>
        <v>#VALUE!</v>
      </c>
      <c r="AQ12" t="e">
        <f>AND('SPR BARRANQUILLA'!GO9,"AAAAAH77tSo=")</f>
        <v>#VALUE!</v>
      </c>
      <c r="AR12" t="e">
        <f>AND('SPR BARRANQUILLA'!GP9,"AAAAAH77tSs=")</f>
        <v>#VALUE!</v>
      </c>
      <c r="AS12" t="e">
        <f>AND('SPR BARRANQUILLA'!GQ9,"AAAAAH77tSw=")</f>
        <v>#VALUE!</v>
      </c>
      <c r="AT12" t="e">
        <f>AND('SPR BARRANQUILLA'!GR9,"AAAAAH77tS0=")</f>
        <v>#VALUE!</v>
      </c>
      <c r="AU12" t="e">
        <f>AND('SPR BARRANQUILLA'!GS9,"AAAAAH77tS4=")</f>
        <v>#VALUE!</v>
      </c>
      <c r="AV12" t="e">
        <f>AND('SPR BARRANQUILLA'!GT9,"AAAAAH77tS8=")</f>
        <v>#VALUE!</v>
      </c>
      <c r="AW12" t="e">
        <f>AND('SPR BARRANQUILLA'!GU9,"AAAAAH77tTA=")</f>
        <v>#VALUE!</v>
      </c>
      <c r="AX12" t="e">
        <f>AND('SPR BARRANQUILLA'!GV9,"AAAAAH77tTE=")</f>
        <v>#VALUE!</v>
      </c>
      <c r="AY12" t="e">
        <f>AND('SPR BARRANQUILLA'!GW9,"AAAAAH77tTI=")</f>
        <v>#VALUE!</v>
      </c>
      <c r="AZ12" t="e">
        <f>AND('SPR BARRANQUILLA'!GX9,"AAAAAH77tTM=")</f>
        <v>#VALUE!</v>
      </c>
      <c r="BA12" t="e">
        <f>AND('SPR BARRANQUILLA'!GY9,"AAAAAH77tTQ=")</f>
        <v>#VALUE!</v>
      </c>
      <c r="BB12">
        <f>IF('SPR BARRANQUILLA'!10:10,"AAAAAH77tTU=",0)</f>
        <v>0</v>
      </c>
      <c r="BC12" t="e">
        <f>AND('SPR BARRANQUILLA'!A10,"AAAAAH77tTY=")</f>
        <v>#VALUE!</v>
      </c>
      <c r="BD12" t="e">
        <f>AND('SPR BARRANQUILLA'!B10,"AAAAAH77tTc=")</f>
        <v>#VALUE!</v>
      </c>
      <c r="BE12" t="e">
        <f>AND('SPR BARRANQUILLA'!C10,"AAAAAH77tTg=")</f>
        <v>#VALUE!</v>
      </c>
      <c r="BF12" t="e">
        <f>AND('SPR BARRANQUILLA'!D10,"AAAAAH77tTk=")</f>
        <v>#VALUE!</v>
      </c>
      <c r="BG12" t="e">
        <f>AND('SPR BARRANQUILLA'!E10,"AAAAAH77tTo=")</f>
        <v>#VALUE!</v>
      </c>
      <c r="BH12" t="e">
        <f>AND('SPR BARRANQUILLA'!F10,"AAAAAH77tTs=")</f>
        <v>#VALUE!</v>
      </c>
      <c r="BI12" t="e">
        <f>AND('SPR BARRANQUILLA'!G10,"AAAAAH77tTw=")</f>
        <v>#VALUE!</v>
      </c>
      <c r="BJ12" t="e">
        <f>AND('SPR BARRANQUILLA'!H10,"AAAAAH77tT0=")</f>
        <v>#VALUE!</v>
      </c>
      <c r="BK12" t="e">
        <f>AND('SPR BARRANQUILLA'!I10,"AAAAAH77tT4=")</f>
        <v>#VALUE!</v>
      </c>
      <c r="BL12" t="e">
        <f>AND('SPR BARRANQUILLA'!J10,"AAAAAH77tT8=")</f>
        <v>#VALUE!</v>
      </c>
      <c r="BM12" t="e">
        <f>AND('SPR BARRANQUILLA'!K10,"AAAAAH77tUA=")</f>
        <v>#VALUE!</v>
      </c>
      <c r="BN12" t="e">
        <f>AND('SPR BARRANQUILLA'!L10,"AAAAAH77tUE=")</f>
        <v>#VALUE!</v>
      </c>
      <c r="BO12" t="e">
        <f>AND('SPR BARRANQUILLA'!M10,"AAAAAH77tUI=")</f>
        <v>#VALUE!</v>
      </c>
      <c r="BP12" t="e">
        <f>AND('SPR BARRANQUILLA'!N10,"AAAAAH77tUM=")</f>
        <v>#VALUE!</v>
      </c>
      <c r="BQ12" t="e">
        <f>AND('SPR BARRANQUILLA'!O10,"AAAAAH77tUQ=")</f>
        <v>#VALUE!</v>
      </c>
      <c r="BR12" t="e">
        <f>AND('SPR BARRANQUILLA'!P10,"AAAAAH77tUU=")</f>
        <v>#VALUE!</v>
      </c>
      <c r="BS12" t="e">
        <f>AND('SPR BARRANQUILLA'!Q10,"AAAAAH77tUY=")</f>
        <v>#VALUE!</v>
      </c>
      <c r="BT12" t="e">
        <f>AND('SPR BARRANQUILLA'!R10,"AAAAAH77tUc=")</f>
        <v>#VALUE!</v>
      </c>
      <c r="BU12" t="e">
        <f>AND('SPR BARRANQUILLA'!S10,"AAAAAH77tUg=")</f>
        <v>#VALUE!</v>
      </c>
      <c r="BV12" t="e">
        <f>AND('SPR BARRANQUILLA'!T10,"AAAAAH77tUk=")</f>
        <v>#VALUE!</v>
      </c>
      <c r="BW12" t="e">
        <f>AND('SPR BARRANQUILLA'!U10,"AAAAAH77tUo=")</f>
        <v>#VALUE!</v>
      </c>
      <c r="BX12" t="e">
        <f>AND('SPR BARRANQUILLA'!V10,"AAAAAH77tUs=")</f>
        <v>#VALUE!</v>
      </c>
      <c r="BY12" t="e">
        <f>AND('SPR BARRANQUILLA'!W10,"AAAAAH77tUw=")</f>
        <v>#VALUE!</v>
      </c>
      <c r="BZ12" t="e">
        <f>AND('SPR BARRANQUILLA'!X10,"AAAAAH77tU0=")</f>
        <v>#VALUE!</v>
      </c>
      <c r="CA12" t="e">
        <f>AND('SPR BARRANQUILLA'!Y10,"AAAAAH77tU4=")</f>
        <v>#VALUE!</v>
      </c>
      <c r="CB12" t="e">
        <f>AND('SPR BARRANQUILLA'!Z10,"AAAAAH77tU8=")</f>
        <v>#VALUE!</v>
      </c>
      <c r="CC12" t="e">
        <f>AND('SPR BARRANQUILLA'!AA10,"AAAAAH77tVA=")</f>
        <v>#VALUE!</v>
      </c>
      <c r="CD12" t="e">
        <f>AND('SPR BARRANQUILLA'!AB10,"AAAAAH77tVE=")</f>
        <v>#VALUE!</v>
      </c>
      <c r="CE12" t="e">
        <f>AND('SPR BARRANQUILLA'!AC10,"AAAAAH77tVI=")</f>
        <v>#VALUE!</v>
      </c>
      <c r="CF12" t="e">
        <f>AND('SPR BARRANQUILLA'!AD10,"AAAAAH77tVM=")</f>
        <v>#VALUE!</v>
      </c>
      <c r="CG12" t="e">
        <f>AND('SPR BARRANQUILLA'!AE10,"AAAAAH77tVQ=")</f>
        <v>#VALUE!</v>
      </c>
      <c r="CH12" t="e">
        <f>AND('SPR BARRANQUILLA'!AF10,"AAAAAH77tVU=")</f>
        <v>#VALUE!</v>
      </c>
      <c r="CI12" t="e">
        <f>AND('SPR BARRANQUILLA'!AG10,"AAAAAH77tVY=")</f>
        <v>#VALUE!</v>
      </c>
      <c r="CJ12" t="e">
        <f>AND('SPR BARRANQUILLA'!AH10,"AAAAAH77tVc=")</f>
        <v>#VALUE!</v>
      </c>
      <c r="CK12" t="e">
        <f>AND('SPR BARRANQUILLA'!AI10,"AAAAAH77tVg=")</f>
        <v>#VALUE!</v>
      </c>
      <c r="CL12" t="e">
        <f>AND('SPR BARRANQUILLA'!AJ10,"AAAAAH77tVk=")</f>
        <v>#VALUE!</v>
      </c>
      <c r="CM12" t="e">
        <f>AND('SPR BARRANQUILLA'!AK10,"AAAAAH77tVo=")</f>
        <v>#VALUE!</v>
      </c>
      <c r="CN12" t="e">
        <f>AND('SPR BARRANQUILLA'!AL10,"AAAAAH77tVs=")</f>
        <v>#VALUE!</v>
      </c>
      <c r="CO12" t="e">
        <f>AND('SPR BARRANQUILLA'!AM10,"AAAAAH77tVw=")</f>
        <v>#VALUE!</v>
      </c>
      <c r="CP12" t="e">
        <f>AND('SPR BARRANQUILLA'!AN10,"AAAAAH77tV0=")</f>
        <v>#VALUE!</v>
      </c>
      <c r="CQ12" t="e">
        <f>AND('SPR BARRANQUILLA'!AO10,"AAAAAH77tV4=")</f>
        <v>#VALUE!</v>
      </c>
      <c r="CR12" t="e">
        <f>AND('SPR BARRANQUILLA'!AP10,"AAAAAH77tV8=")</f>
        <v>#VALUE!</v>
      </c>
      <c r="CS12" t="e">
        <f>AND('SPR BARRANQUILLA'!AQ10,"AAAAAH77tWA=")</f>
        <v>#VALUE!</v>
      </c>
      <c r="CT12" t="e">
        <f>AND('SPR BARRANQUILLA'!AR10,"AAAAAH77tWE=")</f>
        <v>#VALUE!</v>
      </c>
      <c r="CU12" t="e">
        <f>AND('SPR BARRANQUILLA'!AS10,"AAAAAH77tWI=")</f>
        <v>#VALUE!</v>
      </c>
      <c r="CV12" t="e">
        <f>AND('SPR BARRANQUILLA'!AT10,"AAAAAH77tWM=")</f>
        <v>#VALUE!</v>
      </c>
      <c r="CW12" t="e">
        <f>AND('SPR BARRANQUILLA'!AU10,"AAAAAH77tWQ=")</f>
        <v>#VALUE!</v>
      </c>
      <c r="CX12" t="e">
        <f>AND('SPR BARRANQUILLA'!AV10,"AAAAAH77tWU=")</f>
        <v>#VALUE!</v>
      </c>
      <c r="CY12" t="e">
        <f>AND('SPR BARRANQUILLA'!AW10,"AAAAAH77tWY=")</f>
        <v>#VALUE!</v>
      </c>
      <c r="CZ12" t="e">
        <f>AND('SPR BARRANQUILLA'!AX10,"AAAAAH77tWc=")</f>
        <v>#VALUE!</v>
      </c>
      <c r="DA12" t="e">
        <f>AND('SPR BARRANQUILLA'!AY10,"AAAAAH77tWg=")</f>
        <v>#VALUE!</v>
      </c>
      <c r="DB12" t="e">
        <f>AND('SPR BARRANQUILLA'!AZ10,"AAAAAH77tWk=")</f>
        <v>#VALUE!</v>
      </c>
      <c r="DC12" t="e">
        <f>AND('SPR BARRANQUILLA'!BA10,"AAAAAH77tWo=")</f>
        <v>#VALUE!</v>
      </c>
      <c r="DD12" t="e">
        <f>AND('SPR BARRANQUILLA'!BB10,"AAAAAH77tWs=")</f>
        <v>#VALUE!</v>
      </c>
      <c r="DE12" t="e">
        <f>AND('SPR BARRANQUILLA'!BC10,"AAAAAH77tWw=")</f>
        <v>#VALUE!</v>
      </c>
      <c r="DF12" t="e">
        <f>AND('SPR BARRANQUILLA'!BD10,"AAAAAH77tW0=")</f>
        <v>#VALUE!</v>
      </c>
      <c r="DG12" t="e">
        <f>AND('SPR BARRANQUILLA'!BE10,"AAAAAH77tW4=")</f>
        <v>#VALUE!</v>
      </c>
      <c r="DH12" t="e">
        <f>AND('SPR BARRANQUILLA'!BF10,"AAAAAH77tW8=")</f>
        <v>#VALUE!</v>
      </c>
      <c r="DI12" t="e">
        <f>AND('SPR BARRANQUILLA'!BG10,"AAAAAH77tXA=")</f>
        <v>#VALUE!</v>
      </c>
      <c r="DJ12" t="e">
        <f>AND('SPR BARRANQUILLA'!BH10,"AAAAAH77tXE=")</f>
        <v>#VALUE!</v>
      </c>
      <c r="DK12" t="e">
        <f>AND('SPR BARRANQUILLA'!BI10,"AAAAAH77tXI=")</f>
        <v>#VALUE!</v>
      </c>
      <c r="DL12" t="e">
        <f>AND('SPR BARRANQUILLA'!BJ10,"AAAAAH77tXM=")</f>
        <v>#VALUE!</v>
      </c>
      <c r="DM12" t="e">
        <f>AND('SPR BARRANQUILLA'!BK10,"AAAAAH77tXQ=")</f>
        <v>#VALUE!</v>
      </c>
      <c r="DN12" t="e">
        <f>AND('SPR BARRANQUILLA'!BL10,"AAAAAH77tXU=")</f>
        <v>#VALUE!</v>
      </c>
      <c r="DO12" t="e">
        <f>AND('SPR BARRANQUILLA'!BM10,"AAAAAH77tXY=")</f>
        <v>#VALUE!</v>
      </c>
      <c r="DP12" t="e">
        <f>AND('SPR BARRANQUILLA'!BN10,"AAAAAH77tXc=")</f>
        <v>#VALUE!</v>
      </c>
      <c r="DQ12" t="e">
        <f>AND('SPR BARRANQUILLA'!BO10,"AAAAAH77tXg=")</f>
        <v>#VALUE!</v>
      </c>
      <c r="DR12" t="e">
        <f>AND('SPR BARRANQUILLA'!BP10,"AAAAAH77tXk=")</f>
        <v>#VALUE!</v>
      </c>
      <c r="DS12" t="e">
        <f>AND('SPR BARRANQUILLA'!BQ10,"AAAAAH77tXo=")</f>
        <v>#VALUE!</v>
      </c>
      <c r="DT12" t="e">
        <f>AND('SPR BARRANQUILLA'!BR10,"AAAAAH77tXs=")</f>
        <v>#VALUE!</v>
      </c>
      <c r="DU12" t="e">
        <f>AND('SPR BARRANQUILLA'!BS10,"AAAAAH77tXw=")</f>
        <v>#VALUE!</v>
      </c>
      <c r="DV12" t="e">
        <f>AND('SPR BARRANQUILLA'!BT10,"AAAAAH77tX0=")</f>
        <v>#VALUE!</v>
      </c>
      <c r="DW12" t="e">
        <f>AND('SPR BARRANQUILLA'!BU10,"AAAAAH77tX4=")</f>
        <v>#VALUE!</v>
      </c>
      <c r="DX12" t="e">
        <f>AND('SPR BARRANQUILLA'!BV10,"AAAAAH77tX8=")</f>
        <v>#VALUE!</v>
      </c>
      <c r="DY12" t="e">
        <f>AND('SPR BARRANQUILLA'!BW10,"AAAAAH77tYA=")</f>
        <v>#VALUE!</v>
      </c>
      <c r="DZ12" t="e">
        <f>AND('SPR BARRANQUILLA'!BX10,"AAAAAH77tYE=")</f>
        <v>#VALUE!</v>
      </c>
      <c r="EA12" t="e">
        <f>AND('SPR BARRANQUILLA'!BY10,"AAAAAH77tYI=")</f>
        <v>#VALUE!</v>
      </c>
      <c r="EB12" t="e">
        <f>AND('SPR BARRANQUILLA'!BZ10,"AAAAAH77tYM=")</f>
        <v>#VALUE!</v>
      </c>
      <c r="EC12" t="e">
        <f>AND('SPR BARRANQUILLA'!CA10,"AAAAAH77tYQ=")</f>
        <v>#VALUE!</v>
      </c>
      <c r="ED12" t="e">
        <f>AND('SPR BARRANQUILLA'!CB10,"AAAAAH77tYU=")</f>
        <v>#VALUE!</v>
      </c>
      <c r="EE12" t="e">
        <f>AND('SPR BARRANQUILLA'!CC10,"AAAAAH77tYY=")</f>
        <v>#VALUE!</v>
      </c>
      <c r="EF12" t="e">
        <f>AND('SPR BARRANQUILLA'!CD10,"AAAAAH77tYc=")</f>
        <v>#VALUE!</v>
      </c>
      <c r="EG12" t="e">
        <f>AND('SPR BARRANQUILLA'!CE10,"AAAAAH77tYg=")</f>
        <v>#VALUE!</v>
      </c>
      <c r="EH12" t="e">
        <f>AND('SPR BARRANQUILLA'!CF10,"AAAAAH77tYk=")</f>
        <v>#VALUE!</v>
      </c>
      <c r="EI12" t="e">
        <f>AND('SPR BARRANQUILLA'!CG10,"AAAAAH77tYo=")</f>
        <v>#VALUE!</v>
      </c>
      <c r="EJ12" t="e">
        <f>AND('SPR BARRANQUILLA'!CH10,"AAAAAH77tYs=")</f>
        <v>#VALUE!</v>
      </c>
      <c r="EK12" t="e">
        <f>AND('SPR BARRANQUILLA'!CI10,"AAAAAH77tYw=")</f>
        <v>#VALUE!</v>
      </c>
      <c r="EL12" t="e">
        <f>AND('SPR BARRANQUILLA'!CJ10,"AAAAAH77tY0=")</f>
        <v>#VALUE!</v>
      </c>
      <c r="EM12" t="e">
        <f>AND('SPR BARRANQUILLA'!CK10,"AAAAAH77tY4=")</f>
        <v>#VALUE!</v>
      </c>
      <c r="EN12" t="e">
        <f>AND('SPR BARRANQUILLA'!CL10,"AAAAAH77tY8=")</f>
        <v>#VALUE!</v>
      </c>
      <c r="EO12" t="e">
        <f>AND('SPR BARRANQUILLA'!CM10,"AAAAAH77tZA=")</f>
        <v>#VALUE!</v>
      </c>
      <c r="EP12" t="e">
        <f>AND('SPR BARRANQUILLA'!CN10,"AAAAAH77tZE=")</f>
        <v>#VALUE!</v>
      </c>
      <c r="EQ12" t="e">
        <f>AND('SPR BARRANQUILLA'!CO10,"AAAAAH77tZI=")</f>
        <v>#VALUE!</v>
      </c>
      <c r="ER12" t="e">
        <f>AND('SPR BARRANQUILLA'!CP10,"AAAAAH77tZM=")</f>
        <v>#VALUE!</v>
      </c>
      <c r="ES12" t="e">
        <f>AND('SPR BARRANQUILLA'!CQ10,"AAAAAH77tZQ=")</f>
        <v>#VALUE!</v>
      </c>
      <c r="ET12" t="e">
        <f>AND('SPR BARRANQUILLA'!CR10,"AAAAAH77tZU=")</f>
        <v>#VALUE!</v>
      </c>
      <c r="EU12" t="e">
        <f>AND('SPR BARRANQUILLA'!CS10,"AAAAAH77tZY=")</f>
        <v>#VALUE!</v>
      </c>
      <c r="EV12" t="e">
        <f>AND('SPR BARRANQUILLA'!CT10,"AAAAAH77tZc=")</f>
        <v>#VALUE!</v>
      </c>
      <c r="EW12" t="e">
        <f>AND('SPR BARRANQUILLA'!CU10,"AAAAAH77tZg=")</f>
        <v>#VALUE!</v>
      </c>
      <c r="EX12" t="e">
        <f>AND('SPR BARRANQUILLA'!CV10,"AAAAAH77tZk=")</f>
        <v>#VALUE!</v>
      </c>
      <c r="EY12" t="e">
        <f>AND('SPR BARRANQUILLA'!CW10,"AAAAAH77tZo=")</f>
        <v>#VALUE!</v>
      </c>
      <c r="EZ12" t="e">
        <f>AND('SPR BARRANQUILLA'!CX10,"AAAAAH77tZs=")</f>
        <v>#VALUE!</v>
      </c>
      <c r="FA12" t="e">
        <f>AND('SPR BARRANQUILLA'!CY10,"AAAAAH77tZw=")</f>
        <v>#VALUE!</v>
      </c>
      <c r="FB12" t="e">
        <f>AND('SPR BARRANQUILLA'!CZ10,"AAAAAH77tZ0=")</f>
        <v>#VALUE!</v>
      </c>
      <c r="FC12" t="e">
        <f>AND('SPR BARRANQUILLA'!DA10,"AAAAAH77tZ4=")</f>
        <v>#VALUE!</v>
      </c>
      <c r="FD12" t="e">
        <f>AND('SPR BARRANQUILLA'!DB10,"AAAAAH77tZ8=")</f>
        <v>#VALUE!</v>
      </c>
      <c r="FE12" t="e">
        <f>AND('SPR BARRANQUILLA'!DC10,"AAAAAH77taA=")</f>
        <v>#VALUE!</v>
      </c>
      <c r="FF12" t="e">
        <f>AND('SPR BARRANQUILLA'!DD10,"AAAAAH77taE=")</f>
        <v>#VALUE!</v>
      </c>
      <c r="FG12" t="e">
        <f>AND('SPR BARRANQUILLA'!DE10,"AAAAAH77taI=")</f>
        <v>#VALUE!</v>
      </c>
      <c r="FH12" t="e">
        <f>AND('SPR BARRANQUILLA'!DF10,"AAAAAH77taM=")</f>
        <v>#VALUE!</v>
      </c>
      <c r="FI12" t="e">
        <f>AND('SPR BARRANQUILLA'!DG10,"AAAAAH77taQ=")</f>
        <v>#VALUE!</v>
      </c>
      <c r="FJ12" t="e">
        <f>AND('SPR BARRANQUILLA'!DH10,"AAAAAH77taU=")</f>
        <v>#VALUE!</v>
      </c>
      <c r="FK12" t="e">
        <f>AND('SPR BARRANQUILLA'!DI10,"AAAAAH77taY=")</f>
        <v>#VALUE!</v>
      </c>
      <c r="FL12" t="e">
        <f>AND('SPR BARRANQUILLA'!DJ10,"AAAAAH77tac=")</f>
        <v>#VALUE!</v>
      </c>
      <c r="FM12" t="e">
        <f>AND('SPR BARRANQUILLA'!DK10,"AAAAAH77tag=")</f>
        <v>#VALUE!</v>
      </c>
      <c r="FN12" t="e">
        <f>AND('SPR BARRANQUILLA'!DL10,"AAAAAH77tak=")</f>
        <v>#VALUE!</v>
      </c>
      <c r="FO12" t="e">
        <f>AND('SPR BARRANQUILLA'!DM10,"AAAAAH77tao=")</f>
        <v>#VALUE!</v>
      </c>
      <c r="FP12" t="e">
        <f>AND('SPR BARRANQUILLA'!DN10,"AAAAAH77tas=")</f>
        <v>#VALUE!</v>
      </c>
      <c r="FQ12" t="e">
        <f>AND('SPR BARRANQUILLA'!DO10,"AAAAAH77taw=")</f>
        <v>#VALUE!</v>
      </c>
      <c r="FR12" t="e">
        <f>AND('SPR BARRANQUILLA'!DP10,"AAAAAH77ta0=")</f>
        <v>#VALUE!</v>
      </c>
      <c r="FS12" t="e">
        <f>AND('SPR BARRANQUILLA'!DQ10,"AAAAAH77ta4=")</f>
        <v>#VALUE!</v>
      </c>
      <c r="FT12" t="e">
        <f>AND('SPR BARRANQUILLA'!DR10,"AAAAAH77ta8=")</f>
        <v>#VALUE!</v>
      </c>
      <c r="FU12" t="e">
        <f>AND('SPR BARRANQUILLA'!DS10,"AAAAAH77tbA=")</f>
        <v>#VALUE!</v>
      </c>
      <c r="FV12" t="e">
        <f>AND('SPR BARRANQUILLA'!DT10,"AAAAAH77tbE=")</f>
        <v>#VALUE!</v>
      </c>
      <c r="FW12" t="e">
        <f>AND('SPR BARRANQUILLA'!DU10,"AAAAAH77tbI=")</f>
        <v>#VALUE!</v>
      </c>
      <c r="FX12" t="e">
        <f>AND('SPR BARRANQUILLA'!DV10,"AAAAAH77tbM=")</f>
        <v>#VALUE!</v>
      </c>
      <c r="FY12" t="e">
        <f>AND('SPR BARRANQUILLA'!DW10,"AAAAAH77tbQ=")</f>
        <v>#VALUE!</v>
      </c>
      <c r="FZ12" t="e">
        <f>AND('SPR BARRANQUILLA'!DX10,"AAAAAH77tbU=")</f>
        <v>#VALUE!</v>
      </c>
      <c r="GA12" t="e">
        <f>AND('SPR BARRANQUILLA'!DY10,"AAAAAH77tbY=")</f>
        <v>#VALUE!</v>
      </c>
      <c r="GB12" t="e">
        <f>AND('SPR BARRANQUILLA'!DZ10,"AAAAAH77tbc=")</f>
        <v>#VALUE!</v>
      </c>
      <c r="GC12" t="e">
        <f>AND('SPR BARRANQUILLA'!EA10,"AAAAAH77tbg=")</f>
        <v>#VALUE!</v>
      </c>
      <c r="GD12" t="e">
        <f>AND('SPR BARRANQUILLA'!EB10,"AAAAAH77tbk=")</f>
        <v>#VALUE!</v>
      </c>
      <c r="GE12" t="e">
        <f>AND('SPR BARRANQUILLA'!EC10,"AAAAAH77tbo=")</f>
        <v>#VALUE!</v>
      </c>
      <c r="GF12" t="e">
        <f>AND('SPR BARRANQUILLA'!ED10,"AAAAAH77tbs=")</f>
        <v>#VALUE!</v>
      </c>
      <c r="GG12" t="e">
        <f>AND('SPR BARRANQUILLA'!EE10,"AAAAAH77tbw=")</f>
        <v>#VALUE!</v>
      </c>
      <c r="GH12" t="e">
        <f>AND('SPR BARRANQUILLA'!EF10,"AAAAAH77tb0=")</f>
        <v>#VALUE!</v>
      </c>
      <c r="GI12" t="e">
        <f>AND('SPR BARRANQUILLA'!EG10,"AAAAAH77tb4=")</f>
        <v>#VALUE!</v>
      </c>
      <c r="GJ12" t="e">
        <f>AND('SPR BARRANQUILLA'!EH10,"AAAAAH77tb8=")</f>
        <v>#VALUE!</v>
      </c>
      <c r="GK12" t="e">
        <f>AND('SPR BARRANQUILLA'!EI10,"AAAAAH77tcA=")</f>
        <v>#VALUE!</v>
      </c>
      <c r="GL12" t="e">
        <f>AND('SPR BARRANQUILLA'!EJ10,"AAAAAH77tcE=")</f>
        <v>#VALUE!</v>
      </c>
      <c r="GM12" t="e">
        <f>AND('SPR BARRANQUILLA'!EK10,"AAAAAH77tcI=")</f>
        <v>#VALUE!</v>
      </c>
      <c r="GN12" t="e">
        <f>AND('SPR BARRANQUILLA'!EL10,"AAAAAH77tcM=")</f>
        <v>#VALUE!</v>
      </c>
      <c r="GO12" t="e">
        <f>AND('SPR BARRANQUILLA'!EM10,"AAAAAH77tcQ=")</f>
        <v>#VALUE!</v>
      </c>
      <c r="GP12" t="e">
        <f>AND('SPR BARRANQUILLA'!EN10,"AAAAAH77tcU=")</f>
        <v>#VALUE!</v>
      </c>
      <c r="GQ12" t="e">
        <f>AND('SPR BARRANQUILLA'!EO10,"AAAAAH77tcY=")</f>
        <v>#VALUE!</v>
      </c>
      <c r="GR12" t="e">
        <f>AND('SPR BARRANQUILLA'!EP10,"AAAAAH77tcc=")</f>
        <v>#VALUE!</v>
      </c>
      <c r="GS12" t="e">
        <f>AND('SPR BARRANQUILLA'!EQ10,"AAAAAH77tcg=")</f>
        <v>#VALUE!</v>
      </c>
      <c r="GT12" t="e">
        <f>AND('SPR BARRANQUILLA'!ER10,"AAAAAH77tck=")</f>
        <v>#VALUE!</v>
      </c>
      <c r="GU12" t="e">
        <f>AND('SPR BARRANQUILLA'!ES10,"AAAAAH77tco=")</f>
        <v>#VALUE!</v>
      </c>
      <c r="GV12" t="e">
        <f>AND('SPR BARRANQUILLA'!ET10,"AAAAAH77tcs=")</f>
        <v>#VALUE!</v>
      </c>
      <c r="GW12" t="e">
        <f>AND('SPR BARRANQUILLA'!EU10,"AAAAAH77tcw=")</f>
        <v>#VALUE!</v>
      </c>
      <c r="GX12" t="e">
        <f>AND('SPR BARRANQUILLA'!EV10,"AAAAAH77tc0=")</f>
        <v>#VALUE!</v>
      </c>
      <c r="GY12" t="e">
        <f>AND('SPR BARRANQUILLA'!EW10,"AAAAAH77tc4=")</f>
        <v>#VALUE!</v>
      </c>
      <c r="GZ12" t="e">
        <f>AND('SPR BARRANQUILLA'!EX10,"AAAAAH77tc8=")</f>
        <v>#VALUE!</v>
      </c>
      <c r="HA12" t="e">
        <f>AND('SPR BARRANQUILLA'!EY10,"AAAAAH77tdA=")</f>
        <v>#VALUE!</v>
      </c>
      <c r="HB12" t="e">
        <f>AND('SPR BARRANQUILLA'!EZ10,"AAAAAH77tdE=")</f>
        <v>#VALUE!</v>
      </c>
      <c r="HC12" t="e">
        <f>AND('SPR BARRANQUILLA'!FA10,"AAAAAH77tdI=")</f>
        <v>#VALUE!</v>
      </c>
      <c r="HD12" t="e">
        <f>AND('SPR BARRANQUILLA'!FB10,"AAAAAH77tdM=")</f>
        <v>#VALUE!</v>
      </c>
      <c r="HE12" t="e">
        <f>AND('SPR BARRANQUILLA'!FC10,"AAAAAH77tdQ=")</f>
        <v>#VALUE!</v>
      </c>
      <c r="HF12" t="e">
        <f>AND('SPR BARRANQUILLA'!FD10,"AAAAAH77tdU=")</f>
        <v>#VALUE!</v>
      </c>
      <c r="HG12" t="e">
        <f>AND('SPR BARRANQUILLA'!FE10,"AAAAAH77tdY=")</f>
        <v>#VALUE!</v>
      </c>
      <c r="HH12" t="e">
        <f>AND('SPR BARRANQUILLA'!FF10,"AAAAAH77tdc=")</f>
        <v>#VALUE!</v>
      </c>
      <c r="HI12" t="e">
        <f>AND('SPR BARRANQUILLA'!FG10,"AAAAAH77tdg=")</f>
        <v>#VALUE!</v>
      </c>
      <c r="HJ12" t="e">
        <f>AND('SPR BARRANQUILLA'!FH10,"AAAAAH77tdk=")</f>
        <v>#VALUE!</v>
      </c>
      <c r="HK12" t="e">
        <f>AND('SPR BARRANQUILLA'!FI10,"AAAAAH77tdo=")</f>
        <v>#VALUE!</v>
      </c>
      <c r="HL12" t="e">
        <f>AND('SPR BARRANQUILLA'!FJ10,"AAAAAH77tds=")</f>
        <v>#VALUE!</v>
      </c>
      <c r="HM12" t="e">
        <f>AND('SPR BARRANQUILLA'!FK10,"AAAAAH77tdw=")</f>
        <v>#VALUE!</v>
      </c>
      <c r="HN12" t="e">
        <f>AND('SPR BARRANQUILLA'!FL10,"AAAAAH77td0=")</f>
        <v>#VALUE!</v>
      </c>
      <c r="HO12" t="e">
        <f>AND('SPR BARRANQUILLA'!FM10,"AAAAAH77td4=")</f>
        <v>#VALUE!</v>
      </c>
      <c r="HP12" t="e">
        <f>AND('SPR BARRANQUILLA'!FN10,"AAAAAH77td8=")</f>
        <v>#VALUE!</v>
      </c>
      <c r="HQ12" t="e">
        <f>AND('SPR BARRANQUILLA'!FO10,"AAAAAH77teA=")</f>
        <v>#VALUE!</v>
      </c>
      <c r="HR12" t="e">
        <f>AND('SPR BARRANQUILLA'!FP10,"AAAAAH77teE=")</f>
        <v>#VALUE!</v>
      </c>
      <c r="HS12" t="e">
        <f>AND('SPR BARRANQUILLA'!FQ10,"AAAAAH77teI=")</f>
        <v>#VALUE!</v>
      </c>
      <c r="HT12" t="e">
        <f>AND('SPR BARRANQUILLA'!FR10,"AAAAAH77teM=")</f>
        <v>#VALUE!</v>
      </c>
      <c r="HU12" t="e">
        <f>AND('SPR BARRANQUILLA'!FS10,"AAAAAH77teQ=")</f>
        <v>#VALUE!</v>
      </c>
      <c r="HV12" t="e">
        <f>AND('SPR BARRANQUILLA'!FT10,"AAAAAH77teU=")</f>
        <v>#VALUE!</v>
      </c>
      <c r="HW12" t="e">
        <f>AND('SPR BARRANQUILLA'!FU10,"AAAAAH77teY=")</f>
        <v>#VALUE!</v>
      </c>
      <c r="HX12" t="e">
        <f>AND('SPR BARRANQUILLA'!FV10,"AAAAAH77tec=")</f>
        <v>#VALUE!</v>
      </c>
      <c r="HY12" t="e">
        <f>AND('SPR BARRANQUILLA'!FW10,"AAAAAH77teg=")</f>
        <v>#VALUE!</v>
      </c>
      <c r="HZ12" t="e">
        <f>AND('SPR BARRANQUILLA'!FX10,"AAAAAH77tek=")</f>
        <v>#VALUE!</v>
      </c>
      <c r="IA12" t="e">
        <f>AND('SPR BARRANQUILLA'!FY10,"AAAAAH77teo=")</f>
        <v>#VALUE!</v>
      </c>
      <c r="IB12" t="e">
        <f>AND('SPR BARRANQUILLA'!FZ10,"AAAAAH77tes=")</f>
        <v>#VALUE!</v>
      </c>
      <c r="IC12" t="e">
        <f>AND('SPR BARRANQUILLA'!GA10,"AAAAAH77tew=")</f>
        <v>#VALUE!</v>
      </c>
      <c r="ID12" t="e">
        <f>AND('SPR BARRANQUILLA'!GB10,"AAAAAH77te0=")</f>
        <v>#VALUE!</v>
      </c>
      <c r="IE12" t="e">
        <f>AND('SPR BARRANQUILLA'!GC10,"AAAAAH77te4=")</f>
        <v>#VALUE!</v>
      </c>
      <c r="IF12" t="e">
        <f>AND('SPR BARRANQUILLA'!GD10,"AAAAAH77te8=")</f>
        <v>#VALUE!</v>
      </c>
      <c r="IG12" t="e">
        <f>AND('SPR BARRANQUILLA'!GE10,"AAAAAH77tfA=")</f>
        <v>#VALUE!</v>
      </c>
      <c r="IH12" t="e">
        <f>AND('SPR BARRANQUILLA'!GF10,"AAAAAH77tfE=")</f>
        <v>#VALUE!</v>
      </c>
      <c r="II12" t="e">
        <f>AND('SPR BARRANQUILLA'!GG10,"AAAAAH77tfI=")</f>
        <v>#VALUE!</v>
      </c>
      <c r="IJ12" t="e">
        <f>AND('SPR BARRANQUILLA'!GH10,"AAAAAH77tfM=")</f>
        <v>#VALUE!</v>
      </c>
      <c r="IK12" t="e">
        <f>AND('SPR BARRANQUILLA'!GI10,"AAAAAH77tfQ=")</f>
        <v>#VALUE!</v>
      </c>
      <c r="IL12" t="e">
        <f>AND('SPR BARRANQUILLA'!GJ10,"AAAAAH77tfU=")</f>
        <v>#VALUE!</v>
      </c>
      <c r="IM12" t="e">
        <f>AND('SPR BARRANQUILLA'!GK10,"AAAAAH77tfY=")</f>
        <v>#VALUE!</v>
      </c>
      <c r="IN12" t="e">
        <f>AND('SPR BARRANQUILLA'!GL10,"AAAAAH77tfc=")</f>
        <v>#VALUE!</v>
      </c>
      <c r="IO12" t="e">
        <f>AND('SPR BARRANQUILLA'!GM10,"AAAAAH77tfg=")</f>
        <v>#VALUE!</v>
      </c>
      <c r="IP12" t="e">
        <f>AND('SPR BARRANQUILLA'!GN10,"AAAAAH77tfk=")</f>
        <v>#VALUE!</v>
      </c>
      <c r="IQ12" t="e">
        <f>AND('SPR BARRANQUILLA'!GO10,"AAAAAH77tfo=")</f>
        <v>#VALUE!</v>
      </c>
      <c r="IR12" t="e">
        <f>AND('SPR BARRANQUILLA'!GP10,"AAAAAH77tfs=")</f>
        <v>#VALUE!</v>
      </c>
      <c r="IS12" t="e">
        <f>AND('SPR BARRANQUILLA'!GQ10,"AAAAAH77tfw=")</f>
        <v>#VALUE!</v>
      </c>
      <c r="IT12" t="e">
        <f>AND('SPR BARRANQUILLA'!GR10,"AAAAAH77tf0=")</f>
        <v>#VALUE!</v>
      </c>
      <c r="IU12" t="e">
        <f>AND('SPR BARRANQUILLA'!GS10,"AAAAAH77tf4=")</f>
        <v>#VALUE!</v>
      </c>
      <c r="IV12" t="e">
        <f>AND('SPR BARRANQUILLA'!GT10,"AAAAAH77tf8=")</f>
        <v>#VALUE!</v>
      </c>
    </row>
    <row r="13" spans="1:256">
      <c r="A13" t="e">
        <f>AND('SPR BARRANQUILLA'!GU10,"AAAAAGv+dwA=")</f>
        <v>#VALUE!</v>
      </c>
      <c r="B13" t="e">
        <f>AND('SPR BARRANQUILLA'!GV10,"AAAAAGv+dwE=")</f>
        <v>#VALUE!</v>
      </c>
      <c r="C13" t="e">
        <f>AND('SPR BARRANQUILLA'!GW10,"AAAAAGv+dwI=")</f>
        <v>#VALUE!</v>
      </c>
      <c r="D13" t="e">
        <f>AND('SPR BARRANQUILLA'!GX10,"AAAAAGv+dwM=")</f>
        <v>#VALUE!</v>
      </c>
      <c r="E13" t="e">
        <f>AND('SPR BARRANQUILLA'!GY10,"AAAAAGv+dwQ=")</f>
        <v>#VALUE!</v>
      </c>
      <c r="F13">
        <f>IF('SPR BARRANQUILLA'!11:11,"AAAAAGv+dwU=",0)</f>
        <v>0</v>
      </c>
      <c r="G13" t="e">
        <f>AND('SPR BARRANQUILLA'!A11,"AAAAAGv+dwY=")</f>
        <v>#VALUE!</v>
      </c>
      <c r="H13" t="e">
        <f>AND('SPR BARRANQUILLA'!B11,"AAAAAGv+dwc=")</f>
        <v>#VALUE!</v>
      </c>
      <c r="I13" t="e">
        <f>AND('SPR BARRANQUILLA'!C11,"AAAAAGv+dwg=")</f>
        <v>#VALUE!</v>
      </c>
      <c r="J13" t="e">
        <f>AND('SPR BARRANQUILLA'!D11,"AAAAAGv+dwk=")</f>
        <v>#VALUE!</v>
      </c>
      <c r="K13" t="e">
        <f>AND('SPR BARRANQUILLA'!E11,"AAAAAGv+dwo=")</f>
        <v>#VALUE!</v>
      </c>
      <c r="L13" t="e">
        <f>AND('SPR BARRANQUILLA'!F11,"AAAAAGv+dws=")</f>
        <v>#VALUE!</v>
      </c>
      <c r="M13" t="e">
        <f>AND('SPR BARRANQUILLA'!G11,"AAAAAGv+dww=")</f>
        <v>#VALUE!</v>
      </c>
      <c r="N13" t="e">
        <f>AND('SPR BARRANQUILLA'!H11,"AAAAAGv+dw0=")</f>
        <v>#VALUE!</v>
      </c>
      <c r="O13" t="e">
        <f>AND('SPR BARRANQUILLA'!I11,"AAAAAGv+dw4=")</f>
        <v>#VALUE!</v>
      </c>
      <c r="P13" t="e">
        <f>AND('SPR BARRANQUILLA'!J11,"AAAAAGv+dw8=")</f>
        <v>#VALUE!</v>
      </c>
      <c r="Q13" t="e">
        <f>AND('SPR BARRANQUILLA'!K11,"AAAAAGv+dxA=")</f>
        <v>#VALUE!</v>
      </c>
      <c r="R13" t="e">
        <f>AND('SPR BARRANQUILLA'!L11,"AAAAAGv+dxE=")</f>
        <v>#VALUE!</v>
      </c>
      <c r="S13" t="e">
        <f>AND('SPR BARRANQUILLA'!M11,"AAAAAGv+dxI=")</f>
        <v>#VALUE!</v>
      </c>
      <c r="T13" t="e">
        <f>AND('SPR BARRANQUILLA'!N11,"AAAAAGv+dxM=")</f>
        <v>#VALUE!</v>
      </c>
      <c r="U13" t="e">
        <f>AND('SPR BARRANQUILLA'!O11,"AAAAAGv+dxQ=")</f>
        <v>#VALUE!</v>
      </c>
      <c r="V13" t="e">
        <f>AND('SPR BARRANQUILLA'!P11,"AAAAAGv+dxU=")</f>
        <v>#VALUE!</v>
      </c>
      <c r="W13" t="e">
        <f>AND('SPR BARRANQUILLA'!Q11,"AAAAAGv+dxY=")</f>
        <v>#VALUE!</v>
      </c>
      <c r="X13" t="e">
        <f>AND('SPR BARRANQUILLA'!R11,"AAAAAGv+dxc=")</f>
        <v>#VALUE!</v>
      </c>
      <c r="Y13" t="e">
        <f>AND('SPR BARRANQUILLA'!S11,"AAAAAGv+dxg=")</f>
        <v>#VALUE!</v>
      </c>
      <c r="Z13" t="e">
        <f>AND('SPR BARRANQUILLA'!T11,"AAAAAGv+dxk=")</f>
        <v>#VALUE!</v>
      </c>
      <c r="AA13" t="e">
        <f>AND('SPR BARRANQUILLA'!U11,"AAAAAGv+dxo=")</f>
        <v>#VALUE!</v>
      </c>
      <c r="AB13" t="e">
        <f>AND('SPR BARRANQUILLA'!V11,"AAAAAGv+dxs=")</f>
        <v>#VALUE!</v>
      </c>
      <c r="AC13" t="e">
        <f>AND('SPR BARRANQUILLA'!W11,"AAAAAGv+dxw=")</f>
        <v>#VALUE!</v>
      </c>
      <c r="AD13" t="e">
        <f>AND('SPR BARRANQUILLA'!X11,"AAAAAGv+dx0=")</f>
        <v>#VALUE!</v>
      </c>
      <c r="AE13" t="e">
        <f>AND('SPR BARRANQUILLA'!Y11,"AAAAAGv+dx4=")</f>
        <v>#VALUE!</v>
      </c>
      <c r="AF13" t="e">
        <f>AND('SPR BARRANQUILLA'!Z11,"AAAAAGv+dx8=")</f>
        <v>#VALUE!</v>
      </c>
      <c r="AG13" t="e">
        <f>AND('SPR BARRANQUILLA'!AA11,"AAAAAGv+dyA=")</f>
        <v>#VALUE!</v>
      </c>
      <c r="AH13" t="e">
        <f>AND('SPR BARRANQUILLA'!AB11,"AAAAAGv+dyE=")</f>
        <v>#VALUE!</v>
      </c>
      <c r="AI13" t="e">
        <f>AND('SPR BARRANQUILLA'!AC11,"AAAAAGv+dyI=")</f>
        <v>#VALUE!</v>
      </c>
      <c r="AJ13" t="e">
        <f>AND('SPR BARRANQUILLA'!AD11,"AAAAAGv+dyM=")</f>
        <v>#VALUE!</v>
      </c>
      <c r="AK13" t="e">
        <f>AND('SPR BARRANQUILLA'!AE11,"AAAAAGv+dyQ=")</f>
        <v>#VALUE!</v>
      </c>
      <c r="AL13" t="e">
        <f>AND('SPR BARRANQUILLA'!AF11,"AAAAAGv+dyU=")</f>
        <v>#VALUE!</v>
      </c>
      <c r="AM13" t="e">
        <f>AND('SPR BARRANQUILLA'!AG11,"AAAAAGv+dyY=")</f>
        <v>#VALUE!</v>
      </c>
      <c r="AN13" t="e">
        <f>AND('SPR BARRANQUILLA'!AH11,"AAAAAGv+dyc=")</f>
        <v>#VALUE!</v>
      </c>
      <c r="AO13" t="e">
        <f>AND('SPR BARRANQUILLA'!AI11,"AAAAAGv+dyg=")</f>
        <v>#VALUE!</v>
      </c>
      <c r="AP13" t="e">
        <f>AND('SPR BARRANQUILLA'!AJ11,"AAAAAGv+dyk=")</f>
        <v>#VALUE!</v>
      </c>
      <c r="AQ13" t="e">
        <f>AND('SPR BARRANQUILLA'!AK11,"AAAAAGv+dyo=")</f>
        <v>#VALUE!</v>
      </c>
      <c r="AR13" t="e">
        <f>AND('SPR BARRANQUILLA'!AL11,"AAAAAGv+dys=")</f>
        <v>#VALUE!</v>
      </c>
      <c r="AS13" t="e">
        <f>AND('SPR BARRANQUILLA'!AM11,"AAAAAGv+dyw=")</f>
        <v>#VALUE!</v>
      </c>
      <c r="AT13" t="e">
        <f>AND('SPR BARRANQUILLA'!AN11,"AAAAAGv+dy0=")</f>
        <v>#VALUE!</v>
      </c>
      <c r="AU13" t="e">
        <f>AND('SPR BARRANQUILLA'!AO11,"AAAAAGv+dy4=")</f>
        <v>#VALUE!</v>
      </c>
      <c r="AV13" t="e">
        <f>AND('SPR BARRANQUILLA'!AP11,"AAAAAGv+dy8=")</f>
        <v>#VALUE!</v>
      </c>
      <c r="AW13" t="e">
        <f>AND('SPR BARRANQUILLA'!AQ11,"AAAAAGv+dzA=")</f>
        <v>#VALUE!</v>
      </c>
      <c r="AX13" t="e">
        <f>AND('SPR BARRANQUILLA'!AR11,"AAAAAGv+dzE=")</f>
        <v>#VALUE!</v>
      </c>
      <c r="AY13" t="e">
        <f>AND('SPR BARRANQUILLA'!AS11,"AAAAAGv+dzI=")</f>
        <v>#VALUE!</v>
      </c>
      <c r="AZ13" t="e">
        <f>AND('SPR BARRANQUILLA'!AT11,"AAAAAGv+dzM=")</f>
        <v>#VALUE!</v>
      </c>
      <c r="BA13" t="e">
        <f>AND('SPR BARRANQUILLA'!AU11,"AAAAAGv+dzQ=")</f>
        <v>#VALUE!</v>
      </c>
      <c r="BB13" t="e">
        <f>AND('SPR BARRANQUILLA'!AV11,"AAAAAGv+dzU=")</f>
        <v>#VALUE!</v>
      </c>
      <c r="BC13" t="e">
        <f>AND('SPR BARRANQUILLA'!AW11,"AAAAAGv+dzY=")</f>
        <v>#VALUE!</v>
      </c>
      <c r="BD13" t="e">
        <f>AND('SPR BARRANQUILLA'!AX11,"AAAAAGv+dzc=")</f>
        <v>#VALUE!</v>
      </c>
      <c r="BE13" t="e">
        <f>AND('SPR BARRANQUILLA'!AY11,"AAAAAGv+dzg=")</f>
        <v>#VALUE!</v>
      </c>
      <c r="BF13" t="e">
        <f>AND('SPR BARRANQUILLA'!AZ11,"AAAAAGv+dzk=")</f>
        <v>#VALUE!</v>
      </c>
      <c r="BG13" t="e">
        <f>AND('SPR BARRANQUILLA'!BA11,"AAAAAGv+dzo=")</f>
        <v>#VALUE!</v>
      </c>
      <c r="BH13" t="e">
        <f>AND('SPR BARRANQUILLA'!BB11,"AAAAAGv+dzs=")</f>
        <v>#VALUE!</v>
      </c>
      <c r="BI13" t="e">
        <f>AND('SPR BARRANQUILLA'!BC11,"AAAAAGv+dzw=")</f>
        <v>#VALUE!</v>
      </c>
      <c r="BJ13" t="e">
        <f>AND('SPR BARRANQUILLA'!BD11,"AAAAAGv+dz0=")</f>
        <v>#VALUE!</v>
      </c>
      <c r="BK13" t="e">
        <f>AND('SPR BARRANQUILLA'!BE11,"AAAAAGv+dz4=")</f>
        <v>#VALUE!</v>
      </c>
      <c r="BL13" t="e">
        <f>AND('SPR BARRANQUILLA'!BF11,"AAAAAGv+dz8=")</f>
        <v>#VALUE!</v>
      </c>
      <c r="BM13" t="e">
        <f>AND('SPR BARRANQUILLA'!BG11,"AAAAAGv+d0A=")</f>
        <v>#VALUE!</v>
      </c>
      <c r="BN13" t="e">
        <f>AND('SPR BARRANQUILLA'!BH11,"AAAAAGv+d0E=")</f>
        <v>#VALUE!</v>
      </c>
      <c r="BO13" t="e">
        <f>AND('SPR BARRANQUILLA'!BI11,"AAAAAGv+d0I=")</f>
        <v>#VALUE!</v>
      </c>
      <c r="BP13" t="e">
        <f>AND('SPR BARRANQUILLA'!BJ11,"AAAAAGv+d0M=")</f>
        <v>#VALUE!</v>
      </c>
      <c r="BQ13" t="e">
        <f>AND('SPR BARRANQUILLA'!BK11,"AAAAAGv+d0Q=")</f>
        <v>#VALUE!</v>
      </c>
      <c r="BR13" t="e">
        <f>AND('SPR BARRANQUILLA'!BL11,"AAAAAGv+d0U=")</f>
        <v>#VALUE!</v>
      </c>
      <c r="BS13" t="e">
        <f>AND('SPR BARRANQUILLA'!BM11,"AAAAAGv+d0Y=")</f>
        <v>#VALUE!</v>
      </c>
      <c r="BT13" t="e">
        <f>AND('SPR BARRANQUILLA'!BN11,"AAAAAGv+d0c=")</f>
        <v>#VALUE!</v>
      </c>
      <c r="BU13" t="e">
        <f>AND('SPR BARRANQUILLA'!BO11,"AAAAAGv+d0g=")</f>
        <v>#VALUE!</v>
      </c>
      <c r="BV13" t="e">
        <f>AND('SPR BARRANQUILLA'!BP11,"AAAAAGv+d0k=")</f>
        <v>#VALUE!</v>
      </c>
      <c r="BW13" t="e">
        <f>AND('SPR BARRANQUILLA'!BQ11,"AAAAAGv+d0o=")</f>
        <v>#VALUE!</v>
      </c>
      <c r="BX13" t="e">
        <f>AND('SPR BARRANQUILLA'!BR11,"AAAAAGv+d0s=")</f>
        <v>#VALUE!</v>
      </c>
      <c r="BY13" t="e">
        <f>AND('SPR BARRANQUILLA'!BS11,"AAAAAGv+d0w=")</f>
        <v>#VALUE!</v>
      </c>
      <c r="BZ13" t="e">
        <f>AND('SPR BARRANQUILLA'!BT11,"AAAAAGv+d00=")</f>
        <v>#VALUE!</v>
      </c>
      <c r="CA13" t="e">
        <f>AND('SPR BARRANQUILLA'!BU11,"AAAAAGv+d04=")</f>
        <v>#VALUE!</v>
      </c>
      <c r="CB13" t="e">
        <f>AND('SPR BARRANQUILLA'!BV11,"AAAAAGv+d08=")</f>
        <v>#VALUE!</v>
      </c>
      <c r="CC13" t="e">
        <f>AND('SPR BARRANQUILLA'!BW11,"AAAAAGv+d1A=")</f>
        <v>#VALUE!</v>
      </c>
      <c r="CD13" t="e">
        <f>AND('SPR BARRANQUILLA'!BX11,"AAAAAGv+d1E=")</f>
        <v>#VALUE!</v>
      </c>
      <c r="CE13" t="e">
        <f>AND('SPR BARRANQUILLA'!BY11,"AAAAAGv+d1I=")</f>
        <v>#VALUE!</v>
      </c>
      <c r="CF13" t="e">
        <f>AND('SPR BARRANQUILLA'!BZ11,"AAAAAGv+d1M=")</f>
        <v>#VALUE!</v>
      </c>
      <c r="CG13" t="e">
        <f>AND('SPR BARRANQUILLA'!CA11,"AAAAAGv+d1Q=")</f>
        <v>#VALUE!</v>
      </c>
      <c r="CH13" t="e">
        <f>AND('SPR BARRANQUILLA'!CB11,"AAAAAGv+d1U=")</f>
        <v>#VALUE!</v>
      </c>
      <c r="CI13" t="e">
        <f>AND('SPR BARRANQUILLA'!CC11,"AAAAAGv+d1Y=")</f>
        <v>#VALUE!</v>
      </c>
      <c r="CJ13" t="e">
        <f>AND('SPR BARRANQUILLA'!CD11,"AAAAAGv+d1c=")</f>
        <v>#VALUE!</v>
      </c>
      <c r="CK13" t="e">
        <f>AND('SPR BARRANQUILLA'!CE11,"AAAAAGv+d1g=")</f>
        <v>#VALUE!</v>
      </c>
      <c r="CL13" t="e">
        <f>AND('SPR BARRANQUILLA'!CF11,"AAAAAGv+d1k=")</f>
        <v>#VALUE!</v>
      </c>
      <c r="CM13" t="e">
        <f>AND('SPR BARRANQUILLA'!CG11,"AAAAAGv+d1o=")</f>
        <v>#VALUE!</v>
      </c>
      <c r="CN13" t="e">
        <f>AND('SPR BARRANQUILLA'!CH11,"AAAAAGv+d1s=")</f>
        <v>#VALUE!</v>
      </c>
      <c r="CO13" t="e">
        <f>AND('SPR BARRANQUILLA'!CI11,"AAAAAGv+d1w=")</f>
        <v>#VALUE!</v>
      </c>
      <c r="CP13" t="e">
        <f>AND('SPR BARRANQUILLA'!CJ11,"AAAAAGv+d10=")</f>
        <v>#VALUE!</v>
      </c>
      <c r="CQ13" t="e">
        <f>AND('SPR BARRANQUILLA'!CK11,"AAAAAGv+d14=")</f>
        <v>#VALUE!</v>
      </c>
      <c r="CR13" t="e">
        <f>AND('SPR BARRANQUILLA'!CL11,"AAAAAGv+d18=")</f>
        <v>#VALUE!</v>
      </c>
      <c r="CS13" t="e">
        <f>AND('SPR BARRANQUILLA'!CM11,"AAAAAGv+d2A=")</f>
        <v>#VALUE!</v>
      </c>
      <c r="CT13" t="e">
        <f>AND('SPR BARRANQUILLA'!CN11,"AAAAAGv+d2E=")</f>
        <v>#VALUE!</v>
      </c>
      <c r="CU13" t="e">
        <f>AND('SPR BARRANQUILLA'!CO11,"AAAAAGv+d2I=")</f>
        <v>#VALUE!</v>
      </c>
      <c r="CV13" t="e">
        <f>AND('SPR BARRANQUILLA'!CP11,"AAAAAGv+d2M=")</f>
        <v>#VALUE!</v>
      </c>
      <c r="CW13" t="e">
        <f>AND('SPR BARRANQUILLA'!CQ11,"AAAAAGv+d2Q=")</f>
        <v>#VALUE!</v>
      </c>
      <c r="CX13" t="e">
        <f>AND('SPR BARRANQUILLA'!CR11,"AAAAAGv+d2U=")</f>
        <v>#VALUE!</v>
      </c>
      <c r="CY13" t="e">
        <f>AND('SPR BARRANQUILLA'!CS11,"AAAAAGv+d2Y=")</f>
        <v>#VALUE!</v>
      </c>
      <c r="CZ13" t="e">
        <f>AND('SPR BARRANQUILLA'!CT11,"AAAAAGv+d2c=")</f>
        <v>#VALUE!</v>
      </c>
      <c r="DA13" t="e">
        <f>AND('SPR BARRANQUILLA'!CU11,"AAAAAGv+d2g=")</f>
        <v>#VALUE!</v>
      </c>
      <c r="DB13" t="e">
        <f>AND('SPR BARRANQUILLA'!CV11,"AAAAAGv+d2k=")</f>
        <v>#VALUE!</v>
      </c>
      <c r="DC13" t="e">
        <f>AND('SPR BARRANQUILLA'!CW11,"AAAAAGv+d2o=")</f>
        <v>#VALUE!</v>
      </c>
      <c r="DD13" t="e">
        <f>AND('SPR BARRANQUILLA'!CX11,"AAAAAGv+d2s=")</f>
        <v>#VALUE!</v>
      </c>
      <c r="DE13" t="e">
        <f>AND('SPR BARRANQUILLA'!CY11,"AAAAAGv+d2w=")</f>
        <v>#VALUE!</v>
      </c>
      <c r="DF13" t="e">
        <f>AND('SPR BARRANQUILLA'!CZ11,"AAAAAGv+d20=")</f>
        <v>#VALUE!</v>
      </c>
      <c r="DG13" t="e">
        <f>AND('SPR BARRANQUILLA'!DA11,"AAAAAGv+d24=")</f>
        <v>#VALUE!</v>
      </c>
      <c r="DH13" t="e">
        <f>AND('SPR BARRANQUILLA'!DB11,"AAAAAGv+d28=")</f>
        <v>#VALUE!</v>
      </c>
      <c r="DI13" t="e">
        <f>AND('SPR BARRANQUILLA'!DC11,"AAAAAGv+d3A=")</f>
        <v>#VALUE!</v>
      </c>
      <c r="DJ13" t="e">
        <f>AND('SPR BARRANQUILLA'!DD11,"AAAAAGv+d3E=")</f>
        <v>#VALUE!</v>
      </c>
      <c r="DK13" t="e">
        <f>AND('SPR BARRANQUILLA'!DE11,"AAAAAGv+d3I=")</f>
        <v>#VALUE!</v>
      </c>
      <c r="DL13" t="e">
        <f>AND('SPR BARRANQUILLA'!DF11,"AAAAAGv+d3M=")</f>
        <v>#VALUE!</v>
      </c>
      <c r="DM13" t="e">
        <f>AND('SPR BARRANQUILLA'!DG11,"AAAAAGv+d3Q=")</f>
        <v>#VALUE!</v>
      </c>
      <c r="DN13" t="e">
        <f>AND('SPR BARRANQUILLA'!DH11,"AAAAAGv+d3U=")</f>
        <v>#VALUE!</v>
      </c>
      <c r="DO13" t="e">
        <f>AND('SPR BARRANQUILLA'!DI11,"AAAAAGv+d3Y=")</f>
        <v>#VALUE!</v>
      </c>
      <c r="DP13" t="e">
        <f>AND('SPR BARRANQUILLA'!DJ11,"AAAAAGv+d3c=")</f>
        <v>#VALUE!</v>
      </c>
      <c r="DQ13" t="e">
        <f>AND('SPR BARRANQUILLA'!DK11,"AAAAAGv+d3g=")</f>
        <v>#VALUE!</v>
      </c>
      <c r="DR13" t="e">
        <f>AND('SPR BARRANQUILLA'!DL11,"AAAAAGv+d3k=")</f>
        <v>#VALUE!</v>
      </c>
      <c r="DS13" t="e">
        <f>AND('SPR BARRANQUILLA'!DM11,"AAAAAGv+d3o=")</f>
        <v>#VALUE!</v>
      </c>
      <c r="DT13" t="e">
        <f>AND('SPR BARRANQUILLA'!DN11,"AAAAAGv+d3s=")</f>
        <v>#VALUE!</v>
      </c>
      <c r="DU13" t="e">
        <f>AND('SPR BARRANQUILLA'!DO11,"AAAAAGv+d3w=")</f>
        <v>#VALUE!</v>
      </c>
      <c r="DV13" t="e">
        <f>AND('SPR BARRANQUILLA'!DP11,"AAAAAGv+d30=")</f>
        <v>#VALUE!</v>
      </c>
      <c r="DW13" t="e">
        <f>AND('SPR BARRANQUILLA'!DQ11,"AAAAAGv+d34=")</f>
        <v>#VALUE!</v>
      </c>
      <c r="DX13" t="e">
        <f>AND('SPR BARRANQUILLA'!DR11,"AAAAAGv+d38=")</f>
        <v>#VALUE!</v>
      </c>
      <c r="DY13" t="e">
        <f>AND('SPR BARRANQUILLA'!DS11,"AAAAAGv+d4A=")</f>
        <v>#VALUE!</v>
      </c>
      <c r="DZ13" t="e">
        <f>AND('SPR BARRANQUILLA'!DT11,"AAAAAGv+d4E=")</f>
        <v>#VALUE!</v>
      </c>
      <c r="EA13" t="e">
        <f>AND('SPR BARRANQUILLA'!DU11,"AAAAAGv+d4I=")</f>
        <v>#VALUE!</v>
      </c>
      <c r="EB13" t="e">
        <f>AND('SPR BARRANQUILLA'!DV11,"AAAAAGv+d4M=")</f>
        <v>#VALUE!</v>
      </c>
      <c r="EC13" t="e">
        <f>AND('SPR BARRANQUILLA'!DW11,"AAAAAGv+d4Q=")</f>
        <v>#VALUE!</v>
      </c>
      <c r="ED13" t="e">
        <f>AND('SPR BARRANQUILLA'!DX11,"AAAAAGv+d4U=")</f>
        <v>#VALUE!</v>
      </c>
      <c r="EE13" t="e">
        <f>AND('SPR BARRANQUILLA'!DY11,"AAAAAGv+d4Y=")</f>
        <v>#VALUE!</v>
      </c>
      <c r="EF13" t="e">
        <f>AND('SPR BARRANQUILLA'!DZ11,"AAAAAGv+d4c=")</f>
        <v>#VALUE!</v>
      </c>
      <c r="EG13" t="e">
        <f>AND('SPR BARRANQUILLA'!EA11,"AAAAAGv+d4g=")</f>
        <v>#VALUE!</v>
      </c>
      <c r="EH13" t="e">
        <f>AND('SPR BARRANQUILLA'!EB11,"AAAAAGv+d4k=")</f>
        <v>#VALUE!</v>
      </c>
      <c r="EI13" t="e">
        <f>AND('SPR BARRANQUILLA'!EC11,"AAAAAGv+d4o=")</f>
        <v>#VALUE!</v>
      </c>
      <c r="EJ13" t="e">
        <f>AND('SPR BARRANQUILLA'!ED11,"AAAAAGv+d4s=")</f>
        <v>#VALUE!</v>
      </c>
      <c r="EK13" t="e">
        <f>AND('SPR BARRANQUILLA'!EE11,"AAAAAGv+d4w=")</f>
        <v>#VALUE!</v>
      </c>
      <c r="EL13" t="e">
        <f>AND('SPR BARRANQUILLA'!EF11,"AAAAAGv+d40=")</f>
        <v>#VALUE!</v>
      </c>
      <c r="EM13" t="e">
        <f>AND('SPR BARRANQUILLA'!EG11,"AAAAAGv+d44=")</f>
        <v>#VALUE!</v>
      </c>
      <c r="EN13" t="e">
        <f>AND('SPR BARRANQUILLA'!EH11,"AAAAAGv+d48=")</f>
        <v>#VALUE!</v>
      </c>
      <c r="EO13" t="e">
        <f>AND('SPR BARRANQUILLA'!EI11,"AAAAAGv+d5A=")</f>
        <v>#VALUE!</v>
      </c>
      <c r="EP13" t="e">
        <f>AND('SPR BARRANQUILLA'!EJ11,"AAAAAGv+d5E=")</f>
        <v>#VALUE!</v>
      </c>
      <c r="EQ13" t="e">
        <f>AND('SPR BARRANQUILLA'!EK11,"AAAAAGv+d5I=")</f>
        <v>#VALUE!</v>
      </c>
      <c r="ER13" t="e">
        <f>AND('SPR BARRANQUILLA'!EL11,"AAAAAGv+d5M=")</f>
        <v>#VALUE!</v>
      </c>
      <c r="ES13" t="e">
        <f>AND('SPR BARRANQUILLA'!EM11,"AAAAAGv+d5Q=")</f>
        <v>#VALUE!</v>
      </c>
      <c r="ET13" t="e">
        <f>AND('SPR BARRANQUILLA'!EN11,"AAAAAGv+d5U=")</f>
        <v>#VALUE!</v>
      </c>
      <c r="EU13" t="e">
        <f>AND('SPR BARRANQUILLA'!EO11,"AAAAAGv+d5Y=")</f>
        <v>#VALUE!</v>
      </c>
      <c r="EV13" t="e">
        <f>AND('SPR BARRANQUILLA'!EP11,"AAAAAGv+d5c=")</f>
        <v>#VALUE!</v>
      </c>
      <c r="EW13" t="e">
        <f>AND('SPR BARRANQUILLA'!EQ11,"AAAAAGv+d5g=")</f>
        <v>#VALUE!</v>
      </c>
      <c r="EX13" t="e">
        <f>AND('SPR BARRANQUILLA'!ER11,"AAAAAGv+d5k=")</f>
        <v>#VALUE!</v>
      </c>
      <c r="EY13" t="e">
        <f>AND('SPR BARRANQUILLA'!ES11,"AAAAAGv+d5o=")</f>
        <v>#VALUE!</v>
      </c>
      <c r="EZ13" t="e">
        <f>AND('SPR BARRANQUILLA'!ET11,"AAAAAGv+d5s=")</f>
        <v>#VALUE!</v>
      </c>
      <c r="FA13" t="e">
        <f>AND('SPR BARRANQUILLA'!EU11,"AAAAAGv+d5w=")</f>
        <v>#VALUE!</v>
      </c>
      <c r="FB13" t="e">
        <f>AND('SPR BARRANQUILLA'!EV11,"AAAAAGv+d50=")</f>
        <v>#VALUE!</v>
      </c>
      <c r="FC13" t="e">
        <f>AND('SPR BARRANQUILLA'!EW11,"AAAAAGv+d54=")</f>
        <v>#VALUE!</v>
      </c>
      <c r="FD13" t="e">
        <f>AND('SPR BARRANQUILLA'!EX11,"AAAAAGv+d58=")</f>
        <v>#VALUE!</v>
      </c>
      <c r="FE13" t="e">
        <f>AND('SPR BARRANQUILLA'!EY11,"AAAAAGv+d6A=")</f>
        <v>#VALUE!</v>
      </c>
      <c r="FF13" t="e">
        <f>AND('SPR BARRANQUILLA'!EZ11,"AAAAAGv+d6E=")</f>
        <v>#VALUE!</v>
      </c>
      <c r="FG13" t="e">
        <f>AND('SPR BARRANQUILLA'!FA11,"AAAAAGv+d6I=")</f>
        <v>#VALUE!</v>
      </c>
      <c r="FH13" t="e">
        <f>AND('SPR BARRANQUILLA'!FB11,"AAAAAGv+d6M=")</f>
        <v>#VALUE!</v>
      </c>
      <c r="FI13" t="e">
        <f>AND('SPR BARRANQUILLA'!FC11,"AAAAAGv+d6Q=")</f>
        <v>#VALUE!</v>
      </c>
      <c r="FJ13" t="e">
        <f>AND('SPR BARRANQUILLA'!FD11,"AAAAAGv+d6U=")</f>
        <v>#VALUE!</v>
      </c>
      <c r="FK13" t="e">
        <f>AND('SPR BARRANQUILLA'!FE11,"AAAAAGv+d6Y=")</f>
        <v>#VALUE!</v>
      </c>
      <c r="FL13" t="e">
        <f>AND('SPR BARRANQUILLA'!FF11,"AAAAAGv+d6c=")</f>
        <v>#VALUE!</v>
      </c>
      <c r="FM13" t="e">
        <f>AND('SPR BARRANQUILLA'!FG11,"AAAAAGv+d6g=")</f>
        <v>#VALUE!</v>
      </c>
      <c r="FN13" t="e">
        <f>AND('SPR BARRANQUILLA'!FH11,"AAAAAGv+d6k=")</f>
        <v>#VALUE!</v>
      </c>
      <c r="FO13" t="e">
        <f>AND('SPR BARRANQUILLA'!FI11,"AAAAAGv+d6o=")</f>
        <v>#VALUE!</v>
      </c>
      <c r="FP13" t="e">
        <f>AND('SPR BARRANQUILLA'!FJ11,"AAAAAGv+d6s=")</f>
        <v>#VALUE!</v>
      </c>
      <c r="FQ13" t="e">
        <f>AND('SPR BARRANQUILLA'!FK11,"AAAAAGv+d6w=")</f>
        <v>#VALUE!</v>
      </c>
      <c r="FR13" t="e">
        <f>AND('SPR BARRANQUILLA'!FL11,"AAAAAGv+d60=")</f>
        <v>#VALUE!</v>
      </c>
      <c r="FS13" t="e">
        <f>AND('SPR BARRANQUILLA'!FM11,"AAAAAGv+d64=")</f>
        <v>#VALUE!</v>
      </c>
      <c r="FT13" t="e">
        <f>AND('SPR BARRANQUILLA'!FN11,"AAAAAGv+d68=")</f>
        <v>#VALUE!</v>
      </c>
      <c r="FU13" t="e">
        <f>AND('SPR BARRANQUILLA'!FO11,"AAAAAGv+d7A=")</f>
        <v>#VALUE!</v>
      </c>
      <c r="FV13" t="e">
        <f>AND('SPR BARRANQUILLA'!FP11,"AAAAAGv+d7E=")</f>
        <v>#VALUE!</v>
      </c>
      <c r="FW13" t="e">
        <f>AND('SPR BARRANQUILLA'!FQ11,"AAAAAGv+d7I=")</f>
        <v>#VALUE!</v>
      </c>
      <c r="FX13" t="e">
        <f>AND('SPR BARRANQUILLA'!FR11,"AAAAAGv+d7M=")</f>
        <v>#VALUE!</v>
      </c>
      <c r="FY13" t="e">
        <f>AND('SPR BARRANQUILLA'!FS11,"AAAAAGv+d7Q=")</f>
        <v>#VALUE!</v>
      </c>
      <c r="FZ13" t="e">
        <f>AND('SPR BARRANQUILLA'!FT11,"AAAAAGv+d7U=")</f>
        <v>#VALUE!</v>
      </c>
      <c r="GA13" t="e">
        <f>AND('SPR BARRANQUILLA'!FU11,"AAAAAGv+d7Y=")</f>
        <v>#VALUE!</v>
      </c>
      <c r="GB13" t="e">
        <f>AND('SPR BARRANQUILLA'!FV11,"AAAAAGv+d7c=")</f>
        <v>#VALUE!</v>
      </c>
      <c r="GC13" t="e">
        <f>AND('SPR BARRANQUILLA'!FW11,"AAAAAGv+d7g=")</f>
        <v>#VALUE!</v>
      </c>
      <c r="GD13" t="e">
        <f>AND('SPR BARRANQUILLA'!FX11,"AAAAAGv+d7k=")</f>
        <v>#VALUE!</v>
      </c>
      <c r="GE13" t="e">
        <f>AND('SPR BARRANQUILLA'!FY11,"AAAAAGv+d7o=")</f>
        <v>#VALUE!</v>
      </c>
      <c r="GF13" t="e">
        <f>AND('SPR BARRANQUILLA'!FZ11,"AAAAAGv+d7s=")</f>
        <v>#VALUE!</v>
      </c>
      <c r="GG13" t="e">
        <f>AND('SPR BARRANQUILLA'!GA11,"AAAAAGv+d7w=")</f>
        <v>#VALUE!</v>
      </c>
      <c r="GH13" t="e">
        <f>AND('SPR BARRANQUILLA'!GB11,"AAAAAGv+d70=")</f>
        <v>#VALUE!</v>
      </c>
      <c r="GI13" t="e">
        <f>AND('SPR BARRANQUILLA'!GC11,"AAAAAGv+d74=")</f>
        <v>#VALUE!</v>
      </c>
      <c r="GJ13" t="e">
        <f>AND('SPR BARRANQUILLA'!GD11,"AAAAAGv+d78=")</f>
        <v>#VALUE!</v>
      </c>
      <c r="GK13" t="e">
        <f>AND('SPR BARRANQUILLA'!GE11,"AAAAAGv+d8A=")</f>
        <v>#VALUE!</v>
      </c>
      <c r="GL13" t="e">
        <f>AND('SPR BARRANQUILLA'!GF11,"AAAAAGv+d8E=")</f>
        <v>#VALUE!</v>
      </c>
      <c r="GM13" t="e">
        <f>AND('SPR BARRANQUILLA'!GG11,"AAAAAGv+d8I=")</f>
        <v>#VALUE!</v>
      </c>
      <c r="GN13" t="e">
        <f>AND('SPR BARRANQUILLA'!GH11,"AAAAAGv+d8M=")</f>
        <v>#VALUE!</v>
      </c>
      <c r="GO13" t="e">
        <f>AND('SPR BARRANQUILLA'!GI11,"AAAAAGv+d8Q=")</f>
        <v>#VALUE!</v>
      </c>
      <c r="GP13" t="e">
        <f>AND('SPR BARRANQUILLA'!GJ11,"AAAAAGv+d8U=")</f>
        <v>#VALUE!</v>
      </c>
      <c r="GQ13" t="e">
        <f>AND('SPR BARRANQUILLA'!GK11,"AAAAAGv+d8Y=")</f>
        <v>#VALUE!</v>
      </c>
      <c r="GR13" t="e">
        <f>AND('SPR BARRANQUILLA'!GL11,"AAAAAGv+d8c=")</f>
        <v>#VALUE!</v>
      </c>
      <c r="GS13" t="e">
        <f>AND('SPR BARRANQUILLA'!GM11,"AAAAAGv+d8g=")</f>
        <v>#VALUE!</v>
      </c>
      <c r="GT13" t="e">
        <f>AND('SPR BARRANQUILLA'!GN11,"AAAAAGv+d8k=")</f>
        <v>#VALUE!</v>
      </c>
      <c r="GU13" t="e">
        <f>AND('SPR BARRANQUILLA'!GO11,"AAAAAGv+d8o=")</f>
        <v>#VALUE!</v>
      </c>
      <c r="GV13" t="e">
        <f>AND('SPR BARRANQUILLA'!GP11,"AAAAAGv+d8s=")</f>
        <v>#VALUE!</v>
      </c>
      <c r="GW13" t="e">
        <f>AND('SPR BARRANQUILLA'!GQ11,"AAAAAGv+d8w=")</f>
        <v>#VALUE!</v>
      </c>
      <c r="GX13" t="e">
        <f>AND('SPR BARRANQUILLA'!GR11,"AAAAAGv+d80=")</f>
        <v>#VALUE!</v>
      </c>
      <c r="GY13" t="e">
        <f>AND('SPR BARRANQUILLA'!GS11,"AAAAAGv+d84=")</f>
        <v>#VALUE!</v>
      </c>
      <c r="GZ13" t="e">
        <f>AND('SPR BARRANQUILLA'!GT11,"AAAAAGv+d88=")</f>
        <v>#VALUE!</v>
      </c>
      <c r="HA13" t="e">
        <f>AND('SPR BARRANQUILLA'!GU11,"AAAAAGv+d9A=")</f>
        <v>#VALUE!</v>
      </c>
      <c r="HB13" t="e">
        <f>AND('SPR BARRANQUILLA'!GV11,"AAAAAGv+d9E=")</f>
        <v>#VALUE!</v>
      </c>
      <c r="HC13" t="e">
        <f>AND('SPR BARRANQUILLA'!GW11,"AAAAAGv+d9I=")</f>
        <v>#VALUE!</v>
      </c>
      <c r="HD13" t="e">
        <f>AND('SPR BARRANQUILLA'!GX11,"AAAAAGv+d9M=")</f>
        <v>#VALUE!</v>
      </c>
      <c r="HE13" t="e">
        <f>AND('SPR BARRANQUILLA'!GY11,"AAAAAGv+d9Q=")</f>
        <v>#VALUE!</v>
      </c>
      <c r="HF13">
        <f>IF('SPR BARRANQUILLA'!12:12,"AAAAAGv+d9U=",0)</f>
        <v>0</v>
      </c>
      <c r="HG13" t="e">
        <f>AND('SPR BARRANQUILLA'!A12,"AAAAAGv+d9Y=")</f>
        <v>#VALUE!</v>
      </c>
      <c r="HH13" t="e">
        <f>AND('SPR BARRANQUILLA'!B12,"AAAAAGv+d9c=")</f>
        <v>#VALUE!</v>
      </c>
      <c r="HI13" t="e">
        <f>AND('SPR BARRANQUILLA'!C12,"AAAAAGv+d9g=")</f>
        <v>#VALUE!</v>
      </c>
      <c r="HJ13" t="e">
        <f>AND('SPR BARRANQUILLA'!D12,"AAAAAGv+d9k=")</f>
        <v>#VALUE!</v>
      </c>
      <c r="HK13" t="e">
        <f>AND('SPR BARRANQUILLA'!E12,"AAAAAGv+d9o=")</f>
        <v>#VALUE!</v>
      </c>
      <c r="HL13" t="e">
        <f>AND('SPR BARRANQUILLA'!F12,"AAAAAGv+d9s=")</f>
        <v>#VALUE!</v>
      </c>
      <c r="HM13" t="e">
        <f>AND('SPR BARRANQUILLA'!G12,"AAAAAGv+d9w=")</f>
        <v>#VALUE!</v>
      </c>
      <c r="HN13" t="e">
        <f>AND('SPR BARRANQUILLA'!H12,"AAAAAGv+d90=")</f>
        <v>#VALUE!</v>
      </c>
      <c r="HO13" t="e">
        <f>AND('SPR BARRANQUILLA'!I12,"AAAAAGv+d94=")</f>
        <v>#VALUE!</v>
      </c>
      <c r="HP13" t="e">
        <f>AND('SPR BARRANQUILLA'!J12,"AAAAAGv+d98=")</f>
        <v>#VALUE!</v>
      </c>
      <c r="HQ13" t="e">
        <f>AND('SPR BARRANQUILLA'!K12,"AAAAAGv+d+A=")</f>
        <v>#VALUE!</v>
      </c>
      <c r="HR13" t="e">
        <f>AND('SPR BARRANQUILLA'!L12,"AAAAAGv+d+E=")</f>
        <v>#VALUE!</v>
      </c>
      <c r="HS13" t="e">
        <f>AND('SPR BARRANQUILLA'!M12,"AAAAAGv+d+I=")</f>
        <v>#VALUE!</v>
      </c>
      <c r="HT13" t="e">
        <f>AND('SPR BARRANQUILLA'!N12,"AAAAAGv+d+M=")</f>
        <v>#VALUE!</v>
      </c>
      <c r="HU13" t="e">
        <f>AND('SPR BARRANQUILLA'!O12,"AAAAAGv+d+Q=")</f>
        <v>#VALUE!</v>
      </c>
      <c r="HV13" t="e">
        <f>AND('SPR BARRANQUILLA'!P12,"AAAAAGv+d+U=")</f>
        <v>#VALUE!</v>
      </c>
      <c r="HW13" t="e">
        <f>AND('SPR BARRANQUILLA'!Q12,"AAAAAGv+d+Y=")</f>
        <v>#VALUE!</v>
      </c>
      <c r="HX13" t="e">
        <f>AND('SPR BARRANQUILLA'!R12,"AAAAAGv+d+c=")</f>
        <v>#VALUE!</v>
      </c>
      <c r="HY13" t="e">
        <f>AND('SPR BARRANQUILLA'!S12,"AAAAAGv+d+g=")</f>
        <v>#VALUE!</v>
      </c>
      <c r="HZ13" t="e">
        <f>AND('SPR BARRANQUILLA'!T12,"AAAAAGv+d+k=")</f>
        <v>#VALUE!</v>
      </c>
      <c r="IA13" t="e">
        <f>AND('SPR BARRANQUILLA'!U12,"AAAAAGv+d+o=")</f>
        <v>#VALUE!</v>
      </c>
      <c r="IB13" t="e">
        <f>AND('SPR BARRANQUILLA'!V12,"AAAAAGv+d+s=")</f>
        <v>#VALUE!</v>
      </c>
      <c r="IC13" t="e">
        <f>AND('SPR BARRANQUILLA'!W12,"AAAAAGv+d+w=")</f>
        <v>#VALUE!</v>
      </c>
      <c r="ID13" t="e">
        <f>AND('SPR BARRANQUILLA'!X12,"AAAAAGv+d+0=")</f>
        <v>#VALUE!</v>
      </c>
      <c r="IE13" t="e">
        <f>AND('SPR BARRANQUILLA'!Y12,"AAAAAGv+d+4=")</f>
        <v>#VALUE!</v>
      </c>
      <c r="IF13" t="e">
        <f>AND('SPR BARRANQUILLA'!Z12,"AAAAAGv+d+8=")</f>
        <v>#VALUE!</v>
      </c>
      <c r="IG13" t="e">
        <f>AND('SPR BARRANQUILLA'!AA12,"AAAAAGv+d/A=")</f>
        <v>#VALUE!</v>
      </c>
      <c r="IH13" t="e">
        <f>AND('SPR BARRANQUILLA'!AB12,"AAAAAGv+d/E=")</f>
        <v>#VALUE!</v>
      </c>
      <c r="II13" t="e">
        <f>AND('SPR BARRANQUILLA'!AC12,"AAAAAGv+d/I=")</f>
        <v>#VALUE!</v>
      </c>
      <c r="IJ13" t="e">
        <f>AND('SPR BARRANQUILLA'!AD12,"AAAAAGv+d/M=")</f>
        <v>#VALUE!</v>
      </c>
      <c r="IK13" t="e">
        <f>AND('SPR BARRANQUILLA'!AE12,"AAAAAGv+d/Q=")</f>
        <v>#VALUE!</v>
      </c>
      <c r="IL13" t="e">
        <f>AND('SPR BARRANQUILLA'!AF12,"AAAAAGv+d/U=")</f>
        <v>#VALUE!</v>
      </c>
      <c r="IM13" t="e">
        <f>AND('SPR BARRANQUILLA'!AG12,"AAAAAGv+d/Y=")</f>
        <v>#VALUE!</v>
      </c>
      <c r="IN13" t="e">
        <f>AND('SPR BARRANQUILLA'!AH12,"AAAAAGv+d/c=")</f>
        <v>#VALUE!</v>
      </c>
      <c r="IO13" t="e">
        <f>AND('SPR BARRANQUILLA'!AI12,"AAAAAGv+d/g=")</f>
        <v>#VALUE!</v>
      </c>
      <c r="IP13" t="e">
        <f>AND('SPR BARRANQUILLA'!AJ12,"AAAAAGv+d/k=")</f>
        <v>#VALUE!</v>
      </c>
      <c r="IQ13" t="e">
        <f>AND('SPR BARRANQUILLA'!AK12,"AAAAAGv+d/o=")</f>
        <v>#VALUE!</v>
      </c>
      <c r="IR13" t="e">
        <f>AND('SPR BARRANQUILLA'!AL12,"AAAAAGv+d/s=")</f>
        <v>#VALUE!</v>
      </c>
      <c r="IS13" t="e">
        <f>AND('SPR BARRANQUILLA'!AM12,"AAAAAGv+d/w=")</f>
        <v>#VALUE!</v>
      </c>
      <c r="IT13" t="e">
        <f>AND('SPR BARRANQUILLA'!AN12,"AAAAAGv+d/0=")</f>
        <v>#VALUE!</v>
      </c>
      <c r="IU13" t="e">
        <f>AND('SPR BARRANQUILLA'!AO12,"AAAAAGv+d/4=")</f>
        <v>#VALUE!</v>
      </c>
      <c r="IV13" t="e">
        <f>AND('SPR BARRANQUILLA'!AP12,"AAAAAGv+d/8=")</f>
        <v>#VALUE!</v>
      </c>
    </row>
    <row r="14" spans="1:256">
      <c r="A14" t="e">
        <f>AND('SPR BARRANQUILLA'!AQ12,"AAAAAHua9AA=")</f>
        <v>#VALUE!</v>
      </c>
      <c r="B14" t="e">
        <f>AND('SPR BARRANQUILLA'!AR12,"AAAAAHua9AE=")</f>
        <v>#VALUE!</v>
      </c>
      <c r="C14" t="e">
        <f>AND('SPR BARRANQUILLA'!AS12,"AAAAAHua9AI=")</f>
        <v>#VALUE!</v>
      </c>
      <c r="D14" t="e">
        <f>AND('SPR BARRANQUILLA'!AT12,"AAAAAHua9AM=")</f>
        <v>#VALUE!</v>
      </c>
      <c r="E14" t="e">
        <f>AND('SPR BARRANQUILLA'!AU12,"AAAAAHua9AQ=")</f>
        <v>#VALUE!</v>
      </c>
      <c r="F14" t="e">
        <f>AND('SPR BARRANQUILLA'!AV12,"AAAAAHua9AU=")</f>
        <v>#VALUE!</v>
      </c>
      <c r="G14" t="e">
        <f>AND('SPR BARRANQUILLA'!AW12,"AAAAAHua9AY=")</f>
        <v>#VALUE!</v>
      </c>
      <c r="H14" t="e">
        <f>AND('SPR BARRANQUILLA'!AX12,"AAAAAHua9Ac=")</f>
        <v>#VALUE!</v>
      </c>
      <c r="I14" t="e">
        <f>AND('SPR BARRANQUILLA'!AY12,"AAAAAHua9Ag=")</f>
        <v>#VALUE!</v>
      </c>
      <c r="J14" t="e">
        <f>AND('SPR BARRANQUILLA'!AZ12,"AAAAAHua9Ak=")</f>
        <v>#VALUE!</v>
      </c>
      <c r="K14" t="e">
        <f>AND('SPR BARRANQUILLA'!BA12,"AAAAAHua9Ao=")</f>
        <v>#VALUE!</v>
      </c>
      <c r="L14" t="e">
        <f>AND('SPR BARRANQUILLA'!BB12,"AAAAAHua9As=")</f>
        <v>#VALUE!</v>
      </c>
      <c r="M14" t="e">
        <f>AND('SPR BARRANQUILLA'!BC12,"AAAAAHua9Aw=")</f>
        <v>#VALUE!</v>
      </c>
      <c r="N14" t="e">
        <f>AND('SPR BARRANQUILLA'!BD12,"AAAAAHua9A0=")</f>
        <v>#VALUE!</v>
      </c>
      <c r="O14" t="e">
        <f>AND('SPR BARRANQUILLA'!BE12,"AAAAAHua9A4=")</f>
        <v>#VALUE!</v>
      </c>
      <c r="P14" t="e">
        <f>AND('SPR BARRANQUILLA'!BF12,"AAAAAHua9A8=")</f>
        <v>#VALUE!</v>
      </c>
      <c r="Q14" t="e">
        <f>AND('SPR BARRANQUILLA'!BG12,"AAAAAHua9BA=")</f>
        <v>#VALUE!</v>
      </c>
      <c r="R14" t="e">
        <f>AND('SPR BARRANQUILLA'!BH12,"AAAAAHua9BE=")</f>
        <v>#VALUE!</v>
      </c>
      <c r="S14" t="e">
        <f>AND('SPR BARRANQUILLA'!BI12,"AAAAAHua9BI=")</f>
        <v>#VALUE!</v>
      </c>
      <c r="T14" t="e">
        <f>AND('SPR BARRANQUILLA'!BJ12,"AAAAAHua9BM=")</f>
        <v>#VALUE!</v>
      </c>
      <c r="U14" t="e">
        <f>AND('SPR BARRANQUILLA'!BK12,"AAAAAHua9BQ=")</f>
        <v>#VALUE!</v>
      </c>
      <c r="V14" t="e">
        <f>AND('SPR BARRANQUILLA'!BL12,"AAAAAHua9BU=")</f>
        <v>#VALUE!</v>
      </c>
      <c r="W14" t="e">
        <f>AND('SPR BARRANQUILLA'!BM12,"AAAAAHua9BY=")</f>
        <v>#VALUE!</v>
      </c>
      <c r="X14" t="e">
        <f>AND('SPR BARRANQUILLA'!BN12,"AAAAAHua9Bc=")</f>
        <v>#VALUE!</v>
      </c>
      <c r="Y14" t="e">
        <f>AND('SPR BARRANQUILLA'!BO12,"AAAAAHua9Bg=")</f>
        <v>#VALUE!</v>
      </c>
      <c r="Z14" t="e">
        <f>AND('SPR BARRANQUILLA'!BP12,"AAAAAHua9Bk=")</f>
        <v>#VALUE!</v>
      </c>
      <c r="AA14" t="e">
        <f>AND('SPR BARRANQUILLA'!BQ12,"AAAAAHua9Bo=")</f>
        <v>#VALUE!</v>
      </c>
      <c r="AB14" t="e">
        <f>AND('SPR BARRANQUILLA'!BR12,"AAAAAHua9Bs=")</f>
        <v>#VALUE!</v>
      </c>
      <c r="AC14" t="e">
        <f>AND('SPR BARRANQUILLA'!BS12,"AAAAAHua9Bw=")</f>
        <v>#VALUE!</v>
      </c>
      <c r="AD14" t="e">
        <f>AND('SPR BARRANQUILLA'!BT12,"AAAAAHua9B0=")</f>
        <v>#VALUE!</v>
      </c>
      <c r="AE14" t="e">
        <f>AND('SPR BARRANQUILLA'!BU12,"AAAAAHua9B4=")</f>
        <v>#VALUE!</v>
      </c>
      <c r="AF14" t="e">
        <f>AND('SPR BARRANQUILLA'!BV12,"AAAAAHua9B8=")</f>
        <v>#VALUE!</v>
      </c>
      <c r="AG14" t="e">
        <f>AND('SPR BARRANQUILLA'!BW12,"AAAAAHua9CA=")</f>
        <v>#VALUE!</v>
      </c>
      <c r="AH14" t="e">
        <f>AND('SPR BARRANQUILLA'!BX12,"AAAAAHua9CE=")</f>
        <v>#VALUE!</v>
      </c>
      <c r="AI14" t="e">
        <f>AND('SPR BARRANQUILLA'!BY12,"AAAAAHua9CI=")</f>
        <v>#VALUE!</v>
      </c>
      <c r="AJ14" t="e">
        <f>AND('SPR BARRANQUILLA'!BZ12,"AAAAAHua9CM=")</f>
        <v>#VALUE!</v>
      </c>
      <c r="AK14" t="e">
        <f>AND('SPR BARRANQUILLA'!CA12,"AAAAAHua9CQ=")</f>
        <v>#VALUE!</v>
      </c>
      <c r="AL14" t="e">
        <f>AND('SPR BARRANQUILLA'!CB12,"AAAAAHua9CU=")</f>
        <v>#VALUE!</v>
      </c>
      <c r="AM14" t="e">
        <f>AND('SPR BARRANQUILLA'!CC12,"AAAAAHua9CY=")</f>
        <v>#VALUE!</v>
      </c>
      <c r="AN14" t="e">
        <f>AND('SPR BARRANQUILLA'!CD12,"AAAAAHua9Cc=")</f>
        <v>#VALUE!</v>
      </c>
      <c r="AO14" t="e">
        <f>AND('SPR BARRANQUILLA'!CE12,"AAAAAHua9Cg=")</f>
        <v>#VALUE!</v>
      </c>
      <c r="AP14" t="e">
        <f>AND('SPR BARRANQUILLA'!CF12,"AAAAAHua9Ck=")</f>
        <v>#VALUE!</v>
      </c>
      <c r="AQ14" t="e">
        <f>AND('SPR BARRANQUILLA'!CG12,"AAAAAHua9Co=")</f>
        <v>#VALUE!</v>
      </c>
      <c r="AR14" t="e">
        <f>AND('SPR BARRANQUILLA'!CH12,"AAAAAHua9Cs=")</f>
        <v>#VALUE!</v>
      </c>
      <c r="AS14" t="e">
        <f>AND('SPR BARRANQUILLA'!CI12,"AAAAAHua9Cw=")</f>
        <v>#VALUE!</v>
      </c>
      <c r="AT14" t="e">
        <f>AND('SPR BARRANQUILLA'!CJ12,"AAAAAHua9C0=")</f>
        <v>#VALUE!</v>
      </c>
      <c r="AU14" t="e">
        <f>AND('SPR BARRANQUILLA'!CK12,"AAAAAHua9C4=")</f>
        <v>#VALUE!</v>
      </c>
      <c r="AV14" t="e">
        <f>AND('SPR BARRANQUILLA'!CL12,"AAAAAHua9C8=")</f>
        <v>#VALUE!</v>
      </c>
      <c r="AW14" t="e">
        <f>AND('SPR BARRANQUILLA'!CM12,"AAAAAHua9DA=")</f>
        <v>#VALUE!</v>
      </c>
      <c r="AX14" t="e">
        <f>AND('SPR BARRANQUILLA'!CN12,"AAAAAHua9DE=")</f>
        <v>#VALUE!</v>
      </c>
      <c r="AY14" t="e">
        <f>AND('SPR BARRANQUILLA'!CO12,"AAAAAHua9DI=")</f>
        <v>#VALUE!</v>
      </c>
      <c r="AZ14" t="e">
        <f>AND('SPR BARRANQUILLA'!CP12,"AAAAAHua9DM=")</f>
        <v>#VALUE!</v>
      </c>
      <c r="BA14" t="e">
        <f>AND('SPR BARRANQUILLA'!CQ12,"AAAAAHua9DQ=")</f>
        <v>#VALUE!</v>
      </c>
      <c r="BB14" t="e">
        <f>AND('SPR BARRANQUILLA'!CR12,"AAAAAHua9DU=")</f>
        <v>#VALUE!</v>
      </c>
      <c r="BC14" t="e">
        <f>AND('SPR BARRANQUILLA'!CS12,"AAAAAHua9DY=")</f>
        <v>#VALUE!</v>
      </c>
      <c r="BD14" t="e">
        <f>AND('SPR BARRANQUILLA'!CT12,"AAAAAHua9Dc=")</f>
        <v>#VALUE!</v>
      </c>
      <c r="BE14" t="e">
        <f>AND('SPR BARRANQUILLA'!CU12,"AAAAAHua9Dg=")</f>
        <v>#VALUE!</v>
      </c>
      <c r="BF14" t="e">
        <f>AND('SPR BARRANQUILLA'!CV12,"AAAAAHua9Dk=")</f>
        <v>#VALUE!</v>
      </c>
      <c r="BG14" t="e">
        <f>AND('SPR BARRANQUILLA'!CW12,"AAAAAHua9Do=")</f>
        <v>#VALUE!</v>
      </c>
      <c r="BH14" t="e">
        <f>AND('SPR BARRANQUILLA'!CX12,"AAAAAHua9Ds=")</f>
        <v>#VALUE!</v>
      </c>
      <c r="BI14" t="e">
        <f>AND('SPR BARRANQUILLA'!CY12,"AAAAAHua9Dw=")</f>
        <v>#VALUE!</v>
      </c>
      <c r="BJ14" t="e">
        <f>AND('SPR BARRANQUILLA'!CZ12,"AAAAAHua9D0=")</f>
        <v>#VALUE!</v>
      </c>
      <c r="BK14" t="e">
        <f>AND('SPR BARRANQUILLA'!DA12,"AAAAAHua9D4=")</f>
        <v>#VALUE!</v>
      </c>
      <c r="BL14" t="e">
        <f>AND('SPR BARRANQUILLA'!DB12,"AAAAAHua9D8=")</f>
        <v>#VALUE!</v>
      </c>
      <c r="BM14" t="e">
        <f>AND('SPR BARRANQUILLA'!DC12,"AAAAAHua9EA=")</f>
        <v>#VALUE!</v>
      </c>
      <c r="BN14" t="e">
        <f>AND('SPR BARRANQUILLA'!DD12,"AAAAAHua9EE=")</f>
        <v>#VALUE!</v>
      </c>
      <c r="BO14" t="e">
        <f>AND('SPR BARRANQUILLA'!DE12,"AAAAAHua9EI=")</f>
        <v>#VALUE!</v>
      </c>
      <c r="BP14" t="e">
        <f>AND('SPR BARRANQUILLA'!DF12,"AAAAAHua9EM=")</f>
        <v>#VALUE!</v>
      </c>
      <c r="BQ14" t="e">
        <f>AND('SPR BARRANQUILLA'!DG12,"AAAAAHua9EQ=")</f>
        <v>#VALUE!</v>
      </c>
      <c r="BR14" t="e">
        <f>AND('SPR BARRANQUILLA'!DH12,"AAAAAHua9EU=")</f>
        <v>#VALUE!</v>
      </c>
      <c r="BS14" t="e">
        <f>AND('SPR BARRANQUILLA'!DI12,"AAAAAHua9EY=")</f>
        <v>#VALUE!</v>
      </c>
      <c r="BT14" t="e">
        <f>AND('SPR BARRANQUILLA'!DJ12,"AAAAAHua9Ec=")</f>
        <v>#VALUE!</v>
      </c>
      <c r="BU14" t="e">
        <f>AND('SPR BARRANQUILLA'!DK12,"AAAAAHua9Eg=")</f>
        <v>#VALUE!</v>
      </c>
      <c r="BV14" t="e">
        <f>AND('SPR BARRANQUILLA'!DL12,"AAAAAHua9Ek=")</f>
        <v>#VALUE!</v>
      </c>
      <c r="BW14" t="e">
        <f>AND('SPR BARRANQUILLA'!DM12,"AAAAAHua9Eo=")</f>
        <v>#VALUE!</v>
      </c>
      <c r="BX14" t="e">
        <f>AND('SPR BARRANQUILLA'!DN12,"AAAAAHua9Es=")</f>
        <v>#VALUE!</v>
      </c>
      <c r="BY14" t="e">
        <f>AND('SPR BARRANQUILLA'!DO12,"AAAAAHua9Ew=")</f>
        <v>#VALUE!</v>
      </c>
      <c r="BZ14" t="e">
        <f>AND('SPR BARRANQUILLA'!DP12,"AAAAAHua9E0=")</f>
        <v>#VALUE!</v>
      </c>
      <c r="CA14" t="e">
        <f>AND('SPR BARRANQUILLA'!DQ12,"AAAAAHua9E4=")</f>
        <v>#VALUE!</v>
      </c>
      <c r="CB14" t="e">
        <f>AND('SPR BARRANQUILLA'!DR12,"AAAAAHua9E8=")</f>
        <v>#VALUE!</v>
      </c>
      <c r="CC14" t="e">
        <f>AND('SPR BARRANQUILLA'!DS12,"AAAAAHua9FA=")</f>
        <v>#VALUE!</v>
      </c>
      <c r="CD14" t="e">
        <f>AND('SPR BARRANQUILLA'!DT12,"AAAAAHua9FE=")</f>
        <v>#VALUE!</v>
      </c>
      <c r="CE14" t="e">
        <f>AND('SPR BARRANQUILLA'!DU12,"AAAAAHua9FI=")</f>
        <v>#VALUE!</v>
      </c>
      <c r="CF14" t="e">
        <f>AND('SPR BARRANQUILLA'!DV12,"AAAAAHua9FM=")</f>
        <v>#VALUE!</v>
      </c>
      <c r="CG14" t="e">
        <f>AND('SPR BARRANQUILLA'!DW12,"AAAAAHua9FQ=")</f>
        <v>#VALUE!</v>
      </c>
      <c r="CH14" t="e">
        <f>AND('SPR BARRANQUILLA'!DX12,"AAAAAHua9FU=")</f>
        <v>#VALUE!</v>
      </c>
      <c r="CI14" t="e">
        <f>AND('SPR BARRANQUILLA'!DY12,"AAAAAHua9FY=")</f>
        <v>#VALUE!</v>
      </c>
      <c r="CJ14" t="e">
        <f>AND('SPR BARRANQUILLA'!DZ12,"AAAAAHua9Fc=")</f>
        <v>#VALUE!</v>
      </c>
      <c r="CK14" t="e">
        <f>AND('SPR BARRANQUILLA'!EA12,"AAAAAHua9Fg=")</f>
        <v>#VALUE!</v>
      </c>
      <c r="CL14" t="e">
        <f>AND('SPR BARRANQUILLA'!EB12,"AAAAAHua9Fk=")</f>
        <v>#VALUE!</v>
      </c>
      <c r="CM14" t="e">
        <f>AND('SPR BARRANQUILLA'!EC12,"AAAAAHua9Fo=")</f>
        <v>#VALUE!</v>
      </c>
      <c r="CN14" t="e">
        <f>AND('SPR BARRANQUILLA'!ED12,"AAAAAHua9Fs=")</f>
        <v>#VALUE!</v>
      </c>
      <c r="CO14" t="e">
        <f>AND('SPR BARRANQUILLA'!EE12,"AAAAAHua9Fw=")</f>
        <v>#VALUE!</v>
      </c>
      <c r="CP14" t="e">
        <f>AND('SPR BARRANQUILLA'!EF12,"AAAAAHua9F0=")</f>
        <v>#VALUE!</v>
      </c>
      <c r="CQ14" t="e">
        <f>AND('SPR BARRANQUILLA'!EG12,"AAAAAHua9F4=")</f>
        <v>#VALUE!</v>
      </c>
      <c r="CR14" t="e">
        <f>AND('SPR BARRANQUILLA'!EH12,"AAAAAHua9F8=")</f>
        <v>#VALUE!</v>
      </c>
      <c r="CS14" t="e">
        <f>AND('SPR BARRANQUILLA'!EI12,"AAAAAHua9GA=")</f>
        <v>#VALUE!</v>
      </c>
      <c r="CT14" t="e">
        <f>AND('SPR BARRANQUILLA'!EJ12,"AAAAAHua9GE=")</f>
        <v>#VALUE!</v>
      </c>
      <c r="CU14" t="e">
        <f>AND('SPR BARRANQUILLA'!EK12,"AAAAAHua9GI=")</f>
        <v>#VALUE!</v>
      </c>
      <c r="CV14" t="e">
        <f>AND('SPR BARRANQUILLA'!EL12,"AAAAAHua9GM=")</f>
        <v>#VALUE!</v>
      </c>
      <c r="CW14" t="e">
        <f>AND('SPR BARRANQUILLA'!EM12,"AAAAAHua9GQ=")</f>
        <v>#VALUE!</v>
      </c>
      <c r="CX14" t="e">
        <f>AND('SPR BARRANQUILLA'!EN12,"AAAAAHua9GU=")</f>
        <v>#VALUE!</v>
      </c>
      <c r="CY14" t="e">
        <f>AND('SPR BARRANQUILLA'!EO12,"AAAAAHua9GY=")</f>
        <v>#VALUE!</v>
      </c>
      <c r="CZ14" t="e">
        <f>AND('SPR BARRANQUILLA'!EP12,"AAAAAHua9Gc=")</f>
        <v>#VALUE!</v>
      </c>
      <c r="DA14" t="e">
        <f>AND('SPR BARRANQUILLA'!EQ12,"AAAAAHua9Gg=")</f>
        <v>#VALUE!</v>
      </c>
      <c r="DB14" t="e">
        <f>AND('SPR BARRANQUILLA'!ER12,"AAAAAHua9Gk=")</f>
        <v>#VALUE!</v>
      </c>
      <c r="DC14" t="e">
        <f>AND('SPR BARRANQUILLA'!ES12,"AAAAAHua9Go=")</f>
        <v>#VALUE!</v>
      </c>
      <c r="DD14" t="e">
        <f>AND('SPR BARRANQUILLA'!ET12,"AAAAAHua9Gs=")</f>
        <v>#VALUE!</v>
      </c>
      <c r="DE14" t="e">
        <f>AND('SPR BARRANQUILLA'!EU12,"AAAAAHua9Gw=")</f>
        <v>#VALUE!</v>
      </c>
      <c r="DF14" t="e">
        <f>AND('SPR BARRANQUILLA'!EV12,"AAAAAHua9G0=")</f>
        <v>#VALUE!</v>
      </c>
      <c r="DG14" t="e">
        <f>AND('SPR BARRANQUILLA'!EW12,"AAAAAHua9G4=")</f>
        <v>#VALUE!</v>
      </c>
      <c r="DH14" t="e">
        <f>AND('SPR BARRANQUILLA'!EX12,"AAAAAHua9G8=")</f>
        <v>#VALUE!</v>
      </c>
      <c r="DI14" t="e">
        <f>AND('SPR BARRANQUILLA'!EY12,"AAAAAHua9HA=")</f>
        <v>#VALUE!</v>
      </c>
      <c r="DJ14" t="e">
        <f>AND('SPR BARRANQUILLA'!EZ12,"AAAAAHua9HE=")</f>
        <v>#VALUE!</v>
      </c>
      <c r="DK14" t="e">
        <f>AND('SPR BARRANQUILLA'!FA12,"AAAAAHua9HI=")</f>
        <v>#VALUE!</v>
      </c>
      <c r="DL14" t="e">
        <f>AND('SPR BARRANQUILLA'!FB12,"AAAAAHua9HM=")</f>
        <v>#VALUE!</v>
      </c>
      <c r="DM14" t="e">
        <f>AND('SPR BARRANQUILLA'!FC12,"AAAAAHua9HQ=")</f>
        <v>#VALUE!</v>
      </c>
      <c r="DN14" t="e">
        <f>AND('SPR BARRANQUILLA'!FD12,"AAAAAHua9HU=")</f>
        <v>#VALUE!</v>
      </c>
      <c r="DO14" t="e">
        <f>AND('SPR BARRANQUILLA'!FE12,"AAAAAHua9HY=")</f>
        <v>#VALUE!</v>
      </c>
      <c r="DP14" t="e">
        <f>AND('SPR BARRANQUILLA'!FF12,"AAAAAHua9Hc=")</f>
        <v>#VALUE!</v>
      </c>
      <c r="DQ14" t="e">
        <f>AND('SPR BARRANQUILLA'!FG12,"AAAAAHua9Hg=")</f>
        <v>#VALUE!</v>
      </c>
      <c r="DR14" t="e">
        <f>AND('SPR BARRANQUILLA'!FH12,"AAAAAHua9Hk=")</f>
        <v>#VALUE!</v>
      </c>
      <c r="DS14" t="e">
        <f>AND('SPR BARRANQUILLA'!FI12,"AAAAAHua9Ho=")</f>
        <v>#VALUE!</v>
      </c>
      <c r="DT14" t="e">
        <f>AND('SPR BARRANQUILLA'!FJ12,"AAAAAHua9Hs=")</f>
        <v>#VALUE!</v>
      </c>
      <c r="DU14" t="e">
        <f>AND('SPR BARRANQUILLA'!FK12,"AAAAAHua9Hw=")</f>
        <v>#VALUE!</v>
      </c>
      <c r="DV14" t="e">
        <f>AND('SPR BARRANQUILLA'!FL12,"AAAAAHua9H0=")</f>
        <v>#VALUE!</v>
      </c>
      <c r="DW14" t="e">
        <f>AND('SPR BARRANQUILLA'!FM12,"AAAAAHua9H4=")</f>
        <v>#VALUE!</v>
      </c>
      <c r="DX14" t="e">
        <f>AND('SPR BARRANQUILLA'!FN12,"AAAAAHua9H8=")</f>
        <v>#VALUE!</v>
      </c>
      <c r="DY14" t="e">
        <f>AND('SPR BARRANQUILLA'!FO12,"AAAAAHua9IA=")</f>
        <v>#VALUE!</v>
      </c>
      <c r="DZ14" t="e">
        <f>AND('SPR BARRANQUILLA'!FP12,"AAAAAHua9IE=")</f>
        <v>#VALUE!</v>
      </c>
      <c r="EA14" t="e">
        <f>AND('SPR BARRANQUILLA'!FQ12,"AAAAAHua9II=")</f>
        <v>#VALUE!</v>
      </c>
      <c r="EB14" t="e">
        <f>AND('SPR BARRANQUILLA'!FR12,"AAAAAHua9IM=")</f>
        <v>#VALUE!</v>
      </c>
      <c r="EC14" t="e">
        <f>AND('SPR BARRANQUILLA'!FS12,"AAAAAHua9IQ=")</f>
        <v>#VALUE!</v>
      </c>
      <c r="ED14" t="e">
        <f>AND('SPR BARRANQUILLA'!FT12,"AAAAAHua9IU=")</f>
        <v>#VALUE!</v>
      </c>
      <c r="EE14" t="e">
        <f>AND('SPR BARRANQUILLA'!FU12,"AAAAAHua9IY=")</f>
        <v>#VALUE!</v>
      </c>
      <c r="EF14" t="e">
        <f>AND('SPR BARRANQUILLA'!FV12,"AAAAAHua9Ic=")</f>
        <v>#VALUE!</v>
      </c>
      <c r="EG14" t="e">
        <f>AND('SPR BARRANQUILLA'!FW12,"AAAAAHua9Ig=")</f>
        <v>#VALUE!</v>
      </c>
      <c r="EH14" t="e">
        <f>AND('SPR BARRANQUILLA'!FX12,"AAAAAHua9Ik=")</f>
        <v>#VALUE!</v>
      </c>
      <c r="EI14" t="e">
        <f>AND('SPR BARRANQUILLA'!FY12,"AAAAAHua9Io=")</f>
        <v>#VALUE!</v>
      </c>
      <c r="EJ14" t="e">
        <f>AND('SPR BARRANQUILLA'!FZ12,"AAAAAHua9Is=")</f>
        <v>#VALUE!</v>
      </c>
      <c r="EK14" t="e">
        <f>AND('SPR BARRANQUILLA'!GA12,"AAAAAHua9Iw=")</f>
        <v>#VALUE!</v>
      </c>
      <c r="EL14" t="e">
        <f>AND('SPR BARRANQUILLA'!GB12,"AAAAAHua9I0=")</f>
        <v>#VALUE!</v>
      </c>
      <c r="EM14" t="e">
        <f>AND('SPR BARRANQUILLA'!GC12,"AAAAAHua9I4=")</f>
        <v>#VALUE!</v>
      </c>
      <c r="EN14" t="e">
        <f>AND('SPR BARRANQUILLA'!GD12,"AAAAAHua9I8=")</f>
        <v>#VALUE!</v>
      </c>
      <c r="EO14" t="e">
        <f>AND('SPR BARRANQUILLA'!GE12,"AAAAAHua9JA=")</f>
        <v>#VALUE!</v>
      </c>
      <c r="EP14" t="e">
        <f>AND('SPR BARRANQUILLA'!GF12,"AAAAAHua9JE=")</f>
        <v>#VALUE!</v>
      </c>
      <c r="EQ14" t="e">
        <f>AND('SPR BARRANQUILLA'!GG12,"AAAAAHua9JI=")</f>
        <v>#VALUE!</v>
      </c>
      <c r="ER14" t="e">
        <f>AND('SPR BARRANQUILLA'!GH12,"AAAAAHua9JM=")</f>
        <v>#VALUE!</v>
      </c>
      <c r="ES14" t="e">
        <f>AND('SPR BARRANQUILLA'!GI12,"AAAAAHua9JQ=")</f>
        <v>#VALUE!</v>
      </c>
      <c r="ET14" t="e">
        <f>AND('SPR BARRANQUILLA'!GJ12,"AAAAAHua9JU=")</f>
        <v>#VALUE!</v>
      </c>
      <c r="EU14" t="e">
        <f>AND('SPR BARRANQUILLA'!GK12,"AAAAAHua9JY=")</f>
        <v>#VALUE!</v>
      </c>
      <c r="EV14" t="e">
        <f>AND('SPR BARRANQUILLA'!GL12,"AAAAAHua9Jc=")</f>
        <v>#VALUE!</v>
      </c>
      <c r="EW14" t="e">
        <f>AND('SPR BARRANQUILLA'!GM12,"AAAAAHua9Jg=")</f>
        <v>#VALUE!</v>
      </c>
      <c r="EX14" t="e">
        <f>AND('SPR BARRANQUILLA'!GN12,"AAAAAHua9Jk=")</f>
        <v>#VALUE!</v>
      </c>
      <c r="EY14" t="e">
        <f>AND('SPR BARRANQUILLA'!GO12,"AAAAAHua9Jo=")</f>
        <v>#VALUE!</v>
      </c>
      <c r="EZ14" t="e">
        <f>AND('SPR BARRANQUILLA'!GP12,"AAAAAHua9Js=")</f>
        <v>#VALUE!</v>
      </c>
      <c r="FA14" t="e">
        <f>AND('SPR BARRANQUILLA'!GQ12,"AAAAAHua9Jw=")</f>
        <v>#VALUE!</v>
      </c>
      <c r="FB14" t="e">
        <f>AND('SPR BARRANQUILLA'!GR12,"AAAAAHua9J0=")</f>
        <v>#VALUE!</v>
      </c>
      <c r="FC14" t="e">
        <f>AND('SPR BARRANQUILLA'!GS12,"AAAAAHua9J4=")</f>
        <v>#VALUE!</v>
      </c>
      <c r="FD14" t="e">
        <f>AND('SPR BARRANQUILLA'!GT12,"AAAAAHua9J8=")</f>
        <v>#VALUE!</v>
      </c>
      <c r="FE14" t="e">
        <f>AND('SPR BARRANQUILLA'!GU12,"AAAAAHua9KA=")</f>
        <v>#VALUE!</v>
      </c>
      <c r="FF14" t="e">
        <f>AND('SPR BARRANQUILLA'!GV12,"AAAAAHua9KE=")</f>
        <v>#VALUE!</v>
      </c>
      <c r="FG14" t="e">
        <f>AND('SPR BARRANQUILLA'!GW12,"AAAAAHua9KI=")</f>
        <v>#VALUE!</v>
      </c>
      <c r="FH14" t="e">
        <f>AND('SPR BARRANQUILLA'!GX12,"AAAAAHua9KM=")</f>
        <v>#VALUE!</v>
      </c>
      <c r="FI14" t="e">
        <f>AND('SPR BARRANQUILLA'!GY12,"AAAAAHua9KQ=")</f>
        <v>#VALUE!</v>
      </c>
      <c r="FJ14">
        <f>IF('SPR BARRANQUILLA'!13:13,"AAAAAHua9KU=",0)</f>
        <v>0</v>
      </c>
      <c r="FK14" t="e">
        <f>AND('SPR BARRANQUILLA'!A13,"AAAAAHua9KY=")</f>
        <v>#VALUE!</v>
      </c>
      <c r="FL14" t="e">
        <f>AND('SPR BARRANQUILLA'!B13,"AAAAAHua9Kc=")</f>
        <v>#VALUE!</v>
      </c>
      <c r="FM14" t="e">
        <f>AND('SPR BARRANQUILLA'!C13,"AAAAAHua9Kg=")</f>
        <v>#VALUE!</v>
      </c>
      <c r="FN14" t="e">
        <f>AND('SPR BARRANQUILLA'!D13,"AAAAAHua9Kk=")</f>
        <v>#VALUE!</v>
      </c>
      <c r="FO14" t="e">
        <f>AND('SPR BARRANQUILLA'!E13,"AAAAAHua9Ko=")</f>
        <v>#VALUE!</v>
      </c>
      <c r="FP14" t="e">
        <f>AND('SPR BARRANQUILLA'!F13,"AAAAAHua9Ks=")</f>
        <v>#VALUE!</v>
      </c>
      <c r="FQ14" t="e">
        <f>AND('SPR BARRANQUILLA'!G13,"AAAAAHua9Kw=")</f>
        <v>#VALUE!</v>
      </c>
      <c r="FR14" t="e">
        <f>AND('SPR BARRANQUILLA'!H13,"AAAAAHua9K0=")</f>
        <v>#VALUE!</v>
      </c>
      <c r="FS14" t="e">
        <f>AND('SPR BARRANQUILLA'!I13,"AAAAAHua9K4=")</f>
        <v>#VALUE!</v>
      </c>
      <c r="FT14" t="e">
        <f>AND('SPR BARRANQUILLA'!J13,"AAAAAHua9K8=")</f>
        <v>#VALUE!</v>
      </c>
      <c r="FU14" t="e">
        <f>AND('SPR BARRANQUILLA'!K13,"AAAAAHua9LA=")</f>
        <v>#VALUE!</v>
      </c>
      <c r="FV14" t="e">
        <f>AND('SPR BARRANQUILLA'!L13,"AAAAAHua9LE=")</f>
        <v>#VALUE!</v>
      </c>
      <c r="FW14" t="e">
        <f>AND('SPR BARRANQUILLA'!M13,"AAAAAHua9LI=")</f>
        <v>#VALUE!</v>
      </c>
      <c r="FX14" t="e">
        <f>AND('SPR BARRANQUILLA'!N13,"AAAAAHua9LM=")</f>
        <v>#VALUE!</v>
      </c>
      <c r="FY14" t="e">
        <f>AND('SPR BARRANQUILLA'!O13,"AAAAAHua9LQ=")</f>
        <v>#VALUE!</v>
      </c>
      <c r="FZ14" t="e">
        <f>AND('SPR BARRANQUILLA'!P13,"AAAAAHua9LU=")</f>
        <v>#VALUE!</v>
      </c>
      <c r="GA14" t="e">
        <f>AND('SPR BARRANQUILLA'!Q13,"AAAAAHua9LY=")</f>
        <v>#VALUE!</v>
      </c>
      <c r="GB14" t="e">
        <f>AND('SPR BARRANQUILLA'!R13,"AAAAAHua9Lc=")</f>
        <v>#VALUE!</v>
      </c>
      <c r="GC14" t="e">
        <f>AND('SPR BARRANQUILLA'!S13,"AAAAAHua9Lg=")</f>
        <v>#VALUE!</v>
      </c>
      <c r="GD14" t="e">
        <f>AND('SPR BARRANQUILLA'!T13,"AAAAAHua9Lk=")</f>
        <v>#VALUE!</v>
      </c>
      <c r="GE14" t="e">
        <f>AND('SPR BARRANQUILLA'!U13,"AAAAAHua9Lo=")</f>
        <v>#VALUE!</v>
      </c>
      <c r="GF14" t="e">
        <f>AND('SPR BARRANQUILLA'!V13,"AAAAAHua9Ls=")</f>
        <v>#VALUE!</v>
      </c>
      <c r="GG14" t="e">
        <f>AND('SPR BARRANQUILLA'!W13,"AAAAAHua9Lw=")</f>
        <v>#VALUE!</v>
      </c>
      <c r="GH14" t="e">
        <f>AND('SPR BARRANQUILLA'!X13,"AAAAAHua9L0=")</f>
        <v>#VALUE!</v>
      </c>
      <c r="GI14" t="e">
        <f>AND('SPR BARRANQUILLA'!Y13,"AAAAAHua9L4=")</f>
        <v>#VALUE!</v>
      </c>
      <c r="GJ14" t="e">
        <f>AND('SPR BARRANQUILLA'!Z13,"AAAAAHua9L8=")</f>
        <v>#VALUE!</v>
      </c>
      <c r="GK14" t="e">
        <f>AND('SPR BARRANQUILLA'!AA13,"AAAAAHua9MA=")</f>
        <v>#VALUE!</v>
      </c>
      <c r="GL14" t="e">
        <f>AND('SPR BARRANQUILLA'!AB13,"AAAAAHua9ME=")</f>
        <v>#VALUE!</v>
      </c>
      <c r="GM14" t="e">
        <f>AND('SPR BARRANQUILLA'!AC13,"AAAAAHua9MI=")</f>
        <v>#VALUE!</v>
      </c>
      <c r="GN14" t="e">
        <f>AND('SPR BARRANQUILLA'!AD13,"AAAAAHua9MM=")</f>
        <v>#VALUE!</v>
      </c>
      <c r="GO14" t="e">
        <f>AND('SPR BARRANQUILLA'!AE13,"AAAAAHua9MQ=")</f>
        <v>#VALUE!</v>
      </c>
      <c r="GP14" t="e">
        <f>AND('SPR BARRANQUILLA'!AF13,"AAAAAHua9MU=")</f>
        <v>#VALUE!</v>
      </c>
      <c r="GQ14" t="e">
        <f>AND('SPR BARRANQUILLA'!AG13,"AAAAAHua9MY=")</f>
        <v>#VALUE!</v>
      </c>
      <c r="GR14" t="e">
        <f>AND('SPR BARRANQUILLA'!AH13,"AAAAAHua9Mc=")</f>
        <v>#VALUE!</v>
      </c>
      <c r="GS14" t="e">
        <f>AND('SPR BARRANQUILLA'!AI13,"AAAAAHua9Mg=")</f>
        <v>#VALUE!</v>
      </c>
      <c r="GT14" t="e">
        <f>AND('SPR BARRANQUILLA'!AJ13,"AAAAAHua9Mk=")</f>
        <v>#VALUE!</v>
      </c>
      <c r="GU14" t="e">
        <f>AND('SPR BARRANQUILLA'!AK13,"AAAAAHua9Mo=")</f>
        <v>#VALUE!</v>
      </c>
      <c r="GV14" t="e">
        <f>AND('SPR BARRANQUILLA'!AL13,"AAAAAHua9Ms=")</f>
        <v>#VALUE!</v>
      </c>
      <c r="GW14" t="e">
        <f>AND('SPR BARRANQUILLA'!AM13,"AAAAAHua9Mw=")</f>
        <v>#VALUE!</v>
      </c>
      <c r="GX14" t="e">
        <f>AND('SPR BARRANQUILLA'!AN13,"AAAAAHua9M0=")</f>
        <v>#VALUE!</v>
      </c>
      <c r="GY14" t="e">
        <f>AND('SPR BARRANQUILLA'!AO13,"AAAAAHua9M4=")</f>
        <v>#VALUE!</v>
      </c>
      <c r="GZ14" t="e">
        <f>AND('SPR BARRANQUILLA'!AP13,"AAAAAHua9M8=")</f>
        <v>#VALUE!</v>
      </c>
      <c r="HA14" t="e">
        <f>AND('SPR BARRANQUILLA'!AQ13,"AAAAAHua9NA=")</f>
        <v>#VALUE!</v>
      </c>
      <c r="HB14" t="e">
        <f>AND('SPR BARRANQUILLA'!AR13,"AAAAAHua9NE=")</f>
        <v>#VALUE!</v>
      </c>
      <c r="HC14" t="e">
        <f>AND('SPR BARRANQUILLA'!AS13,"AAAAAHua9NI=")</f>
        <v>#VALUE!</v>
      </c>
      <c r="HD14" t="e">
        <f>AND('SPR BARRANQUILLA'!AT13,"AAAAAHua9NM=")</f>
        <v>#VALUE!</v>
      </c>
      <c r="HE14" t="e">
        <f>AND('SPR BARRANQUILLA'!AU13,"AAAAAHua9NQ=")</f>
        <v>#VALUE!</v>
      </c>
      <c r="HF14" t="e">
        <f>AND('SPR BARRANQUILLA'!AV13,"AAAAAHua9NU=")</f>
        <v>#VALUE!</v>
      </c>
      <c r="HG14" t="e">
        <f>AND('SPR BARRANQUILLA'!AW13,"AAAAAHua9NY=")</f>
        <v>#VALUE!</v>
      </c>
      <c r="HH14" t="e">
        <f>AND('SPR BARRANQUILLA'!AX13,"AAAAAHua9Nc=")</f>
        <v>#VALUE!</v>
      </c>
      <c r="HI14" t="e">
        <f>AND('SPR BARRANQUILLA'!AY13,"AAAAAHua9Ng=")</f>
        <v>#VALUE!</v>
      </c>
      <c r="HJ14" t="e">
        <f>AND('SPR BARRANQUILLA'!AZ13,"AAAAAHua9Nk=")</f>
        <v>#VALUE!</v>
      </c>
      <c r="HK14" t="e">
        <f>AND('SPR BARRANQUILLA'!BA13,"AAAAAHua9No=")</f>
        <v>#VALUE!</v>
      </c>
      <c r="HL14" t="e">
        <f>AND('SPR BARRANQUILLA'!BB13,"AAAAAHua9Ns=")</f>
        <v>#VALUE!</v>
      </c>
      <c r="HM14" t="e">
        <f>AND('SPR BARRANQUILLA'!BC13,"AAAAAHua9Nw=")</f>
        <v>#VALUE!</v>
      </c>
      <c r="HN14" t="e">
        <f>AND('SPR BARRANQUILLA'!BD13,"AAAAAHua9N0=")</f>
        <v>#VALUE!</v>
      </c>
      <c r="HO14" t="e">
        <f>AND('SPR BARRANQUILLA'!BE13,"AAAAAHua9N4=")</f>
        <v>#VALUE!</v>
      </c>
      <c r="HP14" t="e">
        <f>AND('SPR BARRANQUILLA'!BF13,"AAAAAHua9N8=")</f>
        <v>#VALUE!</v>
      </c>
      <c r="HQ14" t="e">
        <f>AND('SPR BARRANQUILLA'!BG13,"AAAAAHua9OA=")</f>
        <v>#VALUE!</v>
      </c>
      <c r="HR14" t="e">
        <f>AND('SPR BARRANQUILLA'!BH13,"AAAAAHua9OE=")</f>
        <v>#VALUE!</v>
      </c>
      <c r="HS14" t="e">
        <f>AND('SPR BARRANQUILLA'!BI13,"AAAAAHua9OI=")</f>
        <v>#VALUE!</v>
      </c>
      <c r="HT14" t="e">
        <f>AND('SPR BARRANQUILLA'!BJ13,"AAAAAHua9OM=")</f>
        <v>#VALUE!</v>
      </c>
      <c r="HU14" t="e">
        <f>AND('SPR BARRANQUILLA'!BK13,"AAAAAHua9OQ=")</f>
        <v>#VALUE!</v>
      </c>
      <c r="HV14" t="e">
        <f>AND('SPR BARRANQUILLA'!BL13,"AAAAAHua9OU=")</f>
        <v>#VALUE!</v>
      </c>
      <c r="HW14" t="e">
        <f>AND('SPR BARRANQUILLA'!BM13,"AAAAAHua9OY=")</f>
        <v>#VALUE!</v>
      </c>
      <c r="HX14" t="e">
        <f>AND('SPR BARRANQUILLA'!BN13,"AAAAAHua9Oc=")</f>
        <v>#VALUE!</v>
      </c>
      <c r="HY14" t="e">
        <f>AND('SPR BARRANQUILLA'!BO13,"AAAAAHua9Og=")</f>
        <v>#VALUE!</v>
      </c>
      <c r="HZ14" t="e">
        <f>AND('SPR BARRANQUILLA'!BP13,"AAAAAHua9Ok=")</f>
        <v>#VALUE!</v>
      </c>
      <c r="IA14" t="e">
        <f>AND('SPR BARRANQUILLA'!BQ13,"AAAAAHua9Oo=")</f>
        <v>#VALUE!</v>
      </c>
      <c r="IB14" t="e">
        <f>AND('SPR BARRANQUILLA'!BR13,"AAAAAHua9Os=")</f>
        <v>#VALUE!</v>
      </c>
      <c r="IC14" t="e">
        <f>AND('SPR BARRANQUILLA'!BS13,"AAAAAHua9Ow=")</f>
        <v>#VALUE!</v>
      </c>
      <c r="ID14" t="e">
        <f>AND('SPR BARRANQUILLA'!BT13,"AAAAAHua9O0=")</f>
        <v>#VALUE!</v>
      </c>
      <c r="IE14" t="e">
        <f>AND('SPR BARRANQUILLA'!BU13,"AAAAAHua9O4=")</f>
        <v>#VALUE!</v>
      </c>
      <c r="IF14" t="e">
        <f>AND('SPR BARRANQUILLA'!BV13,"AAAAAHua9O8=")</f>
        <v>#VALUE!</v>
      </c>
      <c r="IG14" t="e">
        <f>AND('SPR BARRANQUILLA'!BW13,"AAAAAHua9PA=")</f>
        <v>#VALUE!</v>
      </c>
      <c r="IH14" t="e">
        <f>AND('SPR BARRANQUILLA'!BX13,"AAAAAHua9PE=")</f>
        <v>#VALUE!</v>
      </c>
      <c r="II14" t="e">
        <f>AND('SPR BARRANQUILLA'!BY13,"AAAAAHua9PI=")</f>
        <v>#VALUE!</v>
      </c>
      <c r="IJ14" t="e">
        <f>AND('SPR BARRANQUILLA'!BZ13,"AAAAAHua9PM=")</f>
        <v>#VALUE!</v>
      </c>
      <c r="IK14" t="e">
        <f>AND('SPR BARRANQUILLA'!CA13,"AAAAAHua9PQ=")</f>
        <v>#VALUE!</v>
      </c>
      <c r="IL14" t="e">
        <f>AND('SPR BARRANQUILLA'!CB13,"AAAAAHua9PU=")</f>
        <v>#VALUE!</v>
      </c>
      <c r="IM14" t="e">
        <f>AND('SPR BARRANQUILLA'!CC13,"AAAAAHua9PY=")</f>
        <v>#VALUE!</v>
      </c>
      <c r="IN14" t="e">
        <f>AND('SPR BARRANQUILLA'!CD13,"AAAAAHua9Pc=")</f>
        <v>#VALUE!</v>
      </c>
      <c r="IO14" t="e">
        <f>AND('SPR BARRANQUILLA'!CE13,"AAAAAHua9Pg=")</f>
        <v>#VALUE!</v>
      </c>
      <c r="IP14" t="e">
        <f>AND('SPR BARRANQUILLA'!CF13,"AAAAAHua9Pk=")</f>
        <v>#VALUE!</v>
      </c>
      <c r="IQ14" t="e">
        <f>AND('SPR BARRANQUILLA'!CG13,"AAAAAHua9Po=")</f>
        <v>#VALUE!</v>
      </c>
      <c r="IR14" t="e">
        <f>AND('SPR BARRANQUILLA'!CH13,"AAAAAHua9Ps=")</f>
        <v>#VALUE!</v>
      </c>
      <c r="IS14" t="e">
        <f>AND('SPR BARRANQUILLA'!CI13,"AAAAAHua9Pw=")</f>
        <v>#VALUE!</v>
      </c>
      <c r="IT14" t="e">
        <f>AND('SPR BARRANQUILLA'!CJ13,"AAAAAHua9P0=")</f>
        <v>#VALUE!</v>
      </c>
      <c r="IU14" t="e">
        <f>AND('SPR BARRANQUILLA'!CK13,"AAAAAHua9P4=")</f>
        <v>#VALUE!</v>
      </c>
      <c r="IV14" t="e">
        <f>AND('SPR BARRANQUILLA'!CL13,"AAAAAHua9P8=")</f>
        <v>#VALUE!</v>
      </c>
    </row>
    <row r="15" spans="1:256">
      <c r="A15" t="e">
        <f>AND('SPR BARRANQUILLA'!CM13,"AAAAAG/crwA=")</f>
        <v>#VALUE!</v>
      </c>
      <c r="B15" t="e">
        <f>AND('SPR BARRANQUILLA'!CN13,"AAAAAG/crwE=")</f>
        <v>#VALUE!</v>
      </c>
      <c r="C15" t="e">
        <f>AND('SPR BARRANQUILLA'!CO13,"AAAAAG/crwI=")</f>
        <v>#VALUE!</v>
      </c>
      <c r="D15" t="e">
        <f>AND('SPR BARRANQUILLA'!CP13,"AAAAAG/crwM=")</f>
        <v>#VALUE!</v>
      </c>
      <c r="E15" t="e">
        <f>AND('SPR BARRANQUILLA'!CQ13,"AAAAAG/crwQ=")</f>
        <v>#VALUE!</v>
      </c>
      <c r="F15" t="e">
        <f>AND('SPR BARRANQUILLA'!CR13,"AAAAAG/crwU=")</f>
        <v>#VALUE!</v>
      </c>
      <c r="G15" t="e">
        <f>AND('SPR BARRANQUILLA'!CS13,"AAAAAG/crwY=")</f>
        <v>#VALUE!</v>
      </c>
      <c r="H15" t="e">
        <f>AND('SPR BARRANQUILLA'!CT13,"AAAAAG/crwc=")</f>
        <v>#VALUE!</v>
      </c>
      <c r="I15" t="e">
        <f>AND('SPR BARRANQUILLA'!CU13,"AAAAAG/crwg=")</f>
        <v>#VALUE!</v>
      </c>
      <c r="J15" t="e">
        <f>AND('SPR BARRANQUILLA'!CV13,"AAAAAG/crwk=")</f>
        <v>#VALUE!</v>
      </c>
      <c r="K15" t="e">
        <f>AND('SPR BARRANQUILLA'!CW13,"AAAAAG/crwo=")</f>
        <v>#VALUE!</v>
      </c>
      <c r="L15" t="e">
        <f>AND('SPR BARRANQUILLA'!CX13,"AAAAAG/crws=")</f>
        <v>#VALUE!</v>
      </c>
      <c r="M15" t="e">
        <f>AND('SPR BARRANQUILLA'!CY13,"AAAAAG/crww=")</f>
        <v>#VALUE!</v>
      </c>
      <c r="N15" t="e">
        <f>AND('SPR BARRANQUILLA'!CZ13,"AAAAAG/crw0=")</f>
        <v>#VALUE!</v>
      </c>
      <c r="O15" t="e">
        <f>AND('SPR BARRANQUILLA'!DA13,"AAAAAG/crw4=")</f>
        <v>#VALUE!</v>
      </c>
      <c r="P15" t="e">
        <f>AND('SPR BARRANQUILLA'!DB13,"AAAAAG/crw8=")</f>
        <v>#VALUE!</v>
      </c>
      <c r="Q15" t="e">
        <f>AND('SPR BARRANQUILLA'!DC13,"AAAAAG/crxA=")</f>
        <v>#VALUE!</v>
      </c>
      <c r="R15" t="e">
        <f>AND('SPR BARRANQUILLA'!DD13,"AAAAAG/crxE=")</f>
        <v>#VALUE!</v>
      </c>
      <c r="S15" t="e">
        <f>AND('SPR BARRANQUILLA'!DE13,"AAAAAG/crxI=")</f>
        <v>#VALUE!</v>
      </c>
      <c r="T15" t="e">
        <f>AND('SPR BARRANQUILLA'!DF13,"AAAAAG/crxM=")</f>
        <v>#VALUE!</v>
      </c>
      <c r="U15" t="e">
        <f>AND('SPR BARRANQUILLA'!DG13,"AAAAAG/crxQ=")</f>
        <v>#VALUE!</v>
      </c>
      <c r="V15" t="e">
        <f>AND('SPR BARRANQUILLA'!DH13,"AAAAAG/crxU=")</f>
        <v>#VALUE!</v>
      </c>
      <c r="W15" t="e">
        <f>AND('SPR BARRANQUILLA'!DI13,"AAAAAG/crxY=")</f>
        <v>#VALUE!</v>
      </c>
      <c r="X15" t="e">
        <f>AND('SPR BARRANQUILLA'!DJ13,"AAAAAG/crxc=")</f>
        <v>#VALUE!</v>
      </c>
      <c r="Y15" t="e">
        <f>AND('SPR BARRANQUILLA'!DK13,"AAAAAG/crxg=")</f>
        <v>#VALUE!</v>
      </c>
      <c r="Z15" t="e">
        <f>AND('SPR BARRANQUILLA'!DL13,"AAAAAG/crxk=")</f>
        <v>#VALUE!</v>
      </c>
      <c r="AA15" t="e">
        <f>AND('SPR BARRANQUILLA'!DM13,"AAAAAG/crxo=")</f>
        <v>#VALUE!</v>
      </c>
      <c r="AB15" t="e">
        <f>AND('SPR BARRANQUILLA'!DN13,"AAAAAG/crxs=")</f>
        <v>#VALUE!</v>
      </c>
      <c r="AC15" t="e">
        <f>AND('SPR BARRANQUILLA'!DO13,"AAAAAG/crxw=")</f>
        <v>#VALUE!</v>
      </c>
      <c r="AD15" t="e">
        <f>AND('SPR BARRANQUILLA'!DP13,"AAAAAG/crx0=")</f>
        <v>#VALUE!</v>
      </c>
      <c r="AE15" t="e">
        <f>AND('SPR BARRANQUILLA'!DQ13,"AAAAAG/crx4=")</f>
        <v>#VALUE!</v>
      </c>
      <c r="AF15" t="e">
        <f>AND('SPR BARRANQUILLA'!DR13,"AAAAAG/crx8=")</f>
        <v>#VALUE!</v>
      </c>
      <c r="AG15" t="e">
        <f>AND('SPR BARRANQUILLA'!DS13,"AAAAAG/cryA=")</f>
        <v>#VALUE!</v>
      </c>
      <c r="AH15" t="e">
        <f>AND('SPR BARRANQUILLA'!DT13,"AAAAAG/cryE=")</f>
        <v>#VALUE!</v>
      </c>
      <c r="AI15" t="e">
        <f>AND('SPR BARRANQUILLA'!DU13,"AAAAAG/cryI=")</f>
        <v>#VALUE!</v>
      </c>
      <c r="AJ15" t="e">
        <f>AND('SPR BARRANQUILLA'!DV13,"AAAAAG/cryM=")</f>
        <v>#VALUE!</v>
      </c>
      <c r="AK15" t="e">
        <f>AND('SPR BARRANQUILLA'!DW13,"AAAAAG/cryQ=")</f>
        <v>#VALUE!</v>
      </c>
      <c r="AL15" t="e">
        <f>AND('SPR BARRANQUILLA'!DX13,"AAAAAG/cryU=")</f>
        <v>#VALUE!</v>
      </c>
      <c r="AM15" t="e">
        <f>AND('SPR BARRANQUILLA'!DY13,"AAAAAG/cryY=")</f>
        <v>#VALUE!</v>
      </c>
      <c r="AN15" t="e">
        <f>AND('SPR BARRANQUILLA'!DZ13,"AAAAAG/cryc=")</f>
        <v>#VALUE!</v>
      </c>
      <c r="AO15" t="e">
        <f>AND('SPR BARRANQUILLA'!EA13,"AAAAAG/cryg=")</f>
        <v>#VALUE!</v>
      </c>
      <c r="AP15" t="e">
        <f>AND('SPR BARRANQUILLA'!EB13,"AAAAAG/cryk=")</f>
        <v>#VALUE!</v>
      </c>
      <c r="AQ15" t="e">
        <f>AND('SPR BARRANQUILLA'!EC13,"AAAAAG/cryo=")</f>
        <v>#VALUE!</v>
      </c>
      <c r="AR15" t="e">
        <f>AND('SPR BARRANQUILLA'!ED13,"AAAAAG/crys=")</f>
        <v>#VALUE!</v>
      </c>
      <c r="AS15" t="e">
        <f>AND('SPR BARRANQUILLA'!EE13,"AAAAAG/cryw=")</f>
        <v>#VALUE!</v>
      </c>
      <c r="AT15" t="e">
        <f>AND('SPR BARRANQUILLA'!EF13,"AAAAAG/cry0=")</f>
        <v>#VALUE!</v>
      </c>
      <c r="AU15" t="e">
        <f>AND('SPR BARRANQUILLA'!EG13,"AAAAAG/cry4=")</f>
        <v>#VALUE!</v>
      </c>
      <c r="AV15" t="e">
        <f>AND('SPR BARRANQUILLA'!EH13,"AAAAAG/cry8=")</f>
        <v>#VALUE!</v>
      </c>
      <c r="AW15" t="e">
        <f>AND('SPR BARRANQUILLA'!EI13,"AAAAAG/crzA=")</f>
        <v>#VALUE!</v>
      </c>
      <c r="AX15" t="e">
        <f>AND('SPR BARRANQUILLA'!EJ13,"AAAAAG/crzE=")</f>
        <v>#VALUE!</v>
      </c>
      <c r="AY15" t="e">
        <f>AND('SPR BARRANQUILLA'!EK13,"AAAAAG/crzI=")</f>
        <v>#VALUE!</v>
      </c>
      <c r="AZ15" t="e">
        <f>AND('SPR BARRANQUILLA'!EL13,"AAAAAG/crzM=")</f>
        <v>#VALUE!</v>
      </c>
      <c r="BA15" t="e">
        <f>AND('SPR BARRANQUILLA'!EM13,"AAAAAG/crzQ=")</f>
        <v>#VALUE!</v>
      </c>
      <c r="BB15" t="e">
        <f>AND('SPR BARRANQUILLA'!EN13,"AAAAAG/crzU=")</f>
        <v>#VALUE!</v>
      </c>
      <c r="BC15" t="e">
        <f>AND('SPR BARRANQUILLA'!EO13,"AAAAAG/crzY=")</f>
        <v>#VALUE!</v>
      </c>
      <c r="BD15" t="e">
        <f>AND('SPR BARRANQUILLA'!EP13,"AAAAAG/crzc=")</f>
        <v>#VALUE!</v>
      </c>
      <c r="BE15" t="e">
        <f>AND('SPR BARRANQUILLA'!EQ13,"AAAAAG/crzg=")</f>
        <v>#VALUE!</v>
      </c>
      <c r="BF15" t="e">
        <f>AND('SPR BARRANQUILLA'!ER13,"AAAAAG/crzk=")</f>
        <v>#VALUE!</v>
      </c>
      <c r="BG15" t="e">
        <f>AND('SPR BARRANQUILLA'!ES13,"AAAAAG/crzo=")</f>
        <v>#VALUE!</v>
      </c>
      <c r="BH15" t="e">
        <f>AND('SPR BARRANQUILLA'!ET13,"AAAAAG/crzs=")</f>
        <v>#VALUE!</v>
      </c>
      <c r="BI15" t="e">
        <f>AND('SPR BARRANQUILLA'!EU13,"AAAAAG/crzw=")</f>
        <v>#VALUE!</v>
      </c>
      <c r="BJ15" t="e">
        <f>AND('SPR BARRANQUILLA'!EV13,"AAAAAG/crz0=")</f>
        <v>#VALUE!</v>
      </c>
      <c r="BK15" t="e">
        <f>AND('SPR BARRANQUILLA'!EW13,"AAAAAG/crz4=")</f>
        <v>#VALUE!</v>
      </c>
      <c r="BL15" t="e">
        <f>AND('SPR BARRANQUILLA'!EX13,"AAAAAG/crz8=")</f>
        <v>#VALUE!</v>
      </c>
      <c r="BM15" t="e">
        <f>AND('SPR BARRANQUILLA'!EY13,"AAAAAG/cr0A=")</f>
        <v>#VALUE!</v>
      </c>
      <c r="BN15" t="e">
        <f>AND('SPR BARRANQUILLA'!EZ13,"AAAAAG/cr0E=")</f>
        <v>#VALUE!</v>
      </c>
      <c r="BO15" t="e">
        <f>AND('SPR BARRANQUILLA'!FA13,"AAAAAG/cr0I=")</f>
        <v>#VALUE!</v>
      </c>
      <c r="BP15" t="e">
        <f>AND('SPR BARRANQUILLA'!FB13,"AAAAAG/cr0M=")</f>
        <v>#VALUE!</v>
      </c>
      <c r="BQ15" t="e">
        <f>AND('SPR BARRANQUILLA'!FC13,"AAAAAG/cr0Q=")</f>
        <v>#VALUE!</v>
      </c>
      <c r="BR15" t="e">
        <f>AND('SPR BARRANQUILLA'!FD13,"AAAAAG/cr0U=")</f>
        <v>#VALUE!</v>
      </c>
      <c r="BS15" t="e">
        <f>AND('SPR BARRANQUILLA'!FE13,"AAAAAG/cr0Y=")</f>
        <v>#VALUE!</v>
      </c>
      <c r="BT15" t="e">
        <f>AND('SPR BARRANQUILLA'!FF13,"AAAAAG/cr0c=")</f>
        <v>#VALUE!</v>
      </c>
      <c r="BU15" t="e">
        <f>AND('SPR BARRANQUILLA'!FG13,"AAAAAG/cr0g=")</f>
        <v>#VALUE!</v>
      </c>
      <c r="BV15" t="e">
        <f>AND('SPR BARRANQUILLA'!FH13,"AAAAAG/cr0k=")</f>
        <v>#VALUE!</v>
      </c>
      <c r="BW15" t="e">
        <f>AND('SPR BARRANQUILLA'!FI13,"AAAAAG/cr0o=")</f>
        <v>#VALUE!</v>
      </c>
      <c r="BX15" t="e">
        <f>AND('SPR BARRANQUILLA'!FJ13,"AAAAAG/cr0s=")</f>
        <v>#VALUE!</v>
      </c>
      <c r="BY15" t="e">
        <f>AND('SPR BARRANQUILLA'!FK13,"AAAAAG/cr0w=")</f>
        <v>#VALUE!</v>
      </c>
      <c r="BZ15" t="e">
        <f>AND('SPR BARRANQUILLA'!FL13,"AAAAAG/cr00=")</f>
        <v>#VALUE!</v>
      </c>
      <c r="CA15" t="e">
        <f>AND('SPR BARRANQUILLA'!FM13,"AAAAAG/cr04=")</f>
        <v>#VALUE!</v>
      </c>
      <c r="CB15" t="e">
        <f>AND('SPR BARRANQUILLA'!FN13,"AAAAAG/cr08=")</f>
        <v>#VALUE!</v>
      </c>
      <c r="CC15" t="e">
        <f>AND('SPR BARRANQUILLA'!FO13,"AAAAAG/cr1A=")</f>
        <v>#VALUE!</v>
      </c>
      <c r="CD15" t="e">
        <f>AND('SPR BARRANQUILLA'!FP13,"AAAAAG/cr1E=")</f>
        <v>#VALUE!</v>
      </c>
      <c r="CE15" t="e">
        <f>AND('SPR BARRANQUILLA'!FQ13,"AAAAAG/cr1I=")</f>
        <v>#VALUE!</v>
      </c>
      <c r="CF15" t="e">
        <f>AND('SPR BARRANQUILLA'!FR13,"AAAAAG/cr1M=")</f>
        <v>#VALUE!</v>
      </c>
      <c r="CG15" t="e">
        <f>AND('SPR BARRANQUILLA'!FS13,"AAAAAG/cr1Q=")</f>
        <v>#VALUE!</v>
      </c>
      <c r="CH15" t="e">
        <f>AND('SPR BARRANQUILLA'!FT13,"AAAAAG/cr1U=")</f>
        <v>#VALUE!</v>
      </c>
      <c r="CI15" t="e">
        <f>AND('SPR BARRANQUILLA'!FU13,"AAAAAG/cr1Y=")</f>
        <v>#VALUE!</v>
      </c>
      <c r="CJ15" t="e">
        <f>AND('SPR BARRANQUILLA'!FV13,"AAAAAG/cr1c=")</f>
        <v>#VALUE!</v>
      </c>
      <c r="CK15" t="e">
        <f>AND('SPR BARRANQUILLA'!FW13,"AAAAAG/cr1g=")</f>
        <v>#VALUE!</v>
      </c>
      <c r="CL15" t="e">
        <f>AND('SPR BARRANQUILLA'!FX13,"AAAAAG/cr1k=")</f>
        <v>#VALUE!</v>
      </c>
      <c r="CM15" t="e">
        <f>AND('SPR BARRANQUILLA'!FY13,"AAAAAG/cr1o=")</f>
        <v>#VALUE!</v>
      </c>
      <c r="CN15" t="e">
        <f>AND('SPR BARRANQUILLA'!FZ13,"AAAAAG/cr1s=")</f>
        <v>#VALUE!</v>
      </c>
      <c r="CO15" t="e">
        <f>AND('SPR BARRANQUILLA'!GA13,"AAAAAG/cr1w=")</f>
        <v>#VALUE!</v>
      </c>
      <c r="CP15" t="e">
        <f>AND('SPR BARRANQUILLA'!GB13,"AAAAAG/cr10=")</f>
        <v>#VALUE!</v>
      </c>
      <c r="CQ15" t="e">
        <f>AND('SPR BARRANQUILLA'!GC13,"AAAAAG/cr14=")</f>
        <v>#VALUE!</v>
      </c>
      <c r="CR15" t="e">
        <f>AND('SPR BARRANQUILLA'!GD13,"AAAAAG/cr18=")</f>
        <v>#VALUE!</v>
      </c>
      <c r="CS15" t="e">
        <f>AND('SPR BARRANQUILLA'!GE13,"AAAAAG/cr2A=")</f>
        <v>#VALUE!</v>
      </c>
      <c r="CT15" t="e">
        <f>AND('SPR BARRANQUILLA'!GF13,"AAAAAG/cr2E=")</f>
        <v>#VALUE!</v>
      </c>
      <c r="CU15" t="e">
        <f>AND('SPR BARRANQUILLA'!GG13,"AAAAAG/cr2I=")</f>
        <v>#VALUE!</v>
      </c>
      <c r="CV15" t="e">
        <f>AND('SPR BARRANQUILLA'!GH13,"AAAAAG/cr2M=")</f>
        <v>#VALUE!</v>
      </c>
      <c r="CW15" t="e">
        <f>AND('SPR BARRANQUILLA'!GI13,"AAAAAG/cr2Q=")</f>
        <v>#VALUE!</v>
      </c>
      <c r="CX15" t="e">
        <f>AND('SPR BARRANQUILLA'!GJ13,"AAAAAG/cr2U=")</f>
        <v>#VALUE!</v>
      </c>
      <c r="CY15" t="e">
        <f>AND('SPR BARRANQUILLA'!GK13,"AAAAAG/cr2Y=")</f>
        <v>#VALUE!</v>
      </c>
      <c r="CZ15" t="e">
        <f>AND('SPR BARRANQUILLA'!GL13,"AAAAAG/cr2c=")</f>
        <v>#VALUE!</v>
      </c>
      <c r="DA15" t="e">
        <f>AND('SPR BARRANQUILLA'!GM13,"AAAAAG/cr2g=")</f>
        <v>#VALUE!</v>
      </c>
      <c r="DB15" t="e">
        <f>AND('SPR BARRANQUILLA'!GN13,"AAAAAG/cr2k=")</f>
        <v>#VALUE!</v>
      </c>
      <c r="DC15" t="e">
        <f>AND('SPR BARRANQUILLA'!GO13,"AAAAAG/cr2o=")</f>
        <v>#VALUE!</v>
      </c>
      <c r="DD15" t="e">
        <f>AND('SPR BARRANQUILLA'!GP13,"AAAAAG/cr2s=")</f>
        <v>#VALUE!</v>
      </c>
      <c r="DE15" t="e">
        <f>AND('SPR BARRANQUILLA'!GQ13,"AAAAAG/cr2w=")</f>
        <v>#VALUE!</v>
      </c>
      <c r="DF15" t="e">
        <f>AND('SPR BARRANQUILLA'!GR13,"AAAAAG/cr20=")</f>
        <v>#VALUE!</v>
      </c>
      <c r="DG15" t="e">
        <f>AND('SPR BARRANQUILLA'!GS13,"AAAAAG/cr24=")</f>
        <v>#VALUE!</v>
      </c>
      <c r="DH15" t="e">
        <f>AND('SPR BARRANQUILLA'!GT13,"AAAAAG/cr28=")</f>
        <v>#VALUE!</v>
      </c>
      <c r="DI15" t="e">
        <f>AND('SPR BARRANQUILLA'!GU13,"AAAAAG/cr3A=")</f>
        <v>#VALUE!</v>
      </c>
      <c r="DJ15" t="e">
        <f>AND('SPR BARRANQUILLA'!GV13,"AAAAAG/cr3E=")</f>
        <v>#VALUE!</v>
      </c>
      <c r="DK15" t="e">
        <f>AND('SPR BARRANQUILLA'!GW13,"AAAAAG/cr3I=")</f>
        <v>#VALUE!</v>
      </c>
      <c r="DL15" t="e">
        <f>AND('SPR BARRANQUILLA'!GX13,"AAAAAG/cr3M=")</f>
        <v>#VALUE!</v>
      </c>
      <c r="DM15" t="e">
        <f>AND('SPR BARRANQUILLA'!GY13,"AAAAAG/cr3Q=")</f>
        <v>#VALUE!</v>
      </c>
      <c r="DN15">
        <f>IF('SPR BARRANQUILLA'!14:14,"AAAAAG/cr3U=",0)</f>
        <v>0</v>
      </c>
      <c r="DO15" t="e">
        <f>AND('SPR BARRANQUILLA'!A14,"AAAAAG/cr3Y=")</f>
        <v>#VALUE!</v>
      </c>
      <c r="DP15" t="e">
        <f>AND('SPR BARRANQUILLA'!B14,"AAAAAG/cr3c=")</f>
        <v>#VALUE!</v>
      </c>
      <c r="DQ15" t="e">
        <f>AND('SPR BARRANQUILLA'!C14,"AAAAAG/cr3g=")</f>
        <v>#VALUE!</v>
      </c>
      <c r="DR15" t="e">
        <f>AND('SPR BARRANQUILLA'!D14,"AAAAAG/cr3k=")</f>
        <v>#VALUE!</v>
      </c>
      <c r="DS15" t="e">
        <f>AND('SPR BARRANQUILLA'!E14,"AAAAAG/cr3o=")</f>
        <v>#VALUE!</v>
      </c>
      <c r="DT15" t="e">
        <f>AND('SPR BARRANQUILLA'!F14,"AAAAAG/cr3s=")</f>
        <v>#VALUE!</v>
      </c>
      <c r="DU15" t="e">
        <f>AND('SPR BARRANQUILLA'!G14,"AAAAAG/cr3w=")</f>
        <v>#VALUE!</v>
      </c>
      <c r="DV15" t="e">
        <f>AND('SPR BARRANQUILLA'!H14,"AAAAAG/cr30=")</f>
        <v>#VALUE!</v>
      </c>
      <c r="DW15" t="e">
        <f>AND('SPR BARRANQUILLA'!I14,"AAAAAG/cr34=")</f>
        <v>#VALUE!</v>
      </c>
      <c r="DX15" t="e">
        <f>AND('SPR BARRANQUILLA'!J14,"AAAAAG/cr38=")</f>
        <v>#VALUE!</v>
      </c>
      <c r="DY15" t="e">
        <f>AND('SPR BARRANQUILLA'!K14,"AAAAAG/cr4A=")</f>
        <v>#VALUE!</v>
      </c>
      <c r="DZ15" t="e">
        <f>AND('SPR BARRANQUILLA'!L14,"AAAAAG/cr4E=")</f>
        <v>#VALUE!</v>
      </c>
      <c r="EA15" t="e">
        <f>AND('SPR BARRANQUILLA'!M14,"AAAAAG/cr4I=")</f>
        <v>#VALUE!</v>
      </c>
      <c r="EB15" t="e">
        <f>AND('SPR BARRANQUILLA'!N14,"AAAAAG/cr4M=")</f>
        <v>#VALUE!</v>
      </c>
      <c r="EC15" t="e">
        <f>AND('SPR BARRANQUILLA'!O14,"AAAAAG/cr4Q=")</f>
        <v>#VALUE!</v>
      </c>
      <c r="ED15" t="e">
        <f>AND('SPR BARRANQUILLA'!P14,"AAAAAG/cr4U=")</f>
        <v>#VALUE!</v>
      </c>
      <c r="EE15" t="e">
        <f>AND('SPR BARRANQUILLA'!Q14,"AAAAAG/cr4Y=")</f>
        <v>#VALUE!</v>
      </c>
      <c r="EF15" t="e">
        <f>AND('SPR BARRANQUILLA'!R14,"AAAAAG/cr4c=")</f>
        <v>#VALUE!</v>
      </c>
      <c r="EG15" t="e">
        <f>AND('SPR BARRANQUILLA'!S14,"AAAAAG/cr4g=")</f>
        <v>#VALUE!</v>
      </c>
      <c r="EH15" t="e">
        <f>AND('SPR BARRANQUILLA'!T14,"AAAAAG/cr4k=")</f>
        <v>#VALUE!</v>
      </c>
      <c r="EI15" t="e">
        <f>AND('SPR BARRANQUILLA'!U14,"AAAAAG/cr4o=")</f>
        <v>#VALUE!</v>
      </c>
      <c r="EJ15" t="e">
        <f>AND('SPR BARRANQUILLA'!V14,"AAAAAG/cr4s=")</f>
        <v>#VALUE!</v>
      </c>
      <c r="EK15" t="e">
        <f>AND('SPR BARRANQUILLA'!W14,"AAAAAG/cr4w=")</f>
        <v>#VALUE!</v>
      </c>
      <c r="EL15" t="e">
        <f>AND('SPR BARRANQUILLA'!X14,"AAAAAG/cr40=")</f>
        <v>#VALUE!</v>
      </c>
      <c r="EM15" t="e">
        <f>AND('SPR BARRANQUILLA'!Y14,"AAAAAG/cr44=")</f>
        <v>#VALUE!</v>
      </c>
      <c r="EN15" t="e">
        <f>AND('SPR BARRANQUILLA'!Z14,"AAAAAG/cr48=")</f>
        <v>#VALUE!</v>
      </c>
      <c r="EO15" t="e">
        <f>AND('SPR BARRANQUILLA'!AA14,"AAAAAG/cr5A=")</f>
        <v>#VALUE!</v>
      </c>
      <c r="EP15" t="e">
        <f>AND('SPR BARRANQUILLA'!AB14,"AAAAAG/cr5E=")</f>
        <v>#VALUE!</v>
      </c>
      <c r="EQ15" t="e">
        <f>AND('SPR BARRANQUILLA'!AC14,"AAAAAG/cr5I=")</f>
        <v>#VALUE!</v>
      </c>
      <c r="ER15" t="e">
        <f>AND('SPR BARRANQUILLA'!AD14,"AAAAAG/cr5M=")</f>
        <v>#VALUE!</v>
      </c>
      <c r="ES15" t="e">
        <f>AND('SPR BARRANQUILLA'!AE14,"AAAAAG/cr5Q=")</f>
        <v>#VALUE!</v>
      </c>
      <c r="ET15" t="e">
        <f>AND('SPR BARRANQUILLA'!AF14,"AAAAAG/cr5U=")</f>
        <v>#VALUE!</v>
      </c>
      <c r="EU15" t="e">
        <f>AND('SPR BARRANQUILLA'!AG14,"AAAAAG/cr5Y=")</f>
        <v>#VALUE!</v>
      </c>
      <c r="EV15" t="e">
        <f>AND('SPR BARRANQUILLA'!AH14,"AAAAAG/cr5c=")</f>
        <v>#VALUE!</v>
      </c>
      <c r="EW15" t="e">
        <f>AND('SPR BARRANQUILLA'!AI14,"AAAAAG/cr5g=")</f>
        <v>#VALUE!</v>
      </c>
      <c r="EX15" t="e">
        <f>AND('SPR BARRANQUILLA'!AJ14,"AAAAAG/cr5k=")</f>
        <v>#VALUE!</v>
      </c>
      <c r="EY15" t="e">
        <f>AND('SPR BARRANQUILLA'!AK14,"AAAAAG/cr5o=")</f>
        <v>#VALUE!</v>
      </c>
      <c r="EZ15" t="e">
        <f>AND('SPR BARRANQUILLA'!AL14,"AAAAAG/cr5s=")</f>
        <v>#VALUE!</v>
      </c>
      <c r="FA15" t="e">
        <f>AND('SPR BARRANQUILLA'!AM14,"AAAAAG/cr5w=")</f>
        <v>#VALUE!</v>
      </c>
      <c r="FB15" t="e">
        <f>AND('SPR BARRANQUILLA'!AN14,"AAAAAG/cr50=")</f>
        <v>#VALUE!</v>
      </c>
      <c r="FC15" t="e">
        <f>AND('SPR BARRANQUILLA'!AO14,"AAAAAG/cr54=")</f>
        <v>#VALUE!</v>
      </c>
      <c r="FD15" t="e">
        <f>AND('SPR BARRANQUILLA'!AP14,"AAAAAG/cr58=")</f>
        <v>#VALUE!</v>
      </c>
      <c r="FE15" t="e">
        <f>AND('SPR BARRANQUILLA'!AQ14,"AAAAAG/cr6A=")</f>
        <v>#VALUE!</v>
      </c>
      <c r="FF15" t="e">
        <f>AND('SPR BARRANQUILLA'!AR14,"AAAAAG/cr6E=")</f>
        <v>#VALUE!</v>
      </c>
      <c r="FG15" t="e">
        <f>AND('SPR BARRANQUILLA'!AS14,"AAAAAG/cr6I=")</f>
        <v>#VALUE!</v>
      </c>
      <c r="FH15" t="e">
        <f>AND('SPR BARRANQUILLA'!AT14,"AAAAAG/cr6M=")</f>
        <v>#VALUE!</v>
      </c>
      <c r="FI15" t="e">
        <f>AND('SPR BARRANQUILLA'!AU14,"AAAAAG/cr6Q=")</f>
        <v>#VALUE!</v>
      </c>
      <c r="FJ15" t="e">
        <f>AND('SPR BARRANQUILLA'!AV14,"AAAAAG/cr6U=")</f>
        <v>#VALUE!</v>
      </c>
      <c r="FK15" t="e">
        <f>AND('SPR BARRANQUILLA'!AW14,"AAAAAG/cr6Y=")</f>
        <v>#VALUE!</v>
      </c>
      <c r="FL15" t="e">
        <f>AND('SPR BARRANQUILLA'!AX14,"AAAAAG/cr6c=")</f>
        <v>#VALUE!</v>
      </c>
      <c r="FM15" t="e">
        <f>AND('SPR BARRANQUILLA'!AY14,"AAAAAG/cr6g=")</f>
        <v>#VALUE!</v>
      </c>
      <c r="FN15" t="e">
        <f>AND('SPR BARRANQUILLA'!AZ14,"AAAAAG/cr6k=")</f>
        <v>#VALUE!</v>
      </c>
      <c r="FO15" t="e">
        <f>AND('SPR BARRANQUILLA'!BA14,"AAAAAG/cr6o=")</f>
        <v>#VALUE!</v>
      </c>
      <c r="FP15" t="e">
        <f>AND('SPR BARRANQUILLA'!BB14,"AAAAAG/cr6s=")</f>
        <v>#VALUE!</v>
      </c>
      <c r="FQ15" t="e">
        <f>AND('SPR BARRANQUILLA'!BC14,"AAAAAG/cr6w=")</f>
        <v>#VALUE!</v>
      </c>
      <c r="FR15" t="e">
        <f>AND('SPR BARRANQUILLA'!BD14,"AAAAAG/cr60=")</f>
        <v>#VALUE!</v>
      </c>
      <c r="FS15" t="e">
        <f>AND('SPR BARRANQUILLA'!BE14,"AAAAAG/cr64=")</f>
        <v>#VALUE!</v>
      </c>
      <c r="FT15" t="e">
        <f>AND('SPR BARRANQUILLA'!BF14,"AAAAAG/cr68=")</f>
        <v>#VALUE!</v>
      </c>
      <c r="FU15" t="e">
        <f>AND('SPR BARRANQUILLA'!BG14,"AAAAAG/cr7A=")</f>
        <v>#VALUE!</v>
      </c>
      <c r="FV15" t="e">
        <f>AND('SPR BARRANQUILLA'!BH14,"AAAAAG/cr7E=")</f>
        <v>#VALUE!</v>
      </c>
      <c r="FW15" t="e">
        <f>AND('SPR BARRANQUILLA'!BI14,"AAAAAG/cr7I=")</f>
        <v>#VALUE!</v>
      </c>
      <c r="FX15" t="e">
        <f>AND('SPR BARRANQUILLA'!BJ14,"AAAAAG/cr7M=")</f>
        <v>#VALUE!</v>
      </c>
      <c r="FY15" t="e">
        <f>AND('SPR BARRANQUILLA'!BK14,"AAAAAG/cr7Q=")</f>
        <v>#VALUE!</v>
      </c>
      <c r="FZ15" t="e">
        <f>AND('SPR BARRANQUILLA'!BL14,"AAAAAG/cr7U=")</f>
        <v>#VALUE!</v>
      </c>
      <c r="GA15" t="e">
        <f>AND('SPR BARRANQUILLA'!BM14,"AAAAAG/cr7Y=")</f>
        <v>#VALUE!</v>
      </c>
      <c r="GB15" t="e">
        <f>AND('SPR BARRANQUILLA'!BN14,"AAAAAG/cr7c=")</f>
        <v>#VALUE!</v>
      </c>
      <c r="GC15" t="e">
        <f>AND('SPR BARRANQUILLA'!BO14,"AAAAAG/cr7g=")</f>
        <v>#VALUE!</v>
      </c>
      <c r="GD15" t="e">
        <f>AND('SPR BARRANQUILLA'!BP14,"AAAAAG/cr7k=")</f>
        <v>#VALUE!</v>
      </c>
      <c r="GE15" t="e">
        <f>AND('SPR BARRANQUILLA'!BQ14,"AAAAAG/cr7o=")</f>
        <v>#VALUE!</v>
      </c>
      <c r="GF15" t="e">
        <f>AND('SPR BARRANQUILLA'!BR14,"AAAAAG/cr7s=")</f>
        <v>#VALUE!</v>
      </c>
      <c r="GG15" t="e">
        <f>AND('SPR BARRANQUILLA'!BS14,"AAAAAG/cr7w=")</f>
        <v>#VALUE!</v>
      </c>
      <c r="GH15" t="e">
        <f>AND('SPR BARRANQUILLA'!BT14,"AAAAAG/cr70=")</f>
        <v>#VALUE!</v>
      </c>
      <c r="GI15" t="e">
        <f>AND('SPR BARRANQUILLA'!BU14,"AAAAAG/cr74=")</f>
        <v>#VALUE!</v>
      </c>
      <c r="GJ15" t="e">
        <f>AND('SPR BARRANQUILLA'!BV14,"AAAAAG/cr78=")</f>
        <v>#VALUE!</v>
      </c>
      <c r="GK15" t="e">
        <f>AND('SPR BARRANQUILLA'!BW14,"AAAAAG/cr8A=")</f>
        <v>#VALUE!</v>
      </c>
      <c r="GL15" t="e">
        <f>AND('SPR BARRANQUILLA'!BX14,"AAAAAG/cr8E=")</f>
        <v>#VALUE!</v>
      </c>
      <c r="GM15" t="e">
        <f>AND('SPR BARRANQUILLA'!BY14,"AAAAAG/cr8I=")</f>
        <v>#VALUE!</v>
      </c>
      <c r="GN15" t="e">
        <f>AND('SPR BARRANQUILLA'!BZ14,"AAAAAG/cr8M=")</f>
        <v>#VALUE!</v>
      </c>
      <c r="GO15" t="e">
        <f>AND('SPR BARRANQUILLA'!CA14,"AAAAAG/cr8Q=")</f>
        <v>#VALUE!</v>
      </c>
      <c r="GP15" t="e">
        <f>AND('SPR BARRANQUILLA'!CB14,"AAAAAG/cr8U=")</f>
        <v>#VALUE!</v>
      </c>
      <c r="GQ15" t="e">
        <f>AND('SPR BARRANQUILLA'!CC14,"AAAAAG/cr8Y=")</f>
        <v>#VALUE!</v>
      </c>
      <c r="GR15" t="e">
        <f>AND('SPR BARRANQUILLA'!CD14,"AAAAAG/cr8c=")</f>
        <v>#VALUE!</v>
      </c>
      <c r="GS15" t="e">
        <f>AND('SPR BARRANQUILLA'!CE14,"AAAAAG/cr8g=")</f>
        <v>#VALUE!</v>
      </c>
      <c r="GT15" t="e">
        <f>AND('SPR BARRANQUILLA'!CF14,"AAAAAG/cr8k=")</f>
        <v>#VALUE!</v>
      </c>
      <c r="GU15" t="e">
        <f>AND('SPR BARRANQUILLA'!CG14,"AAAAAG/cr8o=")</f>
        <v>#VALUE!</v>
      </c>
      <c r="GV15" t="e">
        <f>AND('SPR BARRANQUILLA'!CH14,"AAAAAG/cr8s=")</f>
        <v>#VALUE!</v>
      </c>
      <c r="GW15" t="e">
        <f>AND('SPR BARRANQUILLA'!CI14,"AAAAAG/cr8w=")</f>
        <v>#VALUE!</v>
      </c>
      <c r="GX15" t="e">
        <f>AND('SPR BARRANQUILLA'!CJ14,"AAAAAG/cr80=")</f>
        <v>#VALUE!</v>
      </c>
      <c r="GY15" t="e">
        <f>AND('SPR BARRANQUILLA'!CK14,"AAAAAG/cr84=")</f>
        <v>#VALUE!</v>
      </c>
      <c r="GZ15" t="e">
        <f>AND('SPR BARRANQUILLA'!CL14,"AAAAAG/cr88=")</f>
        <v>#VALUE!</v>
      </c>
      <c r="HA15" t="e">
        <f>AND('SPR BARRANQUILLA'!CM14,"AAAAAG/cr9A=")</f>
        <v>#VALUE!</v>
      </c>
      <c r="HB15" t="e">
        <f>AND('SPR BARRANQUILLA'!CN14,"AAAAAG/cr9E=")</f>
        <v>#VALUE!</v>
      </c>
      <c r="HC15" t="e">
        <f>AND('SPR BARRANQUILLA'!CO14,"AAAAAG/cr9I=")</f>
        <v>#VALUE!</v>
      </c>
      <c r="HD15" t="e">
        <f>AND('SPR BARRANQUILLA'!CP14,"AAAAAG/cr9M=")</f>
        <v>#VALUE!</v>
      </c>
      <c r="HE15" t="e">
        <f>AND('SPR BARRANQUILLA'!CQ14,"AAAAAG/cr9Q=")</f>
        <v>#VALUE!</v>
      </c>
      <c r="HF15" t="e">
        <f>AND('SPR BARRANQUILLA'!CR14,"AAAAAG/cr9U=")</f>
        <v>#VALUE!</v>
      </c>
      <c r="HG15" t="e">
        <f>AND('SPR BARRANQUILLA'!CS14,"AAAAAG/cr9Y=")</f>
        <v>#VALUE!</v>
      </c>
      <c r="HH15" t="e">
        <f>AND('SPR BARRANQUILLA'!CT14,"AAAAAG/cr9c=")</f>
        <v>#VALUE!</v>
      </c>
      <c r="HI15" t="e">
        <f>AND('SPR BARRANQUILLA'!CU14,"AAAAAG/cr9g=")</f>
        <v>#VALUE!</v>
      </c>
      <c r="HJ15" t="e">
        <f>AND('SPR BARRANQUILLA'!CV14,"AAAAAG/cr9k=")</f>
        <v>#VALUE!</v>
      </c>
      <c r="HK15" t="e">
        <f>AND('SPR BARRANQUILLA'!CW14,"AAAAAG/cr9o=")</f>
        <v>#VALUE!</v>
      </c>
      <c r="HL15" t="e">
        <f>AND('SPR BARRANQUILLA'!CX14,"AAAAAG/cr9s=")</f>
        <v>#VALUE!</v>
      </c>
      <c r="HM15" t="e">
        <f>AND('SPR BARRANQUILLA'!CY14,"AAAAAG/cr9w=")</f>
        <v>#VALUE!</v>
      </c>
      <c r="HN15" t="e">
        <f>AND('SPR BARRANQUILLA'!CZ14,"AAAAAG/cr90=")</f>
        <v>#VALUE!</v>
      </c>
      <c r="HO15" t="e">
        <f>AND('SPR BARRANQUILLA'!DA14,"AAAAAG/cr94=")</f>
        <v>#VALUE!</v>
      </c>
      <c r="HP15" t="e">
        <f>AND('SPR BARRANQUILLA'!DB14,"AAAAAG/cr98=")</f>
        <v>#VALUE!</v>
      </c>
      <c r="HQ15" t="e">
        <f>AND('SPR BARRANQUILLA'!DC14,"AAAAAG/cr+A=")</f>
        <v>#VALUE!</v>
      </c>
      <c r="HR15" t="e">
        <f>AND('SPR BARRANQUILLA'!DD14,"AAAAAG/cr+E=")</f>
        <v>#VALUE!</v>
      </c>
      <c r="HS15" t="e">
        <f>AND('SPR BARRANQUILLA'!DE14,"AAAAAG/cr+I=")</f>
        <v>#VALUE!</v>
      </c>
      <c r="HT15" t="e">
        <f>AND('SPR BARRANQUILLA'!DF14,"AAAAAG/cr+M=")</f>
        <v>#VALUE!</v>
      </c>
      <c r="HU15" t="e">
        <f>AND('SPR BARRANQUILLA'!DG14,"AAAAAG/cr+Q=")</f>
        <v>#VALUE!</v>
      </c>
      <c r="HV15" t="e">
        <f>AND('SPR BARRANQUILLA'!DH14,"AAAAAG/cr+U=")</f>
        <v>#VALUE!</v>
      </c>
      <c r="HW15" t="e">
        <f>AND('SPR BARRANQUILLA'!DI14,"AAAAAG/cr+Y=")</f>
        <v>#VALUE!</v>
      </c>
      <c r="HX15" t="e">
        <f>AND('SPR BARRANQUILLA'!DJ14,"AAAAAG/cr+c=")</f>
        <v>#VALUE!</v>
      </c>
      <c r="HY15" t="e">
        <f>AND('SPR BARRANQUILLA'!DK14,"AAAAAG/cr+g=")</f>
        <v>#VALUE!</v>
      </c>
      <c r="HZ15" t="e">
        <f>AND('SPR BARRANQUILLA'!DL14,"AAAAAG/cr+k=")</f>
        <v>#VALUE!</v>
      </c>
      <c r="IA15" t="e">
        <f>AND('SPR BARRANQUILLA'!DM14,"AAAAAG/cr+o=")</f>
        <v>#VALUE!</v>
      </c>
      <c r="IB15" t="e">
        <f>AND('SPR BARRANQUILLA'!DN14,"AAAAAG/cr+s=")</f>
        <v>#VALUE!</v>
      </c>
      <c r="IC15" t="e">
        <f>AND('SPR BARRANQUILLA'!DO14,"AAAAAG/cr+w=")</f>
        <v>#VALUE!</v>
      </c>
      <c r="ID15" t="e">
        <f>AND('SPR BARRANQUILLA'!DP14,"AAAAAG/cr+0=")</f>
        <v>#VALUE!</v>
      </c>
      <c r="IE15" t="e">
        <f>AND('SPR BARRANQUILLA'!DQ14,"AAAAAG/cr+4=")</f>
        <v>#VALUE!</v>
      </c>
      <c r="IF15" t="e">
        <f>AND('SPR BARRANQUILLA'!DR14,"AAAAAG/cr+8=")</f>
        <v>#VALUE!</v>
      </c>
      <c r="IG15" t="e">
        <f>AND('SPR BARRANQUILLA'!DS14,"AAAAAG/cr/A=")</f>
        <v>#VALUE!</v>
      </c>
      <c r="IH15" t="e">
        <f>AND('SPR BARRANQUILLA'!DT14,"AAAAAG/cr/E=")</f>
        <v>#VALUE!</v>
      </c>
      <c r="II15" t="e">
        <f>AND('SPR BARRANQUILLA'!DU14,"AAAAAG/cr/I=")</f>
        <v>#VALUE!</v>
      </c>
      <c r="IJ15" t="e">
        <f>AND('SPR BARRANQUILLA'!DV14,"AAAAAG/cr/M=")</f>
        <v>#VALUE!</v>
      </c>
      <c r="IK15" t="e">
        <f>AND('SPR BARRANQUILLA'!DW14,"AAAAAG/cr/Q=")</f>
        <v>#VALUE!</v>
      </c>
      <c r="IL15" t="e">
        <f>AND('SPR BARRANQUILLA'!DX14,"AAAAAG/cr/U=")</f>
        <v>#VALUE!</v>
      </c>
      <c r="IM15" t="e">
        <f>AND('SPR BARRANQUILLA'!DY14,"AAAAAG/cr/Y=")</f>
        <v>#VALUE!</v>
      </c>
      <c r="IN15" t="e">
        <f>AND('SPR BARRANQUILLA'!DZ14,"AAAAAG/cr/c=")</f>
        <v>#VALUE!</v>
      </c>
      <c r="IO15" t="e">
        <f>AND('SPR BARRANQUILLA'!EA14,"AAAAAG/cr/g=")</f>
        <v>#VALUE!</v>
      </c>
      <c r="IP15" t="e">
        <f>AND('SPR BARRANQUILLA'!EB14,"AAAAAG/cr/k=")</f>
        <v>#VALUE!</v>
      </c>
      <c r="IQ15" t="e">
        <f>AND('SPR BARRANQUILLA'!EC14,"AAAAAG/cr/o=")</f>
        <v>#VALUE!</v>
      </c>
      <c r="IR15" t="e">
        <f>AND('SPR BARRANQUILLA'!ED14,"AAAAAG/cr/s=")</f>
        <v>#VALUE!</v>
      </c>
      <c r="IS15" t="e">
        <f>AND('SPR BARRANQUILLA'!EE14,"AAAAAG/cr/w=")</f>
        <v>#VALUE!</v>
      </c>
      <c r="IT15" t="e">
        <f>AND('SPR BARRANQUILLA'!EF14,"AAAAAG/cr/0=")</f>
        <v>#VALUE!</v>
      </c>
      <c r="IU15" t="e">
        <f>AND('SPR BARRANQUILLA'!EG14,"AAAAAG/cr/4=")</f>
        <v>#VALUE!</v>
      </c>
      <c r="IV15" t="e">
        <f>AND('SPR BARRANQUILLA'!EH14,"AAAAAG/cr/8=")</f>
        <v>#VALUE!</v>
      </c>
    </row>
    <row r="16" spans="1:256">
      <c r="A16" t="e">
        <f>AND('SPR BARRANQUILLA'!EI14,"AAAAAHr+bwA=")</f>
        <v>#VALUE!</v>
      </c>
      <c r="B16" t="e">
        <f>AND('SPR BARRANQUILLA'!EJ14,"AAAAAHr+bwE=")</f>
        <v>#VALUE!</v>
      </c>
      <c r="C16" t="e">
        <f>AND('SPR BARRANQUILLA'!EK14,"AAAAAHr+bwI=")</f>
        <v>#VALUE!</v>
      </c>
      <c r="D16" t="e">
        <f>AND('SPR BARRANQUILLA'!EL14,"AAAAAHr+bwM=")</f>
        <v>#VALUE!</v>
      </c>
      <c r="E16" t="e">
        <f>AND('SPR BARRANQUILLA'!EM14,"AAAAAHr+bwQ=")</f>
        <v>#VALUE!</v>
      </c>
      <c r="F16" t="e">
        <f>AND('SPR BARRANQUILLA'!EN14,"AAAAAHr+bwU=")</f>
        <v>#VALUE!</v>
      </c>
      <c r="G16" t="e">
        <f>AND('SPR BARRANQUILLA'!EO14,"AAAAAHr+bwY=")</f>
        <v>#VALUE!</v>
      </c>
      <c r="H16" t="e">
        <f>AND('SPR BARRANQUILLA'!EP14,"AAAAAHr+bwc=")</f>
        <v>#VALUE!</v>
      </c>
      <c r="I16" t="e">
        <f>AND('SPR BARRANQUILLA'!EQ14,"AAAAAHr+bwg=")</f>
        <v>#VALUE!</v>
      </c>
      <c r="J16" t="e">
        <f>AND('SPR BARRANQUILLA'!ER14,"AAAAAHr+bwk=")</f>
        <v>#VALUE!</v>
      </c>
      <c r="K16" t="e">
        <f>AND('SPR BARRANQUILLA'!ES14,"AAAAAHr+bwo=")</f>
        <v>#VALUE!</v>
      </c>
      <c r="L16" t="e">
        <f>AND('SPR BARRANQUILLA'!ET14,"AAAAAHr+bws=")</f>
        <v>#VALUE!</v>
      </c>
      <c r="M16" t="e">
        <f>AND('SPR BARRANQUILLA'!EU14,"AAAAAHr+bww=")</f>
        <v>#VALUE!</v>
      </c>
      <c r="N16" t="e">
        <f>AND('SPR BARRANQUILLA'!EV14,"AAAAAHr+bw0=")</f>
        <v>#VALUE!</v>
      </c>
      <c r="O16" t="e">
        <f>AND('SPR BARRANQUILLA'!EW14,"AAAAAHr+bw4=")</f>
        <v>#VALUE!</v>
      </c>
      <c r="P16" t="e">
        <f>AND('SPR BARRANQUILLA'!EX14,"AAAAAHr+bw8=")</f>
        <v>#VALUE!</v>
      </c>
      <c r="Q16" t="e">
        <f>AND('SPR BARRANQUILLA'!EY14,"AAAAAHr+bxA=")</f>
        <v>#VALUE!</v>
      </c>
      <c r="R16" t="e">
        <f>AND('SPR BARRANQUILLA'!EZ14,"AAAAAHr+bxE=")</f>
        <v>#VALUE!</v>
      </c>
      <c r="S16" t="e">
        <f>AND('SPR BARRANQUILLA'!FA14,"AAAAAHr+bxI=")</f>
        <v>#VALUE!</v>
      </c>
      <c r="T16" t="e">
        <f>AND('SPR BARRANQUILLA'!FB14,"AAAAAHr+bxM=")</f>
        <v>#VALUE!</v>
      </c>
      <c r="U16" t="e">
        <f>AND('SPR BARRANQUILLA'!FC14,"AAAAAHr+bxQ=")</f>
        <v>#VALUE!</v>
      </c>
      <c r="V16" t="e">
        <f>AND('SPR BARRANQUILLA'!FD14,"AAAAAHr+bxU=")</f>
        <v>#VALUE!</v>
      </c>
      <c r="W16" t="e">
        <f>AND('SPR BARRANQUILLA'!FE14,"AAAAAHr+bxY=")</f>
        <v>#VALUE!</v>
      </c>
      <c r="X16" t="e">
        <f>AND('SPR BARRANQUILLA'!FF14,"AAAAAHr+bxc=")</f>
        <v>#VALUE!</v>
      </c>
      <c r="Y16" t="e">
        <f>AND('SPR BARRANQUILLA'!FG14,"AAAAAHr+bxg=")</f>
        <v>#VALUE!</v>
      </c>
      <c r="Z16" t="e">
        <f>AND('SPR BARRANQUILLA'!FH14,"AAAAAHr+bxk=")</f>
        <v>#VALUE!</v>
      </c>
      <c r="AA16" t="e">
        <f>AND('SPR BARRANQUILLA'!FI14,"AAAAAHr+bxo=")</f>
        <v>#VALUE!</v>
      </c>
      <c r="AB16" t="e">
        <f>AND('SPR BARRANQUILLA'!FJ14,"AAAAAHr+bxs=")</f>
        <v>#VALUE!</v>
      </c>
      <c r="AC16" t="e">
        <f>AND('SPR BARRANQUILLA'!FK14,"AAAAAHr+bxw=")</f>
        <v>#VALUE!</v>
      </c>
      <c r="AD16" t="e">
        <f>AND('SPR BARRANQUILLA'!FL14,"AAAAAHr+bx0=")</f>
        <v>#VALUE!</v>
      </c>
      <c r="AE16" t="e">
        <f>AND('SPR BARRANQUILLA'!FM14,"AAAAAHr+bx4=")</f>
        <v>#VALUE!</v>
      </c>
      <c r="AF16" t="e">
        <f>AND('SPR BARRANQUILLA'!FN14,"AAAAAHr+bx8=")</f>
        <v>#VALUE!</v>
      </c>
      <c r="AG16" t="e">
        <f>AND('SPR BARRANQUILLA'!FO14,"AAAAAHr+byA=")</f>
        <v>#VALUE!</v>
      </c>
      <c r="AH16" t="e">
        <f>AND('SPR BARRANQUILLA'!FP14,"AAAAAHr+byE=")</f>
        <v>#VALUE!</v>
      </c>
      <c r="AI16" t="e">
        <f>AND('SPR BARRANQUILLA'!FQ14,"AAAAAHr+byI=")</f>
        <v>#VALUE!</v>
      </c>
      <c r="AJ16" t="e">
        <f>AND('SPR BARRANQUILLA'!FR14,"AAAAAHr+byM=")</f>
        <v>#VALUE!</v>
      </c>
      <c r="AK16" t="e">
        <f>AND('SPR BARRANQUILLA'!FS14,"AAAAAHr+byQ=")</f>
        <v>#VALUE!</v>
      </c>
      <c r="AL16" t="e">
        <f>AND('SPR BARRANQUILLA'!FT14,"AAAAAHr+byU=")</f>
        <v>#VALUE!</v>
      </c>
      <c r="AM16" t="e">
        <f>AND('SPR BARRANQUILLA'!FU14,"AAAAAHr+byY=")</f>
        <v>#VALUE!</v>
      </c>
      <c r="AN16" t="e">
        <f>AND('SPR BARRANQUILLA'!FV14,"AAAAAHr+byc=")</f>
        <v>#VALUE!</v>
      </c>
      <c r="AO16" t="e">
        <f>AND('SPR BARRANQUILLA'!FW14,"AAAAAHr+byg=")</f>
        <v>#VALUE!</v>
      </c>
      <c r="AP16" t="e">
        <f>AND('SPR BARRANQUILLA'!FX14,"AAAAAHr+byk=")</f>
        <v>#VALUE!</v>
      </c>
      <c r="AQ16" t="e">
        <f>AND('SPR BARRANQUILLA'!FY14,"AAAAAHr+byo=")</f>
        <v>#VALUE!</v>
      </c>
      <c r="AR16" t="e">
        <f>AND('SPR BARRANQUILLA'!FZ14,"AAAAAHr+bys=")</f>
        <v>#VALUE!</v>
      </c>
      <c r="AS16" t="e">
        <f>AND('SPR BARRANQUILLA'!GA14,"AAAAAHr+byw=")</f>
        <v>#VALUE!</v>
      </c>
      <c r="AT16" t="e">
        <f>AND('SPR BARRANQUILLA'!GB14,"AAAAAHr+by0=")</f>
        <v>#VALUE!</v>
      </c>
      <c r="AU16" t="e">
        <f>AND('SPR BARRANQUILLA'!GC14,"AAAAAHr+by4=")</f>
        <v>#VALUE!</v>
      </c>
      <c r="AV16" t="e">
        <f>AND('SPR BARRANQUILLA'!GD14,"AAAAAHr+by8=")</f>
        <v>#VALUE!</v>
      </c>
      <c r="AW16" t="e">
        <f>AND('SPR BARRANQUILLA'!GE14,"AAAAAHr+bzA=")</f>
        <v>#VALUE!</v>
      </c>
      <c r="AX16" t="e">
        <f>AND('SPR BARRANQUILLA'!GF14,"AAAAAHr+bzE=")</f>
        <v>#VALUE!</v>
      </c>
      <c r="AY16" t="e">
        <f>AND('SPR BARRANQUILLA'!GG14,"AAAAAHr+bzI=")</f>
        <v>#VALUE!</v>
      </c>
      <c r="AZ16" t="e">
        <f>AND('SPR BARRANQUILLA'!GH14,"AAAAAHr+bzM=")</f>
        <v>#VALUE!</v>
      </c>
      <c r="BA16" t="e">
        <f>AND('SPR BARRANQUILLA'!GI14,"AAAAAHr+bzQ=")</f>
        <v>#VALUE!</v>
      </c>
      <c r="BB16" t="e">
        <f>AND('SPR BARRANQUILLA'!GJ14,"AAAAAHr+bzU=")</f>
        <v>#VALUE!</v>
      </c>
      <c r="BC16" t="e">
        <f>AND('SPR BARRANQUILLA'!GK14,"AAAAAHr+bzY=")</f>
        <v>#VALUE!</v>
      </c>
      <c r="BD16" t="e">
        <f>AND('SPR BARRANQUILLA'!GL14,"AAAAAHr+bzc=")</f>
        <v>#VALUE!</v>
      </c>
      <c r="BE16" t="e">
        <f>AND('SPR BARRANQUILLA'!GM14,"AAAAAHr+bzg=")</f>
        <v>#VALUE!</v>
      </c>
      <c r="BF16" t="e">
        <f>AND('SPR BARRANQUILLA'!GN14,"AAAAAHr+bzk=")</f>
        <v>#VALUE!</v>
      </c>
      <c r="BG16" t="e">
        <f>AND('SPR BARRANQUILLA'!GO14,"AAAAAHr+bzo=")</f>
        <v>#VALUE!</v>
      </c>
      <c r="BH16" t="e">
        <f>AND('SPR BARRANQUILLA'!GP14,"AAAAAHr+bzs=")</f>
        <v>#VALUE!</v>
      </c>
      <c r="BI16" t="e">
        <f>AND('SPR BARRANQUILLA'!GQ14,"AAAAAHr+bzw=")</f>
        <v>#VALUE!</v>
      </c>
      <c r="BJ16" t="e">
        <f>AND('SPR BARRANQUILLA'!GR14,"AAAAAHr+bz0=")</f>
        <v>#VALUE!</v>
      </c>
      <c r="BK16" t="e">
        <f>AND('SPR BARRANQUILLA'!GS14,"AAAAAHr+bz4=")</f>
        <v>#VALUE!</v>
      </c>
      <c r="BL16" t="e">
        <f>AND('SPR BARRANQUILLA'!GT14,"AAAAAHr+bz8=")</f>
        <v>#VALUE!</v>
      </c>
      <c r="BM16" t="e">
        <f>AND('SPR BARRANQUILLA'!GU14,"AAAAAHr+b0A=")</f>
        <v>#VALUE!</v>
      </c>
      <c r="BN16" t="e">
        <f>AND('SPR BARRANQUILLA'!GV14,"AAAAAHr+b0E=")</f>
        <v>#VALUE!</v>
      </c>
      <c r="BO16" t="e">
        <f>AND('SPR BARRANQUILLA'!GW14,"AAAAAHr+b0I=")</f>
        <v>#VALUE!</v>
      </c>
      <c r="BP16" t="e">
        <f>AND('SPR BARRANQUILLA'!GX14,"AAAAAHr+b0M=")</f>
        <v>#VALUE!</v>
      </c>
      <c r="BQ16" t="e">
        <f>AND('SPR BARRANQUILLA'!GY14,"AAAAAHr+b0Q=")</f>
        <v>#VALUE!</v>
      </c>
      <c r="BR16">
        <f>IF('SPR BARRANQUILLA'!15:15,"AAAAAHr+b0U=",0)</f>
        <v>0</v>
      </c>
      <c r="BS16" t="e">
        <f>AND('SPR BARRANQUILLA'!A15,"AAAAAHr+b0Y=")</f>
        <v>#VALUE!</v>
      </c>
      <c r="BT16" t="e">
        <f>AND('SPR BARRANQUILLA'!B15,"AAAAAHr+b0c=")</f>
        <v>#VALUE!</v>
      </c>
      <c r="BU16" t="e">
        <f>AND('SPR BARRANQUILLA'!C15,"AAAAAHr+b0g=")</f>
        <v>#VALUE!</v>
      </c>
      <c r="BV16" t="e">
        <f>AND('SPR BARRANQUILLA'!D15,"AAAAAHr+b0k=")</f>
        <v>#VALUE!</v>
      </c>
      <c r="BW16" t="e">
        <f>AND('SPR BARRANQUILLA'!E15,"AAAAAHr+b0o=")</f>
        <v>#VALUE!</v>
      </c>
      <c r="BX16" t="e">
        <f>AND('SPR BARRANQUILLA'!F15,"AAAAAHr+b0s=")</f>
        <v>#VALUE!</v>
      </c>
      <c r="BY16" t="e">
        <f>AND('SPR BARRANQUILLA'!G15,"AAAAAHr+b0w=")</f>
        <v>#VALUE!</v>
      </c>
      <c r="BZ16" t="e">
        <f>AND('SPR BARRANQUILLA'!H15,"AAAAAHr+b00=")</f>
        <v>#VALUE!</v>
      </c>
      <c r="CA16" t="e">
        <f>AND('SPR BARRANQUILLA'!I15,"AAAAAHr+b04=")</f>
        <v>#VALUE!</v>
      </c>
      <c r="CB16" t="e">
        <f>AND('SPR BARRANQUILLA'!J15,"AAAAAHr+b08=")</f>
        <v>#VALUE!</v>
      </c>
      <c r="CC16" t="e">
        <f>AND('SPR BARRANQUILLA'!K15,"AAAAAHr+b1A=")</f>
        <v>#VALUE!</v>
      </c>
      <c r="CD16" t="e">
        <f>AND('SPR BARRANQUILLA'!L15,"AAAAAHr+b1E=")</f>
        <v>#VALUE!</v>
      </c>
      <c r="CE16" t="e">
        <f>AND('SPR BARRANQUILLA'!M15,"AAAAAHr+b1I=")</f>
        <v>#VALUE!</v>
      </c>
      <c r="CF16" t="e">
        <f>AND('SPR BARRANQUILLA'!N15,"AAAAAHr+b1M=")</f>
        <v>#VALUE!</v>
      </c>
      <c r="CG16" t="e">
        <f>AND('SPR BARRANQUILLA'!O15,"AAAAAHr+b1Q=")</f>
        <v>#VALUE!</v>
      </c>
      <c r="CH16" t="e">
        <f>AND('SPR BARRANQUILLA'!P15,"AAAAAHr+b1U=")</f>
        <v>#VALUE!</v>
      </c>
      <c r="CI16" t="e">
        <f>AND('SPR BARRANQUILLA'!Q15,"AAAAAHr+b1Y=")</f>
        <v>#VALUE!</v>
      </c>
      <c r="CJ16" t="e">
        <f>AND('SPR BARRANQUILLA'!R15,"AAAAAHr+b1c=")</f>
        <v>#VALUE!</v>
      </c>
      <c r="CK16" t="e">
        <f>AND('SPR BARRANQUILLA'!S15,"AAAAAHr+b1g=")</f>
        <v>#VALUE!</v>
      </c>
      <c r="CL16" t="e">
        <f>AND('SPR BARRANQUILLA'!T15,"AAAAAHr+b1k=")</f>
        <v>#VALUE!</v>
      </c>
      <c r="CM16" t="e">
        <f>AND('SPR BARRANQUILLA'!U15,"AAAAAHr+b1o=")</f>
        <v>#VALUE!</v>
      </c>
      <c r="CN16" t="e">
        <f>AND('SPR BARRANQUILLA'!V15,"AAAAAHr+b1s=")</f>
        <v>#VALUE!</v>
      </c>
      <c r="CO16" t="e">
        <f>AND('SPR BARRANQUILLA'!W15,"AAAAAHr+b1w=")</f>
        <v>#VALUE!</v>
      </c>
      <c r="CP16" t="e">
        <f>AND('SPR BARRANQUILLA'!X15,"AAAAAHr+b10=")</f>
        <v>#VALUE!</v>
      </c>
      <c r="CQ16" t="e">
        <f>AND('SPR BARRANQUILLA'!Y15,"AAAAAHr+b14=")</f>
        <v>#VALUE!</v>
      </c>
      <c r="CR16" t="e">
        <f>AND('SPR BARRANQUILLA'!Z15,"AAAAAHr+b18=")</f>
        <v>#VALUE!</v>
      </c>
      <c r="CS16" t="e">
        <f>AND('SPR BARRANQUILLA'!AA15,"AAAAAHr+b2A=")</f>
        <v>#VALUE!</v>
      </c>
      <c r="CT16" t="e">
        <f>AND('SPR BARRANQUILLA'!AB15,"AAAAAHr+b2E=")</f>
        <v>#VALUE!</v>
      </c>
      <c r="CU16" t="e">
        <f>AND('SPR BARRANQUILLA'!AC15,"AAAAAHr+b2I=")</f>
        <v>#VALUE!</v>
      </c>
      <c r="CV16" t="e">
        <f>AND('SPR BARRANQUILLA'!AD15,"AAAAAHr+b2M=")</f>
        <v>#VALUE!</v>
      </c>
      <c r="CW16" t="e">
        <f>AND('SPR BARRANQUILLA'!AE15,"AAAAAHr+b2Q=")</f>
        <v>#VALUE!</v>
      </c>
      <c r="CX16" t="e">
        <f>AND('SPR BARRANQUILLA'!AF15,"AAAAAHr+b2U=")</f>
        <v>#VALUE!</v>
      </c>
      <c r="CY16" t="e">
        <f>AND('SPR BARRANQUILLA'!AG15,"AAAAAHr+b2Y=")</f>
        <v>#VALUE!</v>
      </c>
      <c r="CZ16" t="e">
        <f>AND('SPR BARRANQUILLA'!AH15,"AAAAAHr+b2c=")</f>
        <v>#VALUE!</v>
      </c>
      <c r="DA16" t="e">
        <f>AND('SPR BARRANQUILLA'!AI15,"AAAAAHr+b2g=")</f>
        <v>#VALUE!</v>
      </c>
      <c r="DB16" t="e">
        <f>AND('SPR BARRANQUILLA'!AJ15,"AAAAAHr+b2k=")</f>
        <v>#VALUE!</v>
      </c>
      <c r="DC16" t="e">
        <f>AND('SPR BARRANQUILLA'!AK15,"AAAAAHr+b2o=")</f>
        <v>#VALUE!</v>
      </c>
      <c r="DD16" t="e">
        <f>AND('SPR BARRANQUILLA'!AL15,"AAAAAHr+b2s=")</f>
        <v>#VALUE!</v>
      </c>
      <c r="DE16" t="e">
        <f>AND('SPR BARRANQUILLA'!AM15,"AAAAAHr+b2w=")</f>
        <v>#VALUE!</v>
      </c>
      <c r="DF16" t="e">
        <f>AND('SPR BARRANQUILLA'!AN15,"AAAAAHr+b20=")</f>
        <v>#VALUE!</v>
      </c>
      <c r="DG16" t="e">
        <f>AND('SPR BARRANQUILLA'!AO15,"AAAAAHr+b24=")</f>
        <v>#VALUE!</v>
      </c>
      <c r="DH16" t="e">
        <f>AND('SPR BARRANQUILLA'!AP15,"AAAAAHr+b28=")</f>
        <v>#VALUE!</v>
      </c>
      <c r="DI16" t="e">
        <f>AND('SPR BARRANQUILLA'!AQ15,"AAAAAHr+b3A=")</f>
        <v>#VALUE!</v>
      </c>
      <c r="DJ16" t="e">
        <f>AND('SPR BARRANQUILLA'!AR15,"AAAAAHr+b3E=")</f>
        <v>#VALUE!</v>
      </c>
      <c r="DK16" t="e">
        <f>AND('SPR BARRANQUILLA'!AS15,"AAAAAHr+b3I=")</f>
        <v>#VALUE!</v>
      </c>
      <c r="DL16" t="e">
        <f>AND('SPR BARRANQUILLA'!AT15,"AAAAAHr+b3M=")</f>
        <v>#VALUE!</v>
      </c>
      <c r="DM16" t="e">
        <f>AND('SPR BARRANQUILLA'!AU15,"AAAAAHr+b3Q=")</f>
        <v>#VALUE!</v>
      </c>
      <c r="DN16" t="e">
        <f>AND('SPR BARRANQUILLA'!AV15,"AAAAAHr+b3U=")</f>
        <v>#VALUE!</v>
      </c>
      <c r="DO16" t="e">
        <f>AND('SPR BARRANQUILLA'!AW15,"AAAAAHr+b3Y=")</f>
        <v>#VALUE!</v>
      </c>
      <c r="DP16" t="e">
        <f>AND('SPR BARRANQUILLA'!AX15,"AAAAAHr+b3c=")</f>
        <v>#VALUE!</v>
      </c>
      <c r="DQ16" t="e">
        <f>AND('SPR BARRANQUILLA'!AY15,"AAAAAHr+b3g=")</f>
        <v>#VALUE!</v>
      </c>
      <c r="DR16" t="e">
        <f>AND('SPR BARRANQUILLA'!AZ15,"AAAAAHr+b3k=")</f>
        <v>#VALUE!</v>
      </c>
      <c r="DS16" t="e">
        <f>AND('SPR BARRANQUILLA'!BA15,"AAAAAHr+b3o=")</f>
        <v>#VALUE!</v>
      </c>
      <c r="DT16" t="e">
        <f>AND('SPR BARRANQUILLA'!BB15,"AAAAAHr+b3s=")</f>
        <v>#VALUE!</v>
      </c>
      <c r="DU16" t="e">
        <f>AND('SPR BARRANQUILLA'!BC15,"AAAAAHr+b3w=")</f>
        <v>#VALUE!</v>
      </c>
      <c r="DV16" t="e">
        <f>AND('SPR BARRANQUILLA'!BD15,"AAAAAHr+b30=")</f>
        <v>#VALUE!</v>
      </c>
      <c r="DW16" t="e">
        <f>AND('SPR BARRANQUILLA'!BE15,"AAAAAHr+b34=")</f>
        <v>#VALUE!</v>
      </c>
      <c r="DX16" t="e">
        <f>AND('SPR BARRANQUILLA'!BF15,"AAAAAHr+b38=")</f>
        <v>#VALUE!</v>
      </c>
      <c r="DY16" t="e">
        <f>AND('SPR BARRANQUILLA'!BG15,"AAAAAHr+b4A=")</f>
        <v>#VALUE!</v>
      </c>
      <c r="DZ16" t="e">
        <f>AND('SPR BARRANQUILLA'!BH15,"AAAAAHr+b4E=")</f>
        <v>#VALUE!</v>
      </c>
      <c r="EA16" t="e">
        <f>AND('SPR BARRANQUILLA'!BI15,"AAAAAHr+b4I=")</f>
        <v>#VALUE!</v>
      </c>
      <c r="EB16" t="e">
        <f>AND('SPR BARRANQUILLA'!BJ15,"AAAAAHr+b4M=")</f>
        <v>#VALUE!</v>
      </c>
      <c r="EC16" t="e">
        <f>AND('SPR BARRANQUILLA'!BK15,"AAAAAHr+b4Q=")</f>
        <v>#VALUE!</v>
      </c>
      <c r="ED16" t="e">
        <f>AND('SPR BARRANQUILLA'!BL15,"AAAAAHr+b4U=")</f>
        <v>#VALUE!</v>
      </c>
      <c r="EE16" t="e">
        <f>AND('SPR BARRANQUILLA'!BM15,"AAAAAHr+b4Y=")</f>
        <v>#VALUE!</v>
      </c>
      <c r="EF16" t="e">
        <f>AND('SPR BARRANQUILLA'!BN15,"AAAAAHr+b4c=")</f>
        <v>#VALUE!</v>
      </c>
      <c r="EG16" t="e">
        <f>AND('SPR BARRANQUILLA'!BO15,"AAAAAHr+b4g=")</f>
        <v>#VALUE!</v>
      </c>
      <c r="EH16" t="e">
        <f>AND('SPR BARRANQUILLA'!BP15,"AAAAAHr+b4k=")</f>
        <v>#VALUE!</v>
      </c>
      <c r="EI16" t="e">
        <f>AND('SPR BARRANQUILLA'!BQ15,"AAAAAHr+b4o=")</f>
        <v>#VALUE!</v>
      </c>
      <c r="EJ16" t="e">
        <f>AND('SPR BARRANQUILLA'!BR15,"AAAAAHr+b4s=")</f>
        <v>#VALUE!</v>
      </c>
      <c r="EK16" t="e">
        <f>AND('SPR BARRANQUILLA'!BS15,"AAAAAHr+b4w=")</f>
        <v>#VALUE!</v>
      </c>
      <c r="EL16" t="e">
        <f>AND('SPR BARRANQUILLA'!BT15,"AAAAAHr+b40=")</f>
        <v>#VALUE!</v>
      </c>
      <c r="EM16" t="e">
        <f>AND('SPR BARRANQUILLA'!BU15,"AAAAAHr+b44=")</f>
        <v>#VALUE!</v>
      </c>
      <c r="EN16" t="e">
        <f>AND('SPR BARRANQUILLA'!BV15,"AAAAAHr+b48=")</f>
        <v>#VALUE!</v>
      </c>
      <c r="EO16" t="e">
        <f>AND('SPR BARRANQUILLA'!BW15,"AAAAAHr+b5A=")</f>
        <v>#VALUE!</v>
      </c>
      <c r="EP16" t="e">
        <f>AND('SPR BARRANQUILLA'!BX15,"AAAAAHr+b5E=")</f>
        <v>#VALUE!</v>
      </c>
      <c r="EQ16" t="e">
        <f>AND('SPR BARRANQUILLA'!BY15,"AAAAAHr+b5I=")</f>
        <v>#VALUE!</v>
      </c>
      <c r="ER16" t="e">
        <f>AND('SPR BARRANQUILLA'!BZ15,"AAAAAHr+b5M=")</f>
        <v>#VALUE!</v>
      </c>
      <c r="ES16" t="e">
        <f>AND('SPR BARRANQUILLA'!CA15,"AAAAAHr+b5Q=")</f>
        <v>#VALUE!</v>
      </c>
      <c r="ET16" t="e">
        <f>AND('SPR BARRANQUILLA'!CB15,"AAAAAHr+b5U=")</f>
        <v>#VALUE!</v>
      </c>
      <c r="EU16" t="e">
        <f>AND('SPR BARRANQUILLA'!CC15,"AAAAAHr+b5Y=")</f>
        <v>#VALUE!</v>
      </c>
      <c r="EV16" t="e">
        <f>AND('SPR BARRANQUILLA'!CD15,"AAAAAHr+b5c=")</f>
        <v>#VALUE!</v>
      </c>
      <c r="EW16" t="e">
        <f>AND('SPR BARRANQUILLA'!CE15,"AAAAAHr+b5g=")</f>
        <v>#VALUE!</v>
      </c>
      <c r="EX16" t="e">
        <f>AND('SPR BARRANQUILLA'!CF15,"AAAAAHr+b5k=")</f>
        <v>#VALUE!</v>
      </c>
      <c r="EY16" t="e">
        <f>AND('SPR BARRANQUILLA'!CG15,"AAAAAHr+b5o=")</f>
        <v>#VALUE!</v>
      </c>
      <c r="EZ16" t="e">
        <f>AND('SPR BARRANQUILLA'!CH15,"AAAAAHr+b5s=")</f>
        <v>#VALUE!</v>
      </c>
      <c r="FA16" t="e">
        <f>AND('SPR BARRANQUILLA'!CI15,"AAAAAHr+b5w=")</f>
        <v>#VALUE!</v>
      </c>
      <c r="FB16" t="e">
        <f>AND('SPR BARRANQUILLA'!CJ15,"AAAAAHr+b50=")</f>
        <v>#VALUE!</v>
      </c>
      <c r="FC16" t="e">
        <f>AND('SPR BARRANQUILLA'!CK15,"AAAAAHr+b54=")</f>
        <v>#VALUE!</v>
      </c>
      <c r="FD16" t="e">
        <f>AND('SPR BARRANQUILLA'!CL15,"AAAAAHr+b58=")</f>
        <v>#VALUE!</v>
      </c>
      <c r="FE16" t="e">
        <f>AND('SPR BARRANQUILLA'!CM15,"AAAAAHr+b6A=")</f>
        <v>#VALUE!</v>
      </c>
      <c r="FF16" t="e">
        <f>AND('SPR BARRANQUILLA'!CN15,"AAAAAHr+b6E=")</f>
        <v>#VALUE!</v>
      </c>
      <c r="FG16" t="e">
        <f>AND('SPR BARRANQUILLA'!CO15,"AAAAAHr+b6I=")</f>
        <v>#VALUE!</v>
      </c>
      <c r="FH16" t="e">
        <f>AND('SPR BARRANQUILLA'!CP15,"AAAAAHr+b6M=")</f>
        <v>#VALUE!</v>
      </c>
      <c r="FI16" t="e">
        <f>AND('SPR BARRANQUILLA'!CQ15,"AAAAAHr+b6Q=")</f>
        <v>#VALUE!</v>
      </c>
      <c r="FJ16" t="e">
        <f>AND('SPR BARRANQUILLA'!CR15,"AAAAAHr+b6U=")</f>
        <v>#VALUE!</v>
      </c>
      <c r="FK16" t="e">
        <f>AND('SPR BARRANQUILLA'!CS15,"AAAAAHr+b6Y=")</f>
        <v>#VALUE!</v>
      </c>
      <c r="FL16" t="e">
        <f>AND('SPR BARRANQUILLA'!CT15,"AAAAAHr+b6c=")</f>
        <v>#VALUE!</v>
      </c>
      <c r="FM16" t="e">
        <f>AND('SPR BARRANQUILLA'!CU15,"AAAAAHr+b6g=")</f>
        <v>#VALUE!</v>
      </c>
      <c r="FN16" t="e">
        <f>AND('SPR BARRANQUILLA'!CV15,"AAAAAHr+b6k=")</f>
        <v>#VALUE!</v>
      </c>
      <c r="FO16" t="e">
        <f>AND('SPR BARRANQUILLA'!CW15,"AAAAAHr+b6o=")</f>
        <v>#VALUE!</v>
      </c>
      <c r="FP16" t="e">
        <f>AND('SPR BARRANQUILLA'!CX15,"AAAAAHr+b6s=")</f>
        <v>#VALUE!</v>
      </c>
      <c r="FQ16" t="e">
        <f>AND('SPR BARRANQUILLA'!CY15,"AAAAAHr+b6w=")</f>
        <v>#VALUE!</v>
      </c>
      <c r="FR16" t="e">
        <f>AND('SPR BARRANQUILLA'!CZ15,"AAAAAHr+b60=")</f>
        <v>#VALUE!</v>
      </c>
      <c r="FS16" t="e">
        <f>AND('SPR BARRANQUILLA'!DA15,"AAAAAHr+b64=")</f>
        <v>#VALUE!</v>
      </c>
      <c r="FT16" t="e">
        <f>AND('SPR BARRANQUILLA'!DB15,"AAAAAHr+b68=")</f>
        <v>#VALUE!</v>
      </c>
      <c r="FU16" t="e">
        <f>AND('SPR BARRANQUILLA'!DC15,"AAAAAHr+b7A=")</f>
        <v>#VALUE!</v>
      </c>
      <c r="FV16" t="e">
        <f>AND('SPR BARRANQUILLA'!DD15,"AAAAAHr+b7E=")</f>
        <v>#VALUE!</v>
      </c>
      <c r="FW16" t="e">
        <f>AND('SPR BARRANQUILLA'!DE15,"AAAAAHr+b7I=")</f>
        <v>#VALUE!</v>
      </c>
      <c r="FX16" t="e">
        <f>AND('SPR BARRANQUILLA'!DF15,"AAAAAHr+b7M=")</f>
        <v>#VALUE!</v>
      </c>
      <c r="FY16" t="e">
        <f>AND('SPR BARRANQUILLA'!DG15,"AAAAAHr+b7Q=")</f>
        <v>#VALUE!</v>
      </c>
      <c r="FZ16" t="e">
        <f>AND('SPR BARRANQUILLA'!DH15,"AAAAAHr+b7U=")</f>
        <v>#VALUE!</v>
      </c>
      <c r="GA16" t="e">
        <f>AND('SPR BARRANQUILLA'!DI15,"AAAAAHr+b7Y=")</f>
        <v>#VALUE!</v>
      </c>
      <c r="GB16" t="e">
        <f>AND('SPR BARRANQUILLA'!DJ15,"AAAAAHr+b7c=")</f>
        <v>#VALUE!</v>
      </c>
      <c r="GC16" t="e">
        <f>AND('SPR BARRANQUILLA'!DK15,"AAAAAHr+b7g=")</f>
        <v>#VALUE!</v>
      </c>
      <c r="GD16" t="e">
        <f>AND('SPR BARRANQUILLA'!DL15,"AAAAAHr+b7k=")</f>
        <v>#VALUE!</v>
      </c>
      <c r="GE16" t="e">
        <f>AND('SPR BARRANQUILLA'!DM15,"AAAAAHr+b7o=")</f>
        <v>#VALUE!</v>
      </c>
      <c r="GF16" t="e">
        <f>AND('SPR BARRANQUILLA'!DN15,"AAAAAHr+b7s=")</f>
        <v>#VALUE!</v>
      </c>
      <c r="GG16" t="e">
        <f>AND('SPR BARRANQUILLA'!DO15,"AAAAAHr+b7w=")</f>
        <v>#VALUE!</v>
      </c>
      <c r="GH16" t="e">
        <f>AND('SPR BARRANQUILLA'!DP15,"AAAAAHr+b70=")</f>
        <v>#VALUE!</v>
      </c>
      <c r="GI16" t="e">
        <f>AND('SPR BARRANQUILLA'!DQ15,"AAAAAHr+b74=")</f>
        <v>#VALUE!</v>
      </c>
      <c r="GJ16" t="e">
        <f>AND('SPR BARRANQUILLA'!DR15,"AAAAAHr+b78=")</f>
        <v>#VALUE!</v>
      </c>
      <c r="GK16" t="e">
        <f>AND('SPR BARRANQUILLA'!DS15,"AAAAAHr+b8A=")</f>
        <v>#VALUE!</v>
      </c>
      <c r="GL16" t="e">
        <f>AND('SPR BARRANQUILLA'!DT15,"AAAAAHr+b8E=")</f>
        <v>#VALUE!</v>
      </c>
      <c r="GM16" t="e">
        <f>AND('SPR BARRANQUILLA'!DU15,"AAAAAHr+b8I=")</f>
        <v>#VALUE!</v>
      </c>
      <c r="GN16" t="e">
        <f>AND('SPR BARRANQUILLA'!DV15,"AAAAAHr+b8M=")</f>
        <v>#VALUE!</v>
      </c>
      <c r="GO16" t="e">
        <f>AND('SPR BARRANQUILLA'!DW15,"AAAAAHr+b8Q=")</f>
        <v>#VALUE!</v>
      </c>
      <c r="GP16" t="e">
        <f>AND('SPR BARRANQUILLA'!DX15,"AAAAAHr+b8U=")</f>
        <v>#VALUE!</v>
      </c>
      <c r="GQ16" t="e">
        <f>AND('SPR BARRANQUILLA'!DY15,"AAAAAHr+b8Y=")</f>
        <v>#VALUE!</v>
      </c>
      <c r="GR16" t="e">
        <f>AND('SPR BARRANQUILLA'!DZ15,"AAAAAHr+b8c=")</f>
        <v>#VALUE!</v>
      </c>
      <c r="GS16" t="e">
        <f>AND('SPR BARRANQUILLA'!EA15,"AAAAAHr+b8g=")</f>
        <v>#VALUE!</v>
      </c>
      <c r="GT16" t="e">
        <f>AND('SPR BARRANQUILLA'!EB15,"AAAAAHr+b8k=")</f>
        <v>#VALUE!</v>
      </c>
      <c r="GU16" t="e">
        <f>AND('SPR BARRANQUILLA'!EC15,"AAAAAHr+b8o=")</f>
        <v>#VALUE!</v>
      </c>
      <c r="GV16" t="e">
        <f>AND('SPR BARRANQUILLA'!ED15,"AAAAAHr+b8s=")</f>
        <v>#VALUE!</v>
      </c>
      <c r="GW16" t="e">
        <f>AND('SPR BARRANQUILLA'!EE15,"AAAAAHr+b8w=")</f>
        <v>#VALUE!</v>
      </c>
      <c r="GX16" t="e">
        <f>AND('SPR BARRANQUILLA'!EF15,"AAAAAHr+b80=")</f>
        <v>#VALUE!</v>
      </c>
      <c r="GY16" t="e">
        <f>AND('SPR BARRANQUILLA'!EG15,"AAAAAHr+b84=")</f>
        <v>#VALUE!</v>
      </c>
      <c r="GZ16" t="e">
        <f>AND('SPR BARRANQUILLA'!EH15,"AAAAAHr+b88=")</f>
        <v>#VALUE!</v>
      </c>
      <c r="HA16" t="e">
        <f>AND('SPR BARRANQUILLA'!EI15,"AAAAAHr+b9A=")</f>
        <v>#VALUE!</v>
      </c>
      <c r="HB16" t="e">
        <f>AND('SPR BARRANQUILLA'!EJ15,"AAAAAHr+b9E=")</f>
        <v>#VALUE!</v>
      </c>
      <c r="HC16" t="e">
        <f>AND('SPR BARRANQUILLA'!EK15,"AAAAAHr+b9I=")</f>
        <v>#VALUE!</v>
      </c>
      <c r="HD16" t="e">
        <f>AND('SPR BARRANQUILLA'!EL15,"AAAAAHr+b9M=")</f>
        <v>#VALUE!</v>
      </c>
      <c r="HE16" t="e">
        <f>AND('SPR BARRANQUILLA'!EM15,"AAAAAHr+b9Q=")</f>
        <v>#VALUE!</v>
      </c>
      <c r="HF16" t="e">
        <f>AND('SPR BARRANQUILLA'!EN15,"AAAAAHr+b9U=")</f>
        <v>#VALUE!</v>
      </c>
      <c r="HG16" t="e">
        <f>AND('SPR BARRANQUILLA'!EO15,"AAAAAHr+b9Y=")</f>
        <v>#VALUE!</v>
      </c>
      <c r="HH16" t="e">
        <f>AND('SPR BARRANQUILLA'!EP15,"AAAAAHr+b9c=")</f>
        <v>#VALUE!</v>
      </c>
      <c r="HI16" t="e">
        <f>AND('SPR BARRANQUILLA'!EQ15,"AAAAAHr+b9g=")</f>
        <v>#VALUE!</v>
      </c>
      <c r="HJ16" t="e">
        <f>AND('SPR BARRANQUILLA'!ER15,"AAAAAHr+b9k=")</f>
        <v>#VALUE!</v>
      </c>
      <c r="HK16" t="e">
        <f>AND('SPR BARRANQUILLA'!ES15,"AAAAAHr+b9o=")</f>
        <v>#VALUE!</v>
      </c>
      <c r="HL16" t="e">
        <f>AND('SPR BARRANQUILLA'!ET15,"AAAAAHr+b9s=")</f>
        <v>#VALUE!</v>
      </c>
      <c r="HM16" t="e">
        <f>AND('SPR BARRANQUILLA'!EU15,"AAAAAHr+b9w=")</f>
        <v>#VALUE!</v>
      </c>
      <c r="HN16" t="e">
        <f>AND('SPR BARRANQUILLA'!EV15,"AAAAAHr+b90=")</f>
        <v>#VALUE!</v>
      </c>
      <c r="HO16" t="e">
        <f>AND('SPR BARRANQUILLA'!EW15,"AAAAAHr+b94=")</f>
        <v>#VALUE!</v>
      </c>
      <c r="HP16" t="e">
        <f>AND('SPR BARRANQUILLA'!EX15,"AAAAAHr+b98=")</f>
        <v>#VALUE!</v>
      </c>
      <c r="HQ16" t="e">
        <f>AND('SPR BARRANQUILLA'!EY15,"AAAAAHr+b+A=")</f>
        <v>#VALUE!</v>
      </c>
      <c r="HR16" t="e">
        <f>AND('SPR BARRANQUILLA'!EZ15,"AAAAAHr+b+E=")</f>
        <v>#VALUE!</v>
      </c>
      <c r="HS16" t="e">
        <f>AND('SPR BARRANQUILLA'!FA15,"AAAAAHr+b+I=")</f>
        <v>#VALUE!</v>
      </c>
      <c r="HT16" t="e">
        <f>AND('SPR BARRANQUILLA'!FB15,"AAAAAHr+b+M=")</f>
        <v>#VALUE!</v>
      </c>
      <c r="HU16" t="e">
        <f>AND('SPR BARRANQUILLA'!FC15,"AAAAAHr+b+Q=")</f>
        <v>#VALUE!</v>
      </c>
      <c r="HV16" t="e">
        <f>AND('SPR BARRANQUILLA'!FD15,"AAAAAHr+b+U=")</f>
        <v>#VALUE!</v>
      </c>
      <c r="HW16" t="e">
        <f>AND('SPR BARRANQUILLA'!FE15,"AAAAAHr+b+Y=")</f>
        <v>#VALUE!</v>
      </c>
      <c r="HX16" t="e">
        <f>AND('SPR BARRANQUILLA'!FF15,"AAAAAHr+b+c=")</f>
        <v>#VALUE!</v>
      </c>
      <c r="HY16" t="e">
        <f>AND('SPR BARRANQUILLA'!FG15,"AAAAAHr+b+g=")</f>
        <v>#VALUE!</v>
      </c>
      <c r="HZ16" t="e">
        <f>AND('SPR BARRANQUILLA'!FH15,"AAAAAHr+b+k=")</f>
        <v>#VALUE!</v>
      </c>
      <c r="IA16" t="e">
        <f>AND('SPR BARRANQUILLA'!FI15,"AAAAAHr+b+o=")</f>
        <v>#VALUE!</v>
      </c>
      <c r="IB16" t="e">
        <f>AND('SPR BARRANQUILLA'!FJ15,"AAAAAHr+b+s=")</f>
        <v>#VALUE!</v>
      </c>
      <c r="IC16" t="e">
        <f>AND('SPR BARRANQUILLA'!FK15,"AAAAAHr+b+w=")</f>
        <v>#VALUE!</v>
      </c>
      <c r="ID16" t="e">
        <f>AND('SPR BARRANQUILLA'!FL15,"AAAAAHr+b+0=")</f>
        <v>#VALUE!</v>
      </c>
      <c r="IE16" t="e">
        <f>AND('SPR BARRANQUILLA'!FM15,"AAAAAHr+b+4=")</f>
        <v>#VALUE!</v>
      </c>
      <c r="IF16" t="e">
        <f>AND('SPR BARRANQUILLA'!FN15,"AAAAAHr+b+8=")</f>
        <v>#VALUE!</v>
      </c>
      <c r="IG16" t="e">
        <f>AND('SPR BARRANQUILLA'!FO15,"AAAAAHr+b/A=")</f>
        <v>#VALUE!</v>
      </c>
      <c r="IH16" t="e">
        <f>AND('SPR BARRANQUILLA'!FP15,"AAAAAHr+b/E=")</f>
        <v>#VALUE!</v>
      </c>
      <c r="II16" t="e">
        <f>AND('SPR BARRANQUILLA'!FQ15,"AAAAAHr+b/I=")</f>
        <v>#VALUE!</v>
      </c>
      <c r="IJ16" t="e">
        <f>AND('SPR BARRANQUILLA'!FR15,"AAAAAHr+b/M=")</f>
        <v>#VALUE!</v>
      </c>
      <c r="IK16" t="e">
        <f>AND('SPR BARRANQUILLA'!FS15,"AAAAAHr+b/Q=")</f>
        <v>#VALUE!</v>
      </c>
      <c r="IL16" t="e">
        <f>AND('SPR BARRANQUILLA'!FT15,"AAAAAHr+b/U=")</f>
        <v>#VALUE!</v>
      </c>
      <c r="IM16" t="e">
        <f>AND('SPR BARRANQUILLA'!FU15,"AAAAAHr+b/Y=")</f>
        <v>#VALUE!</v>
      </c>
      <c r="IN16" t="e">
        <f>AND('SPR BARRANQUILLA'!FV15,"AAAAAHr+b/c=")</f>
        <v>#VALUE!</v>
      </c>
      <c r="IO16" t="e">
        <f>AND('SPR BARRANQUILLA'!FW15,"AAAAAHr+b/g=")</f>
        <v>#VALUE!</v>
      </c>
      <c r="IP16" t="e">
        <f>AND('SPR BARRANQUILLA'!FX15,"AAAAAHr+b/k=")</f>
        <v>#VALUE!</v>
      </c>
      <c r="IQ16" t="e">
        <f>AND('SPR BARRANQUILLA'!FY15,"AAAAAHr+b/o=")</f>
        <v>#VALUE!</v>
      </c>
      <c r="IR16" t="e">
        <f>AND('SPR BARRANQUILLA'!FZ15,"AAAAAHr+b/s=")</f>
        <v>#VALUE!</v>
      </c>
      <c r="IS16" t="e">
        <f>AND('SPR BARRANQUILLA'!GA15,"AAAAAHr+b/w=")</f>
        <v>#VALUE!</v>
      </c>
      <c r="IT16" t="e">
        <f>AND('SPR BARRANQUILLA'!GB15,"AAAAAHr+b/0=")</f>
        <v>#VALUE!</v>
      </c>
      <c r="IU16" t="e">
        <f>AND('SPR BARRANQUILLA'!GC15,"AAAAAHr+b/4=")</f>
        <v>#VALUE!</v>
      </c>
      <c r="IV16" t="e">
        <f>AND('SPR BARRANQUILLA'!GD15,"AAAAAHr+b/8=")</f>
        <v>#VALUE!</v>
      </c>
    </row>
    <row r="17" spans="1:256">
      <c r="A17" t="e">
        <f>AND('SPR BARRANQUILLA'!GE15,"AAAAAA/n9QA=")</f>
        <v>#VALUE!</v>
      </c>
      <c r="B17" t="e">
        <f>AND('SPR BARRANQUILLA'!GF15,"AAAAAA/n9QE=")</f>
        <v>#VALUE!</v>
      </c>
      <c r="C17" t="e">
        <f>AND('SPR BARRANQUILLA'!GG15,"AAAAAA/n9QI=")</f>
        <v>#VALUE!</v>
      </c>
      <c r="D17" t="e">
        <f>AND('SPR BARRANQUILLA'!GH15,"AAAAAA/n9QM=")</f>
        <v>#VALUE!</v>
      </c>
      <c r="E17" t="e">
        <f>AND('SPR BARRANQUILLA'!GI15,"AAAAAA/n9QQ=")</f>
        <v>#VALUE!</v>
      </c>
      <c r="F17" t="e">
        <f>AND('SPR BARRANQUILLA'!GJ15,"AAAAAA/n9QU=")</f>
        <v>#VALUE!</v>
      </c>
      <c r="G17" t="e">
        <f>AND('SPR BARRANQUILLA'!GK15,"AAAAAA/n9QY=")</f>
        <v>#VALUE!</v>
      </c>
      <c r="H17" t="e">
        <f>AND('SPR BARRANQUILLA'!GL15,"AAAAAA/n9Qc=")</f>
        <v>#VALUE!</v>
      </c>
      <c r="I17" t="e">
        <f>AND('SPR BARRANQUILLA'!GM15,"AAAAAA/n9Qg=")</f>
        <v>#VALUE!</v>
      </c>
      <c r="J17" t="e">
        <f>AND('SPR BARRANQUILLA'!GN15,"AAAAAA/n9Qk=")</f>
        <v>#VALUE!</v>
      </c>
      <c r="K17" t="e">
        <f>AND('SPR BARRANQUILLA'!GO15,"AAAAAA/n9Qo=")</f>
        <v>#VALUE!</v>
      </c>
      <c r="L17" t="e">
        <f>AND('SPR BARRANQUILLA'!GP15,"AAAAAA/n9Qs=")</f>
        <v>#VALUE!</v>
      </c>
      <c r="M17" t="e">
        <f>AND('SPR BARRANQUILLA'!GQ15,"AAAAAA/n9Qw=")</f>
        <v>#VALUE!</v>
      </c>
      <c r="N17" t="e">
        <f>AND('SPR BARRANQUILLA'!GR15,"AAAAAA/n9Q0=")</f>
        <v>#VALUE!</v>
      </c>
      <c r="O17" t="e">
        <f>AND('SPR BARRANQUILLA'!GS15,"AAAAAA/n9Q4=")</f>
        <v>#VALUE!</v>
      </c>
      <c r="P17" t="e">
        <f>AND('SPR BARRANQUILLA'!GT15,"AAAAAA/n9Q8=")</f>
        <v>#VALUE!</v>
      </c>
      <c r="Q17" t="e">
        <f>AND('SPR BARRANQUILLA'!GU15,"AAAAAA/n9RA=")</f>
        <v>#VALUE!</v>
      </c>
      <c r="R17" t="e">
        <f>AND('SPR BARRANQUILLA'!GV15,"AAAAAA/n9RE=")</f>
        <v>#VALUE!</v>
      </c>
      <c r="S17" t="e">
        <f>AND('SPR BARRANQUILLA'!GW15,"AAAAAA/n9RI=")</f>
        <v>#VALUE!</v>
      </c>
      <c r="T17" t="e">
        <f>AND('SPR BARRANQUILLA'!GX15,"AAAAAA/n9RM=")</f>
        <v>#VALUE!</v>
      </c>
      <c r="U17" t="e">
        <f>AND('SPR BARRANQUILLA'!GY15,"AAAAAA/n9RQ=")</f>
        <v>#VALUE!</v>
      </c>
      <c r="V17">
        <f>IF('SPR BARRANQUILLA'!16:16,"AAAAAA/n9RU=",0)</f>
        <v>0</v>
      </c>
      <c r="W17" t="e">
        <f>AND('SPR BARRANQUILLA'!A16,"AAAAAA/n9RY=")</f>
        <v>#VALUE!</v>
      </c>
      <c r="X17" t="e">
        <f>AND('SPR BARRANQUILLA'!B16,"AAAAAA/n9Rc=")</f>
        <v>#VALUE!</v>
      </c>
      <c r="Y17" t="e">
        <f>AND('SPR BARRANQUILLA'!C16,"AAAAAA/n9Rg=")</f>
        <v>#VALUE!</v>
      </c>
      <c r="Z17" t="e">
        <f>AND('SPR BARRANQUILLA'!D16,"AAAAAA/n9Rk=")</f>
        <v>#VALUE!</v>
      </c>
      <c r="AA17" t="e">
        <f>AND('SPR BARRANQUILLA'!E16,"AAAAAA/n9Ro=")</f>
        <v>#VALUE!</v>
      </c>
      <c r="AB17" t="e">
        <f>AND('SPR BARRANQUILLA'!F16,"AAAAAA/n9Rs=")</f>
        <v>#VALUE!</v>
      </c>
      <c r="AC17" t="e">
        <f>AND('SPR BARRANQUILLA'!G16,"AAAAAA/n9Rw=")</f>
        <v>#VALUE!</v>
      </c>
      <c r="AD17" t="e">
        <f>AND('SPR BARRANQUILLA'!H16,"AAAAAA/n9R0=")</f>
        <v>#VALUE!</v>
      </c>
      <c r="AE17" t="e">
        <f>AND('SPR BARRANQUILLA'!I16,"AAAAAA/n9R4=")</f>
        <v>#VALUE!</v>
      </c>
      <c r="AF17" t="e">
        <f>AND('SPR BARRANQUILLA'!J16,"AAAAAA/n9R8=")</f>
        <v>#VALUE!</v>
      </c>
      <c r="AG17" t="e">
        <f>AND('SPR BARRANQUILLA'!K16,"AAAAAA/n9SA=")</f>
        <v>#VALUE!</v>
      </c>
      <c r="AH17" t="e">
        <f>AND('SPR BARRANQUILLA'!L16,"AAAAAA/n9SE=")</f>
        <v>#VALUE!</v>
      </c>
      <c r="AI17" t="e">
        <f>AND('SPR BARRANQUILLA'!M16,"AAAAAA/n9SI=")</f>
        <v>#VALUE!</v>
      </c>
      <c r="AJ17" t="e">
        <f>AND('SPR BARRANQUILLA'!N16,"AAAAAA/n9SM=")</f>
        <v>#VALUE!</v>
      </c>
      <c r="AK17" t="e">
        <f>AND('SPR BARRANQUILLA'!O16,"AAAAAA/n9SQ=")</f>
        <v>#VALUE!</v>
      </c>
      <c r="AL17" t="e">
        <f>AND('SPR BARRANQUILLA'!P16,"AAAAAA/n9SU=")</f>
        <v>#VALUE!</v>
      </c>
      <c r="AM17" t="e">
        <f>AND('SPR BARRANQUILLA'!Q16,"AAAAAA/n9SY=")</f>
        <v>#VALUE!</v>
      </c>
      <c r="AN17" t="e">
        <f>AND('SPR BARRANQUILLA'!R16,"AAAAAA/n9Sc=")</f>
        <v>#VALUE!</v>
      </c>
      <c r="AO17" t="e">
        <f>AND('SPR BARRANQUILLA'!S16,"AAAAAA/n9Sg=")</f>
        <v>#VALUE!</v>
      </c>
      <c r="AP17" t="e">
        <f>AND('SPR BARRANQUILLA'!T16,"AAAAAA/n9Sk=")</f>
        <v>#VALUE!</v>
      </c>
      <c r="AQ17" t="e">
        <f>AND('SPR BARRANQUILLA'!U16,"AAAAAA/n9So=")</f>
        <v>#VALUE!</v>
      </c>
      <c r="AR17" t="e">
        <f>AND('SPR BARRANQUILLA'!V16,"AAAAAA/n9Ss=")</f>
        <v>#VALUE!</v>
      </c>
      <c r="AS17" t="e">
        <f>AND('SPR BARRANQUILLA'!W16,"AAAAAA/n9Sw=")</f>
        <v>#VALUE!</v>
      </c>
      <c r="AT17" t="e">
        <f>AND('SPR BARRANQUILLA'!X16,"AAAAAA/n9S0=")</f>
        <v>#VALUE!</v>
      </c>
      <c r="AU17" t="e">
        <f>AND('SPR BARRANQUILLA'!Y16,"AAAAAA/n9S4=")</f>
        <v>#VALUE!</v>
      </c>
      <c r="AV17" t="e">
        <f>AND('SPR BARRANQUILLA'!Z16,"AAAAAA/n9S8=")</f>
        <v>#VALUE!</v>
      </c>
      <c r="AW17" t="e">
        <f>AND('SPR BARRANQUILLA'!AA16,"AAAAAA/n9TA=")</f>
        <v>#VALUE!</v>
      </c>
      <c r="AX17" t="e">
        <f>AND('SPR BARRANQUILLA'!AB16,"AAAAAA/n9TE=")</f>
        <v>#VALUE!</v>
      </c>
      <c r="AY17" t="e">
        <f>AND('SPR BARRANQUILLA'!AC16,"AAAAAA/n9TI=")</f>
        <v>#VALUE!</v>
      </c>
      <c r="AZ17" t="e">
        <f>AND('SPR BARRANQUILLA'!AD16,"AAAAAA/n9TM=")</f>
        <v>#VALUE!</v>
      </c>
      <c r="BA17" t="e">
        <f>AND('SPR BARRANQUILLA'!AE16,"AAAAAA/n9TQ=")</f>
        <v>#VALUE!</v>
      </c>
      <c r="BB17" t="e">
        <f>AND('SPR BARRANQUILLA'!AF16,"AAAAAA/n9TU=")</f>
        <v>#VALUE!</v>
      </c>
      <c r="BC17" t="e">
        <f>AND('SPR BARRANQUILLA'!AG16,"AAAAAA/n9TY=")</f>
        <v>#VALUE!</v>
      </c>
      <c r="BD17" t="e">
        <f>AND('SPR BARRANQUILLA'!AH16,"AAAAAA/n9Tc=")</f>
        <v>#VALUE!</v>
      </c>
      <c r="BE17" t="e">
        <f>AND('SPR BARRANQUILLA'!AI16,"AAAAAA/n9Tg=")</f>
        <v>#VALUE!</v>
      </c>
      <c r="BF17" t="e">
        <f>AND('SPR BARRANQUILLA'!AJ16,"AAAAAA/n9Tk=")</f>
        <v>#VALUE!</v>
      </c>
      <c r="BG17" t="e">
        <f>AND('SPR BARRANQUILLA'!AK16,"AAAAAA/n9To=")</f>
        <v>#VALUE!</v>
      </c>
      <c r="BH17" t="e">
        <f>AND('SPR BARRANQUILLA'!AL16,"AAAAAA/n9Ts=")</f>
        <v>#VALUE!</v>
      </c>
      <c r="BI17" t="e">
        <f>AND('SPR BARRANQUILLA'!AM16,"AAAAAA/n9Tw=")</f>
        <v>#VALUE!</v>
      </c>
      <c r="BJ17" t="e">
        <f>AND('SPR BARRANQUILLA'!AN16,"AAAAAA/n9T0=")</f>
        <v>#VALUE!</v>
      </c>
      <c r="BK17" t="e">
        <f>AND('SPR BARRANQUILLA'!AO16,"AAAAAA/n9T4=")</f>
        <v>#VALUE!</v>
      </c>
      <c r="BL17" t="e">
        <f>AND('SPR BARRANQUILLA'!AP16,"AAAAAA/n9T8=")</f>
        <v>#VALUE!</v>
      </c>
      <c r="BM17" t="e">
        <f>AND('SPR BARRANQUILLA'!AQ16,"AAAAAA/n9UA=")</f>
        <v>#VALUE!</v>
      </c>
      <c r="BN17" t="e">
        <f>AND('SPR BARRANQUILLA'!AR16,"AAAAAA/n9UE=")</f>
        <v>#VALUE!</v>
      </c>
      <c r="BO17" t="e">
        <f>AND('SPR BARRANQUILLA'!AS16,"AAAAAA/n9UI=")</f>
        <v>#VALUE!</v>
      </c>
      <c r="BP17" t="e">
        <f>AND('SPR BARRANQUILLA'!AT16,"AAAAAA/n9UM=")</f>
        <v>#VALUE!</v>
      </c>
      <c r="BQ17" t="e">
        <f>AND('SPR BARRANQUILLA'!AU16,"AAAAAA/n9UQ=")</f>
        <v>#VALUE!</v>
      </c>
      <c r="BR17" t="e">
        <f>AND('SPR BARRANQUILLA'!AV16,"AAAAAA/n9UU=")</f>
        <v>#VALUE!</v>
      </c>
      <c r="BS17" t="e">
        <f>AND('SPR BARRANQUILLA'!AW16,"AAAAAA/n9UY=")</f>
        <v>#VALUE!</v>
      </c>
      <c r="BT17" t="e">
        <f>AND('SPR BARRANQUILLA'!AX16,"AAAAAA/n9Uc=")</f>
        <v>#VALUE!</v>
      </c>
      <c r="BU17" t="e">
        <f>AND('SPR BARRANQUILLA'!AY16,"AAAAAA/n9Ug=")</f>
        <v>#VALUE!</v>
      </c>
      <c r="BV17" t="e">
        <f>AND('SPR BARRANQUILLA'!AZ16,"AAAAAA/n9Uk=")</f>
        <v>#VALUE!</v>
      </c>
      <c r="BW17" t="e">
        <f>AND('SPR BARRANQUILLA'!BA16,"AAAAAA/n9Uo=")</f>
        <v>#VALUE!</v>
      </c>
      <c r="BX17" t="e">
        <f>AND('SPR BARRANQUILLA'!BB16,"AAAAAA/n9Us=")</f>
        <v>#VALUE!</v>
      </c>
      <c r="BY17" t="e">
        <f>AND('SPR BARRANQUILLA'!BC16,"AAAAAA/n9Uw=")</f>
        <v>#VALUE!</v>
      </c>
      <c r="BZ17" t="e">
        <f>AND('SPR BARRANQUILLA'!BD16,"AAAAAA/n9U0=")</f>
        <v>#VALUE!</v>
      </c>
      <c r="CA17" t="e">
        <f>AND('SPR BARRANQUILLA'!BE16,"AAAAAA/n9U4=")</f>
        <v>#VALUE!</v>
      </c>
      <c r="CB17" t="e">
        <f>AND('SPR BARRANQUILLA'!BF16,"AAAAAA/n9U8=")</f>
        <v>#VALUE!</v>
      </c>
      <c r="CC17" t="e">
        <f>AND('SPR BARRANQUILLA'!BG16,"AAAAAA/n9VA=")</f>
        <v>#VALUE!</v>
      </c>
      <c r="CD17" t="e">
        <f>AND('SPR BARRANQUILLA'!BH16,"AAAAAA/n9VE=")</f>
        <v>#VALUE!</v>
      </c>
      <c r="CE17" t="e">
        <f>AND('SPR BARRANQUILLA'!BI16,"AAAAAA/n9VI=")</f>
        <v>#VALUE!</v>
      </c>
      <c r="CF17" t="e">
        <f>AND('SPR BARRANQUILLA'!BJ16,"AAAAAA/n9VM=")</f>
        <v>#VALUE!</v>
      </c>
      <c r="CG17" t="e">
        <f>AND('SPR BARRANQUILLA'!BK16,"AAAAAA/n9VQ=")</f>
        <v>#VALUE!</v>
      </c>
      <c r="CH17" t="e">
        <f>AND('SPR BARRANQUILLA'!BL16,"AAAAAA/n9VU=")</f>
        <v>#VALUE!</v>
      </c>
      <c r="CI17" t="e">
        <f>AND('SPR BARRANQUILLA'!BM16,"AAAAAA/n9VY=")</f>
        <v>#VALUE!</v>
      </c>
      <c r="CJ17" t="e">
        <f>AND('SPR BARRANQUILLA'!BN16,"AAAAAA/n9Vc=")</f>
        <v>#VALUE!</v>
      </c>
      <c r="CK17" t="e">
        <f>AND('SPR BARRANQUILLA'!BO16,"AAAAAA/n9Vg=")</f>
        <v>#VALUE!</v>
      </c>
      <c r="CL17" t="e">
        <f>AND('SPR BARRANQUILLA'!BP16,"AAAAAA/n9Vk=")</f>
        <v>#VALUE!</v>
      </c>
      <c r="CM17" t="e">
        <f>AND('SPR BARRANQUILLA'!BQ16,"AAAAAA/n9Vo=")</f>
        <v>#VALUE!</v>
      </c>
      <c r="CN17" t="e">
        <f>AND('SPR BARRANQUILLA'!BR16,"AAAAAA/n9Vs=")</f>
        <v>#VALUE!</v>
      </c>
      <c r="CO17" t="e">
        <f>AND('SPR BARRANQUILLA'!BS16,"AAAAAA/n9Vw=")</f>
        <v>#VALUE!</v>
      </c>
      <c r="CP17" t="e">
        <f>AND('SPR BARRANQUILLA'!BT16,"AAAAAA/n9V0=")</f>
        <v>#VALUE!</v>
      </c>
      <c r="CQ17" t="e">
        <f>AND('SPR BARRANQUILLA'!BU16,"AAAAAA/n9V4=")</f>
        <v>#VALUE!</v>
      </c>
      <c r="CR17" t="e">
        <f>AND('SPR BARRANQUILLA'!BV16,"AAAAAA/n9V8=")</f>
        <v>#VALUE!</v>
      </c>
      <c r="CS17" t="e">
        <f>AND('SPR BARRANQUILLA'!BW16,"AAAAAA/n9WA=")</f>
        <v>#VALUE!</v>
      </c>
      <c r="CT17" t="e">
        <f>AND('SPR BARRANQUILLA'!BX16,"AAAAAA/n9WE=")</f>
        <v>#VALUE!</v>
      </c>
      <c r="CU17" t="e">
        <f>AND('SPR BARRANQUILLA'!BY16,"AAAAAA/n9WI=")</f>
        <v>#VALUE!</v>
      </c>
      <c r="CV17" t="e">
        <f>AND('SPR BARRANQUILLA'!BZ16,"AAAAAA/n9WM=")</f>
        <v>#VALUE!</v>
      </c>
      <c r="CW17" t="e">
        <f>AND('SPR BARRANQUILLA'!CA16,"AAAAAA/n9WQ=")</f>
        <v>#VALUE!</v>
      </c>
      <c r="CX17" t="e">
        <f>AND('SPR BARRANQUILLA'!CB16,"AAAAAA/n9WU=")</f>
        <v>#VALUE!</v>
      </c>
      <c r="CY17" t="e">
        <f>AND('SPR BARRANQUILLA'!CC16,"AAAAAA/n9WY=")</f>
        <v>#VALUE!</v>
      </c>
      <c r="CZ17" t="e">
        <f>AND('SPR BARRANQUILLA'!CD16,"AAAAAA/n9Wc=")</f>
        <v>#VALUE!</v>
      </c>
      <c r="DA17" t="e">
        <f>AND('SPR BARRANQUILLA'!CE16,"AAAAAA/n9Wg=")</f>
        <v>#VALUE!</v>
      </c>
      <c r="DB17" t="e">
        <f>AND('SPR BARRANQUILLA'!CF16,"AAAAAA/n9Wk=")</f>
        <v>#VALUE!</v>
      </c>
      <c r="DC17" t="e">
        <f>AND('SPR BARRANQUILLA'!CG16,"AAAAAA/n9Wo=")</f>
        <v>#VALUE!</v>
      </c>
      <c r="DD17" t="e">
        <f>AND('SPR BARRANQUILLA'!CH16,"AAAAAA/n9Ws=")</f>
        <v>#VALUE!</v>
      </c>
      <c r="DE17" t="e">
        <f>AND('SPR BARRANQUILLA'!CI16,"AAAAAA/n9Ww=")</f>
        <v>#VALUE!</v>
      </c>
      <c r="DF17" t="e">
        <f>AND('SPR BARRANQUILLA'!CJ16,"AAAAAA/n9W0=")</f>
        <v>#VALUE!</v>
      </c>
      <c r="DG17" t="e">
        <f>AND('SPR BARRANQUILLA'!CK16,"AAAAAA/n9W4=")</f>
        <v>#VALUE!</v>
      </c>
      <c r="DH17" t="e">
        <f>AND('SPR BARRANQUILLA'!CL16,"AAAAAA/n9W8=")</f>
        <v>#VALUE!</v>
      </c>
      <c r="DI17" t="e">
        <f>AND('SPR BARRANQUILLA'!CM16,"AAAAAA/n9XA=")</f>
        <v>#VALUE!</v>
      </c>
      <c r="DJ17" t="e">
        <f>AND('SPR BARRANQUILLA'!CN16,"AAAAAA/n9XE=")</f>
        <v>#VALUE!</v>
      </c>
      <c r="DK17" t="e">
        <f>AND('SPR BARRANQUILLA'!CO16,"AAAAAA/n9XI=")</f>
        <v>#VALUE!</v>
      </c>
      <c r="DL17" t="e">
        <f>AND('SPR BARRANQUILLA'!CP16,"AAAAAA/n9XM=")</f>
        <v>#VALUE!</v>
      </c>
      <c r="DM17" t="e">
        <f>AND('SPR BARRANQUILLA'!CQ16,"AAAAAA/n9XQ=")</f>
        <v>#VALUE!</v>
      </c>
      <c r="DN17" t="e">
        <f>AND('SPR BARRANQUILLA'!CR16,"AAAAAA/n9XU=")</f>
        <v>#VALUE!</v>
      </c>
      <c r="DO17" t="e">
        <f>AND('SPR BARRANQUILLA'!CS16,"AAAAAA/n9XY=")</f>
        <v>#VALUE!</v>
      </c>
      <c r="DP17" t="e">
        <f>AND('SPR BARRANQUILLA'!CT16,"AAAAAA/n9Xc=")</f>
        <v>#VALUE!</v>
      </c>
      <c r="DQ17" t="e">
        <f>AND('SPR BARRANQUILLA'!CU16,"AAAAAA/n9Xg=")</f>
        <v>#VALUE!</v>
      </c>
      <c r="DR17" t="e">
        <f>AND('SPR BARRANQUILLA'!CV16,"AAAAAA/n9Xk=")</f>
        <v>#VALUE!</v>
      </c>
      <c r="DS17" t="e">
        <f>AND('SPR BARRANQUILLA'!CW16,"AAAAAA/n9Xo=")</f>
        <v>#VALUE!</v>
      </c>
      <c r="DT17" t="e">
        <f>AND('SPR BARRANQUILLA'!CX16,"AAAAAA/n9Xs=")</f>
        <v>#VALUE!</v>
      </c>
      <c r="DU17" t="e">
        <f>AND('SPR BARRANQUILLA'!CY16,"AAAAAA/n9Xw=")</f>
        <v>#VALUE!</v>
      </c>
      <c r="DV17" t="e">
        <f>AND('SPR BARRANQUILLA'!CZ16,"AAAAAA/n9X0=")</f>
        <v>#VALUE!</v>
      </c>
      <c r="DW17" t="e">
        <f>AND('SPR BARRANQUILLA'!DA16,"AAAAAA/n9X4=")</f>
        <v>#VALUE!</v>
      </c>
      <c r="DX17" t="e">
        <f>AND('SPR BARRANQUILLA'!DB16,"AAAAAA/n9X8=")</f>
        <v>#VALUE!</v>
      </c>
      <c r="DY17" t="e">
        <f>AND('SPR BARRANQUILLA'!DC16,"AAAAAA/n9YA=")</f>
        <v>#VALUE!</v>
      </c>
      <c r="DZ17" t="e">
        <f>AND('SPR BARRANQUILLA'!DD16,"AAAAAA/n9YE=")</f>
        <v>#VALUE!</v>
      </c>
      <c r="EA17" t="e">
        <f>AND('SPR BARRANQUILLA'!DE16,"AAAAAA/n9YI=")</f>
        <v>#VALUE!</v>
      </c>
      <c r="EB17" t="e">
        <f>AND('SPR BARRANQUILLA'!DF16,"AAAAAA/n9YM=")</f>
        <v>#VALUE!</v>
      </c>
      <c r="EC17" t="e">
        <f>AND('SPR BARRANQUILLA'!DG16,"AAAAAA/n9YQ=")</f>
        <v>#VALUE!</v>
      </c>
      <c r="ED17" t="e">
        <f>AND('SPR BARRANQUILLA'!DH16,"AAAAAA/n9YU=")</f>
        <v>#VALUE!</v>
      </c>
      <c r="EE17" t="e">
        <f>AND('SPR BARRANQUILLA'!DI16,"AAAAAA/n9YY=")</f>
        <v>#VALUE!</v>
      </c>
      <c r="EF17" t="e">
        <f>AND('SPR BARRANQUILLA'!DJ16,"AAAAAA/n9Yc=")</f>
        <v>#VALUE!</v>
      </c>
      <c r="EG17" t="e">
        <f>AND('SPR BARRANQUILLA'!DK16,"AAAAAA/n9Yg=")</f>
        <v>#VALUE!</v>
      </c>
      <c r="EH17" t="e">
        <f>AND('SPR BARRANQUILLA'!DL16,"AAAAAA/n9Yk=")</f>
        <v>#VALUE!</v>
      </c>
      <c r="EI17" t="e">
        <f>AND('SPR BARRANQUILLA'!DM16,"AAAAAA/n9Yo=")</f>
        <v>#VALUE!</v>
      </c>
      <c r="EJ17" t="e">
        <f>AND('SPR BARRANQUILLA'!DN16,"AAAAAA/n9Ys=")</f>
        <v>#VALUE!</v>
      </c>
      <c r="EK17" t="e">
        <f>AND('SPR BARRANQUILLA'!DO16,"AAAAAA/n9Yw=")</f>
        <v>#VALUE!</v>
      </c>
      <c r="EL17" t="e">
        <f>AND('SPR BARRANQUILLA'!DP16,"AAAAAA/n9Y0=")</f>
        <v>#VALUE!</v>
      </c>
      <c r="EM17" t="e">
        <f>AND('SPR BARRANQUILLA'!DQ16,"AAAAAA/n9Y4=")</f>
        <v>#VALUE!</v>
      </c>
      <c r="EN17" t="e">
        <f>AND('SPR BARRANQUILLA'!DR16,"AAAAAA/n9Y8=")</f>
        <v>#VALUE!</v>
      </c>
      <c r="EO17" t="e">
        <f>AND('SPR BARRANQUILLA'!DS16,"AAAAAA/n9ZA=")</f>
        <v>#VALUE!</v>
      </c>
      <c r="EP17" t="e">
        <f>AND('SPR BARRANQUILLA'!DT16,"AAAAAA/n9ZE=")</f>
        <v>#VALUE!</v>
      </c>
      <c r="EQ17" t="e">
        <f>AND('SPR BARRANQUILLA'!DU16,"AAAAAA/n9ZI=")</f>
        <v>#VALUE!</v>
      </c>
      <c r="ER17" t="e">
        <f>AND('SPR BARRANQUILLA'!DV16,"AAAAAA/n9ZM=")</f>
        <v>#VALUE!</v>
      </c>
      <c r="ES17" t="e">
        <f>AND('SPR BARRANQUILLA'!DW16,"AAAAAA/n9ZQ=")</f>
        <v>#VALUE!</v>
      </c>
      <c r="ET17" t="e">
        <f>AND('SPR BARRANQUILLA'!DX16,"AAAAAA/n9ZU=")</f>
        <v>#VALUE!</v>
      </c>
      <c r="EU17" t="e">
        <f>AND('SPR BARRANQUILLA'!DY16,"AAAAAA/n9ZY=")</f>
        <v>#VALUE!</v>
      </c>
      <c r="EV17" t="e">
        <f>AND('SPR BARRANQUILLA'!DZ16,"AAAAAA/n9Zc=")</f>
        <v>#VALUE!</v>
      </c>
      <c r="EW17" t="e">
        <f>AND('SPR BARRANQUILLA'!EA16,"AAAAAA/n9Zg=")</f>
        <v>#VALUE!</v>
      </c>
      <c r="EX17" t="e">
        <f>AND('SPR BARRANQUILLA'!EB16,"AAAAAA/n9Zk=")</f>
        <v>#VALUE!</v>
      </c>
      <c r="EY17" t="e">
        <f>AND('SPR BARRANQUILLA'!EC16,"AAAAAA/n9Zo=")</f>
        <v>#VALUE!</v>
      </c>
      <c r="EZ17" t="e">
        <f>AND('SPR BARRANQUILLA'!ED16,"AAAAAA/n9Zs=")</f>
        <v>#VALUE!</v>
      </c>
      <c r="FA17" t="e">
        <f>AND('SPR BARRANQUILLA'!EE16,"AAAAAA/n9Zw=")</f>
        <v>#VALUE!</v>
      </c>
      <c r="FB17" t="e">
        <f>AND('SPR BARRANQUILLA'!EF16,"AAAAAA/n9Z0=")</f>
        <v>#VALUE!</v>
      </c>
      <c r="FC17" t="e">
        <f>AND('SPR BARRANQUILLA'!EG16,"AAAAAA/n9Z4=")</f>
        <v>#VALUE!</v>
      </c>
      <c r="FD17" t="e">
        <f>AND('SPR BARRANQUILLA'!EH16,"AAAAAA/n9Z8=")</f>
        <v>#VALUE!</v>
      </c>
      <c r="FE17" t="e">
        <f>AND('SPR BARRANQUILLA'!EI16,"AAAAAA/n9aA=")</f>
        <v>#VALUE!</v>
      </c>
      <c r="FF17" t="e">
        <f>AND('SPR BARRANQUILLA'!EJ16,"AAAAAA/n9aE=")</f>
        <v>#VALUE!</v>
      </c>
      <c r="FG17" t="e">
        <f>AND('SPR BARRANQUILLA'!EK16,"AAAAAA/n9aI=")</f>
        <v>#VALUE!</v>
      </c>
      <c r="FH17" t="e">
        <f>AND('SPR BARRANQUILLA'!EL16,"AAAAAA/n9aM=")</f>
        <v>#VALUE!</v>
      </c>
      <c r="FI17" t="e">
        <f>AND('SPR BARRANQUILLA'!EM16,"AAAAAA/n9aQ=")</f>
        <v>#VALUE!</v>
      </c>
      <c r="FJ17" t="e">
        <f>AND('SPR BARRANQUILLA'!EN16,"AAAAAA/n9aU=")</f>
        <v>#VALUE!</v>
      </c>
      <c r="FK17" t="e">
        <f>AND('SPR BARRANQUILLA'!EO16,"AAAAAA/n9aY=")</f>
        <v>#VALUE!</v>
      </c>
      <c r="FL17" t="e">
        <f>AND('SPR BARRANQUILLA'!EP16,"AAAAAA/n9ac=")</f>
        <v>#VALUE!</v>
      </c>
      <c r="FM17" t="e">
        <f>AND('SPR BARRANQUILLA'!EQ16,"AAAAAA/n9ag=")</f>
        <v>#VALUE!</v>
      </c>
      <c r="FN17" t="e">
        <f>AND('SPR BARRANQUILLA'!ER16,"AAAAAA/n9ak=")</f>
        <v>#VALUE!</v>
      </c>
      <c r="FO17" t="e">
        <f>AND('SPR BARRANQUILLA'!ES16,"AAAAAA/n9ao=")</f>
        <v>#VALUE!</v>
      </c>
      <c r="FP17" t="e">
        <f>AND('SPR BARRANQUILLA'!ET16,"AAAAAA/n9as=")</f>
        <v>#VALUE!</v>
      </c>
      <c r="FQ17" t="e">
        <f>AND('SPR BARRANQUILLA'!EU16,"AAAAAA/n9aw=")</f>
        <v>#VALUE!</v>
      </c>
      <c r="FR17" t="e">
        <f>AND('SPR BARRANQUILLA'!EV16,"AAAAAA/n9a0=")</f>
        <v>#VALUE!</v>
      </c>
      <c r="FS17" t="e">
        <f>AND('SPR BARRANQUILLA'!EW16,"AAAAAA/n9a4=")</f>
        <v>#VALUE!</v>
      </c>
      <c r="FT17" t="e">
        <f>AND('SPR BARRANQUILLA'!EX16,"AAAAAA/n9a8=")</f>
        <v>#VALUE!</v>
      </c>
      <c r="FU17" t="e">
        <f>AND('SPR BARRANQUILLA'!EY16,"AAAAAA/n9bA=")</f>
        <v>#VALUE!</v>
      </c>
      <c r="FV17" t="e">
        <f>AND('SPR BARRANQUILLA'!EZ16,"AAAAAA/n9bE=")</f>
        <v>#VALUE!</v>
      </c>
      <c r="FW17" t="e">
        <f>AND('SPR BARRANQUILLA'!FA16,"AAAAAA/n9bI=")</f>
        <v>#VALUE!</v>
      </c>
      <c r="FX17" t="e">
        <f>AND('SPR BARRANQUILLA'!FB16,"AAAAAA/n9bM=")</f>
        <v>#VALUE!</v>
      </c>
      <c r="FY17" t="e">
        <f>AND('SPR BARRANQUILLA'!FC16,"AAAAAA/n9bQ=")</f>
        <v>#VALUE!</v>
      </c>
      <c r="FZ17" t="e">
        <f>AND('SPR BARRANQUILLA'!FD16,"AAAAAA/n9bU=")</f>
        <v>#VALUE!</v>
      </c>
      <c r="GA17" t="e">
        <f>AND('SPR BARRANQUILLA'!FE16,"AAAAAA/n9bY=")</f>
        <v>#VALUE!</v>
      </c>
      <c r="GB17" t="e">
        <f>AND('SPR BARRANQUILLA'!FF16,"AAAAAA/n9bc=")</f>
        <v>#VALUE!</v>
      </c>
      <c r="GC17" t="e">
        <f>AND('SPR BARRANQUILLA'!FG16,"AAAAAA/n9bg=")</f>
        <v>#VALUE!</v>
      </c>
      <c r="GD17" t="e">
        <f>AND('SPR BARRANQUILLA'!FH16,"AAAAAA/n9bk=")</f>
        <v>#VALUE!</v>
      </c>
      <c r="GE17" t="e">
        <f>AND('SPR BARRANQUILLA'!FI16,"AAAAAA/n9bo=")</f>
        <v>#VALUE!</v>
      </c>
      <c r="GF17" t="e">
        <f>AND('SPR BARRANQUILLA'!FJ16,"AAAAAA/n9bs=")</f>
        <v>#VALUE!</v>
      </c>
      <c r="GG17" t="e">
        <f>AND('SPR BARRANQUILLA'!FK16,"AAAAAA/n9bw=")</f>
        <v>#VALUE!</v>
      </c>
      <c r="GH17" t="e">
        <f>AND('SPR BARRANQUILLA'!FL16,"AAAAAA/n9b0=")</f>
        <v>#VALUE!</v>
      </c>
      <c r="GI17" t="e">
        <f>AND('SPR BARRANQUILLA'!FM16,"AAAAAA/n9b4=")</f>
        <v>#VALUE!</v>
      </c>
      <c r="GJ17" t="e">
        <f>AND('SPR BARRANQUILLA'!FN16,"AAAAAA/n9b8=")</f>
        <v>#VALUE!</v>
      </c>
      <c r="GK17" t="e">
        <f>AND('SPR BARRANQUILLA'!FO16,"AAAAAA/n9cA=")</f>
        <v>#VALUE!</v>
      </c>
      <c r="GL17" t="e">
        <f>AND('SPR BARRANQUILLA'!FP16,"AAAAAA/n9cE=")</f>
        <v>#VALUE!</v>
      </c>
      <c r="GM17" t="e">
        <f>AND('SPR BARRANQUILLA'!FQ16,"AAAAAA/n9cI=")</f>
        <v>#VALUE!</v>
      </c>
      <c r="GN17" t="e">
        <f>AND('SPR BARRANQUILLA'!FR16,"AAAAAA/n9cM=")</f>
        <v>#VALUE!</v>
      </c>
      <c r="GO17" t="e">
        <f>AND('SPR BARRANQUILLA'!FS16,"AAAAAA/n9cQ=")</f>
        <v>#VALUE!</v>
      </c>
      <c r="GP17" t="e">
        <f>AND('SPR BARRANQUILLA'!FT16,"AAAAAA/n9cU=")</f>
        <v>#VALUE!</v>
      </c>
      <c r="GQ17" t="e">
        <f>AND('SPR BARRANQUILLA'!FU16,"AAAAAA/n9cY=")</f>
        <v>#VALUE!</v>
      </c>
      <c r="GR17" t="e">
        <f>AND('SPR BARRANQUILLA'!FV16,"AAAAAA/n9cc=")</f>
        <v>#VALUE!</v>
      </c>
      <c r="GS17" t="e">
        <f>AND('SPR BARRANQUILLA'!FW16,"AAAAAA/n9cg=")</f>
        <v>#VALUE!</v>
      </c>
      <c r="GT17" t="e">
        <f>AND('SPR BARRANQUILLA'!FX16,"AAAAAA/n9ck=")</f>
        <v>#VALUE!</v>
      </c>
      <c r="GU17" t="e">
        <f>AND('SPR BARRANQUILLA'!FY16,"AAAAAA/n9co=")</f>
        <v>#VALUE!</v>
      </c>
      <c r="GV17" t="e">
        <f>AND('SPR BARRANQUILLA'!FZ16,"AAAAAA/n9cs=")</f>
        <v>#VALUE!</v>
      </c>
      <c r="GW17" t="e">
        <f>AND('SPR BARRANQUILLA'!GA16,"AAAAAA/n9cw=")</f>
        <v>#VALUE!</v>
      </c>
      <c r="GX17" t="e">
        <f>AND('SPR BARRANQUILLA'!GB16,"AAAAAA/n9c0=")</f>
        <v>#VALUE!</v>
      </c>
      <c r="GY17" t="e">
        <f>AND('SPR BARRANQUILLA'!GC16,"AAAAAA/n9c4=")</f>
        <v>#VALUE!</v>
      </c>
      <c r="GZ17" t="e">
        <f>AND('SPR BARRANQUILLA'!GD16,"AAAAAA/n9c8=")</f>
        <v>#VALUE!</v>
      </c>
      <c r="HA17" t="e">
        <f>AND('SPR BARRANQUILLA'!GE16,"AAAAAA/n9dA=")</f>
        <v>#VALUE!</v>
      </c>
      <c r="HB17" t="e">
        <f>AND('SPR BARRANQUILLA'!GF16,"AAAAAA/n9dE=")</f>
        <v>#VALUE!</v>
      </c>
      <c r="HC17" t="e">
        <f>AND('SPR BARRANQUILLA'!GG16,"AAAAAA/n9dI=")</f>
        <v>#VALUE!</v>
      </c>
      <c r="HD17" t="e">
        <f>AND('SPR BARRANQUILLA'!GH16,"AAAAAA/n9dM=")</f>
        <v>#VALUE!</v>
      </c>
      <c r="HE17" t="e">
        <f>AND('SPR BARRANQUILLA'!GI16,"AAAAAA/n9dQ=")</f>
        <v>#VALUE!</v>
      </c>
      <c r="HF17" t="e">
        <f>AND('SPR BARRANQUILLA'!GJ16,"AAAAAA/n9dU=")</f>
        <v>#VALUE!</v>
      </c>
      <c r="HG17" t="e">
        <f>AND('SPR BARRANQUILLA'!GK16,"AAAAAA/n9dY=")</f>
        <v>#VALUE!</v>
      </c>
      <c r="HH17" t="e">
        <f>AND('SPR BARRANQUILLA'!GL16,"AAAAAA/n9dc=")</f>
        <v>#VALUE!</v>
      </c>
      <c r="HI17" t="e">
        <f>AND('SPR BARRANQUILLA'!GM16,"AAAAAA/n9dg=")</f>
        <v>#VALUE!</v>
      </c>
      <c r="HJ17" t="e">
        <f>AND('SPR BARRANQUILLA'!GN16,"AAAAAA/n9dk=")</f>
        <v>#VALUE!</v>
      </c>
      <c r="HK17" t="e">
        <f>AND('SPR BARRANQUILLA'!GO16,"AAAAAA/n9do=")</f>
        <v>#VALUE!</v>
      </c>
      <c r="HL17" t="e">
        <f>AND('SPR BARRANQUILLA'!GP16,"AAAAAA/n9ds=")</f>
        <v>#VALUE!</v>
      </c>
      <c r="HM17" t="e">
        <f>AND('SPR BARRANQUILLA'!GQ16,"AAAAAA/n9dw=")</f>
        <v>#VALUE!</v>
      </c>
      <c r="HN17" t="e">
        <f>AND('SPR BARRANQUILLA'!GR16,"AAAAAA/n9d0=")</f>
        <v>#VALUE!</v>
      </c>
      <c r="HO17" t="e">
        <f>AND('SPR BARRANQUILLA'!GS16,"AAAAAA/n9d4=")</f>
        <v>#VALUE!</v>
      </c>
      <c r="HP17" t="e">
        <f>AND('SPR BARRANQUILLA'!GT16,"AAAAAA/n9d8=")</f>
        <v>#VALUE!</v>
      </c>
      <c r="HQ17" t="e">
        <f>AND('SPR BARRANQUILLA'!GU16,"AAAAAA/n9eA=")</f>
        <v>#VALUE!</v>
      </c>
      <c r="HR17" t="e">
        <f>AND('SPR BARRANQUILLA'!GV16,"AAAAAA/n9eE=")</f>
        <v>#VALUE!</v>
      </c>
      <c r="HS17" t="e">
        <f>AND('SPR BARRANQUILLA'!GW16,"AAAAAA/n9eI=")</f>
        <v>#VALUE!</v>
      </c>
      <c r="HT17" t="e">
        <f>AND('SPR BARRANQUILLA'!GX16,"AAAAAA/n9eM=")</f>
        <v>#VALUE!</v>
      </c>
      <c r="HU17" t="e">
        <f>AND('SPR BARRANQUILLA'!GY16,"AAAAAA/n9eQ=")</f>
        <v>#VALUE!</v>
      </c>
      <c r="HV17">
        <f>IF('SPR BARRANQUILLA'!17:17,"AAAAAA/n9eU=",0)</f>
        <v>0</v>
      </c>
      <c r="HW17" t="e">
        <f>AND('SPR BARRANQUILLA'!A17,"AAAAAA/n9eY=")</f>
        <v>#VALUE!</v>
      </c>
      <c r="HX17" t="e">
        <f>AND('SPR BARRANQUILLA'!B17,"AAAAAA/n9ec=")</f>
        <v>#VALUE!</v>
      </c>
      <c r="HY17" t="e">
        <f>AND('SPR BARRANQUILLA'!C17,"AAAAAA/n9eg=")</f>
        <v>#VALUE!</v>
      </c>
      <c r="HZ17" t="e">
        <f>AND('SPR BARRANQUILLA'!D17,"AAAAAA/n9ek=")</f>
        <v>#VALUE!</v>
      </c>
      <c r="IA17" t="e">
        <f>AND('SPR BARRANQUILLA'!E17,"AAAAAA/n9eo=")</f>
        <v>#VALUE!</v>
      </c>
      <c r="IB17" t="e">
        <f>AND('SPR BARRANQUILLA'!F17,"AAAAAA/n9es=")</f>
        <v>#VALUE!</v>
      </c>
      <c r="IC17" t="e">
        <f>AND('SPR BARRANQUILLA'!G17,"AAAAAA/n9ew=")</f>
        <v>#VALUE!</v>
      </c>
      <c r="ID17" t="e">
        <f>AND('SPR BARRANQUILLA'!H17,"AAAAAA/n9e0=")</f>
        <v>#VALUE!</v>
      </c>
      <c r="IE17" t="e">
        <f>AND('SPR BARRANQUILLA'!I17,"AAAAAA/n9e4=")</f>
        <v>#VALUE!</v>
      </c>
      <c r="IF17" t="e">
        <f>AND('SPR BARRANQUILLA'!J17,"AAAAAA/n9e8=")</f>
        <v>#VALUE!</v>
      </c>
      <c r="IG17" t="e">
        <f>AND('SPR BARRANQUILLA'!K17,"AAAAAA/n9fA=")</f>
        <v>#VALUE!</v>
      </c>
      <c r="IH17" t="e">
        <f>AND('SPR BARRANQUILLA'!L17,"AAAAAA/n9fE=")</f>
        <v>#VALUE!</v>
      </c>
      <c r="II17" t="e">
        <f>AND('SPR BARRANQUILLA'!M17,"AAAAAA/n9fI=")</f>
        <v>#VALUE!</v>
      </c>
      <c r="IJ17" t="e">
        <f>AND('SPR BARRANQUILLA'!N17,"AAAAAA/n9fM=")</f>
        <v>#VALUE!</v>
      </c>
      <c r="IK17" t="e">
        <f>AND('SPR BARRANQUILLA'!O17,"AAAAAA/n9fQ=")</f>
        <v>#VALUE!</v>
      </c>
      <c r="IL17" t="e">
        <f>AND('SPR BARRANQUILLA'!P17,"AAAAAA/n9fU=")</f>
        <v>#VALUE!</v>
      </c>
      <c r="IM17" t="e">
        <f>AND('SPR BARRANQUILLA'!Q17,"AAAAAA/n9fY=")</f>
        <v>#VALUE!</v>
      </c>
      <c r="IN17" t="e">
        <f>AND('SPR BARRANQUILLA'!R17,"AAAAAA/n9fc=")</f>
        <v>#VALUE!</v>
      </c>
      <c r="IO17" t="e">
        <f>AND('SPR BARRANQUILLA'!S17,"AAAAAA/n9fg=")</f>
        <v>#VALUE!</v>
      </c>
      <c r="IP17" t="e">
        <f>AND('SPR BARRANQUILLA'!T17,"AAAAAA/n9fk=")</f>
        <v>#VALUE!</v>
      </c>
      <c r="IQ17" t="e">
        <f>AND('SPR BARRANQUILLA'!U17,"AAAAAA/n9fo=")</f>
        <v>#VALUE!</v>
      </c>
      <c r="IR17" t="e">
        <f>AND('SPR BARRANQUILLA'!V17,"AAAAAA/n9fs=")</f>
        <v>#VALUE!</v>
      </c>
      <c r="IS17" t="e">
        <f>AND('SPR BARRANQUILLA'!W17,"AAAAAA/n9fw=")</f>
        <v>#VALUE!</v>
      </c>
      <c r="IT17" t="e">
        <f>AND('SPR BARRANQUILLA'!X17,"AAAAAA/n9f0=")</f>
        <v>#VALUE!</v>
      </c>
      <c r="IU17" t="e">
        <f>AND('SPR BARRANQUILLA'!Y17,"AAAAAA/n9f4=")</f>
        <v>#VALUE!</v>
      </c>
      <c r="IV17" t="e">
        <f>AND('SPR BARRANQUILLA'!Z17,"AAAAAA/n9f8=")</f>
        <v>#VALUE!</v>
      </c>
    </row>
    <row r="18" spans="1:256">
      <c r="A18" t="e">
        <f>AND('SPR BARRANQUILLA'!AA17,"AAAAAG/v/wA=")</f>
        <v>#VALUE!</v>
      </c>
      <c r="B18" t="e">
        <f>AND('SPR BARRANQUILLA'!AB17,"AAAAAG/v/wE=")</f>
        <v>#VALUE!</v>
      </c>
      <c r="C18" t="e">
        <f>AND('SPR BARRANQUILLA'!AC17,"AAAAAG/v/wI=")</f>
        <v>#VALUE!</v>
      </c>
      <c r="D18" t="e">
        <f>AND('SPR BARRANQUILLA'!AD17,"AAAAAG/v/wM=")</f>
        <v>#VALUE!</v>
      </c>
      <c r="E18" t="e">
        <f>AND('SPR BARRANQUILLA'!AE17,"AAAAAG/v/wQ=")</f>
        <v>#VALUE!</v>
      </c>
      <c r="F18" t="e">
        <f>AND('SPR BARRANQUILLA'!AF17,"AAAAAG/v/wU=")</f>
        <v>#VALUE!</v>
      </c>
      <c r="G18" t="e">
        <f>AND('SPR BARRANQUILLA'!AG17,"AAAAAG/v/wY=")</f>
        <v>#VALUE!</v>
      </c>
      <c r="H18" t="e">
        <f>AND('SPR BARRANQUILLA'!AH17,"AAAAAG/v/wc=")</f>
        <v>#VALUE!</v>
      </c>
      <c r="I18" t="e">
        <f>AND('SPR BARRANQUILLA'!AI17,"AAAAAG/v/wg=")</f>
        <v>#VALUE!</v>
      </c>
      <c r="J18" t="e">
        <f>AND('SPR BARRANQUILLA'!AJ17,"AAAAAG/v/wk=")</f>
        <v>#VALUE!</v>
      </c>
      <c r="K18" t="e">
        <f>AND('SPR BARRANQUILLA'!AK17,"AAAAAG/v/wo=")</f>
        <v>#VALUE!</v>
      </c>
      <c r="L18" t="e">
        <f>AND('SPR BARRANQUILLA'!AL17,"AAAAAG/v/ws=")</f>
        <v>#VALUE!</v>
      </c>
      <c r="M18" t="e">
        <f>AND('SPR BARRANQUILLA'!AM17,"AAAAAG/v/ww=")</f>
        <v>#VALUE!</v>
      </c>
      <c r="N18" t="e">
        <f>AND('SPR BARRANQUILLA'!AN17,"AAAAAG/v/w0=")</f>
        <v>#VALUE!</v>
      </c>
      <c r="O18" t="e">
        <f>AND('SPR BARRANQUILLA'!AO17,"AAAAAG/v/w4=")</f>
        <v>#VALUE!</v>
      </c>
      <c r="P18" t="e">
        <f>AND('SPR BARRANQUILLA'!AP17,"AAAAAG/v/w8=")</f>
        <v>#VALUE!</v>
      </c>
      <c r="Q18" t="e">
        <f>AND('SPR BARRANQUILLA'!AQ17,"AAAAAG/v/xA=")</f>
        <v>#VALUE!</v>
      </c>
      <c r="R18" t="e">
        <f>AND('SPR BARRANQUILLA'!AR17,"AAAAAG/v/xE=")</f>
        <v>#VALUE!</v>
      </c>
      <c r="S18" t="e">
        <f>AND('SPR BARRANQUILLA'!AS17,"AAAAAG/v/xI=")</f>
        <v>#VALUE!</v>
      </c>
      <c r="T18" t="e">
        <f>AND('SPR BARRANQUILLA'!AT17,"AAAAAG/v/xM=")</f>
        <v>#VALUE!</v>
      </c>
      <c r="U18" t="e">
        <f>AND('SPR BARRANQUILLA'!AU17,"AAAAAG/v/xQ=")</f>
        <v>#VALUE!</v>
      </c>
      <c r="V18" t="e">
        <f>AND('SPR BARRANQUILLA'!AV17,"AAAAAG/v/xU=")</f>
        <v>#VALUE!</v>
      </c>
      <c r="W18" t="e">
        <f>AND('SPR BARRANQUILLA'!AW17,"AAAAAG/v/xY=")</f>
        <v>#VALUE!</v>
      </c>
      <c r="X18" t="e">
        <f>AND('SPR BARRANQUILLA'!AX17,"AAAAAG/v/xc=")</f>
        <v>#VALUE!</v>
      </c>
      <c r="Y18" t="e">
        <f>AND('SPR BARRANQUILLA'!AY17,"AAAAAG/v/xg=")</f>
        <v>#VALUE!</v>
      </c>
      <c r="Z18" t="e">
        <f>AND('SPR BARRANQUILLA'!AZ17,"AAAAAG/v/xk=")</f>
        <v>#VALUE!</v>
      </c>
      <c r="AA18" t="e">
        <f>AND('SPR BARRANQUILLA'!BA17,"AAAAAG/v/xo=")</f>
        <v>#VALUE!</v>
      </c>
      <c r="AB18" t="e">
        <f>AND('SPR BARRANQUILLA'!BB17,"AAAAAG/v/xs=")</f>
        <v>#VALUE!</v>
      </c>
      <c r="AC18" t="e">
        <f>AND('SPR BARRANQUILLA'!BC17,"AAAAAG/v/xw=")</f>
        <v>#VALUE!</v>
      </c>
      <c r="AD18" t="e">
        <f>AND('SPR BARRANQUILLA'!BD17,"AAAAAG/v/x0=")</f>
        <v>#VALUE!</v>
      </c>
      <c r="AE18" t="e">
        <f>AND('SPR BARRANQUILLA'!BE17,"AAAAAG/v/x4=")</f>
        <v>#VALUE!</v>
      </c>
      <c r="AF18" t="e">
        <f>AND('SPR BARRANQUILLA'!BF17,"AAAAAG/v/x8=")</f>
        <v>#VALUE!</v>
      </c>
      <c r="AG18" t="e">
        <f>AND('SPR BARRANQUILLA'!BG17,"AAAAAG/v/yA=")</f>
        <v>#VALUE!</v>
      </c>
      <c r="AH18" t="e">
        <f>AND('SPR BARRANQUILLA'!BH17,"AAAAAG/v/yE=")</f>
        <v>#VALUE!</v>
      </c>
      <c r="AI18" t="e">
        <f>AND('SPR BARRANQUILLA'!BI17,"AAAAAG/v/yI=")</f>
        <v>#VALUE!</v>
      </c>
      <c r="AJ18" t="e">
        <f>AND('SPR BARRANQUILLA'!BJ17,"AAAAAG/v/yM=")</f>
        <v>#VALUE!</v>
      </c>
      <c r="AK18" t="e">
        <f>AND('SPR BARRANQUILLA'!BK17,"AAAAAG/v/yQ=")</f>
        <v>#VALUE!</v>
      </c>
      <c r="AL18" t="e">
        <f>AND('SPR BARRANQUILLA'!BL17,"AAAAAG/v/yU=")</f>
        <v>#VALUE!</v>
      </c>
      <c r="AM18" t="e">
        <f>AND('SPR BARRANQUILLA'!BM17,"AAAAAG/v/yY=")</f>
        <v>#VALUE!</v>
      </c>
      <c r="AN18" t="e">
        <f>AND('SPR BARRANQUILLA'!BN17,"AAAAAG/v/yc=")</f>
        <v>#VALUE!</v>
      </c>
      <c r="AO18" t="e">
        <f>AND('SPR BARRANQUILLA'!BO17,"AAAAAG/v/yg=")</f>
        <v>#VALUE!</v>
      </c>
      <c r="AP18" t="e">
        <f>AND('SPR BARRANQUILLA'!BP17,"AAAAAG/v/yk=")</f>
        <v>#VALUE!</v>
      </c>
      <c r="AQ18" t="e">
        <f>AND('SPR BARRANQUILLA'!BQ17,"AAAAAG/v/yo=")</f>
        <v>#VALUE!</v>
      </c>
      <c r="AR18" t="e">
        <f>AND('SPR BARRANQUILLA'!BR17,"AAAAAG/v/ys=")</f>
        <v>#VALUE!</v>
      </c>
      <c r="AS18" t="e">
        <f>AND('SPR BARRANQUILLA'!BS17,"AAAAAG/v/yw=")</f>
        <v>#VALUE!</v>
      </c>
      <c r="AT18" t="e">
        <f>AND('SPR BARRANQUILLA'!BT17,"AAAAAG/v/y0=")</f>
        <v>#VALUE!</v>
      </c>
      <c r="AU18" t="e">
        <f>AND('SPR BARRANQUILLA'!BU17,"AAAAAG/v/y4=")</f>
        <v>#VALUE!</v>
      </c>
      <c r="AV18" t="e">
        <f>AND('SPR BARRANQUILLA'!BV17,"AAAAAG/v/y8=")</f>
        <v>#VALUE!</v>
      </c>
      <c r="AW18" t="e">
        <f>AND('SPR BARRANQUILLA'!BW17,"AAAAAG/v/zA=")</f>
        <v>#VALUE!</v>
      </c>
      <c r="AX18" t="e">
        <f>AND('SPR BARRANQUILLA'!BX17,"AAAAAG/v/zE=")</f>
        <v>#VALUE!</v>
      </c>
      <c r="AY18" t="e">
        <f>AND('SPR BARRANQUILLA'!BY17,"AAAAAG/v/zI=")</f>
        <v>#VALUE!</v>
      </c>
      <c r="AZ18" t="e">
        <f>AND('SPR BARRANQUILLA'!BZ17,"AAAAAG/v/zM=")</f>
        <v>#VALUE!</v>
      </c>
      <c r="BA18" t="e">
        <f>AND('SPR BARRANQUILLA'!CA17,"AAAAAG/v/zQ=")</f>
        <v>#VALUE!</v>
      </c>
      <c r="BB18" t="e">
        <f>AND('SPR BARRANQUILLA'!CB17,"AAAAAG/v/zU=")</f>
        <v>#VALUE!</v>
      </c>
      <c r="BC18" t="e">
        <f>AND('SPR BARRANQUILLA'!CC17,"AAAAAG/v/zY=")</f>
        <v>#VALUE!</v>
      </c>
      <c r="BD18" t="e">
        <f>AND('SPR BARRANQUILLA'!CD17,"AAAAAG/v/zc=")</f>
        <v>#VALUE!</v>
      </c>
      <c r="BE18" t="e">
        <f>AND('SPR BARRANQUILLA'!CE17,"AAAAAG/v/zg=")</f>
        <v>#VALUE!</v>
      </c>
      <c r="BF18" t="e">
        <f>AND('SPR BARRANQUILLA'!CF17,"AAAAAG/v/zk=")</f>
        <v>#VALUE!</v>
      </c>
      <c r="BG18" t="e">
        <f>AND('SPR BARRANQUILLA'!CG17,"AAAAAG/v/zo=")</f>
        <v>#VALUE!</v>
      </c>
      <c r="BH18" t="e">
        <f>AND('SPR BARRANQUILLA'!CH17,"AAAAAG/v/zs=")</f>
        <v>#VALUE!</v>
      </c>
      <c r="BI18" t="e">
        <f>AND('SPR BARRANQUILLA'!CI17,"AAAAAG/v/zw=")</f>
        <v>#VALUE!</v>
      </c>
      <c r="BJ18" t="e">
        <f>AND('SPR BARRANQUILLA'!CJ17,"AAAAAG/v/z0=")</f>
        <v>#VALUE!</v>
      </c>
      <c r="BK18" t="e">
        <f>AND('SPR BARRANQUILLA'!CK17,"AAAAAG/v/z4=")</f>
        <v>#VALUE!</v>
      </c>
      <c r="BL18" t="e">
        <f>AND('SPR BARRANQUILLA'!CL17,"AAAAAG/v/z8=")</f>
        <v>#VALUE!</v>
      </c>
      <c r="BM18" t="e">
        <f>AND('SPR BARRANQUILLA'!CM17,"AAAAAG/v/0A=")</f>
        <v>#VALUE!</v>
      </c>
      <c r="BN18" t="e">
        <f>AND('SPR BARRANQUILLA'!CN17,"AAAAAG/v/0E=")</f>
        <v>#VALUE!</v>
      </c>
      <c r="BO18" t="e">
        <f>AND('SPR BARRANQUILLA'!CO17,"AAAAAG/v/0I=")</f>
        <v>#VALUE!</v>
      </c>
      <c r="BP18" t="e">
        <f>AND('SPR BARRANQUILLA'!CP17,"AAAAAG/v/0M=")</f>
        <v>#VALUE!</v>
      </c>
      <c r="BQ18" t="e">
        <f>AND('SPR BARRANQUILLA'!CQ17,"AAAAAG/v/0Q=")</f>
        <v>#VALUE!</v>
      </c>
      <c r="BR18" t="e">
        <f>AND('SPR BARRANQUILLA'!CR17,"AAAAAG/v/0U=")</f>
        <v>#VALUE!</v>
      </c>
      <c r="BS18" t="e">
        <f>AND('SPR BARRANQUILLA'!CS17,"AAAAAG/v/0Y=")</f>
        <v>#VALUE!</v>
      </c>
      <c r="BT18" t="e">
        <f>AND('SPR BARRANQUILLA'!CT17,"AAAAAG/v/0c=")</f>
        <v>#VALUE!</v>
      </c>
      <c r="BU18" t="e">
        <f>AND('SPR BARRANQUILLA'!CU17,"AAAAAG/v/0g=")</f>
        <v>#VALUE!</v>
      </c>
      <c r="BV18" t="e">
        <f>AND('SPR BARRANQUILLA'!CV17,"AAAAAG/v/0k=")</f>
        <v>#VALUE!</v>
      </c>
      <c r="BW18" t="e">
        <f>AND('SPR BARRANQUILLA'!CW17,"AAAAAG/v/0o=")</f>
        <v>#VALUE!</v>
      </c>
      <c r="BX18" t="e">
        <f>AND('SPR BARRANQUILLA'!CX17,"AAAAAG/v/0s=")</f>
        <v>#VALUE!</v>
      </c>
      <c r="BY18" t="e">
        <f>AND('SPR BARRANQUILLA'!CY17,"AAAAAG/v/0w=")</f>
        <v>#VALUE!</v>
      </c>
      <c r="BZ18" t="e">
        <f>AND('SPR BARRANQUILLA'!CZ17,"AAAAAG/v/00=")</f>
        <v>#VALUE!</v>
      </c>
      <c r="CA18" t="e">
        <f>AND('SPR BARRANQUILLA'!DA17,"AAAAAG/v/04=")</f>
        <v>#VALUE!</v>
      </c>
      <c r="CB18" t="e">
        <f>AND('SPR BARRANQUILLA'!DB17,"AAAAAG/v/08=")</f>
        <v>#VALUE!</v>
      </c>
      <c r="CC18" t="e">
        <f>AND('SPR BARRANQUILLA'!DC17,"AAAAAG/v/1A=")</f>
        <v>#VALUE!</v>
      </c>
      <c r="CD18" t="e">
        <f>AND('SPR BARRANQUILLA'!DD17,"AAAAAG/v/1E=")</f>
        <v>#VALUE!</v>
      </c>
      <c r="CE18" t="e">
        <f>AND('SPR BARRANQUILLA'!DE17,"AAAAAG/v/1I=")</f>
        <v>#VALUE!</v>
      </c>
      <c r="CF18" t="e">
        <f>AND('SPR BARRANQUILLA'!DF17,"AAAAAG/v/1M=")</f>
        <v>#VALUE!</v>
      </c>
      <c r="CG18" t="e">
        <f>AND('SPR BARRANQUILLA'!DG17,"AAAAAG/v/1Q=")</f>
        <v>#VALUE!</v>
      </c>
      <c r="CH18" t="e">
        <f>AND('SPR BARRANQUILLA'!DH17,"AAAAAG/v/1U=")</f>
        <v>#VALUE!</v>
      </c>
      <c r="CI18" t="e">
        <f>AND('SPR BARRANQUILLA'!DI17,"AAAAAG/v/1Y=")</f>
        <v>#VALUE!</v>
      </c>
      <c r="CJ18" t="e">
        <f>AND('SPR BARRANQUILLA'!DJ17,"AAAAAG/v/1c=")</f>
        <v>#VALUE!</v>
      </c>
      <c r="CK18" t="e">
        <f>AND('SPR BARRANQUILLA'!DK17,"AAAAAG/v/1g=")</f>
        <v>#VALUE!</v>
      </c>
      <c r="CL18" t="e">
        <f>AND('SPR BARRANQUILLA'!DL17,"AAAAAG/v/1k=")</f>
        <v>#VALUE!</v>
      </c>
      <c r="CM18" t="e">
        <f>AND('SPR BARRANQUILLA'!DM17,"AAAAAG/v/1o=")</f>
        <v>#VALUE!</v>
      </c>
      <c r="CN18" t="e">
        <f>AND('SPR BARRANQUILLA'!DN17,"AAAAAG/v/1s=")</f>
        <v>#VALUE!</v>
      </c>
      <c r="CO18" t="e">
        <f>AND('SPR BARRANQUILLA'!DO17,"AAAAAG/v/1w=")</f>
        <v>#VALUE!</v>
      </c>
      <c r="CP18" t="e">
        <f>AND('SPR BARRANQUILLA'!DP17,"AAAAAG/v/10=")</f>
        <v>#VALUE!</v>
      </c>
      <c r="CQ18" t="e">
        <f>AND('SPR BARRANQUILLA'!DQ17,"AAAAAG/v/14=")</f>
        <v>#VALUE!</v>
      </c>
      <c r="CR18" t="e">
        <f>AND('SPR BARRANQUILLA'!DR17,"AAAAAG/v/18=")</f>
        <v>#VALUE!</v>
      </c>
      <c r="CS18" t="e">
        <f>AND('SPR BARRANQUILLA'!DS17,"AAAAAG/v/2A=")</f>
        <v>#VALUE!</v>
      </c>
      <c r="CT18" t="e">
        <f>AND('SPR BARRANQUILLA'!DT17,"AAAAAG/v/2E=")</f>
        <v>#VALUE!</v>
      </c>
      <c r="CU18" t="e">
        <f>AND('SPR BARRANQUILLA'!DU17,"AAAAAG/v/2I=")</f>
        <v>#VALUE!</v>
      </c>
      <c r="CV18" t="e">
        <f>AND('SPR BARRANQUILLA'!DV17,"AAAAAG/v/2M=")</f>
        <v>#VALUE!</v>
      </c>
      <c r="CW18" t="e">
        <f>AND('SPR BARRANQUILLA'!DW17,"AAAAAG/v/2Q=")</f>
        <v>#VALUE!</v>
      </c>
      <c r="CX18" t="e">
        <f>AND('SPR BARRANQUILLA'!DX17,"AAAAAG/v/2U=")</f>
        <v>#VALUE!</v>
      </c>
      <c r="CY18" t="e">
        <f>AND('SPR BARRANQUILLA'!DY17,"AAAAAG/v/2Y=")</f>
        <v>#VALUE!</v>
      </c>
      <c r="CZ18" t="e">
        <f>AND('SPR BARRANQUILLA'!DZ17,"AAAAAG/v/2c=")</f>
        <v>#VALUE!</v>
      </c>
      <c r="DA18" t="e">
        <f>AND('SPR BARRANQUILLA'!EA17,"AAAAAG/v/2g=")</f>
        <v>#VALUE!</v>
      </c>
      <c r="DB18" t="e">
        <f>AND('SPR BARRANQUILLA'!EB17,"AAAAAG/v/2k=")</f>
        <v>#VALUE!</v>
      </c>
      <c r="DC18" t="e">
        <f>AND('SPR BARRANQUILLA'!EC17,"AAAAAG/v/2o=")</f>
        <v>#VALUE!</v>
      </c>
      <c r="DD18" t="e">
        <f>AND('SPR BARRANQUILLA'!ED17,"AAAAAG/v/2s=")</f>
        <v>#VALUE!</v>
      </c>
      <c r="DE18" t="e">
        <f>AND('SPR BARRANQUILLA'!EE17,"AAAAAG/v/2w=")</f>
        <v>#VALUE!</v>
      </c>
      <c r="DF18" t="e">
        <f>AND('SPR BARRANQUILLA'!EF17,"AAAAAG/v/20=")</f>
        <v>#VALUE!</v>
      </c>
      <c r="DG18" t="e">
        <f>AND('SPR BARRANQUILLA'!EG17,"AAAAAG/v/24=")</f>
        <v>#VALUE!</v>
      </c>
      <c r="DH18" t="e">
        <f>AND('SPR BARRANQUILLA'!EH17,"AAAAAG/v/28=")</f>
        <v>#VALUE!</v>
      </c>
      <c r="DI18" t="e">
        <f>AND('SPR BARRANQUILLA'!EI17,"AAAAAG/v/3A=")</f>
        <v>#VALUE!</v>
      </c>
      <c r="DJ18" t="e">
        <f>AND('SPR BARRANQUILLA'!EJ17,"AAAAAG/v/3E=")</f>
        <v>#VALUE!</v>
      </c>
      <c r="DK18" t="e">
        <f>AND('SPR BARRANQUILLA'!EK17,"AAAAAG/v/3I=")</f>
        <v>#VALUE!</v>
      </c>
      <c r="DL18" t="e">
        <f>AND('SPR BARRANQUILLA'!EL17,"AAAAAG/v/3M=")</f>
        <v>#VALUE!</v>
      </c>
      <c r="DM18" t="e">
        <f>AND('SPR BARRANQUILLA'!EM17,"AAAAAG/v/3Q=")</f>
        <v>#VALUE!</v>
      </c>
      <c r="DN18" t="e">
        <f>AND('SPR BARRANQUILLA'!EN17,"AAAAAG/v/3U=")</f>
        <v>#VALUE!</v>
      </c>
      <c r="DO18" t="e">
        <f>AND('SPR BARRANQUILLA'!EO17,"AAAAAG/v/3Y=")</f>
        <v>#VALUE!</v>
      </c>
      <c r="DP18" t="e">
        <f>AND('SPR BARRANQUILLA'!EP17,"AAAAAG/v/3c=")</f>
        <v>#VALUE!</v>
      </c>
      <c r="DQ18" t="e">
        <f>AND('SPR BARRANQUILLA'!EQ17,"AAAAAG/v/3g=")</f>
        <v>#VALUE!</v>
      </c>
      <c r="DR18" t="e">
        <f>AND('SPR BARRANQUILLA'!ER17,"AAAAAG/v/3k=")</f>
        <v>#VALUE!</v>
      </c>
      <c r="DS18" t="e">
        <f>AND('SPR BARRANQUILLA'!ES17,"AAAAAG/v/3o=")</f>
        <v>#VALUE!</v>
      </c>
      <c r="DT18" t="e">
        <f>AND('SPR BARRANQUILLA'!ET17,"AAAAAG/v/3s=")</f>
        <v>#VALUE!</v>
      </c>
      <c r="DU18" t="e">
        <f>AND('SPR BARRANQUILLA'!EU17,"AAAAAG/v/3w=")</f>
        <v>#VALUE!</v>
      </c>
      <c r="DV18" t="e">
        <f>AND('SPR BARRANQUILLA'!EV17,"AAAAAG/v/30=")</f>
        <v>#VALUE!</v>
      </c>
      <c r="DW18" t="e">
        <f>AND('SPR BARRANQUILLA'!EW17,"AAAAAG/v/34=")</f>
        <v>#VALUE!</v>
      </c>
      <c r="DX18" t="e">
        <f>AND('SPR BARRANQUILLA'!EX17,"AAAAAG/v/38=")</f>
        <v>#VALUE!</v>
      </c>
      <c r="DY18" t="e">
        <f>AND('SPR BARRANQUILLA'!EY17,"AAAAAG/v/4A=")</f>
        <v>#VALUE!</v>
      </c>
      <c r="DZ18" t="e">
        <f>AND('SPR BARRANQUILLA'!EZ17,"AAAAAG/v/4E=")</f>
        <v>#VALUE!</v>
      </c>
      <c r="EA18" t="e">
        <f>AND('SPR BARRANQUILLA'!FA17,"AAAAAG/v/4I=")</f>
        <v>#VALUE!</v>
      </c>
      <c r="EB18" t="e">
        <f>AND('SPR BARRANQUILLA'!FB17,"AAAAAG/v/4M=")</f>
        <v>#VALUE!</v>
      </c>
      <c r="EC18" t="e">
        <f>AND('SPR BARRANQUILLA'!FC17,"AAAAAG/v/4Q=")</f>
        <v>#VALUE!</v>
      </c>
      <c r="ED18" t="e">
        <f>AND('SPR BARRANQUILLA'!FD17,"AAAAAG/v/4U=")</f>
        <v>#VALUE!</v>
      </c>
      <c r="EE18" t="e">
        <f>AND('SPR BARRANQUILLA'!FE17,"AAAAAG/v/4Y=")</f>
        <v>#VALUE!</v>
      </c>
      <c r="EF18" t="e">
        <f>AND('SPR BARRANQUILLA'!FF17,"AAAAAG/v/4c=")</f>
        <v>#VALUE!</v>
      </c>
      <c r="EG18" t="e">
        <f>AND('SPR BARRANQUILLA'!FG17,"AAAAAG/v/4g=")</f>
        <v>#VALUE!</v>
      </c>
      <c r="EH18" t="e">
        <f>AND('SPR BARRANQUILLA'!FH17,"AAAAAG/v/4k=")</f>
        <v>#VALUE!</v>
      </c>
      <c r="EI18" t="e">
        <f>AND('SPR BARRANQUILLA'!FI17,"AAAAAG/v/4o=")</f>
        <v>#VALUE!</v>
      </c>
      <c r="EJ18" t="e">
        <f>AND('SPR BARRANQUILLA'!FJ17,"AAAAAG/v/4s=")</f>
        <v>#VALUE!</v>
      </c>
      <c r="EK18" t="e">
        <f>AND('SPR BARRANQUILLA'!FK17,"AAAAAG/v/4w=")</f>
        <v>#VALUE!</v>
      </c>
      <c r="EL18" t="e">
        <f>AND('SPR BARRANQUILLA'!FL17,"AAAAAG/v/40=")</f>
        <v>#VALUE!</v>
      </c>
      <c r="EM18" t="e">
        <f>AND('SPR BARRANQUILLA'!FM17,"AAAAAG/v/44=")</f>
        <v>#VALUE!</v>
      </c>
      <c r="EN18" t="e">
        <f>AND('SPR BARRANQUILLA'!FN17,"AAAAAG/v/48=")</f>
        <v>#VALUE!</v>
      </c>
      <c r="EO18" t="e">
        <f>AND('SPR BARRANQUILLA'!FO17,"AAAAAG/v/5A=")</f>
        <v>#VALUE!</v>
      </c>
      <c r="EP18" t="e">
        <f>AND('SPR BARRANQUILLA'!FP17,"AAAAAG/v/5E=")</f>
        <v>#VALUE!</v>
      </c>
      <c r="EQ18" t="e">
        <f>AND('SPR BARRANQUILLA'!FQ17,"AAAAAG/v/5I=")</f>
        <v>#VALUE!</v>
      </c>
      <c r="ER18" t="e">
        <f>AND('SPR BARRANQUILLA'!FR17,"AAAAAG/v/5M=")</f>
        <v>#VALUE!</v>
      </c>
      <c r="ES18" t="e">
        <f>AND('SPR BARRANQUILLA'!FS17,"AAAAAG/v/5Q=")</f>
        <v>#VALUE!</v>
      </c>
      <c r="ET18" t="e">
        <f>AND('SPR BARRANQUILLA'!FT17,"AAAAAG/v/5U=")</f>
        <v>#VALUE!</v>
      </c>
      <c r="EU18" t="e">
        <f>AND('SPR BARRANQUILLA'!FU17,"AAAAAG/v/5Y=")</f>
        <v>#VALUE!</v>
      </c>
      <c r="EV18" t="e">
        <f>AND('SPR BARRANQUILLA'!FV17,"AAAAAG/v/5c=")</f>
        <v>#VALUE!</v>
      </c>
      <c r="EW18" t="e">
        <f>AND('SPR BARRANQUILLA'!FW17,"AAAAAG/v/5g=")</f>
        <v>#VALUE!</v>
      </c>
      <c r="EX18" t="e">
        <f>AND('SPR BARRANQUILLA'!FX17,"AAAAAG/v/5k=")</f>
        <v>#VALUE!</v>
      </c>
      <c r="EY18" t="e">
        <f>AND('SPR BARRANQUILLA'!FY17,"AAAAAG/v/5o=")</f>
        <v>#VALUE!</v>
      </c>
      <c r="EZ18" t="e">
        <f>AND('SPR BARRANQUILLA'!FZ17,"AAAAAG/v/5s=")</f>
        <v>#VALUE!</v>
      </c>
      <c r="FA18" t="e">
        <f>AND('SPR BARRANQUILLA'!GA17,"AAAAAG/v/5w=")</f>
        <v>#VALUE!</v>
      </c>
      <c r="FB18" t="e">
        <f>AND('SPR BARRANQUILLA'!GB17,"AAAAAG/v/50=")</f>
        <v>#VALUE!</v>
      </c>
      <c r="FC18" t="e">
        <f>AND('SPR BARRANQUILLA'!GC17,"AAAAAG/v/54=")</f>
        <v>#VALUE!</v>
      </c>
      <c r="FD18" t="e">
        <f>AND('SPR BARRANQUILLA'!GD17,"AAAAAG/v/58=")</f>
        <v>#VALUE!</v>
      </c>
      <c r="FE18" t="e">
        <f>AND('SPR BARRANQUILLA'!GE17,"AAAAAG/v/6A=")</f>
        <v>#VALUE!</v>
      </c>
      <c r="FF18" t="e">
        <f>AND('SPR BARRANQUILLA'!GF17,"AAAAAG/v/6E=")</f>
        <v>#VALUE!</v>
      </c>
      <c r="FG18" t="e">
        <f>AND('SPR BARRANQUILLA'!GG17,"AAAAAG/v/6I=")</f>
        <v>#VALUE!</v>
      </c>
      <c r="FH18" t="e">
        <f>AND('SPR BARRANQUILLA'!GH17,"AAAAAG/v/6M=")</f>
        <v>#VALUE!</v>
      </c>
      <c r="FI18" t="e">
        <f>AND('SPR BARRANQUILLA'!GI17,"AAAAAG/v/6Q=")</f>
        <v>#VALUE!</v>
      </c>
      <c r="FJ18" t="e">
        <f>AND('SPR BARRANQUILLA'!GJ17,"AAAAAG/v/6U=")</f>
        <v>#VALUE!</v>
      </c>
      <c r="FK18" t="e">
        <f>AND('SPR BARRANQUILLA'!GK17,"AAAAAG/v/6Y=")</f>
        <v>#VALUE!</v>
      </c>
      <c r="FL18" t="e">
        <f>AND('SPR BARRANQUILLA'!GL17,"AAAAAG/v/6c=")</f>
        <v>#VALUE!</v>
      </c>
      <c r="FM18" t="e">
        <f>AND('SPR BARRANQUILLA'!GM17,"AAAAAG/v/6g=")</f>
        <v>#VALUE!</v>
      </c>
      <c r="FN18" t="e">
        <f>AND('SPR BARRANQUILLA'!GN17,"AAAAAG/v/6k=")</f>
        <v>#VALUE!</v>
      </c>
      <c r="FO18" t="e">
        <f>AND('SPR BARRANQUILLA'!GO17,"AAAAAG/v/6o=")</f>
        <v>#VALUE!</v>
      </c>
      <c r="FP18" t="e">
        <f>AND('SPR BARRANQUILLA'!GP17,"AAAAAG/v/6s=")</f>
        <v>#VALUE!</v>
      </c>
      <c r="FQ18" t="e">
        <f>AND('SPR BARRANQUILLA'!GQ17,"AAAAAG/v/6w=")</f>
        <v>#VALUE!</v>
      </c>
      <c r="FR18" t="e">
        <f>AND('SPR BARRANQUILLA'!GR17,"AAAAAG/v/60=")</f>
        <v>#VALUE!</v>
      </c>
      <c r="FS18" t="e">
        <f>AND('SPR BARRANQUILLA'!GS17,"AAAAAG/v/64=")</f>
        <v>#VALUE!</v>
      </c>
      <c r="FT18" t="e">
        <f>AND('SPR BARRANQUILLA'!GT17,"AAAAAG/v/68=")</f>
        <v>#VALUE!</v>
      </c>
      <c r="FU18" t="e">
        <f>AND('SPR BARRANQUILLA'!GU17,"AAAAAG/v/7A=")</f>
        <v>#VALUE!</v>
      </c>
      <c r="FV18" t="e">
        <f>AND('SPR BARRANQUILLA'!GV17,"AAAAAG/v/7E=")</f>
        <v>#VALUE!</v>
      </c>
      <c r="FW18" t="e">
        <f>AND('SPR BARRANQUILLA'!GW17,"AAAAAG/v/7I=")</f>
        <v>#VALUE!</v>
      </c>
      <c r="FX18" t="e">
        <f>AND('SPR BARRANQUILLA'!GX17,"AAAAAG/v/7M=")</f>
        <v>#VALUE!</v>
      </c>
      <c r="FY18" t="e">
        <f>AND('SPR BARRANQUILLA'!GY17,"AAAAAG/v/7Q=")</f>
        <v>#VALUE!</v>
      </c>
      <c r="FZ18">
        <f>IF('SPR BARRANQUILLA'!18:18,"AAAAAG/v/7U=",0)</f>
        <v>0</v>
      </c>
      <c r="GA18" t="e">
        <f>AND('SPR BARRANQUILLA'!A18,"AAAAAG/v/7Y=")</f>
        <v>#VALUE!</v>
      </c>
      <c r="GB18" t="e">
        <f>AND('SPR BARRANQUILLA'!B18,"AAAAAG/v/7c=")</f>
        <v>#VALUE!</v>
      </c>
      <c r="GC18" t="e">
        <f>AND('SPR BARRANQUILLA'!C18,"AAAAAG/v/7g=")</f>
        <v>#VALUE!</v>
      </c>
      <c r="GD18" t="e">
        <f>AND('SPR BARRANQUILLA'!D18,"AAAAAG/v/7k=")</f>
        <v>#VALUE!</v>
      </c>
      <c r="GE18" t="e">
        <f>AND('SPR BARRANQUILLA'!E18,"AAAAAG/v/7o=")</f>
        <v>#VALUE!</v>
      </c>
      <c r="GF18" t="e">
        <f>AND('SPR BARRANQUILLA'!F18,"AAAAAG/v/7s=")</f>
        <v>#VALUE!</v>
      </c>
      <c r="GG18" t="e">
        <f>AND('SPR BARRANQUILLA'!G18,"AAAAAG/v/7w=")</f>
        <v>#VALUE!</v>
      </c>
      <c r="GH18" t="e">
        <f>AND('SPR BARRANQUILLA'!H18,"AAAAAG/v/70=")</f>
        <v>#VALUE!</v>
      </c>
      <c r="GI18" t="e">
        <f>AND('SPR BARRANQUILLA'!I18,"AAAAAG/v/74=")</f>
        <v>#VALUE!</v>
      </c>
      <c r="GJ18" t="e">
        <f>AND('SPR BARRANQUILLA'!J18,"AAAAAG/v/78=")</f>
        <v>#VALUE!</v>
      </c>
      <c r="GK18" t="e">
        <f>AND('SPR BARRANQUILLA'!K18,"AAAAAG/v/8A=")</f>
        <v>#VALUE!</v>
      </c>
      <c r="GL18" t="e">
        <f>AND('SPR BARRANQUILLA'!L18,"AAAAAG/v/8E=")</f>
        <v>#VALUE!</v>
      </c>
      <c r="GM18" t="e">
        <f>AND('SPR BARRANQUILLA'!M18,"AAAAAG/v/8I=")</f>
        <v>#VALUE!</v>
      </c>
      <c r="GN18" t="e">
        <f>AND('SPR BARRANQUILLA'!N18,"AAAAAG/v/8M=")</f>
        <v>#VALUE!</v>
      </c>
      <c r="GO18" t="e">
        <f>AND('SPR BARRANQUILLA'!O18,"AAAAAG/v/8Q=")</f>
        <v>#VALUE!</v>
      </c>
      <c r="GP18" t="e">
        <f>AND('SPR BARRANQUILLA'!P18,"AAAAAG/v/8U=")</f>
        <v>#VALUE!</v>
      </c>
      <c r="GQ18" t="e">
        <f>AND('SPR BARRANQUILLA'!Q18,"AAAAAG/v/8Y=")</f>
        <v>#VALUE!</v>
      </c>
      <c r="GR18" t="e">
        <f>AND('SPR BARRANQUILLA'!R18,"AAAAAG/v/8c=")</f>
        <v>#VALUE!</v>
      </c>
      <c r="GS18" t="e">
        <f>AND('SPR BARRANQUILLA'!S18,"AAAAAG/v/8g=")</f>
        <v>#VALUE!</v>
      </c>
      <c r="GT18" t="e">
        <f>AND('SPR BARRANQUILLA'!T18,"AAAAAG/v/8k=")</f>
        <v>#VALUE!</v>
      </c>
      <c r="GU18" t="e">
        <f>AND('SPR BARRANQUILLA'!U18,"AAAAAG/v/8o=")</f>
        <v>#VALUE!</v>
      </c>
      <c r="GV18" t="e">
        <f>AND('SPR BARRANQUILLA'!V18,"AAAAAG/v/8s=")</f>
        <v>#VALUE!</v>
      </c>
      <c r="GW18" t="e">
        <f>AND('SPR BARRANQUILLA'!W18,"AAAAAG/v/8w=")</f>
        <v>#VALUE!</v>
      </c>
      <c r="GX18" t="e">
        <f>AND('SPR BARRANQUILLA'!X18,"AAAAAG/v/80=")</f>
        <v>#VALUE!</v>
      </c>
      <c r="GY18" t="e">
        <f>AND('SPR BARRANQUILLA'!Y18,"AAAAAG/v/84=")</f>
        <v>#VALUE!</v>
      </c>
      <c r="GZ18" t="e">
        <f>AND('SPR BARRANQUILLA'!Z18,"AAAAAG/v/88=")</f>
        <v>#VALUE!</v>
      </c>
      <c r="HA18" t="e">
        <f>AND('SPR BARRANQUILLA'!AA18,"AAAAAG/v/9A=")</f>
        <v>#VALUE!</v>
      </c>
      <c r="HB18" t="e">
        <f>AND('SPR BARRANQUILLA'!AB18,"AAAAAG/v/9E=")</f>
        <v>#VALUE!</v>
      </c>
      <c r="HC18" t="e">
        <f>AND('SPR BARRANQUILLA'!AC18,"AAAAAG/v/9I=")</f>
        <v>#VALUE!</v>
      </c>
      <c r="HD18" t="e">
        <f>AND('SPR BARRANQUILLA'!AD18,"AAAAAG/v/9M=")</f>
        <v>#VALUE!</v>
      </c>
      <c r="HE18" t="e">
        <f>AND('SPR BARRANQUILLA'!AE18,"AAAAAG/v/9Q=")</f>
        <v>#VALUE!</v>
      </c>
      <c r="HF18" t="e">
        <f>AND('SPR BARRANQUILLA'!AF18,"AAAAAG/v/9U=")</f>
        <v>#VALUE!</v>
      </c>
      <c r="HG18" t="e">
        <f>AND('SPR BARRANQUILLA'!AG18,"AAAAAG/v/9Y=")</f>
        <v>#VALUE!</v>
      </c>
      <c r="HH18" t="e">
        <f>AND('SPR BARRANQUILLA'!AH18,"AAAAAG/v/9c=")</f>
        <v>#VALUE!</v>
      </c>
      <c r="HI18" t="e">
        <f>AND('SPR BARRANQUILLA'!AI18,"AAAAAG/v/9g=")</f>
        <v>#VALUE!</v>
      </c>
      <c r="HJ18" t="e">
        <f>AND('SPR BARRANQUILLA'!AJ18,"AAAAAG/v/9k=")</f>
        <v>#VALUE!</v>
      </c>
      <c r="HK18" t="e">
        <f>AND('SPR BARRANQUILLA'!AK18,"AAAAAG/v/9o=")</f>
        <v>#VALUE!</v>
      </c>
      <c r="HL18" t="e">
        <f>AND('SPR BARRANQUILLA'!AL18,"AAAAAG/v/9s=")</f>
        <v>#VALUE!</v>
      </c>
      <c r="HM18" t="e">
        <f>AND('SPR BARRANQUILLA'!AM18,"AAAAAG/v/9w=")</f>
        <v>#VALUE!</v>
      </c>
      <c r="HN18" t="e">
        <f>AND('SPR BARRANQUILLA'!AN18,"AAAAAG/v/90=")</f>
        <v>#VALUE!</v>
      </c>
      <c r="HO18" t="e">
        <f>AND('SPR BARRANQUILLA'!AO18,"AAAAAG/v/94=")</f>
        <v>#VALUE!</v>
      </c>
      <c r="HP18" t="e">
        <f>AND('SPR BARRANQUILLA'!AP18,"AAAAAG/v/98=")</f>
        <v>#VALUE!</v>
      </c>
      <c r="HQ18" t="e">
        <f>AND('SPR BARRANQUILLA'!AQ18,"AAAAAG/v/+A=")</f>
        <v>#VALUE!</v>
      </c>
      <c r="HR18" t="e">
        <f>AND('SPR BARRANQUILLA'!AR18,"AAAAAG/v/+E=")</f>
        <v>#VALUE!</v>
      </c>
      <c r="HS18" t="e">
        <f>AND('SPR BARRANQUILLA'!AS18,"AAAAAG/v/+I=")</f>
        <v>#VALUE!</v>
      </c>
      <c r="HT18" t="e">
        <f>AND('SPR BARRANQUILLA'!AT18,"AAAAAG/v/+M=")</f>
        <v>#VALUE!</v>
      </c>
      <c r="HU18" t="e">
        <f>AND('SPR BARRANQUILLA'!AU18,"AAAAAG/v/+Q=")</f>
        <v>#VALUE!</v>
      </c>
      <c r="HV18" t="e">
        <f>AND('SPR BARRANQUILLA'!AV18,"AAAAAG/v/+U=")</f>
        <v>#VALUE!</v>
      </c>
      <c r="HW18" t="e">
        <f>AND('SPR BARRANQUILLA'!AW18,"AAAAAG/v/+Y=")</f>
        <v>#VALUE!</v>
      </c>
      <c r="HX18" t="e">
        <f>AND('SPR BARRANQUILLA'!AX18,"AAAAAG/v/+c=")</f>
        <v>#VALUE!</v>
      </c>
      <c r="HY18" t="e">
        <f>AND('SPR BARRANQUILLA'!AY18,"AAAAAG/v/+g=")</f>
        <v>#VALUE!</v>
      </c>
      <c r="HZ18" t="e">
        <f>AND('SPR BARRANQUILLA'!AZ18,"AAAAAG/v/+k=")</f>
        <v>#VALUE!</v>
      </c>
      <c r="IA18" t="e">
        <f>AND('SPR BARRANQUILLA'!BA18,"AAAAAG/v/+o=")</f>
        <v>#VALUE!</v>
      </c>
      <c r="IB18" t="e">
        <f>AND('SPR BARRANQUILLA'!BB18,"AAAAAG/v/+s=")</f>
        <v>#VALUE!</v>
      </c>
      <c r="IC18" t="e">
        <f>AND('SPR BARRANQUILLA'!BC18,"AAAAAG/v/+w=")</f>
        <v>#VALUE!</v>
      </c>
      <c r="ID18" t="e">
        <f>AND('SPR BARRANQUILLA'!BD18,"AAAAAG/v/+0=")</f>
        <v>#VALUE!</v>
      </c>
      <c r="IE18" t="e">
        <f>AND('SPR BARRANQUILLA'!BE18,"AAAAAG/v/+4=")</f>
        <v>#VALUE!</v>
      </c>
      <c r="IF18" t="e">
        <f>AND('SPR BARRANQUILLA'!BF18,"AAAAAG/v/+8=")</f>
        <v>#VALUE!</v>
      </c>
      <c r="IG18" t="e">
        <f>AND('SPR BARRANQUILLA'!BG18,"AAAAAG/v//A=")</f>
        <v>#VALUE!</v>
      </c>
      <c r="IH18" t="e">
        <f>AND('SPR BARRANQUILLA'!BH18,"AAAAAG/v//E=")</f>
        <v>#VALUE!</v>
      </c>
      <c r="II18" t="e">
        <f>AND('SPR BARRANQUILLA'!BI18,"AAAAAG/v//I=")</f>
        <v>#VALUE!</v>
      </c>
      <c r="IJ18" t="e">
        <f>AND('SPR BARRANQUILLA'!BJ18,"AAAAAG/v//M=")</f>
        <v>#VALUE!</v>
      </c>
      <c r="IK18" t="e">
        <f>AND('SPR BARRANQUILLA'!BK18,"AAAAAG/v//Q=")</f>
        <v>#VALUE!</v>
      </c>
      <c r="IL18" t="e">
        <f>AND('SPR BARRANQUILLA'!BL18,"AAAAAG/v//U=")</f>
        <v>#VALUE!</v>
      </c>
      <c r="IM18" t="e">
        <f>AND('SPR BARRANQUILLA'!BM18,"AAAAAG/v//Y=")</f>
        <v>#VALUE!</v>
      </c>
      <c r="IN18" t="e">
        <f>AND('SPR BARRANQUILLA'!BN18,"AAAAAG/v//c=")</f>
        <v>#VALUE!</v>
      </c>
      <c r="IO18" t="e">
        <f>AND('SPR BARRANQUILLA'!BO18,"AAAAAG/v//g=")</f>
        <v>#VALUE!</v>
      </c>
      <c r="IP18" t="e">
        <f>AND('SPR BARRANQUILLA'!BP18,"AAAAAG/v//k=")</f>
        <v>#VALUE!</v>
      </c>
      <c r="IQ18" t="e">
        <f>AND('SPR BARRANQUILLA'!BQ18,"AAAAAG/v//o=")</f>
        <v>#VALUE!</v>
      </c>
      <c r="IR18" t="e">
        <f>AND('SPR BARRANQUILLA'!BR18,"AAAAAG/v//s=")</f>
        <v>#VALUE!</v>
      </c>
      <c r="IS18" t="e">
        <f>AND('SPR BARRANQUILLA'!BS18,"AAAAAG/v//w=")</f>
        <v>#VALUE!</v>
      </c>
      <c r="IT18" t="e">
        <f>AND('SPR BARRANQUILLA'!BT18,"AAAAAG/v//0=")</f>
        <v>#VALUE!</v>
      </c>
      <c r="IU18" t="e">
        <f>AND('SPR BARRANQUILLA'!BU18,"AAAAAG/v//4=")</f>
        <v>#VALUE!</v>
      </c>
      <c r="IV18" t="e">
        <f>AND('SPR BARRANQUILLA'!BV18,"AAAAAG/v//8=")</f>
        <v>#VALUE!</v>
      </c>
    </row>
    <row r="19" spans="1:256">
      <c r="A19" t="e">
        <f>AND('SPR BARRANQUILLA'!BW18,"AAAAADrzuAA=")</f>
        <v>#VALUE!</v>
      </c>
      <c r="B19" t="e">
        <f>AND('SPR BARRANQUILLA'!BX18,"AAAAADrzuAE=")</f>
        <v>#VALUE!</v>
      </c>
      <c r="C19" t="e">
        <f>AND('SPR BARRANQUILLA'!BY18,"AAAAADrzuAI=")</f>
        <v>#VALUE!</v>
      </c>
      <c r="D19" t="e">
        <f>AND('SPR BARRANQUILLA'!BZ18,"AAAAADrzuAM=")</f>
        <v>#VALUE!</v>
      </c>
      <c r="E19" t="e">
        <f>AND('SPR BARRANQUILLA'!CA18,"AAAAADrzuAQ=")</f>
        <v>#VALUE!</v>
      </c>
      <c r="F19" t="e">
        <f>AND('SPR BARRANQUILLA'!CB18,"AAAAADrzuAU=")</f>
        <v>#VALUE!</v>
      </c>
      <c r="G19" t="e">
        <f>AND('SPR BARRANQUILLA'!CC18,"AAAAADrzuAY=")</f>
        <v>#VALUE!</v>
      </c>
      <c r="H19" t="e">
        <f>AND('SPR BARRANQUILLA'!CD18,"AAAAADrzuAc=")</f>
        <v>#VALUE!</v>
      </c>
      <c r="I19" t="e">
        <f>AND('SPR BARRANQUILLA'!CE18,"AAAAADrzuAg=")</f>
        <v>#VALUE!</v>
      </c>
      <c r="J19" t="e">
        <f>AND('SPR BARRANQUILLA'!CF18,"AAAAADrzuAk=")</f>
        <v>#VALUE!</v>
      </c>
      <c r="K19" t="e">
        <f>AND('SPR BARRANQUILLA'!CG18,"AAAAADrzuAo=")</f>
        <v>#VALUE!</v>
      </c>
      <c r="L19" t="e">
        <f>AND('SPR BARRANQUILLA'!CH18,"AAAAADrzuAs=")</f>
        <v>#VALUE!</v>
      </c>
      <c r="M19" t="e">
        <f>AND('SPR BARRANQUILLA'!CI18,"AAAAADrzuAw=")</f>
        <v>#VALUE!</v>
      </c>
      <c r="N19" t="e">
        <f>AND('SPR BARRANQUILLA'!CJ18,"AAAAADrzuA0=")</f>
        <v>#VALUE!</v>
      </c>
      <c r="O19" t="e">
        <f>AND('SPR BARRANQUILLA'!CK18,"AAAAADrzuA4=")</f>
        <v>#VALUE!</v>
      </c>
      <c r="P19" t="e">
        <f>AND('SPR BARRANQUILLA'!CL18,"AAAAADrzuA8=")</f>
        <v>#VALUE!</v>
      </c>
      <c r="Q19" t="e">
        <f>AND('SPR BARRANQUILLA'!CM18,"AAAAADrzuBA=")</f>
        <v>#VALUE!</v>
      </c>
      <c r="R19" t="e">
        <f>AND('SPR BARRANQUILLA'!CN18,"AAAAADrzuBE=")</f>
        <v>#VALUE!</v>
      </c>
      <c r="S19" t="e">
        <f>AND('SPR BARRANQUILLA'!CO18,"AAAAADrzuBI=")</f>
        <v>#VALUE!</v>
      </c>
      <c r="T19" t="e">
        <f>AND('SPR BARRANQUILLA'!CP18,"AAAAADrzuBM=")</f>
        <v>#VALUE!</v>
      </c>
      <c r="U19" t="e">
        <f>AND('SPR BARRANQUILLA'!CQ18,"AAAAADrzuBQ=")</f>
        <v>#VALUE!</v>
      </c>
      <c r="V19" t="e">
        <f>AND('SPR BARRANQUILLA'!CR18,"AAAAADrzuBU=")</f>
        <v>#VALUE!</v>
      </c>
      <c r="W19" t="e">
        <f>AND('SPR BARRANQUILLA'!CS18,"AAAAADrzuBY=")</f>
        <v>#VALUE!</v>
      </c>
      <c r="X19" t="e">
        <f>AND('SPR BARRANQUILLA'!CT18,"AAAAADrzuBc=")</f>
        <v>#VALUE!</v>
      </c>
      <c r="Y19" t="e">
        <f>AND('SPR BARRANQUILLA'!CU18,"AAAAADrzuBg=")</f>
        <v>#VALUE!</v>
      </c>
      <c r="Z19" t="e">
        <f>AND('SPR BARRANQUILLA'!CV18,"AAAAADrzuBk=")</f>
        <v>#VALUE!</v>
      </c>
      <c r="AA19" t="e">
        <f>AND('SPR BARRANQUILLA'!CW18,"AAAAADrzuBo=")</f>
        <v>#VALUE!</v>
      </c>
      <c r="AB19" t="e">
        <f>AND('SPR BARRANQUILLA'!CX18,"AAAAADrzuBs=")</f>
        <v>#VALUE!</v>
      </c>
      <c r="AC19" t="e">
        <f>AND('SPR BARRANQUILLA'!CY18,"AAAAADrzuBw=")</f>
        <v>#VALUE!</v>
      </c>
      <c r="AD19" t="e">
        <f>AND('SPR BARRANQUILLA'!CZ18,"AAAAADrzuB0=")</f>
        <v>#VALUE!</v>
      </c>
      <c r="AE19" t="e">
        <f>AND('SPR BARRANQUILLA'!DA18,"AAAAADrzuB4=")</f>
        <v>#VALUE!</v>
      </c>
      <c r="AF19" t="e">
        <f>AND('SPR BARRANQUILLA'!DB18,"AAAAADrzuB8=")</f>
        <v>#VALUE!</v>
      </c>
      <c r="AG19" t="e">
        <f>AND('SPR BARRANQUILLA'!DC18,"AAAAADrzuCA=")</f>
        <v>#VALUE!</v>
      </c>
      <c r="AH19" t="e">
        <f>AND('SPR BARRANQUILLA'!DD18,"AAAAADrzuCE=")</f>
        <v>#VALUE!</v>
      </c>
      <c r="AI19" t="e">
        <f>AND('SPR BARRANQUILLA'!DE18,"AAAAADrzuCI=")</f>
        <v>#VALUE!</v>
      </c>
      <c r="AJ19" t="e">
        <f>AND('SPR BARRANQUILLA'!DF18,"AAAAADrzuCM=")</f>
        <v>#VALUE!</v>
      </c>
      <c r="AK19" t="e">
        <f>AND('SPR BARRANQUILLA'!DG18,"AAAAADrzuCQ=")</f>
        <v>#VALUE!</v>
      </c>
      <c r="AL19" t="e">
        <f>AND('SPR BARRANQUILLA'!DH18,"AAAAADrzuCU=")</f>
        <v>#VALUE!</v>
      </c>
      <c r="AM19" t="e">
        <f>AND('SPR BARRANQUILLA'!DI18,"AAAAADrzuCY=")</f>
        <v>#VALUE!</v>
      </c>
      <c r="AN19" t="e">
        <f>AND('SPR BARRANQUILLA'!DJ18,"AAAAADrzuCc=")</f>
        <v>#VALUE!</v>
      </c>
      <c r="AO19" t="e">
        <f>AND('SPR BARRANQUILLA'!DK18,"AAAAADrzuCg=")</f>
        <v>#VALUE!</v>
      </c>
      <c r="AP19" t="e">
        <f>AND('SPR BARRANQUILLA'!DL18,"AAAAADrzuCk=")</f>
        <v>#VALUE!</v>
      </c>
      <c r="AQ19" t="e">
        <f>AND('SPR BARRANQUILLA'!DM18,"AAAAADrzuCo=")</f>
        <v>#VALUE!</v>
      </c>
      <c r="AR19" t="e">
        <f>AND('SPR BARRANQUILLA'!DN18,"AAAAADrzuCs=")</f>
        <v>#VALUE!</v>
      </c>
      <c r="AS19" t="e">
        <f>AND('SPR BARRANQUILLA'!DO18,"AAAAADrzuCw=")</f>
        <v>#VALUE!</v>
      </c>
      <c r="AT19" t="e">
        <f>AND('SPR BARRANQUILLA'!DP18,"AAAAADrzuC0=")</f>
        <v>#VALUE!</v>
      </c>
      <c r="AU19" t="e">
        <f>AND('SPR BARRANQUILLA'!DQ18,"AAAAADrzuC4=")</f>
        <v>#VALUE!</v>
      </c>
      <c r="AV19" t="e">
        <f>AND('SPR BARRANQUILLA'!DR18,"AAAAADrzuC8=")</f>
        <v>#VALUE!</v>
      </c>
      <c r="AW19" t="e">
        <f>AND('SPR BARRANQUILLA'!DS18,"AAAAADrzuDA=")</f>
        <v>#VALUE!</v>
      </c>
      <c r="AX19" t="e">
        <f>AND('SPR BARRANQUILLA'!DT18,"AAAAADrzuDE=")</f>
        <v>#VALUE!</v>
      </c>
      <c r="AY19" t="e">
        <f>AND('SPR BARRANQUILLA'!DU18,"AAAAADrzuDI=")</f>
        <v>#VALUE!</v>
      </c>
      <c r="AZ19" t="e">
        <f>AND('SPR BARRANQUILLA'!DV18,"AAAAADrzuDM=")</f>
        <v>#VALUE!</v>
      </c>
      <c r="BA19" t="e">
        <f>AND('SPR BARRANQUILLA'!DW18,"AAAAADrzuDQ=")</f>
        <v>#VALUE!</v>
      </c>
      <c r="BB19" t="e">
        <f>AND('SPR BARRANQUILLA'!DX18,"AAAAADrzuDU=")</f>
        <v>#VALUE!</v>
      </c>
      <c r="BC19" t="e">
        <f>AND('SPR BARRANQUILLA'!DY18,"AAAAADrzuDY=")</f>
        <v>#VALUE!</v>
      </c>
      <c r="BD19" t="e">
        <f>AND('SPR BARRANQUILLA'!DZ18,"AAAAADrzuDc=")</f>
        <v>#VALUE!</v>
      </c>
      <c r="BE19" t="e">
        <f>AND('SPR BARRANQUILLA'!EA18,"AAAAADrzuDg=")</f>
        <v>#VALUE!</v>
      </c>
      <c r="BF19" t="e">
        <f>AND('SPR BARRANQUILLA'!EB18,"AAAAADrzuDk=")</f>
        <v>#VALUE!</v>
      </c>
      <c r="BG19" t="e">
        <f>AND('SPR BARRANQUILLA'!EC18,"AAAAADrzuDo=")</f>
        <v>#VALUE!</v>
      </c>
      <c r="BH19" t="e">
        <f>AND('SPR BARRANQUILLA'!ED18,"AAAAADrzuDs=")</f>
        <v>#VALUE!</v>
      </c>
      <c r="BI19" t="e">
        <f>AND('SPR BARRANQUILLA'!EE18,"AAAAADrzuDw=")</f>
        <v>#VALUE!</v>
      </c>
      <c r="BJ19" t="e">
        <f>AND('SPR BARRANQUILLA'!EF18,"AAAAADrzuD0=")</f>
        <v>#VALUE!</v>
      </c>
      <c r="BK19" t="e">
        <f>AND('SPR BARRANQUILLA'!EG18,"AAAAADrzuD4=")</f>
        <v>#VALUE!</v>
      </c>
      <c r="BL19" t="e">
        <f>AND('SPR BARRANQUILLA'!EH18,"AAAAADrzuD8=")</f>
        <v>#VALUE!</v>
      </c>
      <c r="BM19" t="e">
        <f>AND('SPR BARRANQUILLA'!EI18,"AAAAADrzuEA=")</f>
        <v>#VALUE!</v>
      </c>
      <c r="BN19" t="e">
        <f>AND('SPR BARRANQUILLA'!EJ18,"AAAAADrzuEE=")</f>
        <v>#VALUE!</v>
      </c>
      <c r="BO19" t="e">
        <f>AND('SPR BARRANQUILLA'!EK18,"AAAAADrzuEI=")</f>
        <v>#VALUE!</v>
      </c>
      <c r="BP19" t="e">
        <f>AND('SPR BARRANQUILLA'!EL18,"AAAAADrzuEM=")</f>
        <v>#VALUE!</v>
      </c>
      <c r="BQ19" t="e">
        <f>AND('SPR BARRANQUILLA'!EM18,"AAAAADrzuEQ=")</f>
        <v>#VALUE!</v>
      </c>
      <c r="BR19" t="e">
        <f>AND('SPR BARRANQUILLA'!EN18,"AAAAADrzuEU=")</f>
        <v>#VALUE!</v>
      </c>
      <c r="BS19" t="e">
        <f>AND('SPR BARRANQUILLA'!EO18,"AAAAADrzuEY=")</f>
        <v>#VALUE!</v>
      </c>
      <c r="BT19" t="e">
        <f>AND('SPR BARRANQUILLA'!EP18,"AAAAADrzuEc=")</f>
        <v>#VALUE!</v>
      </c>
      <c r="BU19" t="e">
        <f>AND('SPR BARRANQUILLA'!EQ18,"AAAAADrzuEg=")</f>
        <v>#VALUE!</v>
      </c>
      <c r="BV19" t="e">
        <f>AND('SPR BARRANQUILLA'!ER18,"AAAAADrzuEk=")</f>
        <v>#VALUE!</v>
      </c>
      <c r="BW19" t="e">
        <f>AND('SPR BARRANQUILLA'!ES18,"AAAAADrzuEo=")</f>
        <v>#VALUE!</v>
      </c>
      <c r="BX19" t="e">
        <f>AND('SPR BARRANQUILLA'!ET18,"AAAAADrzuEs=")</f>
        <v>#VALUE!</v>
      </c>
      <c r="BY19" t="e">
        <f>AND('SPR BARRANQUILLA'!EU18,"AAAAADrzuEw=")</f>
        <v>#VALUE!</v>
      </c>
      <c r="BZ19" t="e">
        <f>AND('SPR BARRANQUILLA'!EV18,"AAAAADrzuE0=")</f>
        <v>#VALUE!</v>
      </c>
      <c r="CA19" t="e">
        <f>AND('SPR BARRANQUILLA'!EW18,"AAAAADrzuE4=")</f>
        <v>#VALUE!</v>
      </c>
      <c r="CB19" t="e">
        <f>AND('SPR BARRANQUILLA'!EX18,"AAAAADrzuE8=")</f>
        <v>#VALUE!</v>
      </c>
      <c r="CC19" t="e">
        <f>AND('SPR BARRANQUILLA'!EY18,"AAAAADrzuFA=")</f>
        <v>#VALUE!</v>
      </c>
      <c r="CD19" t="e">
        <f>AND('SPR BARRANQUILLA'!EZ18,"AAAAADrzuFE=")</f>
        <v>#VALUE!</v>
      </c>
      <c r="CE19" t="e">
        <f>AND('SPR BARRANQUILLA'!FA18,"AAAAADrzuFI=")</f>
        <v>#VALUE!</v>
      </c>
      <c r="CF19" t="e">
        <f>AND('SPR BARRANQUILLA'!FB18,"AAAAADrzuFM=")</f>
        <v>#VALUE!</v>
      </c>
      <c r="CG19" t="e">
        <f>AND('SPR BARRANQUILLA'!FC18,"AAAAADrzuFQ=")</f>
        <v>#VALUE!</v>
      </c>
      <c r="CH19" t="e">
        <f>AND('SPR BARRANQUILLA'!FD18,"AAAAADrzuFU=")</f>
        <v>#VALUE!</v>
      </c>
      <c r="CI19" t="e">
        <f>AND('SPR BARRANQUILLA'!FE18,"AAAAADrzuFY=")</f>
        <v>#VALUE!</v>
      </c>
      <c r="CJ19" t="e">
        <f>AND('SPR BARRANQUILLA'!FF18,"AAAAADrzuFc=")</f>
        <v>#VALUE!</v>
      </c>
      <c r="CK19" t="e">
        <f>AND('SPR BARRANQUILLA'!FG18,"AAAAADrzuFg=")</f>
        <v>#VALUE!</v>
      </c>
      <c r="CL19" t="e">
        <f>AND('SPR BARRANQUILLA'!FH18,"AAAAADrzuFk=")</f>
        <v>#VALUE!</v>
      </c>
      <c r="CM19" t="e">
        <f>AND('SPR BARRANQUILLA'!FI18,"AAAAADrzuFo=")</f>
        <v>#VALUE!</v>
      </c>
      <c r="CN19" t="e">
        <f>AND('SPR BARRANQUILLA'!FJ18,"AAAAADrzuFs=")</f>
        <v>#VALUE!</v>
      </c>
      <c r="CO19" t="e">
        <f>AND('SPR BARRANQUILLA'!FK18,"AAAAADrzuFw=")</f>
        <v>#VALUE!</v>
      </c>
      <c r="CP19" t="e">
        <f>AND('SPR BARRANQUILLA'!FL18,"AAAAADrzuF0=")</f>
        <v>#VALUE!</v>
      </c>
      <c r="CQ19" t="e">
        <f>AND('SPR BARRANQUILLA'!FM18,"AAAAADrzuF4=")</f>
        <v>#VALUE!</v>
      </c>
      <c r="CR19" t="e">
        <f>AND('SPR BARRANQUILLA'!FN18,"AAAAADrzuF8=")</f>
        <v>#VALUE!</v>
      </c>
      <c r="CS19" t="e">
        <f>AND('SPR BARRANQUILLA'!FO18,"AAAAADrzuGA=")</f>
        <v>#VALUE!</v>
      </c>
      <c r="CT19" t="e">
        <f>AND('SPR BARRANQUILLA'!FP18,"AAAAADrzuGE=")</f>
        <v>#VALUE!</v>
      </c>
      <c r="CU19" t="e">
        <f>AND('SPR BARRANQUILLA'!FQ18,"AAAAADrzuGI=")</f>
        <v>#VALUE!</v>
      </c>
      <c r="CV19" t="e">
        <f>AND('SPR BARRANQUILLA'!FR18,"AAAAADrzuGM=")</f>
        <v>#VALUE!</v>
      </c>
      <c r="CW19" t="e">
        <f>AND('SPR BARRANQUILLA'!FS18,"AAAAADrzuGQ=")</f>
        <v>#VALUE!</v>
      </c>
      <c r="CX19" t="e">
        <f>AND('SPR BARRANQUILLA'!FT18,"AAAAADrzuGU=")</f>
        <v>#VALUE!</v>
      </c>
      <c r="CY19" t="e">
        <f>AND('SPR BARRANQUILLA'!FU18,"AAAAADrzuGY=")</f>
        <v>#VALUE!</v>
      </c>
      <c r="CZ19" t="e">
        <f>AND('SPR BARRANQUILLA'!FV18,"AAAAADrzuGc=")</f>
        <v>#VALUE!</v>
      </c>
      <c r="DA19" t="e">
        <f>AND('SPR BARRANQUILLA'!FW18,"AAAAADrzuGg=")</f>
        <v>#VALUE!</v>
      </c>
      <c r="DB19" t="e">
        <f>AND('SPR BARRANQUILLA'!FX18,"AAAAADrzuGk=")</f>
        <v>#VALUE!</v>
      </c>
      <c r="DC19" t="e">
        <f>AND('SPR BARRANQUILLA'!FY18,"AAAAADrzuGo=")</f>
        <v>#VALUE!</v>
      </c>
      <c r="DD19" t="e">
        <f>AND('SPR BARRANQUILLA'!FZ18,"AAAAADrzuGs=")</f>
        <v>#VALUE!</v>
      </c>
      <c r="DE19" t="e">
        <f>AND('SPR BARRANQUILLA'!GA18,"AAAAADrzuGw=")</f>
        <v>#VALUE!</v>
      </c>
      <c r="DF19" t="e">
        <f>AND('SPR BARRANQUILLA'!GB18,"AAAAADrzuG0=")</f>
        <v>#VALUE!</v>
      </c>
      <c r="DG19" t="e">
        <f>AND('SPR BARRANQUILLA'!GC18,"AAAAADrzuG4=")</f>
        <v>#VALUE!</v>
      </c>
      <c r="DH19" t="e">
        <f>AND('SPR BARRANQUILLA'!GD18,"AAAAADrzuG8=")</f>
        <v>#VALUE!</v>
      </c>
      <c r="DI19" t="e">
        <f>AND('SPR BARRANQUILLA'!GE18,"AAAAADrzuHA=")</f>
        <v>#VALUE!</v>
      </c>
      <c r="DJ19" t="e">
        <f>AND('SPR BARRANQUILLA'!GF18,"AAAAADrzuHE=")</f>
        <v>#VALUE!</v>
      </c>
      <c r="DK19" t="e">
        <f>AND('SPR BARRANQUILLA'!GG18,"AAAAADrzuHI=")</f>
        <v>#VALUE!</v>
      </c>
      <c r="DL19" t="e">
        <f>AND('SPR BARRANQUILLA'!GH18,"AAAAADrzuHM=")</f>
        <v>#VALUE!</v>
      </c>
      <c r="DM19" t="e">
        <f>AND('SPR BARRANQUILLA'!GI18,"AAAAADrzuHQ=")</f>
        <v>#VALUE!</v>
      </c>
      <c r="DN19" t="e">
        <f>AND('SPR BARRANQUILLA'!GJ18,"AAAAADrzuHU=")</f>
        <v>#VALUE!</v>
      </c>
      <c r="DO19" t="e">
        <f>AND('SPR BARRANQUILLA'!GK18,"AAAAADrzuHY=")</f>
        <v>#VALUE!</v>
      </c>
      <c r="DP19" t="e">
        <f>AND('SPR BARRANQUILLA'!GL18,"AAAAADrzuHc=")</f>
        <v>#VALUE!</v>
      </c>
      <c r="DQ19" t="e">
        <f>AND('SPR BARRANQUILLA'!GM18,"AAAAADrzuHg=")</f>
        <v>#VALUE!</v>
      </c>
      <c r="DR19" t="e">
        <f>AND('SPR BARRANQUILLA'!GN18,"AAAAADrzuHk=")</f>
        <v>#VALUE!</v>
      </c>
      <c r="DS19" t="e">
        <f>AND('SPR BARRANQUILLA'!GO18,"AAAAADrzuHo=")</f>
        <v>#VALUE!</v>
      </c>
      <c r="DT19" t="e">
        <f>AND('SPR BARRANQUILLA'!GP18,"AAAAADrzuHs=")</f>
        <v>#VALUE!</v>
      </c>
      <c r="DU19" t="e">
        <f>AND('SPR BARRANQUILLA'!GQ18,"AAAAADrzuHw=")</f>
        <v>#VALUE!</v>
      </c>
      <c r="DV19" t="e">
        <f>AND('SPR BARRANQUILLA'!GR18,"AAAAADrzuH0=")</f>
        <v>#VALUE!</v>
      </c>
      <c r="DW19" t="e">
        <f>AND('SPR BARRANQUILLA'!GS18,"AAAAADrzuH4=")</f>
        <v>#VALUE!</v>
      </c>
      <c r="DX19" t="e">
        <f>AND('SPR BARRANQUILLA'!GT18,"AAAAADrzuH8=")</f>
        <v>#VALUE!</v>
      </c>
      <c r="DY19" t="e">
        <f>AND('SPR BARRANQUILLA'!GU18,"AAAAADrzuIA=")</f>
        <v>#VALUE!</v>
      </c>
      <c r="DZ19" t="e">
        <f>AND('SPR BARRANQUILLA'!GV18,"AAAAADrzuIE=")</f>
        <v>#VALUE!</v>
      </c>
      <c r="EA19" t="e">
        <f>AND('SPR BARRANQUILLA'!GW18,"AAAAADrzuII=")</f>
        <v>#VALUE!</v>
      </c>
      <c r="EB19" t="e">
        <f>AND('SPR BARRANQUILLA'!GX18,"AAAAADrzuIM=")</f>
        <v>#VALUE!</v>
      </c>
      <c r="EC19" t="e">
        <f>AND('SPR BARRANQUILLA'!GY18,"AAAAADrzuIQ=")</f>
        <v>#VALUE!</v>
      </c>
      <c r="ED19">
        <f>IF('SPR BARRANQUILLA'!19:19,"AAAAADrzuIU=",0)</f>
        <v>0</v>
      </c>
      <c r="EE19" t="e">
        <f>AND('SPR BARRANQUILLA'!A19,"AAAAADrzuIY=")</f>
        <v>#VALUE!</v>
      </c>
      <c r="EF19" t="e">
        <f>AND('SPR BARRANQUILLA'!B19,"AAAAADrzuIc=")</f>
        <v>#VALUE!</v>
      </c>
      <c r="EG19" t="e">
        <f>AND('SPR BARRANQUILLA'!C19,"AAAAADrzuIg=")</f>
        <v>#VALUE!</v>
      </c>
      <c r="EH19" t="e">
        <f>AND('SPR BARRANQUILLA'!D19,"AAAAADrzuIk=")</f>
        <v>#VALUE!</v>
      </c>
      <c r="EI19" t="e">
        <f>AND('SPR BARRANQUILLA'!E19,"AAAAADrzuIo=")</f>
        <v>#VALUE!</v>
      </c>
      <c r="EJ19" t="e">
        <f>AND('SPR BARRANQUILLA'!F19,"AAAAADrzuIs=")</f>
        <v>#VALUE!</v>
      </c>
      <c r="EK19" t="e">
        <f>AND('SPR BARRANQUILLA'!G19,"AAAAADrzuIw=")</f>
        <v>#VALUE!</v>
      </c>
      <c r="EL19" t="e">
        <f>AND('SPR BARRANQUILLA'!H19,"AAAAADrzuI0=")</f>
        <v>#VALUE!</v>
      </c>
      <c r="EM19" t="e">
        <f>AND('SPR BARRANQUILLA'!I19,"AAAAADrzuI4=")</f>
        <v>#VALUE!</v>
      </c>
      <c r="EN19" t="e">
        <f>AND('SPR BARRANQUILLA'!J19,"AAAAADrzuI8=")</f>
        <v>#VALUE!</v>
      </c>
      <c r="EO19" t="e">
        <f>AND('SPR BARRANQUILLA'!K19,"AAAAADrzuJA=")</f>
        <v>#VALUE!</v>
      </c>
      <c r="EP19" t="e">
        <f>AND('SPR BARRANQUILLA'!L19,"AAAAADrzuJE=")</f>
        <v>#VALUE!</v>
      </c>
      <c r="EQ19" t="e">
        <f>AND('SPR BARRANQUILLA'!M19,"AAAAADrzuJI=")</f>
        <v>#VALUE!</v>
      </c>
      <c r="ER19" t="e">
        <f>AND('SPR BARRANQUILLA'!N19,"AAAAADrzuJM=")</f>
        <v>#VALUE!</v>
      </c>
      <c r="ES19" t="e">
        <f>AND('SPR BARRANQUILLA'!O19,"AAAAADrzuJQ=")</f>
        <v>#VALUE!</v>
      </c>
      <c r="ET19" t="e">
        <f>AND('SPR BARRANQUILLA'!P19,"AAAAADrzuJU=")</f>
        <v>#VALUE!</v>
      </c>
      <c r="EU19" t="e">
        <f>AND('SPR BARRANQUILLA'!Q19,"AAAAADrzuJY=")</f>
        <v>#VALUE!</v>
      </c>
      <c r="EV19" t="e">
        <f>AND('SPR BARRANQUILLA'!R19,"AAAAADrzuJc=")</f>
        <v>#VALUE!</v>
      </c>
      <c r="EW19" t="e">
        <f>AND('SPR BARRANQUILLA'!S19,"AAAAADrzuJg=")</f>
        <v>#VALUE!</v>
      </c>
      <c r="EX19" t="e">
        <f>AND('SPR BARRANQUILLA'!T19,"AAAAADrzuJk=")</f>
        <v>#VALUE!</v>
      </c>
      <c r="EY19" t="e">
        <f>AND('SPR BARRANQUILLA'!U19,"AAAAADrzuJo=")</f>
        <v>#VALUE!</v>
      </c>
      <c r="EZ19" t="e">
        <f>AND('SPR BARRANQUILLA'!V19,"AAAAADrzuJs=")</f>
        <v>#VALUE!</v>
      </c>
      <c r="FA19" t="e">
        <f>AND('SPR BARRANQUILLA'!W19,"AAAAADrzuJw=")</f>
        <v>#VALUE!</v>
      </c>
      <c r="FB19" t="e">
        <f>AND('SPR BARRANQUILLA'!X19,"AAAAADrzuJ0=")</f>
        <v>#VALUE!</v>
      </c>
      <c r="FC19" t="e">
        <f>AND('SPR BARRANQUILLA'!Y19,"AAAAADrzuJ4=")</f>
        <v>#VALUE!</v>
      </c>
      <c r="FD19" t="e">
        <f>AND('SPR BARRANQUILLA'!Z19,"AAAAADrzuJ8=")</f>
        <v>#VALUE!</v>
      </c>
      <c r="FE19" t="e">
        <f>AND('SPR BARRANQUILLA'!AA19,"AAAAADrzuKA=")</f>
        <v>#VALUE!</v>
      </c>
      <c r="FF19" t="e">
        <f>AND('SPR BARRANQUILLA'!AB19,"AAAAADrzuKE=")</f>
        <v>#VALUE!</v>
      </c>
      <c r="FG19" t="e">
        <f>AND('SPR BARRANQUILLA'!AC19,"AAAAADrzuKI=")</f>
        <v>#VALUE!</v>
      </c>
      <c r="FH19" t="e">
        <f>AND('SPR BARRANQUILLA'!AD19,"AAAAADrzuKM=")</f>
        <v>#VALUE!</v>
      </c>
      <c r="FI19" t="e">
        <f>AND('SPR BARRANQUILLA'!AE19,"AAAAADrzuKQ=")</f>
        <v>#VALUE!</v>
      </c>
      <c r="FJ19" t="e">
        <f>AND('SPR BARRANQUILLA'!AF19,"AAAAADrzuKU=")</f>
        <v>#VALUE!</v>
      </c>
      <c r="FK19" t="e">
        <f>AND('SPR BARRANQUILLA'!AG19,"AAAAADrzuKY=")</f>
        <v>#VALUE!</v>
      </c>
      <c r="FL19" t="e">
        <f>AND('SPR BARRANQUILLA'!AH19,"AAAAADrzuKc=")</f>
        <v>#VALUE!</v>
      </c>
      <c r="FM19" t="e">
        <f>AND('SPR BARRANQUILLA'!AI19,"AAAAADrzuKg=")</f>
        <v>#VALUE!</v>
      </c>
      <c r="FN19" t="e">
        <f>AND('SPR BARRANQUILLA'!AJ19,"AAAAADrzuKk=")</f>
        <v>#VALUE!</v>
      </c>
      <c r="FO19" t="e">
        <f>AND('SPR BARRANQUILLA'!AK19,"AAAAADrzuKo=")</f>
        <v>#VALUE!</v>
      </c>
      <c r="FP19" t="e">
        <f>AND('SPR BARRANQUILLA'!AL19,"AAAAADrzuKs=")</f>
        <v>#VALUE!</v>
      </c>
      <c r="FQ19" t="e">
        <f>AND('SPR BARRANQUILLA'!AM19,"AAAAADrzuKw=")</f>
        <v>#VALUE!</v>
      </c>
      <c r="FR19" t="e">
        <f>AND('SPR BARRANQUILLA'!AN19,"AAAAADrzuK0=")</f>
        <v>#VALUE!</v>
      </c>
      <c r="FS19" t="e">
        <f>AND('SPR BARRANQUILLA'!AO19,"AAAAADrzuK4=")</f>
        <v>#VALUE!</v>
      </c>
      <c r="FT19" t="e">
        <f>AND('SPR BARRANQUILLA'!AP19,"AAAAADrzuK8=")</f>
        <v>#VALUE!</v>
      </c>
      <c r="FU19" t="e">
        <f>AND('SPR BARRANQUILLA'!AQ19,"AAAAADrzuLA=")</f>
        <v>#VALUE!</v>
      </c>
      <c r="FV19" t="e">
        <f>AND('SPR BARRANQUILLA'!AR19,"AAAAADrzuLE=")</f>
        <v>#VALUE!</v>
      </c>
      <c r="FW19" t="e">
        <f>AND('SPR BARRANQUILLA'!AS19,"AAAAADrzuLI=")</f>
        <v>#VALUE!</v>
      </c>
      <c r="FX19" t="e">
        <f>AND('SPR BARRANQUILLA'!AT19,"AAAAADrzuLM=")</f>
        <v>#VALUE!</v>
      </c>
      <c r="FY19" t="e">
        <f>AND('SPR BARRANQUILLA'!AU19,"AAAAADrzuLQ=")</f>
        <v>#VALUE!</v>
      </c>
      <c r="FZ19" t="e">
        <f>AND('SPR BARRANQUILLA'!AV19,"AAAAADrzuLU=")</f>
        <v>#VALUE!</v>
      </c>
      <c r="GA19" t="e">
        <f>AND('SPR BARRANQUILLA'!AW19,"AAAAADrzuLY=")</f>
        <v>#VALUE!</v>
      </c>
      <c r="GB19" t="e">
        <f>AND('SPR BARRANQUILLA'!AX19,"AAAAADrzuLc=")</f>
        <v>#VALUE!</v>
      </c>
      <c r="GC19" t="e">
        <f>AND('SPR BARRANQUILLA'!AY19,"AAAAADrzuLg=")</f>
        <v>#VALUE!</v>
      </c>
      <c r="GD19" t="e">
        <f>AND('SPR BARRANQUILLA'!AZ19,"AAAAADrzuLk=")</f>
        <v>#VALUE!</v>
      </c>
      <c r="GE19" t="e">
        <f>AND('SPR BARRANQUILLA'!BA19,"AAAAADrzuLo=")</f>
        <v>#VALUE!</v>
      </c>
      <c r="GF19" t="e">
        <f>AND('SPR BARRANQUILLA'!BB19,"AAAAADrzuLs=")</f>
        <v>#VALUE!</v>
      </c>
      <c r="GG19" t="e">
        <f>AND('SPR BARRANQUILLA'!BC19,"AAAAADrzuLw=")</f>
        <v>#VALUE!</v>
      </c>
      <c r="GH19" t="e">
        <f>AND('SPR BARRANQUILLA'!BD19,"AAAAADrzuL0=")</f>
        <v>#VALUE!</v>
      </c>
      <c r="GI19" t="e">
        <f>AND('SPR BARRANQUILLA'!BE19,"AAAAADrzuL4=")</f>
        <v>#VALUE!</v>
      </c>
      <c r="GJ19" t="e">
        <f>AND('SPR BARRANQUILLA'!BF19,"AAAAADrzuL8=")</f>
        <v>#VALUE!</v>
      </c>
      <c r="GK19" t="e">
        <f>AND('SPR BARRANQUILLA'!BG19,"AAAAADrzuMA=")</f>
        <v>#VALUE!</v>
      </c>
      <c r="GL19" t="e">
        <f>AND('SPR BARRANQUILLA'!BH19,"AAAAADrzuME=")</f>
        <v>#VALUE!</v>
      </c>
      <c r="GM19" t="e">
        <f>AND('SPR BARRANQUILLA'!BI19,"AAAAADrzuMI=")</f>
        <v>#VALUE!</v>
      </c>
      <c r="GN19" t="e">
        <f>AND('SPR BARRANQUILLA'!BJ19,"AAAAADrzuMM=")</f>
        <v>#VALUE!</v>
      </c>
      <c r="GO19" t="e">
        <f>AND('SPR BARRANQUILLA'!BK19,"AAAAADrzuMQ=")</f>
        <v>#VALUE!</v>
      </c>
      <c r="GP19" t="e">
        <f>AND('SPR BARRANQUILLA'!BL19,"AAAAADrzuMU=")</f>
        <v>#VALUE!</v>
      </c>
      <c r="GQ19" t="e">
        <f>AND('SPR BARRANQUILLA'!BM19,"AAAAADrzuMY=")</f>
        <v>#VALUE!</v>
      </c>
      <c r="GR19" t="e">
        <f>AND('SPR BARRANQUILLA'!BN19,"AAAAADrzuMc=")</f>
        <v>#VALUE!</v>
      </c>
      <c r="GS19" t="e">
        <f>AND('SPR BARRANQUILLA'!BO19,"AAAAADrzuMg=")</f>
        <v>#VALUE!</v>
      </c>
      <c r="GT19" t="e">
        <f>AND('SPR BARRANQUILLA'!BP19,"AAAAADrzuMk=")</f>
        <v>#VALUE!</v>
      </c>
      <c r="GU19" t="e">
        <f>AND('SPR BARRANQUILLA'!BQ19,"AAAAADrzuMo=")</f>
        <v>#VALUE!</v>
      </c>
      <c r="GV19" t="e">
        <f>AND('SPR BARRANQUILLA'!BR19,"AAAAADrzuMs=")</f>
        <v>#VALUE!</v>
      </c>
      <c r="GW19" t="e">
        <f>AND('SPR BARRANQUILLA'!BS19,"AAAAADrzuMw=")</f>
        <v>#VALUE!</v>
      </c>
      <c r="GX19" t="e">
        <f>AND('SPR BARRANQUILLA'!BT19,"AAAAADrzuM0=")</f>
        <v>#VALUE!</v>
      </c>
      <c r="GY19" t="e">
        <f>AND('SPR BARRANQUILLA'!BU19,"AAAAADrzuM4=")</f>
        <v>#VALUE!</v>
      </c>
      <c r="GZ19" t="e">
        <f>AND('SPR BARRANQUILLA'!BV19,"AAAAADrzuM8=")</f>
        <v>#VALUE!</v>
      </c>
      <c r="HA19" t="e">
        <f>AND('SPR BARRANQUILLA'!BW19,"AAAAADrzuNA=")</f>
        <v>#VALUE!</v>
      </c>
      <c r="HB19" t="e">
        <f>AND('SPR BARRANQUILLA'!BX19,"AAAAADrzuNE=")</f>
        <v>#VALUE!</v>
      </c>
      <c r="HC19" t="e">
        <f>AND('SPR BARRANQUILLA'!BY19,"AAAAADrzuNI=")</f>
        <v>#VALUE!</v>
      </c>
      <c r="HD19" t="e">
        <f>AND('SPR BARRANQUILLA'!BZ19,"AAAAADrzuNM=")</f>
        <v>#VALUE!</v>
      </c>
      <c r="HE19" t="e">
        <f>AND('SPR BARRANQUILLA'!CA19,"AAAAADrzuNQ=")</f>
        <v>#VALUE!</v>
      </c>
      <c r="HF19" t="e">
        <f>AND('SPR BARRANQUILLA'!CB19,"AAAAADrzuNU=")</f>
        <v>#VALUE!</v>
      </c>
      <c r="HG19" t="e">
        <f>AND('SPR BARRANQUILLA'!CC19,"AAAAADrzuNY=")</f>
        <v>#VALUE!</v>
      </c>
      <c r="HH19" t="e">
        <f>AND('SPR BARRANQUILLA'!CD19,"AAAAADrzuNc=")</f>
        <v>#VALUE!</v>
      </c>
      <c r="HI19" t="e">
        <f>AND('SPR BARRANQUILLA'!CE19,"AAAAADrzuNg=")</f>
        <v>#VALUE!</v>
      </c>
      <c r="HJ19" t="e">
        <f>AND('SPR BARRANQUILLA'!CF19,"AAAAADrzuNk=")</f>
        <v>#VALUE!</v>
      </c>
      <c r="HK19" t="e">
        <f>AND('SPR BARRANQUILLA'!CG19,"AAAAADrzuNo=")</f>
        <v>#VALUE!</v>
      </c>
      <c r="HL19" t="e">
        <f>AND('SPR BARRANQUILLA'!CH19,"AAAAADrzuNs=")</f>
        <v>#VALUE!</v>
      </c>
      <c r="HM19" t="e">
        <f>AND('SPR BARRANQUILLA'!CI19,"AAAAADrzuNw=")</f>
        <v>#VALUE!</v>
      </c>
      <c r="HN19" t="e">
        <f>AND('SPR BARRANQUILLA'!CJ19,"AAAAADrzuN0=")</f>
        <v>#VALUE!</v>
      </c>
      <c r="HO19" t="e">
        <f>AND('SPR BARRANQUILLA'!CK19,"AAAAADrzuN4=")</f>
        <v>#VALUE!</v>
      </c>
      <c r="HP19" t="e">
        <f>AND('SPR BARRANQUILLA'!CL19,"AAAAADrzuN8=")</f>
        <v>#VALUE!</v>
      </c>
      <c r="HQ19" t="e">
        <f>AND('SPR BARRANQUILLA'!CM19,"AAAAADrzuOA=")</f>
        <v>#VALUE!</v>
      </c>
      <c r="HR19" t="e">
        <f>AND('SPR BARRANQUILLA'!CN19,"AAAAADrzuOE=")</f>
        <v>#VALUE!</v>
      </c>
      <c r="HS19" t="e">
        <f>AND('SPR BARRANQUILLA'!CO19,"AAAAADrzuOI=")</f>
        <v>#VALUE!</v>
      </c>
      <c r="HT19" t="e">
        <f>AND('SPR BARRANQUILLA'!CP19,"AAAAADrzuOM=")</f>
        <v>#VALUE!</v>
      </c>
      <c r="HU19" t="e">
        <f>AND('SPR BARRANQUILLA'!CQ19,"AAAAADrzuOQ=")</f>
        <v>#VALUE!</v>
      </c>
      <c r="HV19" t="e">
        <f>AND('SPR BARRANQUILLA'!CR19,"AAAAADrzuOU=")</f>
        <v>#VALUE!</v>
      </c>
      <c r="HW19" t="e">
        <f>AND('SPR BARRANQUILLA'!CS19,"AAAAADrzuOY=")</f>
        <v>#VALUE!</v>
      </c>
      <c r="HX19" t="e">
        <f>AND('SPR BARRANQUILLA'!CT19,"AAAAADrzuOc=")</f>
        <v>#VALUE!</v>
      </c>
      <c r="HY19" t="e">
        <f>AND('SPR BARRANQUILLA'!CU19,"AAAAADrzuOg=")</f>
        <v>#VALUE!</v>
      </c>
      <c r="HZ19" t="e">
        <f>AND('SPR BARRANQUILLA'!CV19,"AAAAADrzuOk=")</f>
        <v>#VALUE!</v>
      </c>
      <c r="IA19" t="e">
        <f>AND('SPR BARRANQUILLA'!CW19,"AAAAADrzuOo=")</f>
        <v>#VALUE!</v>
      </c>
      <c r="IB19" t="e">
        <f>AND('SPR BARRANQUILLA'!CX19,"AAAAADrzuOs=")</f>
        <v>#VALUE!</v>
      </c>
      <c r="IC19" t="e">
        <f>AND('SPR BARRANQUILLA'!CY19,"AAAAADrzuOw=")</f>
        <v>#VALUE!</v>
      </c>
      <c r="ID19" t="e">
        <f>AND('SPR BARRANQUILLA'!CZ19,"AAAAADrzuO0=")</f>
        <v>#VALUE!</v>
      </c>
      <c r="IE19" t="e">
        <f>AND('SPR BARRANQUILLA'!DA19,"AAAAADrzuO4=")</f>
        <v>#VALUE!</v>
      </c>
      <c r="IF19" t="e">
        <f>AND('SPR BARRANQUILLA'!DB19,"AAAAADrzuO8=")</f>
        <v>#VALUE!</v>
      </c>
      <c r="IG19" t="e">
        <f>AND('SPR BARRANQUILLA'!DC19,"AAAAADrzuPA=")</f>
        <v>#VALUE!</v>
      </c>
      <c r="IH19" t="e">
        <f>AND('SPR BARRANQUILLA'!DD19,"AAAAADrzuPE=")</f>
        <v>#VALUE!</v>
      </c>
      <c r="II19" t="e">
        <f>AND('SPR BARRANQUILLA'!DE19,"AAAAADrzuPI=")</f>
        <v>#VALUE!</v>
      </c>
      <c r="IJ19" t="e">
        <f>AND('SPR BARRANQUILLA'!DF19,"AAAAADrzuPM=")</f>
        <v>#VALUE!</v>
      </c>
      <c r="IK19" t="e">
        <f>AND('SPR BARRANQUILLA'!DG19,"AAAAADrzuPQ=")</f>
        <v>#VALUE!</v>
      </c>
      <c r="IL19" t="e">
        <f>AND('SPR BARRANQUILLA'!DH19,"AAAAADrzuPU=")</f>
        <v>#VALUE!</v>
      </c>
      <c r="IM19" t="e">
        <f>AND('SPR BARRANQUILLA'!DI19,"AAAAADrzuPY=")</f>
        <v>#VALUE!</v>
      </c>
      <c r="IN19" t="e">
        <f>AND('SPR BARRANQUILLA'!DJ19,"AAAAADrzuPc=")</f>
        <v>#VALUE!</v>
      </c>
      <c r="IO19" t="e">
        <f>AND('SPR BARRANQUILLA'!DK19,"AAAAADrzuPg=")</f>
        <v>#VALUE!</v>
      </c>
      <c r="IP19" t="e">
        <f>AND('SPR BARRANQUILLA'!DL19,"AAAAADrzuPk=")</f>
        <v>#VALUE!</v>
      </c>
      <c r="IQ19" t="e">
        <f>AND('SPR BARRANQUILLA'!DM19,"AAAAADrzuPo=")</f>
        <v>#VALUE!</v>
      </c>
      <c r="IR19" t="e">
        <f>AND('SPR BARRANQUILLA'!DN19,"AAAAADrzuPs=")</f>
        <v>#VALUE!</v>
      </c>
      <c r="IS19" t="e">
        <f>AND('SPR BARRANQUILLA'!DO19,"AAAAADrzuPw=")</f>
        <v>#VALUE!</v>
      </c>
      <c r="IT19" t="e">
        <f>AND('SPR BARRANQUILLA'!DP19,"AAAAADrzuP0=")</f>
        <v>#VALUE!</v>
      </c>
      <c r="IU19" t="e">
        <f>AND('SPR BARRANQUILLA'!DQ19,"AAAAADrzuP4=")</f>
        <v>#VALUE!</v>
      </c>
      <c r="IV19" t="e">
        <f>AND('SPR BARRANQUILLA'!DR19,"AAAAADrzuP8=")</f>
        <v>#VALUE!</v>
      </c>
    </row>
    <row r="20" spans="1:256">
      <c r="A20" t="e">
        <f>AND('SPR BARRANQUILLA'!DS19,"AAAAAGrMbgA=")</f>
        <v>#VALUE!</v>
      </c>
      <c r="B20" t="e">
        <f>AND('SPR BARRANQUILLA'!DT19,"AAAAAGrMbgE=")</f>
        <v>#VALUE!</v>
      </c>
      <c r="C20" t="e">
        <f>AND('SPR BARRANQUILLA'!DU19,"AAAAAGrMbgI=")</f>
        <v>#VALUE!</v>
      </c>
      <c r="D20" t="e">
        <f>AND('SPR BARRANQUILLA'!DV19,"AAAAAGrMbgM=")</f>
        <v>#VALUE!</v>
      </c>
      <c r="E20" t="e">
        <f>AND('SPR BARRANQUILLA'!DW19,"AAAAAGrMbgQ=")</f>
        <v>#VALUE!</v>
      </c>
      <c r="F20" t="e">
        <f>AND('SPR BARRANQUILLA'!DX19,"AAAAAGrMbgU=")</f>
        <v>#VALUE!</v>
      </c>
      <c r="G20" t="e">
        <f>AND('SPR BARRANQUILLA'!DY19,"AAAAAGrMbgY=")</f>
        <v>#VALUE!</v>
      </c>
      <c r="H20" t="e">
        <f>AND('SPR BARRANQUILLA'!DZ19,"AAAAAGrMbgc=")</f>
        <v>#VALUE!</v>
      </c>
      <c r="I20" t="e">
        <f>AND('SPR BARRANQUILLA'!EA19,"AAAAAGrMbgg=")</f>
        <v>#VALUE!</v>
      </c>
      <c r="J20" t="e">
        <f>AND('SPR BARRANQUILLA'!EB19,"AAAAAGrMbgk=")</f>
        <v>#VALUE!</v>
      </c>
      <c r="K20" t="e">
        <f>AND('SPR BARRANQUILLA'!EC19,"AAAAAGrMbgo=")</f>
        <v>#VALUE!</v>
      </c>
      <c r="L20" t="e">
        <f>AND('SPR BARRANQUILLA'!ED19,"AAAAAGrMbgs=")</f>
        <v>#VALUE!</v>
      </c>
      <c r="M20" t="e">
        <f>AND('SPR BARRANQUILLA'!EE19,"AAAAAGrMbgw=")</f>
        <v>#VALUE!</v>
      </c>
      <c r="N20" t="e">
        <f>AND('SPR BARRANQUILLA'!EF19,"AAAAAGrMbg0=")</f>
        <v>#VALUE!</v>
      </c>
      <c r="O20" t="e">
        <f>AND('SPR BARRANQUILLA'!EG19,"AAAAAGrMbg4=")</f>
        <v>#VALUE!</v>
      </c>
      <c r="P20" t="e">
        <f>AND('SPR BARRANQUILLA'!EH19,"AAAAAGrMbg8=")</f>
        <v>#VALUE!</v>
      </c>
      <c r="Q20" t="e">
        <f>AND('SPR BARRANQUILLA'!EI19,"AAAAAGrMbhA=")</f>
        <v>#VALUE!</v>
      </c>
      <c r="R20" t="e">
        <f>AND('SPR BARRANQUILLA'!EJ19,"AAAAAGrMbhE=")</f>
        <v>#VALUE!</v>
      </c>
      <c r="S20" t="e">
        <f>AND('SPR BARRANQUILLA'!EK19,"AAAAAGrMbhI=")</f>
        <v>#VALUE!</v>
      </c>
      <c r="T20" t="e">
        <f>AND('SPR BARRANQUILLA'!EL19,"AAAAAGrMbhM=")</f>
        <v>#VALUE!</v>
      </c>
      <c r="U20" t="e">
        <f>AND('SPR BARRANQUILLA'!EM19,"AAAAAGrMbhQ=")</f>
        <v>#VALUE!</v>
      </c>
      <c r="V20" t="e">
        <f>AND('SPR BARRANQUILLA'!EN19,"AAAAAGrMbhU=")</f>
        <v>#VALUE!</v>
      </c>
      <c r="W20" t="e">
        <f>AND('SPR BARRANQUILLA'!EO19,"AAAAAGrMbhY=")</f>
        <v>#VALUE!</v>
      </c>
      <c r="X20" t="e">
        <f>AND('SPR BARRANQUILLA'!EP19,"AAAAAGrMbhc=")</f>
        <v>#VALUE!</v>
      </c>
      <c r="Y20" t="e">
        <f>AND('SPR BARRANQUILLA'!EQ19,"AAAAAGrMbhg=")</f>
        <v>#VALUE!</v>
      </c>
      <c r="Z20" t="e">
        <f>AND('SPR BARRANQUILLA'!ER19,"AAAAAGrMbhk=")</f>
        <v>#VALUE!</v>
      </c>
      <c r="AA20" t="e">
        <f>AND('SPR BARRANQUILLA'!ES19,"AAAAAGrMbho=")</f>
        <v>#VALUE!</v>
      </c>
      <c r="AB20" t="e">
        <f>AND('SPR BARRANQUILLA'!ET19,"AAAAAGrMbhs=")</f>
        <v>#VALUE!</v>
      </c>
      <c r="AC20" t="e">
        <f>AND('SPR BARRANQUILLA'!EU19,"AAAAAGrMbhw=")</f>
        <v>#VALUE!</v>
      </c>
      <c r="AD20" t="e">
        <f>AND('SPR BARRANQUILLA'!EV19,"AAAAAGrMbh0=")</f>
        <v>#VALUE!</v>
      </c>
      <c r="AE20" t="e">
        <f>AND('SPR BARRANQUILLA'!EW19,"AAAAAGrMbh4=")</f>
        <v>#VALUE!</v>
      </c>
      <c r="AF20" t="e">
        <f>AND('SPR BARRANQUILLA'!EX19,"AAAAAGrMbh8=")</f>
        <v>#VALUE!</v>
      </c>
      <c r="AG20" t="e">
        <f>AND('SPR BARRANQUILLA'!EY19,"AAAAAGrMbiA=")</f>
        <v>#VALUE!</v>
      </c>
      <c r="AH20" t="e">
        <f>AND('SPR BARRANQUILLA'!EZ19,"AAAAAGrMbiE=")</f>
        <v>#VALUE!</v>
      </c>
      <c r="AI20" t="e">
        <f>AND('SPR BARRANQUILLA'!FA19,"AAAAAGrMbiI=")</f>
        <v>#VALUE!</v>
      </c>
      <c r="AJ20" t="e">
        <f>AND('SPR BARRANQUILLA'!FB19,"AAAAAGrMbiM=")</f>
        <v>#VALUE!</v>
      </c>
      <c r="AK20" t="e">
        <f>AND('SPR BARRANQUILLA'!FC19,"AAAAAGrMbiQ=")</f>
        <v>#VALUE!</v>
      </c>
      <c r="AL20" t="e">
        <f>AND('SPR BARRANQUILLA'!FD19,"AAAAAGrMbiU=")</f>
        <v>#VALUE!</v>
      </c>
      <c r="AM20" t="e">
        <f>AND('SPR BARRANQUILLA'!FE19,"AAAAAGrMbiY=")</f>
        <v>#VALUE!</v>
      </c>
      <c r="AN20" t="e">
        <f>AND('SPR BARRANQUILLA'!FF19,"AAAAAGrMbic=")</f>
        <v>#VALUE!</v>
      </c>
      <c r="AO20" t="e">
        <f>AND('SPR BARRANQUILLA'!FG19,"AAAAAGrMbig=")</f>
        <v>#VALUE!</v>
      </c>
      <c r="AP20" t="e">
        <f>AND('SPR BARRANQUILLA'!FH19,"AAAAAGrMbik=")</f>
        <v>#VALUE!</v>
      </c>
      <c r="AQ20" t="e">
        <f>AND('SPR BARRANQUILLA'!FI19,"AAAAAGrMbio=")</f>
        <v>#VALUE!</v>
      </c>
      <c r="AR20" t="e">
        <f>AND('SPR BARRANQUILLA'!FJ19,"AAAAAGrMbis=")</f>
        <v>#VALUE!</v>
      </c>
      <c r="AS20" t="e">
        <f>AND('SPR BARRANQUILLA'!FK19,"AAAAAGrMbiw=")</f>
        <v>#VALUE!</v>
      </c>
      <c r="AT20" t="e">
        <f>AND('SPR BARRANQUILLA'!FL19,"AAAAAGrMbi0=")</f>
        <v>#VALUE!</v>
      </c>
      <c r="AU20" t="e">
        <f>AND('SPR BARRANQUILLA'!FM19,"AAAAAGrMbi4=")</f>
        <v>#VALUE!</v>
      </c>
      <c r="AV20" t="e">
        <f>AND('SPR BARRANQUILLA'!FN19,"AAAAAGrMbi8=")</f>
        <v>#VALUE!</v>
      </c>
      <c r="AW20" t="e">
        <f>AND('SPR BARRANQUILLA'!FO19,"AAAAAGrMbjA=")</f>
        <v>#VALUE!</v>
      </c>
      <c r="AX20" t="e">
        <f>AND('SPR BARRANQUILLA'!FP19,"AAAAAGrMbjE=")</f>
        <v>#VALUE!</v>
      </c>
      <c r="AY20" t="e">
        <f>AND('SPR BARRANQUILLA'!FQ19,"AAAAAGrMbjI=")</f>
        <v>#VALUE!</v>
      </c>
      <c r="AZ20" t="e">
        <f>AND('SPR BARRANQUILLA'!FR19,"AAAAAGrMbjM=")</f>
        <v>#VALUE!</v>
      </c>
      <c r="BA20" t="e">
        <f>AND('SPR BARRANQUILLA'!FS19,"AAAAAGrMbjQ=")</f>
        <v>#VALUE!</v>
      </c>
      <c r="BB20" t="e">
        <f>AND('SPR BARRANQUILLA'!FT19,"AAAAAGrMbjU=")</f>
        <v>#VALUE!</v>
      </c>
      <c r="BC20" t="e">
        <f>AND('SPR BARRANQUILLA'!FU19,"AAAAAGrMbjY=")</f>
        <v>#VALUE!</v>
      </c>
      <c r="BD20" t="e">
        <f>AND('SPR BARRANQUILLA'!FV19,"AAAAAGrMbjc=")</f>
        <v>#VALUE!</v>
      </c>
      <c r="BE20" t="e">
        <f>AND('SPR BARRANQUILLA'!FW19,"AAAAAGrMbjg=")</f>
        <v>#VALUE!</v>
      </c>
      <c r="BF20" t="e">
        <f>AND('SPR BARRANQUILLA'!FX19,"AAAAAGrMbjk=")</f>
        <v>#VALUE!</v>
      </c>
      <c r="BG20" t="e">
        <f>AND('SPR BARRANQUILLA'!FY19,"AAAAAGrMbjo=")</f>
        <v>#VALUE!</v>
      </c>
      <c r="BH20" t="e">
        <f>AND('SPR BARRANQUILLA'!FZ19,"AAAAAGrMbjs=")</f>
        <v>#VALUE!</v>
      </c>
      <c r="BI20" t="e">
        <f>AND('SPR BARRANQUILLA'!GA19,"AAAAAGrMbjw=")</f>
        <v>#VALUE!</v>
      </c>
      <c r="BJ20" t="e">
        <f>AND('SPR BARRANQUILLA'!GB19,"AAAAAGrMbj0=")</f>
        <v>#VALUE!</v>
      </c>
      <c r="BK20" t="e">
        <f>AND('SPR BARRANQUILLA'!GC19,"AAAAAGrMbj4=")</f>
        <v>#VALUE!</v>
      </c>
      <c r="BL20" t="e">
        <f>AND('SPR BARRANQUILLA'!GD19,"AAAAAGrMbj8=")</f>
        <v>#VALUE!</v>
      </c>
      <c r="BM20" t="e">
        <f>AND('SPR BARRANQUILLA'!GE19,"AAAAAGrMbkA=")</f>
        <v>#VALUE!</v>
      </c>
      <c r="BN20" t="e">
        <f>AND('SPR BARRANQUILLA'!GF19,"AAAAAGrMbkE=")</f>
        <v>#VALUE!</v>
      </c>
      <c r="BO20" t="e">
        <f>AND('SPR BARRANQUILLA'!GG19,"AAAAAGrMbkI=")</f>
        <v>#VALUE!</v>
      </c>
      <c r="BP20" t="e">
        <f>AND('SPR BARRANQUILLA'!GH19,"AAAAAGrMbkM=")</f>
        <v>#VALUE!</v>
      </c>
      <c r="BQ20" t="e">
        <f>AND('SPR BARRANQUILLA'!GI19,"AAAAAGrMbkQ=")</f>
        <v>#VALUE!</v>
      </c>
      <c r="BR20" t="e">
        <f>AND('SPR BARRANQUILLA'!GJ19,"AAAAAGrMbkU=")</f>
        <v>#VALUE!</v>
      </c>
      <c r="BS20" t="e">
        <f>AND('SPR BARRANQUILLA'!GK19,"AAAAAGrMbkY=")</f>
        <v>#VALUE!</v>
      </c>
      <c r="BT20" t="e">
        <f>AND('SPR BARRANQUILLA'!GL19,"AAAAAGrMbkc=")</f>
        <v>#VALUE!</v>
      </c>
      <c r="BU20" t="e">
        <f>AND('SPR BARRANQUILLA'!GM19,"AAAAAGrMbkg=")</f>
        <v>#VALUE!</v>
      </c>
      <c r="BV20" t="e">
        <f>AND('SPR BARRANQUILLA'!GN19,"AAAAAGrMbkk=")</f>
        <v>#VALUE!</v>
      </c>
      <c r="BW20" t="e">
        <f>AND('SPR BARRANQUILLA'!GO19,"AAAAAGrMbko=")</f>
        <v>#VALUE!</v>
      </c>
      <c r="BX20" t="e">
        <f>AND('SPR BARRANQUILLA'!GP19,"AAAAAGrMbks=")</f>
        <v>#VALUE!</v>
      </c>
      <c r="BY20" t="e">
        <f>AND('SPR BARRANQUILLA'!GQ19,"AAAAAGrMbkw=")</f>
        <v>#VALUE!</v>
      </c>
      <c r="BZ20" t="e">
        <f>AND('SPR BARRANQUILLA'!GR19,"AAAAAGrMbk0=")</f>
        <v>#VALUE!</v>
      </c>
      <c r="CA20" t="e">
        <f>AND('SPR BARRANQUILLA'!GS19,"AAAAAGrMbk4=")</f>
        <v>#VALUE!</v>
      </c>
      <c r="CB20" t="e">
        <f>AND('SPR BARRANQUILLA'!GT19,"AAAAAGrMbk8=")</f>
        <v>#VALUE!</v>
      </c>
      <c r="CC20" t="e">
        <f>AND('SPR BARRANQUILLA'!GU19,"AAAAAGrMblA=")</f>
        <v>#VALUE!</v>
      </c>
      <c r="CD20" t="e">
        <f>AND('SPR BARRANQUILLA'!GV19,"AAAAAGrMblE=")</f>
        <v>#VALUE!</v>
      </c>
      <c r="CE20" t="e">
        <f>AND('SPR BARRANQUILLA'!GW19,"AAAAAGrMblI=")</f>
        <v>#VALUE!</v>
      </c>
      <c r="CF20" t="e">
        <f>AND('SPR BARRANQUILLA'!GX19,"AAAAAGrMblM=")</f>
        <v>#VALUE!</v>
      </c>
      <c r="CG20" t="e">
        <f>AND('SPR BARRANQUILLA'!GY19,"AAAAAGrMblQ=")</f>
        <v>#VALUE!</v>
      </c>
      <c r="CH20">
        <f>IF('SPR BARRANQUILLA'!20:20,"AAAAAGrMblU=",0)</f>
        <v>0</v>
      </c>
      <c r="CI20" t="e">
        <f>AND('SPR BARRANQUILLA'!A20,"AAAAAGrMblY=")</f>
        <v>#VALUE!</v>
      </c>
      <c r="CJ20" t="e">
        <f>AND('SPR BARRANQUILLA'!B20,"AAAAAGrMblc=")</f>
        <v>#VALUE!</v>
      </c>
      <c r="CK20" t="e">
        <f>AND('SPR BARRANQUILLA'!C20,"AAAAAGrMblg=")</f>
        <v>#VALUE!</v>
      </c>
      <c r="CL20" t="e">
        <f>AND('SPR BARRANQUILLA'!D20,"AAAAAGrMblk=")</f>
        <v>#VALUE!</v>
      </c>
      <c r="CM20" t="e">
        <f>AND('SPR BARRANQUILLA'!E20,"AAAAAGrMblo=")</f>
        <v>#VALUE!</v>
      </c>
      <c r="CN20" t="e">
        <f>AND('SPR BARRANQUILLA'!F20,"AAAAAGrMbls=")</f>
        <v>#VALUE!</v>
      </c>
      <c r="CO20" t="e">
        <f>AND('SPR BARRANQUILLA'!G20,"AAAAAGrMblw=")</f>
        <v>#VALUE!</v>
      </c>
      <c r="CP20" t="e">
        <f>AND('SPR BARRANQUILLA'!H20,"AAAAAGrMbl0=")</f>
        <v>#VALUE!</v>
      </c>
      <c r="CQ20" t="e">
        <f>AND('SPR BARRANQUILLA'!I20,"AAAAAGrMbl4=")</f>
        <v>#VALUE!</v>
      </c>
      <c r="CR20" t="e">
        <f>AND('SPR BARRANQUILLA'!J20,"AAAAAGrMbl8=")</f>
        <v>#VALUE!</v>
      </c>
      <c r="CS20" t="e">
        <f>AND('SPR BARRANQUILLA'!K20,"AAAAAGrMbmA=")</f>
        <v>#VALUE!</v>
      </c>
      <c r="CT20" t="e">
        <f>AND('SPR BARRANQUILLA'!L20,"AAAAAGrMbmE=")</f>
        <v>#VALUE!</v>
      </c>
      <c r="CU20" t="e">
        <f>AND('SPR BARRANQUILLA'!M20,"AAAAAGrMbmI=")</f>
        <v>#VALUE!</v>
      </c>
      <c r="CV20" t="e">
        <f>AND('SPR BARRANQUILLA'!N20,"AAAAAGrMbmM=")</f>
        <v>#VALUE!</v>
      </c>
      <c r="CW20" t="e">
        <f>AND('SPR BARRANQUILLA'!O20,"AAAAAGrMbmQ=")</f>
        <v>#VALUE!</v>
      </c>
      <c r="CX20" t="e">
        <f>AND('SPR BARRANQUILLA'!P20,"AAAAAGrMbmU=")</f>
        <v>#VALUE!</v>
      </c>
      <c r="CY20" t="e">
        <f>AND('SPR BARRANQUILLA'!Q20,"AAAAAGrMbmY=")</f>
        <v>#VALUE!</v>
      </c>
      <c r="CZ20" t="e">
        <f>AND('SPR BARRANQUILLA'!R20,"AAAAAGrMbmc=")</f>
        <v>#VALUE!</v>
      </c>
      <c r="DA20" t="e">
        <f>AND('SPR BARRANQUILLA'!S20,"AAAAAGrMbmg=")</f>
        <v>#VALUE!</v>
      </c>
      <c r="DB20" t="e">
        <f>AND('SPR BARRANQUILLA'!T20,"AAAAAGrMbmk=")</f>
        <v>#VALUE!</v>
      </c>
      <c r="DC20" t="e">
        <f>AND('SPR BARRANQUILLA'!U20,"AAAAAGrMbmo=")</f>
        <v>#VALUE!</v>
      </c>
      <c r="DD20" t="e">
        <f>AND('SPR BARRANQUILLA'!V20,"AAAAAGrMbms=")</f>
        <v>#VALUE!</v>
      </c>
      <c r="DE20" t="e">
        <f>AND('SPR BARRANQUILLA'!W20,"AAAAAGrMbmw=")</f>
        <v>#VALUE!</v>
      </c>
      <c r="DF20" t="e">
        <f>AND('SPR BARRANQUILLA'!X20,"AAAAAGrMbm0=")</f>
        <v>#VALUE!</v>
      </c>
      <c r="DG20" t="e">
        <f>AND('SPR BARRANQUILLA'!Y20,"AAAAAGrMbm4=")</f>
        <v>#VALUE!</v>
      </c>
      <c r="DH20" t="e">
        <f>AND('SPR BARRANQUILLA'!Z20,"AAAAAGrMbm8=")</f>
        <v>#VALUE!</v>
      </c>
      <c r="DI20" t="e">
        <f>AND('SPR BARRANQUILLA'!AA20,"AAAAAGrMbnA=")</f>
        <v>#VALUE!</v>
      </c>
      <c r="DJ20" t="e">
        <f>AND('SPR BARRANQUILLA'!AB20,"AAAAAGrMbnE=")</f>
        <v>#VALUE!</v>
      </c>
      <c r="DK20" t="e">
        <f>AND('SPR BARRANQUILLA'!AC20,"AAAAAGrMbnI=")</f>
        <v>#VALUE!</v>
      </c>
      <c r="DL20" t="e">
        <f>AND('SPR BARRANQUILLA'!AD20,"AAAAAGrMbnM=")</f>
        <v>#VALUE!</v>
      </c>
      <c r="DM20" t="e">
        <f>AND('SPR BARRANQUILLA'!AE20,"AAAAAGrMbnQ=")</f>
        <v>#VALUE!</v>
      </c>
      <c r="DN20" t="e">
        <f>AND('SPR BARRANQUILLA'!AF20,"AAAAAGrMbnU=")</f>
        <v>#VALUE!</v>
      </c>
      <c r="DO20" t="e">
        <f>AND('SPR BARRANQUILLA'!AG20,"AAAAAGrMbnY=")</f>
        <v>#VALUE!</v>
      </c>
      <c r="DP20" t="e">
        <f>AND('SPR BARRANQUILLA'!AH20,"AAAAAGrMbnc=")</f>
        <v>#VALUE!</v>
      </c>
      <c r="DQ20" t="e">
        <f>AND('SPR BARRANQUILLA'!AI20,"AAAAAGrMbng=")</f>
        <v>#VALUE!</v>
      </c>
      <c r="DR20" t="e">
        <f>AND('SPR BARRANQUILLA'!AJ20,"AAAAAGrMbnk=")</f>
        <v>#VALUE!</v>
      </c>
      <c r="DS20" t="e">
        <f>AND('SPR BARRANQUILLA'!AK20,"AAAAAGrMbno=")</f>
        <v>#VALUE!</v>
      </c>
      <c r="DT20" t="e">
        <f>AND('SPR BARRANQUILLA'!AL20,"AAAAAGrMbns=")</f>
        <v>#VALUE!</v>
      </c>
      <c r="DU20" t="e">
        <f>AND('SPR BARRANQUILLA'!AM20,"AAAAAGrMbnw=")</f>
        <v>#VALUE!</v>
      </c>
      <c r="DV20" t="e">
        <f>AND('SPR BARRANQUILLA'!AN20,"AAAAAGrMbn0=")</f>
        <v>#VALUE!</v>
      </c>
      <c r="DW20" t="e">
        <f>AND('SPR BARRANQUILLA'!AO20,"AAAAAGrMbn4=")</f>
        <v>#VALUE!</v>
      </c>
      <c r="DX20" t="e">
        <f>AND('SPR BARRANQUILLA'!AP20,"AAAAAGrMbn8=")</f>
        <v>#VALUE!</v>
      </c>
      <c r="DY20" t="e">
        <f>AND('SPR BARRANQUILLA'!AQ20,"AAAAAGrMboA=")</f>
        <v>#VALUE!</v>
      </c>
      <c r="DZ20" t="e">
        <f>AND('SPR BARRANQUILLA'!AR20,"AAAAAGrMboE=")</f>
        <v>#VALUE!</v>
      </c>
      <c r="EA20" t="e">
        <f>AND('SPR BARRANQUILLA'!AS20,"AAAAAGrMboI=")</f>
        <v>#VALUE!</v>
      </c>
      <c r="EB20" t="e">
        <f>AND('SPR BARRANQUILLA'!AT20,"AAAAAGrMboM=")</f>
        <v>#VALUE!</v>
      </c>
      <c r="EC20" t="e">
        <f>AND('SPR BARRANQUILLA'!AU20,"AAAAAGrMboQ=")</f>
        <v>#VALUE!</v>
      </c>
      <c r="ED20" t="e">
        <f>AND('SPR BARRANQUILLA'!AV20,"AAAAAGrMboU=")</f>
        <v>#VALUE!</v>
      </c>
      <c r="EE20" t="e">
        <f>AND('SPR BARRANQUILLA'!AW20,"AAAAAGrMboY=")</f>
        <v>#VALUE!</v>
      </c>
      <c r="EF20" t="e">
        <f>AND('SPR BARRANQUILLA'!AX20,"AAAAAGrMboc=")</f>
        <v>#VALUE!</v>
      </c>
      <c r="EG20" t="e">
        <f>AND('SPR BARRANQUILLA'!AY20,"AAAAAGrMbog=")</f>
        <v>#VALUE!</v>
      </c>
      <c r="EH20" t="e">
        <f>AND('SPR BARRANQUILLA'!AZ20,"AAAAAGrMbok=")</f>
        <v>#VALUE!</v>
      </c>
      <c r="EI20" t="e">
        <f>AND('SPR BARRANQUILLA'!BA20,"AAAAAGrMboo=")</f>
        <v>#VALUE!</v>
      </c>
      <c r="EJ20" t="e">
        <f>AND('SPR BARRANQUILLA'!BB20,"AAAAAGrMbos=")</f>
        <v>#VALUE!</v>
      </c>
      <c r="EK20" t="e">
        <f>AND('SPR BARRANQUILLA'!BC20,"AAAAAGrMbow=")</f>
        <v>#VALUE!</v>
      </c>
      <c r="EL20" t="e">
        <f>AND('SPR BARRANQUILLA'!BD20,"AAAAAGrMbo0=")</f>
        <v>#VALUE!</v>
      </c>
      <c r="EM20" t="e">
        <f>AND('SPR BARRANQUILLA'!BE20,"AAAAAGrMbo4=")</f>
        <v>#VALUE!</v>
      </c>
      <c r="EN20" t="e">
        <f>AND('SPR BARRANQUILLA'!BF20,"AAAAAGrMbo8=")</f>
        <v>#VALUE!</v>
      </c>
      <c r="EO20" t="e">
        <f>AND('SPR BARRANQUILLA'!BG20,"AAAAAGrMbpA=")</f>
        <v>#VALUE!</v>
      </c>
      <c r="EP20" t="e">
        <f>AND('SPR BARRANQUILLA'!BH20,"AAAAAGrMbpE=")</f>
        <v>#VALUE!</v>
      </c>
      <c r="EQ20" t="e">
        <f>AND('SPR BARRANQUILLA'!BI20,"AAAAAGrMbpI=")</f>
        <v>#VALUE!</v>
      </c>
      <c r="ER20" t="e">
        <f>AND('SPR BARRANQUILLA'!BJ20,"AAAAAGrMbpM=")</f>
        <v>#VALUE!</v>
      </c>
      <c r="ES20" t="e">
        <f>AND('SPR BARRANQUILLA'!BK20,"AAAAAGrMbpQ=")</f>
        <v>#VALUE!</v>
      </c>
      <c r="ET20" t="e">
        <f>AND('SPR BARRANQUILLA'!BL20,"AAAAAGrMbpU=")</f>
        <v>#VALUE!</v>
      </c>
      <c r="EU20" t="e">
        <f>AND('SPR BARRANQUILLA'!BM20,"AAAAAGrMbpY=")</f>
        <v>#VALUE!</v>
      </c>
      <c r="EV20" t="e">
        <f>AND('SPR BARRANQUILLA'!BN20,"AAAAAGrMbpc=")</f>
        <v>#VALUE!</v>
      </c>
      <c r="EW20" t="e">
        <f>AND('SPR BARRANQUILLA'!BO20,"AAAAAGrMbpg=")</f>
        <v>#VALUE!</v>
      </c>
      <c r="EX20" t="e">
        <f>AND('SPR BARRANQUILLA'!BP20,"AAAAAGrMbpk=")</f>
        <v>#VALUE!</v>
      </c>
      <c r="EY20" t="e">
        <f>AND('SPR BARRANQUILLA'!BQ20,"AAAAAGrMbpo=")</f>
        <v>#VALUE!</v>
      </c>
      <c r="EZ20" t="e">
        <f>AND('SPR BARRANQUILLA'!BR20,"AAAAAGrMbps=")</f>
        <v>#VALUE!</v>
      </c>
      <c r="FA20" t="e">
        <f>AND('SPR BARRANQUILLA'!BS20,"AAAAAGrMbpw=")</f>
        <v>#VALUE!</v>
      </c>
      <c r="FB20" t="e">
        <f>AND('SPR BARRANQUILLA'!BT20,"AAAAAGrMbp0=")</f>
        <v>#VALUE!</v>
      </c>
      <c r="FC20" t="e">
        <f>AND('SPR BARRANQUILLA'!BU20,"AAAAAGrMbp4=")</f>
        <v>#VALUE!</v>
      </c>
      <c r="FD20" t="e">
        <f>AND('SPR BARRANQUILLA'!BV20,"AAAAAGrMbp8=")</f>
        <v>#VALUE!</v>
      </c>
      <c r="FE20" t="e">
        <f>AND('SPR BARRANQUILLA'!BW20,"AAAAAGrMbqA=")</f>
        <v>#VALUE!</v>
      </c>
      <c r="FF20" t="e">
        <f>AND('SPR BARRANQUILLA'!BX20,"AAAAAGrMbqE=")</f>
        <v>#VALUE!</v>
      </c>
      <c r="FG20" t="e">
        <f>AND('SPR BARRANQUILLA'!BY20,"AAAAAGrMbqI=")</f>
        <v>#VALUE!</v>
      </c>
      <c r="FH20" t="e">
        <f>AND('SPR BARRANQUILLA'!BZ20,"AAAAAGrMbqM=")</f>
        <v>#VALUE!</v>
      </c>
      <c r="FI20" t="e">
        <f>AND('SPR BARRANQUILLA'!CA20,"AAAAAGrMbqQ=")</f>
        <v>#VALUE!</v>
      </c>
      <c r="FJ20" t="e">
        <f>AND('SPR BARRANQUILLA'!CB20,"AAAAAGrMbqU=")</f>
        <v>#VALUE!</v>
      </c>
      <c r="FK20" t="e">
        <f>AND('SPR BARRANQUILLA'!CC20,"AAAAAGrMbqY=")</f>
        <v>#VALUE!</v>
      </c>
      <c r="FL20" t="e">
        <f>AND('SPR BARRANQUILLA'!CD20,"AAAAAGrMbqc=")</f>
        <v>#VALUE!</v>
      </c>
      <c r="FM20" t="e">
        <f>AND('SPR BARRANQUILLA'!CE20,"AAAAAGrMbqg=")</f>
        <v>#VALUE!</v>
      </c>
      <c r="FN20" t="e">
        <f>AND('SPR BARRANQUILLA'!CF20,"AAAAAGrMbqk=")</f>
        <v>#VALUE!</v>
      </c>
      <c r="FO20" t="e">
        <f>AND('SPR BARRANQUILLA'!CG20,"AAAAAGrMbqo=")</f>
        <v>#VALUE!</v>
      </c>
      <c r="FP20" t="e">
        <f>AND('SPR BARRANQUILLA'!CH20,"AAAAAGrMbqs=")</f>
        <v>#VALUE!</v>
      </c>
      <c r="FQ20" t="e">
        <f>AND('SPR BARRANQUILLA'!CI20,"AAAAAGrMbqw=")</f>
        <v>#VALUE!</v>
      </c>
      <c r="FR20" t="e">
        <f>AND('SPR BARRANQUILLA'!CJ20,"AAAAAGrMbq0=")</f>
        <v>#VALUE!</v>
      </c>
      <c r="FS20" t="e">
        <f>AND('SPR BARRANQUILLA'!CK20,"AAAAAGrMbq4=")</f>
        <v>#VALUE!</v>
      </c>
      <c r="FT20" t="e">
        <f>AND('SPR BARRANQUILLA'!CL20,"AAAAAGrMbq8=")</f>
        <v>#VALUE!</v>
      </c>
      <c r="FU20" t="e">
        <f>AND('SPR BARRANQUILLA'!CM20,"AAAAAGrMbrA=")</f>
        <v>#VALUE!</v>
      </c>
      <c r="FV20" t="e">
        <f>AND('SPR BARRANQUILLA'!CN20,"AAAAAGrMbrE=")</f>
        <v>#VALUE!</v>
      </c>
      <c r="FW20" t="e">
        <f>AND('SPR BARRANQUILLA'!CO20,"AAAAAGrMbrI=")</f>
        <v>#VALUE!</v>
      </c>
      <c r="FX20" t="e">
        <f>AND('SPR BARRANQUILLA'!CP20,"AAAAAGrMbrM=")</f>
        <v>#VALUE!</v>
      </c>
      <c r="FY20" t="e">
        <f>AND('SPR BARRANQUILLA'!CQ20,"AAAAAGrMbrQ=")</f>
        <v>#VALUE!</v>
      </c>
      <c r="FZ20" t="e">
        <f>AND('SPR BARRANQUILLA'!CR20,"AAAAAGrMbrU=")</f>
        <v>#VALUE!</v>
      </c>
      <c r="GA20" t="e">
        <f>AND('SPR BARRANQUILLA'!CS20,"AAAAAGrMbrY=")</f>
        <v>#VALUE!</v>
      </c>
      <c r="GB20" t="e">
        <f>AND('SPR BARRANQUILLA'!CT20,"AAAAAGrMbrc=")</f>
        <v>#VALUE!</v>
      </c>
      <c r="GC20" t="e">
        <f>AND('SPR BARRANQUILLA'!CU20,"AAAAAGrMbrg=")</f>
        <v>#VALUE!</v>
      </c>
      <c r="GD20" t="e">
        <f>AND('SPR BARRANQUILLA'!CV20,"AAAAAGrMbrk=")</f>
        <v>#VALUE!</v>
      </c>
      <c r="GE20" t="e">
        <f>AND('SPR BARRANQUILLA'!CW20,"AAAAAGrMbro=")</f>
        <v>#VALUE!</v>
      </c>
      <c r="GF20" t="e">
        <f>AND('SPR BARRANQUILLA'!CX20,"AAAAAGrMbrs=")</f>
        <v>#VALUE!</v>
      </c>
      <c r="GG20" t="e">
        <f>AND('SPR BARRANQUILLA'!CY20,"AAAAAGrMbrw=")</f>
        <v>#VALUE!</v>
      </c>
      <c r="GH20" t="e">
        <f>AND('SPR BARRANQUILLA'!CZ20,"AAAAAGrMbr0=")</f>
        <v>#VALUE!</v>
      </c>
      <c r="GI20" t="e">
        <f>AND('SPR BARRANQUILLA'!DA20,"AAAAAGrMbr4=")</f>
        <v>#VALUE!</v>
      </c>
      <c r="GJ20" t="e">
        <f>AND('SPR BARRANQUILLA'!DB20,"AAAAAGrMbr8=")</f>
        <v>#VALUE!</v>
      </c>
      <c r="GK20" t="e">
        <f>AND('SPR BARRANQUILLA'!DC20,"AAAAAGrMbsA=")</f>
        <v>#VALUE!</v>
      </c>
      <c r="GL20" t="e">
        <f>AND('SPR BARRANQUILLA'!DD20,"AAAAAGrMbsE=")</f>
        <v>#VALUE!</v>
      </c>
      <c r="GM20" t="e">
        <f>AND('SPR BARRANQUILLA'!DE20,"AAAAAGrMbsI=")</f>
        <v>#VALUE!</v>
      </c>
      <c r="GN20" t="e">
        <f>AND('SPR BARRANQUILLA'!DF20,"AAAAAGrMbsM=")</f>
        <v>#VALUE!</v>
      </c>
      <c r="GO20" t="e">
        <f>AND('SPR BARRANQUILLA'!DG20,"AAAAAGrMbsQ=")</f>
        <v>#VALUE!</v>
      </c>
      <c r="GP20" t="e">
        <f>AND('SPR BARRANQUILLA'!DH20,"AAAAAGrMbsU=")</f>
        <v>#VALUE!</v>
      </c>
      <c r="GQ20" t="e">
        <f>AND('SPR BARRANQUILLA'!DI20,"AAAAAGrMbsY=")</f>
        <v>#VALUE!</v>
      </c>
      <c r="GR20" t="e">
        <f>AND('SPR BARRANQUILLA'!DJ20,"AAAAAGrMbsc=")</f>
        <v>#VALUE!</v>
      </c>
      <c r="GS20" t="e">
        <f>AND('SPR BARRANQUILLA'!DK20,"AAAAAGrMbsg=")</f>
        <v>#VALUE!</v>
      </c>
      <c r="GT20" t="e">
        <f>AND('SPR BARRANQUILLA'!DL20,"AAAAAGrMbsk=")</f>
        <v>#VALUE!</v>
      </c>
      <c r="GU20" t="e">
        <f>AND('SPR BARRANQUILLA'!DM20,"AAAAAGrMbso=")</f>
        <v>#VALUE!</v>
      </c>
      <c r="GV20" t="e">
        <f>AND('SPR BARRANQUILLA'!DN20,"AAAAAGrMbss=")</f>
        <v>#VALUE!</v>
      </c>
      <c r="GW20" t="e">
        <f>AND('SPR BARRANQUILLA'!DO20,"AAAAAGrMbsw=")</f>
        <v>#VALUE!</v>
      </c>
      <c r="GX20" t="e">
        <f>AND('SPR BARRANQUILLA'!DP20,"AAAAAGrMbs0=")</f>
        <v>#VALUE!</v>
      </c>
      <c r="GY20" t="e">
        <f>AND('SPR BARRANQUILLA'!DQ20,"AAAAAGrMbs4=")</f>
        <v>#VALUE!</v>
      </c>
      <c r="GZ20" t="e">
        <f>AND('SPR BARRANQUILLA'!DR20,"AAAAAGrMbs8=")</f>
        <v>#VALUE!</v>
      </c>
      <c r="HA20" t="e">
        <f>AND('SPR BARRANQUILLA'!DS20,"AAAAAGrMbtA=")</f>
        <v>#VALUE!</v>
      </c>
      <c r="HB20" t="e">
        <f>AND('SPR BARRANQUILLA'!DT20,"AAAAAGrMbtE=")</f>
        <v>#VALUE!</v>
      </c>
      <c r="HC20" t="e">
        <f>AND('SPR BARRANQUILLA'!DU20,"AAAAAGrMbtI=")</f>
        <v>#VALUE!</v>
      </c>
      <c r="HD20" t="e">
        <f>AND('SPR BARRANQUILLA'!DV20,"AAAAAGrMbtM=")</f>
        <v>#VALUE!</v>
      </c>
      <c r="HE20" t="e">
        <f>AND('SPR BARRANQUILLA'!DW20,"AAAAAGrMbtQ=")</f>
        <v>#VALUE!</v>
      </c>
      <c r="HF20" t="e">
        <f>AND('SPR BARRANQUILLA'!DX20,"AAAAAGrMbtU=")</f>
        <v>#VALUE!</v>
      </c>
      <c r="HG20" t="e">
        <f>AND('SPR BARRANQUILLA'!DY20,"AAAAAGrMbtY=")</f>
        <v>#VALUE!</v>
      </c>
      <c r="HH20" t="e">
        <f>AND('SPR BARRANQUILLA'!DZ20,"AAAAAGrMbtc=")</f>
        <v>#VALUE!</v>
      </c>
      <c r="HI20" t="e">
        <f>AND('SPR BARRANQUILLA'!EA20,"AAAAAGrMbtg=")</f>
        <v>#VALUE!</v>
      </c>
      <c r="HJ20" t="e">
        <f>AND('SPR BARRANQUILLA'!EB20,"AAAAAGrMbtk=")</f>
        <v>#VALUE!</v>
      </c>
      <c r="HK20" t="e">
        <f>AND('SPR BARRANQUILLA'!EC20,"AAAAAGrMbto=")</f>
        <v>#VALUE!</v>
      </c>
      <c r="HL20" t="e">
        <f>AND('SPR BARRANQUILLA'!ED20,"AAAAAGrMbts=")</f>
        <v>#VALUE!</v>
      </c>
      <c r="HM20" t="e">
        <f>AND('SPR BARRANQUILLA'!EE20,"AAAAAGrMbtw=")</f>
        <v>#VALUE!</v>
      </c>
      <c r="HN20" t="e">
        <f>AND('SPR BARRANQUILLA'!EF20,"AAAAAGrMbt0=")</f>
        <v>#VALUE!</v>
      </c>
      <c r="HO20" t="e">
        <f>AND('SPR BARRANQUILLA'!EG20,"AAAAAGrMbt4=")</f>
        <v>#VALUE!</v>
      </c>
      <c r="HP20" t="e">
        <f>AND('SPR BARRANQUILLA'!EH20,"AAAAAGrMbt8=")</f>
        <v>#VALUE!</v>
      </c>
      <c r="HQ20" t="e">
        <f>AND('SPR BARRANQUILLA'!EI20,"AAAAAGrMbuA=")</f>
        <v>#VALUE!</v>
      </c>
      <c r="HR20" t="e">
        <f>AND('SPR BARRANQUILLA'!EJ20,"AAAAAGrMbuE=")</f>
        <v>#VALUE!</v>
      </c>
      <c r="HS20" t="e">
        <f>AND('SPR BARRANQUILLA'!EK20,"AAAAAGrMbuI=")</f>
        <v>#VALUE!</v>
      </c>
      <c r="HT20" t="e">
        <f>AND('SPR BARRANQUILLA'!EL20,"AAAAAGrMbuM=")</f>
        <v>#VALUE!</v>
      </c>
      <c r="HU20" t="e">
        <f>AND('SPR BARRANQUILLA'!EM20,"AAAAAGrMbuQ=")</f>
        <v>#VALUE!</v>
      </c>
      <c r="HV20" t="e">
        <f>AND('SPR BARRANQUILLA'!EN20,"AAAAAGrMbuU=")</f>
        <v>#VALUE!</v>
      </c>
      <c r="HW20" t="e">
        <f>AND('SPR BARRANQUILLA'!EO20,"AAAAAGrMbuY=")</f>
        <v>#VALUE!</v>
      </c>
      <c r="HX20" t="e">
        <f>AND('SPR BARRANQUILLA'!EP20,"AAAAAGrMbuc=")</f>
        <v>#VALUE!</v>
      </c>
      <c r="HY20" t="e">
        <f>AND('SPR BARRANQUILLA'!EQ20,"AAAAAGrMbug=")</f>
        <v>#VALUE!</v>
      </c>
      <c r="HZ20" t="e">
        <f>AND('SPR BARRANQUILLA'!ER20,"AAAAAGrMbuk=")</f>
        <v>#VALUE!</v>
      </c>
      <c r="IA20" t="e">
        <f>AND('SPR BARRANQUILLA'!ES20,"AAAAAGrMbuo=")</f>
        <v>#VALUE!</v>
      </c>
      <c r="IB20" t="e">
        <f>AND('SPR BARRANQUILLA'!ET20,"AAAAAGrMbus=")</f>
        <v>#VALUE!</v>
      </c>
      <c r="IC20" t="e">
        <f>AND('SPR BARRANQUILLA'!EU20,"AAAAAGrMbuw=")</f>
        <v>#VALUE!</v>
      </c>
      <c r="ID20" t="e">
        <f>AND('SPR BARRANQUILLA'!EV20,"AAAAAGrMbu0=")</f>
        <v>#VALUE!</v>
      </c>
      <c r="IE20" t="e">
        <f>AND('SPR BARRANQUILLA'!EW20,"AAAAAGrMbu4=")</f>
        <v>#VALUE!</v>
      </c>
      <c r="IF20" t="e">
        <f>AND('SPR BARRANQUILLA'!EX20,"AAAAAGrMbu8=")</f>
        <v>#VALUE!</v>
      </c>
      <c r="IG20" t="e">
        <f>AND('SPR BARRANQUILLA'!EY20,"AAAAAGrMbvA=")</f>
        <v>#VALUE!</v>
      </c>
      <c r="IH20" t="e">
        <f>AND('SPR BARRANQUILLA'!EZ20,"AAAAAGrMbvE=")</f>
        <v>#VALUE!</v>
      </c>
      <c r="II20" t="e">
        <f>AND('SPR BARRANQUILLA'!FA20,"AAAAAGrMbvI=")</f>
        <v>#VALUE!</v>
      </c>
      <c r="IJ20" t="e">
        <f>AND('SPR BARRANQUILLA'!FB20,"AAAAAGrMbvM=")</f>
        <v>#VALUE!</v>
      </c>
      <c r="IK20" t="e">
        <f>AND('SPR BARRANQUILLA'!FC20,"AAAAAGrMbvQ=")</f>
        <v>#VALUE!</v>
      </c>
      <c r="IL20" t="e">
        <f>AND('SPR BARRANQUILLA'!FD20,"AAAAAGrMbvU=")</f>
        <v>#VALUE!</v>
      </c>
      <c r="IM20" t="e">
        <f>AND('SPR BARRANQUILLA'!FE20,"AAAAAGrMbvY=")</f>
        <v>#VALUE!</v>
      </c>
      <c r="IN20" t="e">
        <f>AND('SPR BARRANQUILLA'!FF20,"AAAAAGrMbvc=")</f>
        <v>#VALUE!</v>
      </c>
      <c r="IO20" t="e">
        <f>AND('SPR BARRANQUILLA'!FG20,"AAAAAGrMbvg=")</f>
        <v>#VALUE!</v>
      </c>
      <c r="IP20" t="e">
        <f>AND('SPR BARRANQUILLA'!FH20,"AAAAAGrMbvk=")</f>
        <v>#VALUE!</v>
      </c>
      <c r="IQ20" t="e">
        <f>AND('SPR BARRANQUILLA'!FI20,"AAAAAGrMbvo=")</f>
        <v>#VALUE!</v>
      </c>
      <c r="IR20" t="e">
        <f>AND('SPR BARRANQUILLA'!FJ20,"AAAAAGrMbvs=")</f>
        <v>#VALUE!</v>
      </c>
      <c r="IS20" t="e">
        <f>AND('SPR BARRANQUILLA'!FK20,"AAAAAGrMbvw=")</f>
        <v>#VALUE!</v>
      </c>
      <c r="IT20" t="e">
        <f>AND('SPR BARRANQUILLA'!FL20,"AAAAAGrMbv0=")</f>
        <v>#VALUE!</v>
      </c>
      <c r="IU20" t="e">
        <f>AND('SPR BARRANQUILLA'!FM20,"AAAAAGrMbv4=")</f>
        <v>#VALUE!</v>
      </c>
      <c r="IV20" t="e">
        <f>AND('SPR BARRANQUILLA'!FN20,"AAAAAGrMbv8=")</f>
        <v>#VALUE!</v>
      </c>
    </row>
    <row r="21" spans="1:256">
      <c r="A21" t="e">
        <f>AND('SPR BARRANQUILLA'!FO20,"AAAAADL/+QA=")</f>
        <v>#VALUE!</v>
      </c>
      <c r="B21" t="e">
        <f>AND('SPR BARRANQUILLA'!FP20,"AAAAADL/+QE=")</f>
        <v>#VALUE!</v>
      </c>
      <c r="C21" t="e">
        <f>AND('SPR BARRANQUILLA'!FQ20,"AAAAADL/+QI=")</f>
        <v>#VALUE!</v>
      </c>
      <c r="D21" t="e">
        <f>AND('SPR BARRANQUILLA'!FR20,"AAAAADL/+QM=")</f>
        <v>#VALUE!</v>
      </c>
      <c r="E21" t="e">
        <f>AND('SPR BARRANQUILLA'!FS20,"AAAAADL/+QQ=")</f>
        <v>#VALUE!</v>
      </c>
      <c r="F21" t="e">
        <f>AND('SPR BARRANQUILLA'!FT20,"AAAAADL/+QU=")</f>
        <v>#VALUE!</v>
      </c>
      <c r="G21" t="e">
        <f>AND('SPR BARRANQUILLA'!FU20,"AAAAADL/+QY=")</f>
        <v>#VALUE!</v>
      </c>
      <c r="H21" t="e">
        <f>AND('SPR BARRANQUILLA'!FV20,"AAAAADL/+Qc=")</f>
        <v>#VALUE!</v>
      </c>
      <c r="I21" t="e">
        <f>AND('SPR BARRANQUILLA'!FW20,"AAAAADL/+Qg=")</f>
        <v>#VALUE!</v>
      </c>
      <c r="J21" t="e">
        <f>AND('SPR BARRANQUILLA'!FX20,"AAAAADL/+Qk=")</f>
        <v>#VALUE!</v>
      </c>
      <c r="K21" t="e">
        <f>AND('SPR BARRANQUILLA'!FY20,"AAAAADL/+Qo=")</f>
        <v>#VALUE!</v>
      </c>
      <c r="L21" t="e">
        <f>AND('SPR BARRANQUILLA'!FZ20,"AAAAADL/+Qs=")</f>
        <v>#VALUE!</v>
      </c>
      <c r="M21" t="e">
        <f>AND('SPR BARRANQUILLA'!GA20,"AAAAADL/+Qw=")</f>
        <v>#VALUE!</v>
      </c>
      <c r="N21" t="e">
        <f>AND('SPR BARRANQUILLA'!GB20,"AAAAADL/+Q0=")</f>
        <v>#VALUE!</v>
      </c>
      <c r="O21" t="e">
        <f>AND('SPR BARRANQUILLA'!GC20,"AAAAADL/+Q4=")</f>
        <v>#VALUE!</v>
      </c>
      <c r="P21" t="e">
        <f>AND('SPR BARRANQUILLA'!GD20,"AAAAADL/+Q8=")</f>
        <v>#VALUE!</v>
      </c>
      <c r="Q21" t="e">
        <f>AND('SPR BARRANQUILLA'!GE20,"AAAAADL/+RA=")</f>
        <v>#VALUE!</v>
      </c>
      <c r="R21" t="e">
        <f>AND('SPR BARRANQUILLA'!GF20,"AAAAADL/+RE=")</f>
        <v>#VALUE!</v>
      </c>
      <c r="S21" t="e">
        <f>AND('SPR BARRANQUILLA'!GG20,"AAAAADL/+RI=")</f>
        <v>#VALUE!</v>
      </c>
      <c r="T21" t="e">
        <f>AND('SPR BARRANQUILLA'!GH20,"AAAAADL/+RM=")</f>
        <v>#VALUE!</v>
      </c>
      <c r="U21" t="e">
        <f>AND('SPR BARRANQUILLA'!GI20,"AAAAADL/+RQ=")</f>
        <v>#VALUE!</v>
      </c>
      <c r="V21" t="e">
        <f>AND('SPR BARRANQUILLA'!GJ20,"AAAAADL/+RU=")</f>
        <v>#VALUE!</v>
      </c>
      <c r="W21" t="e">
        <f>AND('SPR BARRANQUILLA'!GK20,"AAAAADL/+RY=")</f>
        <v>#VALUE!</v>
      </c>
      <c r="X21" t="e">
        <f>AND('SPR BARRANQUILLA'!GL20,"AAAAADL/+Rc=")</f>
        <v>#VALUE!</v>
      </c>
      <c r="Y21" t="e">
        <f>AND('SPR BARRANQUILLA'!GM20,"AAAAADL/+Rg=")</f>
        <v>#VALUE!</v>
      </c>
      <c r="Z21" t="e">
        <f>AND('SPR BARRANQUILLA'!GN20,"AAAAADL/+Rk=")</f>
        <v>#VALUE!</v>
      </c>
      <c r="AA21" t="e">
        <f>AND('SPR BARRANQUILLA'!GO20,"AAAAADL/+Ro=")</f>
        <v>#VALUE!</v>
      </c>
      <c r="AB21" t="e">
        <f>AND('SPR BARRANQUILLA'!GP20,"AAAAADL/+Rs=")</f>
        <v>#VALUE!</v>
      </c>
      <c r="AC21" t="e">
        <f>AND('SPR BARRANQUILLA'!GQ20,"AAAAADL/+Rw=")</f>
        <v>#VALUE!</v>
      </c>
      <c r="AD21" t="e">
        <f>AND('SPR BARRANQUILLA'!GR20,"AAAAADL/+R0=")</f>
        <v>#VALUE!</v>
      </c>
      <c r="AE21" t="e">
        <f>AND('SPR BARRANQUILLA'!GS20,"AAAAADL/+R4=")</f>
        <v>#VALUE!</v>
      </c>
      <c r="AF21" t="e">
        <f>AND('SPR BARRANQUILLA'!GT20,"AAAAADL/+R8=")</f>
        <v>#VALUE!</v>
      </c>
      <c r="AG21" t="e">
        <f>AND('SPR BARRANQUILLA'!GU20,"AAAAADL/+SA=")</f>
        <v>#VALUE!</v>
      </c>
      <c r="AH21" t="e">
        <f>AND('SPR BARRANQUILLA'!GV20,"AAAAADL/+SE=")</f>
        <v>#VALUE!</v>
      </c>
      <c r="AI21" t="e">
        <f>AND('SPR BARRANQUILLA'!GW20,"AAAAADL/+SI=")</f>
        <v>#VALUE!</v>
      </c>
      <c r="AJ21" t="e">
        <f>AND('SPR BARRANQUILLA'!GX20,"AAAAADL/+SM=")</f>
        <v>#VALUE!</v>
      </c>
      <c r="AK21" t="e">
        <f>AND('SPR BARRANQUILLA'!GY20,"AAAAADL/+SQ=")</f>
        <v>#VALUE!</v>
      </c>
      <c r="AL21">
        <f>IF('SPR BARRANQUILLA'!21:21,"AAAAADL/+SU=",0)</f>
        <v>0</v>
      </c>
      <c r="AM21" t="e">
        <f>AND('SPR BARRANQUILLA'!A21,"AAAAADL/+SY=")</f>
        <v>#VALUE!</v>
      </c>
      <c r="AN21" t="e">
        <f>AND('SPR BARRANQUILLA'!B21,"AAAAADL/+Sc=")</f>
        <v>#VALUE!</v>
      </c>
      <c r="AO21" t="e">
        <f>AND('SPR BARRANQUILLA'!C21,"AAAAADL/+Sg=")</f>
        <v>#VALUE!</v>
      </c>
      <c r="AP21" t="e">
        <f>AND('SPR BARRANQUILLA'!D21,"AAAAADL/+Sk=")</f>
        <v>#VALUE!</v>
      </c>
      <c r="AQ21" t="e">
        <f>AND('SPR BARRANQUILLA'!E21,"AAAAADL/+So=")</f>
        <v>#VALUE!</v>
      </c>
      <c r="AR21" t="e">
        <f>AND('SPR BARRANQUILLA'!F21,"AAAAADL/+Ss=")</f>
        <v>#VALUE!</v>
      </c>
      <c r="AS21" t="e">
        <f>AND('SPR BARRANQUILLA'!G21,"AAAAADL/+Sw=")</f>
        <v>#VALUE!</v>
      </c>
      <c r="AT21" t="e">
        <f>AND('SPR BARRANQUILLA'!H21,"AAAAADL/+S0=")</f>
        <v>#VALUE!</v>
      </c>
      <c r="AU21" t="e">
        <f>AND('SPR BARRANQUILLA'!I21,"AAAAADL/+S4=")</f>
        <v>#VALUE!</v>
      </c>
      <c r="AV21" t="e">
        <f>AND('SPR BARRANQUILLA'!J21,"AAAAADL/+S8=")</f>
        <v>#VALUE!</v>
      </c>
      <c r="AW21" t="e">
        <f>AND('SPR BARRANQUILLA'!K21,"AAAAADL/+TA=")</f>
        <v>#VALUE!</v>
      </c>
      <c r="AX21" t="e">
        <f>AND('SPR BARRANQUILLA'!L21,"AAAAADL/+TE=")</f>
        <v>#VALUE!</v>
      </c>
      <c r="AY21" t="e">
        <f>AND('SPR BARRANQUILLA'!M21,"AAAAADL/+TI=")</f>
        <v>#VALUE!</v>
      </c>
      <c r="AZ21" t="e">
        <f>AND('SPR BARRANQUILLA'!N21,"AAAAADL/+TM=")</f>
        <v>#VALUE!</v>
      </c>
      <c r="BA21" t="e">
        <f>AND('SPR BARRANQUILLA'!O21,"AAAAADL/+TQ=")</f>
        <v>#VALUE!</v>
      </c>
      <c r="BB21" t="e">
        <f>AND('SPR BARRANQUILLA'!P21,"AAAAADL/+TU=")</f>
        <v>#VALUE!</v>
      </c>
      <c r="BC21" t="e">
        <f>AND('SPR BARRANQUILLA'!Q21,"AAAAADL/+TY=")</f>
        <v>#VALUE!</v>
      </c>
      <c r="BD21" t="e">
        <f>AND('SPR BARRANQUILLA'!R21,"AAAAADL/+Tc=")</f>
        <v>#VALUE!</v>
      </c>
      <c r="BE21" t="e">
        <f>AND('SPR BARRANQUILLA'!S21,"AAAAADL/+Tg=")</f>
        <v>#VALUE!</v>
      </c>
      <c r="BF21" t="e">
        <f>AND('SPR BARRANQUILLA'!T21,"AAAAADL/+Tk=")</f>
        <v>#VALUE!</v>
      </c>
      <c r="BG21" t="e">
        <f>AND('SPR BARRANQUILLA'!U21,"AAAAADL/+To=")</f>
        <v>#VALUE!</v>
      </c>
      <c r="BH21" t="e">
        <f>AND('SPR BARRANQUILLA'!V21,"AAAAADL/+Ts=")</f>
        <v>#VALUE!</v>
      </c>
      <c r="BI21" t="e">
        <f>AND('SPR BARRANQUILLA'!W21,"AAAAADL/+Tw=")</f>
        <v>#VALUE!</v>
      </c>
      <c r="BJ21" t="e">
        <f>AND('SPR BARRANQUILLA'!X21,"AAAAADL/+T0=")</f>
        <v>#VALUE!</v>
      </c>
      <c r="BK21" t="e">
        <f>AND('SPR BARRANQUILLA'!Y21,"AAAAADL/+T4=")</f>
        <v>#VALUE!</v>
      </c>
      <c r="BL21" t="e">
        <f>AND('SPR BARRANQUILLA'!Z21,"AAAAADL/+T8=")</f>
        <v>#VALUE!</v>
      </c>
      <c r="BM21" t="e">
        <f>AND('SPR BARRANQUILLA'!AA21,"AAAAADL/+UA=")</f>
        <v>#VALUE!</v>
      </c>
      <c r="BN21" t="e">
        <f>AND('SPR BARRANQUILLA'!AB21,"AAAAADL/+UE=")</f>
        <v>#VALUE!</v>
      </c>
      <c r="BO21" t="e">
        <f>AND('SPR BARRANQUILLA'!AC21,"AAAAADL/+UI=")</f>
        <v>#VALUE!</v>
      </c>
      <c r="BP21" t="e">
        <f>AND('SPR BARRANQUILLA'!AD21,"AAAAADL/+UM=")</f>
        <v>#VALUE!</v>
      </c>
      <c r="BQ21" t="e">
        <f>AND('SPR BARRANQUILLA'!AE21,"AAAAADL/+UQ=")</f>
        <v>#VALUE!</v>
      </c>
      <c r="BR21" t="e">
        <f>AND('SPR BARRANQUILLA'!AF21,"AAAAADL/+UU=")</f>
        <v>#VALUE!</v>
      </c>
      <c r="BS21" t="e">
        <f>AND('SPR BARRANQUILLA'!AG21,"AAAAADL/+UY=")</f>
        <v>#VALUE!</v>
      </c>
      <c r="BT21" t="e">
        <f>AND('SPR BARRANQUILLA'!AH21,"AAAAADL/+Uc=")</f>
        <v>#VALUE!</v>
      </c>
      <c r="BU21" t="e">
        <f>AND('SPR BARRANQUILLA'!AI21,"AAAAADL/+Ug=")</f>
        <v>#VALUE!</v>
      </c>
      <c r="BV21" t="e">
        <f>AND('SPR BARRANQUILLA'!AJ21,"AAAAADL/+Uk=")</f>
        <v>#VALUE!</v>
      </c>
      <c r="BW21" t="e">
        <f>AND('SPR BARRANQUILLA'!AK21,"AAAAADL/+Uo=")</f>
        <v>#VALUE!</v>
      </c>
      <c r="BX21" t="e">
        <f>AND('SPR BARRANQUILLA'!AL21,"AAAAADL/+Us=")</f>
        <v>#VALUE!</v>
      </c>
      <c r="BY21" t="e">
        <f>AND('SPR BARRANQUILLA'!AM21,"AAAAADL/+Uw=")</f>
        <v>#VALUE!</v>
      </c>
      <c r="BZ21" t="e">
        <f>AND('SPR BARRANQUILLA'!AN21,"AAAAADL/+U0=")</f>
        <v>#VALUE!</v>
      </c>
      <c r="CA21" t="e">
        <f>AND('SPR BARRANQUILLA'!AO21,"AAAAADL/+U4=")</f>
        <v>#VALUE!</v>
      </c>
      <c r="CB21" t="e">
        <f>AND('SPR BARRANQUILLA'!AP21,"AAAAADL/+U8=")</f>
        <v>#VALUE!</v>
      </c>
      <c r="CC21" t="e">
        <f>AND('SPR BARRANQUILLA'!AQ21,"AAAAADL/+VA=")</f>
        <v>#VALUE!</v>
      </c>
      <c r="CD21" t="e">
        <f>AND('SPR BARRANQUILLA'!AR21,"AAAAADL/+VE=")</f>
        <v>#VALUE!</v>
      </c>
      <c r="CE21" t="e">
        <f>AND('SPR BARRANQUILLA'!AS21,"AAAAADL/+VI=")</f>
        <v>#VALUE!</v>
      </c>
      <c r="CF21" t="e">
        <f>AND('SPR BARRANQUILLA'!AT21,"AAAAADL/+VM=")</f>
        <v>#VALUE!</v>
      </c>
      <c r="CG21" t="e">
        <f>AND('SPR BARRANQUILLA'!AU21,"AAAAADL/+VQ=")</f>
        <v>#VALUE!</v>
      </c>
      <c r="CH21" t="e">
        <f>AND('SPR BARRANQUILLA'!AV21,"AAAAADL/+VU=")</f>
        <v>#VALUE!</v>
      </c>
      <c r="CI21" t="e">
        <f>AND('SPR BARRANQUILLA'!AW21,"AAAAADL/+VY=")</f>
        <v>#VALUE!</v>
      </c>
      <c r="CJ21" t="e">
        <f>AND('SPR BARRANQUILLA'!AX21,"AAAAADL/+Vc=")</f>
        <v>#VALUE!</v>
      </c>
      <c r="CK21" t="e">
        <f>AND('SPR BARRANQUILLA'!AY21,"AAAAADL/+Vg=")</f>
        <v>#VALUE!</v>
      </c>
      <c r="CL21" t="e">
        <f>AND('SPR BARRANQUILLA'!AZ21,"AAAAADL/+Vk=")</f>
        <v>#VALUE!</v>
      </c>
      <c r="CM21" t="e">
        <f>AND('SPR BARRANQUILLA'!BA21,"AAAAADL/+Vo=")</f>
        <v>#VALUE!</v>
      </c>
      <c r="CN21" t="e">
        <f>AND('SPR BARRANQUILLA'!BB21,"AAAAADL/+Vs=")</f>
        <v>#VALUE!</v>
      </c>
      <c r="CO21" t="e">
        <f>AND('SPR BARRANQUILLA'!BC21,"AAAAADL/+Vw=")</f>
        <v>#VALUE!</v>
      </c>
      <c r="CP21" t="e">
        <f>AND('SPR BARRANQUILLA'!BD21,"AAAAADL/+V0=")</f>
        <v>#VALUE!</v>
      </c>
      <c r="CQ21" t="e">
        <f>AND('SPR BARRANQUILLA'!BE21,"AAAAADL/+V4=")</f>
        <v>#VALUE!</v>
      </c>
      <c r="CR21" t="e">
        <f>AND('SPR BARRANQUILLA'!BF21,"AAAAADL/+V8=")</f>
        <v>#VALUE!</v>
      </c>
      <c r="CS21" t="e">
        <f>AND('SPR BARRANQUILLA'!BG21,"AAAAADL/+WA=")</f>
        <v>#VALUE!</v>
      </c>
      <c r="CT21" t="e">
        <f>AND('SPR BARRANQUILLA'!BH21,"AAAAADL/+WE=")</f>
        <v>#VALUE!</v>
      </c>
      <c r="CU21" t="e">
        <f>AND('SPR BARRANQUILLA'!BI21,"AAAAADL/+WI=")</f>
        <v>#VALUE!</v>
      </c>
      <c r="CV21" t="e">
        <f>AND('SPR BARRANQUILLA'!BJ21,"AAAAADL/+WM=")</f>
        <v>#VALUE!</v>
      </c>
      <c r="CW21" t="e">
        <f>AND('SPR BARRANQUILLA'!BK21,"AAAAADL/+WQ=")</f>
        <v>#VALUE!</v>
      </c>
      <c r="CX21" t="e">
        <f>AND('SPR BARRANQUILLA'!BL21,"AAAAADL/+WU=")</f>
        <v>#VALUE!</v>
      </c>
      <c r="CY21" t="e">
        <f>AND('SPR BARRANQUILLA'!BM21,"AAAAADL/+WY=")</f>
        <v>#VALUE!</v>
      </c>
      <c r="CZ21" t="e">
        <f>AND('SPR BARRANQUILLA'!BN21,"AAAAADL/+Wc=")</f>
        <v>#VALUE!</v>
      </c>
      <c r="DA21" t="e">
        <f>AND('SPR BARRANQUILLA'!BO21,"AAAAADL/+Wg=")</f>
        <v>#VALUE!</v>
      </c>
      <c r="DB21" t="e">
        <f>AND('SPR BARRANQUILLA'!BP21,"AAAAADL/+Wk=")</f>
        <v>#VALUE!</v>
      </c>
      <c r="DC21" t="e">
        <f>AND('SPR BARRANQUILLA'!BQ21,"AAAAADL/+Wo=")</f>
        <v>#VALUE!</v>
      </c>
      <c r="DD21" t="e">
        <f>AND('SPR BARRANQUILLA'!BR21,"AAAAADL/+Ws=")</f>
        <v>#VALUE!</v>
      </c>
      <c r="DE21" t="e">
        <f>AND('SPR BARRANQUILLA'!BS21,"AAAAADL/+Ww=")</f>
        <v>#VALUE!</v>
      </c>
      <c r="DF21" t="e">
        <f>AND('SPR BARRANQUILLA'!BT21,"AAAAADL/+W0=")</f>
        <v>#VALUE!</v>
      </c>
      <c r="DG21" t="e">
        <f>AND('SPR BARRANQUILLA'!BU21,"AAAAADL/+W4=")</f>
        <v>#VALUE!</v>
      </c>
      <c r="DH21" t="e">
        <f>AND('SPR BARRANQUILLA'!BV21,"AAAAADL/+W8=")</f>
        <v>#VALUE!</v>
      </c>
      <c r="DI21" t="e">
        <f>AND('SPR BARRANQUILLA'!BW21,"AAAAADL/+XA=")</f>
        <v>#VALUE!</v>
      </c>
      <c r="DJ21" t="e">
        <f>AND('SPR BARRANQUILLA'!BX21,"AAAAADL/+XE=")</f>
        <v>#VALUE!</v>
      </c>
      <c r="DK21" t="e">
        <f>AND('SPR BARRANQUILLA'!BY21,"AAAAADL/+XI=")</f>
        <v>#VALUE!</v>
      </c>
      <c r="DL21" t="e">
        <f>AND('SPR BARRANQUILLA'!BZ21,"AAAAADL/+XM=")</f>
        <v>#VALUE!</v>
      </c>
      <c r="DM21" t="e">
        <f>AND('SPR BARRANQUILLA'!CA21,"AAAAADL/+XQ=")</f>
        <v>#VALUE!</v>
      </c>
      <c r="DN21" t="e">
        <f>AND('SPR BARRANQUILLA'!CB21,"AAAAADL/+XU=")</f>
        <v>#VALUE!</v>
      </c>
      <c r="DO21" t="e">
        <f>AND('SPR BARRANQUILLA'!CC21,"AAAAADL/+XY=")</f>
        <v>#VALUE!</v>
      </c>
      <c r="DP21" t="e">
        <f>AND('SPR BARRANQUILLA'!CD21,"AAAAADL/+Xc=")</f>
        <v>#VALUE!</v>
      </c>
      <c r="DQ21" t="e">
        <f>AND('SPR BARRANQUILLA'!CE21,"AAAAADL/+Xg=")</f>
        <v>#VALUE!</v>
      </c>
      <c r="DR21" t="e">
        <f>AND('SPR BARRANQUILLA'!CF21,"AAAAADL/+Xk=")</f>
        <v>#VALUE!</v>
      </c>
      <c r="DS21" t="e">
        <f>AND('SPR BARRANQUILLA'!CG21,"AAAAADL/+Xo=")</f>
        <v>#VALUE!</v>
      </c>
      <c r="DT21" t="e">
        <f>AND('SPR BARRANQUILLA'!CH21,"AAAAADL/+Xs=")</f>
        <v>#VALUE!</v>
      </c>
      <c r="DU21" t="e">
        <f>AND('SPR BARRANQUILLA'!CI21,"AAAAADL/+Xw=")</f>
        <v>#VALUE!</v>
      </c>
      <c r="DV21" t="e">
        <f>AND('SPR BARRANQUILLA'!CJ21,"AAAAADL/+X0=")</f>
        <v>#VALUE!</v>
      </c>
      <c r="DW21" t="e">
        <f>AND('SPR BARRANQUILLA'!CK21,"AAAAADL/+X4=")</f>
        <v>#VALUE!</v>
      </c>
      <c r="DX21" t="e">
        <f>AND('SPR BARRANQUILLA'!CL21,"AAAAADL/+X8=")</f>
        <v>#VALUE!</v>
      </c>
      <c r="DY21" t="e">
        <f>AND('SPR BARRANQUILLA'!CM21,"AAAAADL/+YA=")</f>
        <v>#VALUE!</v>
      </c>
      <c r="DZ21" t="e">
        <f>AND('SPR BARRANQUILLA'!CN21,"AAAAADL/+YE=")</f>
        <v>#VALUE!</v>
      </c>
      <c r="EA21" t="e">
        <f>AND('SPR BARRANQUILLA'!CO21,"AAAAADL/+YI=")</f>
        <v>#VALUE!</v>
      </c>
      <c r="EB21" t="e">
        <f>AND('SPR BARRANQUILLA'!CP21,"AAAAADL/+YM=")</f>
        <v>#VALUE!</v>
      </c>
      <c r="EC21" t="e">
        <f>AND('SPR BARRANQUILLA'!CQ21,"AAAAADL/+YQ=")</f>
        <v>#VALUE!</v>
      </c>
      <c r="ED21" t="e">
        <f>AND('SPR BARRANQUILLA'!CR21,"AAAAADL/+YU=")</f>
        <v>#VALUE!</v>
      </c>
      <c r="EE21" t="e">
        <f>AND('SPR BARRANQUILLA'!CS21,"AAAAADL/+YY=")</f>
        <v>#VALUE!</v>
      </c>
      <c r="EF21" t="e">
        <f>AND('SPR BARRANQUILLA'!CT21,"AAAAADL/+Yc=")</f>
        <v>#VALUE!</v>
      </c>
      <c r="EG21" t="e">
        <f>AND('SPR BARRANQUILLA'!CU21,"AAAAADL/+Yg=")</f>
        <v>#VALUE!</v>
      </c>
      <c r="EH21" t="e">
        <f>AND('SPR BARRANQUILLA'!CV21,"AAAAADL/+Yk=")</f>
        <v>#VALUE!</v>
      </c>
      <c r="EI21" t="e">
        <f>AND('SPR BARRANQUILLA'!CW21,"AAAAADL/+Yo=")</f>
        <v>#VALUE!</v>
      </c>
      <c r="EJ21" t="e">
        <f>AND('SPR BARRANQUILLA'!CX21,"AAAAADL/+Ys=")</f>
        <v>#VALUE!</v>
      </c>
      <c r="EK21" t="e">
        <f>AND('SPR BARRANQUILLA'!CY21,"AAAAADL/+Yw=")</f>
        <v>#VALUE!</v>
      </c>
      <c r="EL21" t="e">
        <f>AND('SPR BARRANQUILLA'!CZ21,"AAAAADL/+Y0=")</f>
        <v>#VALUE!</v>
      </c>
      <c r="EM21" t="e">
        <f>AND('SPR BARRANQUILLA'!DA21,"AAAAADL/+Y4=")</f>
        <v>#VALUE!</v>
      </c>
      <c r="EN21" t="e">
        <f>AND('SPR BARRANQUILLA'!DB21,"AAAAADL/+Y8=")</f>
        <v>#VALUE!</v>
      </c>
      <c r="EO21" t="e">
        <f>AND('SPR BARRANQUILLA'!DC21,"AAAAADL/+ZA=")</f>
        <v>#VALUE!</v>
      </c>
      <c r="EP21" t="e">
        <f>AND('SPR BARRANQUILLA'!DD21,"AAAAADL/+ZE=")</f>
        <v>#VALUE!</v>
      </c>
      <c r="EQ21" t="e">
        <f>AND('SPR BARRANQUILLA'!DE21,"AAAAADL/+ZI=")</f>
        <v>#VALUE!</v>
      </c>
      <c r="ER21" t="e">
        <f>AND('SPR BARRANQUILLA'!DF21,"AAAAADL/+ZM=")</f>
        <v>#VALUE!</v>
      </c>
      <c r="ES21" t="e">
        <f>AND('SPR BARRANQUILLA'!DG21,"AAAAADL/+ZQ=")</f>
        <v>#VALUE!</v>
      </c>
      <c r="ET21" t="e">
        <f>AND('SPR BARRANQUILLA'!DH21,"AAAAADL/+ZU=")</f>
        <v>#VALUE!</v>
      </c>
      <c r="EU21" t="e">
        <f>AND('SPR BARRANQUILLA'!DI21,"AAAAADL/+ZY=")</f>
        <v>#VALUE!</v>
      </c>
      <c r="EV21" t="e">
        <f>AND('SPR BARRANQUILLA'!DJ21,"AAAAADL/+Zc=")</f>
        <v>#VALUE!</v>
      </c>
      <c r="EW21" t="e">
        <f>AND('SPR BARRANQUILLA'!DK21,"AAAAADL/+Zg=")</f>
        <v>#VALUE!</v>
      </c>
      <c r="EX21" t="e">
        <f>AND('SPR BARRANQUILLA'!DL21,"AAAAADL/+Zk=")</f>
        <v>#VALUE!</v>
      </c>
      <c r="EY21" t="e">
        <f>AND('SPR BARRANQUILLA'!DM21,"AAAAADL/+Zo=")</f>
        <v>#VALUE!</v>
      </c>
      <c r="EZ21" t="e">
        <f>AND('SPR BARRANQUILLA'!DN21,"AAAAADL/+Zs=")</f>
        <v>#VALUE!</v>
      </c>
      <c r="FA21" t="e">
        <f>AND('SPR BARRANQUILLA'!DO21,"AAAAADL/+Zw=")</f>
        <v>#VALUE!</v>
      </c>
      <c r="FB21" t="e">
        <f>AND('SPR BARRANQUILLA'!DP21,"AAAAADL/+Z0=")</f>
        <v>#VALUE!</v>
      </c>
      <c r="FC21" t="e">
        <f>AND('SPR BARRANQUILLA'!DQ21,"AAAAADL/+Z4=")</f>
        <v>#VALUE!</v>
      </c>
      <c r="FD21" t="e">
        <f>AND('SPR BARRANQUILLA'!DR21,"AAAAADL/+Z8=")</f>
        <v>#VALUE!</v>
      </c>
      <c r="FE21" t="e">
        <f>AND('SPR BARRANQUILLA'!DS21,"AAAAADL/+aA=")</f>
        <v>#VALUE!</v>
      </c>
      <c r="FF21" t="e">
        <f>AND('SPR BARRANQUILLA'!DT21,"AAAAADL/+aE=")</f>
        <v>#VALUE!</v>
      </c>
      <c r="FG21" t="e">
        <f>AND('SPR BARRANQUILLA'!DU21,"AAAAADL/+aI=")</f>
        <v>#VALUE!</v>
      </c>
      <c r="FH21" t="e">
        <f>AND('SPR BARRANQUILLA'!DV21,"AAAAADL/+aM=")</f>
        <v>#VALUE!</v>
      </c>
      <c r="FI21" t="e">
        <f>AND('SPR BARRANQUILLA'!DW21,"AAAAADL/+aQ=")</f>
        <v>#VALUE!</v>
      </c>
      <c r="FJ21" t="e">
        <f>AND('SPR BARRANQUILLA'!DX21,"AAAAADL/+aU=")</f>
        <v>#VALUE!</v>
      </c>
      <c r="FK21" t="e">
        <f>AND('SPR BARRANQUILLA'!DY21,"AAAAADL/+aY=")</f>
        <v>#VALUE!</v>
      </c>
      <c r="FL21" t="e">
        <f>AND('SPR BARRANQUILLA'!DZ21,"AAAAADL/+ac=")</f>
        <v>#VALUE!</v>
      </c>
      <c r="FM21" t="e">
        <f>AND('SPR BARRANQUILLA'!EA21,"AAAAADL/+ag=")</f>
        <v>#VALUE!</v>
      </c>
      <c r="FN21" t="e">
        <f>AND('SPR BARRANQUILLA'!EB21,"AAAAADL/+ak=")</f>
        <v>#VALUE!</v>
      </c>
      <c r="FO21" t="e">
        <f>AND('SPR BARRANQUILLA'!EC21,"AAAAADL/+ao=")</f>
        <v>#VALUE!</v>
      </c>
      <c r="FP21" t="e">
        <f>AND('SPR BARRANQUILLA'!ED21,"AAAAADL/+as=")</f>
        <v>#VALUE!</v>
      </c>
      <c r="FQ21" t="e">
        <f>AND('SPR BARRANQUILLA'!EE21,"AAAAADL/+aw=")</f>
        <v>#VALUE!</v>
      </c>
      <c r="FR21" t="e">
        <f>AND('SPR BARRANQUILLA'!EF21,"AAAAADL/+a0=")</f>
        <v>#VALUE!</v>
      </c>
      <c r="FS21" t="e">
        <f>AND('SPR BARRANQUILLA'!EG21,"AAAAADL/+a4=")</f>
        <v>#VALUE!</v>
      </c>
      <c r="FT21" t="e">
        <f>AND('SPR BARRANQUILLA'!EH21,"AAAAADL/+a8=")</f>
        <v>#VALUE!</v>
      </c>
      <c r="FU21" t="e">
        <f>AND('SPR BARRANQUILLA'!EI21,"AAAAADL/+bA=")</f>
        <v>#VALUE!</v>
      </c>
      <c r="FV21" t="e">
        <f>AND('SPR BARRANQUILLA'!EJ21,"AAAAADL/+bE=")</f>
        <v>#VALUE!</v>
      </c>
      <c r="FW21" t="e">
        <f>AND('SPR BARRANQUILLA'!EK21,"AAAAADL/+bI=")</f>
        <v>#VALUE!</v>
      </c>
      <c r="FX21" t="e">
        <f>AND('SPR BARRANQUILLA'!EL21,"AAAAADL/+bM=")</f>
        <v>#VALUE!</v>
      </c>
      <c r="FY21" t="e">
        <f>AND('SPR BARRANQUILLA'!EM21,"AAAAADL/+bQ=")</f>
        <v>#VALUE!</v>
      </c>
      <c r="FZ21" t="e">
        <f>AND('SPR BARRANQUILLA'!EN21,"AAAAADL/+bU=")</f>
        <v>#VALUE!</v>
      </c>
      <c r="GA21" t="e">
        <f>AND('SPR BARRANQUILLA'!EO21,"AAAAADL/+bY=")</f>
        <v>#VALUE!</v>
      </c>
      <c r="GB21" t="e">
        <f>AND('SPR BARRANQUILLA'!EP21,"AAAAADL/+bc=")</f>
        <v>#VALUE!</v>
      </c>
      <c r="GC21" t="e">
        <f>AND('SPR BARRANQUILLA'!EQ21,"AAAAADL/+bg=")</f>
        <v>#VALUE!</v>
      </c>
      <c r="GD21" t="e">
        <f>AND('SPR BARRANQUILLA'!ER21,"AAAAADL/+bk=")</f>
        <v>#VALUE!</v>
      </c>
      <c r="GE21" t="e">
        <f>AND('SPR BARRANQUILLA'!ES21,"AAAAADL/+bo=")</f>
        <v>#VALUE!</v>
      </c>
      <c r="GF21" t="e">
        <f>AND('SPR BARRANQUILLA'!ET21,"AAAAADL/+bs=")</f>
        <v>#VALUE!</v>
      </c>
      <c r="GG21" t="e">
        <f>AND('SPR BARRANQUILLA'!EU21,"AAAAADL/+bw=")</f>
        <v>#VALUE!</v>
      </c>
      <c r="GH21" t="e">
        <f>AND('SPR BARRANQUILLA'!EV21,"AAAAADL/+b0=")</f>
        <v>#VALUE!</v>
      </c>
      <c r="GI21" t="e">
        <f>AND('SPR BARRANQUILLA'!EW21,"AAAAADL/+b4=")</f>
        <v>#VALUE!</v>
      </c>
      <c r="GJ21" t="e">
        <f>AND('SPR BARRANQUILLA'!EX21,"AAAAADL/+b8=")</f>
        <v>#VALUE!</v>
      </c>
      <c r="GK21" t="e">
        <f>AND('SPR BARRANQUILLA'!EY21,"AAAAADL/+cA=")</f>
        <v>#VALUE!</v>
      </c>
      <c r="GL21" t="e">
        <f>AND('SPR BARRANQUILLA'!EZ21,"AAAAADL/+cE=")</f>
        <v>#VALUE!</v>
      </c>
      <c r="GM21" t="e">
        <f>AND('SPR BARRANQUILLA'!FA21,"AAAAADL/+cI=")</f>
        <v>#VALUE!</v>
      </c>
      <c r="GN21" t="e">
        <f>AND('SPR BARRANQUILLA'!FB21,"AAAAADL/+cM=")</f>
        <v>#VALUE!</v>
      </c>
      <c r="GO21" t="e">
        <f>AND('SPR BARRANQUILLA'!FC21,"AAAAADL/+cQ=")</f>
        <v>#VALUE!</v>
      </c>
      <c r="GP21" t="e">
        <f>AND('SPR BARRANQUILLA'!FD21,"AAAAADL/+cU=")</f>
        <v>#VALUE!</v>
      </c>
      <c r="GQ21" t="e">
        <f>AND('SPR BARRANQUILLA'!FE21,"AAAAADL/+cY=")</f>
        <v>#VALUE!</v>
      </c>
      <c r="GR21" t="e">
        <f>AND('SPR BARRANQUILLA'!FF21,"AAAAADL/+cc=")</f>
        <v>#VALUE!</v>
      </c>
      <c r="GS21" t="e">
        <f>AND('SPR BARRANQUILLA'!FG21,"AAAAADL/+cg=")</f>
        <v>#VALUE!</v>
      </c>
      <c r="GT21" t="e">
        <f>AND('SPR BARRANQUILLA'!FH21,"AAAAADL/+ck=")</f>
        <v>#VALUE!</v>
      </c>
      <c r="GU21" t="e">
        <f>AND('SPR BARRANQUILLA'!FI21,"AAAAADL/+co=")</f>
        <v>#VALUE!</v>
      </c>
      <c r="GV21" t="e">
        <f>AND('SPR BARRANQUILLA'!FJ21,"AAAAADL/+cs=")</f>
        <v>#VALUE!</v>
      </c>
      <c r="GW21" t="e">
        <f>AND('SPR BARRANQUILLA'!FK21,"AAAAADL/+cw=")</f>
        <v>#VALUE!</v>
      </c>
      <c r="GX21" t="e">
        <f>AND('SPR BARRANQUILLA'!FL21,"AAAAADL/+c0=")</f>
        <v>#VALUE!</v>
      </c>
      <c r="GY21" t="e">
        <f>AND('SPR BARRANQUILLA'!FM21,"AAAAADL/+c4=")</f>
        <v>#VALUE!</v>
      </c>
      <c r="GZ21" t="e">
        <f>AND('SPR BARRANQUILLA'!FN21,"AAAAADL/+c8=")</f>
        <v>#VALUE!</v>
      </c>
      <c r="HA21" t="e">
        <f>AND('SPR BARRANQUILLA'!FO21,"AAAAADL/+dA=")</f>
        <v>#VALUE!</v>
      </c>
      <c r="HB21" t="e">
        <f>AND('SPR BARRANQUILLA'!FP21,"AAAAADL/+dE=")</f>
        <v>#VALUE!</v>
      </c>
      <c r="HC21" t="e">
        <f>AND('SPR BARRANQUILLA'!FQ21,"AAAAADL/+dI=")</f>
        <v>#VALUE!</v>
      </c>
      <c r="HD21" t="e">
        <f>AND('SPR BARRANQUILLA'!FR21,"AAAAADL/+dM=")</f>
        <v>#VALUE!</v>
      </c>
      <c r="HE21" t="e">
        <f>AND('SPR BARRANQUILLA'!FS21,"AAAAADL/+dQ=")</f>
        <v>#VALUE!</v>
      </c>
      <c r="HF21" t="e">
        <f>AND('SPR BARRANQUILLA'!FT21,"AAAAADL/+dU=")</f>
        <v>#VALUE!</v>
      </c>
      <c r="HG21" t="e">
        <f>AND('SPR BARRANQUILLA'!FU21,"AAAAADL/+dY=")</f>
        <v>#VALUE!</v>
      </c>
      <c r="HH21" t="e">
        <f>AND('SPR BARRANQUILLA'!FV21,"AAAAADL/+dc=")</f>
        <v>#VALUE!</v>
      </c>
      <c r="HI21" t="e">
        <f>AND('SPR BARRANQUILLA'!FW21,"AAAAADL/+dg=")</f>
        <v>#VALUE!</v>
      </c>
      <c r="HJ21" t="e">
        <f>AND('SPR BARRANQUILLA'!FX21,"AAAAADL/+dk=")</f>
        <v>#VALUE!</v>
      </c>
      <c r="HK21" t="e">
        <f>AND('SPR BARRANQUILLA'!FY21,"AAAAADL/+do=")</f>
        <v>#VALUE!</v>
      </c>
      <c r="HL21" t="e">
        <f>AND('SPR BARRANQUILLA'!FZ21,"AAAAADL/+ds=")</f>
        <v>#VALUE!</v>
      </c>
      <c r="HM21" t="e">
        <f>AND('SPR BARRANQUILLA'!GA21,"AAAAADL/+dw=")</f>
        <v>#VALUE!</v>
      </c>
      <c r="HN21" t="e">
        <f>AND('SPR BARRANQUILLA'!GB21,"AAAAADL/+d0=")</f>
        <v>#VALUE!</v>
      </c>
      <c r="HO21" t="e">
        <f>AND('SPR BARRANQUILLA'!GC21,"AAAAADL/+d4=")</f>
        <v>#VALUE!</v>
      </c>
      <c r="HP21" t="e">
        <f>AND('SPR BARRANQUILLA'!GD21,"AAAAADL/+d8=")</f>
        <v>#VALUE!</v>
      </c>
      <c r="HQ21" t="e">
        <f>AND('SPR BARRANQUILLA'!GE21,"AAAAADL/+eA=")</f>
        <v>#VALUE!</v>
      </c>
      <c r="HR21" t="e">
        <f>AND('SPR BARRANQUILLA'!GF21,"AAAAADL/+eE=")</f>
        <v>#VALUE!</v>
      </c>
      <c r="HS21" t="e">
        <f>AND('SPR BARRANQUILLA'!GG21,"AAAAADL/+eI=")</f>
        <v>#VALUE!</v>
      </c>
      <c r="HT21" t="e">
        <f>AND('SPR BARRANQUILLA'!GH21,"AAAAADL/+eM=")</f>
        <v>#VALUE!</v>
      </c>
      <c r="HU21" t="e">
        <f>AND('SPR BARRANQUILLA'!GI21,"AAAAADL/+eQ=")</f>
        <v>#VALUE!</v>
      </c>
      <c r="HV21" t="e">
        <f>AND('SPR BARRANQUILLA'!GJ21,"AAAAADL/+eU=")</f>
        <v>#VALUE!</v>
      </c>
      <c r="HW21" t="e">
        <f>AND('SPR BARRANQUILLA'!GK21,"AAAAADL/+eY=")</f>
        <v>#VALUE!</v>
      </c>
      <c r="HX21" t="e">
        <f>AND('SPR BARRANQUILLA'!GL21,"AAAAADL/+ec=")</f>
        <v>#VALUE!</v>
      </c>
      <c r="HY21" t="e">
        <f>AND('SPR BARRANQUILLA'!GM21,"AAAAADL/+eg=")</f>
        <v>#VALUE!</v>
      </c>
      <c r="HZ21" t="e">
        <f>AND('SPR BARRANQUILLA'!GN21,"AAAAADL/+ek=")</f>
        <v>#VALUE!</v>
      </c>
      <c r="IA21" t="e">
        <f>AND('SPR BARRANQUILLA'!GO21,"AAAAADL/+eo=")</f>
        <v>#VALUE!</v>
      </c>
      <c r="IB21" t="e">
        <f>AND('SPR BARRANQUILLA'!GP21,"AAAAADL/+es=")</f>
        <v>#VALUE!</v>
      </c>
      <c r="IC21" t="e">
        <f>AND('SPR BARRANQUILLA'!GQ21,"AAAAADL/+ew=")</f>
        <v>#VALUE!</v>
      </c>
      <c r="ID21" t="e">
        <f>AND('SPR BARRANQUILLA'!GR21,"AAAAADL/+e0=")</f>
        <v>#VALUE!</v>
      </c>
      <c r="IE21" t="e">
        <f>AND('SPR BARRANQUILLA'!GS21,"AAAAADL/+e4=")</f>
        <v>#VALUE!</v>
      </c>
      <c r="IF21" t="e">
        <f>AND('SPR BARRANQUILLA'!GT21,"AAAAADL/+e8=")</f>
        <v>#VALUE!</v>
      </c>
      <c r="IG21" t="e">
        <f>AND('SPR BARRANQUILLA'!GU21,"AAAAADL/+fA=")</f>
        <v>#VALUE!</v>
      </c>
      <c r="IH21" t="e">
        <f>AND('SPR BARRANQUILLA'!GV21,"AAAAADL/+fE=")</f>
        <v>#VALUE!</v>
      </c>
      <c r="II21" t="e">
        <f>AND('SPR BARRANQUILLA'!GW21,"AAAAADL/+fI=")</f>
        <v>#VALUE!</v>
      </c>
      <c r="IJ21" t="e">
        <f>AND('SPR BARRANQUILLA'!GX21,"AAAAADL/+fM=")</f>
        <v>#VALUE!</v>
      </c>
      <c r="IK21" t="e">
        <f>AND('SPR BARRANQUILLA'!GY21,"AAAAADL/+fQ=")</f>
        <v>#VALUE!</v>
      </c>
      <c r="IL21">
        <f>IF('SPR BARRANQUILLA'!22:22,"AAAAADL/+fU=",0)</f>
        <v>0</v>
      </c>
      <c r="IM21" t="e">
        <f>AND('SPR BARRANQUILLA'!A22,"AAAAADL/+fY=")</f>
        <v>#VALUE!</v>
      </c>
      <c r="IN21" t="e">
        <f>AND('SPR BARRANQUILLA'!B22,"AAAAADL/+fc=")</f>
        <v>#VALUE!</v>
      </c>
      <c r="IO21" t="e">
        <f>AND('SPR BARRANQUILLA'!C22,"AAAAADL/+fg=")</f>
        <v>#VALUE!</v>
      </c>
      <c r="IP21" t="e">
        <f>AND('SPR BARRANQUILLA'!D22,"AAAAADL/+fk=")</f>
        <v>#VALUE!</v>
      </c>
      <c r="IQ21" t="e">
        <f>AND('SPR BARRANQUILLA'!E22,"AAAAADL/+fo=")</f>
        <v>#VALUE!</v>
      </c>
      <c r="IR21" t="e">
        <f>AND('SPR BARRANQUILLA'!F22,"AAAAADL/+fs=")</f>
        <v>#VALUE!</v>
      </c>
      <c r="IS21" t="e">
        <f>AND('SPR BARRANQUILLA'!G22,"AAAAADL/+fw=")</f>
        <v>#VALUE!</v>
      </c>
      <c r="IT21" t="e">
        <f>AND('SPR BARRANQUILLA'!H22,"AAAAADL/+f0=")</f>
        <v>#VALUE!</v>
      </c>
      <c r="IU21" t="e">
        <f>AND('SPR BARRANQUILLA'!I22,"AAAAADL/+f4=")</f>
        <v>#VALUE!</v>
      </c>
      <c r="IV21" t="e">
        <f>AND('SPR BARRANQUILLA'!J22,"AAAAADL/+f8=")</f>
        <v>#VALUE!</v>
      </c>
    </row>
    <row r="22" spans="1:256">
      <c r="A22" t="e">
        <f>AND('SPR BARRANQUILLA'!K22,"AAAAAF6/rwA=")</f>
        <v>#VALUE!</v>
      </c>
      <c r="B22" t="e">
        <f>AND('SPR BARRANQUILLA'!L22,"AAAAAF6/rwE=")</f>
        <v>#VALUE!</v>
      </c>
      <c r="C22" t="e">
        <f>AND('SPR BARRANQUILLA'!M22,"AAAAAF6/rwI=")</f>
        <v>#VALUE!</v>
      </c>
      <c r="D22" t="e">
        <f>AND('SPR BARRANQUILLA'!N22,"AAAAAF6/rwM=")</f>
        <v>#VALUE!</v>
      </c>
      <c r="E22" t="e">
        <f>AND('SPR BARRANQUILLA'!O22,"AAAAAF6/rwQ=")</f>
        <v>#VALUE!</v>
      </c>
      <c r="F22" t="e">
        <f>AND('SPR BARRANQUILLA'!P22,"AAAAAF6/rwU=")</f>
        <v>#VALUE!</v>
      </c>
      <c r="G22" t="e">
        <f>AND('SPR BARRANQUILLA'!Q22,"AAAAAF6/rwY=")</f>
        <v>#VALUE!</v>
      </c>
      <c r="H22" t="e">
        <f>AND('SPR BARRANQUILLA'!R22,"AAAAAF6/rwc=")</f>
        <v>#VALUE!</v>
      </c>
      <c r="I22" t="e">
        <f>AND('SPR BARRANQUILLA'!S22,"AAAAAF6/rwg=")</f>
        <v>#VALUE!</v>
      </c>
      <c r="J22" t="e">
        <f>AND('SPR BARRANQUILLA'!T22,"AAAAAF6/rwk=")</f>
        <v>#VALUE!</v>
      </c>
      <c r="K22" t="e">
        <f>AND('SPR BARRANQUILLA'!U22,"AAAAAF6/rwo=")</f>
        <v>#VALUE!</v>
      </c>
      <c r="L22" t="e">
        <f>AND('SPR BARRANQUILLA'!V22,"AAAAAF6/rws=")</f>
        <v>#VALUE!</v>
      </c>
      <c r="M22" t="e">
        <f>AND('SPR BARRANQUILLA'!W22,"AAAAAF6/rww=")</f>
        <v>#VALUE!</v>
      </c>
      <c r="N22" t="e">
        <f>AND('SPR BARRANQUILLA'!X22,"AAAAAF6/rw0=")</f>
        <v>#VALUE!</v>
      </c>
      <c r="O22" t="e">
        <f>AND('SPR BARRANQUILLA'!Y22,"AAAAAF6/rw4=")</f>
        <v>#VALUE!</v>
      </c>
      <c r="P22" t="e">
        <f>AND('SPR BARRANQUILLA'!Z22,"AAAAAF6/rw8=")</f>
        <v>#VALUE!</v>
      </c>
      <c r="Q22" t="e">
        <f>AND('SPR BARRANQUILLA'!AA22,"AAAAAF6/rxA=")</f>
        <v>#VALUE!</v>
      </c>
      <c r="R22" t="e">
        <f>AND('SPR BARRANQUILLA'!AB22,"AAAAAF6/rxE=")</f>
        <v>#VALUE!</v>
      </c>
      <c r="S22" t="e">
        <f>AND('SPR BARRANQUILLA'!AC22,"AAAAAF6/rxI=")</f>
        <v>#VALUE!</v>
      </c>
      <c r="T22" t="e">
        <f>AND('SPR BARRANQUILLA'!AD22,"AAAAAF6/rxM=")</f>
        <v>#VALUE!</v>
      </c>
      <c r="U22" t="e">
        <f>AND('SPR BARRANQUILLA'!AE22,"AAAAAF6/rxQ=")</f>
        <v>#VALUE!</v>
      </c>
      <c r="V22" t="e">
        <f>AND('SPR BARRANQUILLA'!AF22,"AAAAAF6/rxU=")</f>
        <v>#VALUE!</v>
      </c>
      <c r="W22" t="e">
        <f>AND('SPR BARRANQUILLA'!AG22,"AAAAAF6/rxY=")</f>
        <v>#VALUE!</v>
      </c>
      <c r="X22" t="e">
        <f>AND('SPR BARRANQUILLA'!AH22,"AAAAAF6/rxc=")</f>
        <v>#VALUE!</v>
      </c>
      <c r="Y22" t="e">
        <f>AND('SPR BARRANQUILLA'!AI22,"AAAAAF6/rxg=")</f>
        <v>#VALUE!</v>
      </c>
      <c r="Z22" t="e">
        <f>AND('SPR BARRANQUILLA'!AJ22,"AAAAAF6/rxk=")</f>
        <v>#VALUE!</v>
      </c>
      <c r="AA22" t="e">
        <f>AND('SPR BARRANQUILLA'!AK22,"AAAAAF6/rxo=")</f>
        <v>#VALUE!</v>
      </c>
      <c r="AB22" t="e">
        <f>AND('SPR BARRANQUILLA'!AL22,"AAAAAF6/rxs=")</f>
        <v>#VALUE!</v>
      </c>
      <c r="AC22" t="e">
        <f>AND('SPR BARRANQUILLA'!AM22,"AAAAAF6/rxw=")</f>
        <v>#VALUE!</v>
      </c>
      <c r="AD22" t="e">
        <f>AND('SPR BARRANQUILLA'!AN22,"AAAAAF6/rx0=")</f>
        <v>#VALUE!</v>
      </c>
      <c r="AE22" t="e">
        <f>AND('SPR BARRANQUILLA'!AO22,"AAAAAF6/rx4=")</f>
        <v>#VALUE!</v>
      </c>
      <c r="AF22" t="e">
        <f>AND('SPR BARRANQUILLA'!AP22,"AAAAAF6/rx8=")</f>
        <v>#VALUE!</v>
      </c>
      <c r="AG22" t="e">
        <f>AND('SPR BARRANQUILLA'!AQ22,"AAAAAF6/ryA=")</f>
        <v>#VALUE!</v>
      </c>
      <c r="AH22" t="e">
        <f>AND('SPR BARRANQUILLA'!AR22,"AAAAAF6/ryE=")</f>
        <v>#VALUE!</v>
      </c>
      <c r="AI22" t="e">
        <f>AND('SPR BARRANQUILLA'!AS22,"AAAAAF6/ryI=")</f>
        <v>#VALUE!</v>
      </c>
      <c r="AJ22" t="e">
        <f>AND('SPR BARRANQUILLA'!AT22,"AAAAAF6/ryM=")</f>
        <v>#VALUE!</v>
      </c>
      <c r="AK22" t="e">
        <f>AND('SPR BARRANQUILLA'!AU22,"AAAAAF6/ryQ=")</f>
        <v>#VALUE!</v>
      </c>
      <c r="AL22" t="e">
        <f>AND('SPR BARRANQUILLA'!AV22,"AAAAAF6/ryU=")</f>
        <v>#VALUE!</v>
      </c>
      <c r="AM22" t="e">
        <f>AND('SPR BARRANQUILLA'!AW22,"AAAAAF6/ryY=")</f>
        <v>#VALUE!</v>
      </c>
      <c r="AN22" t="e">
        <f>AND('SPR BARRANQUILLA'!AX22,"AAAAAF6/ryc=")</f>
        <v>#VALUE!</v>
      </c>
      <c r="AO22" t="e">
        <f>AND('SPR BARRANQUILLA'!AY22,"AAAAAF6/ryg=")</f>
        <v>#VALUE!</v>
      </c>
      <c r="AP22" t="e">
        <f>AND('SPR BARRANQUILLA'!AZ22,"AAAAAF6/ryk=")</f>
        <v>#VALUE!</v>
      </c>
      <c r="AQ22" t="e">
        <f>AND('SPR BARRANQUILLA'!BA22,"AAAAAF6/ryo=")</f>
        <v>#VALUE!</v>
      </c>
      <c r="AR22" t="e">
        <f>AND('SPR BARRANQUILLA'!BB22,"AAAAAF6/rys=")</f>
        <v>#VALUE!</v>
      </c>
      <c r="AS22" t="e">
        <f>AND('SPR BARRANQUILLA'!BC22,"AAAAAF6/ryw=")</f>
        <v>#VALUE!</v>
      </c>
      <c r="AT22" t="e">
        <f>AND('SPR BARRANQUILLA'!BD22,"AAAAAF6/ry0=")</f>
        <v>#VALUE!</v>
      </c>
      <c r="AU22" t="e">
        <f>AND('SPR BARRANQUILLA'!BE22,"AAAAAF6/ry4=")</f>
        <v>#VALUE!</v>
      </c>
      <c r="AV22" t="e">
        <f>AND('SPR BARRANQUILLA'!BF22,"AAAAAF6/ry8=")</f>
        <v>#VALUE!</v>
      </c>
      <c r="AW22" t="e">
        <f>AND('SPR BARRANQUILLA'!BG22,"AAAAAF6/rzA=")</f>
        <v>#VALUE!</v>
      </c>
      <c r="AX22" t="e">
        <f>AND('SPR BARRANQUILLA'!BH22,"AAAAAF6/rzE=")</f>
        <v>#VALUE!</v>
      </c>
      <c r="AY22" t="e">
        <f>AND('SPR BARRANQUILLA'!BI22,"AAAAAF6/rzI=")</f>
        <v>#VALUE!</v>
      </c>
      <c r="AZ22" t="e">
        <f>AND('SPR BARRANQUILLA'!BJ22,"AAAAAF6/rzM=")</f>
        <v>#VALUE!</v>
      </c>
      <c r="BA22" t="e">
        <f>AND('SPR BARRANQUILLA'!BK22,"AAAAAF6/rzQ=")</f>
        <v>#VALUE!</v>
      </c>
      <c r="BB22" t="e">
        <f>AND('SPR BARRANQUILLA'!BL22,"AAAAAF6/rzU=")</f>
        <v>#VALUE!</v>
      </c>
      <c r="BC22" t="e">
        <f>AND('SPR BARRANQUILLA'!BM22,"AAAAAF6/rzY=")</f>
        <v>#VALUE!</v>
      </c>
      <c r="BD22" t="e">
        <f>AND('SPR BARRANQUILLA'!BN22,"AAAAAF6/rzc=")</f>
        <v>#VALUE!</v>
      </c>
      <c r="BE22" t="e">
        <f>AND('SPR BARRANQUILLA'!BO22,"AAAAAF6/rzg=")</f>
        <v>#VALUE!</v>
      </c>
      <c r="BF22" t="e">
        <f>AND('SPR BARRANQUILLA'!BP22,"AAAAAF6/rzk=")</f>
        <v>#VALUE!</v>
      </c>
      <c r="BG22" t="e">
        <f>AND('SPR BARRANQUILLA'!BQ22,"AAAAAF6/rzo=")</f>
        <v>#VALUE!</v>
      </c>
      <c r="BH22" t="e">
        <f>AND('SPR BARRANQUILLA'!BR22,"AAAAAF6/rzs=")</f>
        <v>#VALUE!</v>
      </c>
      <c r="BI22" t="e">
        <f>AND('SPR BARRANQUILLA'!BS22,"AAAAAF6/rzw=")</f>
        <v>#VALUE!</v>
      </c>
      <c r="BJ22" t="e">
        <f>AND('SPR BARRANQUILLA'!BT22,"AAAAAF6/rz0=")</f>
        <v>#VALUE!</v>
      </c>
      <c r="BK22" t="e">
        <f>AND('SPR BARRANQUILLA'!BU22,"AAAAAF6/rz4=")</f>
        <v>#VALUE!</v>
      </c>
      <c r="BL22" t="e">
        <f>AND('SPR BARRANQUILLA'!BV22,"AAAAAF6/rz8=")</f>
        <v>#VALUE!</v>
      </c>
      <c r="BM22" t="e">
        <f>AND('SPR BARRANQUILLA'!BW22,"AAAAAF6/r0A=")</f>
        <v>#VALUE!</v>
      </c>
      <c r="BN22" t="e">
        <f>AND('SPR BARRANQUILLA'!BX22,"AAAAAF6/r0E=")</f>
        <v>#VALUE!</v>
      </c>
      <c r="BO22" t="e">
        <f>AND('SPR BARRANQUILLA'!BY22,"AAAAAF6/r0I=")</f>
        <v>#VALUE!</v>
      </c>
      <c r="BP22" t="e">
        <f>AND('SPR BARRANQUILLA'!BZ22,"AAAAAF6/r0M=")</f>
        <v>#VALUE!</v>
      </c>
      <c r="BQ22" t="e">
        <f>AND('SPR BARRANQUILLA'!CA22,"AAAAAF6/r0Q=")</f>
        <v>#VALUE!</v>
      </c>
      <c r="BR22" t="e">
        <f>AND('SPR BARRANQUILLA'!CB22,"AAAAAF6/r0U=")</f>
        <v>#VALUE!</v>
      </c>
      <c r="BS22" t="e">
        <f>AND('SPR BARRANQUILLA'!CC22,"AAAAAF6/r0Y=")</f>
        <v>#VALUE!</v>
      </c>
      <c r="BT22" t="e">
        <f>AND('SPR BARRANQUILLA'!CD22,"AAAAAF6/r0c=")</f>
        <v>#VALUE!</v>
      </c>
      <c r="BU22" t="e">
        <f>AND('SPR BARRANQUILLA'!CE22,"AAAAAF6/r0g=")</f>
        <v>#VALUE!</v>
      </c>
      <c r="BV22" t="e">
        <f>AND('SPR BARRANQUILLA'!CF22,"AAAAAF6/r0k=")</f>
        <v>#VALUE!</v>
      </c>
      <c r="BW22" t="e">
        <f>AND('SPR BARRANQUILLA'!CG22,"AAAAAF6/r0o=")</f>
        <v>#VALUE!</v>
      </c>
      <c r="BX22" t="e">
        <f>AND('SPR BARRANQUILLA'!CH22,"AAAAAF6/r0s=")</f>
        <v>#VALUE!</v>
      </c>
      <c r="BY22" t="e">
        <f>AND('SPR BARRANQUILLA'!CI22,"AAAAAF6/r0w=")</f>
        <v>#VALUE!</v>
      </c>
      <c r="BZ22" t="e">
        <f>AND('SPR BARRANQUILLA'!CJ22,"AAAAAF6/r00=")</f>
        <v>#VALUE!</v>
      </c>
      <c r="CA22" t="e">
        <f>AND('SPR BARRANQUILLA'!CK22,"AAAAAF6/r04=")</f>
        <v>#VALUE!</v>
      </c>
      <c r="CB22" t="e">
        <f>AND('SPR BARRANQUILLA'!CL22,"AAAAAF6/r08=")</f>
        <v>#VALUE!</v>
      </c>
      <c r="CC22" t="e">
        <f>AND('SPR BARRANQUILLA'!CM22,"AAAAAF6/r1A=")</f>
        <v>#VALUE!</v>
      </c>
      <c r="CD22" t="e">
        <f>AND('SPR BARRANQUILLA'!CN22,"AAAAAF6/r1E=")</f>
        <v>#VALUE!</v>
      </c>
      <c r="CE22" t="e">
        <f>AND('SPR BARRANQUILLA'!CO22,"AAAAAF6/r1I=")</f>
        <v>#VALUE!</v>
      </c>
      <c r="CF22" t="e">
        <f>AND('SPR BARRANQUILLA'!CP22,"AAAAAF6/r1M=")</f>
        <v>#VALUE!</v>
      </c>
      <c r="CG22" t="e">
        <f>AND('SPR BARRANQUILLA'!CQ22,"AAAAAF6/r1Q=")</f>
        <v>#VALUE!</v>
      </c>
      <c r="CH22" t="e">
        <f>AND('SPR BARRANQUILLA'!CR22,"AAAAAF6/r1U=")</f>
        <v>#VALUE!</v>
      </c>
      <c r="CI22" t="e">
        <f>AND('SPR BARRANQUILLA'!CS22,"AAAAAF6/r1Y=")</f>
        <v>#VALUE!</v>
      </c>
      <c r="CJ22" t="e">
        <f>AND('SPR BARRANQUILLA'!CT22,"AAAAAF6/r1c=")</f>
        <v>#VALUE!</v>
      </c>
      <c r="CK22" t="e">
        <f>AND('SPR BARRANQUILLA'!CU22,"AAAAAF6/r1g=")</f>
        <v>#VALUE!</v>
      </c>
      <c r="CL22" t="e">
        <f>AND('SPR BARRANQUILLA'!CV22,"AAAAAF6/r1k=")</f>
        <v>#VALUE!</v>
      </c>
      <c r="CM22" t="e">
        <f>AND('SPR BARRANQUILLA'!CW22,"AAAAAF6/r1o=")</f>
        <v>#VALUE!</v>
      </c>
      <c r="CN22" t="e">
        <f>AND('SPR BARRANQUILLA'!CX22,"AAAAAF6/r1s=")</f>
        <v>#VALUE!</v>
      </c>
      <c r="CO22" t="e">
        <f>AND('SPR BARRANQUILLA'!CY22,"AAAAAF6/r1w=")</f>
        <v>#VALUE!</v>
      </c>
      <c r="CP22" t="e">
        <f>AND('SPR BARRANQUILLA'!CZ22,"AAAAAF6/r10=")</f>
        <v>#VALUE!</v>
      </c>
      <c r="CQ22" t="e">
        <f>AND('SPR BARRANQUILLA'!DA22,"AAAAAF6/r14=")</f>
        <v>#VALUE!</v>
      </c>
      <c r="CR22" t="e">
        <f>AND('SPR BARRANQUILLA'!DB22,"AAAAAF6/r18=")</f>
        <v>#VALUE!</v>
      </c>
      <c r="CS22" t="e">
        <f>AND('SPR BARRANQUILLA'!DC22,"AAAAAF6/r2A=")</f>
        <v>#VALUE!</v>
      </c>
      <c r="CT22" t="e">
        <f>AND('SPR BARRANQUILLA'!DD22,"AAAAAF6/r2E=")</f>
        <v>#VALUE!</v>
      </c>
      <c r="CU22" t="e">
        <f>AND('SPR BARRANQUILLA'!DE22,"AAAAAF6/r2I=")</f>
        <v>#VALUE!</v>
      </c>
      <c r="CV22" t="e">
        <f>AND('SPR BARRANQUILLA'!DF22,"AAAAAF6/r2M=")</f>
        <v>#VALUE!</v>
      </c>
      <c r="CW22" t="e">
        <f>AND('SPR BARRANQUILLA'!DG22,"AAAAAF6/r2Q=")</f>
        <v>#VALUE!</v>
      </c>
      <c r="CX22" t="e">
        <f>AND('SPR BARRANQUILLA'!DH22,"AAAAAF6/r2U=")</f>
        <v>#VALUE!</v>
      </c>
      <c r="CY22" t="e">
        <f>AND('SPR BARRANQUILLA'!DI22,"AAAAAF6/r2Y=")</f>
        <v>#VALUE!</v>
      </c>
      <c r="CZ22" t="e">
        <f>AND('SPR BARRANQUILLA'!DJ22,"AAAAAF6/r2c=")</f>
        <v>#VALUE!</v>
      </c>
      <c r="DA22" t="e">
        <f>AND('SPR BARRANQUILLA'!DK22,"AAAAAF6/r2g=")</f>
        <v>#VALUE!</v>
      </c>
      <c r="DB22" t="e">
        <f>AND('SPR BARRANQUILLA'!DL22,"AAAAAF6/r2k=")</f>
        <v>#VALUE!</v>
      </c>
      <c r="DC22" t="e">
        <f>AND('SPR BARRANQUILLA'!DM22,"AAAAAF6/r2o=")</f>
        <v>#VALUE!</v>
      </c>
      <c r="DD22" t="e">
        <f>AND('SPR BARRANQUILLA'!DN22,"AAAAAF6/r2s=")</f>
        <v>#VALUE!</v>
      </c>
      <c r="DE22" t="e">
        <f>AND('SPR BARRANQUILLA'!DO22,"AAAAAF6/r2w=")</f>
        <v>#VALUE!</v>
      </c>
      <c r="DF22" t="e">
        <f>AND('SPR BARRANQUILLA'!DP22,"AAAAAF6/r20=")</f>
        <v>#VALUE!</v>
      </c>
      <c r="DG22" t="e">
        <f>AND('SPR BARRANQUILLA'!DQ22,"AAAAAF6/r24=")</f>
        <v>#VALUE!</v>
      </c>
      <c r="DH22" t="e">
        <f>AND('SPR BARRANQUILLA'!DR22,"AAAAAF6/r28=")</f>
        <v>#VALUE!</v>
      </c>
      <c r="DI22" t="e">
        <f>AND('SPR BARRANQUILLA'!DS22,"AAAAAF6/r3A=")</f>
        <v>#VALUE!</v>
      </c>
      <c r="DJ22" t="e">
        <f>AND('SPR BARRANQUILLA'!DT22,"AAAAAF6/r3E=")</f>
        <v>#VALUE!</v>
      </c>
      <c r="DK22" t="e">
        <f>AND('SPR BARRANQUILLA'!DU22,"AAAAAF6/r3I=")</f>
        <v>#VALUE!</v>
      </c>
      <c r="DL22" t="e">
        <f>AND('SPR BARRANQUILLA'!DV22,"AAAAAF6/r3M=")</f>
        <v>#VALUE!</v>
      </c>
      <c r="DM22" t="e">
        <f>AND('SPR BARRANQUILLA'!DW22,"AAAAAF6/r3Q=")</f>
        <v>#VALUE!</v>
      </c>
      <c r="DN22" t="e">
        <f>AND('SPR BARRANQUILLA'!DX22,"AAAAAF6/r3U=")</f>
        <v>#VALUE!</v>
      </c>
      <c r="DO22" t="e">
        <f>AND('SPR BARRANQUILLA'!DY22,"AAAAAF6/r3Y=")</f>
        <v>#VALUE!</v>
      </c>
      <c r="DP22" t="e">
        <f>AND('SPR BARRANQUILLA'!DZ22,"AAAAAF6/r3c=")</f>
        <v>#VALUE!</v>
      </c>
      <c r="DQ22" t="e">
        <f>AND('SPR BARRANQUILLA'!EA22,"AAAAAF6/r3g=")</f>
        <v>#VALUE!</v>
      </c>
      <c r="DR22" t="e">
        <f>AND('SPR BARRANQUILLA'!EB22,"AAAAAF6/r3k=")</f>
        <v>#VALUE!</v>
      </c>
      <c r="DS22" t="e">
        <f>AND('SPR BARRANQUILLA'!EC22,"AAAAAF6/r3o=")</f>
        <v>#VALUE!</v>
      </c>
      <c r="DT22" t="e">
        <f>AND('SPR BARRANQUILLA'!ED22,"AAAAAF6/r3s=")</f>
        <v>#VALUE!</v>
      </c>
      <c r="DU22" t="e">
        <f>AND('SPR BARRANQUILLA'!EE22,"AAAAAF6/r3w=")</f>
        <v>#VALUE!</v>
      </c>
      <c r="DV22" t="e">
        <f>AND('SPR BARRANQUILLA'!EF22,"AAAAAF6/r30=")</f>
        <v>#VALUE!</v>
      </c>
      <c r="DW22" t="e">
        <f>AND('SPR BARRANQUILLA'!EG22,"AAAAAF6/r34=")</f>
        <v>#VALUE!</v>
      </c>
      <c r="DX22" t="e">
        <f>AND('SPR BARRANQUILLA'!EH22,"AAAAAF6/r38=")</f>
        <v>#VALUE!</v>
      </c>
      <c r="DY22" t="e">
        <f>AND('SPR BARRANQUILLA'!EI22,"AAAAAF6/r4A=")</f>
        <v>#VALUE!</v>
      </c>
      <c r="DZ22" t="e">
        <f>AND('SPR BARRANQUILLA'!EJ22,"AAAAAF6/r4E=")</f>
        <v>#VALUE!</v>
      </c>
      <c r="EA22" t="e">
        <f>AND('SPR BARRANQUILLA'!EK22,"AAAAAF6/r4I=")</f>
        <v>#VALUE!</v>
      </c>
      <c r="EB22" t="e">
        <f>AND('SPR BARRANQUILLA'!EL22,"AAAAAF6/r4M=")</f>
        <v>#VALUE!</v>
      </c>
      <c r="EC22" t="e">
        <f>AND('SPR BARRANQUILLA'!EM22,"AAAAAF6/r4Q=")</f>
        <v>#VALUE!</v>
      </c>
      <c r="ED22" t="e">
        <f>AND('SPR BARRANQUILLA'!EN22,"AAAAAF6/r4U=")</f>
        <v>#VALUE!</v>
      </c>
      <c r="EE22" t="e">
        <f>AND('SPR BARRANQUILLA'!EO22,"AAAAAF6/r4Y=")</f>
        <v>#VALUE!</v>
      </c>
      <c r="EF22" t="e">
        <f>AND('SPR BARRANQUILLA'!EP22,"AAAAAF6/r4c=")</f>
        <v>#VALUE!</v>
      </c>
      <c r="EG22" t="e">
        <f>AND('SPR BARRANQUILLA'!EQ22,"AAAAAF6/r4g=")</f>
        <v>#VALUE!</v>
      </c>
      <c r="EH22" t="e">
        <f>AND('SPR BARRANQUILLA'!ER22,"AAAAAF6/r4k=")</f>
        <v>#VALUE!</v>
      </c>
      <c r="EI22" t="e">
        <f>AND('SPR BARRANQUILLA'!ES22,"AAAAAF6/r4o=")</f>
        <v>#VALUE!</v>
      </c>
      <c r="EJ22" t="e">
        <f>AND('SPR BARRANQUILLA'!ET22,"AAAAAF6/r4s=")</f>
        <v>#VALUE!</v>
      </c>
      <c r="EK22" t="e">
        <f>AND('SPR BARRANQUILLA'!EU22,"AAAAAF6/r4w=")</f>
        <v>#VALUE!</v>
      </c>
      <c r="EL22" t="e">
        <f>AND('SPR BARRANQUILLA'!EV22,"AAAAAF6/r40=")</f>
        <v>#VALUE!</v>
      </c>
      <c r="EM22" t="e">
        <f>AND('SPR BARRANQUILLA'!EW22,"AAAAAF6/r44=")</f>
        <v>#VALUE!</v>
      </c>
      <c r="EN22" t="e">
        <f>AND('SPR BARRANQUILLA'!EX22,"AAAAAF6/r48=")</f>
        <v>#VALUE!</v>
      </c>
      <c r="EO22" t="e">
        <f>AND('SPR BARRANQUILLA'!EY22,"AAAAAF6/r5A=")</f>
        <v>#VALUE!</v>
      </c>
      <c r="EP22" t="e">
        <f>AND('SPR BARRANQUILLA'!EZ22,"AAAAAF6/r5E=")</f>
        <v>#VALUE!</v>
      </c>
      <c r="EQ22" t="e">
        <f>AND('SPR BARRANQUILLA'!FA22,"AAAAAF6/r5I=")</f>
        <v>#VALUE!</v>
      </c>
      <c r="ER22" t="e">
        <f>AND('SPR BARRANQUILLA'!FB22,"AAAAAF6/r5M=")</f>
        <v>#VALUE!</v>
      </c>
      <c r="ES22" t="e">
        <f>AND('SPR BARRANQUILLA'!FC22,"AAAAAF6/r5Q=")</f>
        <v>#VALUE!</v>
      </c>
      <c r="ET22" t="e">
        <f>AND('SPR BARRANQUILLA'!FD22,"AAAAAF6/r5U=")</f>
        <v>#VALUE!</v>
      </c>
      <c r="EU22" t="e">
        <f>AND('SPR BARRANQUILLA'!FE22,"AAAAAF6/r5Y=")</f>
        <v>#VALUE!</v>
      </c>
      <c r="EV22" t="e">
        <f>AND('SPR BARRANQUILLA'!FF22,"AAAAAF6/r5c=")</f>
        <v>#VALUE!</v>
      </c>
      <c r="EW22" t="e">
        <f>AND('SPR BARRANQUILLA'!FG22,"AAAAAF6/r5g=")</f>
        <v>#VALUE!</v>
      </c>
      <c r="EX22" t="e">
        <f>AND('SPR BARRANQUILLA'!FH22,"AAAAAF6/r5k=")</f>
        <v>#VALUE!</v>
      </c>
      <c r="EY22" t="e">
        <f>AND('SPR BARRANQUILLA'!FI22,"AAAAAF6/r5o=")</f>
        <v>#VALUE!</v>
      </c>
      <c r="EZ22" t="e">
        <f>AND('SPR BARRANQUILLA'!FJ22,"AAAAAF6/r5s=")</f>
        <v>#VALUE!</v>
      </c>
      <c r="FA22" t="e">
        <f>AND('SPR BARRANQUILLA'!FK22,"AAAAAF6/r5w=")</f>
        <v>#VALUE!</v>
      </c>
      <c r="FB22" t="e">
        <f>AND('SPR BARRANQUILLA'!FL22,"AAAAAF6/r50=")</f>
        <v>#VALUE!</v>
      </c>
      <c r="FC22" t="e">
        <f>AND('SPR BARRANQUILLA'!FM22,"AAAAAF6/r54=")</f>
        <v>#VALUE!</v>
      </c>
      <c r="FD22" t="e">
        <f>AND('SPR BARRANQUILLA'!FN22,"AAAAAF6/r58=")</f>
        <v>#VALUE!</v>
      </c>
      <c r="FE22" t="e">
        <f>AND('SPR BARRANQUILLA'!FO22,"AAAAAF6/r6A=")</f>
        <v>#VALUE!</v>
      </c>
      <c r="FF22" t="e">
        <f>AND('SPR BARRANQUILLA'!FP22,"AAAAAF6/r6E=")</f>
        <v>#VALUE!</v>
      </c>
      <c r="FG22" t="e">
        <f>AND('SPR BARRANQUILLA'!FQ22,"AAAAAF6/r6I=")</f>
        <v>#VALUE!</v>
      </c>
      <c r="FH22" t="e">
        <f>AND('SPR BARRANQUILLA'!FR22,"AAAAAF6/r6M=")</f>
        <v>#VALUE!</v>
      </c>
      <c r="FI22" t="e">
        <f>AND('SPR BARRANQUILLA'!FS22,"AAAAAF6/r6Q=")</f>
        <v>#VALUE!</v>
      </c>
      <c r="FJ22" t="e">
        <f>AND('SPR BARRANQUILLA'!FT22,"AAAAAF6/r6U=")</f>
        <v>#VALUE!</v>
      </c>
      <c r="FK22" t="e">
        <f>AND('SPR BARRANQUILLA'!FU22,"AAAAAF6/r6Y=")</f>
        <v>#VALUE!</v>
      </c>
      <c r="FL22" t="e">
        <f>AND('SPR BARRANQUILLA'!FV22,"AAAAAF6/r6c=")</f>
        <v>#VALUE!</v>
      </c>
      <c r="FM22" t="e">
        <f>AND('SPR BARRANQUILLA'!FW22,"AAAAAF6/r6g=")</f>
        <v>#VALUE!</v>
      </c>
      <c r="FN22" t="e">
        <f>AND('SPR BARRANQUILLA'!FX22,"AAAAAF6/r6k=")</f>
        <v>#VALUE!</v>
      </c>
      <c r="FO22" t="e">
        <f>AND('SPR BARRANQUILLA'!FY22,"AAAAAF6/r6o=")</f>
        <v>#VALUE!</v>
      </c>
      <c r="FP22" t="e">
        <f>AND('SPR BARRANQUILLA'!FZ22,"AAAAAF6/r6s=")</f>
        <v>#VALUE!</v>
      </c>
      <c r="FQ22" t="e">
        <f>AND('SPR BARRANQUILLA'!GA22,"AAAAAF6/r6w=")</f>
        <v>#VALUE!</v>
      </c>
      <c r="FR22" t="e">
        <f>AND('SPR BARRANQUILLA'!GB22,"AAAAAF6/r60=")</f>
        <v>#VALUE!</v>
      </c>
      <c r="FS22" t="e">
        <f>AND('SPR BARRANQUILLA'!GC22,"AAAAAF6/r64=")</f>
        <v>#VALUE!</v>
      </c>
      <c r="FT22" t="e">
        <f>AND('SPR BARRANQUILLA'!GD22,"AAAAAF6/r68=")</f>
        <v>#VALUE!</v>
      </c>
      <c r="FU22" t="e">
        <f>AND('SPR BARRANQUILLA'!GE22,"AAAAAF6/r7A=")</f>
        <v>#VALUE!</v>
      </c>
      <c r="FV22" t="e">
        <f>AND('SPR BARRANQUILLA'!GF22,"AAAAAF6/r7E=")</f>
        <v>#VALUE!</v>
      </c>
      <c r="FW22" t="e">
        <f>AND('SPR BARRANQUILLA'!GG22,"AAAAAF6/r7I=")</f>
        <v>#VALUE!</v>
      </c>
      <c r="FX22" t="e">
        <f>AND('SPR BARRANQUILLA'!GH22,"AAAAAF6/r7M=")</f>
        <v>#VALUE!</v>
      </c>
      <c r="FY22" t="e">
        <f>AND('SPR BARRANQUILLA'!GI22,"AAAAAF6/r7Q=")</f>
        <v>#VALUE!</v>
      </c>
      <c r="FZ22" t="e">
        <f>AND('SPR BARRANQUILLA'!GJ22,"AAAAAF6/r7U=")</f>
        <v>#VALUE!</v>
      </c>
      <c r="GA22" t="e">
        <f>AND('SPR BARRANQUILLA'!GK22,"AAAAAF6/r7Y=")</f>
        <v>#VALUE!</v>
      </c>
      <c r="GB22" t="e">
        <f>AND('SPR BARRANQUILLA'!GL22,"AAAAAF6/r7c=")</f>
        <v>#VALUE!</v>
      </c>
      <c r="GC22" t="e">
        <f>AND('SPR BARRANQUILLA'!GM22,"AAAAAF6/r7g=")</f>
        <v>#VALUE!</v>
      </c>
      <c r="GD22" t="e">
        <f>AND('SPR BARRANQUILLA'!GN22,"AAAAAF6/r7k=")</f>
        <v>#VALUE!</v>
      </c>
      <c r="GE22" t="e">
        <f>AND('SPR BARRANQUILLA'!GO22,"AAAAAF6/r7o=")</f>
        <v>#VALUE!</v>
      </c>
      <c r="GF22" t="e">
        <f>AND('SPR BARRANQUILLA'!GP22,"AAAAAF6/r7s=")</f>
        <v>#VALUE!</v>
      </c>
      <c r="GG22" t="e">
        <f>AND('SPR BARRANQUILLA'!GQ22,"AAAAAF6/r7w=")</f>
        <v>#VALUE!</v>
      </c>
      <c r="GH22" t="e">
        <f>AND('SPR BARRANQUILLA'!GR22,"AAAAAF6/r70=")</f>
        <v>#VALUE!</v>
      </c>
      <c r="GI22" t="e">
        <f>AND('SPR BARRANQUILLA'!GS22,"AAAAAF6/r74=")</f>
        <v>#VALUE!</v>
      </c>
      <c r="GJ22" t="e">
        <f>AND('SPR BARRANQUILLA'!GT22,"AAAAAF6/r78=")</f>
        <v>#VALUE!</v>
      </c>
      <c r="GK22" t="e">
        <f>AND('SPR BARRANQUILLA'!GU22,"AAAAAF6/r8A=")</f>
        <v>#VALUE!</v>
      </c>
      <c r="GL22" t="e">
        <f>AND('SPR BARRANQUILLA'!GV22,"AAAAAF6/r8E=")</f>
        <v>#VALUE!</v>
      </c>
      <c r="GM22" t="e">
        <f>AND('SPR BARRANQUILLA'!GW22,"AAAAAF6/r8I=")</f>
        <v>#VALUE!</v>
      </c>
      <c r="GN22" t="e">
        <f>AND('SPR BARRANQUILLA'!GX22,"AAAAAF6/r8M=")</f>
        <v>#VALUE!</v>
      </c>
      <c r="GO22" t="e">
        <f>AND('SPR BARRANQUILLA'!GY22,"AAAAAF6/r8Q=")</f>
        <v>#VALUE!</v>
      </c>
      <c r="GP22">
        <f>IF('SPR BARRANQUILLA'!23:23,"AAAAAF6/r8U=",0)</f>
        <v>0</v>
      </c>
      <c r="GQ22" t="e">
        <f>AND('SPR BARRANQUILLA'!A23,"AAAAAF6/r8Y=")</f>
        <v>#VALUE!</v>
      </c>
      <c r="GR22" t="e">
        <f>AND('SPR BARRANQUILLA'!B23,"AAAAAF6/r8c=")</f>
        <v>#VALUE!</v>
      </c>
      <c r="GS22" t="e">
        <f>AND('SPR BARRANQUILLA'!C23,"AAAAAF6/r8g=")</f>
        <v>#VALUE!</v>
      </c>
      <c r="GT22" t="e">
        <f>AND('SPR BARRANQUILLA'!D23,"AAAAAF6/r8k=")</f>
        <v>#VALUE!</v>
      </c>
      <c r="GU22" t="e">
        <f>AND('SPR BARRANQUILLA'!E23,"AAAAAF6/r8o=")</f>
        <v>#VALUE!</v>
      </c>
      <c r="GV22" t="e">
        <f>AND('SPR BARRANQUILLA'!F23,"AAAAAF6/r8s=")</f>
        <v>#VALUE!</v>
      </c>
      <c r="GW22" t="e">
        <f>AND('SPR BARRANQUILLA'!G23,"AAAAAF6/r8w=")</f>
        <v>#VALUE!</v>
      </c>
      <c r="GX22" t="e">
        <f>AND('SPR BARRANQUILLA'!H23,"AAAAAF6/r80=")</f>
        <v>#VALUE!</v>
      </c>
      <c r="GY22" t="e">
        <f>AND('SPR BARRANQUILLA'!I23,"AAAAAF6/r84=")</f>
        <v>#VALUE!</v>
      </c>
      <c r="GZ22" t="e">
        <f>AND('SPR BARRANQUILLA'!J23,"AAAAAF6/r88=")</f>
        <v>#VALUE!</v>
      </c>
      <c r="HA22" t="e">
        <f>AND('SPR BARRANQUILLA'!K23,"AAAAAF6/r9A=")</f>
        <v>#VALUE!</v>
      </c>
      <c r="HB22" t="e">
        <f>AND('SPR BARRANQUILLA'!L23,"AAAAAF6/r9E=")</f>
        <v>#VALUE!</v>
      </c>
      <c r="HC22" t="e">
        <f>AND('SPR BARRANQUILLA'!M23,"AAAAAF6/r9I=")</f>
        <v>#VALUE!</v>
      </c>
      <c r="HD22" t="e">
        <f>AND('SPR BARRANQUILLA'!N23,"AAAAAF6/r9M=")</f>
        <v>#VALUE!</v>
      </c>
      <c r="HE22" t="e">
        <f>AND('SPR BARRANQUILLA'!O23,"AAAAAF6/r9Q=")</f>
        <v>#VALUE!</v>
      </c>
      <c r="HF22" t="e">
        <f>AND('SPR BARRANQUILLA'!P23,"AAAAAF6/r9U=")</f>
        <v>#VALUE!</v>
      </c>
      <c r="HG22" t="e">
        <f>AND('SPR BARRANQUILLA'!Q23,"AAAAAF6/r9Y=")</f>
        <v>#VALUE!</v>
      </c>
      <c r="HH22" t="e">
        <f>AND('SPR BARRANQUILLA'!R23,"AAAAAF6/r9c=")</f>
        <v>#VALUE!</v>
      </c>
      <c r="HI22" t="e">
        <f>AND('SPR BARRANQUILLA'!S23,"AAAAAF6/r9g=")</f>
        <v>#VALUE!</v>
      </c>
      <c r="HJ22" t="e">
        <f>AND('SPR BARRANQUILLA'!T23,"AAAAAF6/r9k=")</f>
        <v>#VALUE!</v>
      </c>
      <c r="HK22" t="e">
        <f>AND('SPR BARRANQUILLA'!U23,"AAAAAF6/r9o=")</f>
        <v>#VALUE!</v>
      </c>
      <c r="HL22" t="e">
        <f>AND('SPR BARRANQUILLA'!V23,"AAAAAF6/r9s=")</f>
        <v>#VALUE!</v>
      </c>
      <c r="HM22" t="e">
        <f>AND('SPR BARRANQUILLA'!W23,"AAAAAF6/r9w=")</f>
        <v>#VALUE!</v>
      </c>
      <c r="HN22" t="e">
        <f>AND('SPR BARRANQUILLA'!X23,"AAAAAF6/r90=")</f>
        <v>#VALUE!</v>
      </c>
      <c r="HO22" t="e">
        <f>AND('SPR BARRANQUILLA'!Y23,"AAAAAF6/r94=")</f>
        <v>#VALUE!</v>
      </c>
      <c r="HP22" t="e">
        <f>AND('SPR BARRANQUILLA'!Z23,"AAAAAF6/r98=")</f>
        <v>#VALUE!</v>
      </c>
      <c r="HQ22" t="e">
        <f>AND('SPR BARRANQUILLA'!AA23,"AAAAAF6/r+A=")</f>
        <v>#VALUE!</v>
      </c>
      <c r="HR22" t="e">
        <f>AND('SPR BARRANQUILLA'!AB23,"AAAAAF6/r+E=")</f>
        <v>#VALUE!</v>
      </c>
      <c r="HS22" t="e">
        <f>AND('SPR BARRANQUILLA'!AC23,"AAAAAF6/r+I=")</f>
        <v>#VALUE!</v>
      </c>
      <c r="HT22" t="e">
        <f>AND('SPR BARRANQUILLA'!AD23,"AAAAAF6/r+M=")</f>
        <v>#VALUE!</v>
      </c>
      <c r="HU22" t="e">
        <f>AND('SPR BARRANQUILLA'!AE23,"AAAAAF6/r+Q=")</f>
        <v>#VALUE!</v>
      </c>
      <c r="HV22" t="e">
        <f>AND('SPR BARRANQUILLA'!AF23,"AAAAAF6/r+U=")</f>
        <v>#VALUE!</v>
      </c>
      <c r="HW22" t="e">
        <f>AND('SPR BARRANQUILLA'!AG23,"AAAAAF6/r+Y=")</f>
        <v>#VALUE!</v>
      </c>
      <c r="HX22" t="e">
        <f>AND('SPR BARRANQUILLA'!AH23,"AAAAAF6/r+c=")</f>
        <v>#VALUE!</v>
      </c>
      <c r="HY22" t="e">
        <f>AND('SPR BARRANQUILLA'!AI23,"AAAAAF6/r+g=")</f>
        <v>#VALUE!</v>
      </c>
      <c r="HZ22" t="e">
        <f>AND('SPR BARRANQUILLA'!AJ23,"AAAAAF6/r+k=")</f>
        <v>#VALUE!</v>
      </c>
      <c r="IA22" t="e">
        <f>AND('SPR BARRANQUILLA'!AK23,"AAAAAF6/r+o=")</f>
        <v>#VALUE!</v>
      </c>
      <c r="IB22" t="e">
        <f>AND('SPR BARRANQUILLA'!AL23,"AAAAAF6/r+s=")</f>
        <v>#VALUE!</v>
      </c>
      <c r="IC22" t="e">
        <f>AND('SPR BARRANQUILLA'!AM23,"AAAAAF6/r+w=")</f>
        <v>#VALUE!</v>
      </c>
      <c r="ID22" t="e">
        <f>AND('SPR BARRANQUILLA'!AN23,"AAAAAF6/r+0=")</f>
        <v>#VALUE!</v>
      </c>
      <c r="IE22" t="e">
        <f>AND('SPR BARRANQUILLA'!AO23,"AAAAAF6/r+4=")</f>
        <v>#VALUE!</v>
      </c>
      <c r="IF22" t="e">
        <f>AND('SPR BARRANQUILLA'!AP23,"AAAAAF6/r+8=")</f>
        <v>#VALUE!</v>
      </c>
      <c r="IG22" t="e">
        <f>AND('SPR BARRANQUILLA'!AQ23,"AAAAAF6/r/A=")</f>
        <v>#VALUE!</v>
      </c>
      <c r="IH22" t="e">
        <f>AND('SPR BARRANQUILLA'!AR23,"AAAAAF6/r/E=")</f>
        <v>#VALUE!</v>
      </c>
      <c r="II22" t="e">
        <f>AND('SPR BARRANQUILLA'!AS23,"AAAAAF6/r/I=")</f>
        <v>#VALUE!</v>
      </c>
      <c r="IJ22" t="e">
        <f>AND('SPR BARRANQUILLA'!AT23,"AAAAAF6/r/M=")</f>
        <v>#VALUE!</v>
      </c>
      <c r="IK22" t="e">
        <f>AND('SPR BARRANQUILLA'!AU23,"AAAAAF6/r/Q=")</f>
        <v>#VALUE!</v>
      </c>
      <c r="IL22" t="e">
        <f>AND('SPR BARRANQUILLA'!AV23,"AAAAAF6/r/U=")</f>
        <v>#VALUE!</v>
      </c>
      <c r="IM22" t="e">
        <f>AND('SPR BARRANQUILLA'!AW23,"AAAAAF6/r/Y=")</f>
        <v>#VALUE!</v>
      </c>
      <c r="IN22" t="e">
        <f>AND('SPR BARRANQUILLA'!AX23,"AAAAAF6/r/c=")</f>
        <v>#VALUE!</v>
      </c>
      <c r="IO22" t="e">
        <f>AND('SPR BARRANQUILLA'!AY23,"AAAAAF6/r/g=")</f>
        <v>#VALUE!</v>
      </c>
      <c r="IP22" t="e">
        <f>AND('SPR BARRANQUILLA'!AZ23,"AAAAAF6/r/k=")</f>
        <v>#VALUE!</v>
      </c>
      <c r="IQ22" t="e">
        <f>AND('SPR BARRANQUILLA'!BA23,"AAAAAF6/r/o=")</f>
        <v>#VALUE!</v>
      </c>
      <c r="IR22" t="e">
        <f>AND('SPR BARRANQUILLA'!BB23,"AAAAAF6/r/s=")</f>
        <v>#VALUE!</v>
      </c>
      <c r="IS22" t="e">
        <f>AND('SPR BARRANQUILLA'!BC23,"AAAAAF6/r/w=")</f>
        <v>#VALUE!</v>
      </c>
      <c r="IT22" t="e">
        <f>AND('SPR BARRANQUILLA'!BD23,"AAAAAF6/r/0=")</f>
        <v>#VALUE!</v>
      </c>
      <c r="IU22" t="e">
        <f>AND('SPR BARRANQUILLA'!BE23,"AAAAAF6/r/4=")</f>
        <v>#VALUE!</v>
      </c>
      <c r="IV22" t="e">
        <f>AND('SPR BARRANQUILLA'!BF23,"AAAAAF6/r/8=")</f>
        <v>#VALUE!</v>
      </c>
    </row>
    <row r="23" spans="1:256">
      <c r="A23" t="e">
        <f>AND('SPR BARRANQUILLA'!BG23,"AAAAADPK/wA=")</f>
        <v>#VALUE!</v>
      </c>
      <c r="B23" t="e">
        <f>AND('SPR BARRANQUILLA'!BH23,"AAAAADPK/wE=")</f>
        <v>#VALUE!</v>
      </c>
      <c r="C23" t="e">
        <f>AND('SPR BARRANQUILLA'!BI23,"AAAAADPK/wI=")</f>
        <v>#VALUE!</v>
      </c>
      <c r="D23" t="e">
        <f>AND('SPR BARRANQUILLA'!BJ23,"AAAAADPK/wM=")</f>
        <v>#VALUE!</v>
      </c>
      <c r="E23" t="e">
        <f>AND('SPR BARRANQUILLA'!BK23,"AAAAADPK/wQ=")</f>
        <v>#VALUE!</v>
      </c>
      <c r="F23" t="e">
        <f>AND('SPR BARRANQUILLA'!BL23,"AAAAADPK/wU=")</f>
        <v>#VALUE!</v>
      </c>
      <c r="G23" t="e">
        <f>AND('SPR BARRANQUILLA'!BM23,"AAAAADPK/wY=")</f>
        <v>#VALUE!</v>
      </c>
      <c r="H23" t="e">
        <f>AND('SPR BARRANQUILLA'!BN23,"AAAAADPK/wc=")</f>
        <v>#VALUE!</v>
      </c>
      <c r="I23" t="e">
        <f>AND('SPR BARRANQUILLA'!BO23,"AAAAADPK/wg=")</f>
        <v>#VALUE!</v>
      </c>
      <c r="J23" t="e">
        <f>AND('SPR BARRANQUILLA'!BP23,"AAAAADPK/wk=")</f>
        <v>#VALUE!</v>
      </c>
      <c r="K23" t="e">
        <f>AND('SPR BARRANQUILLA'!BQ23,"AAAAADPK/wo=")</f>
        <v>#VALUE!</v>
      </c>
      <c r="L23" t="e">
        <f>AND('SPR BARRANQUILLA'!BR23,"AAAAADPK/ws=")</f>
        <v>#VALUE!</v>
      </c>
      <c r="M23" t="e">
        <f>AND('SPR BARRANQUILLA'!BS23,"AAAAADPK/ww=")</f>
        <v>#VALUE!</v>
      </c>
      <c r="N23" t="e">
        <f>AND('SPR BARRANQUILLA'!BT23,"AAAAADPK/w0=")</f>
        <v>#VALUE!</v>
      </c>
      <c r="O23" t="e">
        <f>AND('SPR BARRANQUILLA'!BU23,"AAAAADPK/w4=")</f>
        <v>#VALUE!</v>
      </c>
      <c r="P23" t="e">
        <f>AND('SPR BARRANQUILLA'!BV23,"AAAAADPK/w8=")</f>
        <v>#VALUE!</v>
      </c>
      <c r="Q23" t="e">
        <f>AND('SPR BARRANQUILLA'!BW23,"AAAAADPK/xA=")</f>
        <v>#VALUE!</v>
      </c>
      <c r="R23" t="e">
        <f>AND('SPR BARRANQUILLA'!BX23,"AAAAADPK/xE=")</f>
        <v>#VALUE!</v>
      </c>
      <c r="S23" t="e">
        <f>AND('SPR BARRANQUILLA'!BY23,"AAAAADPK/xI=")</f>
        <v>#VALUE!</v>
      </c>
      <c r="T23" t="e">
        <f>AND('SPR BARRANQUILLA'!BZ23,"AAAAADPK/xM=")</f>
        <v>#VALUE!</v>
      </c>
      <c r="U23" t="e">
        <f>AND('SPR BARRANQUILLA'!CA23,"AAAAADPK/xQ=")</f>
        <v>#VALUE!</v>
      </c>
      <c r="V23" t="e">
        <f>AND('SPR BARRANQUILLA'!CB23,"AAAAADPK/xU=")</f>
        <v>#VALUE!</v>
      </c>
      <c r="W23" t="e">
        <f>AND('SPR BARRANQUILLA'!CC23,"AAAAADPK/xY=")</f>
        <v>#VALUE!</v>
      </c>
      <c r="X23" t="e">
        <f>AND('SPR BARRANQUILLA'!CD23,"AAAAADPK/xc=")</f>
        <v>#VALUE!</v>
      </c>
      <c r="Y23" t="e">
        <f>AND('SPR BARRANQUILLA'!CE23,"AAAAADPK/xg=")</f>
        <v>#VALUE!</v>
      </c>
      <c r="Z23" t="e">
        <f>AND('SPR BARRANQUILLA'!CF23,"AAAAADPK/xk=")</f>
        <v>#VALUE!</v>
      </c>
      <c r="AA23" t="e">
        <f>AND('SPR BARRANQUILLA'!CG23,"AAAAADPK/xo=")</f>
        <v>#VALUE!</v>
      </c>
      <c r="AB23" t="e">
        <f>AND('SPR BARRANQUILLA'!CH23,"AAAAADPK/xs=")</f>
        <v>#VALUE!</v>
      </c>
      <c r="AC23" t="e">
        <f>AND('SPR BARRANQUILLA'!CI23,"AAAAADPK/xw=")</f>
        <v>#VALUE!</v>
      </c>
      <c r="AD23" t="e">
        <f>AND('SPR BARRANQUILLA'!CJ23,"AAAAADPK/x0=")</f>
        <v>#VALUE!</v>
      </c>
      <c r="AE23" t="e">
        <f>AND('SPR BARRANQUILLA'!CK23,"AAAAADPK/x4=")</f>
        <v>#VALUE!</v>
      </c>
      <c r="AF23" t="e">
        <f>AND('SPR BARRANQUILLA'!CL23,"AAAAADPK/x8=")</f>
        <v>#VALUE!</v>
      </c>
      <c r="AG23" t="e">
        <f>AND('SPR BARRANQUILLA'!CM23,"AAAAADPK/yA=")</f>
        <v>#VALUE!</v>
      </c>
      <c r="AH23" t="e">
        <f>AND('SPR BARRANQUILLA'!CN23,"AAAAADPK/yE=")</f>
        <v>#VALUE!</v>
      </c>
      <c r="AI23" t="e">
        <f>AND('SPR BARRANQUILLA'!CO23,"AAAAADPK/yI=")</f>
        <v>#VALUE!</v>
      </c>
      <c r="AJ23" t="e">
        <f>AND('SPR BARRANQUILLA'!CP23,"AAAAADPK/yM=")</f>
        <v>#VALUE!</v>
      </c>
      <c r="AK23" t="e">
        <f>AND('SPR BARRANQUILLA'!CQ23,"AAAAADPK/yQ=")</f>
        <v>#VALUE!</v>
      </c>
      <c r="AL23" t="e">
        <f>AND('SPR BARRANQUILLA'!CR23,"AAAAADPK/yU=")</f>
        <v>#VALUE!</v>
      </c>
      <c r="AM23" t="e">
        <f>AND('SPR BARRANQUILLA'!CS23,"AAAAADPK/yY=")</f>
        <v>#VALUE!</v>
      </c>
      <c r="AN23" t="e">
        <f>AND('SPR BARRANQUILLA'!CT23,"AAAAADPK/yc=")</f>
        <v>#VALUE!</v>
      </c>
      <c r="AO23" t="e">
        <f>AND('SPR BARRANQUILLA'!CU23,"AAAAADPK/yg=")</f>
        <v>#VALUE!</v>
      </c>
      <c r="AP23" t="e">
        <f>AND('SPR BARRANQUILLA'!CV23,"AAAAADPK/yk=")</f>
        <v>#VALUE!</v>
      </c>
      <c r="AQ23" t="e">
        <f>AND('SPR BARRANQUILLA'!CW23,"AAAAADPK/yo=")</f>
        <v>#VALUE!</v>
      </c>
      <c r="AR23" t="e">
        <f>AND('SPR BARRANQUILLA'!CX23,"AAAAADPK/ys=")</f>
        <v>#VALUE!</v>
      </c>
      <c r="AS23" t="e">
        <f>AND('SPR BARRANQUILLA'!CY23,"AAAAADPK/yw=")</f>
        <v>#VALUE!</v>
      </c>
      <c r="AT23" t="e">
        <f>AND('SPR BARRANQUILLA'!CZ23,"AAAAADPK/y0=")</f>
        <v>#VALUE!</v>
      </c>
      <c r="AU23" t="e">
        <f>AND('SPR BARRANQUILLA'!DA23,"AAAAADPK/y4=")</f>
        <v>#VALUE!</v>
      </c>
      <c r="AV23" t="e">
        <f>AND('SPR BARRANQUILLA'!DB23,"AAAAADPK/y8=")</f>
        <v>#VALUE!</v>
      </c>
      <c r="AW23" t="e">
        <f>AND('SPR BARRANQUILLA'!DC23,"AAAAADPK/zA=")</f>
        <v>#VALUE!</v>
      </c>
      <c r="AX23" t="e">
        <f>AND('SPR BARRANQUILLA'!DD23,"AAAAADPK/zE=")</f>
        <v>#VALUE!</v>
      </c>
      <c r="AY23" t="e">
        <f>AND('SPR BARRANQUILLA'!DE23,"AAAAADPK/zI=")</f>
        <v>#VALUE!</v>
      </c>
      <c r="AZ23" t="e">
        <f>AND('SPR BARRANQUILLA'!DF23,"AAAAADPK/zM=")</f>
        <v>#VALUE!</v>
      </c>
      <c r="BA23" t="e">
        <f>AND('SPR BARRANQUILLA'!DG23,"AAAAADPK/zQ=")</f>
        <v>#VALUE!</v>
      </c>
      <c r="BB23" t="e">
        <f>AND('SPR BARRANQUILLA'!DH23,"AAAAADPK/zU=")</f>
        <v>#VALUE!</v>
      </c>
      <c r="BC23" t="e">
        <f>AND('SPR BARRANQUILLA'!DI23,"AAAAADPK/zY=")</f>
        <v>#VALUE!</v>
      </c>
      <c r="BD23" t="e">
        <f>AND('SPR BARRANQUILLA'!DJ23,"AAAAADPK/zc=")</f>
        <v>#VALUE!</v>
      </c>
      <c r="BE23" t="e">
        <f>AND('SPR BARRANQUILLA'!DK23,"AAAAADPK/zg=")</f>
        <v>#VALUE!</v>
      </c>
      <c r="BF23" t="e">
        <f>AND('SPR BARRANQUILLA'!DL23,"AAAAADPK/zk=")</f>
        <v>#VALUE!</v>
      </c>
      <c r="BG23" t="e">
        <f>AND('SPR BARRANQUILLA'!DM23,"AAAAADPK/zo=")</f>
        <v>#VALUE!</v>
      </c>
      <c r="BH23" t="e">
        <f>AND('SPR BARRANQUILLA'!DN23,"AAAAADPK/zs=")</f>
        <v>#VALUE!</v>
      </c>
      <c r="BI23" t="e">
        <f>AND('SPR BARRANQUILLA'!DO23,"AAAAADPK/zw=")</f>
        <v>#VALUE!</v>
      </c>
      <c r="BJ23" t="e">
        <f>AND('SPR BARRANQUILLA'!DP23,"AAAAADPK/z0=")</f>
        <v>#VALUE!</v>
      </c>
      <c r="BK23" t="e">
        <f>AND('SPR BARRANQUILLA'!DQ23,"AAAAADPK/z4=")</f>
        <v>#VALUE!</v>
      </c>
      <c r="BL23" t="e">
        <f>AND('SPR BARRANQUILLA'!DR23,"AAAAADPK/z8=")</f>
        <v>#VALUE!</v>
      </c>
      <c r="BM23" t="e">
        <f>AND('SPR BARRANQUILLA'!DS23,"AAAAADPK/0A=")</f>
        <v>#VALUE!</v>
      </c>
      <c r="BN23" t="e">
        <f>AND('SPR BARRANQUILLA'!DT23,"AAAAADPK/0E=")</f>
        <v>#VALUE!</v>
      </c>
      <c r="BO23" t="e">
        <f>AND('SPR BARRANQUILLA'!DU23,"AAAAADPK/0I=")</f>
        <v>#VALUE!</v>
      </c>
      <c r="BP23" t="e">
        <f>AND('SPR BARRANQUILLA'!DV23,"AAAAADPK/0M=")</f>
        <v>#VALUE!</v>
      </c>
      <c r="BQ23" t="e">
        <f>AND('SPR BARRANQUILLA'!DW23,"AAAAADPK/0Q=")</f>
        <v>#VALUE!</v>
      </c>
      <c r="BR23" t="e">
        <f>AND('SPR BARRANQUILLA'!DX23,"AAAAADPK/0U=")</f>
        <v>#VALUE!</v>
      </c>
      <c r="BS23" t="e">
        <f>AND('SPR BARRANQUILLA'!DY23,"AAAAADPK/0Y=")</f>
        <v>#VALUE!</v>
      </c>
      <c r="BT23" t="e">
        <f>AND('SPR BARRANQUILLA'!DZ23,"AAAAADPK/0c=")</f>
        <v>#VALUE!</v>
      </c>
      <c r="BU23" t="e">
        <f>AND('SPR BARRANQUILLA'!EA23,"AAAAADPK/0g=")</f>
        <v>#VALUE!</v>
      </c>
      <c r="BV23" t="e">
        <f>AND('SPR BARRANQUILLA'!EB23,"AAAAADPK/0k=")</f>
        <v>#VALUE!</v>
      </c>
      <c r="BW23" t="e">
        <f>AND('SPR BARRANQUILLA'!EC23,"AAAAADPK/0o=")</f>
        <v>#VALUE!</v>
      </c>
      <c r="BX23" t="e">
        <f>AND('SPR BARRANQUILLA'!ED23,"AAAAADPK/0s=")</f>
        <v>#VALUE!</v>
      </c>
      <c r="BY23" t="e">
        <f>AND('SPR BARRANQUILLA'!EE23,"AAAAADPK/0w=")</f>
        <v>#VALUE!</v>
      </c>
      <c r="BZ23" t="e">
        <f>AND('SPR BARRANQUILLA'!EF23,"AAAAADPK/00=")</f>
        <v>#VALUE!</v>
      </c>
      <c r="CA23" t="e">
        <f>AND('SPR BARRANQUILLA'!EG23,"AAAAADPK/04=")</f>
        <v>#VALUE!</v>
      </c>
      <c r="CB23" t="e">
        <f>AND('SPR BARRANQUILLA'!EH23,"AAAAADPK/08=")</f>
        <v>#VALUE!</v>
      </c>
      <c r="CC23" t="e">
        <f>AND('SPR BARRANQUILLA'!EI23,"AAAAADPK/1A=")</f>
        <v>#VALUE!</v>
      </c>
      <c r="CD23" t="e">
        <f>AND('SPR BARRANQUILLA'!EJ23,"AAAAADPK/1E=")</f>
        <v>#VALUE!</v>
      </c>
      <c r="CE23" t="e">
        <f>AND('SPR BARRANQUILLA'!EK23,"AAAAADPK/1I=")</f>
        <v>#VALUE!</v>
      </c>
      <c r="CF23" t="e">
        <f>AND('SPR BARRANQUILLA'!EL23,"AAAAADPK/1M=")</f>
        <v>#VALUE!</v>
      </c>
      <c r="CG23" t="e">
        <f>AND('SPR BARRANQUILLA'!EM23,"AAAAADPK/1Q=")</f>
        <v>#VALUE!</v>
      </c>
      <c r="CH23" t="e">
        <f>AND('SPR BARRANQUILLA'!EN23,"AAAAADPK/1U=")</f>
        <v>#VALUE!</v>
      </c>
      <c r="CI23" t="e">
        <f>AND('SPR BARRANQUILLA'!EO23,"AAAAADPK/1Y=")</f>
        <v>#VALUE!</v>
      </c>
      <c r="CJ23" t="e">
        <f>AND('SPR BARRANQUILLA'!EP23,"AAAAADPK/1c=")</f>
        <v>#VALUE!</v>
      </c>
      <c r="CK23" t="e">
        <f>AND('SPR BARRANQUILLA'!EQ23,"AAAAADPK/1g=")</f>
        <v>#VALUE!</v>
      </c>
      <c r="CL23" t="e">
        <f>AND('SPR BARRANQUILLA'!ER23,"AAAAADPK/1k=")</f>
        <v>#VALUE!</v>
      </c>
      <c r="CM23" t="e">
        <f>AND('SPR BARRANQUILLA'!ES23,"AAAAADPK/1o=")</f>
        <v>#VALUE!</v>
      </c>
      <c r="CN23" t="e">
        <f>AND('SPR BARRANQUILLA'!ET23,"AAAAADPK/1s=")</f>
        <v>#VALUE!</v>
      </c>
      <c r="CO23" t="e">
        <f>AND('SPR BARRANQUILLA'!EU23,"AAAAADPK/1w=")</f>
        <v>#VALUE!</v>
      </c>
      <c r="CP23" t="e">
        <f>AND('SPR BARRANQUILLA'!EV23,"AAAAADPK/10=")</f>
        <v>#VALUE!</v>
      </c>
      <c r="CQ23" t="e">
        <f>AND('SPR BARRANQUILLA'!EW23,"AAAAADPK/14=")</f>
        <v>#VALUE!</v>
      </c>
      <c r="CR23" t="e">
        <f>AND('SPR BARRANQUILLA'!EX23,"AAAAADPK/18=")</f>
        <v>#VALUE!</v>
      </c>
      <c r="CS23" t="e">
        <f>AND('SPR BARRANQUILLA'!EY23,"AAAAADPK/2A=")</f>
        <v>#VALUE!</v>
      </c>
      <c r="CT23" t="e">
        <f>AND('SPR BARRANQUILLA'!EZ23,"AAAAADPK/2E=")</f>
        <v>#VALUE!</v>
      </c>
      <c r="CU23" t="e">
        <f>AND('SPR BARRANQUILLA'!FA23,"AAAAADPK/2I=")</f>
        <v>#VALUE!</v>
      </c>
      <c r="CV23" t="e">
        <f>AND('SPR BARRANQUILLA'!FB23,"AAAAADPK/2M=")</f>
        <v>#VALUE!</v>
      </c>
      <c r="CW23" t="e">
        <f>AND('SPR BARRANQUILLA'!FC23,"AAAAADPK/2Q=")</f>
        <v>#VALUE!</v>
      </c>
      <c r="CX23" t="e">
        <f>AND('SPR BARRANQUILLA'!FD23,"AAAAADPK/2U=")</f>
        <v>#VALUE!</v>
      </c>
      <c r="CY23" t="e">
        <f>AND('SPR BARRANQUILLA'!FE23,"AAAAADPK/2Y=")</f>
        <v>#VALUE!</v>
      </c>
      <c r="CZ23" t="e">
        <f>AND('SPR BARRANQUILLA'!FF23,"AAAAADPK/2c=")</f>
        <v>#VALUE!</v>
      </c>
      <c r="DA23" t="e">
        <f>AND('SPR BARRANQUILLA'!FG23,"AAAAADPK/2g=")</f>
        <v>#VALUE!</v>
      </c>
      <c r="DB23" t="e">
        <f>AND('SPR BARRANQUILLA'!FH23,"AAAAADPK/2k=")</f>
        <v>#VALUE!</v>
      </c>
      <c r="DC23" t="e">
        <f>AND('SPR BARRANQUILLA'!FI23,"AAAAADPK/2o=")</f>
        <v>#VALUE!</v>
      </c>
      <c r="DD23" t="e">
        <f>AND('SPR BARRANQUILLA'!FJ23,"AAAAADPK/2s=")</f>
        <v>#VALUE!</v>
      </c>
      <c r="DE23" t="e">
        <f>AND('SPR BARRANQUILLA'!FK23,"AAAAADPK/2w=")</f>
        <v>#VALUE!</v>
      </c>
      <c r="DF23" t="e">
        <f>AND('SPR BARRANQUILLA'!FL23,"AAAAADPK/20=")</f>
        <v>#VALUE!</v>
      </c>
      <c r="DG23" t="e">
        <f>AND('SPR BARRANQUILLA'!FM23,"AAAAADPK/24=")</f>
        <v>#VALUE!</v>
      </c>
      <c r="DH23" t="e">
        <f>AND('SPR BARRANQUILLA'!FN23,"AAAAADPK/28=")</f>
        <v>#VALUE!</v>
      </c>
      <c r="DI23" t="e">
        <f>AND('SPR BARRANQUILLA'!FO23,"AAAAADPK/3A=")</f>
        <v>#VALUE!</v>
      </c>
      <c r="DJ23" t="e">
        <f>AND('SPR BARRANQUILLA'!FP23,"AAAAADPK/3E=")</f>
        <v>#VALUE!</v>
      </c>
      <c r="DK23" t="e">
        <f>AND('SPR BARRANQUILLA'!FQ23,"AAAAADPK/3I=")</f>
        <v>#VALUE!</v>
      </c>
      <c r="DL23" t="e">
        <f>AND('SPR BARRANQUILLA'!FR23,"AAAAADPK/3M=")</f>
        <v>#VALUE!</v>
      </c>
      <c r="DM23" t="e">
        <f>AND('SPR BARRANQUILLA'!FS23,"AAAAADPK/3Q=")</f>
        <v>#VALUE!</v>
      </c>
      <c r="DN23" t="e">
        <f>AND('SPR BARRANQUILLA'!FT23,"AAAAADPK/3U=")</f>
        <v>#VALUE!</v>
      </c>
      <c r="DO23" t="e">
        <f>AND('SPR BARRANQUILLA'!FU23,"AAAAADPK/3Y=")</f>
        <v>#VALUE!</v>
      </c>
      <c r="DP23" t="e">
        <f>AND('SPR BARRANQUILLA'!FV23,"AAAAADPK/3c=")</f>
        <v>#VALUE!</v>
      </c>
      <c r="DQ23" t="e">
        <f>AND('SPR BARRANQUILLA'!FW23,"AAAAADPK/3g=")</f>
        <v>#VALUE!</v>
      </c>
      <c r="DR23" t="e">
        <f>AND('SPR BARRANQUILLA'!FX23,"AAAAADPK/3k=")</f>
        <v>#VALUE!</v>
      </c>
      <c r="DS23" t="e">
        <f>AND('SPR BARRANQUILLA'!FY23,"AAAAADPK/3o=")</f>
        <v>#VALUE!</v>
      </c>
      <c r="DT23" t="e">
        <f>AND('SPR BARRANQUILLA'!FZ23,"AAAAADPK/3s=")</f>
        <v>#VALUE!</v>
      </c>
      <c r="DU23" t="e">
        <f>AND('SPR BARRANQUILLA'!GA23,"AAAAADPK/3w=")</f>
        <v>#VALUE!</v>
      </c>
      <c r="DV23" t="e">
        <f>AND('SPR BARRANQUILLA'!GB23,"AAAAADPK/30=")</f>
        <v>#VALUE!</v>
      </c>
      <c r="DW23" t="e">
        <f>AND('SPR BARRANQUILLA'!GC23,"AAAAADPK/34=")</f>
        <v>#VALUE!</v>
      </c>
      <c r="DX23" t="e">
        <f>AND('SPR BARRANQUILLA'!GD23,"AAAAADPK/38=")</f>
        <v>#VALUE!</v>
      </c>
      <c r="DY23" t="e">
        <f>AND('SPR BARRANQUILLA'!GE23,"AAAAADPK/4A=")</f>
        <v>#VALUE!</v>
      </c>
      <c r="DZ23" t="e">
        <f>AND('SPR BARRANQUILLA'!GF23,"AAAAADPK/4E=")</f>
        <v>#VALUE!</v>
      </c>
      <c r="EA23" t="e">
        <f>AND('SPR BARRANQUILLA'!GG23,"AAAAADPK/4I=")</f>
        <v>#VALUE!</v>
      </c>
      <c r="EB23" t="e">
        <f>AND('SPR BARRANQUILLA'!GH23,"AAAAADPK/4M=")</f>
        <v>#VALUE!</v>
      </c>
      <c r="EC23" t="e">
        <f>AND('SPR BARRANQUILLA'!GI23,"AAAAADPK/4Q=")</f>
        <v>#VALUE!</v>
      </c>
      <c r="ED23" t="e">
        <f>AND('SPR BARRANQUILLA'!GJ23,"AAAAADPK/4U=")</f>
        <v>#VALUE!</v>
      </c>
      <c r="EE23" t="e">
        <f>AND('SPR BARRANQUILLA'!GK23,"AAAAADPK/4Y=")</f>
        <v>#VALUE!</v>
      </c>
      <c r="EF23" t="e">
        <f>AND('SPR BARRANQUILLA'!GL23,"AAAAADPK/4c=")</f>
        <v>#VALUE!</v>
      </c>
      <c r="EG23" t="e">
        <f>AND('SPR BARRANQUILLA'!GM23,"AAAAADPK/4g=")</f>
        <v>#VALUE!</v>
      </c>
      <c r="EH23" t="e">
        <f>AND('SPR BARRANQUILLA'!GN23,"AAAAADPK/4k=")</f>
        <v>#VALUE!</v>
      </c>
      <c r="EI23" t="e">
        <f>AND('SPR BARRANQUILLA'!GO23,"AAAAADPK/4o=")</f>
        <v>#VALUE!</v>
      </c>
      <c r="EJ23" t="e">
        <f>AND('SPR BARRANQUILLA'!GP23,"AAAAADPK/4s=")</f>
        <v>#VALUE!</v>
      </c>
      <c r="EK23" t="e">
        <f>AND('SPR BARRANQUILLA'!GQ23,"AAAAADPK/4w=")</f>
        <v>#VALUE!</v>
      </c>
      <c r="EL23" t="e">
        <f>AND('SPR BARRANQUILLA'!GR23,"AAAAADPK/40=")</f>
        <v>#VALUE!</v>
      </c>
      <c r="EM23" t="e">
        <f>AND('SPR BARRANQUILLA'!GS23,"AAAAADPK/44=")</f>
        <v>#VALUE!</v>
      </c>
      <c r="EN23" t="e">
        <f>AND('SPR BARRANQUILLA'!GT23,"AAAAADPK/48=")</f>
        <v>#VALUE!</v>
      </c>
      <c r="EO23" t="e">
        <f>AND('SPR BARRANQUILLA'!GU23,"AAAAADPK/5A=")</f>
        <v>#VALUE!</v>
      </c>
      <c r="EP23" t="e">
        <f>AND('SPR BARRANQUILLA'!GV23,"AAAAADPK/5E=")</f>
        <v>#VALUE!</v>
      </c>
      <c r="EQ23" t="e">
        <f>AND('SPR BARRANQUILLA'!GW23,"AAAAADPK/5I=")</f>
        <v>#VALUE!</v>
      </c>
      <c r="ER23" t="e">
        <f>AND('SPR BARRANQUILLA'!GX23,"AAAAADPK/5M=")</f>
        <v>#VALUE!</v>
      </c>
      <c r="ES23" t="e">
        <f>AND('SPR BARRANQUILLA'!GY23,"AAAAADPK/5Q=")</f>
        <v>#VALUE!</v>
      </c>
      <c r="ET23">
        <f>IF('SPR BARRANQUILLA'!24:24,"AAAAADPK/5U=",0)</f>
        <v>0</v>
      </c>
      <c r="EU23" t="e">
        <f>AND('SPR BARRANQUILLA'!A24,"AAAAADPK/5Y=")</f>
        <v>#VALUE!</v>
      </c>
      <c r="EV23" t="e">
        <f>AND('SPR BARRANQUILLA'!B24,"AAAAADPK/5c=")</f>
        <v>#VALUE!</v>
      </c>
      <c r="EW23" t="e">
        <f>AND('SPR BARRANQUILLA'!C24,"AAAAADPK/5g=")</f>
        <v>#VALUE!</v>
      </c>
      <c r="EX23" t="e">
        <f>AND('SPR BARRANQUILLA'!D24,"AAAAADPK/5k=")</f>
        <v>#VALUE!</v>
      </c>
      <c r="EY23" t="e">
        <f>AND('SPR BARRANQUILLA'!E24,"AAAAADPK/5o=")</f>
        <v>#VALUE!</v>
      </c>
      <c r="EZ23" t="e">
        <f>AND('SPR BARRANQUILLA'!F24,"AAAAADPK/5s=")</f>
        <v>#VALUE!</v>
      </c>
      <c r="FA23" t="e">
        <f>AND('SPR BARRANQUILLA'!G24,"AAAAADPK/5w=")</f>
        <v>#VALUE!</v>
      </c>
      <c r="FB23" t="e">
        <f>AND('SPR BARRANQUILLA'!H24,"AAAAADPK/50=")</f>
        <v>#VALUE!</v>
      </c>
      <c r="FC23" t="e">
        <f>AND('SPR BARRANQUILLA'!I24,"AAAAADPK/54=")</f>
        <v>#VALUE!</v>
      </c>
      <c r="FD23" t="e">
        <f>AND('SPR BARRANQUILLA'!J24,"AAAAADPK/58=")</f>
        <v>#VALUE!</v>
      </c>
      <c r="FE23" t="e">
        <f>AND('SPR BARRANQUILLA'!K24,"AAAAADPK/6A=")</f>
        <v>#VALUE!</v>
      </c>
      <c r="FF23" t="e">
        <f>AND('SPR BARRANQUILLA'!L24,"AAAAADPK/6E=")</f>
        <v>#VALUE!</v>
      </c>
      <c r="FG23" t="e">
        <f>AND('SPR BARRANQUILLA'!M24,"AAAAADPK/6I=")</f>
        <v>#VALUE!</v>
      </c>
      <c r="FH23" t="e">
        <f>AND('SPR BARRANQUILLA'!N24,"AAAAADPK/6M=")</f>
        <v>#VALUE!</v>
      </c>
      <c r="FI23" t="e">
        <f>AND('SPR BARRANQUILLA'!O24,"AAAAADPK/6Q=")</f>
        <v>#VALUE!</v>
      </c>
      <c r="FJ23" t="e">
        <f>AND('SPR BARRANQUILLA'!P24,"AAAAADPK/6U=")</f>
        <v>#VALUE!</v>
      </c>
      <c r="FK23" t="e">
        <f>AND('SPR BARRANQUILLA'!Q24,"AAAAADPK/6Y=")</f>
        <v>#VALUE!</v>
      </c>
      <c r="FL23" t="e">
        <f>AND('SPR BARRANQUILLA'!R24,"AAAAADPK/6c=")</f>
        <v>#VALUE!</v>
      </c>
      <c r="FM23" t="e">
        <f>AND('SPR BARRANQUILLA'!S24,"AAAAADPK/6g=")</f>
        <v>#VALUE!</v>
      </c>
      <c r="FN23" t="e">
        <f>AND('SPR BARRANQUILLA'!T24,"AAAAADPK/6k=")</f>
        <v>#VALUE!</v>
      </c>
      <c r="FO23" t="e">
        <f>AND('SPR BARRANQUILLA'!U24,"AAAAADPK/6o=")</f>
        <v>#VALUE!</v>
      </c>
      <c r="FP23" t="e">
        <f>AND('SPR BARRANQUILLA'!V24,"AAAAADPK/6s=")</f>
        <v>#VALUE!</v>
      </c>
      <c r="FQ23" t="e">
        <f>AND('SPR BARRANQUILLA'!W24,"AAAAADPK/6w=")</f>
        <v>#VALUE!</v>
      </c>
      <c r="FR23" t="e">
        <f>AND('SPR BARRANQUILLA'!X24,"AAAAADPK/60=")</f>
        <v>#VALUE!</v>
      </c>
      <c r="FS23" t="e">
        <f>AND('SPR BARRANQUILLA'!Y24,"AAAAADPK/64=")</f>
        <v>#VALUE!</v>
      </c>
      <c r="FT23" t="e">
        <f>AND('SPR BARRANQUILLA'!Z24,"AAAAADPK/68=")</f>
        <v>#VALUE!</v>
      </c>
      <c r="FU23" t="e">
        <f>AND('SPR BARRANQUILLA'!AA24,"AAAAADPK/7A=")</f>
        <v>#VALUE!</v>
      </c>
      <c r="FV23" t="e">
        <f>AND('SPR BARRANQUILLA'!AB24,"AAAAADPK/7E=")</f>
        <v>#VALUE!</v>
      </c>
      <c r="FW23" t="e">
        <f>AND('SPR BARRANQUILLA'!AC24,"AAAAADPK/7I=")</f>
        <v>#VALUE!</v>
      </c>
      <c r="FX23" t="e">
        <f>AND('SPR BARRANQUILLA'!AD24,"AAAAADPK/7M=")</f>
        <v>#VALUE!</v>
      </c>
      <c r="FY23" t="e">
        <f>AND('SPR BARRANQUILLA'!AE24,"AAAAADPK/7Q=")</f>
        <v>#VALUE!</v>
      </c>
      <c r="FZ23" t="e">
        <f>AND('SPR BARRANQUILLA'!AF24,"AAAAADPK/7U=")</f>
        <v>#VALUE!</v>
      </c>
      <c r="GA23" t="e">
        <f>AND('SPR BARRANQUILLA'!AG24,"AAAAADPK/7Y=")</f>
        <v>#VALUE!</v>
      </c>
      <c r="GB23" t="e">
        <f>AND('SPR BARRANQUILLA'!AH24,"AAAAADPK/7c=")</f>
        <v>#VALUE!</v>
      </c>
      <c r="GC23" t="e">
        <f>AND('SPR BARRANQUILLA'!AI24,"AAAAADPK/7g=")</f>
        <v>#VALUE!</v>
      </c>
      <c r="GD23" t="e">
        <f>AND('SPR BARRANQUILLA'!AJ24,"AAAAADPK/7k=")</f>
        <v>#VALUE!</v>
      </c>
      <c r="GE23" t="e">
        <f>AND('SPR BARRANQUILLA'!AK24,"AAAAADPK/7o=")</f>
        <v>#VALUE!</v>
      </c>
      <c r="GF23" t="e">
        <f>AND('SPR BARRANQUILLA'!AL24,"AAAAADPK/7s=")</f>
        <v>#VALUE!</v>
      </c>
      <c r="GG23" t="e">
        <f>AND('SPR BARRANQUILLA'!AM24,"AAAAADPK/7w=")</f>
        <v>#VALUE!</v>
      </c>
      <c r="GH23" t="e">
        <f>AND('SPR BARRANQUILLA'!AN24,"AAAAADPK/70=")</f>
        <v>#VALUE!</v>
      </c>
      <c r="GI23" t="e">
        <f>AND('SPR BARRANQUILLA'!AO24,"AAAAADPK/74=")</f>
        <v>#VALUE!</v>
      </c>
      <c r="GJ23" t="e">
        <f>AND('SPR BARRANQUILLA'!AP24,"AAAAADPK/78=")</f>
        <v>#VALUE!</v>
      </c>
      <c r="GK23" t="e">
        <f>AND('SPR BARRANQUILLA'!AQ24,"AAAAADPK/8A=")</f>
        <v>#VALUE!</v>
      </c>
      <c r="GL23" t="e">
        <f>AND('SPR BARRANQUILLA'!AR24,"AAAAADPK/8E=")</f>
        <v>#VALUE!</v>
      </c>
      <c r="GM23" t="e">
        <f>AND('SPR BARRANQUILLA'!AS24,"AAAAADPK/8I=")</f>
        <v>#VALUE!</v>
      </c>
      <c r="GN23" t="e">
        <f>AND('SPR BARRANQUILLA'!AT24,"AAAAADPK/8M=")</f>
        <v>#VALUE!</v>
      </c>
      <c r="GO23" t="e">
        <f>AND('SPR BARRANQUILLA'!AU24,"AAAAADPK/8Q=")</f>
        <v>#VALUE!</v>
      </c>
      <c r="GP23" t="e">
        <f>AND('SPR BARRANQUILLA'!AV24,"AAAAADPK/8U=")</f>
        <v>#VALUE!</v>
      </c>
      <c r="GQ23" t="e">
        <f>AND('SPR BARRANQUILLA'!AW24,"AAAAADPK/8Y=")</f>
        <v>#VALUE!</v>
      </c>
      <c r="GR23" t="e">
        <f>AND('SPR BARRANQUILLA'!AX24,"AAAAADPK/8c=")</f>
        <v>#VALUE!</v>
      </c>
      <c r="GS23" t="e">
        <f>AND('SPR BARRANQUILLA'!AY24,"AAAAADPK/8g=")</f>
        <v>#VALUE!</v>
      </c>
      <c r="GT23" t="e">
        <f>AND('SPR BARRANQUILLA'!AZ24,"AAAAADPK/8k=")</f>
        <v>#VALUE!</v>
      </c>
      <c r="GU23" t="e">
        <f>AND('SPR BARRANQUILLA'!BA24,"AAAAADPK/8o=")</f>
        <v>#VALUE!</v>
      </c>
      <c r="GV23" t="e">
        <f>AND('SPR BARRANQUILLA'!BB24,"AAAAADPK/8s=")</f>
        <v>#VALUE!</v>
      </c>
      <c r="GW23" t="e">
        <f>AND('SPR BARRANQUILLA'!BC24,"AAAAADPK/8w=")</f>
        <v>#VALUE!</v>
      </c>
      <c r="GX23" t="e">
        <f>AND('SPR BARRANQUILLA'!BD24,"AAAAADPK/80=")</f>
        <v>#VALUE!</v>
      </c>
      <c r="GY23" t="e">
        <f>AND('SPR BARRANQUILLA'!BE24,"AAAAADPK/84=")</f>
        <v>#VALUE!</v>
      </c>
      <c r="GZ23" t="e">
        <f>AND('SPR BARRANQUILLA'!BF24,"AAAAADPK/88=")</f>
        <v>#VALUE!</v>
      </c>
      <c r="HA23" t="e">
        <f>AND('SPR BARRANQUILLA'!BG24,"AAAAADPK/9A=")</f>
        <v>#VALUE!</v>
      </c>
      <c r="HB23" t="e">
        <f>AND('SPR BARRANQUILLA'!BH24,"AAAAADPK/9E=")</f>
        <v>#VALUE!</v>
      </c>
      <c r="HC23" t="e">
        <f>AND('SPR BARRANQUILLA'!BI24,"AAAAADPK/9I=")</f>
        <v>#VALUE!</v>
      </c>
      <c r="HD23" t="e">
        <f>AND('SPR BARRANQUILLA'!BJ24,"AAAAADPK/9M=")</f>
        <v>#VALUE!</v>
      </c>
      <c r="HE23" t="e">
        <f>AND('SPR BARRANQUILLA'!BK24,"AAAAADPK/9Q=")</f>
        <v>#VALUE!</v>
      </c>
      <c r="HF23" t="e">
        <f>AND('SPR BARRANQUILLA'!BL24,"AAAAADPK/9U=")</f>
        <v>#VALUE!</v>
      </c>
      <c r="HG23" t="e">
        <f>AND('SPR BARRANQUILLA'!BM24,"AAAAADPK/9Y=")</f>
        <v>#VALUE!</v>
      </c>
      <c r="HH23" t="e">
        <f>AND('SPR BARRANQUILLA'!BN24,"AAAAADPK/9c=")</f>
        <v>#VALUE!</v>
      </c>
      <c r="HI23" t="e">
        <f>AND('SPR BARRANQUILLA'!BO24,"AAAAADPK/9g=")</f>
        <v>#VALUE!</v>
      </c>
      <c r="HJ23" t="e">
        <f>AND('SPR BARRANQUILLA'!BP24,"AAAAADPK/9k=")</f>
        <v>#VALUE!</v>
      </c>
      <c r="HK23" t="e">
        <f>AND('SPR BARRANQUILLA'!BQ24,"AAAAADPK/9o=")</f>
        <v>#VALUE!</v>
      </c>
      <c r="HL23" t="e">
        <f>AND('SPR BARRANQUILLA'!BR24,"AAAAADPK/9s=")</f>
        <v>#VALUE!</v>
      </c>
      <c r="HM23" t="e">
        <f>AND('SPR BARRANQUILLA'!BS24,"AAAAADPK/9w=")</f>
        <v>#VALUE!</v>
      </c>
      <c r="HN23" t="e">
        <f>AND('SPR BARRANQUILLA'!BT24,"AAAAADPK/90=")</f>
        <v>#VALUE!</v>
      </c>
      <c r="HO23" t="e">
        <f>AND('SPR BARRANQUILLA'!BU24,"AAAAADPK/94=")</f>
        <v>#VALUE!</v>
      </c>
      <c r="HP23" t="e">
        <f>AND('SPR BARRANQUILLA'!BV24,"AAAAADPK/98=")</f>
        <v>#VALUE!</v>
      </c>
      <c r="HQ23" t="e">
        <f>AND('SPR BARRANQUILLA'!BW24,"AAAAADPK/+A=")</f>
        <v>#VALUE!</v>
      </c>
      <c r="HR23" t="e">
        <f>AND('SPR BARRANQUILLA'!BX24,"AAAAADPK/+E=")</f>
        <v>#VALUE!</v>
      </c>
      <c r="HS23" t="e">
        <f>AND('SPR BARRANQUILLA'!BY24,"AAAAADPK/+I=")</f>
        <v>#VALUE!</v>
      </c>
      <c r="HT23" t="e">
        <f>AND('SPR BARRANQUILLA'!BZ24,"AAAAADPK/+M=")</f>
        <v>#VALUE!</v>
      </c>
      <c r="HU23" t="e">
        <f>AND('SPR BARRANQUILLA'!CA24,"AAAAADPK/+Q=")</f>
        <v>#VALUE!</v>
      </c>
      <c r="HV23" t="e">
        <f>AND('SPR BARRANQUILLA'!CB24,"AAAAADPK/+U=")</f>
        <v>#VALUE!</v>
      </c>
      <c r="HW23" t="e">
        <f>AND('SPR BARRANQUILLA'!CC24,"AAAAADPK/+Y=")</f>
        <v>#VALUE!</v>
      </c>
      <c r="HX23" t="e">
        <f>AND('SPR BARRANQUILLA'!CD24,"AAAAADPK/+c=")</f>
        <v>#VALUE!</v>
      </c>
      <c r="HY23" t="e">
        <f>AND('SPR BARRANQUILLA'!CE24,"AAAAADPK/+g=")</f>
        <v>#VALUE!</v>
      </c>
      <c r="HZ23" t="e">
        <f>AND('SPR BARRANQUILLA'!CF24,"AAAAADPK/+k=")</f>
        <v>#VALUE!</v>
      </c>
      <c r="IA23" t="e">
        <f>AND('SPR BARRANQUILLA'!CG24,"AAAAADPK/+o=")</f>
        <v>#VALUE!</v>
      </c>
      <c r="IB23" t="e">
        <f>AND('SPR BARRANQUILLA'!CH24,"AAAAADPK/+s=")</f>
        <v>#VALUE!</v>
      </c>
      <c r="IC23" t="e">
        <f>AND('SPR BARRANQUILLA'!CI24,"AAAAADPK/+w=")</f>
        <v>#VALUE!</v>
      </c>
      <c r="ID23" t="e">
        <f>AND('SPR BARRANQUILLA'!CJ24,"AAAAADPK/+0=")</f>
        <v>#VALUE!</v>
      </c>
      <c r="IE23" t="e">
        <f>AND('SPR BARRANQUILLA'!CK24,"AAAAADPK/+4=")</f>
        <v>#VALUE!</v>
      </c>
      <c r="IF23" t="e">
        <f>AND('SPR BARRANQUILLA'!CL24,"AAAAADPK/+8=")</f>
        <v>#VALUE!</v>
      </c>
      <c r="IG23" t="e">
        <f>AND('SPR BARRANQUILLA'!CM24,"AAAAADPK//A=")</f>
        <v>#VALUE!</v>
      </c>
      <c r="IH23" t="e">
        <f>AND('SPR BARRANQUILLA'!CN24,"AAAAADPK//E=")</f>
        <v>#VALUE!</v>
      </c>
      <c r="II23" t="e">
        <f>AND('SPR BARRANQUILLA'!CO24,"AAAAADPK//I=")</f>
        <v>#VALUE!</v>
      </c>
      <c r="IJ23" t="e">
        <f>AND('SPR BARRANQUILLA'!CP24,"AAAAADPK//M=")</f>
        <v>#VALUE!</v>
      </c>
      <c r="IK23" t="e">
        <f>AND('SPR BARRANQUILLA'!CQ24,"AAAAADPK//Q=")</f>
        <v>#VALUE!</v>
      </c>
      <c r="IL23" t="e">
        <f>AND('SPR BARRANQUILLA'!CR24,"AAAAADPK//U=")</f>
        <v>#VALUE!</v>
      </c>
      <c r="IM23" t="e">
        <f>AND('SPR BARRANQUILLA'!CS24,"AAAAADPK//Y=")</f>
        <v>#VALUE!</v>
      </c>
      <c r="IN23" t="e">
        <f>AND('SPR BARRANQUILLA'!CT24,"AAAAADPK//c=")</f>
        <v>#VALUE!</v>
      </c>
      <c r="IO23" t="e">
        <f>AND('SPR BARRANQUILLA'!CU24,"AAAAADPK//g=")</f>
        <v>#VALUE!</v>
      </c>
      <c r="IP23" t="e">
        <f>AND('SPR BARRANQUILLA'!CV24,"AAAAADPK//k=")</f>
        <v>#VALUE!</v>
      </c>
      <c r="IQ23" t="e">
        <f>AND('SPR BARRANQUILLA'!CW24,"AAAAADPK//o=")</f>
        <v>#VALUE!</v>
      </c>
      <c r="IR23" t="e">
        <f>AND('SPR BARRANQUILLA'!CX24,"AAAAADPK//s=")</f>
        <v>#VALUE!</v>
      </c>
      <c r="IS23" t="e">
        <f>AND('SPR BARRANQUILLA'!CY24,"AAAAADPK//w=")</f>
        <v>#VALUE!</v>
      </c>
      <c r="IT23" t="e">
        <f>AND('SPR BARRANQUILLA'!CZ24,"AAAAADPK//0=")</f>
        <v>#VALUE!</v>
      </c>
      <c r="IU23" t="e">
        <f>AND('SPR BARRANQUILLA'!DA24,"AAAAADPK//4=")</f>
        <v>#VALUE!</v>
      </c>
      <c r="IV23" t="e">
        <f>AND('SPR BARRANQUILLA'!DB24,"AAAAADPK//8=")</f>
        <v>#VALUE!</v>
      </c>
    </row>
    <row r="24" spans="1:256">
      <c r="A24" t="e">
        <f>AND('SPR BARRANQUILLA'!DC24,"AAAAAG+7fgA=")</f>
        <v>#VALUE!</v>
      </c>
      <c r="B24" t="e">
        <f>AND('SPR BARRANQUILLA'!DD24,"AAAAAG+7fgE=")</f>
        <v>#VALUE!</v>
      </c>
      <c r="C24" t="e">
        <f>AND('SPR BARRANQUILLA'!DE24,"AAAAAG+7fgI=")</f>
        <v>#VALUE!</v>
      </c>
      <c r="D24" t="e">
        <f>AND('SPR BARRANQUILLA'!DF24,"AAAAAG+7fgM=")</f>
        <v>#VALUE!</v>
      </c>
      <c r="E24" t="e">
        <f>AND('SPR BARRANQUILLA'!DG24,"AAAAAG+7fgQ=")</f>
        <v>#VALUE!</v>
      </c>
      <c r="F24" t="e">
        <f>AND('SPR BARRANQUILLA'!DH24,"AAAAAG+7fgU=")</f>
        <v>#VALUE!</v>
      </c>
      <c r="G24" t="e">
        <f>AND('SPR BARRANQUILLA'!DI24,"AAAAAG+7fgY=")</f>
        <v>#VALUE!</v>
      </c>
      <c r="H24" t="e">
        <f>AND('SPR BARRANQUILLA'!DJ24,"AAAAAG+7fgc=")</f>
        <v>#VALUE!</v>
      </c>
      <c r="I24" t="e">
        <f>AND('SPR BARRANQUILLA'!DK24,"AAAAAG+7fgg=")</f>
        <v>#VALUE!</v>
      </c>
      <c r="J24" t="e">
        <f>AND('SPR BARRANQUILLA'!DL24,"AAAAAG+7fgk=")</f>
        <v>#VALUE!</v>
      </c>
      <c r="K24" t="e">
        <f>AND('SPR BARRANQUILLA'!DM24,"AAAAAG+7fgo=")</f>
        <v>#VALUE!</v>
      </c>
      <c r="L24" t="e">
        <f>AND('SPR BARRANQUILLA'!DN24,"AAAAAG+7fgs=")</f>
        <v>#VALUE!</v>
      </c>
      <c r="M24" t="e">
        <f>AND('SPR BARRANQUILLA'!DO24,"AAAAAG+7fgw=")</f>
        <v>#VALUE!</v>
      </c>
      <c r="N24" t="e">
        <f>AND('SPR BARRANQUILLA'!DP24,"AAAAAG+7fg0=")</f>
        <v>#VALUE!</v>
      </c>
      <c r="O24" t="e">
        <f>AND('SPR BARRANQUILLA'!DQ24,"AAAAAG+7fg4=")</f>
        <v>#VALUE!</v>
      </c>
      <c r="P24" t="e">
        <f>AND('SPR BARRANQUILLA'!DR24,"AAAAAG+7fg8=")</f>
        <v>#VALUE!</v>
      </c>
      <c r="Q24" t="e">
        <f>AND('SPR BARRANQUILLA'!DS24,"AAAAAG+7fhA=")</f>
        <v>#VALUE!</v>
      </c>
      <c r="R24" t="e">
        <f>AND('SPR BARRANQUILLA'!DT24,"AAAAAG+7fhE=")</f>
        <v>#VALUE!</v>
      </c>
      <c r="S24" t="e">
        <f>AND('SPR BARRANQUILLA'!DU24,"AAAAAG+7fhI=")</f>
        <v>#VALUE!</v>
      </c>
      <c r="T24" t="e">
        <f>AND('SPR BARRANQUILLA'!DV24,"AAAAAG+7fhM=")</f>
        <v>#VALUE!</v>
      </c>
      <c r="U24" t="e">
        <f>AND('SPR BARRANQUILLA'!DW24,"AAAAAG+7fhQ=")</f>
        <v>#VALUE!</v>
      </c>
      <c r="V24" t="e">
        <f>AND('SPR BARRANQUILLA'!DX24,"AAAAAG+7fhU=")</f>
        <v>#VALUE!</v>
      </c>
      <c r="W24" t="e">
        <f>AND('SPR BARRANQUILLA'!DY24,"AAAAAG+7fhY=")</f>
        <v>#VALUE!</v>
      </c>
      <c r="X24" t="e">
        <f>AND('SPR BARRANQUILLA'!DZ24,"AAAAAG+7fhc=")</f>
        <v>#VALUE!</v>
      </c>
      <c r="Y24" t="e">
        <f>AND('SPR BARRANQUILLA'!EA24,"AAAAAG+7fhg=")</f>
        <v>#VALUE!</v>
      </c>
      <c r="Z24" t="e">
        <f>AND('SPR BARRANQUILLA'!EB24,"AAAAAG+7fhk=")</f>
        <v>#VALUE!</v>
      </c>
      <c r="AA24" t="e">
        <f>AND('SPR BARRANQUILLA'!EC24,"AAAAAG+7fho=")</f>
        <v>#VALUE!</v>
      </c>
      <c r="AB24" t="e">
        <f>AND('SPR BARRANQUILLA'!ED24,"AAAAAG+7fhs=")</f>
        <v>#VALUE!</v>
      </c>
      <c r="AC24" t="e">
        <f>AND('SPR BARRANQUILLA'!EE24,"AAAAAG+7fhw=")</f>
        <v>#VALUE!</v>
      </c>
      <c r="AD24" t="e">
        <f>AND('SPR BARRANQUILLA'!EF24,"AAAAAG+7fh0=")</f>
        <v>#VALUE!</v>
      </c>
      <c r="AE24" t="e">
        <f>AND('SPR BARRANQUILLA'!EG24,"AAAAAG+7fh4=")</f>
        <v>#VALUE!</v>
      </c>
      <c r="AF24" t="e">
        <f>AND('SPR BARRANQUILLA'!EH24,"AAAAAG+7fh8=")</f>
        <v>#VALUE!</v>
      </c>
      <c r="AG24" t="e">
        <f>AND('SPR BARRANQUILLA'!EI24,"AAAAAG+7fiA=")</f>
        <v>#VALUE!</v>
      </c>
      <c r="AH24" t="e">
        <f>AND('SPR BARRANQUILLA'!EJ24,"AAAAAG+7fiE=")</f>
        <v>#VALUE!</v>
      </c>
      <c r="AI24" t="e">
        <f>AND('SPR BARRANQUILLA'!EK24,"AAAAAG+7fiI=")</f>
        <v>#VALUE!</v>
      </c>
      <c r="AJ24" t="e">
        <f>AND('SPR BARRANQUILLA'!EL24,"AAAAAG+7fiM=")</f>
        <v>#VALUE!</v>
      </c>
      <c r="AK24" t="e">
        <f>AND('SPR BARRANQUILLA'!EM24,"AAAAAG+7fiQ=")</f>
        <v>#VALUE!</v>
      </c>
      <c r="AL24" t="e">
        <f>AND('SPR BARRANQUILLA'!EN24,"AAAAAG+7fiU=")</f>
        <v>#VALUE!</v>
      </c>
      <c r="AM24" t="e">
        <f>AND('SPR BARRANQUILLA'!EO24,"AAAAAG+7fiY=")</f>
        <v>#VALUE!</v>
      </c>
      <c r="AN24" t="e">
        <f>AND('SPR BARRANQUILLA'!EP24,"AAAAAG+7fic=")</f>
        <v>#VALUE!</v>
      </c>
      <c r="AO24" t="e">
        <f>AND('SPR BARRANQUILLA'!EQ24,"AAAAAG+7fig=")</f>
        <v>#VALUE!</v>
      </c>
      <c r="AP24" t="e">
        <f>AND('SPR BARRANQUILLA'!ER24,"AAAAAG+7fik=")</f>
        <v>#VALUE!</v>
      </c>
      <c r="AQ24" t="e">
        <f>AND('SPR BARRANQUILLA'!ES24,"AAAAAG+7fio=")</f>
        <v>#VALUE!</v>
      </c>
      <c r="AR24" t="e">
        <f>AND('SPR BARRANQUILLA'!ET24,"AAAAAG+7fis=")</f>
        <v>#VALUE!</v>
      </c>
      <c r="AS24" t="e">
        <f>AND('SPR BARRANQUILLA'!EU24,"AAAAAG+7fiw=")</f>
        <v>#VALUE!</v>
      </c>
      <c r="AT24" t="e">
        <f>AND('SPR BARRANQUILLA'!EV24,"AAAAAG+7fi0=")</f>
        <v>#VALUE!</v>
      </c>
      <c r="AU24" t="e">
        <f>AND('SPR BARRANQUILLA'!EW24,"AAAAAG+7fi4=")</f>
        <v>#VALUE!</v>
      </c>
      <c r="AV24" t="e">
        <f>AND('SPR BARRANQUILLA'!EX24,"AAAAAG+7fi8=")</f>
        <v>#VALUE!</v>
      </c>
      <c r="AW24" t="e">
        <f>AND('SPR BARRANQUILLA'!EY24,"AAAAAG+7fjA=")</f>
        <v>#VALUE!</v>
      </c>
      <c r="AX24" t="e">
        <f>AND('SPR BARRANQUILLA'!EZ24,"AAAAAG+7fjE=")</f>
        <v>#VALUE!</v>
      </c>
      <c r="AY24" t="e">
        <f>AND('SPR BARRANQUILLA'!FA24,"AAAAAG+7fjI=")</f>
        <v>#VALUE!</v>
      </c>
      <c r="AZ24" t="e">
        <f>AND('SPR BARRANQUILLA'!FB24,"AAAAAG+7fjM=")</f>
        <v>#VALUE!</v>
      </c>
      <c r="BA24" t="e">
        <f>AND('SPR BARRANQUILLA'!FC24,"AAAAAG+7fjQ=")</f>
        <v>#VALUE!</v>
      </c>
      <c r="BB24" t="e">
        <f>AND('SPR BARRANQUILLA'!FD24,"AAAAAG+7fjU=")</f>
        <v>#VALUE!</v>
      </c>
      <c r="BC24" t="e">
        <f>AND('SPR BARRANQUILLA'!FE24,"AAAAAG+7fjY=")</f>
        <v>#VALUE!</v>
      </c>
      <c r="BD24" t="e">
        <f>AND('SPR BARRANQUILLA'!FF24,"AAAAAG+7fjc=")</f>
        <v>#VALUE!</v>
      </c>
      <c r="BE24" t="e">
        <f>AND('SPR BARRANQUILLA'!FG24,"AAAAAG+7fjg=")</f>
        <v>#VALUE!</v>
      </c>
      <c r="BF24" t="e">
        <f>AND('SPR BARRANQUILLA'!FH24,"AAAAAG+7fjk=")</f>
        <v>#VALUE!</v>
      </c>
      <c r="BG24" t="e">
        <f>AND('SPR BARRANQUILLA'!FI24,"AAAAAG+7fjo=")</f>
        <v>#VALUE!</v>
      </c>
      <c r="BH24" t="e">
        <f>AND('SPR BARRANQUILLA'!FJ24,"AAAAAG+7fjs=")</f>
        <v>#VALUE!</v>
      </c>
      <c r="BI24" t="e">
        <f>AND('SPR BARRANQUILLA'!FK24,"AAAAAG+7fjw=")</f>
        <v>#VALUE!</v>
      </c>
      <c r="BJ24" t="e">
        <f>AND('SPR BARRANQUILLA'!FL24,"AAAAAG+7fj0=")</f>
        <v>#VALUE!</v>
      </c>
      <c r="BK24" t="e">
        <f>AND('SPR BARRANQUILLA'!FM24,"AAAAAG+7fj4=")</f>
        <v>#VALUE!</v>
      </c>
      <c r="BL24" t="e">
        <f>AND('SPR BARRANQUILLA'!FN24,"AAAAAG+7fj8=")</f>
        <v>#VALUE!</v>
      </c>
      <c r="BM24" t="e">
        <f>AND('SPR BARRANQUILLA'!FO24,"AAAAAG+7fkA=")</f>
        <v>#VALUE!</v>
      </c>
      <c r="BN24" t="e">
        <f>AND('SPR BARRANQUILLA'!FP24,"AAAAAG+7fkE=")</f>
        <v>#VALUE!</v>
      </c>
      <c r="BO24" t="e">
        <f>AND('SPR BARRANQUILLA'!FQ24,"AAAAAG+7fkI=")</f>
        <v>#VALUE!</v>
      </c>
      <c r="BP24" t="e">
        <f>AND('SPR BARRANQUILLA'!FR24,"AAAAAG+7fkM=")</f>
        <v>#VALUE!</v>
      </c>
      <c r="BQ24" t="e">
        <f>AND('SPR BARRANQUILLA'!FS24,"AAAAAG+7fkQ=")</f>
        <v>#VALUE!</v>
      </c>
      <c r="BR24" t="e">
        <f>AND('SPR BARRANQUILLA'!FT24,"AAAAAG+7fkU=")</f>
        <v>#VALUE!</v>
      </c>
      <c r="BS24" t="e">
        <f>AND('SPR BARRANQUILLA'!FU24,"AAAAAG+7fkY=")</f>
        <v>#VALUE!</v>
      </c>
      <c r="BT24" t="e">
        <f>AND('SPR BARRANQUILLA'!FV24,"AAAAAG+7fkc=")</f>
        <v>#VALUE!</v>
      </c>
      <c r="BU24" t="e">
        <f>AND('SPR BARRANQUILLA'!FW24,"AAAAAG+7fkg=")</f>
        <v>#VALUE!</v>
      </c>
      <c r="BV24" t="e">
        <f>AND('SPR BARRANQUILLA'!FX24,"AAAAAG+7fkk=")</f>
        <v>#VALUE!</v>
      </c>
      <c r="BW24" t="e">
        <f>AND('SPR BARRANQUILLA'!FY24,"AAAAAG+7fko=")</f>
        <v>#VALUE!</v>
      </c>
      <c r="BX24" t="e">
        <f>AND('SPR BARRANQUILLA'!FZ24,"AAAAAG+7fks=")</f>
        <v>#VALUE!</v>
      </c>
      <c r="BY24" t="e">
        <f>AND('SPR BARRANQUILLA'!GA24,"AAAAAG+7fkw=")</f>
        <v>#VALUE!</v>
      </c>
      <c r="BZ24" t="e">
        <f>AND('SPR BARRANQUILLA'!GB24,"AAAAAG+7fk0=")</f>
        <v>#VALUE!</v>
      </c>
      <c r="CA24" t="e">
        <f>AND('SPR BARRANQUILLA'!GC24,"AAAAAG+7fk4=")</f>
        <v>#VALUE!</v>
      </c>
      <c r="CB24" t="e">
        <f>AND('SPR BARRANQUILLA'!GD24,"AAAAAG+7fk8=")</f>
        <v>#VALUE!</v>
      </c>
      <c r="CC24" t="e">
        <f>AND('SPR BARRANQUILLA'!GE24,"AAAAAG+7flA=")</f>
        <v>#VALUE!</v>
      </c>
      <c r="CD24" t="e">
        <f>AND('SPR BARRANQUILLA'!GF24,"AAAAAG+7flE=")</f>
        <v>#VALUE!</v>
      </c>
      <c r="CE24" t="e">
        <f>AND('SPR BARRANQUILLA'!GG24,"AAAAAG+7flI=")</f>
        <v>#VALUE!</v>
      </c>
      <c r="CF24" t="e">
        <f>AND('SPR BARRANQUILLA'!GH24,"AAAAAG+7flM=")</f>
        <v>#VALUE!</v>
      </c>
      <c r="CG24" t="e">
        <f>AND('SPR BARRANQUILLA'!GI24,"AAAAAG+7flQ=")</f>
        <v>#VALUE!</v>
      </c>
      <c r="CH24" t="e">
        <f>AND('SPR BARRANQUILLA'!GJ24,"AAAAAG+7flU=")</f>
        <v>#VALUE!</v>
      </c>
      <c r="CI24" t="e">
        <f>AND('SPR BARRANQUILLA'!GK24,"AAAAAG+7flY=")</f>
        <v>#VALUE!</v>
      </c>
      <c r="CJ24" t="e">
        <f>AND('SPR BARRANQUILLA'!GL24,"AAAAAG+7flc=")</f>
        <v>#VALUE!</v>
      </c>
      <c r="CK24" t="e">
        <f>AND('SPR BARRANQUILLA'!GM24,"AAAAAG+7flg=")</f>
        <v>#VALUE!</v>
      </c>
      <c r="CL24" t="e">
        <f>AND('SPR BARRANQUILLA'!GN24,"AAAAAG+7flk=")</f>
        <v>#VALUE!</v>
      </c>
      <c r="CM24" t="e">
        <f>AND('SPR BARRANQUILLA'!GO24,"AAAAAG+7flo=")</f>
        <v>#VALUE!</v>
      </c>
      <c r="CN24" t="e">
        <f>AND('SPR BARRANQUILLA'!GP24,"AAAAAG+7fls=")</f>
        <v>#VALUE!</v>
      </c>
      <c r="CO24" t="e">
        <f>AND('SPR BARRANQUILLA'!GQ24,"AAAAAG+7flw=")</f>
        <v>#VALUE!</v>
      </c>
      <c r="CP24" t="e">
        <f>AND('SPR BARRANQUILLA'!GR24,"AAAAAG+7fl0=")</f>
        <v>#VALUE!</v>
      </c>
      <c r="CQ24" t="e">
        <f>AND('SPR BARRANQUILLA'!GS24,"AAAAAG+7fl4=")</f>
        <v>#VALUE!</v>
      </c>
      <c r="CR24" t="e">
        <f>AND('SPR BARRANQUILLA'!GT24,"AAAAAG+7fl8=")</f>
        <v>#VALUE!</v>
      </c>
      <c r="CS24" t="e">
        <f>AND('SPR BARRANQUILLA'!GU24,"AAAAAG+7fmA=")</f>
        <v>#VALUE!</v>
      </c>
      <c r="CT24" t="e">
        <f>AND('SPR BARRANQUILLA'!GV24,"AAAAAG+7fmE=")</f>
        <v>#VALUE!</v>
      </c>
      <c r="CU24" t="e">
        <f>AND('SPR BARRANQUILLA'!GW24,"AAAAAG+7fmI=")</f>
        <v>#VALUE!</v>
      </c>
      <c r="CV24" t="e">
        <f>AND('SPR BARRANQUILLA'!GX24,"AAAAAG+7fmM=")</f>
        <v>#VALUE!</v>
      </c>
      <c r="CW24" t="e">
        <f>AND('SPR BARRANQUILLA'!GY24,"AAAAAG+7fmQ=")</f>
        <v>#VALUE!</v>
      </c>
      <c r="CX24">
        <f>IF('SPR BARRANQUILLA'!25:25,"AAAAAG+7fmU=",0)</f>
        <v>0</v>
      </c>
      <c r="CY24" t="e">
        <f>AND('SPR BARRANQUILLA'!A25,"AAAAAG+7fmY=")</f>
        <v>#VALUE!</v>
      </c>
      <c r="CZ24" t="e">
        <f>AND('SPR BARRANQUILLA'!B25,"AAAAAG+7fmc=")</f>
        <v>#VALUE!</v>
      </c>
      <c r="DA24" t="e">
        <f>AND('SPR BARRANQUILLA'!C25,"AAAAAG+7fmg=")</f>
        <v>#VALUE!</v>
      </c>
      <c r="DB24" t="e">
        <f>AND('SPR BARRANQUILLA'!D25,"AAAAAG+7fmk=")</f>
        <v>#VALUE!</v>
      </c>
      <c r="DC24" t="e">
        <f>AND('SPR BARRANQUILLA'!E25,"AAAAAG+7fmo=")</f>
        <v>#VALUE!</v>
      </c>
      <c r="DD24" t="e">
        <f>AND('SPR BARRANQUILLA'!F25,"AAAAAG+7fms=")</f>
        <v>#VALUE!</v>
      </c>
      <c r="DE24" t="e">
        <f>AND('SPR BARRANQUILLA'!G25,"AAAAAG+7fmw=")</f>
        <v>#VALUE!</v>
      </c>
      <c r="DF24" t="e">
        <f>AND('SPR BARRANQUILLA'!H25,"AAAAAG+7fm0=")</f>
        <v>#VALUE!</v>
      </c>
      <c r="DG24" t="e">
        <f>AND('SPR BARRANQUILLA'!I25,"AAAAAG+7fm4=")</f>
        <v>#VALUE!</v>
      </c>
      <c r="DH24" t="e">
        <f>AND('SPR BARRANQUILLA'!J25,"AAAAAG+7fm8=")</f>
        <v>#VALUE!</v>
      </c>
      <c r="DI24" t="e">
        <f>AND('SPR BARRANQUILLA'!K25,"AAAAAG+7fnA=")</f>
        <v>#VALUE!</v>
      </c>
      <c r="DJ24" t="e">
        <f>AND('SPR BARRANQUILLA'!L25,"AAAAAG+7fnE=")</f>
        <v>#VALUE!</v>
      </c>
      <c r="DK24" t="e">
        <f>AND('SPR BARRANQUILLA'!M25,"AAAAAG+7fnI=")</f>
        <v>#VALUE!</v>
      </c>
      <c r="DL24" t="e">
        <f>AND('SPR BARRANQUILLA'!N25,"AAAAAG+7fnM=")</f>
        <v>#VALUE!</v>
      </c>
      <c r="DM24" t="e">
        <f>AND('SPR BARRANQUILLA'!O25,"AAAAAG+7fnQ=")</f>
        <v>#VALUE!</v>
      </c>
      <c r="DN24" t="e">
        <f>AND('SPR BARRANQUILLA'!P25,"AAAAAG+7fnU=")</f>
        <v>#VALUE!</v>
      </c>
      <c r="DO24" t="e">
        <f>AND('SPR BARRANQUILLA'!Q25,"AAAAAG+7fnY=")</f>
        <v>#VALUE!</v>
      </c>
      <c r="DP24" t="e">
        <f>AND('SPR BARRANQUILLA'!R25,"AAAAAG+7fnc=")</f>
        <v>#VALUE!</v>
      </c>
      <c r="DQ24" t="e">
        <f>AND('SPR BARRANQUILLA'!S25,"AAAAAG+7fng=")</f>
        <v>#VALUE!</v>
      </c>
      <c r="DR24" t="e">
        <f>AND('SPR BARRANQUILLA'!T25,"AAAAAG+7fnk=")</f>
        <v>#VALUE!</v>
      </c>
      <c r="DS24" t="e">
        <f>AND('SPR BARRANQUILLA'!U25,"AAAAAG+7fno=")</f>
        <v>#VALUE!</v>
      </c>
      <c r="DT24" t="e">
        <f>AND('SPR BARRANQUILLA'!V25,"AAAAAG+7fns=")</f>
        <v>#VALUE!</v>
      </c>
      <c r="DU24" t="e">
        <f>AND('SPR BARRANQUILLA'!W25,"AAAAAG+7fnw=")</f>
        <v>#VALUE!</v>
      </c>
      <c r="DV24" t="e">
        <f>AND('SPR BARRANQUILLA'!X25,"AAAAAG+7fn0=")</f>
        <v>#VALUE!</v>
      </c>
      <c r="DW24" t="e">
        <f>AND('SPR BARRANQUILLA'!Y25,"AAAAAG+7fn4=")</f>
        <v>#VALUE!</v>
      </c>
      <c r="DX24" t="e">
        <f>AND('SPR BARRANQUILLA'!Z25,"AAAAAG+7fn8=")</f>
        <v>#VALUE!</v>
      </c>
      <c r="DY24" t="e">
        <f>AND('SPR BARRANQUILLA'!AA25,"AAAAAG+7foA=")</f>
        <v>#VALUE!</v>
      </c>
      <c r="DZ24" t="e">
        <f>AND('SPR BARRANQUILLA'!AB25,"AAAAAG+7foE=")</f>
        <v>#VALUE!</v>
      </c>
      <c r="EA24" t="e">
        <f>AND('SPR BARRANQUILLA'!AC25,"AAAAAG+7foI=")</f>
        <v>#VALUE!</v>
      </c>
      <c r="EB24" t="e">
        <f>AND('SPR BARRANQUILLA'!AD25,"AAAAAG+7foM=")</f>
        <v>#VALUE!</v>
      </c>
      <c r="EC24" t="e">
        <f>AND('SPR BARRANQUILLA'!AE25,"AAAAAG+7foQ=")</f>
        <v>#VALUE!</v>
      </c>
      <c r="ED24" t="e">
        <f>AND('SPR BARRANQUILLA'!AF25,"AAAAAG+7foU=")</f>
        <v>#VALUE!</v>
      </c>
      <c r="EE24" t="e">
        <f>AND('SPR BARRANQUILLA'!AG25,"AAAAAG+7foY=")</f>
        <v>#VALUE!</v>
      </c>
      <c r="EF24" t="e">
        <f>AND('SPR BARRANQUILLA'!AH25,"AAAAAG+7foc=")</f>
        <v>#VALUE!</v>
      </c>
      <c r="EG24" t="e">
        <f>AND('SPR BARRANQUILLA'!AI25,"AAAAAG+7fog=")</f>
        <v>#VALUE!</v>
      </c>
      <c r="EH24" t="e">
        <f>AND('SPR BARRANQUILLA'!AJ25,"AAAAAG+7fok=")</f>
        <v>#VALUE!</v>
      </c>
      <c r="EI24" t="e">
        <f>AND('SPR BARRANQUILLA'!AK25,"AAAAAG+7foo=")</f>
        <v>#VALUE!</v>
      </c>
      <c r="EJ24" t="e">
        <f>AND('SPR BARRANQUILLA'!AL25,"AAAAAG+7fos=")</f>
        <v>#VALUE!</v>
      </c>
      <c r="EK24" t="e">
        <f>AND('SPR BARRANQUILLA'!AM25,"AAAAAG+7fow=")</f>
        <v>#VALUE!</v>
      </c>
      <c r="EL24" t="e">
        <f>AND('SPR BARRANQUILLA'!AN25,"AAAAAG+7fo0=")</f>
        <v>#VALUE!</v>
      </c>
      <c r="EM24" t="e">
        <f>AND('SPR BARRANQUILLA'!AO25,"AAAAAG+7fo4=")</f>
        <v>#VALUE!</v>
      </c>
      <c r="EN24" t="e">
        <f>AND('SPR BARRANQUILLA'!AP25,"AAAAAG+7fo8=")</f>
        <v>#VALUE!</v>
      </c>
      <c r="EO24" t="e">
        <f>AND('SPR BARRANQUILLA'!AQ25,"AAAAAG+7fpA=")</f>
        <v>#VALUE!</v>
      </c>
      <c r="EP24" t="e">
        <f>AND('SPR BARRANQUILLA'!AR25,"AAAAAG+7fpE=")</f>
        <v>#VALUE!</v>
      </c>
      <c r="EQ24" t="e">
        <f>AND('SPR BARRANQUILLA'!AS25,"AAAAAG+7fpI=")</f>
        <v>#VALUE!</v>
      </c>
      <c r="ER24" t="e">
        <f>AND('SPR BARRANQUILLA'!AT25,"AAAAAG+7fpM=")</f>
        <v>#VALUE!</v>
      </c>
      <c r="ES24" t="e">
        <f>AND('SPR BARRANQUILLA'!AU25,"AAAAAG+7fpQ=")</f>
        <v>#VALUE!</v>
      </c>
      <c r="ET24" t="e">
        <f>AND('SPR BARRANQUILLA'!AV25,"AAAAAG+7fpU=")</f>
        <v>#VALUE!</v>
      </c>
      <c r="EU24" t="e">
        <f>AND('SPR BARRANQUILLA'!AW25,"AAAAAG+7fpY=")</f>
        <v>#VALUE!</v>
      </c>
      <c r="EV24" t="e">
        <f>AND('SPR BARRANQUILLA'!AX25,"AAAAAG+7fpc=")</f>
        <v>#VALUE!</v>
      </c>
      <c r="EW24" t="e">
        <f>AND('SPR BARRANQUILLA'!AY25,"AAAAAG+7fpg=")</f>
        <v>#VALUE!</v>
      </c>
      <c r="EX24" t="e">
        <f>AND('SPR BARRANQUILLA'!AZ25,"AAAAAG+7fpk=")</f>
        <v>#VALUE!</v>
      </c>
      <c r="EY24" t="e">
        <f>AND('SPR BARRANQUILLA'!BA25,"AAAAAG+7fpo=")</f>
        <v>#VALUE!</v>
      </c>
      <c r="EZ24" t="e">
        <f>AND('SPR BARRANQUILLA'!BB25,"AAAAAG+7fps=")</f>
        <v>#VALUE!</v>
      </c>
      <c r="FA24" t="e">
        <f>AND('SPR BARRANQUILLA'!BC25,"AAAAAG+7fpw=")</f>
        <v>#VALUE!</v>
      </c>
      <c r="FB24" t="e">
        <f>AND('SPR BARRANQUILLA'!BD25,"AAAAAG+7fp0=")</f>
        <v>#VALUE!</v>
      </c>
      <c r="FC24" t="e">
        <f>AND('SPR BARRANQUILLA'!BE25,"AAAAAG+7fp4=")</f>
        <v>#VALUE!</v>
      </c>
      <c r="FD24" t="e">
        <f>AND('SPR BARRANQUILLA'!BF25,"AAAAAG+7fp8=")</f>
        <v>#VALUE!</v>
      </c>
      <c r="FE24" t="e">
        <f>AND('SPR BARRANQUILLA'!BG25,"AAAAAG+7fqA=")</f>
        <v>#VALUE!</v>
      </c>
      <c r="FF24" t="e">
        <f>AND('SPR BARRANQUILLA'!BH25,"AAAAAG+7fqE=")</f>
        <v>#VALUE!</v>
      </c>
      <c r="FG24" t="e">
        <f>AND('SPR BARRANQUILLA'!BI25,"AAAAAG+7fqI=")</f>
        <v>#VALUE!</v>
      </c>
      <c r="FH24" t="e">
        <f>AND('SPR BARRANQUILLA'!BJ25,"AAAAAG+7fqM=")</f>
        <v>#VALUE!</v>
      </c>
      <c r="FI24" t="e">
        <f>AND('SPR BARRANQUILLA'!BK25,"AAAAAG+7fqQ=")</f>
        <v>#VALUE!</v>
      </c>
      <c r="FJ24" t="e">
        <f>AND('SPR BARRANQUILLA'!BL25,"AAAAAG+7fqU=")</f>
        <v>#VALUE!</v>
      </c>
      <c r="FK24" t="e">
        <f>AND('SPR BARRANQUILLA'!BM25,"AAAAAG+7fqY=")</f>
        <v>#VALUE!</v>
      </c>
      <c r="FL24" t="e">
        <f>AND('SPR BARRANQUILLA'!BN25,"AAAAAG+7fqc=")</f>
        <v>#VALUE!</v>
      </c>
      <c r="FM24" t="e">
        <f>AND('SPR BARRANQUILLA'!BO25,"AAAAAG+7fqg=")</f>
        <v>#VALUE!</v>
      </c>
      <c r="FN24" t="e">
        <f>AND('SPR BARRANQUILLA'!BP25,"AAAAAG+7fqk=")</f>
        <v>#VALUE!</v>
      </c>
      <c r="FO24" t="e">
        <f>AND('SPR BARRANQUILLA'!BQ25,"AAAAAG+7fqo=")</f>
        <v>#VALUE!</v>
      </c>
      <c r="FP24" t="e">
        <f>AND('SPR BARRANQUILLA'!BR25,"AAAAAG+7fqs=")</f>
        <v>#VALUE!</v>
      </c>
      <c r="FQ24" t="e">
        <f>AND('SPR BARRANQUILLA'!BS25,"AAAAAG+7fqw=")</f>
        <v>#VALUE!</v>
      </c>
      <c r="FR24" t="e">
        <f>AND('SPR BARRANQUILLA'!BT25,"AAAAAG+7fq0=")</f>
        <v>#VALUE!</v>
      </c>
      <c r="FS24" t="e">
        <f>AND('SPR BARRANQUILLA'!BU25,"AAAAAG+7fq4=")</f>
        <v>#VALUE!</v>
      </c>
      <c r="FT24" t="e">
        <f>AND('SPR BARRANQUILLA'!BV25,"AAAAAG+7fq8=")</f>
        <v>#VALUE!</v>
      </c>
      <c r="FU24" t="e">
        <f>AND('SPR BARRANQUILLA'!BW25,"AAAAAG+7frA=")</f>
        <v>#VALUE!</v>
      </c>
      <c r="FV24" t="e">
        <f>AND('SPR BARRANQUILLA'!BX25,"AAAAAG+7frE=")</f>
        <v>#VALUE!</v>
      </c>
      <c r="FW24" t="e">
        <f>AND('SPR BARRANQUILLA'!BY25,"AAAAAG+7frI=")</f>
        <v>#VALUE!</v>
      </c>
      <c r="FX24" t="e">
        <f>AND('SPR BARRANQUILLA'!BZ25,"AAAAAG+7frM=")</f>
        <v>#VALUE!</v>
      </c>
      <c r="FY24" t="e">
        <f>AND('SPR BARRANQUILLA'!CA25,"AAAAAG+7frQ=")</f>
        <v>#VALUE!</v>
      </c>
      <c r="FZ24" t="e">
        <f>AND('SPR BARRANQUILLA'!CB25,"AAAAAG+7frU=")</f>
        <v>#VALUE!</v>
      </c>
      <c r="GA24" t="e">
        <f>AND('SPR BARRANQUILLA'!CC25,"AAAAAG+7frY=")</f>
        <v>#VALUE!</v>
      </c>
      <c r="GB24" t="e">
        <f>AND('SPR BARRANQUILLA'!CD25,"AAAAAG+7frc=")</f>
        <v>#VALUE!</v>
      </c>
      <c r="GC24" t="e">
        <f>AND('SPR BARRANQUILLA'!CE25,"AAAAAG+7frg=")</f>
        <v>#VALUE!</v>
      </c>
      <c r="GD24" t="e">
        <f>AND('SPR BARRANQUILLA'!CF25,"AAAAAG+7frk=")</f>
        <v>#VALUE!</v>
      </c>
      <c r="GE24" t="e">
        <f>AND('SPR BARRANQUILLA'!CG25,"AAAAAG+7fro=")</f>
        <v>#VALUE!</v>
      </c>
      <c r="GF24" t="e">
        <f>AND('SPR BARRANQUILLA'!CH25,"AAAAAG+7frs=")</f>
        <v>#VALUE!</v>
      </c>
      <c r="GG24" t="e">
        <f>AND('SPR BARRANQUILLA'!CI25,"AAAAAG+7frw=")</f>
        <v>#VALUE!</v>
      </c>
      <c r="GH24" t="e">
        <f>AND('SPR BARRANQUILLA'!CJ25,"AAAAAG+7fr0=")</f>
        <v>#VALUE!</v>
      </c>
      <c r="GI24" t="e">
        <f>AND('SPR BARRANQUILLA'!CK25,"AAAAAG+7fr4=")</f>
        <v>#VALUE!</v>
      </c>
      <c r="GJ24" t="e">
        <f>AND('SPR BARRANQUILLA'!CL25,"AAAAAG+7fr8=")</f>
        <v>#VALUE!</v>
      </c>
      <c r="GK24" t="e">
        <f>AND('SPR BARRANQUILLA'!CM25,"AAAAAG+7fsA=")</f>
        <v>#VALUE!</v>
      </c>
      <c r="GL24" t="e">
        <f>AND('SPR BARRANQUILLA'!CN25,"AAAAAG+7fsE=")</f>
        <v>#VALUE!</v>
      </c>
      <c r="GM24" t="e">
        <f>AND('SPR BARRANQUILLA'!CO25,"AAAAAG+7fsI=")</f>
        <v>#VALUE!</v>
      </c>
      <c r="GN24" t="e">
        <f>AND('SPR BARRANQUILLA'!CP25,"AAAAAG+7fsM=")</f>
        <v>#VALUE!</v>
      </c>
      <c r="GO24" t="e">
        <f>AND('SPR BARRANQUILLA'!CQ25,"AAAAAG+7fsQ=")</f>
        <v>#VALUE!</v>
      </c>
      <c r="GP24" t="e">
        <f>AND('SPR BARRANQUILLA'!CR25,"AAAAAG+7fsU=")</f>
        <v>#VALUE!</v>
      </c>
      <c r="GQ24" t="e">
        <f>AND('SPR BARRANQUILLA'!CS25,"AAAAAG+7fsY=")</f>
        <v>#VALUE!</v>
      </c>
      <c r="GR24" t="e">
        <f>AND('SPR BARRANQUILLA'!CT25,"AAAAAG+7fsc=")</f>
        <v>#VALUE!</v>
      </c>
      <c r="GS24" t="e">
        <f>AND('SPR BARRANQUILLA'!CU25,"AAAAAG+7fsg=")</f>
        <v>#VALUE!</v>
      </c>
      <c r="GT24" t="e">
        <f>AND('SPR BARRANQUILLA'!CV25,"AAAAAG+7fsk=")</f>
        <v>#VALUE!</v>
      </c>
      <c r="GU24" t="e">
        <f>AND('SPR BARRANQUILLA'!CW25,"AAAAAG+7fso=")</f>
        <v>#VALUE!</v>
      </c>
      <c r="GV24" t="e">
        <f>AND('SPR BARRANQUILLA'!CX25,"AAAAAG+7fss=")</f>
        <v>#VALUE!</v>
      </c>
      <c r="GW24" t="e">
        <f>AND('SPR BARRANQUILLA'!CY25,"AAAAAG+7fsw=")</f>
        <v>#VALUE!</v>
      </c>
      <c r="GX24" t="e">
        <f>AND('SPR BARRANQUILLA'!CZ25,"AAAAAG+7fs0=")</f>
        <v>#VALUE!</v>
      </c>
      <c r="GY24" t="e">
        <f>AND('SPR BARRANQUILLA'!DA25,"AAAAAG+7fs4=")</f>
        <v>#VALUE!</v>
      </c>
      <c r="GZ24" t="e">
        <f>AND('SPR BARRANQUILLA'!DB25,"AAAAAG+7fs8=")</f>
        <v>#VALUE!</v>
      </c>
      <c r="HA24" t="e">
        <f>AND('SPR BARRANQUILLA'!DC25,"AAAAAG+7ftA=")</f>
        <v>#VALUE!</v>
      </c>
      <c r="HB24" t="e">
        <f>AND('SPR BARRANQUILLA'!DD25,"AAAAAG+7ftE=")</f>
        <v>#VALUE!</v>
      </c>
      <c r="HC24" t="e">
        <f>AND('SPR BARRANQUILLA'!DE25,"AAAAAG+7ftI=")</f>
        <v>#VALUE!</v>
      </c>
      <c r="HD24" t="e">
        <f>AND('SPR BARRANQUILLA'!DF25,"AAAAAG+7ftM=")</f>
        <v>#VALUE!</v>
      </c>
      <c r="HE24" t="e">
        <f>AND('SPR BARRANQUILLA'!DG25,"AAAAAG+7ftQ=")</f>
        <v>#VALUE!</v>
      </c>
      <c r="HF24" t="e">
        <f>AND('SPR BARRANQUILLA'!DH25,"AAAAAG+7ftU=")</f>
        <v>#VALUE!</v>
      </c>
      <c r="HG24" t="e">
        <f>AND('SPR BARRANQUILLA'!DI25,"AAAAAG+7ftY=")</f>
        <v>#VALUE!</v>
      </c>
      <c r="HH24" t="e">
        <f>AND('SPR BARRANQUILLA'!DJ25,"AAAAAG+7ftc=")</f>
        <v>#VALUE!</v>
      </c>
      <c r="HI24" t="e">
        <f>AND('SPR BARRANQUILLA'!DK25,"AAAAAG+7ftg=")</f>
        <v>#VALUE!</v>
      </c>
      <c r="HJ24" t="e">
        <f>AND('SPR BARRANQUILLA'!DL25,"AAAAAG+7ftk=")</f>
        <v>#VALUE!</v>
      </c>
      <c r="HK24" t="e">
        <f>AND('SPR BARRANQUILLA'!DM25,"AAAAAG+7fto=")</f>
        <v>#VALUE!</v>
      </c>
      <c r="HL24" t="e">
        <f>AND('SPR BARRANQUILLA'!DN25,"AAAAAG+7fts=")</f>
        <v>#VALUE!</v>
      </c>
      <c r="HM24" t="e">
        <f>AND('SPR BARRANQUILLA'!DO25,"AAAAAG+7ftw=")</f>
        <v>#VALUE!</v>
      </c>
      <c r="HN24" t="e">
        <f>AND('SPR BARRANQUILLA'!DP25,"AAAAAG+7ft0=")</f>
        <v>#VALUE!</v>
      </c>
      <c r="HO24" t="e">
        <f>AND('SPR BARRANQUILLA'!DQ25,"AAAAAG+7ft4=")</f>
        <v>#VALUE!</v>
      </c>
      <c r="HP24" t="e">
        <f>AND('SPR BARRANQUILLA'!DR25,"AAAAAG+7ft8=")</f>
        <v>#VALUE!</v>
      </c>
      <c r="HQ24" t="e">
        <f>AND('SPR BARRANQUILLA'!DS25,"AAAAAG+7fuA=")</f>
        <v>#VALUE!</v>
      </c>
      <c r="HR24" t="e">
        <f>AND('SPR BARRANQUILLA'!DT25,"AAAAAG+7fuE=")</f>
        <v>#VALUE!</v>
      </c>
      <c r="HS24" t="e">
        <f>AND('SPR BARRANQUILLA'!DU25,"AAAAAG+7fuI=")</f>
        <v>#VALUE!</v>
      </c>
      <c r="HT24" t="e">
        <f>AND('SPR BARRANQUILLA'!DV25,"AAAAAG+7fuM=")</f>
        <v>#VALUE!</v>
      </c>
      <c r="HU24" t="e">
        <f>AND('SPR BARRANQUILLA'!DW25,"AAAAAG+7fuQ=")</f>
        <v>#VALUE!</v>
      </c>
      <c r="HV24" t="e">
        <f>AND('SPR BARRANQUILLA'!DX25,"AAAAAG+7fuU=")</f>
        <v>#VALUE!</v>
      </c>
      <c r="HW24" t="e">
        <f>AND('SPR BARRANQUILLA'!DY25,"AAAAAG+7fuY=")</f>
        <v>#VALUE!</v>
      </c>
      <c r="HX24" t="e">
        <f>AND('SPR BARRANQUILLA'!DZ25,"AAAAAG+7fuc=")</f>
        <v>#VALUE!</v>
      </c>
      <c r="HY24" t="e">
        <f>AND('SPR BARRANQUILLA'!EA25,"AAAAAG+7fug=")</f>
        <v>#VALUE!</v>
      </c>
      <c r="HZ24" t="e">
        <f>AND('SPR BARRANQUILLA'!EB25,"AAAAAG+7fuk=")</f>
        <v>#VALUE!</v>
      </c>
      <c r="IA24" t="e">
        <f>AND('SPR BARRANQUILLA'!EC25,"AAAAAG+7fuo=")</f>
        <v>#VALUE!</v>
      </c>
      <c r="IB24" t="e">
        <f>AND('SPR BARRANQUILLA'!ED25,"AAAAAG+7fus=")</f>
        <v>#VALUE!</v>
      </c>
      <c r="IC24" t="e">
        <f>AND('SPR BARRANQUILLA'!EE25,"AAAAAG+7fuw=")</f>
        <v>#VALUE!</v>
      </c>
      <c r="ID24" t="e">
        <f>AND('SPR BARRANQUILLA'!EF25,"AAAAAG+7fu0=")</f>
        <v>#VALUE!</v>
      </c>
      <c r="IE24" t="e">
        <f>AND('SPR BARRANQUILLA'!EG25,"AAAAAG+7fu4=")</f>
        <v>#VALUE!</v>
      </c>
      <c r="IF24" t="e">
        <f>AND('SPR BARRANQUILLA'!EH25,"AAAAAG+7fu8=")</f>
        <v>#VALUE!</v>
      </c>
      <c r="IG24" t="e">
        <f>AND('SPR BARRANQUILLA'!EI25,"AAAAAG+7fvA=")</f>
        <v>#VALUE!</v>
      </c>
      <c r="IH24" t="e">
        <f>AND('SPR BARRANQUILLA'!EJ25,"AAAAAG+7fvE=")</f>
        <v>#VALUE!</v>
      </c>
      <c r="II24" t="e">
        <f>AND('SPR BARRANQUILLA'!EK25,"AAAAAG+7fvI=")</f>
        <v>#VALUE!</v>
      </c>
      <c r="IJ24" t="e">
        <f>AND('SPR BARRANQUILLA'!EL25,"AAAAAG+7fvM=")</f>
        <v>#VALUE!</v>
      </c>
      <c r="IK24" t="e">
        <f>AND('SPR BARRANQUILLA'!EM25,"AAAAAG+7fvQ=")</f>
        <v>#VALUE!</v>
      </c>
      <c r="IL24" t="e">
        <f>AND('SPR BARRANQUILLA'!EN25,"AAAAAG+7fvU=")</f>
        <v>#VALUE!</v>
      </c>
      <c r="IM24" t="e">
        <f>AND('SPR BARRANQUILLA'!EO25,"AAAAAG+7fvY=")</f>
        <v>#VALUE!</v>
      </c>
      <c r="IN24" t="e">
        <f>AND('SPR BARRANQUILLA'!EP25,"AAAAAG+7fvc=")</f>
        <v>#VALUE!</v>
      </c>
      <c r="IO24" t="e">
        <f>AND('SPR BARRANQUILLA'!EQ25,"AAAAAG+7fvg=")</f>
        <v>#VALUE!</v>
      </c>
      <c r="IP24" t="e">
        <f>AND('SPR BARRANQUILLA'!ER25,"AAAAAG+7fvk=")</f>
        <v>#VALUE!</v>
      </c>
      <c r="IQ24" t="e">
        <f>AND('SPR BARRANQUILLA'!ES25,"AAAAAG+7fvo=")</f>
        <v>#VALUE!</v>
      </c>
      <c r="IR24" t="e">
        <f>AND('SPR BARRANQUILLA'!ET25,"AAAAAG+7fvs=")</f>
        <v>#VALUE!</v>
      </c>
      <c r="IS24" t="e">
        <f>AND('SPR BARRANQUILLA'!EU25,"AAAAAG+7fvw=")</f>
        <v>#VALUE!</v>
      </c>
      <c r="IT24" t="e">
        <f>AND('SPR BARRANQUILLA'!EV25,"AAAAAG+7fv0=")</f>
        <v>#VALUE!</v>
      </c>
      <c r="IU24" t="e">
        <f>AND('SPR BARRANQUILLA'!EW25,"AAAAAG+7fv4=")</f>
        <v>#VALUE!</v>
      </c>
      <c r="IV24" t="e">
        <f>AND('SPR BARRANQUILLA'!EX25,"AAAAAG+7fv8=")</f>
        <v>#VALUE!</v>
      </c>
    </row>
    <row r="25" spans="1:256">
      <c r="A25" t="e">
        <f>AND('SPR BARRANQUILLA'!EY25,"AAAAAH33fwA=")</f>
        <v>#VALUE!</v>
      </c>
      <c r="B25" t="e">
        <f>AND('SPR BARRANQUILLA'!EZ25,"AAAAAH33fwE=")</f>
        <v>#VALUE!</v>
      </c>
      <c r="C25" t="e">
        <f>AND('SPR BARRANQUILLA'!FA25,"AAAAAH33fwI=")</f>
        <v>#VALUE!</v>
      </c>
      <c r="D25" t="e">
        <f>AND('SPR BARRANQUILLA'!FB25,"AAAAAH33fwM=")</f>
        <v>#VALUE!</v>
      </c>
      <c r="E25" t="e">
        <f>AND('SPR BARRANQUILLA'!FC25,"AAAAAH33fwQ=")</f>
        <v>#VALUE!</v>
      </c>
      <c r="F25" t="e">
        <f>AND('SPR BARRANQUILLA'!FD25,"AAAAAH33fwU=")</f>
        <v>#VALUE!</v>
      </c>
      <c r="G25" t="e">
        <f>AND('SPR BARRANQUILLA'!FE25,"AAAAAH33fwY=")</f>
        <v>#VALUE!</v>
      </c>
      <c r="H25" t="e">
        <f>AND('SPR BARRANQUILLA'!FF25,"AAAAAH33fwc=")</f>
        <v>#VALUE!</v>
      </c>
      <c r="I25" t="e">
        <f>AND('SPR BARRANQUILLA'!FG25,"AAAAAH33fwg=")</f>
        <v>#VALUE!</v>
      </c>
      <c r="J25" t="e">
        <f>AND('SPR BARRANQUILLA'!FH25,"AAAAAH33fwk=")</f>
        <v>#VALUE!</v>
      </c>
      <c r="K25" t="e">
        <f>AND('SPR BARRANQUILLA'!FI25,"AAAAAH33fwo=")</f>
        <v>#VALUE!</v>
      </c>
      <c r="L25" t="e">
        <f>AND('SPR BARRANQUILLA'!FJ25,"AAAAAH33fws=")</f>
        <v>#VALUE!</v>
      </c>
      <c r="M25" t="e">
        <f>AND('SPR BARRANQUILLA'!FK25,"AAAAAH33fww=")</f>
        <v>#VALUE!</v>
      </c>
      <c r="N25" t="e">
        <f>AND('SPR BARRANQUILLA'!FL25,"AAAAAH33fw0=")</f>
        <v>#VALUE!</v>
      </c>
      <c r="O25" t="e">
        <f>AND('SPR BARRANQUILLA'!FM25,"AAAAAH33fw4=")</f>
        <v>#VALUE!</v>
      </c>
      <c r="P25" t="e">
        <f>AND('SPR BARRANQUILLA'!FN25,"AAAAAH33fw8=")</f>
        <v>#VALUE!</v>
      </c>
      <c r="Q25" t="e">
        <f>AND('SPR BARRANQUILLA'!FO25,"AAAAAH33fxA=")</f>
        <v>#VALUE!</v>
      </c>
      <c r="R25" t="e">
        <f>AND('SPR BARRANQUILLA'!FP25,"AAAAAH33fxE=")</f>
        <v>#VALUE!</v>
      </c>
      <c r="S25" t="e">
        <f>AND('SPR BARRANQUILLA'!FQ25,"AAAAAH33fxI=")</f>
        <v>#VALUE!</v>
      </c>
      <c r="T25" t="e">
        <f>AND('SPR BARRANQUILLA'!FR25,"AAAAAH33fxM=")</f>
        <v>#VALUE!</v>
      </c>
      <c r="U25" t="e">
        <f>AND('SPR BARRANQUILLA'!FS25,"AAAAAH33fxQ=")</f>
        <v>#VALUE!</v>
      </c>
      <c r="V25" t="e">
        <f>AND('SPR BARRANQUILLA'!FT25,"AAAAAH33fxU=")</f>
        <v>#VALUE!</v>
      </c>
      <c r="W25" t="e">
        <f>AND('SPR BARRANQUILLA'!FU25,"AAAAAH33fxY=")</f>
        <v>#VALUE!</v>
      </c>
      <c r="X25" t="e">
        <f>AND('SPR BARRANQUILLA'!FV25,"AAAAAH33fxc=")</f>
        <v>#VALUE!</v>
      </c>
      <c r="Y25" t="e">
        <f>AND('SPR BARRANQUILLA'!FW25,"AAAAAH33fxg=")</f>
        <v>#VALUE!</v>
      </c>
      <c r="Z25" t="e">
        <f>AND('SPR BARRANQUILLA'!FX25,"AAAAAH33fxk=")</f>
        <v>#VALUE!</v>
      </c>
      <c r="AA25" t="e">
        <f>AND('SPR BARRANQUILLA'!FY25,"AAAAAH33fxo=")</f>
        <v>#VALUE!</v>
      </c>
      <c r="AB25" t="e">
        <f>AND('SPR BARRANQUILLA'!FZ25,"AAAAAH33fxs=")</f>
        <v>#VALUE!</v>
      </c>
      <c r="AC25" t="e">
        <f>AND('SPR BARRANQUILLA'!GA25,"AAAAAH33fxw=")</f>
        <v>#VALUE!</v>
      </c>
      <c r="AD25" t="e">
        <f>AND('SPR BARRANQUILLA'!GB25,"AAAAAH33fx0=")</f>
        <v>#VALUE!</v>
      </c>
      <c r="AE25" t="e">
        <f>AND('SPR BARRANQUILLA'!GC25,"AAAAAH33fx4=")</f>
        <v>#VALUE!</v>
      </c>
      <c r="AF25" t="e">
        <f>AND('SPR BARRANQUILLA'!GD25,"AAAAAH33fx8=")</f>
        <v>#VALUE!</v>
      </c>
      <c r="AG25" t="e">
        <f>AND('SPR BARRANQUILLA'!GE25,"AAAAAH33fyA=")</f>
        <v>#VALUE!</v>
      </c>
      <c r="AH25" t="e">
        <f>AND('SPR BARRANQUILLA'!GF25,"AAAAAH33fyE=")</f>
        <v>#VALUE!</v>
      </c>
      <c r="AI25" t="e">
        <f>AND('SPR BARRANQUILLA'!GG25,"AAAAAH33fyI=")</f>
        <v>#VALUE!</v>
      </c>
      <c r="AJ25" t="e">
        <f>AND('SPR BARRANQUILLA'!GH25,"AAAAAH33fyM=")</f>
        <v>#VALUE!</v>
      </c>
      <c r="AK25" t="e">
        <f>AND('SPR BARRANQUILLA'!GI25,"AAAAAH33fyQ=")</f>
        <v>#VALUE!</v>
      </c>
      <c r="AL25" t="e">
        <f>AND('SPR BARRANQUILLA'!GJ25,"AAAAAH33fyU=")</f>
        <v>#VALUE!</v>
      </c>
      <c r="AM25" t="e">
        <f>AND('SPR BARRANQUILLA'!GK25,"AAAAAH33fyY=")</f>
        <v>#VALUE!</v>
      </c>
      <c r="AN25" t="e">
        <f>AND('SPR BARRANQUILLA'!GL25,"AAAAAH33fyc=")</f>
        <v>#VALUE!</v>
      </c>
      <c r="AO25" t="e">
        <f>AND('SPR BARRANQUILLA'!GM25,"AAAAAH33fyg=")</f>
        <v>#VALUE!</v>
      </c>
      <c r="AP25" t="e">
        <f>AND('SPR BARRANQUILLA'!GN25,"AAAAAH33fyk=")</f>
        <v>#VALUE!</v>
      </c>
      <c r="AQ25" t="e">
        <f>AND('SPR BARRANQUILLA'!GO25,"AAAAAH33fyo=")</f>
        <v>#VALUE!</v>
      </c>
      <c r="AR25" t="e">
        <f>AND('SPR BARRANQUILLA'!GP25,"AAAAAH33fys=")</f>
        <v>#VALUE!</v>
      </c>
      <c r="AS25" t="e">
        <f>AND('SPR BARRANQUILLA'!GQ25,"AAAAAH33fyw=")</f>
        <v>#VALUE!</v>
      </c>
      <c r="AT25" t="e">
        <f>AND('SPR BARRANQUILLA'!GR25,"AAAAAH33fy0=")</f>
        <v>#VALUE!</v>
      </c>
      <c r="AU25" t="e">
        <f>AND('SPR BARRANQUILLA'!GS25,"AAAAAH33fy4=")</f>
        <v>#VALUE!</v>
      </c>
      <c r="AV25" t="e">
        <f>AND('SPR BARRANQUILLA'!GT25,"AAAAAH33fy8=")</f>
        <v>#VALUE!</v>
      </c>
      <c r="AW25" t="e">
        <f>AND('SPR BARRANQUILLA'!GU25,"AAAAAH33fzA=")</f>
        <v>#VALUE!</v>
      </c>
      <c r="AX25" t="e">
        <f>AND('SPR BARRANQUILLA'!GV25,"AAAAAH33fzE=")</f>
        <v>#VALUE!</v>
      </c>
      <c r="AY25" t="e">
        <f>AND('SPR BARRANQUILLA'!GW25,"AAAAAH33fzI=")</f>
        <v>#VALUE!</v>
      </c>
      <c r="AZ25" t="e">
        <f>AND('SPR BARRANQUILLA'!GX25,"AAAAAH33fzM=")</f>
        <v>#VALUE!</v>
      </c>
      <c r="BA25" t="e">
        <f>AND('SPR BARRANQUILLA'!GY25,"AAAAAH33fzQ=")</f>
        <v>#VALUE!</v>
      </c>
      <c r="BB25">
        <f>IF('SPR BARRANQUILLA'!26:26,"AAAAAH33fzU=",0)</f>
        <v>0</v>
      </c>
      <c r="BC25" t="e">
        <f>AND('SPR BARRANQUILLA'!A26,"AAAAAH33fzY=")</f>
        <v>#VALUE!</v>
      </c>
      <c r="BD25" t="e">
        <f>AND('SPR BARRANQUILLA'!B26,"AAAAAH33fzc=")</f>
        <v>#VALUE!</v>
      </c>
      <c r="BE25" t="e">
        <f>AND('SPR BARRANQUILLA'!C26,"AAAAAH33fzg=")</f>
        <v>#VALUE!</v>
      </c>
      <c r="BF25" t="e">
        <f>AND('SPR BARRANQUILLA'!D26,"AAAAAH33fzk=")</f>
        <v>#VALUE!</v>
      </c>
      <c r="BG25" t="e">
        <f>AND('SPR BARRANQUILLA'!E26,"AAAAAH33fzo=")</f>
        <v>#VALUE!</v>
      </c>
      <c r="BH25" t="e">
        <f>AND('SPR BARRANQUILLA'!F26,"AAAAAH33fzs=")</f>
        <v>#VALUE!</v>
      </c>
      <c r="BI25" t="e">
        <f>AND('SPR BARRANQUILLA'!G26,"AAAAAH33fzw=")</f>
        <v>#VALUE!</v>
      </c>
      <c r="BJ25" t="e">
        <f>AND('SPR BARRANQUILLA'!H26,"AAAAAH33fz0=")</f>
        <v>#VALUE!</v>
      </c>
      <c r="BK25" t="e">
        <f>AND('SPR BARRANQUILLA'!I26,"AAAAAH33fz4=")</f>
        <v>#VALUE!</v>
      </c>
      <c r="BL25" t="e">
        <f>AND('SPR BARRANQUILLA'!J26,"AAAAAH33fz8=")</f>
        <v>#VALUE!</v>
      </c>
      <c r="BM25" t="e">
        <f>AND('SPR BARRANQUILLA'!K26,"AAAAAH33f0A=")</f>
        <v>#VALUE!</v>
      </c>
      <c r="BN25" t="e">
        <f>AND('SPR BARRANQUILLA'!L26,"AAAAAH33f0E=")</f>
        <v>#VALUE!</v>
      </c>
      <c r="BO25" t="e">
        <f>AND('SPR BARRANQUILLA'!M26,"AAAAAH33f0I=")</f>
        <v>#VALUE!</v>
      </c>
      <c r="BP25" t="e">
        <f>AND('SPR BARRANQUILLA'!N26,"AAAAAH33f0M=")</f>
        <v>#VALUE!</v>
      </c>
      <c r="BQ25" t="e">
        <f>AND('SPR BARRANQUILLA'!O26,"AAAAAH33f0Q=")</f>
        <v>#VALUE!</v>
      </c>
      <c r="BR25" t="e">
        <f>AND('SPR BARRANQUILLA'!P26,"AAAAAH33f0U=")</f>
        <v>#VALUE!</v>
      </c>
      <c r="BS25" t="e">
        <f>AND('SPR BARRANQUILLA'!Q26,"AAAAAH33f0Y=")</f>
        <v>#VALUE!</v>
      </c>
      <c r="BT25" t="e">
        <f>AND('SPR BARRANQUILLA'!R26,"AAAAAH33f0c=")</f>
        <v>#VALUE!</v>
      </c>
      <c r="BU25" t="e">
        <f>AND('SPR BARRANQUILLA'!S26,"AAAAAH33f0g=")</f>
        <v>#VALUE!</v>
      </c>
      <c r="BV25" t="e">
        <f>AND('SPR BARRANQUILLA'!T26,"AAAAAH33f0k=")</f>
        <v>#VALUE!</v>
      </c>
      <c r="BW25" t="e">
        <f>AND('SPR BARRANQUILLA'!U26,"AAAAAH33f0o=")</f>
        <v>#VALUE!</v>
      </c>
      <c r="BX25" t="e">
        <f>AND('SPR BARRANQUILLA'!V26,"AAAAAH33f0s=")</f>
        <v>#VALUE!</v>
      </c>
      <c r="BY25" t="e">
        <f>AND('SPR BARRANQUILLA'!W26,"AAAAAH33f0w=")</f>
        <v>#VALUE!</v>
      </c>
      <c r="BZ25" t="e">
        <f>AND('SPR BARRANQUILLA'!X26,"AAAAAH33f00=")</f>
        <v>#VALUE!</v>
      </c>
      <c r="CA25" t="e">
        <f>AND('SPR BARRANQUILLA'!Y26,"AAAAAH33f04=")</f>
        <v>#VALUE!</v>
      </c>
      <c r="CB25" t="e">
        <f>AND('SPR BARRANQUILLA'!Z26,"AAAAAH33f08=")</f>
        <v>#VALUE!</v>
      </c>
      <c r="CC25" t="e">
        <f>AND('SPR BARRANQUILLA'!AA26,"AAAAAH33f1A=")</f>
        <v>#VALUE!</v>
      </c>
      <c r="CD25" t="e">
        <f>AND('SPR BARRANQUILLA'!AB26,"AAAAAH33f1E=")</f>
        <v>#VALUE!</v>
      </c>
      <c r="CE25" t="e">
        <f>AND('SPR BARRANQUILLA'!AC26,"AAAAAH33f1I=")</f>
        <v>#VALUE!</v>
      </c>
      <c r="CF25" t="e">
        <f>AND('SPR BARRANQUILLA'!AD26,"AAAAAH33f1M=")</f>
        <v>#VALUE!</v>
      </c>
      <c r="CG25" t="e">
        <f>AND('SPR BARRANQUILLA'!AE26,"AAAAAH33f1Q=")</f>
        <v>#VALUE!</v>
      </c>
      <c r="CH25" t="e">
        <f>AND('SPR BARRANQUILLA'!AF26,"AAAAAH33f1U=")</f>
        <v>#VALUE!</v>
      </c>
      <c r="CI25" t="e">
        <f>AND('SPR BARRANQUILLA'!AG26,"AAAAAH33f1Y=")</f>
        <v>#VALUE!</v>
      </c>
      <c r="CJ25" t="e">
        <f>AND('SPR BARRANQUILLA'!AH26,"AAAAAH33f1c=")</f>
        <v>#VALUE!</v>
      </c>
      <c r="CK25" t="e">
        <f>AND('SPR BARRANQUILLA'!AI26,"AAAAAH33f1g=")</f>
        <v>#VALUE!</v>
      </c>
      <c r="CL25" t="e">
        <f>AND('SPR BARRANQUILLA'!AJ26,"AAAAAH33f1k=")</f>
        <v>#VALUE!</v>
      </c>
      <c r="CM25" t="e">
        <f>AND('SPR BARRANQUILLA'!AK26,"AAAAAH33f1o=")</f>
        <v>#VALUE!</v>
      </c>
      <c r="CN25" t="e">
        <f>AND('SPR BARRANQUILLA'!AL26,"AAAAAH33f1s=")</f>
        <v>#VALUE!</v>
      </c>
      <c r="CO25" t="e">
        <f>AND('SPR BARRANQUILLA'!AM26,"AAAAAH33f1w=")</f>
        <v>#VALUE!</v>
      </c>
      <c r="CP25" t="e">
        <f>AND('SPR BARRANQUILLA'!AN26,"AAAAAH33f10=")</f>
        <v>#VALUE!</v>
      </c>
      <c r="CQ25" t="e">
        <f>AND('SPR BARRANQUILLA'!AO26,"AAAAAH33f14=")</f>
        <v>#VALUE!</v>
      </c>
      <c r="CR25" t="e">
        <f>AND('SPR BARRANQUILLA'!AP26,"AAAAAH33f18=")</f>
        <v>#VALUE!</v>
      </c>
      <c r="CS25" t="e">
        <f>AND('SPR BARRANQUILLA'!AQ26,"AAAAAH33f2A=")</f>
        <v>#VALUE!</v>
      </c>
      <c r="CT25" t="e">
        <f>AND('SPR BARRANQUILLA'!AR26,"AAAAAH33f2E=")</f>
        <v>#VALUE!</v>
      </c>
      <c r="CU25" t="e">
        <f>AND('SPR BARRANQUILLA'!AS26,"AAAAAH33f2I=")</f>
        <v>#VALUE!</v>
      </c>
      <c r="CV25" t="e">
        <f>AND('SPR BARRANQUILLA'!AT26,"AAAAAH33f2M=")</f>
        <v>#VALUE!</v>
      </c>
      <c r="CW25" t="e">
        <f>AND('SPR BARRANQUILLA'!AU26,"AAAAAH33f2Q=")</f>
        <v>#VALUE!</v>
      </c>
      <c r="CX25" t="e">
        <f>AND('SPR BARRANQUILLA'!AV26,"AAAAAH33f2U=")</f>
        <v>#VALUE!</v>
      </c>
      <c r="CY25" t="e">
        <f>AND('SPR BARRANQUILLA'!AW26,"AAAAAH33f2Y=")</f>
        <v>#VALUE!</v>
      </c>
      <c r="CZ25" t="e">
        <f>AND('SPR BARRANQUILLA'!AX26,"AAAAAH33f2c=")</f>
        <v>#VALUE!</v>
      </c>
      <c r="DA25" t="e">
        <f>AND('SPR BARRANQUILLA'!AY26,"AAAAAH33f2g=")</f>
        <v>#VALUE!</v>
      </c>
      <c r="DB25" t="e">
        <f>AND('SPR BARRANQUILLA'!AZ26,"AAAAAH33f2k=")</f>
        <v>#VALUE!</v>
      </c>
      <c r="DC25" t="e">
        <f>AND('SPR BARRANQUILLA'!BA26,"AAAAAH33f2o=")</f>
        <v>#VALUE!</v>
      </c>
      <c r="DD25" t="e">
        <f>AND('SPR BARRANQUILLA'!BB26,"AAAAAH33f2s=")</f>
        <v>#VALUE!</v>
      </c>
      <c r="DE25" t="e">
        <f>AND('SPR BARRANQUILLA'!BC26,"AAAAAH33f2w=")</f>
        <v>#VALUE!</v>
      </c>
      <c r="DF25" t="e">
        <f>AND('SPR BARRANQUILLA'!BD26,"AAAAAH33f20=")</f>
        <v>#VALUE!</v>
      </c>
      <c r="DG25" t="e">
        <f>AND('SPR BARRANQUILLA'!BE26,"AAAAAH33f24=")</f>
        <v>#VALUE!</v>
      </c>
      <c r="DH25" t="e">
        <f>AND('SPR BARRANQUILLA'!BF26,"AAAAAH33f28=")</f>
        <v>#VALUE!</v>
      </c>
      <c r="DI25" t="e">
        <f>AND('SPR BARRANQUILLA'!BG26,"AAAAAH33f3A=")</f>
        <v>#VALUE!</v>
      </c>
      <c r="DJ25" t="e">
        <f>AND('SPR BARRANQUILLA'!BH26,"AAAAAH33f3E=")</f>
        <v>#VALUE!</v>
      </c>
      <c r="DK25" t="e">
        <f>AND('SPR BARRANQUILLA'!BI26,"AAAAAH33f3I=")</f>
        <v>#VALUE!</v>
      </c>
      <c r="DL25" t="e">
        <f>AND('SPR BARRANQUILLA'!BJ26,"AAAAAH33f3M=")</f>
        <v>#VALUE!</v>
      </c>
      <c r="DM25" t="e">
        <f>AND('SPR BARRANQUILLA'!BK26,"AAAAAH33f3Q=")</f>
        <v>#VALUE!</v>
      </c>
      <c r="DN25" t="e">
        <f>AND('SPR BARRANQUILLA'!BL26,"AAAAAH33f3U=")</f>
        <v>#VALUE!</v>
      </c>
      <c r="DO25" t="e">
        <f>AND('SPR BARRANQUILLA'!BM26,"AAAAAH33f3Y=")</f>
        <v>#VALUE!</v>
      </c>
      <c r="DP25" t="e">
        <f>AND('SPR BARRANQUILLA'!BN26,"AAAAAH33f3c=")</f>
        <v>#VALUE!</v>
      </c>
      <c r="DQ25" t="e">
        <f>AND('SPR BARRANQUILLA'!BO26,"AAAAAH33f3g=")</f>
        <v>#VALUE!</v>
      </c>
      <c r="DR25" t="e">
        <f>AND('SPR BARRANQUILLA'!BP26,"AAAAAH33f3k=")</f>
        <v>#VALUE!</v>
      </c>
      <c r="DS25" t="e">
        <f>AND('SPR BARRANQUILLA'!BQ26,"AAAAAH33f3o=")</f>
        <v>#VALUE!</v>
      </c>
      <c r="DT25" t="e">
        <f>AND('SPR BARRANQUILLA'!BR26,"AAAAAH33f3s=")</f>
        <v>#VALUE!</v>
      </c>
      <c r="DU25" t="e">
        <f>AND('SPR BARRANQUILLA'!BS26,"AAAAAH33f3w=")</f>
        <v>#VALUE!</v>
      </c>
      <c r="DV25" t="e">
        <f>AND('SPR BARRANQUILLA'!BT26,"AAAAAH33f30=")</f>
        <v>#VALUE!</v>
      </c>
      <c r="DW25" t="e">
        <f>AND('SPR BARRANQUILLA'!BU26,"AAAAAH33f34=")</f>
        <v>#VALUE!</v>
      </c>
      <c r="DX25" t="e">
        <f>AND('SPR BARRANQUILLA'!BV26,"AAAAAH33f38=")</f>
        <v>#VALUE!</v>
      </c>
      <c r="DY25" t="e">
        <f>AND('SPR BARRANQUILLA'!BW26,"AAAAAH33f4A=")</f>
        <v>#VALUE!</v>
      </c>
      <c r="DZ25" t="e">
        <f>AND('SPR BARRANQUILLA'!BX26,"AAAAAH33f4E=")</f>
        <v>#VALUE!</v>
      </c>
      <c r="EA25" t="e">
        <f>AND('SPR BARRANQUILLA'!BY26,"AAAAAH33f4I=")</f>
        <v>#VALUE!</v>
      </c>
      <c r="EB25" t="e">
        <f>AND('SPR BARRANQUILLA'!BZ26,"AAAAAH33f4M=")</f>
        <v>#VALUE!</v>
      </c>
      <c r="EC25" t="e">
        <f>AND('SPR BARRANQUILLA'!CA26,"AAAAAH33f4Q=")</f>
        <v>#VALUE!</v>
      </c>
      <c r="ED25" t="e">
        <f>AND('SPR BARRANQUILLA'!CB26,"AAAAAH33f4U=")</f>
        <v>#VALUE!</v>
      </c>
      <c r="EE25" t="e">
        <f>AND('SPR BARRANQUILLA'!CC26,"AAAAAH33f4Y=")</f>
        <v>#VALUE!</v>
      </c>
      <c r="EF25" t="e">
        <f>AND('SPR BARRANQUILLA'!CD26,"AAAAAH33f4c=")</f>
        <v>#VALUE!</v>
      </c>
      <c r="EG25" t="e">
        <f>AND('SPR BARRANQUILLA'!CE26,"AAAAAH33f4g=")</f>
        <v>#VALUE!</v>
      </c>
      <c r="EH25" t="e">
        <f>AND('SPR BARRANQUILLA'!CF26,"AAAAAH33f4k=")</f>
        <v>#VALUE!</v>
      </c>
      <c r="EI25" t="e">
        <f>AND('SPR BARRANQUILLA'!CG26,"AAAAAH33f4o=")</f>
        <v>#VALUE!</v>
      </c>
      <c r="EJ25" t="e">
        <f>AND('SPR BARRANQUILLA'!CH26,"AAAAAH33f4s=")</f>
        <v>#VALUE!</v>
      </c>
      <c r="EK25" t="e">
        <f>AND('SPR BARRANQUILLA'!CI26,"AAAAAH33f4w=")</f>
        <v>#VALUE!</v>
      </c>
      <c r="EL25" t="e">
        <f>AND('SPR BARRANQUILLA'!CJ26,"AAAAAH33f40=")</f>
        <v>#VALUE!</v>
      </c>
      <c r="EM25" t="e">
        <f>AND('SPR BARRANQUILLA'!CK26,"AAAAAH33f44=")</f>
        <v>#VALUE!</v>
      </c>
      <c r="EN25" t="e">
        <f>AND('SPR BARRANQUILLA'!CL26,"AAAAAH33f48=")</f>
        <v>#VALUE!</v>
      </c>
      <c r="EO25" t="e">
        <f>AND('SPR BARRANQUILLA'!CM26,"AAAAAH33f5A=")</f>
        <v>#VALUE!</v>
      </c>
      <c r="EP25" t="e">
        <f>AND('SPR BARRANQUILLA'!CN26,"AAAAAH33f5E=")</f>
        <v>#VALUE!</v>
      </c>
      <c r="EQ25" t="e">
        <f>AND('SPR BARRANQUILLA'!CO26,"AAAAAH33f5I=")</f>
        <v>#VALUE!</v>
      </c>
      <c r="ER25" t="e">
        <f>AND('SPR BARRANQUILLA'!CP26,"AAAAAH33f5M=")</f>
        <v>#VALUE!</v>
      </c>
      <c r="ES25" t="e">
        <f>AND('SPR BARRANQUILLA'!CQ26,"AAAAAH33f5Q=")</f>
        <v>#VALUE!</v>
      </c>
      <c r="ET25" t="e">
        <f>AND('SPR BARRANQUILLA'!CR26,"AAAAAH33f5U=")</f>
        <v>#VALUE!</v>
      </c>
      <c r="EU25" t="e">
        <f>AND('SPR BARRANQUILLA'!CS26,"AAAAAH33f5Y=")</f>
        <v>#VALUE!</v>
      </c>
      <c r="EV25" t="e">
        <f>AND('SPR BARRANQUILLA'!CT26,"AAAAAH33f5c=")</f>
        <v>#VALUE!</v>
      </c>
      <c r="EW25" t="e">
        <f>AND('SPR BARRANQUILLA'!CU26,"AAAAAH33f5g=")</f>
        <v>#VALUE!</v>
      </c>
      <c r="EX25" t="e">
        <f>AND('SPR BARRANQUILLA'!CV26,"AAAAAH33f5k=")</f>
        <v>#VALUE!</v>
      </c>
      <c r="EY25" t="e">
        <f>AND('SPR BARRANQUILLA'!CW26,"AAAAAH33f5o=")</f>
        <v>#VALUE!</v>
      </c>
      <c r="EZ25" t="e">
        <f>AND('SPR BARRANQUILLA'!CX26,"AAAAAH33f5s=")</f>
        <v>#VALUE!</v>
      </c>
      <c r="FA25" t="e">
        <f>AND('SPR BARRANQUILLA'!CY26,"AAAAAH33f5w=")</f>
        <v>#VALUE!</v>
      </c>
      <c r="FB25" t="e">
        <f>AND('SPR BARRANQUILLA'!CZ26,"AAAAAH33f50=")</f>
        <v>#VALUE!</v>
      </c>
      <c r="FC25" t="e">
        <f>AND('SPR BARRANQUILLA'!DA26,"AAAAAH33f54=")</f>
        <v>#VALUE!</v>
      </c>
      <c r="FD25" t="e">
        <f>AND('SPR BARRANQUILLA'!DB26,"AAAAAH33f58=")</f>
        <v>#VALUE!</v>
      </c>
      <c r="FE25" t="e">
        <f>AND('SPR BARRANQUILLA'!DC26,"AAAAAH33f6A=")</f>
        <v>#VALUE!</v>
      </c>
      <c r="FF25" t="e">
        <f>AND('SPR BARRANQUILLA'!DD26,"AAAAAH33f6E=")</f>
        <v>#VALUE!</v>
      </c>
      <c r="FG25" t="e">
        <f>AND('SPR BARRANQUILLA'!DE26,"AAAAAH33f6I=")</f>
        <v>#VALUE!</v>
      </c>
      <c r="FH25" t="e">
        <f>AND('SPR BARRANQUILLA'!DF26,"AAAAAH33f6M=")</f>
        <v>#VALUE!</v>
      </c>
      <c r="FI25" t="e">
        <f>AND('SPR BARRANQUILLA'!DG26,"AAAAAH33f6Q=")</f>
        <v>#VALUE!</v>
      </c>
      <c r="FJ25" t="e">
        <f>AND('SPR BARRANQUILLA'!DH26,"AAAAAH33f6U=")</f>
        <v>#VALUE!</v>
      </c>
      <c r="FK25" t="e">
        <f>AND('SPR BARRANQUILLA'!DI26,"AAAAAH33f6Y=")</f>
        <v>#VALUE!</v>
      </c>
      <c r="FL25" t="e">
        <f>AND('SPR BARRANQUILLA'!DJ26,"AAAAAH33f6c=")</f>
        <v>#VALUE!</v>
      </c>
      <c r="FM25" t="e">
        <f>AND('SPR BARRANQUILLA'!DK26,"AAAAAH33f6g=")</f>
        <v>#VALUE!</v>
      </c>
      <c r="FN25" t="e">
        <f>AND('SPR BARRANQUILLA'!DL26,"AAAAAH33f6k=")</f>
        <v>#VALUE!</v>
      </c>
      <c r="FO25" t="e">
        <f>AND('SPR BARRANQUILLA'!DM26,"AAAAAH33f6o=")</f>
        <v>#VALUE!</v>
      </c>
      <c r="FP25" t="e">
        <f>AND('SPR BARRANQUILLA'!DN26,"AAAAAH33f6s=")</f>
        <v>#VALUE!</v>
      </c>
      <c r="FQ25" t="e">
        <f>AND('SPR BARRANQUILLA'!DO26,"AAAAAH33f6w=")</f>
        <v>#VALUE!</v>
      </c>
      <c r="FR25" t="e">
        <f>AND('SPR BARRANQUILLA'!DP26,"AAAAAH33f60=")</f>
        <v>#VALUE!</v>
      </c>
      <c r="FS25" t="e">
        <f>AND('SPR BARRANQUILLA'!DQ26,"AAAAAH33f64=")</f>
        <v>#VALUE!</v>
      </c>
      <c r="FT25" t="e">
        <f>AND('SPR BARRANQUILLA'!DR26,"AAAAAH33f68=")</f>
        <v>#VALUE!</v>
      </c>
      <c r="FU25" t="e">
        <f>AND('SPR BARRANQUILLA'!DS26,"AAAAAH33f7A=")</f>
        <v>#VALUE!</v>
      </c>
      <c r="FV25" t="e">
        <f>AND('SPR BARRANQUILLA'!DT26,"AAAAAH33f7E=")</f>
        <v>#VALUE!</v>
      </c>
      <c r="FW25" t="e">
        <f>AND('SPR BARRANQUILLA'!DU26,"AAAAAH33f7I=")</f>
        <v>#VALUE!</v>
      </c>
      <c r="FX25" t="e">
        <f>AND('SPR BARRANQUILLA'!DV26,"AAAAAH33f7M=")</f>
        <v>#VALUE!</v>
      </c>
      <c r="FY25" t="e">
        <f>AND('SPR BARRANQUILLA'!DW26,"AAAAAH33f7Q=")</f>
        <v>#VALUE!</v>
      </c>
      <c r="FZ25" t="e">
        <f>AND('SPR BARRANQUILLA'!DX26,"AAAAAH33f7U=")</f>
        <v>#VALUE!</v>
      </c>
      <c r="GA25" t="e">
        <f>AND('SPR BARRANQUILLA'!DY26,"AAAAAH33f7Y=")</f>
        <v>#VALUE!</v>
      </c>
      <c r="GB25" t="e">
        <f>AND('SPR BARRANQUILLA'!DZ26,"AAAAAH33f7c=")</f>
        <v>#VALUE!</v>
      </c>
      <c r="GC25" t="e">
        <f>AND('SPR BARRANQUILLA'!EA26,"AAAAAH33f7g=")</f>
        <v>#VALUE!</v>
      </c>
      <c r="GD25" t="e">
        <f>AND('SPR BARRANQUILLA'!EB26,"AAAAAH33f7k=")</f>
        <v>#VALUE!</v>
      </c>
      <c r="GE25" t="e">
        <f>AND('SPR BARRANQUILLA'!EC26,"AAAAAH33f7o=")</f>
        <v>#VALUE!</v>
      </c>
      <c r="GF25" t="e">
        <f>AND('SPR BARRANQUILLA'!ED26,"AAAAAH33f7s=")</f>
        <v>#VALUE!</v>
      </c>
      <c r="GG25" t="e">
        <f>AND('SPR BARRANQUILLA'!EE26,"AAAAAH33f7w=")</f>
        <v>#VALUE!</v>
      </c>
      <c r="GH25" t="e">
        <f>AND('SPR BARRANQUILLA'!EF26,"AAAAAH33f70=")</f>
        <v>#VALUE!</v>
      </c>
      <c r="GI25" t="e">
        <f>AND('SPR BARRANQUILLA'!EG26,"AAAAAH33f74=")</f>
        <v>#VALUE!</v>
      </c>
      <c r="GJ25" t="e">
        <f>AND('SPR BARRANQUILLA'!EH26,"AAAAAH33f78=")</f>
        <v>#VALUE!</v>
      </c>
      <c r="GK25" t="e">
        <f>AND('SPR BARRANQUILLA'!EI26,"AAAAAH33f8A=")</f>
        <v>#VALUE!</v>
      </c>
      <c r="GL25" t="e">
        <f>AND('SPR BARRANQUILLA'!EJ26,"AAAAAH33f8E=")</f>
        <v>#VALUE!</v>
      </c>
      <c r="GM25" t="e">
        <f>AND('SPR BARRANQUILLA'!EK26,"AAAAAH33f8I=")</f>
        <v>#VALUE!</v>
      </c>
      <c r="GN25" t="e">
        <f>AND('SPR BARRANQUILLA'!EL26,"AAAAAH33f8M=")</f>
        <v>#VALUE!</v>
      </c>
      <c r="GO25" t="e">
        <f>AND('SPR BARRANQUILLA'!EM26,"AAAAAH33f8Q=")</f>
        <v>#VALUE!</v>
      </c>
      <c r="GP25" t="e">
        <f>AND('SPR BARRANQUILLA'!EN26,"AAAAAH33f8U=")</f>
        <v>#VALUE!</v>
      </c>
      <c r="GQ25" t="e">
        <f>AND('SPR BARRANQUILLA'!EO26,"AAAAAH33f8Y=")</f>
        <v>#VALUE!</v>
      </c>
      <c r="GR25" t="e">
        <f>AND('SPR BARRANQUILLA'!EP26,"AAAAAH33f8c=")</f>
        <v>#VALUE!</v>
      </c>
      <c r="GS25" t="e">
        <f>AND('SPR BARRANQUILLA'!EQ26,"AAAAAH33f8g=")</f>
        <v>#VALUE!</v>
      </c>
      <c r="GT25" t="e">
        <f>AND('SPR BARRANQUILLA'!ER26,"AAAAAH33f8k=")</f>
        <v>#VALUE!</v>
      </c>
      <c r="GU25" t="e">
        <f>AND('SPR BARRANQUILLA'!ES26,"AAAAAH33f8o=")</f>
        <v>#VALUE!</v>
      </c>
      <c r="GV25" t="e">
        <f>AND('SPR BARRANQUILLA'!ET26,"AAAAAH33f8s=")</f>
        <v>#VALUE!</v>
      </c>
      <c r="GW25" t="e">
        <f>AND('SPR BARRANQUILLA'!EU26,"AAAAAH33f8w=")</f>
        <v>#VALUE!</v>
      </c>
      <c r="GX25" t="e">
        <f>AND('SPR BARRANQUILLA'!EV26,"AAAAAH33f80=")</f>
        <v>#VALUE!</v>
      </c>
      <c r="GY25" t="e">
        <f>AND('SPR BARRANQUILLA'!EW26,"AAAAAH33f84=")</f>
        <v>#VALUE!</v>
      </c>
      <c r="GZ25" t="e">
        <f>AND('SPR BARRANQUILLA'!EX26,"AAAAAH33f88=")</f>
        <v>#VALUE!</v>
      </c>
      <c r="HA25" t="e">
        <f>AND('SPR BARRANQUILLA'!EY26,"AAAAAH33f9A=")</f>
        <v>#VALUE!</v>
      </c>
      <c r="HB25" t="e">
        <f>AND('SPR BARRANQUILLA'!EZ26,"AAAAAH33f9E=")</f>
        <v>#VALUE!</v>
      </c>
      <c r="HC25" t="e">
        <f>AND('SPR BARRANQUILLA'!FA26,"AAAAAH33f9I=")</f>
        <v>#VALUE!</v>
      </c>
      <c r="HD25" t="e">
        <f>AND('SPR BARRANQUILLA'!FB26,"AAAAAH33f9M=")</f>
        <v>#VALUE!</v>
      </c>
      <c r="HE25" t="e">
        <f>AND('SPR BARRANQUILLA'!FC26,"AAAAAH33f9Q=")</f>
        <v>#VALUE!</v>
      </c>
      <c r="HF25" t="e">
        <f>AND('SPR BARRANQUILLA'!FD26,"AAAAAH33f9U=")</f>
        <v>#VALUE!</v>
      </c>
      <c r="HG25" t="e">
        <f>AND('SPR BARRANQUILLA'!FE26,"AAAAAH33f9Y=")</f>
        <v>#VALUE!</v>
      </c>
      <c r="HH25" t="e">
        <f>AND('SPR BARRANQUILLA'!FF26,"AAAAAH33f9c=")</f>
        <v>#VALUE!</v>
      </c>
      <c r="HI25" t="e">
        <f>AND('SPR BARRANQUILLA'!FG26,"AAAAAH33f9g=")</f>
        <v>#VALUE!</v>
      </c>
      <c r="HJ25" t="e">
        <f>AND('SPR BARRANQUILLA'!FH26,"AAAAAH33f9k=")</f>
        <v>#VALUE!</v>
      </c>
      <c r="HK25" t="e">
        <f>AND('SPR BARRANQUILLA'!FI26,"AAAAAH33f9o=")</f>
        <v>#VALUE!</v>
      </c>
      <c r="HL25" t="e">
        <f>AND('SPR BARRANQUILLA'!FJ26,"AAAAAH33f9s=")</f>
        <v>#VALUE!</v>
      </c>
      <c r="HM25" t="e">
        <f>AND('SPR BARRANQUILLA'!FK26,"AAAAAH33f9w=")</f>
        <v>#VALUE!</v>
      </c>
      <c r="HN25" t="e">
        <f>AND('SPR BARRANQUILLA'!FL26,"AAAAAH33f90=")</f>
        <v>#VALUE!</v>
      </c>
      <c r="HO25" t="e">
        <f>AND('SPR BARRANQUILLA'!FM26,"AAAAAH33f94=")</f>
        <v>#VALUE!</v>
      </c>
      <c r="HP25" t="e">
        <f>AND('SPR BARRANQUILLA'!FN26,"AAAAAH33f98=")</f>
        <v>#VALUE!</v>
      </c>
      <c r="HQ25" t="e">
        <f>AND('SPR BARRANQUILLA'!FO26,"AAAAAH33f+A=")</f>
        <v>#VALUE!</v>
      </c>
      <c r="HR25" t="e">
        <f>AND('SPR BARRANQUILLA'!FP26,"AAAAAH33f+E=")</f>
        <v>#VALUE!</v>
      </c>
      <c r="HS25" t="e">
        <f>AND('SPR BARRANQUILLA'!FQ26,"AAAAAH33f+I=")</f>
        <v>#VALUE!</v>
      </c>
      <c r="HT25" t="e">
        <f>AND('SPR BARRANQUILLA'!FR26,"AAAAAH33f+M=")</f>
        <v>#VALUE!</v>
      </c>
      <c r="HU25" t="e">
        <f>AND('SPR BARRANQUILLA'!FS26,"AAAAAH33f+Q=")</f>
        <v>#VALUE!</v>
      </c>
      <c r="HV25" t="e">
        <f>AND('SPR BARRANQUILLA'!FT26,"AAAAAH33f+U=")</f>
        <v>#VALUE!</v>
      </c>
      <c r="HW25" t="e">
        <f>AND('SPR BARRANQUILLA'!FU26,"AAAAAH33f+Y=")</f>
        <v>#VALUE!</v>
      </c>
      <c r="HX25" t="e">
        <f>AND('SPR BARRANQUILLA'!FV26,"AAAAAH33f+c=")</f>
        <v>#VALUE!</v>
      </c>
      <c r="HY25" t="e">
        <f>AND('SPR BARRANQUILLA'!FW26,"AAAAAH33f+g=")</f>
        <v>#VALUE!</v>
      </c>
      <c r="HZ25" t="e">
        <f>AND('SPR BARRANQUILLA'!FX26,"AAAAAH33f+k=")</f>
        <v>#VALUE!</v>
      </c>
      <c r="IA25" t="e">
        <f>AND('SPR BARRANQUILLA'!FY26,"AAAAAH33f+o=")</f>
        <v>#VALUE!</v>
      </c>
      <c r="IB25" t="e">
        <f>AND('SPR BARRANQUILLA'!FZ26,"AAAAAH33f+s=")</f>
        <v>#VALUE!</v>
      </c>
      <c r="IC25" t="e">
        <f>AND('SPR BARRANQUILLA'!GA26,"AAAAAH33f+w=")</f>
        <v>#VALUE!</v>
      </c>
      <c r="ID25" t="e">
        <f>AND('SPR BARRANQUILLA'!GB26,"AAAAAH33f+0=")</f>
        <v>#VALUE!</v>
      </c>
      <c r="IE25" t="e">
        <f>AND('SPR BARRANQUILLA'!GC26,"AAAAAH33f+4=")</f>
        <v>#VALUE!</v>
      </c>
      <c r="IF25" t="e">
        <f>AND('SPR BARRANQUILLA'!GD26,"AAAAAH33f+8=")</f>
        <v>#VALUE!</v>
      </c>
      <c r="IG25" t="e">
        <f>AND('SPR BARRANQUILLA'!GE26,"AAAAAH33f/A=")</f>
        <v>#VALUE!</v>
      </c>
      <c r="IH25" t="e">
        <f>AND('SPR BARRANQUILLA'!GF26,"AAAAAH33f/E=")</f>
        <v>#VALUE!</v>
      </c>
      <c r="II25" t="e">
        <f>AND('SPR BARRANQUILLA'!GG26,"AAAAAH33f/I=")</f>
        <v>#VALUE!</v>
      </c>
      <c r="IJ25" t="e">
        <f>AND('SPR BARRANQUILLA'!GH26,"AAAAAH33f/M=")</f>
        <v>#VALUE!</v>
      </c>
      <c r="IK25" t="e">
        <f>AND('SPR BARRANQUILLA'!GI26,"AAAAAH33f/Q=")</f>
        <v>#VALUE!</v>
      </c>
      <c r="IL25" t="e">
        <f>AND('SPR BARRANQUILLA'!GJ26,"AAAAAH33f/U=")</f>
        <v>#VALUE!</v>
      </c>
      <c r="IM25" t="e">
        <f>AND('SPR BARRANQUILLA'!GK26,"AAAAAH33f/Y=")</f>
        <v>#VALUE!</v>
      </c>
      <c r="IN25" t="e">
        <f>AND('SPR BARRANQUILLA'!GL26,"AAAAAH33f/c=")</f>
        <v>#VALUE!</v>
      </c>
      <c r="IO25" t="e">
        <f>AND('SPR BARRANQUILLA'!GM26,"AAAAAH33f/g=")</f>
        <v>#VALUE!</v>
      </c>
      <c r="IP25" t="e">
        <f>AND('SPR BARRANQUILLA'!GN26,"AAAAAH33f/k=")</f>
        <v>#VALUE!</v>
      </c>
      <c r="IQ25" t="e">
        <f>AND('SPR BARRANQUILLA'!GO26,"AAAAAH33f/o=")</f>
        <v>#VALUE!</v>
      </c>
      <c r="IR25" t="e">
        <f>AND('SPR BARRANQUILLA'!GP26,"AAAAAH33f/s=")</f>
        <v>#VALUE!</v>
      </c>
      <c r="IS25" t="e">
        <f>AND('SPR BARRANQUILLA'!GQ26,"AAAAAH33f/w=")</f>
        <v>#VALUE!</v>
      </c>
      <c r="IT25" t="e">
        <f>AND('SPR BARRANQUILLA'!GR26,"AAAAAH33f/0=")</f>
        <v>#VALUE!</v>
      </c>
      <c r="IU25" t="e">
        <f>AND('SPR BARRANQUILLA'!GS26,"AAAAAH33f/4=")</f>
        <v>#VALUE!</v>
      </c>
      <c r="IV25" t="e">
        <f>AND('SPR BARRANQUILLA'!GT26,"AAAAAH33f/8=")</f>
        <v>#VALUE!</v>
      </c>
    </row>
    <row r="26" spans="1:256">
      <c r="A26" t="e">
        <f>AND('SPR BARRANQUILLA'!GU26,"AAAAAG3/vwA=")</f>
        <v>#VALUE!</v>
      </c>
      <c r="B26" t="e">
        <f>AND('SPR BARRANQUILLA'!GV26,"AAAAAG3/vwE=")</f>
        <v>#VALUE!</v>
      </c>
      <c r="C26" t="e">
        <f>AND('SPR BARRANQUILLA'!GW26,"AAAAAG3/vwI=")</f>
        <v>#VALUE!</v>
      </c>
      <c r="D26" t="e">
        <f>AND('SPR BARRANQUILLA'!GX26,"AAAAAG3/vwM=")</f>
        <v>#VALUE!</v>
      </c>
      <c r="E26" t="e">
        <f>AND('SPR BARRANQUILLA'!GY26,"AAAAAG3/vwQ=")</f>
        <v>#VALUE!</v>
      </c>
      <c r="F26">
        <f>IF('SPR BARRANQUILLA'!27:27,"AAAAAG3/vwU=",0)</f>
        <v>0</v>
      </c>
      <c r="G26" t="e">
        <f>AND('SPR BARRANQUILLA'!A27,"AAAAAG3/vwY=")</f>
        <v>#VALUE!</v>
      </c>
      <c r="H26" t="e">
        <f>AND('SPR BARRANQUILLA'!B27,"AAAAAG3/vwc=")</f>
        <v>#VALUE!</v>
      </c>
      <c r="I26" t="e">
        <f>AND('SPR BARRANQUILLA'!C27,"AAAAAG3/vwg=")</f>
        <v>#VALUE!</v>
      </c>
      <c r="J26" t="e">
        <f>AND('SPR BARRANQUILLA'!D27,"AAAAAG3/vwk=")</f>
        <v>#VALUE!</v>
      </c>
      <c r="K26" t="e">
        <f>AND('SPR BARRANQUILLA'!E27,"AAAAAG3/vwo=")</f>
        <v>#VALUE!</v>
      </c>
      <c r="L26" t="e">
        <f>AND('SPR BARRANQUILLA'!F27,"AAAAAG3/vws=")</f>
        <v>#VALUE!</v>
      </c>
      <c r="M26" t="e">
        <f>AND('SPR BARRANQUILLA'!G27,"AAAAAG3/vww=")</f>
        <v>#VALUE!</v>
      </c>
      <c r="N26" t="e">
        <f>AND('SPR BARRANQUILLA'!H27,"AAAAAG3/vw0=")</f>
        <v>#VALUE!</v>
      </c>
      <c r="O26" t="e">
        <f>AND('SPR BARRANQUILLA'!I27,"AAAAAG3/vw4=")</f>
        <v>#VALUE!</v>
      </c>
      <c r="P26" t="e">
        <f>AND('SPR BARRANQUILLA'!J27,"AAAAAG3/vw8=")</f>
        <v>#VALUE!</v>
      </c>
      <c r="Q26" t="e">
        <f>AND('SPR BARRANQUILLA'!K27,"AAAAAG3/vxA=")</f>
        <v>#VALUE!</v>
      </c>
      <c r="R26" t="e">
        <f>AND('SPR BARRANQUILLA'!L27,"AAAAAG3/vxE=")</f>
        <v>#VALUE!</v>
      </c>
      <c r="S26" t="e">
        <f>AND('SPR BARRANQUILLA'!M27,"AAAAAG3/vxI=")</f>
        <v>#VALUE!</v>
      </c>
      <c r="T26" t="e">
        <f>AND('SPR BARRANQUILLA'!N27,"AAAAAG3/vxM=")</f>
        <v>#VALUE!</v>
      </c>
      <c r="U26" t="e">
        <f>AND('SPR BARRANQUILLA'!O27,"AAAAAG3/vxQ=")</f>
        <v>#VALUE!</v>
      </c>
      <c r="V26" t="e">
        <f>AND('SPR BARRANQUILLA'!P27,"AAAAAG3/vxU=")</f>
        <v>#VALUE!</v>
      </c>
      <c r="W26" t="e">
        <f>AND('SPR BARRANQUILLA'!Q27,"AAAAAG3/vxY=")</f>
        <v>#VALUE!</v>
      </c>
      <c r="X26" t="e">
        <f>AND('SPR BARRANQUILLA'!R27,"AAAAAG3/vxc=")</f>
        <v>#VALUE!</v>
      </c>
      <c r="Y26" t="e">
        <f>AND('SPR BARRANQUILLA'!S27,"AAAAAG3/vxg=")</f>
        <v>#VALUE!</v>
      </c>
      <c r="Z26" t="e">
        <f>AND('SPR BARRANQUILLA'!T27,"AAAAAG3/vxk=")</f>
        <v>#VALUE!</v>
      </c>
      <c r="AA26" t="e">
        <f>AND('SPR BARRANQUILLA'!U27,"AAAAAG3/vxo=")</f>
        <v>#VALUE!</v>
      </c>
      <c r="AB26" t="e">
        <f>AND('SPR BARRANQUILLA'!V27,"AAAAAG3/vxs=")</f>
        <v>#VALUE!</v>
      </c>
      <c r="AC26" t="e">
        <f>AND('SPR BARRANQUILLA'!W27,"AAAAAG3/vxw=")</f>
        <v>#VALUE!</v>
      </c>
      <c r="AD26" t="e">
        <f>AND('SPR BARRANQUILLA'!X27,"AAAAAG3/vx0=")</f>
        <v>#VALUE!</v>
      </c>
      <c r="AE26" t="e">
        <f>AND('SPR BARRANQUILLA'!Y27,"AAAAAG3/vx4=")</f>
        <v>#VALUE!</v>
      </c>
      <c r="AF26" t="e">
        <f>AND('SPR BARRANQUILLA'!Z27,"AAAAAG3/vx8=")</f>
        <v>#VALUE!</v>
      </c>
      <c r="AG26" t="e">
        <f>AND('SPR BARRANQUILLA'!AA27,"AAAAAG3/vyA=")</f>
        <v>#VALUE!</v>
      </c>
      <c r="AH26" t="e">
        <f>AND('SPR BARRANQUILLA'!AB27,"AAAAAG3/vyE=")</f>
        <v>#VALUE!</v>
      </c>
      <c r="AI26" t="e">
        <f>AND('SPR BARRANQUILLA'!AC27,"AAAAAG3/vyI=")</f>
        <v>#VALUE!</v>
      </c>
      <c r="AJ26" t="e">
        <f>AND('SPR BARRANQUILLA'!AD27,"AAAAAG3/vyM=")</f>
        <v>#VALUE!</v>
      </c>
      <c r="AK26" t="e">
        <f>AND('SPR BARRANQUILLA'!AE27,"AAAAAG3/vyQ=")</f>
        <v>#VALUE!</v>
      </c>
      <c r="AL26" t="e">
        <f>AND('SPR BARRANQUILLA'!AF27,"AAAAAG3/vyU=")</f>
        <v>#VALUE!</v>
      </c>
      <c r="AM26" t="e">
        <f>AND('SPR BARRANQUILLA'!AG27,"AAAAAG3/vyY=")</f>
        <v>#VALUE!</v>
      </c>
      <c r="AN26" t="e">
        <f>AND('SPR BARRANQUILLA'!AH27,"AAAAAG3/vyc=")</f>
        <v>#VALUE!</v>
      </c>
      <c r="AO26" t="e">
        <f>AND('SPR BARRANQUILLA'!AI27,"AAAAAG3/vyg=")</f>
        <v>#VALUE!</v>
      </c>
      <c r="AP26" t="e">
        <f>AND('SPR BARRANQUILLA'!AJ27,"AAAAAG3/vyk=")</f>
        <v>#VALUE!</v>
      </c>
      <c r="AQ26" t="e">
        <f>AND('SPR BARRANQUILLA'!AK27,"AAAAAG3/vyo=")</f>
        <v>#VALUE!</v>
      </c>
      <c r="AR26" t="e">
        <f>AND('SPR BARRANQUILLA'!AL27,"AAAAAG3/vys=")</f>
        <v>#VALUE!</v>
      </c>
      <c r="AS26" t="e">
        <f>AND('SPR BARRANQUILLA'!AM27,"AAAAAG3/vyw=")</f>
        <v>#VALUE!</v>
      </c>
      <c r="AT26" t="e">
        <f>AND('SPR BARRANQUILLA'!AN27,"AAAAAG3/vy0=")</f>
        <v>#VALUE!</v>
      </c>
      <c r="AU26" t="e">
        <f>AND('SPR BARRANQUILLA'!AO27,"AAAAAG3/vy4=")</f>
        <v>#VALUE!</v>
      </c>
      <c r="AV26" t="e">
        <f>AND('SPR BARRANQUILLA'!AP27,"AAAAAG3/vy8=")</f>
        <v>#VALUE!</v>
      </c>
      <c r="AW26" t="e">
        <f>AND('SPR BARRANQUILLA'!AQ27,"AAAAAG3/vzA=")</f>
        <v>#VALUE!</v>
      </c>
      <c r="AX26" t="e">
        <f>AND('SPR BARRANQUILLA'!AR27,"AAAAAG3/vzE=")</f>
        <v>#VALUE!</v>
      </c>
      <c r="AY26" t="e">
        <f>AND('SPR BARRANQUILLA'!AS27,"AAAAAG3/vzI=")</f>
        <v>#VALUE!</v>
      </c>
      <c r="AZ26" t="e">
        <f>AND('SPR BARRANQUILLA'!AT27,"AAAAAG3/vzM=")</f>
        <v>#VALUE!</v>
      </c>
      <c r="BA26" t="e">
        <f>AND('SPR BARRANQUILLA'!AU27,"AAAAAG3/vzQ=")</f>
        <v>#VALUE!</v>
      </c>
      <c r="BB26" t="e">
        <f>AND('SPR BARRANQUILLA'!AV27,"AAAAAG3/vzU=")</f>
        <v>#VALUE!</v>
      </c>
      <c r="BC26" t="e">
        <f>AND('SPR BARRANQUILLA'!AW27,"AAAAAG3/vzY=")</f>
        <v>#VALUE!</v>
      </c>
      <c r="BD26" t="e">
        <f>AND('SPR BARRANQUILLA'!AX27,"AAAAAG3/vzc=")</f>
        <v>#VALUE!</v>
      </c>
      <c r="BE26" t="e">
        <f>AND('SPR BARRANQUILLA'!AY27,"AAAAAG3/vzg=")</f>
        <v>#VALUE!</v>
      </c>
      <c r="BF26" t="e">
        <f>AND('SPR BARRANQUILLA'!AZ27,"AAAAAG3/vzk=")</f>
        <v>#VALUE!</v>
      </c>
      <c r="BG26" t="e">
        <f>AND('SPR BARRANQUILLA'!BA27,"AAAAAG3/vzo=")</f>
        <v>#VALUE!</v>
      </c>
      <c r="BH26" t="e">
        <f>AND('SPR BARRANQUILLA'!BB27,"AAAAAG3/vzs=")</f>
        <v>#VALUE!</v>
      </c>
      <c r="BI26" t="e">
        <f>AND('SPR BARRANQUILLA'!BC27,"AAAAAG3/vzw=")</f>
        <v>#VALUE!</v>
      </c>
      <c r="BJ26" t="e">
        <f>AND('SPR BARRANQUILLA'!BD27,"AAAAAG3/vz0=")</f>
        <v>#VALUE!</v>
      </c>
      <c r="BK26" t="e">
        <f>AND('SPR BARRANQUILLA'!BE27,"AAAAAG3/vz4=")</f>
        <v>#VALUE!</v>
      </c>
      <c r="BL26" t="e">
        <f>AND('SPR BARRANQUILLA'!BF27,"AAAAAG3/vz8=")</f>
        <v>#VALUE!</v>
      </c>
      <c r="BM26" t="e">
        <f>AND('SPR BARRANQUILLA'!BG27,"AAAAAG3/v0A=")</f>
        <v>#VALUE!</v>
      </c>
      <c r="BN26" t="e">
        <f>AND('SPR BARRANQUILLA'!BH27,"AAAAAG3/v0E=")</f>
        <v>#VALUE!</v>
      </c>
      <c r="BO26" t="e">
        <f>AND('SPR BARRANQUILLA'!BI27,"AAAAAG3/v0I=")</f>
        <v>#VALUE!</v>
      </c>
      <c r="BP26" t="e">
        <f>AND('SPR BARRANQUILLA'!BJ27,"AAAAAG3/v0M=")</f>
        <v>#VALUE!</v>
      </c>
      <c r="BQ26" t="e">
        <f>AND('SPR BARRANQUILLA'!BK27,"AAAAAG3/v0Q=")</f>
        <v>#VALUE!</v>
      </c>
      <c r="BR26" t="e">
        <f>AND('SPR BARRANQUILLA'!BL27,"AAAAAG3/v0U=")</f>
        <v>#VALUE!</v>
      </c>
      <c r="BS26" t="e">
        <f>AND('SPR BARRANQUILLA'!BM27,"AAAAAG3/v0Y=")</f>
        <v>#VALUE!</v>
      </c>
      <c r="BT26" t="e">
        <f>AND('SPR BARRANQUILLA'!BN27,"AAAAAG3/v0c=")</f>
        <v>#VALUE!</v>
      </c>
      <c r="BU26" t="e">
        <f>AND('SPR BARRANQUILLA'!BO27,"AAAAAG3/v0g=")</f>
        <v>#VALUE!</v>
      </c>
      <c r="BV26" t="e">
        <f>AND('SPR BARRANQUILLA'!BP27,"AAAAAG3/v0k=")</f>
        <v>#VALUE!</v>
      </c>
      <c r="BW26" t="e">
        <f>AND('SPR BARRANQUILLA'!BQ27,"AAAAAG3/v0o=")</f>
        <v>#VALUE!</v>
      </c>
      <c r="BX26" t="e">
        <f>AND('SPR BARRANQUILLA'!BR27,"AAAAAG3/v0s=")</f>
        <v>#VALUE!</v>
      </c>
      <c r="BY26" t="e">
        <f>AND('SPR BARRANQUILLA'!BS27,"AAAAAG3/v0w=")</f>
        <v>#VALUE!</v>
      </c>
      <c r="BZ26" t="e">
        <f>AND('SPR BARRANQUILLA'!BT27,"AAAAAG3/v00=")</f>
        <v>#VALUE!</v>
      </c>
      <c r="CA26" t="e">
        <f>AND('SPR BARRANQUILLA'!BU27,"AAAAAG3/v04=")</f>
        <v>#VALUE!</v>
      </c>
      <c r="CB26" t="e">
        <f>AND('SPR BARRANQUILLA'!BV27,"AAAAAG3/v08=")</f>
        <v>#VALUE!</v>
      </c>
      <c r="CC26" t="e">
        <f>AND('SPR BARRANQUILLA'!BW27,"AAAAAG3/v1A=")</f>
        <v>#VALUE!</v>
      </c>
      <c r="CD26" t="e">
        <f>AND('SPR BARRANQUILLA'!BX27,"AAAAAG3/v1E=")</f>
        <v>#VALUE!</v>
      </c>
      <c r="CE26" t="e">
        <f>AND('SPR BARRANQUILLA'!BY27,"AAAAAG3/v1I=")</f>
        <v>#VALUE!</v>
      </c>
      <c r="CF26" t="e">
        <f>AND('SPR BARRANQUILLA'!BZ27,"AAAAAG3/v1M=")</f>
        <v>#VALUE!</v>
      </c>
      <c r="CG26" t="e">
        <f>AND('SPR BARRANQUILLA'!CA27,"AAAAAG3/v1Q=")</f>
        <v>#VALUE!</v>
      </c>
      <c r="CH26" t="e">
        <f>AND('SPR BARRANQUILLA'!CB27,"AAAAAG3/v1U=")</f>
        <v>#VALUE!</v>
      </c>
      <c r="CI26" t="e">
        <f>AND('SPR BARRANQUILLA'!CC27,"AAAAAG3/v1Y=")</f>
        <v>#VALUE!</v>
      </c>
      <c r="CJ26" t="e">
        <f>AND('SPR BARRANQUILLA'!CD27,"AAAAAG3/v1c=")</f>
        <v>#VALUE!</v>
      </c>
      <c r="CK26" t="e">
        <f>AND('SPR BARRANQUILLA'!CE27,"AAAAAG3/v1g=")</f>
        <v>#VALUE!</v>
      </c>
      <c r="CL26" t="e">
        <f>AND('SPR BARRANQUILLA'!CF27,"AAAAAG3/v1k=")</f>
        <v>#VALUE!</v>
      </c>
      <c r="CM26" t="e">
        <f>AND('SPR BARRANQUILLA'!CG27,"AAAAAG3/v1o=")</f>
        <v>#VALUE!</v>
      </c>
      <c r="CN26" t="e">
        <f>AND('SPR BARRANQUILLA'!CH27,"AAAAAG3/v1s=")</f>
        <v>#VALUE!</v>
      </c>
      <c r="CO26" t="e">
        <f>AND('SPR BARRANQUILLA'!CI27,"AAAAAG3/v1w=")</f>
        <v>#VALUE!</v>
      </c>
      <c r="CP26" t="e">
        <f>AND('SPR BARRANQUILLA'!CJ27,"AAAAAG3/v10=")</f>
        <v>#VALUE!</v>
      </c>
      <c r="CQ26" t="e">
        <f>AND('SPR BARRANQUILLA'!CK27,"AAAAAG3/v14=")</f>
        <v>#VALUE!</v>
      </c>
      <c r="CR26" t="e">
        <f>AND('SPR BARRANQUILLA'!CL27,"AAAAAG3/v18=")</f>
        <v>#VALUE!</v>
      </c>
      <c r="CS26" t="e">
        <f>AND('SPR BARRANQUILLA'!CM27,"AAAAAG3/v2A=")</f>
        <v>#VALUE!</v>
      </c>
      <c r="CT26" t="e">
        <f>AND('SPR BARRANQUILLA'!CN27,"AAAAAG3/v2E=")</f>
        <v>#VALUE!</v>
      </c>
      <c r="CU26" t="e">
        <f>AND('SPR BARRANQUILLA'!CO27,"AAAAAG3/v2I=")</f>
        <v>#VALUE!</v>
      </c>
      <c r="CV26" t="e">
        <f>AND('SPR BARRANQUILLA'!CP27,"AAAAAG3/v2M=")</f>
        <v>#VALUE!</v>
      </c>
      <c r="CW26" t="e">
        <f>AND('SPR BARRANQUILLA'!CQ27,"AAAAAG3/v2Q=")</f>
        <v>#VALUE!</v>
      </c>
      <c r="CX26" t="e">
        <f>AND('SPR BARRANQUILLA'!CR27,"AAAAAG3/v2U=")</f>
        <v>#VALUE!</v>
      </c>
      <c r="CY26" t="e">
        <f>AND('SPR BARRANQUILLA'!CS27,"AAAAAG3/v2Y=")</f>
        <v>#VALUE!</v>
      </c>
      <c r="CZ26" t="e">
        <f>AND('SPR BARRANQUILLA'!CT27,"AAAAAG3/v2c=")</f>
        <v>#VALUE!</v>
      </c>
      <c r="DA26" t="e">
        <f>AND('SPR BARRANQUILLA'!CU27,"AAAAAG3/v2g=")</f>
        <v>#VALUE!</v>
      </c>
      <c r="DB26" t="e">
        <f>AND('SPR BARRANQUILLA'!CV27,"AAAAAG3/v2k=")</f>
        <v>#VALUE!</v>
      </c>
      <c r="DC26" t="e">
        <f>AND('SPR BARRANQUILLA'!CW27,"AAAAAG3/v2o=")</f>
        <v>#VALUE!</v>
      </c>
      <c r="DD26" t="e">
        <f>AND('SPR BARRANQUILLA'!CX27,"AAAAAG3/v2s=")</f>
        <v>#VALUE!</v>
      </c>
      <c r="DE26" t="e">
        <f>AND('SPR BARRANQUILLA'!CY27,"AAAAAG3/v2w=")</f>
        <v>#VALUE!</v>
      </c>
      <c r="DF26" t="e">
        <f>AND('SPR BARRANQUILLA'!CZ27,"AAAAAG3/v20=")</f>
        <v>#VALUE!</v>
      </c>
      <c r="DG26" t="e">
        <f>AND('SPR BARRANQUILLA'!DA27,"AAAAAG3/v24=")</f>
        <v>#VALUE!</v>
      </c>
      <c r="DH26" t="e">
        <f>AND('SPR BARRANQUILLA'!DB27,"AAAAAG3/v28=")</f>
        <v>#VALUE!</v>
      </c>
      <c r="DI26" t="e">
        <f>AND('SPR BARRANQUILLA'!DC27,"AAAAAG3/v3A=")</f>
        <v>#VALUE!</v>
      </c>
      <c r="DJ26" t="e">
        <f>AND('SPR BARRANQUILLA'!DD27,"AAAAAG3/v3E=")</f>
        <v>#VALUE!</v>
      </c>
      <c r="DK26" t="e">
        <f>AND('SPR BARRANQUILLA'!DE27,"AAAAAG3/v3I=")</f>
        <v>#VALUE!</v>
      </c>
      <c r="DL26" t="e">
        <f>AND('SPR BARRANQUILLA'!DF27,"AAAAAG3/v3M=")</f>
        <v>#VALUE!</v>
      </c>
      <c r="DM26" t="e">
        <f>AND('SPR BARRANQUILLA'!DG27,"AAAAAG3/v3Q=")</f>
        <v>#VALUE!</v>
      </c>
      <c r="DN26" t="e">
        <f>AND('SPR BARRANQUILLA'!DH27,"AAAAAG3/v3U=")</f>
        <v>#VALUE!</v>
      </c>
      <c r="DO26" t="e">
        <f>AND('SPR BARRANQUILLA'!DI27,"AAAAAG3/v3Y=")</f>
        <v>#VALUE!</v>
      </c>
      <c r="DP26" t="e">
        <f>AND('SPR BARRANQUILLA'!DJ27,"AAAAAG3/v3c=")</f>
        <v>#VALUE!</v>
      </c>
      <c r="DQ26" t="e">
        <f>AND('SPR BARRANQUILLA'!DK27,"AAAAAG3/v3g=")</f>
        <v>#VALUE!</v>
      </c>
      <c r="DR26" t="e">
        <f>AND('SPR BARRANQUILLA'!DL27,"AAAAAG3/v3k=")</f>
        <v>#VALUE!</v>
      </c>
      <c r="DS26" t="e">
        <f>AND('SPR BARRANQUILLA'!DM27,"AAAAAG3/v3o=")</f>
        <v>#VALUE!</v>
      </c>
      <c r="DT26" t="e">
        <f>AND('SPR BARRANQUILLA'!DN27,"AAAAAG3/v3s=")</f>
        <v>#VALUE!</v>
      </c>
      <c r="DU26" t="e">
        <f>AND('SPR BARRANQUILLA'!DO27,"AAAAAG3/v3w=")</f>
        <v>#VALUE!</v>
      </c>
      <c r="DV26" t="e">
        <f>AND('SPR BARRANQUILLA'!DP27,"AAAAAG3/v30=")</f>
        <v>#VALUE!</v>
      </c>
      <c r="DW26" t="e">
        <f>AND('SPR BARRANQUILLA'!DQ27,"AAAAAG3/v34=")</f>
        <v>#VALUE!</v>
      </c>
      <c r="DX26" t="e">
        <f>AND('SPR BARRANQUILLA'!DR27,"AAAAAG3/v38=")</f>
        <v>#VALUE!</v>
      </c>
      <c r="DY26" t="e">
        <f>AND('SPR BARRANQUILLA'!DS27,"AAAAAG3/v4A=")</f>
        <v>#VALUE!</v>
      </c>
      <c r="DZ26" t="e">
        <f>AND('SPR BARRANQUILLA'!DT27,"AAAAAG3/v4E=")</f>
        <v>#VALUE!</v>
      </c>
      <c r="EA26" t="e">
        <f>AND('SPR BARRANQUILLA'!DU27,"AAAAAG3/v4I=")</f>
        <v>#VALUE!</v>
      </c>
      <c r="EB26" t="e">
        <f>AND('SPR BARRANQUILLA'!DV27,"AAAAAG3/v4M=")</f>
        <v>#VALUE!</v>
      </c>
      <c r="EC26" t="e">
        <f>AND('SPR BARRANQUILLA'!DW27,"AAAAAG3/v4Q=")</f>
        <v>#VALUE!</v>
      </c>
      <c r="ED26" t="e">
        <f>AND('SPR BARRANQUILLA'!DX27,"AAAAAG3/v4U=")</f>
        <v>#VALUE!</v>
      </c>
      <c r="EE26" t="e">
        <f>AND('SPR BARRANQUILLA'!DY27,"AAAAAG3/v4Y=")</f>
        <v>#VALUE!</v>
      </c>
      <c r="EF26" t="e">
        <f>AND('SPR BARRANQUILLA'!DZ27,"AAAAAG3/v4c=")</f>
        <v>#VALUE!</v>
      </c>
      <c r="EG26" t="e">
        <f>AND('SPR BARRANQUILLA'!EA27,"AAAAAG3/v4g=")</f>
        <v>#VALUE!</v>
      </c>
      <c r="EH26" t="e">
        <f>AND('SPR BARRANQUILLA'!EB27,"AAAAAG3/v4k=")</f>
        <v>#VALUE!</v>
      </c>
      <c r="EI26" t="e">
        <f>AND('SPR BARRANQUILLA'!EC27,"AAAAAG3/v4o=")</f>
        <v>#VALUE!</v>
      </c>
      <c r="EJ26" t="e">
        <f>AND('SPR BARRANQUILLA'!ED27,"AAAAAG3/v4s=")</f>
        <v>#VALUE!</v>
      </c>
      <c r="EK26" t="e">
        <f>AND('SPR BARRANQUILLA'!EE27,"AAAAAG3/v4w=")</f>
        <v>#VALUE!</v>
      </c>
      <c r="EL26" t="e">
        <f>AND('SPR BARRANQUILLA'!EF27,"AAAAAG3/v40=")</f>
        <v>#VALUE!</v>
      </c>
      <c r="EM26" t="e">
        <f>AND('SPR BARRANQUILLA'!EG27,"AAAAAG3/v44=")</f>
        <v>#VALUE!</v>
      </c>
      <c r="EN26" t="e">
        <f>AND('SPR BARRANQUILLA'!EH27,"AAAAAG3/v48=")</f>
        <v>#VALUE!</v>
      </c>
      <c r="EO26" t="e">
        <f>AND('SPR BARRANQUILLA'!EI27,"AAAAAG3/v5A=")</f>
        <v>#VALUE!</v>
      </c>
      <c r="EP26" t="e">
        <f>AND('SPR BARRANQUILLA'!EJ27,"AAAAAG3/v5E=")</f>
        <v>#VALUE!</v>
      </c>
      <c r="EQ26" t="e">
        <f>AND('SPR BARRANQUILLA'!EK27,"AAAAAG3/v5I=")</f>
        <v>#VALUE!</v>
      </c>
      <c r="ER26" t="e">
        <f>AND('SPR BARRANQUILLA'!EL27,"AAAAAG3/v5M=")</f>
        <v>#VALUE!</v>
      </c>
      <c r="ES26" t="e">
        <f>AND('SPR BARRANQUILLA'!EM27,"AAAAAG3/v5Q=")</f>
        <v>#VALUE!</v>
      </c>
      <c r="ET26" t="e">
        <f>AND('SPR BARRANQUILLA'!EN27,"AAAAAG3/v5U=")</f>
        <v>#VALUE!</v>
      </c>
      <c r="EU26" t="e">
        <f>AND('SPR BARRANQUILLA'!EO27,"AAAAAG3/v5Y=")</f>
        <v>#VALUE!</v>
      </c>
      <c r="EV26" t="e">
        <f>AND('SPR BARRANQUILLA'!EP27,"AAAAAG3/v5c=")</f>
        <v>#VALUE!</v>
      </c>
      <c r="EW26" t="e">
        <f>AND('SPR BARRANQUILLA'!EQ27,"AAAAAG3/v5g=")</f>
        <v>#VALUE!</v>
      </c>
      <c r="EX26" t="e">
        <f>AND('SPR BARRANQUILLA'!ER27,"AAAAAG3/v5k=")</f>
        <v>#VALUE!</v>
      </c>
      <c r="EY26" t="e">
        <f>AND('SPR BARRANQUILLA'!ES27,"AAAAAG3/v5o=")</f>
        <v>#VALUE!</v>
      </c>
      <c r="EZ26" t="e">
        <f>AND('SPR BARRANQUILLA'!ET27,"AAAAAG3/v5s=")</f>
        <v>#VALUE!</v>
      </c>
      <c r="FA26" t="e">
        <f>AND('SPR BARRANQUILLA'!EU27,"AAAAAG3/v5w=")</f>
        <v>#VALUE!</v>
      </c>
      <c r="FB26" t="e">
        <f>AND('SPR BARRANQUILLA'!EV27,"AAAAAG3/v50=")</f>
        <v>#VALUE!</v>
      </c>
      <c r="FC26" t="e">
        <f>AND('SPR BARRANQUILLA'!EW27,"AAAAAG3/v54=")</f>
        <v>#VALUE!</v>
      </c>
      <c r="FD26" t="e">
        <f>AND('SPR BARRANQUILLA'!EX27,"AAAAAG3/v58=")</f>
        <v>#VALUE!</v>
      </c>
      <c r="FE26" t="e">
        <f>AND('SPR BARRANQUILLA'!EY27,"AAAAAG3/v6A=")</f>
        <v>#VALUE!</v>
      </c>
      <c r="FF26" t="e">
        <f>AND('SPR BARRANQUILLA'!EZ27,"AAAAAG3/v6E=")</f>
        <v>#VALUE!</v>
      </c>
      <c r="FG26" t="e">
        <f>AND('SPR BARRANQUILLA'!FA27,"AAAAAG3/v6I=")</f>
        <v>#VALUE!</v>
      </c>
      <c r="FH26" t="e">
        <f>AND('SPR BARRANQUILLA'!FB27,"AAAAAG3/v6M=")</f>
        <v>#VALUE!</v>
      </c>
      <c r="FI26" t="e">
        <f>AND('SPR BARRANQUILLA'!FC27,"AAAAAG3/v6Q=")</f>
        <v>#VALUE!</v>
      </c>
      <c r="FJ26" t="e">
        <f>AND('SPR BARRANQUILLA'!FD27,"AAAAAG3/v6U=")</f>
        <v>#VALUE!</v>
      </c>
      <c r="FK26" t="e">
        <f>AND('SPR BARRANQUILLA'!FE27,"AAAAAG3/v6Y=")</f>
        <v>#VALUE!</v>
      </c>
      <c r="FL26" t="e">
        <f>AND('SPR BARRANQUILLA'!FF27,"AAAAAG3/v6c=")</f>
        <v>#VALUE!</v>
      </c>
      <c r="FM26" t="e">
        <f>AND('SPR BARRANQUILLA'!FG27,"AAAAAG3/v6g=")</f>
        <v>#VALUE!</v>
      </c>
      <c r="FN26" t="e">
        <f>AND('SPR BARRANQUILLA'!FH27,"AAAAAG3/v6k=")</f>
        <v>#VALUE!</v>
      </c>
      <c r="FO26" t="e">
        <f>AND('SPR BARRANQUILLA'!FI27,"AAAAAG3/v6o=")</f>
        <v>#VALUE!</v>
      </c>
      <c r="FP26" t="e">
        <f>AND('SPR BARRANQUILLA'!FJ27,"AAAAAG3/v6s=")</f>
        <v>#VALUE!</v>
      </c>
      <c r="FQ26" t="e">
        <f>AND('SPR BARRANQUILLA'!FK27,"AAAAAG3/v6w=")</f>
        <v>#VALUE!</v>
      </c>
      <c r="FR26" t="e">
        <f>AND('SPR BARRANQUILLA'!FL27,"AAAAAG3/v60=")</f>
        <v>#VALUE!</v>
      </c>
      <c r="FS26" t="e">
        <f>AND('SPR BARRANQUILLA'!FM27,"AAAAAG3/v64=")</f>
        <v>#VALUE!</v>
      </c>
      <c r="FT26" t="e">
        <f>AND('SPR BARRANQUILLA'!FN27,"AAAAAG3/v68=")</f>
        <v>#VALUE!</v>
      </c>
      <c r="FU26" t="e">
        <f>AND('SPR BARRANQUILLA'!FO27,"AAAAAG3/v7A=")</f>
        <v>#VALUE!</v>
      </c>
      <c r="FV26" t="e">
        <f>AND('SPR BARRANQUILLA'!FP27,"AAAAAG3/v7E=")</f>
        <v>#VALUE!</v>
      </c>
      <c r="FW26" t="e">
        <f>AND('SPR BARRANQUILLA'!FQ27,"AAAAAG3/v7I=")</f>
        <v>#VALUE!</v>
      </c>
      <c r="FX26" t="e">
        <f>AND('SPR BARRANQUILLA'!FR27,"AAAAAG3/v7M=")</f>
        <v>#VALUE!</v>
      </c>
      <c r="FY26" t="e">
        <f>AND('SPR BARRANQUILLA'!FS27,"AAAAAG3/v7Q=")</f>
        <v>#VALUE!</v>
      </c>
      <c r="FZ26" t="e">
        <f>AND('SPR BARRANQUILLA'!FT27,"AAAAAG3/v7U=")</f>
        <v>#VALUE!</v>
      </c>
      <c r="GA26" t="e">
        <f>AND('SPR BARRANQUILLA'!FU27,"AAAAAG3/v7Y=")</f>
        <v>#VALUE!</v>
      </c>
      <c r="GB26" t="e">
        <f>AND('SPR BARRANQUILLA'!FV27,"AAAAAG3/v7c=")</f>
        <v>#VALUE!</v>
      </c>
      <c r="GC26" t="e">
        <f>AND('SPR BARRANQUILLA'!FW27,"AAAAAG3/v7g=")</f>
        <v>#VALUE!</v>
      </c>
      <c r="GD26" t="e">
        <f>AND('SPR BARRANQUILLA'!FX27,"AAAAAG3/v7k=")</f>
        <v>#VALUE!</v>
      </c>
      <c r="GE26" t="e">
        <f>AND('SPR BARRANQUILLA'!FY27,"AAAAAG3/v7o=")</f>
        <v>#VALUE!</v>
      </c>
      <c r="GF26" t="e">
        <f>AND('SPR BARRANQUILLA'!FZ27,"AAAAAG3/v7s=")</f>
        <v>#VALUE!</v>
      </c>
      <c r="GG26" t="e">
        <f>AND('SPR BARRANQUILLA'!GA27,"AAAAAG3/v7w=")</f>
        <v>#VALUE!</v>
      </c>
      <c r="GH26" t="e">
        <f>AND('SPR BARRANQUILLA'!GB27,"AAAAAG3/v70=")</f>
        <v>#VALUE!</v>
      </c>
      <c r="GI26" t="e">
        <f>AND('SPR BARRANQUILLA'!GC27,"AAAAAG3/v74=")</f>
        <v>#VALUE!</v>
      </c>
      <c r="GJ26" t="e">
        <f>AND('SPR BARRANQUILLA'!GD27,"AAAAAG3/v78=")</f>
        <v>#VALUE!</v>
      </c>
      <c r="GK26" t="e">
        <f>AND('SPR BARRANQUILLA'!GE27,"AAAAAG3/v8A=")</f>
        <v>#VALUE!</v>
      </c>
      <c r="GL26" t="e">
        <f>AND('SPR BARRANQUILLA'!GF27,"AAAAAG3/v8E=")</f>
        <v>#VALUE!</v>
      </c>
      <c r="GM26" t="e">
        <f>AND('SPR BARRANQUILLA'!GG27,"AAAAAG3/v8I=")</f>
        <v>#VALUE!</v>
      </c>
      <c r="GN26" t="e">
        <f>AND('SPR BARRANQUILLA'!GH27,"AAAAAG3/v8M=")</f>
        <v>#VALUE!</v>
      </c>
      <c r="GO26" t="e">
        <f>AND('SPR BARRANQUILLA'!GI27,"AAAAAG3/v8Q=")</f>
        <v>#VALUE!</v>
      </c>
      <c r="GP26" t="e">
        <f>AND('SPR BARRANQUILLA'!GJ27,"AAAAAG3/v8U=")</f>
        <v>#VALUE!</v>
      </c>
      <c r="GQ26" t="e">
        <f>AND('SPR BARRANQUILLA'!GK27,"AAAAAG3/v8Y=")</f>
        <v>#VALUE!</v>
      </c>
      <c r="GR26" t="e">
        <f>AND('SPR BARRANQUILLA'!GL27,"AAAAAG3/v8c=")</f>
        <v>#VALUE!</v>
      </c>
      <c r="GS26" t="e">
        <f>AND('SPR BARRANQUILLA'!GM27,"AAAAAG3/v8g=")</f>
        <v>#VALUE!</v>
      </c>
      <c r="GT26" t="e">
        <f>AND('SPR BARRANQUILLA'!GN27,"AAAAAG3/v8k=")</f>
        <v>#VALUE!</v>
      </c>
      <c r="GU26" t="e">
        <f>AND('SPR BARRANQUILLA'!GO27,"AAAAAG3/v8o=")</f>
        <v>#VALUE!</v>
      </c>
      <c r="GV26" t="e">
        <f>AND('SPR BARRANQUILLA'!GP27,"AAAAAG3/v8s=")</f>
        <v>#VALUE!</v>
      </c>
      <c r="GW26" t="e">
        <f>AND('SPR BARRANQUILLA'!GQ27,"AAAAAG3/v8w=")</f>
        <v>#VALUE!</v>
      </c>
      <c r="GX26" t="e">
        <f>AND('SPR BARRANQUILLA'!GR27,"AAAAAG3/v80=")</f>
        <v>#VALUE!</v>
      </c>
      <c r="GY26" t="e">
        <f>AND('SPR BARRANQUILLA'!GS27,"AAAAAG3/v84=")</f>
        <v>#VALUE!</v>
      </c>
      <c r="GZ26" t="e">
        <f>AND('SPR BARRANQUILLA'!GT27,"AAAAAG3/v88=")</f>
        <v>#VALUE!</v>
      </c>
      <c r="HA26" t="e">
        <f>AND('SPR BARRANQUILLA'!GU27,"AAAAAG3/v9A=")</f>
        <v>#VALUE!</v>
      </c>
      <c r="HB26" t="e">
        <f>AND('SPR BARRANQUILLA'!GV27,"AAAAAG3/v9E=")</f>
        <v>#VALUE!</v>
      </c>
      <c r="HC26" t="e">
        <f>AND('SPR BARRANQUILLA'!GW27,"AAAAAG3/v9I=")</f>
        <v>#VALUE!</v>
      </c>
      <c r="HD26" t="e">
        <f>AND('SPR BARRANQUILLA'!GX27,"AAAAAG3/v9M=")</f>
        <v>#VALUE!</v>
      </c>
      <c r="HE26" t="e">
        <f>AND('SPR BARRANQUILLA'!GY27,"AAAAAG3/v9Q=")</f>
        <v>#VALUE!</v>
      </c>
      <c r="HF26">
        <f>IF('SPR BARRANQUILLA'!28:28,"AAAAAG3/v9U=",0)</f>
        <v>0</v>
      </c>
      <c r="HG26" t="e">
        <f>AND('SPR BARRANQUILLA'!A28,"AAAAAG3/v9Y=")</f>
        <v>#VALUE!</v>
      </c>
      <c r="HH26" t="e">
        <f>AND('SPR BARRANQUILLA'!B28,"AAAAAG3/v9c=")</f>
        <v>#VALUE!</v>
      </c>
      <c r="HI26" t="e">
        <f>AND('SPR BARRANQUILLA'!C28,"AAAAAG3/v9g=")</f>
        <v>#VALUE!</v>
      </c>
      <c r="HJ26" t="e">
        <f>AND('SPR BARRANQUILLA'!D28,"AAAAAG3/v9k=")</f>
        <v>#VALUE!</v>
      </c>
      <c r="HK26" t="e">
        <f>AND('SPR BARRANQUILLA'!E28,"AAAAAG3/v9o=")</f>
        <v>#VALUE!</v>
      </c>
      <c r="HL26" t="e">
        <f>AND('SPR BARRANQUILLA'!F28,"AAAAAG3/v9s=")</f>
        <v>#VALUE!</v>
      </c>
      <c r="HM26" t="e">
        <f>AND('SPR BARRANQUILLA'!G28,"AAAAAG3/v9w=")</f>
        <v>#VALUE!</v>
      </c>
      <c r="HN26" t="e">
        <f>AND('SPR BARRANQUILLA'!H28,"AAAAAG3/v90=")</f>
        <v>#VALUE!</v>
      </c>
      <c r="HO26" t="e">
        <f>AND('SPR BARRANQUILLA'!I28,"AAAAAG3/v94=")</f>
        <v>#VALUE!</v>
      </c>
      <c r="HP26" t="e">
        <f>AND('SPR BARRANQUILLA'!J28,"AAAAAG3/v98=")</f>
        <v>#VALUE!</v>
      </c>
      <c r="HQ26" t="e">
        <f>AND('SPR BARRANQUILLA'!K28,"AAAAAG3/v+A=")</f>
        <v>#VALUE!</v>
      </c>
      <c r="HR26" t="e">
        <f>AND('SPR BARRANQUILLA'!L28,"AAAAAG3/v+E=")</f>
        <v>#VALUE!</v>
      </c>
      <c r="HS26" t="e">
        <f>AND('SPR BARRANQUILLA'!M28,"AAAAAG3/v+I=")</f>
        <v>#VALUE!</v>
      </c>
      <c r="HT26" t="e">
        <f>AND('SPR BARRANQUILLA'!N28,"AAAAAG3/v+M=")</f>
        <v>#VALUE!</v>
      </c>
      <c r="HU26" t="e">
        <f>AND('SPR BARRANQUILLA'!O28,"AAAAAG3/v+Q=")</f>
        <v>#VALUE!</v>
      </c>
      <c r="HV26" t="e">
        <f>AND('SPR BARRANQUILLA'!P28,"AAAAAG3/v+U=")</f>
        <v>#VALUE!</v>
      </c>
      <c r="HW26" t="e">
        <f>AND('SPR BARRANQUILLA'!Q28,"AAAAAG3/v+Y=")</f>
        <v>#VALUE!</v>
      </c>
      <c r="HX26" t="e">
        <f>AND('SPR BARRANQUILLA'!R28,"AAAAAG3/v+c=")</f>
        <v>#VALUE!</v>
      </c>
      <c r="HY26" t="e">
        <f>AND('SPR BARRANQUILLA'!S28,"AAAAAG3/v+g=")</f>
        <v>#VALUE!</v>
      </c>
      <c r="HZ26" t="e">
        <f>AND('SPR BARRANQUILLA'!T28,"AAAAAG3/v+k=")</f>
        <v>#VALUE!</v>
      </c>
      <c r="IA26" t="e">
        <f>AND('SPR BARRANQUILLA'!U28,"AAAAAG3/v+o=")</f>
        <v>#VALUE!</v>
      </c>
      <c r="IB26" t="e">
        <f>AND('SPR BARRANQUILLA'!V28,"AAAAAG3/v+s=")</f>
        <v>#VALUE!</v>
      </c>
      <c r="IC26" t="e">
        <f>AND('SPR BARRANQUILLA'!W28,"AAAAAG3/v+w=")</f>
        <v>#VALUE!</v>
      </c>
      <c r="ID26" t="e">
        <f>AND('SPR BARRANQUILLA'!X28,"AAAAAG3/v+0=")</f>
        <v>#VALUE!</v>
      </c>
      <c r="IE26" t="e">
        <f>AND('SPR BARRANQUILLA'!Y28,"AAAAAG3/v+4=")</f>
        <v>#VALUE!</v>
      </c>
      <c r="IF26" t="e">
        <f>AND('SPR BARRANQUILLA'!Z28,"AAAAAG3/v+8=")</f>
        <v>#VALUE!</v>
      </c>
      <c r="IG26" t="e">
        <f>AND('SPR BARRANQUILLA'!AA28,"AAAAAG3/v/A=")</f>
        <v>#VALUE!</v>
      </c>
      <c r="IH26" t="e">
        <f>AND('SPR BARRANQUILLA'!AB28,"AAAAAG3/v/E=")</f>
        <v>#VALUE!</v>
      </c>
      <c r="II26" t="e">
        <f>AND('SPR BARRANQUILLA'!AC28,"AAAAAG3/v/I=")</f>
        <v>#VALUE!</v>
      </c>
      <c r="IJ26" t="e">
        <f>AND('SPR BARRANQUILLA'!AD28,"AAAAAG3/v/M=")</f>
        <v>#VALUE!</v>
      </c>
      <c r="IK26" t="e">
        <f>AND('SPR BARRANQUILLA'!AE28,"AAAAAG3/v/Q=")</f>
        <v>#VALUE!</v>
      </c>
      <c r="IL26" t="e">
        <f>AND('SPR BARRANQUILLA'!AF28,"AAAAAG3/v/U=")</f>
        <v>#VALUE!</v>
      </c>
      <c r="IM26" t="e">
        <f>AND('SPR BARRANQUILLA'!AG28,"AAAAAG3/v/Y=")</f>
        <v>#VALUE!</v>
      </c>
      <c r="IN26" t="e">
        <f>AND('SPR BARRANQUILLA'!AH28,"AAAAAG3/v/c=")</f>
        <v>#VALUE!</v>
      </c>
      <c r="IO26" t="e">
        <f>AND('SPR BARRANQUILLA'!AI28,"AAAAAG3/v/g=")</f>
        <v>#VALUE!</v>
      </c>
      <c r="IP26" t="e">
        <f>AND('SPR BARRANQUILLA'!AJ28,"AAAAAG3/v/k=")</f>
        <v>#VALUE!</v>
      </c>
      <c r="IQ26" t="e">
        <f>AND('SPR BARRANQUILLA'!AK28,"AAAAAG3/v/o=")</f>
        <v>#VALUE!</v>
      </c>
      <c r="IR26" t="e">
        <f>AND('SPR BARRANQUILLA'!AL28,"AAAAAG3/v/s=")</f>
        <v>#VALUE!</v>
      </c>
      <c r="IS26" t="e">
        <f>AND('SPR BARRANQUILLA'!AM28,"AAAAAG3/v/w=")</f>
        <v>#VALUE!</v>
      </c>
      <c r="IT26" t="e">
        <f>AND('SPR BARRANQUILLA'!AN28,"AAAAAG3/v/0=")</f>
        <v>#VALUE!</v>
      </c>
      <c r="IU26" t="e">
        <f>AND('SPR BARRANQUILLA'!AO28,"AAAAAG3/v/4=")</f>
        <v>#VALUE!</v>
      </c>
      <c r="IV26" t="e">
        <f>AND('SPR BARRANQUILLA'!AP28,"AAAAAG3/v/8=")</f>
        <v>#VALUE!</v>
      </c>
    </row>
    <row r="27" spans="1:256">
      <c r="A27" t="e">
        <f>AND('SPR BARRANQUILLA'!AQ28,"AAAAABatXwA=")</f>
        <v>#VALUE!</v>
      </c>
      <c r="B27" t="e">
        <f>AND('SPR BARRANQUILLA'!AR28,"AAAAABatXwE=")</f>
        <v>#VALUE!</v>
      </c>
      <c r="C27" t="e">
        <f>AND('SPR BARRANQUILLA'!AS28,"AAAAABatXwI=")</f>
        <v>#VALUE!</v>
      </c>
      <c r="D27" t="e">
        <f>AND('SPR BARRANQUILLA'!AT28,"AAAAABatXwM=")</f>
        <v>#VALUE!</v>
      </c>
      <c r="E27" t="e">
        <f>AND('SPR BARRANQUILLA'!AU28,"AAAAABatXwQ=")</f>
        <v>#VALUE!</v>
      </c>
      <c r="F27" t="e">
        <f>AND('SPR BARRANQUILLA'!AV28,"AAAAABatXwU=")</f>
        <v>#VALUE!</v>
      </c>
      <c r="G27" t="e">
        <f>AND('SPR BARRANQUILLA'!AW28,"AAAAABatXwY=")</f>
        <v>#VALUE!</v>
      </c>
      <c r="H27" t="e">
        <f>AND('SPR BARRANQUILLA'!AX28,"AAAAABatXwc=")</f>
        <v>#VALUE!</v>
      </c>
      <c r="I27" t="e">
        <f>AND('SPR BARRANQUILLA'!AY28,"AAAAABatXwg=")</f>
        <v>#VALUE!</v>
      </c>
      <c r="J27" t="e">
        <f>AND('SPR BARRANQUILLA'!AZ28,"AAAAABatXwk=")</f>
        <v>#VALUE!</v>
      </c>
      <c r="K27" t="e">
        <f>AND('SPR BARRANQUILLA'!BA28,"AAAAABatXwo=")</f>
        <v>#VALUE!</v>
      </c>
      <c r="L27" t="e">
        <f>AND('SPR BARRANQUILLA'!BB28,"AAAAABatXws=")</f>
        <v>#VALUE!</v>
      </c>
      <c r="M27" t="e">
        <f>AND('SPR BARRANQUILLA'!BC28,"AAAAABatXww=")</f>
        <v>#VALUE!</v>
      </c>
      <c r="N27" t="e">
        <f>AND('SPR BARRANQUILLA'!BD28,"AAAAABatXw0=")</f>
        <v>#VALUE!</v>
      </c>
      <c r="O27" t="e">
        <f>AND('SPR BARRANQUILLA'!BE28,"AAAAABatXw4=")</f>
        <v>#VALUE!</v>
      </c>
      <c r="P27" t="e">
        <f>AND('SPR BARRANQUILLA'!BF28,"AAAAABatXw8=")</f>
        <v>#VALUE!</v>
      </c>
      <c r="Q27" t="e">
        <f>AND('SPR BARRANQUILLA'!BG28,"AAAAABatXxA=")</f>
        <v>#VALUE!</v>
      </c>
      <c r="R27" t="e">
        <f>AND('SPR BARRANQUILLA'!BH28,"AAAAABatXxE=")</f>
        <v>#VALUE!</v>
      </c>
      <c r="S27" t="e">
        <f>AND('SPR BARRANQUILLA'!BI28,"AAAAABatXxI=")</f>
        <v>#VALUE!</v>
      </c>
      <c r="T27" t="e">
        <f>AND('SPR BARRANQUILLA'!BJ28,"AAAAABatXxM=")</f>
        <v>#VALUE!</v>
      </c>
      <c r="U27" t="e">
        <f>AND('SPR BARRANQUILLA'!BK28,"AAAAABatXxQ=")</f>
        <v>#VALUE!</v>
      </c>
      <c r="V27" t="e">
        <f>AND('SPR BARRANQUILLA'!BL28,"AAAAABatXxU=")</f>
        <v>#VALUE!</v>
      </c>
      <c r="W27" t="e">
        <f>AND('SPR BARRANQUILLA'!BM28,"AAAAABatXxY=")</f>
        <v>#VALUE!</v>
      </c>
      <c r="X27" t="e">
        <f>AND('SPR BARRANQUILLA'!BN28,"AAAAABatXxc=")</f>
        <v>#VALUE!</v>
      </c>
      <c r="Y27" t="e">
        <f>AND('SPR BARRANQUILLA'!BO28,"AAAAABatXxg=")</f>
        <v>#VALUE!</v>
      </c>
      <c r="Z27" t="e">
        <f>AND('SPR BARRANQUILLA'!BP28,"AAAAABatXxk=")</f>
        <v>#VALUE!</v>
      </c>
      <c r="AA27" t="e">
        <f>AND('SPR BARRANQUILLA'!BQ28,"AAAAABatXxo=")</f>
        <v>#VALUE!</v>
      </c>
      <c r="AB27" t="e">
        <f>AND('SPR BARRANQUILLA'!BR28,"AAAAABatXxs=")</f>
        <v>#VALUE!</v>
      </c>
      <c r="AC27" t="e">
        <f>AND('SPR BARRANQUILLA'!BS28,"AAAAABatXxw=")</f>
        <v>#VALUE!</v>
      </c>
      <c r="AD27" t="e">
        <f>AND('SPR BARRANQUILLA'!BT28,"AAAAABatXx0=")</f>
        <v>#VALUE!</v>
      </c>
      <c r="AE27" t="e">
        <f>AND('SPR BARRANQUILLA'!BU28,"AAAAABatXx4=")</f>
        <v>#VALUE!</v>
      </c>
      <c r="AF27" t="e">
        <f>AND('SPR BARRANQUILLA'!BV28,"AAAAABatXx8=")</f>
        <v>#VALUE!</v>
      </c>
      <c r="AG27" t="e">
        <f>AND('SPR BARRANQUILLA'!BW28,"AAAAABatXyA=")</f>
        <v>#VALUE!</v>
      </c>
      <c r="AH27" t="e">
        <f>AND('SPR BARRANQUILLA'!BX28,"AAAAABatXyE=")</f>
        <v>#VALUE!</v>
      </c>
      <c r="AI27" t="e">
        <f>AND('SPR BARRANQUILLA'!BY28,"AAAAABatXyI=")</f>
        <v>#VALUE!</v>
      </c>
      <c r="AJ27" t="e">
        <f>AND('SPR BARRANQUILLA'!BZ28,"AAAAABatXyM=")</f>
        <v>#VALUE!</v>
      </c>
      <c r="AK27" t="e">
        <f>AND('SPR BARRANQUILLA'!CA28,"AAAAABatXyQ=")</f>
        <v>#VALUE!</v>
      </c>
      <c r="AL27" t="e">
        <f>AND('SPR BARRANQUILLA'!CB28,"AAAAABatXyU=")</f>
        <v>#VALUE!</v>
      </c>
      <c r="AM27" t="e">
        <f>AND('SPR BARRANQUILLA'!CC28,"AAAAABatXyY=")</f>
        <v>#VALUE!</v>
      </c>
      <c r="AN27" t="e">
        <f>AND('SPR BARRANQUILLA'!CD28,"AAAAABatXyc=")</f>
        <v>#VALUE!</v>
      </c>
      <c r="AO27" t="e">
        <f>AND('SPR BARRANQUILLA'!CE28,"AAAAABatXyg=")</f>
        <v>#VALUE!</v>
      </c>
      <c r="AP27" t="e">
        <f>AND('SPR BARRANQUILLA'!CF28,"AAAAABatXyk=")</f>
        <v>#VALUE!</v>
      </c>
      <c r="AQ27" t="e">
        <f>AND('SPR BARRANQUILLA'!CG28,"AAAAABatXyo=")</f>
        <v>#VALUE!</v>
      </c>
      <c r="AR27" t="e">
        <f>AND('SPR BARRANQUILLA'!CH28,"AAAAABatXys=")</f>
        <v>#VALUE!</v>
      </c>
      <c r="AS27" t="e">
        <f>AND('SPR BARRANQUILLA'!CI28,"AAAAABatXyw=")</f>
        <v>#VALUE!</v>
      </c>
      <c r="AT27" t="e">
        <f>AND('SPR BARRANQUILLA'!CJ28,"AAAAABatXy0=")</f>
        <v>#VALUE!</v>
      </c>
      <c r="AU27" t="e">
        <f>AND('SPR BARRANQUILLA'!CK28,"AAAAABatXy4=")</f>
        <v>#VALUE!</v>
      </c>
      <c r="AV27" t="e">
        <f>AND('SPR BARRANQUILLA'!CL28,"AAAAABatXy8=")</f>
        <v>#VALUE!</v>
      </c>
      <c r="AW27" t="e">
        <f>AND('SPR BARRANQUILLA'!CM28,"AAAAABatXzA=")</f>
        <v>#VALUE!</v>
      </c>
      <c r="AX27" t="e">
        <f>AND('SPR BARRANQUILLA'!CN28,"AAAAABatXzE=")</f>
        <v>#VALUE!</v>
      </c>
      <c r="AY27" t="e">
        <f>AND('SPR BARRANQUILLA'!CO28,"AAAAABatXzI=")</f>
        <v>#VALUE!</v>
      </c>
      <c r="AZ27" t="e">
        <f>AND('SPR BARRANQUILLA'!CP28,"AAAAABatXzM=")</f>
        <v>#VALUE!</v>
      </c>
      <c r="BA27" t="e">
        <f>AND('SPR BARRANQUILLA'!CQ28,"AAAAABatXzQ=")</f>
        <v>#VALUE!</v>
      </c>
      <c r="BB27" t="e">
        <f>AND('SPR BARRANQUILLA'!CR28,"AAAAABatXzU=")</f>
        <v>#VALUE!</v>
      </c>
      <c r="BC27" t="e">
        <f>AND('SPR BARRANQUILLA'!CS28,"AAAAABatXzY=")</f>
        <v>#VALUE!</v>
      </c>
      <c r="BD27" t="e">
        <f>AND('SPR BARRANQUILLA'!CT28,"AAAAABatXzc=")</f>
        <v>#VALUE!</v>
      </c>
      <c r="BE27" t="e">
        <f>AND('SPR BARRANQUILLA'!CU28,"AAAAABatXzg=")</f>
        <v>#VALUE!</v>
      </c>
      <c r="BF27" t="e">
        <f>AND('SPR BARRANQUILLA'!CV28,"AAAAABatXzk=")</f>
        <v>#VALUE!</v>
      </c>
      <c r="BG27" t="e">
        <f>AND('SPR BARRANQUILLA'!CW28,"AAAAABatXzo=")</f>
        <v>#VALUE!</v>
      </c>
      <c r="BH27" t="e">
        <f>AND('SPR BARRANQUILLA'!CX28,"AAAAABatXzs=")</f>
        <v>#VALUE!</v>
      </c>
      <c r="BI27" t="e">
        <f>AND('SPR BARRANQUILLA'!CY28,"AAAAABatXzw=")</f>
        <v>#VALUE!</v>
      </c>
      <c r="BJ27" t="e">
        <f>AND('SPR BARRANQUILLA'!CZ28,"AAAAABatXz0=")</f>
        <v>#VALUE!</v>
      </c>
      <c r="BK27" t="e">
        <f>AND('SPR BARRANQUILLA'!DA28,"AAAAABatXz4=")</f>
        <v>#VALUE!</v>
      </c>
      <c r="BL27" t="e">
        <f>AND('SPR BARRANQUILLA'!DB28,"AAAAABatXz8=")</f>
        <v>#VALUE!</v>
      </c>
      <c r="BM27" t="e">
        <f>AND('SPR BARRANQUILLA'!DC28,"AAAAABatX0A=")</f>
        <v>#VALUE!</v>
      </c>
      <c r="BN27" t="e">
        <f>AND('SPR BARRANQUILLA'!DD28,"AAAAABatX0E=")</f>
        <v>#VALUE!</v>
      </c>
      <c r="BO27" t="e">
        <f>AND('SPR BARRANQUILLA'!DE28,"AAAAABatX0I=")</f>
        <v>#VALUE!</v>
      </c>
      <c r="BP27" t="e">
        <f>AND('SPR BARRANQUILLA'!DF28,"AAAAABatX0M=")</f>
        <v>#VALUE!</v>
      </c>
      <c r="BQ27" t="e">
        <f>AND('SPR BARRANQUILLA'!DG28,"AAAAABatX0Q=")</f>
        <v>#VALUE!</v>
      </c>
      <c r="BR27" t="e">
        <f>AND('SPR BARRANQUILLA'!DH28,"AAAAABatX0U=")</f>
        <v>#VALUE!</v>
      </c>
      <c r="BS27" t="e">
        <f>AND('SPR BARRANQUILLA'!DI28,"AAAAABatX0Y=")</f>
        <v>#VALUE!</v>
      </c>
      <c r="BT27" t="e">
        <f>AND('SPR BARRANQUILLA'!DJ28,"AAAAABatX0c=")</f>
        <v>#VALUE!</v>
      </c>
      <c r="BU27" t="e">
        <f>AND('SPR BARRANQUILLA'!DK28,"AAAAABatX0g=")</f>
        <v>#VALUE!</v>
      </c>
      <c r="BV27" t="e">
        <f>AND('SPR BARRANQUILLA'!DL28,"AAAAABatX0k=")</f>
        <v>#VALUE!</v>
      </c>
      <c r="BW27" t="e">
        <f>AND('SPR BARRANQUILLA'!DM28,"AAAAABatX0o=")</f>
        <v>#VALUE!</v>
      </c>
      <c r="BX27" t="e">
        <f>AND('SPR BARRANQUILLA'!DN28,"AAAAABatX0s=")</f>
        <v>#VALUE!</v>
      </c>
      <c r="BY27" t="e">
        <f>AND('SPR BARRANQUILLA'!DO28,"AAAAABatX0w=")</f>
        <v>#VALUE!</v>
      </c>
      <c r="BZ27" t="e">
        <f>AND('SPR BARRANQUILLA'!DP28,"AAAAABatX00=")</f>
        <v>#VALUE!</v>
      </c>
      <c r="CA27" t="e">
        <f>AND('SPR BARRANQUILLA'!DQ28,"AAAAABatX04=")</f>
        <v>#VALUE!</v>
      </c>
      <c r="CB27" t="e">
        <f>AND('SPR BARRANQUILLA'!DR28,"AAAAABatX08=")</f>
        <v>#VALUE!</v>
      </c>
      <c r="CC27" t="e">
        <f>AND('SPR BARRANQUILLA'!DS28,"AAAAABatX1A=")</f>
        <v>#VALUE!</v>
      </c>
      <c r="CD27" t="e">
        <f>AND('SPR BARRANQUILLA'!DT28,"AAAAABatX1E=")</f>
        <v>#VALUE!</v>
      </c>
      <c r="CE27" t="e">
        <f>AND('SPR BARRANQUILLA'!DU28,"AAAAABatX1I=")</f>
        <v>#VALUE!</v>
      </c>
      <c r="CF27" t="e">
        <f>AND('SPR BARRANQUILLA'!DV28,"AAAAABatX1M=")</f>
        <v>#VALUE!</v>
      </c>
      <c r="CG27" t="e">
        <f>AND('SPR BARRANQUILLA'!DW28,"AAAAABatX1Q=")</f>
        <v>#VALUE!</v>
      </c>
      <c r="CH27" t="e">
        <f>AND('SPR BARRANQUILLA'!DX28,"AAAAABatX1U=")</f>
        <v>#VALUE!</v>
      </c>
      <c r="CI27" t="e">
        <f>AND('SPR BARRANQUILLA'!DY28,"AAAAABatX1Y=")</f>
        <v>#VALUE!</v>
      </c>
      <c r="CJ27" t="e">
        <f>AND('SPR BARRANQUILLA'!DZ28,"AAAAABatX1c=")</f>
        <v>#VALUE!</v>
      </c>
      <c r="CK27" t="e">
        <f>AND('SPR BARRANQUILLA'!EA28,"AAAAABatX1g=")</f>
        <v>#VALUE!</v>
      </c>
      <c r="CL27" t="e">
        <f>AND('SPR BARRANQUILLA'!EB28,"AAAAABatX1k=")</f>
        <v>#VALUE!</v>
      </c>
      <c r="CM27" t="e">
        <f>AND('SPR BARRANQUILLA'!EC28,"AAAAABatX1o=")</f>
        <v>#VALUE!</v>
      </c>
      <c r="CN27" t="e">
        <f>AND('SPR BARRANQUILLA'!ED28,"AAAAABatX1s=")</f>
        <v>#VALUE!</v>
      </c>
      <c r="CO27" t="e">
        <f>AND('SPR BARRANQUILLA'!EE28,"AAAAABatX1w=")</f>
        <v>#VALUE!</v>
      </c>
      <c r="CP27" t="e">
        <f>AND('SPR BARRANQUILLA'!EF28,"AAAAABatX10=")</f>
        <v>#VALUE!</v>
      </c>
      <c r="CQ27" t="e">
        <f>AND('SPR BARRANQUILLA'!EG28,"AAAAABatX14=")</f>
        <v>#VALUE!</v>
      </c>
      <c r="CR27" t="e">
        <f>AND('SPR BARRANQUILLA'!EH28,"AAAAABatX18=")</f>
        <v>#VALUE!</v>
      </c>
      <c r="CS27" t="e">
        <f>AND('SPR BARRANQUILLA'!EI28,"AAAAABatX2A=")</f>
        <v>#VALUE!</v>
      </c>
      <c r="CT27" t="e">
        <f>AND('SPR BARRANQUILLA'!EJ28,"AAAAABatX2E=")</f>
        <v>#VALUE!</v>
      </c>
      <c r="CU27" t="e">
        <f>AND('SPR BARRANQUILLA'!EK28,"AAAAABatX2I=")</f>
        <v>#VALUE!</v>
      </c>
      <c r="CV27" t="e">
        <f>AND('SPR BARRANQUILLA'!EL28,"AAAAABatX2M=")</f>
        <v>#VALUE!</v>
      </c>
      <c r="CW27" t="e">
        <f>AND('SPR BARRANQUILLA'!EM28,"AAAAABatX2Q=")</f>
        <v>#VALUE!</v>
      </c>
      <c r="CX27" t="e">
        <f>AND('SPR BARRANQUILLA'!EN28,"AAAAABatX2U=")</f>
        <v>#VALUE!</v>
      </c>
      <c r="CY27" t="e">
        <f>AND('SPR BARRANQUILLA'!EO28,"AAAAABatX2Y=")</f>
        <v>#VALUE!</v>
      </c>
      <c r="CZ27" t="e">
        <f>AND('SPR BARRANQUILLA'!EP28,"AAAAABatX2c=")</f>
        <v>#VALUE!</v>
      </c>
      <c r="DA27" t="e">
        <f>AND('SPR BARRANQUILLA'!EQ28,"AAAAABatX2g=")</f>
        <v>#VALUE!</v>
      </c>
      <c r="DB27" t="e">
        <f>AND('SPR BARRANQUILLA'!ER28,"AAAAABatX2k=")</f>
        <v>#VALUE!</v>
      </c>
      <c r="DC27" t="e">
        <f>AND('SPR BARRANQUILLA'!ES28,"AAAAABatX2o=")</f>
        <v>#VALUE!</v>
      </c>
      <c r="DD27" t="e">
        <f>AND('SPR BARRANQUILLA'!ET28,"AAAAABatX2s=")</f>
        <v>#VALUE!</v>
      </c>
      <c r="DE27" t="e">
        <f>AND('SPR BARRANQUILLA'!EU28,"AAAAABatX2w=")</f>
        <v>#VALUE!</v>
      </c>
      <c r="DF27" t="e">
        <f>AND('SPR BARRANQUILLA'!EV28,"AAAAABatX20=")</f>
        <v>#VALUE!</v>
      </c>
      <c r="DG27" t="e">
        <f>AND('SPR BARRANQUILLA'!EW28,"AAAAABatX24=")</f>
        <v>#VALUE!</v>
      </c>
      <c r="DH27" t="e">
        <f>AND('SPR BARRANQUILLA'!EX28,"AAAAABatX28=")</f>
        <v>#VALUE!</v>
      </c>
      <c r="DI27" t="e">
        <f>AND('SPR BARRANQUILLA'!EY28,"AAAAABatX3A=")</f>
        <v>#VALUE!</v>
      </c>
      <c r="DJ27" t="e">
        <f>AND('SPR BARRANQUILLA'!EZ28,"AAAAABatX3E=")</f>
        <v>#VALUE!</v>
      </c>
      <c r="DK27" t="e">
        <f>AND('SPR BARRANQUILLA'!FA28,"AAAAABatX3I=")</f>
        <v>#VALUE!</v>
      </c>
      <c r="DL27" t="e">
        <f>AND('SPR BARRANQUILLA'!FB28,"AAAAABatX3M=")</f>
        <v>#VALUE!</v>
      </c>
      <c r="DM27" t="e">
        <f>AND('SPR BARRANQUILLA'!FC28,"AAAAABatX3Q=")</f>
        <v>#VALUE!</v>
      </c>
      <c r="DN27" t="e">
        <f>AND('SPR BARRANQUILLA'!FD28,"AAAAABatX3U=")</f>
        <v>#VALUE!</v>
      </c>
      <c r="DO27" t="e">
        <f>AND('SPR BARRANQUILLA'!FE28,"AAAAABatX3Y=")</f>
        <v>#VALUE!</v>
      </c>
      <c r="DP27" t="e">
        <f>AND('SPR BARRANQUILLA'!FF28,"AAAAABatX3c=")</f>
        <v>#VALUE!</v>
      </c>
      <c r="DQ27" t="e">
        <f>AND('SPR BARRANQUILLA'!FG28,"AAAAABatX3g=")</f>
        <v>#VALUE!</v>
      </c>
      <c r="DR27" t="e">
        <f>AND('SPR BARRANQUILLA'!FH28,"AAAAABatX3k=")</f>
        <v>#VALUE!</v>
      </c>
      <c r="DS27" t="e">
        <f>AND('SPR BARRANQUILLA'!FI28,"AAAAABatX3o=")</f>
        <v>#VALUE!</v>
      </c>
      <c r="DT27" t="e">
        <f>AND('SPR BARRANQUILLA'!FJ28,"AAAAABatX3s=")</f>
        <v>#VALUE!</v>
      </c>
      <c r="DU27" t="e">
        <f>AND('SPR BARRANQUILLA'!FK28,"AAAAABatX3w=")</f>
        <v>#VALUE!</v>
      </c>
      <c r="DV27" t="e">
        <f>AND('SPR BARRANQUILLA'!FL28,"AAAAABatX30=")</f>
        <v>#VALUE!</v>
      </c>
      <c r="DW27" t="e">
        <f>AND('SPR BARRANQUILLA'!FM28,"AAAAABatX34=")</f>
        <v>#VALUE!</v>
      </c>
      <c r="DX27" t="e">
        <f>AND('SPR BARRANQUILLA'!FN28,"AAAAABatX38=")</f>
        <v>#VALUE!</v>
      </c>
      <c r="DY27" t="e">
        <f>AND('SPR BARRANQUILLA'!FO28,"AAAAABatX4A=")</f>
        <v>#VALUE!</v>
      </c>
      <c r="DZ27" t="e">
        <f>AND('SPR BARRANQUILLA'!FP28,"AAAAABatX4E=")</f>
        <v>#VALUE!</v>
      </c>
      <c r="EA27" t="e">
        <f>AND('SPR BARRANQUILLA'!FQ28,"AAAAABatX4I=")</f>
        <v>#VALUE!</v>
      </c>
      <c r="EB27" t="e">
        <f>AND('SPR BARRANQUILLA'!FR28,"AAAAABatX4M=")</f>
        <v>#VALUE!</v>
      </c>
      <c r="EC27" t="e">
        <f>AND('SPR BARRANQUILLA'!FS28,"AAAAABatX4Q=")</f>
        <v>#VALUE!</v>
      </c>
      <c r="ED27" t="e">
        <f>AND('SPR BARRANQUILLA'!FT28,"AAAAABatX4U=")</f>
        <v>#VALUE!</v>
      </c>
      <c r="EE27" t="e">
        <f>AND('SPR BARRANQUILLA'!FU28,"AAAAABatX4Y=")</f>
        <v>#VALUE!</v>
      </c>
      <c r="EF27" t="e">
        <f>AND('SPR BARRANQUILLA'!FV28,"AAAAABatX4c=")</f>
        <v>#VALUE!</v>
      </c>
      <c r="EG27" t="e">
        <f>AND('SPR BARRANQUILLA'!FW28,"AAAAABatX4g=")</f>
        <v>#VALUE!</v>
      </c>
      <c r="EH27" t="e">
        <f>AND('SPR BARRANQUILLA'!FX28,"AAAAABatX4k=")</f>
        <v>#VALUE!</v>
      </c>
      <c r="EI27" t="e">
        <f>AND('SPR BARRANQUILLA'!FY28,"AAAAABatX4o=")</f>
        <v>#VALUE!</v>
      </c>
      <c r="EJ27" t="e">
        <f>AND('SPR BARRANQUILLA'!FZ28,"AAAAABatX4s=")</f>
        <v>#VALUE!</v>
      </c>
      <c r="EK27" t="e">
        <f>AND('SPR BARRANQUILLA'!GA28,"AAAAABatX4w=")</f>
        <v>#VALUE!</v>
      </c>
      <c r="EL27" t="e">
        <f>AND('SPR BARRANQUILLA'!GB28,"AAAAABatX40=")</f>
        <v>#VALUE!</v>
      </c>
      <c r="EM27" t="e">
        <f>AND('SPR BARRANQUILLA'!GC28,"AAAAABatX44=")</f>
        <v>#VALUE!</v>
      </c>
      <c r="EN27" t="e">
        <f>AND('SPR BARRANQUILLA'!GD28,"AAAAABatX48=")</f>
        <v>#VALUE!</v>
      </c>
      <c r="EO27" t="e">
        <f>AND('SPR BARRANQUILLA'!GE28,"AAAAABatX5A=")</f>
        <v>#VALUE!</v>
      </c>
      <c r="EP27" t="e">
        <f>AND('SPR BARRANQUILLA'!GF28,"AAAAABatX5E=")</f>
        <v>#VALUE!</v>
      </c>
      <c r="EQ27" t="e">
        <f>AND('SPR BARRANQUILLA'!GG28,"AAAAABatX5I=")</f>
        <v>#VALUE!</v>
      </c>
      <c r="ER27" t="e">
        <f>AND('SPR BARRANQUILLA'!GH28,"AAAAABatX5M=")</f>
        <v>#VALUE!</v>
      </c>
      <c r="ES27" t="e">
        <f>AND('SPR BARRANQUILLA'!GI28,"AAAAABatX5Q=")</f>
        <v>#VALUE!</v>
      </c>
      <c r="ET27" t="e">
        <f>AND('SPR BARRANQUILLA'!GJ28,"AAAAABatX5U=")</f>
        <v>#VALUE!</v>
      </c>
      <c r="EU27" t="e">
        <f>AND('SPR BARRANQUILLA'!GK28,"AAAAABatX5Y=")</f>
        <v>#VALUE!</v>
      </c>
      <c r="EV27" t="e">
        <f>AND('SPR BARRANQUILLA'!GL28,"AAAAABatX5c=")</f>
        <v>#VALUE!</v>
      </c>
      <c r="EW27" t="e">
        <f>AND('SPR BARRANQUILLA'!GM28,"AAAAABatX5g=")</f>
        <v>#VALUE!</v>
      </c>
      <c r="EX27" t="e">
        <f>AND('SPR BARRANQUILLA'!GN28,"AAAAABatX5k=")</f>
        <v>#VALUE!</v>
      </c>
      <c r="EY27" t="e">
        <f>AND('SPR BARRANQUILLA'!GO28,"AAAAABatX5o=")</f>
        <v>#VALUE!</v>
      </c>
      <c r="EZ27" t="e">
        <f>AND('SPR BARRANQUILLA'!GP28,"AAAAABatX5s=")</f>
        <v>#VALUE!</v>
      </c>
      <c r="FA27" t="e">
        <f>AND('SPR BARRANQUILLA'!GQ28,"AAAAABatX5w=")</f>
        <v>#VALUE!</v>
      </c>
      <c r="FB27" t="e">
        <f>AND('SPR BARRANQUILLA'!GR28,"AAAAABatX50=")</f>
        <v>#VALUE!</v>
      </c>
      <c r="FC27" t="e">
        <f>AND('SPR BARRANQUILLA'!GS28,"AAAAABatX54=")</f>
        <v>#VALUE!</v>
      </c>
      <c r="FD27" t="e">
        <f>AND('SPR BARRANQUILLA'!GT28,"AAAAABatX58=")</f>
        <v>#VALUE!</v>
      </c>
      <c r="FE27" t="e">
        <f>AND('SPR BARRANQUILLA'!GU28,"AAAAABatX6A=")</f>
        <v>#VALUE!</v>
      </c>
      <c r="FF27" t="e">
        <f>AND('SPR BARRANQUILLA'!GV28,"AAAAABatX6E=")</f>
        <v>#VALUE!</v>
      </c>
      <c r="FG27" t="e">
        <f>AND('SPR BARRANQUILLA'!GW28,"AAAAABatX6I=")</f>
        <v>#VALUE!</v>
      </c>
      <c r="FH27" t="e">
        <f>AND('SPR BARRANQUILLA'!GX28,"AAAAABatX6M=")</f>
        <v>#VALUE!</v>
      </c>
      <c r="FI27" t="e">
        <f>AND('SPR BARRANQUILLA'!GY28,"AAAAABatX6Q=")</f>
        <v>#VALUE!</v>
      </c>
      <c r="FJ27">
        <f>IF('SPR BARRANQUILLA'!29:29,"AAAAABatX6U=",0)</f>
        <v>0</v>
      </c>
      <c r="FK27" t="e">
        <f>AND('SPR BARRANQUILLA'!A29,"AAAAABatX6Y=")</f>
        <v>#VALUE!</v>
      </c>
      <c r="FL27" t="e">
        <f>AND('SPR BARRANQUILLA'!B29,"AAAAABatX6c=")</f>
        <v>#VALUE!</v>
      </c>
      <c r="FM27" t="e">
        <f>AND('SPR BARRANQUILLA'!C29,"AAAAABatX6g=")</f>
        <v>#VALUE!</v>
      </c>
      <c r="FN27" t="e">
        <f>AND('SPR BARRANQUILLA'!D29,"AAAAABatX6k=")</f>
        <v>#VALUE!</v>
      </c>
      <c r="FO27" t="e">
        <f>AND('SPR BARRANQUILLA'!E29,"AAAAABatX6o=")</f>
        <v>#VALUE!</v>
      </c>
      <c r="FP27" t="e">
        <f>AND('SPR BARRANQUILLA'!F29,"AAAAABatX6s=")</f>
        <v>#VALUE!</v>
      </c>
      <c r="FQ27" t="e">
        <f>AND('SPR BARRANQUILLA'!G29,"AAAAABatX6w=")</f>
        <v>#VALUE!</v>
      </c>
      <c r="FR27" t="e">
        <f>AND('SPR BARRANQUILLA'!H29,"AAAAABatX60=")</f>
        <v>#VALUE!</v>
      </c>
      <c r="FS27" t="e">
        <f>AND('SPR BARRANQUILLA'!I29,"AAAAABatX64=")</f>
        <v>#VALUE!</v>
      </c>
      <c r="FT27" t="e">
        <f>AND('SPR BARRANQUILLA'!J29,"AAAAABatX68=")</f>
        <v>#VALUE!</v>
      </c>
      <c r="FU27" t="e">
        <f>AND('SPR BARRANQUILLA'!K29,"AAAAABatX7A=")</f>
        <v>#VALUE!</v>
      </c>
      <c r="FV27" t="e">
        <f>AND('SPR BARRANQUILLA'!L29,"AAAAABatX7E=")</f>
        <v>#VALUE!</v>
      </c>
      <c r="FW27" t="e">
        <f>AND('SPR BARRANQUILLA'!M29,"AAAAABatX7I=")</f>
        <v>#VALUE!</v>
      </c>
      <c r="FX27" t="e">
        <f>AND('SPR BARRANQUILLA'!N29,"AAAAABatX7M=")</f>
        <v>#VALUE!</v>
      </c>
      <c r="FY27" t="e">
        <f>AND('SPR BARRANQUILLA'!O29,"AAAAABatX7Q=")</f>
        <v>#VALUE!</v>
      </c>
      <c r="FZ27" t="e">
        <f>AND('SPR BARRANQUILLA'!P29,"AAAAABatX7U=")</f>
        <v>#VALUE!</v>
      </c>
      <c r="GA27" t="e">
        <f>AND('SPR BARRANQUILLA'!Q29,"AAAAABatX7Y=")</f>
        <v>#VALUE!</v>
      </c>
      <c r="GB27" t="e">
        <f>AND('SPR BARRANQUILLA'!R29,"AAAAABatX7c=")</f>
        <v>#VALUE!</v>
      </c>
      <c r="GC27" t="e">
        <f>AND('SPR BARRANQUILLA'!S29,"AAAAABatX7g=")</f>
        <v>#VALUE!</v>
      </c>
      <c r="GD27" t="e">
        <f>AND('SPR BARRANQUILLA'!T29,"AAAAABatX7k=")</f>
        <v>#VALUE!</v>
      </c>
      <c r="GE27" t="e">
        <f>AND('SPR BARRANQUILLA'!U29,"AAAAABatX7o=")</f>
        <v>#VALUE!</v>
      </c>
      <c r="GF27" t="e">
        <f>AND('SPR BARRANQUILLA'!V29,"AAAAABatX7s=")</f>
        <v>#VALUE!</v>
      </c>
      <c r="GG27" t="e">
        <f>AND('SPR BARRANQUILLA'!W29,"AAAAABatX7w=")</f>
        <v>#VALUE!</v>
      </c>
      <c r="GH27" t="e">
        <f>AND('SPR BARRANQUILLA'!X29,"AAAAABatX70=")</f>
        <v>#VALUE!</v>
      </c>
      <c r="GI27" t="e">
        <f>AND('SPR BARRANQUILLA'!Y29,"AAAAABatX74=")</f>
        <v>#VALUE!</v>
      </c>
      <c r="GJ27" t="e">
        <f>AND('SPR BARRANQUILLA'!Z29,"AAAAABatX78=")</f>
        <v>#VALUE!</v>
      </c>
      <c r="GK27" t="e">
        <f>AND('SPR BARRANQUILLA'!AA29,"AAAAABatX8A=")</f>
        <v>#VALUE!</v>
      </c>
      <c r="GL27" t="e">
        <f>AND('SPR BARRANQUILLA'!AB29,"AAAAABatX8E=")</f>
        <v>#VALUE!</v>
      </c>
      <c r="GM27" t="e">
        <f>AND('SPR BARRANQUILLA'!AC29,"AAAAABatX8I=")</f>
        <v>#VALUE!</v>
      </c>
      <c r="GN27" t="e">
        <f>AND('SPR BARRANQUILLA'!AD29,"AAAAABatX8M=")</f>
        <v>#VALUE!</v>
      </c>
      <c r="GO27" t="e">
        <f>AND('SPR BARRANQUILLA'!AE29,"AAAAABatX8Q=")</f>
        <v>#VALUE!</v>
      </c>
      <c r="GP27" t="e">
        <f>AND('SPR BARRANQUILLA'!AF29,"AAAAABatX8U=")</f>
        <v>#VALUE!</v>
      </c>
      <c r="GQ27" t="e">
        <f>AND('SPR BARRANQUILLA'!AG29,"AAAAABatX8Y=")</f>
        <v>#VALUE!</v>
      </c>
      <c r="GR27" t="e">
        <f>AND('SPR BARRANQUILLA'!AH29,"AAAAABatX8c=")</f>
        <v>#VALUE!</v>
      </c>
      <c r="GS27" t="e">
        <f>AND('SPR BARRANQUILLA'!AI29,"AAAAABatX8g=")</f>
        <v>#VALUE!</v>
      </c>
      <c r="GT27" t="e">
        <f>AND('SPR BARRANQUILLA'!AJ29,"AAAAABatX8k=")</f>
        <v>#VALUE!</v>
      </c>
      <c r="GU27" t="e">
        <f>AND('SPR BARRANQUILLA'!AK29,"AAAAABatX8o=")</f>
        <v>#VALUE!</v>
      </c>
      <c r="GV27" t="e">
        <f>AND('SPR BARRANQUILLA'!AL29,"AAAAABatX8s=")</f>
        <v>#VALUE!</v>
      </c>
      <c r="GW27" t="e">
        <f>AND('SPR BARRANQUILLA'!AM29,"AAAAABatX8w=")</f>
        <v>#VALUE!</v>
      </c>
      <c r="GX27" t="e">
        <f>AND('SPR BARRANQUILLA'!AN29,"AAAAABatX80=")</f>
        <v>#VALUE!</v>
      </c>
      <c r="GY27" t="e">
        <f>AND('SPR BARRANQUILLA'!AO29,"AAAAABatX84=")</f>
        <v>#VALUE!</v>
      </c>
      <c r="GZ27" t="e">
        <f>AND('SPR BARRANQUILLA'!AP29,"AAAAABatX88=")</f>
        <v>#VALUE!</v>
      </c>
      <c r="HA27" t="e">
        <f>AND('SPR BARRANQUILLA'!AQ29,"AAAAABatX9A=")</f>
        <v>#VALUE!</v>
      </c>
      <c r="HB27" t="e">
        <f>AND('SPR BARRANQUILLA'!AR29,"AAAAABatX9E=")</f>
        <v>#VALUE!</v>
      </c>
      <c r="HC27" t="e">
        <f>AND('SPR BARRANQUILLA'!AS29,"AAAAABatX9I=")</f>
        <v>#VALUE!</v>
      </c>
      <c r="HD27" t="e">
        <f>AND('SPR BARRANQUILLA'!AT29,"AAAAABatX9M=")</f>
        <v>#VALUE!</v>
      </c>
      <c r="HE27" t="e">
        <f>AND('SPR BARRANQUILLA'!AU29,"AAAAABatX9Q=")</f>
        <v>#VALUE!</v>
      </c>
      <c r="HF27" t="e">
        <f>AND('SPR BARRANQUILLA'!AV29,"AAAAABatX9U=")</f>
        <v>#VALUE!</v>
      </c>
      <c r="HG27" t="e">
        <f>AND('SPR BARRANQUILLA'!AW29,"AAAAABatX9Y=")</f>
        <v>#VALUE!</v>
      </c>
      <c r="HH27" t="e">
        <f>AND('SPR BARRANQUILLA'!AX29,"AAAAABatX9c=")</f>
        <v>#VALUE!</v>
      </c>
      <c r="HI27" t="e">
        <f>AND('SPR BARRANQUILLA'!AY29,"AAAAABatX9g=")</f>
        <v>#VALUE!</v>
      </c>
      <c r="HJ27" t="e">
        <f>AND('SPR BARRANQUILLA'!AZ29,"AAAAABatX9k=")</f>
        <v>#VALUE!</v>
      </c>
      <c r="HK27" t="e">
        <f>AND('SPR BARRANQUILLA'!BA29,"AAAAABatX9o=")</f>
        <v>#VALUE!</v>
      </c>
      <c r="HL27" t="e">
        <f>AND('SPR BARRANQUILLA'!BB29,"AAAAABatX9s=")</f>
        <v>#VALUE!</v>
      </c>
      <c r="HM27" t="e">
        <f>AND('SPR BARRANQUILLA'!BC29,"AAAAABatX9w=")</f>
        <v>#VALUE!</v>
      </c>
      <c r="HN27" t="e">
        <f>AND('SPR BARRANQUILLA'!BD29,"AAAAABatX90=")</f>
        <v>#VALUE!</v>
      </c>
      <c r="HO27" t="e">
        <f>AND('SPR BARRANQUILLA'!BE29,"AAAAABatX94=")</f>
        <v>#VALUE!</v>
      </c>
      <c r="HP27" t="e">
        <f>AND('SPR BARRANQUILLA'!BF29,"AAAAABatX98=")</f>
        <v>#VALUE!</v>
      </c>
      <c r="HQ27" t="e">
        <f>AND('SPR BARRANQUILLA'!BG29,"AAAAABatX+A=")</f>
        <v>#VALUE!</v>
      </c>
      <c r="HR27" t="e">
        <f>AND('SPR BARRANQUILLA'!BH29,"AAAAABatX+E=")</f>
        <v>#VALUE!</v>
      </c>
      <c r="HS27" t="e">
        <f>AND('SPR BARRANQUILLA'!BI29,"AAAAABatX+I=")</f>
        <v>#VALUE!</v>
      </c>
      <c r="HT27" t="e">
        <f>AND('SPR BARRANQUILLA'!BJ29,"AAAAABatX+M=")</f>
        <v>#VALUE!</v>
      </c>
      <c r="HU27" t="e">
        <f>AND('SPR BARRANQUILLA'!BK29,"AAAAABatX+Q=")</f>
        <v>#VALUE!</v>
      </c>
      <c r="HV27" t="e">
        <f>AND('SPR BARRANQUILLA'!BL29,"AAAAABatX+U=")</f>
        <v>#VALUE!</v>
      </c>
      <c r="HW27" t="e">
        <f>AND('SPR BARRANQUILLA'!BM29,"AAAAABatX+Y=")</f>
        <v>#VALUE!</v>
      </c>
      <c r="HX27" t="e">
        <f>AND('SPR BARRANQUILLA'!BN29,"AAAAABatX+c=")</f>
        <v>#VALUE!</v>
      </c>
      <c r="HY27" t="e">
        <f>AND('SPR BARRANQUILLA'!BO29,"AAAAABatX+g=")</f>
        <v>#VALUE!</v>
      </c>
      <c r="HZ27" t="e">
        <f>AND('SPR BARRANQUILLA'!BP29,"AAAAABatX+k=")</f>
        <v>#VALUE!</v>
      </c>
      <c r="IA27" t="e">
        <f>AND('SPR BARRANQUILLA'!BQ29,"AAAAABatX+o=")</f>
        <v>#VALUE!</v>
      </c>
      <c r="IB27" t="e">
        <f>AND('SPR BARRANQUILLA'!BR29,"AAAAABatX+s=")</f>
        <v>#VALUE!</v>
      </c>
      <c r="IC27" t="e">
        <f>AND('SPR BARRANQUILLA'!BS29,"AAAAABatX+w=")</f>
        <v>#VALUE!</v>
      </c>
      <c r="ID27" t="e">
        <f>AND('SPR BARRANQUILLA'!BT29,"AAAAABatX+0=")</f>
        <v>#VALUE!</v>
      </c>
      <c r="IE27" t="e">
        <f>AND('SPR BARRANQUILLA'!BU29,"AAAAABatX+4=")</f>
        <v>#VALUE!</v>
      </c>
      <c r="IF27" t="e">
        <f>AND('SPR BARRANQUILLA'!BV29,"AAAAABatX+8=")</f>
        <v>#VALUE!</v>
      </c>
      <c r="IG27" t="e">
        <f>AND('SPR BARRANQUILLA'!BW29,"AAAAABatX/A=")</f>
        <v>#VALUE!</v>
      </c>
      <c r="IH27" t="e">
        <f>AND('SPR BARRANQUILLA'!BX29,"AAAAABatX/E=")</f>
        <v>#VALUE!</v>
      </c>
      <c r="II27" t="e">
        <f>AND('SPR BARRANQUILLA'!BY29,"AAAAABatX/I=")</f>
        <v>#VALUE!</v>
      </c>
      <c r="IJ27" t="e">
        <f>AND('SPR BARRANQUILLA'!BZ29,"AAAAABatX/M=")</f>
        <v>#VALUE!</v>
      </c>
      <c r="IK27" t="e">
        <f>AND('SPR BARRANQUILLA'!CA29,"AAAAABatX/Q=")</f>
        <v>#VALUE!</v>
      </c>
      <c r="IL27" t="e">
        <f>AND('SPR BARRANQUILLA'!CB29,"AAAAABatX/U=")</f>
        <v>#VALUE!</v>
      </c>
      <c r="IM27" t="e">
        <f>AND('SPR BARRANQUILLA'!CC29,"AAAAABatX/Y=")</f>
        <v>#VALUE!</v>
      </c>
      <c r="IN27" t="e">
        <f>AND('SPR BARRANQUILLA'!CD29,"AAAAABatX/c=")</f>
        <v>#VALUE!</v>
      </c>
      <c r="IO27" t="e">
        <f>AND('SPR BARRANQUILLA'!CE29,"AAAAABatX/g=")</f>
        <v>#VALUE!</v>
      </c>
      <c r="IP27" t="e">
        <f>AND('SPR BARRANQUILLA'!CF29,"AAAAABatX/k=")</f>
        <v>#VALUE!</v>
      </c>
      <c r="IQ27" t="e">
        <f>AND('SPR BARRANQUILLA'!CG29,"AAAAABatX/o=")</f>
        <v>#VALUE!</v>
      </c>
      <c r="IR27" t="e">
        <f>AND('SPR BARRANQUILLA'!CH29,"AAAAABatX/s=")</f>
        <v>#VALUE!</v>
      </c>
      <c r="IS27" t="e">
        <f>AND('SPR BARRANQUILLA'!CI29,"AAAAABatX/w=")</f>
        <v>#VALUE!</v>
      </c>
      <c r="IT27" t="e">
        <f>AND('SPR BARRANQUILLA'!CJ29,"AAAAABatX/0=")</f>
        <v>#VALUE!</v>
      </c>
      <c r="IU27" t="e">
        <f>AND('SPR BARRANQUILLA'!CK29,"AAAAABatX/4=")</f>
        <v>#VALUE!</v>
      </c>
      <c r="IV27" t="e">
        <f>AND('SPR BARRANQUILLA'!CL29,"AAAAABatX/8=")</f>
        <v>#VALUE!</v>
      </c>
    </row>
    <row r="28" spans="1:256">
      <c r="A28" t="e">
        <f>AND('SPR BARRANQUILLA'!CM29,"AAAAAH/fXwA=")</f>
        <v>#VALUE!</v>
      </c>
      <c r="B28" t="e">
        <f>AND('SPR BARRANQUILLA'!CN29,"AAAAAH/fXwE=")</f>
        <v>#VALUE!</v>
      </c>
      <c r="C28" t="e">
        <f>AND('SPR BARRANQUILLA'!CO29,"AAAAAH/fXwI=")</f>
        <v>#VALUE!</v>
      </c>
      <c r="D28" t="e">
        <f>AND('SPR BARRANQUILLA'!CP29,"AAAAAH/fXwM=")</f>
        <v>#VALUE!</v>
      </c>
      <c r="E28" t="e">
        <f>AND('SPR BARRANQUILLA'!CQ29,"AAAAAH/fXwQ=")</f>
        <v>#VALUE!</v>
      </c>
      <c r="F28" t="e">
        <f>AND('SPR BARRANQUILLA'!CR29,"AAAAAH/fXwU=")</f>
        <v>#VALUE!</v>
      </c>
      <c r="G28" t="e">
        <f>AND('SPR BARRANQUILLA'!CS29,"AAAAAH/fXwY=")</f>
        <v>#VALUE!</v>
      </c>
      <c r="H28" t="e">
        <f>AND('SPR BARRANQUILLA'!CT29,"AAAAAH/fXwc=")</f>
        <v>#VALUE!</v>
      </c>
      <c r="I28" t="e">
        <f>AND('SPR BARRANQUILLA'!CU29,"AAAAAH/fXwg=")</f>
        <v>#VALUE!</v>
      </c>
      <c r="J28" t="e">
        <f>AND('SPR BARRANQUILLA'!CV29,"AAAAAH/fXwk=")</f>
        <v>#VALUE!</v>
      </c>
      <c r="K28" t="e">
        <f>AND('SPR BARRANQUILLA'!CW29,"AAAAAH/fXwo=")</f>
        <v>#VALUE!</v>
      </c>
      <c r="L28" t="e">
        <f>AND('SPR BARRANQUILLA'!CX29,"AAAAAH/fXws=")</f>
        <v>#VALUE!</v>
      </c>
      <c r="M28" t="e">
        <f>AND('SPR BARRANQUILLA'!CY29,"AAAAAH/fXww=")</f>
        <v>#VALUE!</v>
      </c>
      <c r="N28" t="e">
        <f>AND('SPR BARRANQUILLA'!CZ29,"AAAAAH/fXw0=")</f>
        <v>#VALUE!</v>
      </c>
      <c r="O28" t="e">
        <f>AND('SPR BARRANQUILLA'!DA29,"AAAAAH/fXw4=")</f>
        <v>#VALUE!</v>
      </c>
      <c r="P28" t="e">
        <f>AND('SPR BARRANQUILLA'!DB29,"AAAAAH/fXw8=")</f>
        <v>#VALUE!</v>
      </c>
      <c r="Q28" t="e">
        <f>AND('SPR BARRANQUILLA'!DC29,"AAAAAH/fXxA=")</f>
        <v>#VALUE!</v>
      </c>
      <c r="R28" t="e">
        <f>AND('SPR BARRANQUILLA'!DD29,"AAAAAH/fXxE=")</f>
        <v>#VALUE!</v>
      </c>
      <c r="S28" t="e">
        <f>AND('SPR BARRANQUILLA'!DE29,"AAAAAH/fXxI=")</f>
        <v>#VALUE!</v>
      </c>
      <c r="T28" t="e">
        <f>AND('SPR BARRANQUILLA'!DF29,"AAAAAH/fXxM=")</f>
        <v>#VALUE!</v>
      </c>
      <c r="U28" t="e">
        <f>AND('SPR BARRANQUILLA'!DG29,"AAAAAH/fXxQ=")</f>
        <v>#VALUE!</v>
      </c>
      <c r="V28" t="e">
        <f>AND('SPR BARRANQUILLA'!DH29,"AAAAAH/fXxU=")</f>
        <v>#VALUE!</v>
      </c>
      <c r="W28" t="e">
        <f>AND('SPR BARRANQUILLA'!DI29,"AAAAAH/fXxY=")</f>
        <v>#VALUE!</v>
      </c>
      <c r="X28" t="e">
        <f>AND('SPR BARRANQUILLA'!DJ29,"AAAAAH/fXxc=")</f>
        <v>#VALUE!</v>
      </c>
      <c r="Y28" t="e">
        <f>AND('SPR BARRANQUILLA'!DK29,"AAAAAH/fXxg=")</f>
        <v>#VALUE!</v>
      </c>
      <c r="Z28" t="e">
        <f>AND('SPR BARRANQUILLA'!DL29,"AAAAAH/fXxk=")</f>
        <v>#VALUE!</v>
      </c>
      <c r="AA28" t="e">
        <f>AND('SPR BARRANQUILLA'!DM29,"AAAAAH/fXxo=")</f>
        <v>#VALUE!</v>
      </c>
      <c r="AB28" t="e">
        <f>AND('SPR BARRANQUILLA'!DN29,"AAAAAH/fXxs=")</f>
        <v>#VALUE!</v>
      </c>
      <c r="AC28" t="e">
        <f>AND('SPR BARRANQUILLA'!DO29,"AAAAAH/fXxw=")</f>
        <v>#VALUE!</v>
      </c>
      <c r="AD28" t="e">
        <f>AND('SPR BARRANQUILLA'!DP29,"AAAAAH/fXx0=")</f>
        <v>#VALUE!</v>
      </c>
      <c r="AE28" t="e">
        <f>AND('SPR BARRANQUILLA'!DQ29,"AAAAAH/fXx4=")</f>
        <v>#VALUE!</v>
      </c>
      <c r="AF28" t="e">
        <f>AND('SPR BARRANQUILLA'!DR29,"AAAAAH/fXx8=")</f>
        <v>#VALUE!</v>
      </c>
      <c r="AG28" t="e">
        <f>AND('SPR BARRANQUILLA'!DS29,"AAAAAH/fXyA=")</f>
        <v>#VALUE!</v>
      </c>
      <c r="AH28" t="e">
        <f>AND('SPR BARRANQUILLA'!DT29,"AAAAAH/fXyE=")</f>
        <v>#VALUE!</v>
      </c>
      <c r="AI28" t="e">
        <f>AND('SPR BARRANQUILLA'!DU29,"AAAAAH/fXyI=")</f>
        <v>#VALUE!</v>
      </c>
      <c r="AJ28" t="e">
        <f>AND('SPR BARRANQUILLA'!DV29,"AAAAAH/fXyM=")</f>
        <v>#VALUE!</v>
      </c>
      <c r="AK28" t="e">
        <f>AND('SPR BARRANQUILLA'!DW29,"AAAAAH/fXyQ=")</f>
        <v>#VALUE!</v>
      </c>
      <c r="AL28" t="e">
        <f>AND('SPR BARRANQUILLA'!DX29,"AAAAAH/fXyU=")</f>
        <v>#VALUE!</v>
      </c>
      <c r="AM28" t="e">
        <f>AND('SPR BARRANQUILLA'!DY29,"AAAAAH/fXyY=")</f>
        <v>#VALUE!</v>
      </c>
      <c r="AN28" t="e">
        <f>AND('SPR BARRANQUILLA'!DZ29,"AAAAAH/fXyc=")</f>
        <v>#VALUE!</v>
      </c>
      <c r="AO28" t="e">
        <f>AND('SPR BARRANQUILLA'!EA29,"AAAAAH/fXyg=")</f>
        <v>#VALUE!</v>
      </c>
      <c r="AP28" t="e">
        <f>AND('SPR BARRANQUILLA'!EB29,"AAAAAH/fXyk=")</f>
        <v>#VALUE!</v>
      </c>
      <c r="AQ28" t="e">
        <f>AND('SPR BARRANQUILLA'!EC29,"AAAAAH/fXyo=")</f>
        <v>#VALUE!</v>
      </c>
      <c r="AR28" t="e">
        <f>AND('SPR BARRANQUILLA'!ED29,"AAAAAH/fXys=")</f>
        <v>#VALUE!</v>
      </c>
      <c r="AS28" t="e">
        <f>AND('SPR BARRANQUILLA'!EE29,"AAAAAH/fXyw=")</f>
        <v>#VALUE!</v>
      </c>
      <c r="AT28" t="e">
        <f>AND('SPR BARRANQUILLA'!EF29,"AAAAAH/fXy0=")</f>
        <v>#VALUE!</v>
      </c>
      <c r="AU28" t="e">
        <f>AND('SPR BARRANQUILLA'!EG29,"AAAAAH/fXy4=")</f>
        <v>#VALUE!</v>
      </c>
      <c r="AV28" t="e">
        <f>AND('SPR BARRANQUILLA'!EH29,"AAAAAH/fXy8=")</f>
        <v>#VALUE!</v>
      </c>
      <c r="AW28" t="e">
        <f>AND('SPR BARRANQUILLA'!EI29,"AAAAAH/fXzA=")</f>
        <v>#VALUE!</v>
      </c>
      <c r="AX28" t="e">
        <f>AND('SPR BARRANQUILLA'!EJ29,"AAAAAH/fXzE=")</f>
        <v>#VALUE!</v>
      </c>
      <c r="AY28" t="e">
        <f>AND('SPR BARRANQUILLA'!EK29,"AAAAAH/fXzI=")</f>
        <v>#VALUE!</v>
      </c>
      <c r="AZ28" t="e">
        <f>AND('SPR BARRANQUILLA'!EL29,"AAAAAH/fXzM=")</f>
        <v>#VALUE!</v>
      </c>
      <c r="BA28" t="e">
        <f>AND('SPR BARRANQUILLA'!EM29,"AAAAAH/fXzQ=")</f>
        <v>#VALUE!</v>
      </c>
      <c r="BB28" t="e">
        <f>AND('SPR BARRANQUILLA'!EN29,"AAAAAH/fXzU=")</f>
        <v>#VALUE!</v>
      </c>
      <c r="BC28" t="e">
        <f>AND('SPR BARRANQUILLA'!EO29,"AAAAAH/fXzY=")</f>
        <v>#VALUE!</v>
      </c>
      <c r="BD28" t="e">
        <f>AND('SPR BARRANQUILLA'!EP29,"AAAAAH/fXzc=")</f>
        <v>#VALUE!</v>
      </c>
      <c r="BE28" t="e">
        <f>AND('SPR BARRANQUILLA'!EQ29,"AAAAAH/fXzg=")</f>
        <v>#VALUE!</v>
      </c>
      <c r="BF28" t="e">
        <f>AND('SPR BARRANQUILLA'!ER29,"AAAAAH/fXzk=")</f>
        <v>#VALUE!</v>
      </c>
      <c r="BG28" t="e">
        <f>AND('SPR BARRANQUILLA'!ES29,"AAAAAH/fXzo=")</f>
        <v>#VALUE!</v>
      </c>
      <c r="BH28" t="e">
        <f>AND('SPR BARRANQUILLA'!ET29,"AAAAAH/fXzs=")</f>
        <v>#VALUE!</v>
      </c>
      <c r="BI28" t="e">
        <f>AND('SPR BARRANQUILLA'!EU29,"AAAAAH/fXzw=")</f>
        <v>#VALUE!</v>
      </c>
      <c r="BJ28" t="e">
        <f>AND('SPR BARRANQUILLA'!EV29,"AAAAAH/fXz0=")</f>
        <v>#VALUE!</v>
      </c>
      <c r="BK28" t="e">
        <f>AND('SPR BARRANQUILLA'!EW29,"AAAAAH/fXz4=")</f>
        <v>#VALUE!</v>
      </c>
      <c r="BL28" t="e">
        <f>AND('SPR BARRANQUILLA'!EX29,"AAAAAH/fXz8=")</f>
        <v>#VALUE!</v>
      </c>
      <c r="BM28" t="e">
        <f>AND('SPR BARRANQUILLA'!EY29,"AAAAAH/fX0A=")</f>
        <v>#VALUE!</v>
      </c>
      <c r="BN28" t="e">
        <f>AND('SPR BARRANQUILLA'!EZ29,"AAAAAH/fX0E=")</f>
        <v>#VALUE!</v>
      </c>
      <c r="BO28" t="e">
        <f>AND('SPR BARRANQUILLA'!FA29,"AAAAAH/fX0I=")</f>
        <v>#VALUE!</v>
      </c>
      <c r="BP28" t="e">
        <f>AND('SPR BARRANQUILLA'!FB29,"AAAAAH/fX0M=")</f>
        <v>#VALUE!</v>
      </c>
      <c r="BQ28" t="e">
        <f>AND('SPR BARRANQUILLA'!FC29,"AAAAAH/fX0Q=")</f>
        <v>#VALUE!</v>
      </c>
      <c r="BR28" t="e">
        <f>AND('SPR BARRANQUILLA'!FD29,"AAAAAH/fX0U=")</f>
        <v>#VALUE!</v>
      </c>
      <c r="BS28" t="e">
        <f>AND('SPR BARRANQUILLA'!FE29,"AAAAAH/fX0Y=")</f>
        <v>#VALUE!</v>
      </c>
      <c r="BT28" t="e">
        <f>AND('SPR BARRANQUILLA'!FF29,"AAAAAH/fX0c=")</f>
        <v>#VALUE!</v>
      </c>
      <c r="BU28" t="e">
        <f>AND('SPR BARRANQUILLA'!FG29,"AAAAAH/fX0g=")</f>
        <v>#VALUE!</v>
      </c>
      <c r="BV28" t="e">
        <f>AND('SPR BARRANQUILLA'!FH29,"AAAAAH/fX0k=")</f>
        <v>#VALUE!</v>
      </c>
      <c r="BW28" t="e">
        <f>AND('SPR BARRANQUILLA'!FI29,"AAAAAH/fX0o=")</f>
        <v>#VALUE!</v>
      </c>
      <c r="BX28" t="e">
        <f>AND('SPR BARRANQUILLA'!FJ29,"AAAAAH/fX0s=")</f>
        <v>#VALUE!</v>
      </c>
      <c r="BY28" t="e">
        <f>AND('SPR BARRANQUILLA'!FK29,"AAAAAH/fX0w=")</f>
        <v>#VALUE!</v>
      </c>
      <c r="BZ28" t="e">
        <f>AND('SPR BARRANQUILLA'!FL29,"AAAAAH/fX00=")</f>
        <v>#VALUE!</v>
      </c>
      <c r="CA28" t="e">
        <f>AND('SPR BARRANQUILLA'!FM29,"AAAAAH/fX04=")</f>
        <v>#VALUE!</v>
      </c>
      <c r="CB28" t="e">
        <f>AND('SPR BARRANQUILLA'!FN29,"AAAAAH/fX08=")</f>
        <v>#VALUE!</v>
      </c>
      <c r="CC28" t="e">
        <f>AND('SPR BARRANQUILLA'!FO29,"AAAAAH/fX1A=")</f>
        <v>#VALUE!</v>
      </c>
      <c r="CD28" t="e">
        <f>AND('SPR BARRANQUILLA'!FP29,"AAAAAH/fX1E=")</f>
        <v>#VALUE!</v>
      </c>
      <c r="CE28" t="e">
        <f>AND('SPR BARRANQUILLA'!FQ29,"AAAAAH/fX1I=")</f>
        <v>#VALUE!</v>
      </c>
      <c r="CF28" t="e">
        <f>AND('SPR BARRANQUILLA'!FR29,"AAAAAH/fX1M=")</f>
        <v>#VALUE!</v>
      </c>
      <c r="CG28" t="e">
        <f>AND('SPR BARRANQUILLA'!FS29,"AAAAAH/fX1Q=")</f>
        <v>#VALUE!</v>
      </c>
      <c r="CH28" t="e">
        <f>AND('SPR BARRANQUILLA'!FT29,"AAAAAH/fX1U=")</f>
        <v>#VALUE!</v>
      </c>
      <c r="CI28" t="e">
        <f>AND('SPR BARRANQUILLA'!FU29,"AAAAAH/fX1Y=")</f>
        <v>#VALUE!</v>
      </c>
      <c r="CJ28" t="e">
        <f>AND('SPR BARRANQUILLA'!FV29,"AAAAAH/fX1c=")</f>
        <v>#VALUE!</v>
      </c>
      <c r="CK28" t="e">
        <f>AND('SPR BARRANQUILLA'!FW29,"AAAAAH/fX1g=")</f>
        <v>#VALUE!</v>
      </c>
      <c r="CL28" t="e">
        <f>AND('SPR BARRANQUILLA'!FX29,"AAAAAH/fX1k=")</f>
        <v>#VALUE!</v>
      </c>
      <c r="CM28" t="e">
        <f>AND('SPR BARRANQUILLA'!FY29,"AAAAAH/fX1o=")</f>
        <v>#VALUE!</v>
      </c>
      <c r="CN28" t="e">
        <f>AND('SPR BARRANQUILLA'!FZ29,"AAAAAH/fX1s=")</f>
        <v>#VALUE!</v>
      </c>
      <c r="CO28" t="e">
        <f>AND('SPR BARRANQUILLA'!GA29,"AAAAAH/fX1w=")</f>
        <v>#VALUE!</v>
      </c>
      <c r="CP28" t="e">
        <f>AND('SPR BARRANQUILLA'!GB29,"AAAAAH/fX10=")</f>
        <v>#VALUE!</v>
      </c>
      <c r="CQ28" t="e">
        <f>AND('SPR BARRANQUILLA'!GC29,"AAAAAH/fX14=")</f>
        <v>#VALUE!</v>
      </c>
      <c r="CR28" t="e">
        <f>AND('SPR BARRANQUILLA'!GD29,"AAAAAH/fX18=")</f>
        <v>#VALUE!</v>
      </c>
      <c r="CS28" t="e">
        <f>AND('SPR BARRANQUILLA'!GE29,"AAAAAH/fX2A=")</f>
        <v>#VALUE!</v>
      </c>
      <c r="CT28" t="e">
        <f>AND('SPR BARRANQUILLA'!GF29,"AAAAAH/fX2E=")</f>
        <v>#VALUE!</v>
      </c>
      <c r="CU28" t="e">
        <f>AND('SPR BARRANQUILLA'!GG29,"AAAAAH/fX2I=")</f>
        <v>#VALUE!</v>
      </c>
      <c r="CV28" t="e">
        <f>AND('SPR BARRANQUILLA'!GH29,"AAAAAH/fX2M=")</f>
        <v>#VALUE!</v>
      </c>
      <c r="CW28" t="e">
        <f>AND('SPR BARRANQUILLA'!GI29,"AAAAAH/fX2Q=")</f>
        <v>#VALUE!</v>
      </c>
      <c r="CX28" t="e">
        <f>AND('SPR BARRANQUILLA'!GJ29,"AAAAAH/fX2U=")</f>
        <v>#VALUE!</v>
      </c>
      <c r="CY28" t="e">
        <f>AND('SPR BARRANQUILLA'!GK29,"AAAAAH/fX2Y=")</f>
        <v>#VALUE!</v>
      </c>
      <c r="CZ28" t="e">
        <f>AND('SPR BARRANQUILLA'!GL29,"AAAAAH/fX2c=")</f>
        <v>#VALUE!</v>
      </c>
      <c r="DA28" t="e">
        <f>AND('SPR BARRANQUILLA'!GM29,"AAAAAH/fX2g=")</f>
        <v>#VALUE!</v>
      </c>
      <c r="DB28" t="e">
        <f>AND('SPR BARRANQUILLA'!GN29,"AAAAAH/fX2k=")</f>
        <v>#VALUE!</v>
      </c>
      <c r="DC28" t="e">
        <f>AND('SPR BARRANQUILLA'!GO29,"AAAAAH/fX2o=")</f>
        <v>#VALUE!</v>
      </c>
      <c r="DD28" t="e">
        <f>AND('SPR BARRANQUILLA'!GP29,"AAAAAH/fX2s=")</f>
        <v>#VALUE!</v>
      </c>
      <c r="DE28" t="e">
        <f>AND('SPR BARRANQUILLA'!GQ29,"AAAAAH/fX2w=")</f>
        <v>#VALUE!</v>
      </c>
      <c r="DF28" t="e">
        <f>AND('SPR BARRANQUILLA'!GR29,"AAAAAH/fX20=")</f>
        <v>#VALUE!</v>
      </c>
      <c r="DG28" t="e">
        <f>AND('SPR BARRANQUILLA'!GS29,"AAAAAH/fX24=")</f>
        <v>#VALUE!</v>
      </c>
      <c r="DH28" t="e">
        <f>AND('SPR BARRANQUILLA'!GT29,"AAAAAH/fX28=")</f>
        <v>#VALUE!</v>
      </c>
      <c r="DI28" t="e">
        <f>AND('SPR BARRANQUILLA'!GU29,"AAAAAH/fX3A=")</f>
        <v>#VALUE!</v>
      </c>
      <c r="DJ28" t="e">
        <f>AND('SPR BARRANQUILLA'!GV29,"AAAAAH/fX3E=")</f>
        <v>#VALUE!</v>
      </c>
      <c r="DK28" t="e">
        <f>AND('SPR BARRANQUILLA'!GW29,"AAAAAH/fX3I=")</f>
        <v>#VALUE!</v>
      </c>
      <c r="DL28" t="e">
        <f>AND('SPR BARRANQUILLA'!GX29,"AAAAAH/fX3M=")</f>
        <v>#VALUE!</v>
      </c>
      <c r="DM28" t="e">
        <f>AND('SPR BARRANQUILLA'!GY29,"AAAAAH/fX3Q=")</f>
        <v>#VALUE!</v>
      </c>
      <c r="DN28">
        <f>IF('SPR BARRANQUILLA'!30:30,"AAAAAH/fX3U=",0)</f>
        <v>0</v>
      </c>
      <c r="DO28" t="e">
        <f>AND('SPR BARRANQUILLA'!A30,"AAAAAH/fX3Y=")</f>
        <v>#VALUE!</v>
      </c>
      <c r="DP28" t="e">
        <f>AND('SPR BARRANQUILLA'!B30,"AAAAAH/fX3c=")</f>
        <v>#VALUE!</v>
      </c>
      <c r="DQ28" t="e">
        <f>AND('SPR BARRANQUILLA'!C30,"AAAAAH/fX3g=")</f>
        <v>#VALUE!</v>
      </c>
      <c r="DR28" t="e">
        <f>AND('SPR BARRANQUILLA'!D30,"AAAAAH/fX3k=")</f>
        <v>#VALUE!</v>
      </c>
      <c r="DS28" t="e">
        <f>AND('SPR BARRANQUILLA'!E30,"AAAAAH/fX3o=")</f>
        <v>#VALUE!</v>
      </c>
      <c r="DT28" t="e">
        <f>AND('SPR BARRANQUILLA'!F30,"AAAAAH/fX3s=")</f>
        <v>#VALUE!</v>
      </c>
      <c r="DU28" t="e">
        <f>AND('SPR BARRANQUILLA'!G30,"AAAAAH/fX3w=")</f>
        <v>#VALUE!</v>
      </c>
      <c r="DV28" t="e">
        <f>AND('SPR BARRANQUILLA'!H30,"AAAAAH/fX30=")</f>
        <v>#VALUE!</v>
      </c>
      <c r="DW28" t="e">
        <f>AND('SPR BARRANQUILLA'!I30,"AAAAAH/fX34=")</f>
        <v>#VALUE!</v>
      </c>
      <c r="DX28" t="e">
        <f>AND('SPR BARRANQUILLA'!J30,"AAAAAH/fX38=")</f>
        <v>#VALUE!</v>
      </c>
      <c r="DY28" t="e">
        <f>AND('SPR BARRANQUILLA'!K30,"AAAAAH/fX4A=")</f>
        <v>#VALUE!</v>
      </c>
      <c r="DZ28" t="e">
        <f>AND('SPR BARRANQUILLA'!L30,"AAAAAH/fX4E=")</f>
        <v>#VALUE!</v>
      </c>
      <c r="EA28" t="e">
        <f>AND('SPR BARRANQUILLA'!M30,"AAAAAH/fX4I=")</f>
        <v>#VALUE!</v>
      </c>
      <c r="EB28" t="e">
        <f>AND('SPR BARRANQUILLA'!N30,"AAAAAH/fX4M=")</f>
        <v>#VALUE!</v>
      </c>
      <c r="EC28" t="e">
        <f>AND('SPR BARRANQUILLA'!O30,"AAAAAH/fX4Q=")</f>
        <v>#VALUE!</v>
      </c>
      <c r="ED28" t="e">
        <f>AND('SPR BARRANQUILLA'!P30,"AAAAAH/fX4U=")</f>
        <v>#VALUE!</v>
      </c>
      <c r="EE28" t="e">
        <f>AND('SPR BARRANQUILLA'!Q30,"AAAAAH/fX4Y=")</f>
        <v>#VALUE!</v>
      </c>
      <c r="EF28" t="e">
        <f>AND('SPR BARRANQUILLA'!R30,"AAAAAH/fX4c=")</f>
        <v>#VALUE!</v>
      </c>
      <c r="EG28" t="e">
        <f>AND('SPR BARRANQUILLA'!S30,"AAAAAH/fX4g=")</f>
        <v>#VALUE!</v>
      </c>
      <c r="EH28" t="e">
        <f>AND('SPR BARRANQUILLA'!T30,"AAAAAH/fX4k=")</f>
        <v>#VALUE!</v>
      </c>
      <c r="EI28" t="e">
        <f>AND('SPR BARRANQUILLA'!U30,"AAAAAH/fX4o=")</f>
        <v>#VALUE!</v>
      </c>
      <c r="EJ28" t="e">
        <f>AND('SPR BARRANQUILLA'!V30,"AAAAAH/fX4s=")</f>
        <v>#VALUE!</v>
      </c>
      <c r="EK28" t="e">
        <f>AND('SPR BARRANQUILLA'!W30,"AAAAAH/fX4w=")</f>
        <v>#VALUE!</v>
      </c>
      <c r="EL28" t="e">
        <f>AND('SPR BARRANQUILLA'!X30,"AAAAAH/fX40=")</f>
        <v>#VALUE!</v>
      </c>
      <c r="EM28" t="e">
        <f>AND('SPR BARRANQUILLA'!Y30,"AAAAAH/fX44=")</f>
        <v>#VALUE!</v>
      </c>
      <c r="EN28" t="e">
        <f>AND('SPR BARRANQUILLA'!Z30,"AAAAAH/fX48=")</f>
        <v>#VALUE!</v>
      </c>
      <c r="EO28" t="e">
        <f>AND('SPR BARRANQUILLA'!AA30,"AAAAAH/fX5A=")</f>
        <v>#VALUE!</v>
      </c>
      <c r="EP28" t="e">
        <f>AND('SPR BARRANQUILLA'!AB30,"AAAAAH/fX5E=")</f>
        <v>#VALUE!</v>
      </c>
      <c r="EQ28" t="e">
        <f>AND('SPR BARRANQUILLA'!AC30,"AAAAAH/fX5I=")</f>
        <v>#VALUE!</v>
      </c>
      <c r="ER28" t="e">
        <f>AND('SPR BARRANQUILLA'!AD30,"AAAAAH/fX5M=")</f>
        <v>#VALUE!</v>
      </c>
      <c r="ES28" t="e">
        <f>AND('SPR BARRANQUILLA'!AE30,"AAAAAH/fX5Q=")</f>
        <v>#VALUE!</v>
      </c>
      <c r="ET28" t="e">
        <f>AND('SPR BARRANQUILLA'!AF30,"AAAAAH/fX5U=")</f>
        <v>#VALUE!</v>
      </c>
      <c r="EU28" t="e">
        <f>AND('SPR BARRANQUILLA'!AG30,"AAAAAH/fX5Y=")</f>
        <v>#VALUE!</v>
      </c>
      <c r="EV28" t="e">
        <f>AND('SPR BARRANQUILLA'!AH30,"AAAAAH/fX5c=")</f>
        <v>#VALUE!</v>
      </c>
      <c r="EW28" t="e">
        <f>AND('SPR BARRANQUILLA'!AI30,"AAAAAH/fX5g=")</f>
        <v>#VALUE!</v>
      </c>
      <c r="EX28" t="e">
        <f>AND('SPR BARRANQUILLA'!AJ30,"AAAAAH/fX5k=")</f>
        <v>#VALUE!</v>
      </c>
      <c r="EY28" t="e">
        <f>AND('SPR BARRANQUILLA'!AK30,"AAAAAH/fX5o=")</f>
        <v>#VALUE!</v>
      </c>
      <c r="EZ28" t="e">
        <f>AND('SPR BARRANQUILLA'!AL30,"AAAAAH/fX5s=")</f>
        <v>#VALUE!</v>
      </c>
      <c r="FA28" t="e">
        <f>AND('SPR BARRANQUILLA'!AM30,"AAAAAH/fX5w=")</f>
        <v>#VALUE!</v>
      </c>
      <c r="FB28" t="e">
        <f>AND('SPR BARRANQUILLA'!AN30,"AAAAAH/fX50=")</f>
        <v>#VALUE!</v>
      </c>
      <c r="FC28" t="e">
        <f>AND('SPR BARRANQUILLA'!AO30,"AAAAAH/fX54=")</f>
        <v>#VALUE!</v>
      </c>
      <c r="FD28" t="e">
        <f>AND('SPR BARRANQUILLA'!AP30,"AAAAAH/fX58=")</f>
        <v>#VALUE!</v>
      </c>
      <c r="FE28" t="e">
        <f>AND('SPR BARRANQUILLA'!AQ30,"AAAAAH/fX6A=")</f>
        <v>#VALUE!</v>
      </c>
      <c r="FF28" t="e">
        <f>AND('SPR BARRANQUILLA'!AR30,"AAAAAH/fX6E=")</f>
        <v>#VALUE!</v>
      </c>
      <c r="FG28" t="e">
        <f>AND('SPR BARRANQUILLA'!AS30,"AAAAAH/fX6I=")</f>
        <v>#VALUE!</v>
      </c>
      <c r="FH28" t="e">
        <f>AND('SPR BARRANQUILLA'!AT30,"AAAAAH/fX6M=")</f>
        <v>#VALUE!</v>
      </c>
      <c r="FI28" t="e">
        <f>AND('SPR BARRANQUILLA'!AU30,"AAAAAH/fX6Q=")</f>
        <v>#VALUE!</v>
      </c>
      <c r="FJ28" t="e">
        <f>AND('SPR BARRANQUILLA'!AV30,"AAAAAH/fX6U=")</f>
        <v>#VALUE!</v>
      </c>
      <c r="FK28" t="e">
        <f>AND('SPR BARRANQUILLA'!AW30,"AAAAAH/fX6Y=")</f>
        <v>#VALUE!</v>
      </c>
      <c r="FL28" t="e">
        <f>AND('SPR BARRANQUILLA'!AX30,"AAAAAH/fX6c=")</f>
        <v>#VALUE!</v>
      </c>
      <c r="FM28" t="e">
        <f>AND('SPR BARRANQUILLA'!AY30,"AAAAAH/fX6g=")</f>
        <v>#VALUE!</v>
      </c>
      <c r="FN28" t="e">
        <f>AND('SPR BARRANQUILLA'!AZ30,"AAAAAH/fX6k=")</f>
        <v>#VALUE!</v>
      </c>
      <c r="FO28" t="e">
        <f>AND('SPR BARRANQUILLA'!BA30,"AAAAAH/fX6o=")</f>
        <v>#VALUE!</v>
      </c>
      <c r="FP28" t="e">
        <f>AND('SPR BARRANQUILLA'!BB30,"AAAAAH/fX6s=")</f>
        <v>#VALUE!</v>
      </c>
      <c r="FQ28" t="e">
        <f>AND('SPR BARRANQUILLA'!BC30,"AAAAAH/fX6w=")</f>
        <v>#VALUE!</v>
      </c>
      <c r="FR28" t="e">
        <f>AND('SPR BARRANQUILLA'!BD30,"AAAAAH/fX60=")</f>
        <v>#VALUE!</v>
      </c>
      <c r="FS28" t="e">
        <f>AND('SPR BARRANQUILLA'!BE30,"AAAAAH/fX64=")</f>
        <v>#VALUE!</v>
      </c>
      <c r="FT28" t="e">
        <f>AND('SPR BARRANQUILLA'!BF30,"AAAAAH/fX68=")</f>
        <v>#VALUE!</v>
      </c>
      <c r="FU28" t="e">
        <f>AND('SPR BARRANQUILLA'!BG30,"AAAAAH/fX7A=")</f>
        <v>#VALUE!</v>
      </c>
      <c r="FV28" t="e">
        <f>AND('SPR BARRANQUILLA'!BH30,"AAAAAH/fX7E=")</f>
        <v>#VALUE!</v>
      </c>
      <c r="FW28" t="e">
        <f>AND('SPR BARRANQUILLA'!BI30,"AAAAAH/fX7I=")</f>
        <v>#VALUE!</v>
      </c>
      <c r="FX28" t="e">
        <f>AND('SPR BARRANQUILLA'!BJ30,"AAAAAH/fX7M=")</f>
        <v>#VALUE!</v>
      </c>
      <c r="FY28" t="e">
        <f>AND('SPR BARRANQUILLA'!BK30,"AAAAAH/fX7Q=")</f>
        <v>#VALUE!</v>
      </c>
      <c r="FZ28" t="e">
        <f>AND('SPR BARRANQUILLA'!BL30,"AAAAAH/fX7U=")</f>
        <v>#VALUE!</v>
      </c>
      <c r="GA28" t="e">
        <f>AND('SPR BARRANQUILLA'!BM30,"AAAAAH/fX7Y=")</f>
        <v>#VALUE!</v>
      </c>
      <c r="GB28" t="e">
        <f>AND('SPR BARRANQUILLA'!BN30,"AAAAAH/fX7c=")</f>
        <v>#VALUE!</v>
      </c>
      <c r="GC28" t="e">
        <f>AND('SPR BARRANQUILLA'!BO30,"AAAAAH/fX7g=")</f>
        <v>#VALUE!</v>
      </c>
      <c r="GD28" t="e">
        <f>AND('SPR BARRANQUILLA'!BP30,"AAAAAH/fX7k=")</f>
        <v>#VALUE!</v>
      </c>
      <c r="GE28" t="e">
        <f>AND('SPR BARRANQUILLA'!BQ30,"AAAAAH/fX7o=")</f>
        <v>#VALUE!</v>
      </c>
      <c r="GF28" t="e">
        <f>AND('SPR BARRANQUILLA'!BR30,"AAAAAH/fX7s=")</f>
        <v>#VALUE!</v>
      </c>
      <c r="GG28" t="e">
        <f>AND('SPR BARRANQUILLA'!BS30,"AAAAAH/fX7w=")</f>
        <v>#VALUE!</v>
      </c>
      <c r="GH28" t="e">
        <f>AND('SPR BARRANQUILLA'!BT30,"AAAAAH/fX70=")</f>
        <v>#VALUE!</v>
      </c>
      <c r="GI28" t="e">
        <f>AND('SPR BARRANQUILLA'!BU30,"AAAAAH/fX74=")</f>
        <v>#VALUE!</v>
      </c>
      <c r="GJ28" t="e">
        <f>AND('SPR BARRANQUILLA'!BV30,"AAAAAH/fX78=")</f>
        <v>#VALUE!</v>
      </c>
      <c r="GK28" t="e">
        <f>AND('SPR BARRANQUILLA'!BW30,"AAAAAH/fX8A=")</f>
        <v>#VALUE!</v>
      </c>
      <c r="GL28" t="e">
        <f>AND('SPR BARRANQUILLA'!BX30,"AAAAAH/fX8E=")</f>
        <v>#VALUE!</v>
      </c>
      <c r="GM28" t="e">
        <f>AND('SPR BARRANQUILLA'!BY30,"AAAAAH/fX8I=")</f>
        <v>#VALUE!</v>
      </c>
      <c r="GN28" t="e">
        <f>AND('SPR BARRANQUILLA'!BZ30,"AAAAAH/fX8M=")</f>
        <v>#VALUE!</v>
      </c>
      <c r="GO28" t="e">
        <f>AND('SPR BARRANQUILLA'!CA30,"AAAAAH/fX8Q=")</f>
        <v>#VALUE!</v>
      </c>
      <c r="GP28" t="e">
        <f>AND('SPR BARRANQUILLA'!CB30,"AAAAAH/fX8U=")</f>
        <v>#VALUE!</v>
      </c>
      <c r="GQ28" t="e">
        <f>AND('SPR BARRANQUILLA'!CC30,"AAAAAH/fX8Y=")</f>
        <v>#VALUE!</v>
      </c>
      <c r="GR28" t="e">
        <f>AND('SPR BARRANQUILLA'!CD30,"AAAAAH/fX8c=")</f>
        <v>#VALUE!</v>
      </c>
      <c r="GS28" t="e">
        <f>AND('SPR BARRANQUILLA'!CE30,"AAAAAH/fX8g=")</f>
        <v>#VALUE!</v>
      </c>
      <c r="GT28" t="e">
        <f>AND('SPR BARRANQUILLA'!CF30,"AAAAAH/fX8k=")</f>
        <v>#VALUE!</v>
      </c>
      <c r="GU28" t="e">
        <f>AND('SPR BARRANQUILLA'!CG30,"AAAAAH/fX8o=")</f>
        <v>#VALUE!</v>
      </c>
      <c r="GV28" t="e">
        <f>AND('SPR BARRANQUILLA'!CH30,"AAAAAH/fX8s=")</f>
        <v>#VALUE!</v>
      </c>
      <c r="GW28" t="e">
        <f>AND('SPR BARRANQUILLA'!CI30,"AAAAAH/fX8w=")</f>
        <v>#VALUE!</v>
      </c>
      <c r="GX28" t="e">
        <f>AND('SPR BARRANQUILLA'!CJ30,"AAAAAH/fX80=")</f>
        <v>#VALUE!</v>
      </c>
      <c r="GY28" t="e">
        <f>AND('SPR BARRANQUILLA'!CK30,"AAAAAH/fX84=")</f>
        <v>#VALUE!</v>
      </c>
      <c r="GZ28" t="e">
        <f>AND('SPR BARRANQUILLA'!CL30,"AAAAAH/fX88=")</f>
        <v>#VALUE!</v>
      </c>
      <c r="HA28" t="e">
        <f>AND('SPR BARRANQUILLA'!CM30,"AAAAAH/fX9A=")</f>
        <v>#VALUE!</v>
      </c>
      <c r="HB28" t="e">
        <f>AND('SPR BARRANQUILLA'!CN30,"AAAAAH/fX9E=")</f>
        <v>#VALUE!</v>
      </c>
      <c r="HC28" t="e">
        <f>AND('SPR BARRANQUILLA'!CO30,"AAAAAH/fX9I=")</f>
        <v>#VALUE!</v>
      </c>
      <c r="HD28" t="e">
        <f>AND('SPR BARRANQUILLA'!CP30,"AAAAAH/fX9M=")</f>
        <v>#VALUE!</v>
      </c>
      <c r="HE28" t="e">
        <f>AND('SPR BARRANQUILLA'!CQ30,"AAAAAH/fX9Q=")</f>
        <v>#VALUE!</v>
      </c>
      <c r="HF28" t="e">
        <f>AND('SPR BARRANQUILLA'!CR30,"AAAAAH/fX9U=")</f>
        <v>#VALUE!</v>
      </c>
      <c r="HG28" t="e">
        <f>AND('SPR BARRANQUILLA'!CS30,"AAAAAH/fX9Y=")</f>
        <v>#VALUE!</v>
      </c>
      <c r="HH28" t="e">
        <f>AND('SPR BARRANQUILLA'!CT30,"AAAAAH/fX9c=")</f>
        <v>#VALUE!</v>
      </c>
      <c r="HI28" t="e">
        <f>AND('SPR BARRANQUILLA'!CU30,"AAAAAH/fX9g=")</f>
        <v>#VALUE!</v>
      </c>
      <c r="HJ28" t="e">
        <f>AND('SPR BARRANQUILLA'!CV30,"AAAAAH/fX9k=")</f>
        <v>#VALUE!</v>
      </c>
      <c r="HK28" t="e">
        <f>AND('SPR BARRANQUILLA'!CW30,"AAAAAH/fX9o=")</f>
        <v>#VALUE!</v>
      </c>
      <c r="HL28" t="e">
        <f>AND('SPR BARRANQUILLA'!CX30,"AAAAAH/fX9s=")</f>
        <v>#VALUE!</v>
      </c>
      <c r="HM28" t="e">
        <f>AND('SPR BARRANQUILLA'!CY30,"AAAAAH/fX9w=")</f>
        <v>#VALUE!</v>
      </c>
      <c r="HN28" t="e">
        <f>AND('SPR BARRANQUILLA'!CZ30,"AAAAAH/fX90=")</f>
        <v>#VALUE!</v>
      </c>
      <c r="HO28" t="e">
        <f>AND('SPR BARRANQUILLA'!DA30,"AAAAAH/fX94=")</f>
        <v>#VALUE!</v>
      </c>
      <c r="HP28" t="e">
        <f>AND('SPR BARRANQUILLA'!DB30,"AAAAAH/fX98=")</f>
        <v>#VALUE!</v>
      </c>
      <c r="HQ28" t="e">
        <f>AND('SPR BARRANQUILLA'!DC30,"AAAAAH/fX+A=")</f>
        <v>#VALUE!</v>
      </c>
      <c r="HR28" t="e">
        <f>AND('SPR BARRANQUILLA'!DD30,"AAAAAH/fX+E=")</f>
        <v>#VALUE!</v>
      </c>
      <c r="HS28" t="e">
        <f>AND('SPR BARRANQUILLA'!DE30,"AAAAAH/fX+I=")</f>
        <v>#VALUE!</v>
      </c>
      <c r="HT28" t="e">
        <f>AND('SPR BARRANQUILLA'!DF30,"AAAAAH/fX+M=")</f>
        <v>#VALUE!</v>
      </c>
      <c r="HU28" t="e">
        <f>AND('SPR BARRANQUILLA'!DG30,"AAAAAH/fX+Q=")</f>
        <v>#VALUE!</v>
      </c>
      <c r="HV28" t="e">
        <f>AND('SPR BARRANQUILLA'!DH30,"AAAAAH/fX+U=")</f>
        <v>#VALUE!</v>
      </c>
      <c r="HW28" t="e">
        <f>AND('SPR BARRANQUILLA'!DI30,"AAAAAH/fX+Y=")</f>
        <v>#VALUE!</v>
      </c>
      <c r="HX28" t="e">
        <f>AND('SPR BARRANQUILLA'!DJ30,"AAAAAH/fX+c=")</f>
        <v>#VALUE!</v>
      </c>
      <c r="HY28" t="e">
        <f>AND('SPR BARRANQUILLA'!DK30,"AAAAAH/fX+g=")</f>
        <v>#VALUE!</v>
      </c>
      <c r="HZ28" t="e">
        <f>AND('SPR BARRANQUILLA'!DL30,"AAAAAH/fX+k=")</f>
        <v>#VALUE!</v>
      </c>
      <c r="IA28" t="e">
        <f>AND('SPR BARRANQUILLA'!DM30,"AAAAAH/fX+o=")</f>
        <v>#VALUE!</v>
      </c>
      <c r="IB28" t="e">
        <f>AND('SPR BARRANQUILLA'!DN30,"AAAAAH/fX+s=")</f>
        <v>#VALUE!</v>
      </c>
      <c r="IC28" t="e">
        <f>AND('SPR BARRANQUILLA'!DO30,"AAAAAH/fX+w=")</f>
        <v>#VALUE!</v>
      </c>
      <c r="ID28" t="e">
        <f>AND('SPR BARRANQUILLA'!DP30,"AAAAAH/fX+0=")</f>
        <v>#VALUE!</v>
      </c>
      <c r="IE28" t="e">
        <f>AND('SPR BARRANQUILLA'!DQ30,"AAAAAH/fX+4=")</f>
        <v>#VALUE!</v>
      </c>
      <c r="IF28" t="e">
        <f>AND('SPR BARRANQUILLA'!DR30,"AAAAAH/fX+8=")</f>
        <v>#VALUE!</v>
      </c>
      <c r="IG28" t="e">
        <f>AND('SPR BARRANQUILLA'!DS30,"AAAAAH/fX/A=")</f>
        <v>#VALUE!</v>
      </c>
      <c r="IH28" t="e">
        <f>AND('SPR BARRANQUILLA'!DT30,"AAAAAH/fX/E=")</f>
        <v>#VALUE!</v>
      </c>
      <c r="II28" t="e">
        <f>AND('SPR BARRANQUILLA'!DU30,"AAAAAH/fX/I=")</f>
        <v>#VALUE!</v>
      </c>
      <c r="IJ28" t="e">
        <f>AND('SPR BARRANQUILLA'!DV30,"AAAAAH/fX/M=")</f>
        <v>#VALUE!</v>
      </c>
      <c r="IK28" t="e">
        <f>AND('SPR BARRANQUILLA'!DW30,"AAAAAH/fX/Q=")</f>
        <v>#VALUE!</v>
      </c>
      <c r="IL28" t="e">
        <f>AND('SPR BARRANQUILLA'!DX30,"AAAAAH/fX/U=")</f>
        <v>#VALUE!</v>
      </c>
      <c r="IM28" t="e">
        <f>AND('SPR BARRANQUILLA'!DY30,"AAAAAH/fX/Y=")</f>
        <v>#VALUE!</v>
      </c>
      <c r="IN28" t="e">
        <f>AND('SPR BARRANQUILLA'!DZ30,"AAAAAH/fX/c=")</f>
        <v>#VALUE!</v>
      </c>
      <c r="IO28" t="e">
        <f>AND('SPR BARRANQUILLA'!EA30,"AAAAAH/fX/g=")</f>
        <v>#VALUE!</v>
      </c>
      <c r="IP28" t="e">
        <f>AND('SPR BARRANQUILLA'!EB30,"AAAAAH/fX/k=")</f>
        <v>#VALUE!</v>
      </c>
      <c r="IQ28" t="e">
        <f>AND('SPR BARRANQUILLA'!EC30,"AAAAAH/fX/o=")</f>
        <v>#VALUE!</v>
      </c>
      <c r="IR28" t="e">
        <f>AND('SPR BARRANQUILLA'!ED30,"AAAAAH/fX/s=")</f>
        <v>#VALUE!</v>
      </c>
      <c r="IS28" t="e">
        <f>AND('SPR BARRANQUILLA'!EE30,"AAAAAH/fX/w=")</f>
        <v>#VALUE!</v>
      </c>
      <c r="IT28" t="e">
        <f>AND('SPR BARRANQUILLA'!EF30,"AAAAAH/fX/0=")</f>
        <v>#VALUE!</v>
      </c>
      <c r="IU28" t="e">
        <f>AND('SPR BARRANQUILLA'!EG30,"AAAAAH/fX/4=")</f>
        <v>#VALUE!</v>
      </c>
      <c r="IV28" t="e">
        <f>AND('SPR BARRANQUILLA'!EH30,"AAAAAH/fX/8=")</f>
        <v>#VALUE!</v>
      </c>
    </row>
    <row r="29" spans="1:256">
      <c r="A29" t="e">
        <f>AND('SPR BARRANQUILLA'!EI30,"AAAAAD/+vwA=")</f>
        <v>#VALUE!</v>
      </c>
      <c r="B29" t="e">
        <f>AND('SPR BARRANQUILLA'!EJ30,"AAAAAD/+vwE=")</f>
        <v>#VALUE!</v>
      </c>
      <c r="C29" t="e">
        <f>AND('SPR BARRANQUILLA'!EK30,"AAAAAD/+vwI=")</f>
        <v>#VALUE!</v>
      </c>
      <c r="D29" t="e">
        <f>AND('SPR BARRANQUILLA'!EL30,"AAAAAD/+vwM=")</f>
        <v>#VALUE!</v>
      </c>
      <c r="E29" t="e">
        <f>AND('SPR BARRANQUILLA'!EM30,"AAAAAD/+vwQ=")</f>
        <v>#VALUE!</v>
      </c>
      <c r="F29" t="e">
        <f>AND('SPR BARRANQUILLA'!EN30,"AAAAAD/+vwU=")</f>
        <v>#VALUE!</v>
      </c>
      <c r="G29" t="e">
        <f>AND('SPR BARRANQUILLA'!EO30,"AAAAAD/+vwY=")</f>
        <v>#VALUE!</v>
      </c>
      <c r="H29" t="e">
        <f>AND('SPR BARRANQUILLA'!EP30,"AAAAAD/+vwc=")</f>
        <v>#VALUE!</v>
      </c>
      <c r="I29" t="e">
        <f>AND('SPR BARRANQUILLA'!EQ30,"AAAAAD/+vwg=")</f>
        <v>#VALUE!</v>
      </c>
      <c r="J29" t="e">
        <f>AND('SPR BARRANQUILLA'!ER30,"AAAAAD/+vwk=")</f>
        <v>#VALUE!</v>
      </c>
      <c r="K29" t="e">
        <f>AND('SPR BARRANQUILLA'!ES30,"AAAAAD/+vwo=")</f>
        <v>#VALUE!</v>
      </c>
      <c r="L29" t="e">
        <f>AND('SPR BARRANQUILLA'!ET30,"AAAAAD/+vws=")</f>
        <v>#VALUE!</v>
      </c>
      <c r="M29" t="e">
        <f>AND('SPR BARRANQUILLA'!EU30,"AAAAAD/+vww=")</f>
        <v>#VALUE!</v>
      </c>
      <c r="N29" t="e">
        <f>AND('SPR BARRANQUILLA'!EV30,"AAAAAD/+vw0=")</f>
        <v>#VALUE!</v>
      </c>
      <c r="O29" t="e">
        <f>AND('SPR BARRANQUILLA'!EW30,"AAAAAD/+vw4=")</f>
        <v>#VALUE!</v>
      </c>
      <c r="P29" t="e">
        <f>AND('SPR BARRANQUILLA'!EX30,"AAAAAD/+vw8=")</f>
        <v>#VALUE!</v>
      </c>
      <c r="Q29" t="e">
        <f>AND('SPR BARRANQUILLA'!EY30,"AAAAAD/+vxA=")</f>
        <v>#VALUE!</v>
      </c>
      <c r="R29" t="e">
        <f>AND('SPR BARRANQUILLA'!EZ30,"AAAAAD/+vxE=")</f>
        <v>#VALUE!</v>
      </c>
      <c r="S29" t="e">
        <f>AND('SPR BARRANQUILLA'!FA30,"AAAAAD/+vxI=")</f>
        <v>#VALUE!</v>
      </c>
      <c r="T29" t="e">
        <f>AND('SPR BARRANQUILLA'!FB30,"AAAAAD/+vxM=")</f>
        <v>#VALUE!</v>
      </c>
      <c r="U29" t="e">
        <f>AND('SPR BARRANQUILLA'!FC30,"AAAAAD/+vxQ=")</f>
        <v>#VALUE!</v>
      </c>
      <c r="V29" t="e">
        <f>AND('SPR BARRANQUILLA'!FD30,"AAAAAD/+vxU=")</f>
        <v>#VALUE!</v>
      </c>
      <c r="W29" t="e">
        <f>AND('SPR BARRANQUILLA'!FE30,"AAAAAD/+vxY=")</f>
        <v>#VALUE!</v>
      </c>
      <c r="X29" t="e">
        <f>AND('SPR BARRANQUILLA'!FF30,"AAAAAD/+vxc=")</f>
        <v>#VALUE!</v>
      </c>
      <c r="Y29" t="e">
        <f>AND('SPR BARRANQUILLA'!FG30,"AAAAAD/+vxg=")</f>
        <v>#VALUE!</v>
      </c>
      <c r="Z29" t="e">
        <f>AND('SPR BARRANQUILLA'!FH30,"AAAAAD/+vxk=")</f>
        <v>#VALUE!</v>
      </c>
      <c r="AA29" t="e">
        <f>AND('SPR BARRANQUILLA'!FI30,"AAAAAD/+vxo=")</f>
        <v>#VALUE!</v>
      </c>
      <c r="AB29" t="e">
        <f>AND('SPR BARRANQUILLA'!FJ30,"AAAAAD/+vxs=")</f>
        <v>#VALUE!</v>
      </c>
      <c r="AC29" t="e">
        <f>AND('SPR BARRANQUILLA'!FK30,"AAAAAD/+vxw=")</f>
        <v>#VALUE!</v>
      </c>
      <c r="AD29" t="e">
        <f>AND('SPR BARRANQUILLA'!FL30,"AAAAAD/+vx0=")</f>
        <v>#VALUE!</v>
      </c>
      <c r="AE29" t="e">
        <f>AND('SPR BARRANQUILLA'!FM30,"AAAAAD/+vx4=")</f>
        <v>#VALUE!</v>
      </c>
      <c r="AF29" t="e">
        <f>AND('SPR BARRANQUILLA'!FN30,"AAAAAD/+vx8=")</f>
        <v>#VALUE!</v>
      </c>
      <c r="AG29" t="e">
        <f>AND('SPR BARRANQUILLA'!FO30,"AAAAAD/+vyA=")</f>
        <v>#VALUE!</v>
      </c>
      <c r="AH29" t="e">
        <f>AND('SPR BARRANQUILLA'!FP30,"AAAAAD/+vyE=")</f>
        <v>#VALUE!</v>
      </c>
      <c r="AI29" t="e">
        <f>AND('SPR BARRANQUILLA'!FQ30,"AAAAAD/+vyI=")</f>
        <v>#VALUE!</v>
      </c>
      <c r="AJ29" t="e">
        <f>AND('SPR BARRANQUILLA'!FR30,"AAAAAD/+vyM=")</f>
        <v>#VALUE!</v>
      </c>
      <c r="AK29" t="e">
        <f>AND('SPR BARRANQUILLA'!FS30,"AAAAAD/+vyQ=")</f>
        <v>#VALUE!</v>
      </c>
      <c r="AL29" t="e">
        <f>AND('SPR BARRANQUILLA'!FT30,"AAAAAD/+vyU=")</f>
        <v>#VALUE!</v>
      </c>
      <c r="AM29" t="e">
        <f>AND('SPR BARRANQUILLA'!FU30,"AAAAAD/+vyY=")</f>
        <v>#VALUE!</v>
      </c>
      <c r="AN29" t="e">
        <f>AND('SPR BARRANQUILLA'!FV30,"AAAAAD/+vyc=")</f>
        <v>#VALUE!</v>
      </c>
      <c r="AO29" t="e">
        <f>AND('SPR BARRANQUILLA'!FW30,"AAAAAD/+vyg=")</f>
        <v>#VALUE!</v>
      </c>
      <c r="AP29" t="e">
        <f>AND('SPR BARRANQUILLA'!FX30,"AAAAAD/+vyk=")</f>
        <v>#VALUE!</v>
      </c>
      <c r="AQ29" t="e">
        <f>AND('SPR BARRANQUILLA'!FY30,"AAAAAD/+vyo=")</f>
        <v>#VALUE!</v>
      </c>
      <c r="AR29" t="e">
        <f>AND('SPR BARRANQUILLA'!FZ30,"AAAAAD/+vys=")</f>
        <v>#VALUE!</v>
      </c>
      <c r="AS29" t="e">
        <f>AND('SPR BARRANQUILLA'!GA30,"AAAAAD/+vyw=")</f>
        <v>#VALUE!</v>
      </c>
      <c r="AT29" t="e">
        <f>AND('SPR BARRANQUILLA'!GB30,"AAAAAD/+vy0=")</f>
        <v>#VALUE!</v>
      </c>
      <c r="AU29" t="e">
        <f>AND('SPR BARRANQUILLA'!GC30,"AAAAAD/+vy4=")</f>
        <v>#VALUE!</v>
      </c>
      <c r="AV29" t="e">
        <f>AND('SPR BARRANQUILLA'!GD30,"AAAAAD/+vy8=")</f>
        <v>#VALUE!</v>
      </c>
      <c r="AW29" t="e">
        <f>AND('SPR BARRANQUILLA'!GE30,"AAAAAD/+vzA=")</f>
        <v>#VALUE!</v>
      </c>
      <c r="AX29" t="e">
        <f>AND('SPR BARRANQUILLA'!GF30,"AAAAAD/+vzE=")</f>
        <v>#VALUE!</v>
      </c>
      <c r="AY29" t="e">
        <f>AND('SPR BARRANQUILLA'!GG30,"AAAAAD/+vzI=")</f>
        <v>#VALUE!</v>
      </c>
      <c r="AZ29" t="e">
        <f>AND('SPR BARRANQUILLA'!GH30,"AAAAAD/+vzM=")</f>
        <v>#VALUE!</v>
      </c>
      <c r="BA29" t="e">
        <f>AND('SPR BARRANQUILLA'!GI30,"AAAAAD/+vzQ=")</f>
        <v>#VALUE!</v>
      </c>
      <c r="BB29" t="e">
        <f>AND('SPR BARRANQUILLA'!GJ30,"AAAAAD/+vzU=")</f>
        <v>#VALUE!</v>
      </c>
      <c r="BC29" t="e">
        <f>AND('SPR BARRANQUILLA'!GK30,"AAAAAD/+vzY=")</f>
        <v>#VALUE!</v>
      </c>
      <c r="BD29" t="e">
        <f>AND('SPR BARRANQUILLA'!GL30,"AAAAAD/+vzc=")</f>
        <v>#VALUE!</v>
      </c>
      <c r="BE29" t="e">
        <f>AND('SPR BARRANQUILLA'!GM30,"AAAAAD/+vzg=")</f>
        <v>#VALUE!</v>
      </c>
      <c r="BF29" t="e">
        <f>AND('SPR BARRANQUILLA'!GN30,"AAAAAD/+vzk=")</f>
        <v>#VALUE!</v>
      </c>
      <c r="BG29" t="e">
        <f>AND('SPR BARRANQUILLA'!GO30,"AAAAAD/+vzo=")</f>
        <v>#VALUE!</v>
      </c>
      <c r="BH29" t="e">
        <f>AND('SPR BARRANQUILLA'!GP30,"AAAAAD/+vzs=")</f>
        <v>#VALUE!</v>
      </c>
      <c r="BI29" t="e">
        <f>AND('SPR BARRANQUILLA'!GQ30,"AAAAAD/+vzw=")</f>
        <v>#VALUE!</v>
      </c>
      <c r="BJ29" t="e">
        <f>AND('SPR BARRANQUILLA'!GR30,"AAAAAD/+vz0=")</f>
        <v>#VALUE!</v>
      </c>
      <c r="BK29" t="e">
        <f>AND('SPR BARRANQUILLA'!GS30,"AAAAAD/+vz4=")</f>
        <v>#VALUE!</v>
      </c>
      <c r="BL29" t="e">
        <f>AND('SPR BARRANQUILLA'!GT30,"AAAAAD/+vz8=")</f>
        <v>#VALUE!</v>
      </c>
      <c r="BM29" t="e">
        <f>AND('SPR BARRANQUILLA'!GU30,"AAAAAD/+v0A=")</f>
        <v>#VALUE!</v>
      </c>
      <c r="BN29" t="e">
        <f>AND('SPR BARRANQUILLA'!GV30,"AAAAAD/+v0E=")</f>
        <v>#VALUE!</v>
      </c>
      <c r="BO29" t="e">
        <f>AND('SPR BARRANQUILLA'!GW30,"AAAAAD/+v0I=")</f>
        <v>#VALUE!</v>
      </c>
      <c r="BP29" t="e">
        <f>AND('SPR BARRANQUILLA'!GX30,"AAAAAD/+v0M=")</f>
        <v>#VALUE!</v>
      </c>
      <c r="BQ29" t="e">
        <f>AND('SPR BARRANQUILLA'!GY30,"AAAAAD/+v0Q=")</f>
        <v>#VALUE!</v>
      </c>
      <c r="BR29">
        <f>IF('SPR BARRANQUILLA'!31:31,"AAAAAD/+v0U=",0)</f>
        <v>0</v>
      </c>
      <c r="BS29" t="e">
        <f>AND('SPR BARRANQUILLA'!A31,"AAAAAD/+v0Y=")</f>
        <v>#VALUE!</v>
      </c>
      <c r="BT29" t="e">
        <f>AND('SPR BARRANQUILLA'!B31,"AAAAAD/+v0c=")</f>
        <v>#VALUE!</v>
      </c>
      <c r="BU29" t="e">
        <f>AND('SPR BARRANQUILLA'!C31,"AAAAAD/+v0g=")</f>
        <v>#VALUE!</v>
      </c>
      <c r="BV29" t="e">
        <f>AND('SPR BARRANQUILLA'!D31,"AAAAAD/+v0k=")</f>
        <v>#VALUE!</v>
      </c>
      <c r="BW29" t="e">
        <f>AND('SPR BARRANQUILLA'!E31,"AAAAAD/+v0o=")</f>
        <v>#VALUE!</v>
      </c>
      <c r="BX29" t="e">
        <f>AND('SPR BARRANQUILLA'!F31,"AAAAAD/+v0s=")</f>
        <v>#VALUE!</v>
      </c>
      <c r="BY29" t="e">
        <f>AND('SPR BARRANQUILLA'!G31,"AAAAAD/+v0w=")</f>
        <v>#VALUE!</v>
      </c>
      <c r="BZ29" t="e">
        <f>AND('SPR BARRANQUILLA'!H31,"AAAAAD/+v00=")</f>
        <v>#VALUE!</v>
      </c>
      <c r="CA29" t="e">
        <f>AND('SPR BARRANQUILLA'!I31,"AAAAAD/+v04=")</f>
        <v>#VALUE!</v>
      </c>
      <c r="CB29" t="e">
        <f>AND('SPR BARRANQUILLA'!J31,"AAAAAD/+v08=")</f>
        <v>#VALUE!</v>
      </c>
      <c r="CC29" t="e">
        <f>AND('SPR BARRANQUILLA'!K31,"AAAAAD/+v1A=")</f>
        <v>#VALUE!</v>
      </c>
      <c r="CD29" t="e">
        <f>AND('SPR BARRANQUILLA'!L31,"AAAAAD/+v1E=")</f>
        <v>#VALUE!</v>
      </c>
      <c r="CE29" t="e">
        <f>AND('SPR BARRANQUILLA'!M31,"AAAAAD/+v1I=")</f>
        <v>#VALUE!</v>
      </c>
      <c r="CF29" t="e">
        <f>AND('SPR BARRANQUILLA'!N31,"AAAAAD/+v1M=")</f>
        <v>#VALUE!</v>
      </c>
      <c r="CG29" t="e">
        <f>AND('SPR BARRANQUILLA'!O31,"AAAAAD/+v1Q=")</f>
        <v>#VALUE!</v>
      </c>
      <c r="CH29" t="e">
        <f>AND('SPR BARRANQUILLA'!P31,"AAAAAD/+v1U=")</f>
        <v>#VALUE!</v>
      </c>
      <c r="CI29" t="e">
        <f>AND('SPR BARRANQUILLA'!Q31,"AAAAAD/+v1Y=")</f>
        <v>#VALUE!</v>
      </c>
      <c r="CJ29" t="e">
        <f>AND('SPR BARRANQUILLA'!R31,"AAAAAD/+v1c=")</f>
        <v>#VALUE!</v>
      </c>
      <c r="CK29" t="e">
        <f>AND('SPR BARRANQUILLA'!S31,"AAAAAD/+v1g=")</f>
        <v>#VALUE!</v>
      </c>
      <c r="CL29" t="e">
        <f>AND('SPR BARRANQUILLA'!T31,"AAAAAD/+v1k=")</f>
        <v>#VALUE!</v>
      </c>
      <c r="CM29" t="e">
        <f>AND('SPR BARRANQUILLA'!U31,"AAAAAD/+v1o=")</f>
        <v>#VALUE!</v>
      </c>
      <c r="CN29" t="e">
        <f>AND('SPR BARRANQUILLA'!V31,"AAAAAD/+v1s=")</f>
        <v>#VALUE!</v>
      </c>
      <c r="CO29" t="e">
        <f>AND('SPR BARRANQUILLA'!W31,"AAAAAD/+v1w=")</f>
        <v>#VALUE!</v>
      </c>
      <c r="CP29" t="e">
        <f>AND('SPR BARRANQUILLA'!X31,"AAAAAD/+v10=")</f>
        <v>#VALUE!</v>
      </c>
      <c r="CQ29" t="e">
        <f>AND('SPR BARRANQUILLA'!Y31,"AAAAAD/+v14=")</f>
        <v>#VALUE!</v>
      </c>
      <c r="CR29" t="e">
        <f>AND('SPR BARRANQUILLA'!Z31,"AAAAAD/+v18=")</f>
        <v>#VALUE!</v>
      </c>
      <c r="CS29" t="e">
        <f>AND('SPR BARRANQUILLA'!AA31,"AAAAAD/+v2A=")</f>
        <v>#VALUE!</v>
      </c>
      <c r="CT29" t="e">
        <f>AND('SPR BARRANQUILLA'!AB31,"AAAAAD/+v2E=")</f>
        <v>#VALUE!</v>
      </c>
      <c r="CU29" t="e">
        <f>AND('SPR BARRANQUILLA'!AC31,"AAAAAD/+v2I=")</f>
        <v>#VALUE!</v>
      </c>
      <c r="CV29" t="e">
        <f>AND('SPR BARRANQUILLA'!AD31,"AAAAAD/+v2M=")</f>
        <v>#VALUE!</v>
      </c>
      <c r="CW29" t="e">
        <f>AND('SPR BARRANQUILLA'!AE31,"AAAAAD/+v2Q=")</f>
        <v>#VALUE!</v>
      </c>
      <c r="CX29" t="e">
        <f>AND('SPR BARRANQUILLA'!AF31,"AAAAAD/+v2U=")</f>
        <v>#VALUE!</v>
      </c>
      <c r="CY29" t="e">
        <f>AND('SPR BARRANQUILLA'!AG31,"AAAAAD/+v2Y=")</f>
        <v>#VALUE!</v>
      </c>
      <c r="CZ29" t="e">
        <f>AND('SPR BARRANQUILLA'!AH31,"AAAAAD/+v2c=")</f>
        <v>#VALUE!</v>
      </c>
      <c r="DA29" t="e">
        <f>AND('SPR BARRANQUILLA'!AI31,"AAAAAD/+v2g=")</f>
        <v>#VALUE!</v>
      </c>
      <c r="DB29" t="e">
        <f>AND('SPR BARRANQUILLA'!AJ31,"AAAAAD/+v2k=")</f>
        <v>#VALUE!</v>
      </c>
      <c r="DC29" t="e">
        <f>AND('SPR BARRANQUILLA'!AK31,"AAAAAD/+v2o=")</f>
        <v>#VALUE!</v>
      </c>
      <c r="DD29" t="e">
        <f>AND('SPR BARRANQUILLA'!AL31,"AAAAAD/+v2s=")</f>
        <v>#VALUE!</v>
      </c>
      <c r="DE29" t="e">
        <f>AND('SPR BARRANQUILLA'!AM31,"AAAAAD/+v2w=")</f>
        <v>#VALUE!</v>
      </c>
      <c r="DF29" t="e">
        <f>AND('SPR BARRANQUILLA'!AN31,"AAAAAD/+v20=")</f>
        <v>#VALUE!</v>
      </c>
      <c r="DG29" t="e">
        <f>AND('SPR BARRANQUILLA'!AO31,"AAAAAD/+v24=")</f>
        <v>#VALUE!</v>
      </c>
      <c r="DH29" t="e">
        <f>AND('SPR BARRANQUILLA'!AP31,"AAAAAD/+v28=")</f>
        <v>#VALUE!</v>
      </c>
      <c r="DI29" t="e">
        <f>AND('SPR BARRANQUILLA'!AQ31,"AAAAAD/+v3A=")</f>
        <v>#VALUE!</v>
      </c>
      <c r="DJ29" t="e">
        <f>AND('SPR BARRANQUILLA'!AR31,"AAAAAD/+v3E=")</f>
        <v>#VALUE!</v>
      </c>
      <c r="DK29" t="e">
        <f>AND('SPR BARRANQUILLA'!AS31,"AAAAAD/+v3I=")</f>
        <v>#VALUE!</v>
      </c>
      <c r="DL29" t="e">
        <f>AND('SPR BARRANQUILLA'!AT31,"AAAAAD/+v3M=")</f>
        <v>#VALUE!</v>
      </c>
      <c r="DM29" t="e">
        <f>AND('SPR BARRANQUILLA'!AU31,"AAAAAD/+v3Q=")</f>
        <v>#VALUE!</v>
      </c>
      <c r="DN29" t="e">
        <f>AND('SPR BARRANQUILLA'!AV31,"AAAAAD/+v3U=")</f>
        <v>#VALUE!</v>
      </c>
      <c r="DO29" t="e">
        <f>AND('SPR BARRANQUILLA'!AW31,"AAAAAD/+v3Y=")</f>
        <v>#VALUE!</v>
      </c>
      <c r="DP29" t="e">
        <f>AND('SPR BARRANQUILLA'!AX31,"AAAAAD/+v3c=")</f>
        <v>#VALUE!</v>
      </c>
      <c r="DQ29" t="e">
        <f>AND('SPR BARRANQUILLA'!AY31,"AAAAAD/+v3g=")</f>
        <v>#VALUE!</v>
      </c>
      <c r="DR29" t="e">
        <f>AND('SPR BARRANQUILLA'!AZ31,"AAAAAD/+v3k=")</f>
        <v>#VALUE!</v>
      </c>
      <c r="DS29" t="e">
        <f>AND('SPR BARRANQUILLA'!BA31,"AAAAAD/+v3o=")</f>
        <v>#VALUE!</v>
      </c>
      <c r="DT29" t="e">
        <f>AND('SPR BARRANQUILLA'!BB31,"AAAAAD/+v3s=")</f>
        <v>#VALUE!</v>
      </c>
      <c r="DU29" t="e">
        <f>AND('SPR BARRANQUILLA'!BC31,"AAAAAD/+v3w=")</f>
        <v>#VALUE!</v>
      </c>
      <c r="DV29" t="e">
        <f>AND('SPR BARRANQUILLA'!BD31,"AAAAAD/+v30=")</f>
        <v>#VALUE!</v>
      </c>
      <c r="DW29" t="e">
        <f>AND('SPR BARRANQUILLA'!BE31,"AAAAAD/+v34=")</f>
        <v>#VALUE!</v>
      </c>
      <c r="DX29" t="e">
        <f>AND('SPR BARRANQUILLA'!BF31,"AAAAAD/+v38=")</f>
        <v>#VALUE!</v>
      </c>
      <c r="DY29" t="e">
        <f>AND('SPR BARRANQUILLA'!BG31,"AAAAAD/+v4A=")</f>
        <v>#VALUE!</v>
      </c>
      <c r="DZ29" t="e">
        <f>AND('SPR BARRANQUILLA'!BH31,"AAAAAD/+v4E=")</f>
        <v>#VALUE!</v>
      </c>
      <c r="EA29" t="e">
        <f>AND('SPR BARRANQUILLA'!BI31,"AAAAAD/+v4I=")</f>
        <v>#VALUE!</v>
      </c>
      <c r="EB29" t="e">
        <f>AND('SPR BARRANQUILLA'!BJ31,"AAAAAD/+v4M=")</f>
        <v>#VALUE!</v>
      </c>
      <c r="EC29" t="e">
        <f>AND('SPR BARRANQUILLA'!BK31,"AAAAAD/+v4Q=")</f>
        <v>#VALUE!</v>
      </c>
      <c r="ED29" t="e">
        <f>AND('SPR BARRANQUILLA'!BL31,"AAAAAD/+v4U=")</f>
        <v>#VALUE!</v>
      </c>
      <c r="EE29" t="e">
        <f>AND('SPR BARRANQUILLA'!BM31,"AAAAAD/+v4Y=")</f>
        <v>#VALUE!</v>
      </c>
      <c r="EF29" t="e">
        <f>AND('SPR BARRANQUILLA'!BN31,"AAAAAD/+v4c=")</f>
        <v>#VALUE!</v>
      </c>
      <c r="EG29" t="e">
        <f>AND('SPR BARRANQUILLA'!BO31,"AAAAAD/+v4g=")</f>
        <v>#VALUE!</v>
      </c>
      <c r="EH29" t="e">
        <f>AND('SPR BARRANQUILLA'!BP31,"AAAAAD/+v4k=")</f>
        <v>#VALUE!</v>
      </c>
      <c r="EI29" t="e">
        <f>AND('SPR BARRANQUILLA'!BQ31,"AAAAAD/+v4o=")</f>
        <v>#VALUE!</v>
      </c>
      <c r="EJ29" t="e">
        <f>AND('SPR BARRANQUILLA'!BR31,"AAAAAD/+v4s=")</f>
        <v>#VALUE!</v>
      </c>
      <c r="EK29" t="e">
        <f>AND('SPR BARRANQUILLA'!BS31,"AAAAAD/+v4w=")</f>
        <v>#VALUE!</v>
      </c>
      <c r="EL29" t="e">
        <f>AND('SPR BARRANQUILLA'!BT31,"AAAAAD/+v40=")</f>
        <v>#VALUE!</v>
      </c>
      <c r="EM29" t="e">
        <f>AND('SPR BARRANQUILLA'!BU31,"AAAAAD/+v44=")</f>
        <v>#VALUE!</v>
      </c>
      <c r="EN29" t="e">
        <f>AND('SPR BARRANQUILLA'!BV31,"AAAAAD/+v48=")</f>
        <v>#VALUE!</v>
      </c>
      <c r="EO29" t="e">
        <f>AND('SPR BARRANQUILLA'!BW31,"AAAAAD/+v5A=")</f>
        <v>#VALUE!</v>
      </c>
      <c r="EP29" t="e">
        <f>AND('SPR BARRANQUILLA'!BX31,"AAAAAD/+v5E=")</f>
        <v>#VALUE!</v>
      </c>
      <c r="EQ29" t="e">
        <f>AND('SPR BARRANQUILLA'!BY31,"AAAAAD/+v5I=")</f>
        <v>#VALUE!</v>
      </c>
      <c r="ER29" t="e">
        <f>AND('SPR BARRANQUILLA'!BZ31,"AAAAAD/+v5M=")</f>
        <v>#VALUE!</v>
      </c>
      <c r="ES29" t="e">
        <f>AND('SPR BARRANQUILLA'!CA31,"AAAAAD/+v5Q=")</f>
        <v>#VALUE!</v>
      </c>
      <c r="ET29" t="e">
        <f>AND('SPR BARRANQUILLA'!CB31,"AAAAAD/+v5U=")</f>
        <v>#VALUE!</v>
      </c>
      <c r="EU29" t="e">
        <f>AND('SPR BARRANQUILLA'!CC31,"AAAAAD/+v5Y=")</f>
        <v>#VALUE!</v>
      </c>
      <c r="EV29" t="e">
        <f>AND('SPR BARRANQUILLA'!CD31,"AAAAAD/+v5c=")</f>
        <v>#VALUE!</v>
      </c>
      <c r="EW29" t="e">
        <f>AND('SPR BARRANQUILLA'!CE31,"AAAAAD/+v5g=")</f>
        <v>#VALUE!</v>
      </c>
      <c r="EX29" t="e">
        <f>AND('SPR BARRANQUILLA'!CF31,"AAAAAD/+v5k=")</f>
        <v>#VALUE!</v>
      </c>
      <c r="EY29" t="e">
        <f>AND('SPR BARRANQUILLA'!CG31,"AAAAAD/+v5o=")</f>
        <v>#VALUE!</v>
      </c>
      <c r="EZ29" t="e">
        <f>AND('SPR BARRANQUILLA'!CH31,"AAAAAD/+v5s=")</f>
        <v>#VALUE!</v>
      </c>
      <c r="FA29" t="e">
        <f>AND('SPR BARRANQUILLA'!CI31,"AAAAAD/+v5w=")</f>
        <v>#VALUE!</v>
      </c>
      <c r="FB29" t="e">
        <f>AND('SPR BARRANQUILLA'!CJ31,"AAAAAD/+v50=")</f>
        <v>#VALUE!</v>
      </c>
      <c r="FC29" t="e">
        <f>AND('SPR BARRANQUILLA'!CK31,"AAAAAD/+v54=")</f>
        <v>#VALUE!</v>
      </c>
      <c r="FD29" t="e">
        <f>AND('SPR BARRANQUILLA'!CL31,"AAAAAD/+v58=")</f>
        <v>#VALUE!</v>
      </c>
      <c r="FE29" t="e">
        <f>AND('SPR BARRANQUILLA'!CM31,"AAAAAD/+v6A=")</f>
        <v>#VALUE!</v>
      </c>
      <c r="FF29" t="e">
        <f>AND('SPR BARRANQUILLA'!CN31,"AAAAAD/+v6E=")</f>
        <v>#VALUE!</v>
      </c>
      <c r="FG29" t="e">
        <f>AND('SPR BARRANQUILLA'!CO31,"AAAAAD/+v6I=")</f>
        <v>#VALUE!</v>
      </c>
      <c r="FH29" t="e">
        <f>AND('SPR BARRANQUILLA'!CP31,"AAAAAD/+v6M=")</f>
        <v>#VALUE!</v>
      </c>
      <c r="FI29" t="e">
        <f>AND('SPR BARRANQUILLA'!CQ31,"AAAAAD/+v6Q=")</f>
        <v>#VALUE!</v>
      </c>
      <c r="FJ29" t="e">
        <f>AND('SPR BARRANQUILLA'!CR31,"AAAAAD/+v6U=")</f>
        <v>#VALUE!</v>
      </c>
      <c r="FK29" t="e">
        <f>AND('SPR BARRANQUILLA'!CS31,"AAAAAD/+v6Y=")</f>
        <v>#VALUE!</v>
      </c>
      <c r="FL29" t="e">
        <f>AND('SPR BARRANQUILLA'!CT31,"AAAAAD/+v6c=")</f>
        <v>#VALUE!</v>
      </c>
      <c r="FM29" t="e">
        <f>AND('SPR BARRANQUILLA'!CU31,"AAAAAD/+v6g=")</f>
        <v>#VALUE!</v>
      </c>
      <c r="FN29" t="e">
        <f>AND('SPR BARRANQUILLA'!CV31,"AAAAAD/+v6k=")</f>
        <v>#VALUE!</v>
      </c>
      <c r="FO29" t="e">
        <f>AND('SPR BARRANQUILLA'!CW31,"AAAAAD/+v6o=")</f>
        <v>#VALUE!</v>
      </c>
      <c r="FP29" t="e">
        <f>AND('SPR BARRANQUILLA'!CX31,"AAAAAD/+v6s=")</f>
        <v>#VALUE!</v>
      </c>
      <c r="FQ29" t="e">
        <f>AND('SPR BARRANQUILLA'!CY31,"AAAAAD/+v6w=")</f>
        <v>#VALUE!</v>
      </c>
      <c r="FR29" t="e">
        <f>AND('SPR BARRANQUILLA'!CZ31,"AAAAAD/+v60=")</f>
        <v>#VALUE!</v>
      </c>
      <c r="FS29" t="e">
        <f>AND('SPR BARRANQUILLA'!DA31,"AAAAAD/+v64=")</f>
        <v>#VALUE!</v>
      </c>
      <c r="FT29" t="e">
        <f>AND('SPR BARRANQUILLA'!DB31,"AAAAAD/+v68=")</f>
        <v>#VALUE!</v>
      </c>
      <c r="FU29" t="e">
        <f>AND('SPR BARRANQUILLA'!DC31,"AAAAAD/+v7A=")</f>
        <v>#VALUE!</v>
      </c>
      <c r="FV29" t="e">
        <f>AND('SPR BARRANQUILLA'!DD31,"AAAAAD/+v7E=")</f>
        <v>#VALUE!</v>
      </c>
      <c r="FW29" t="e">
        <f>AND('SPR BARRANQUILLA'!DE31,"AAAAAD/+v7I=")</f>
        <v>#VALUE!</v>
      </c>
      <c r="FX29" t="e">
        <f>AND('SPR BARRANQUILLA'!DF31,"AAAAAD/+v7M=")</f>
        <v>#VALUE!</v>
      </c>
      <c r="FY29" t="e">
        <f>AND('SPR BARRANQUILLA'!DG31,"AAAAAD/+v7Q=")</f>
        <v>#VALUE!</v>
      </c>
      <c r="FZ29" t="e">
        <f>AND('SPR BARRANQUILLA'!DH31,"AAAAAD/+v7U=")</f>
        <v>#VALUE!</v>
      </c>
      <c r="GA29" t="e">
        <f>AND('SPR BARRANQUILLA'!DI31,"AAAAAD/+v7Y=")</f>
        <v>#VALUE!</v>
      </c>
      <c r="GB29" t="e">
        <f>AND('SPR BARRANQUILLA'!DJ31,"AAAAAD/+v7c=")</f>
        <v>#VALUE!</v>
      </c>
      <c r="GC29" t="e">
        <f>AND('SPR BARRANQUILLA'!DK31,"AAAAAD/+v7g=")</f>
        <v>#VALUE!</v>
      </c>
      <c r="GD29" t="e">
        <f>AND('SPR BARRANQUILLA'!DL31,"AAAAAD/+v7k=")</f>
        <v>#VALUE!</v>
      </c>
      <c r="GE29" t="e">
        <f>AND('SPR BARRANQUILLA'!DM31,"AAAAAD/+v7o=")</f>
        <v>#VALUE!</v>
      </c>
      <c r="GF29" t="e">
        <f>AND('SPR BARRANQUILLA'!DN31,"AAAAAD/+v7s=")</f>
        <v>#VALUE!</v>
      </c>
      <c r="GG29" t="e">
        <f>AND('SPR BARRANQUILLA'!DO31,"AAAAAD/+v7w=")</f>
        <v>#VALUE!</v>
      </c>
      <c r="GH29" t="e">
        <f>AND('SPR BARRANQUILLA'!DP31,"AAAAAD/+v70=")</f>
        <v>#VALUE!</v>
      </c>
      <c r="GI29" t="e">
        <f>AND('SPR BARRANQUILLA'!DQ31,"AAAAAD/+v74=")</f>
        <v>#VALUE!</v>
      </c>
      <c r="GJ29" t="e">
        <f>AND('SPR BARRANQUILLA'!DR31,"AAAAAD/+v78=")</f>
        <v>#VALUE!</v>
      </c>
      <c r="GK29" t="e">
        <f>AND('SPR BARRANQUILLA'!DS31,"AAAAAD/+v8A=")</f>
        <v>#VALUE!</v>
      </c>
      <c r="GL29" t="e">
        <f>AND('SPR BARRANQUILLA'!DT31,"AAAAAD/+v8E=")</f>
        <v>#VALUE!</v>
      </c>
      <c r="GM29" t="e">
        <f>AND('SPR BARRANQUILLA'!DU31,"AAAAAD/+v8I=")</f>
        <v>#VALUE!</v>
      </c>
      <c r="GN29" t="e">
        <f>AND('SPR BARRANQUILLA'!DV31,"AAAAAD/+v8M=")</f>
        <v>#VALUE!</v>
      </c>
      <c r="GO29" t="e">
        <f>AND('SPR BARRANQUILLA'!DW31,"AAAAAD/+v8Q=")</f>
        <v>#VALUE!</v>
      </c>
      <c r="GP29" t="e">
        <f>AND('SPR BARRANQUILLA'!DX31,"AAAAAD/+v8U=")</f>
        <v>#VALUE!</v>
      </c>
      <c r="GQ29" t="e">
        <f>AND('SPR BARRANQUILLA'!DY31,"AAAAAD/+v8Y=")</f>
        <v>#VALUE!</v>
      </c>
      <c r="GR29" t="e">
        <f>AND('SPR BARRANQUILLA'!DZ31,"AAAAAD/+v8c=")</f>
        <v>#VALUE!</v>
      </c>
      <c r="GS29" t="e">
        <f>AND('SPR BARRANQUILLA'!EA31,"AAAAAD/+v8g=")</f>
        <v>#VALUE!</v>
      </c>
      <c r="GT29" t="e">
        <f>AND('SPR BARRANQUILLA'!EB31,"AAAAAD/+v8k=")</f>
        <v>#VALUE!</v>
      </c>
      <c r="GU29" t="e">
        <f>AND('SPR BARRANQUILLA'!EC31,"AAAAAD/+v8o=")</f>
        <v>#VALUE!</v>
      </c>
      <c r="GV29" t="e">
        <f>AND('SPR BARRANQUILLA'!ED31,"AAAAAD/+v8s=")</f>
        <v>#VALUE!</v>
      </c>
      <c r="GW29" t="e">
        <f>AND('SPR BARRANQUILLA'!EE31,"AAAAAD/+v8w=")</f>
        <v>#VALUE!</v>
      </c>
      <c r="GX29" t="e">
        <f>AND('SPR BARRANQUILLA'!EF31,"AAAAAD/+v80=")</f>
        <v>#VALUE!</v>
      </c>
      <c r="GY29" t="e">
        <f>AND('SPR BARRANQUILLA'!EG31,"AAAAAD/+v84=")</f>
        <v>#VALUE!</v>
      </c>
      <c r="GZ29" t="e">
        <f>AND('SPR BARRANQUILLA'!EH31,"AAAAAD/+v88=")</f>
        <v>#VALUE!</v>
      </c>
      <c r="HA29" t="e">
        <f>AND('SPR BARRANQUILLA'!EI31,"AAAAAD/+v9A=")</f>
        <v>#VALUE!</v>
      </c>
      <c r="HB29" t="e">
        <f>AND('SPR BARRANQUILLA'!EJ31,"AAAAAD/+v9E=")</f>
        <v>#VALUE!</v>
      </c>
      <c r="HC29" t="e">
        <f>AND('SPR BARRANQUILLA'!EK31,"AAAAAD/+v9I=")</f>
        <v>#VALUE!</v>
      </c>
      <c r="HD29" t="e">
        <f>AND('SPR BARRANQUILLA'!EL31,"AAAAAD/+v9M=")</f>
        <v>#VALUE!</v>
      </c>
      <c r="HE29" t="e">
        <f>AND('SPR BARRANQUILLA'!EM31,"AAAAAD/+v9Q=")</f>
        <v>#VALUE!</v>
      </c>
      <c r="HF29" t="e">
        <f>AND('SPR BARRANQUILLA'!EN31,"AAAAAD/+v9U=")</f>
        <v>#VALUE!</v>
      </c>
      <c r="HG29" t="e">
        <f>AND('SPR BARRANQUILLA'!EO31,"AAAAAD/+v9Y=")</f>
        <v>#VALUE!</v>
      </c>
      <c r="HH29" t="e">
        <f>AND('SPR BARRANQUILLA'!EP31,"AAAAAD/+v9c=")</f>
        <v>#VALUE!</v>
      </c>
      <c r="HI29" t="e">
        <f>AND('SPR BARRANQUILLA'!EQ31,"AAAAAD/+v9g=")</f>
        <v>#VALUE!</v>
      </c>
      <c r="HJ29" t="e">
        <f>AND('SPR BARRANQUILLA'!ER31,"AAAAAD/+v9k=")</f>
        <v>#VALUE!</v>
      </c>
      <c r="HK29" t="e">
        <f>AND('SPR BARRANQUILLA'!ES31,"AAAAAD/+v9o=")</f>
        <v>#VALUE!</v>
      </c>
      <c r="HL29" t="e">
        <f>AND('SPR BARRANQUILLA'!ET31,"AAAAAD/+v9s=")</f>
        <v>#VALUE!</v>
      </c>
      <c r="HM29" t="e">
        <f>AND('SPR BARRANQUILLA'!EU31,"AAAAAD/+v9w=")</f>
        <v>#VALUE!</v>
      </c>
      <c r="HN29" t="e">
        <f>AND('SPR BARRANQUILLA'!EV31,"AAAAAD/+v90=")</f>
        <v>#VALUE!</v>
      </c>
      <c r="HO29" t="e">
        <f>AND('SPR BARRANQUILLA'!EW31,"AAAAAD/+v94=")</f>
        <v>#VALUE!</v>
      </c>
      <c r="HP29" t="e">
        <f>AND('SPR BARRANQUILLA'!EX31,"AAAAAD/+v98=")</f>
        <v>#VALUE!</v>
      </c>
      <c r="HQ29" t="e">
        <f>AND('SPR BARRANQUILLA'!EY31,"AAAAAD/+v+A=")</f>
        <v>#VALUE!</v>
      </c>
      <c r="HR29" t="e">
        <f>AND('SPR BARRANQUILLA'!EZ31,"AAAAAD/+v+E=")</f>
        <v>#VALUE!</v>
      </c>
      <c r="HS29" t="e">
        <f>AND('SPR BARRANQUILLA'!FA31,"AAAAAD/+v+I=")</f>
        <v>#VALUE!</v>
      </c>
      <c r="HT29" t="e">
        <f>AND('SPR BARRANQUILLA'!FB31,"AAAAAD/+v+M=")</f>
        <v>#VALUE!</v>
      </c>
      <c r="HU29" t="e">
        <f>AND('SPR BARRANQUILLA'!FC31,"AAAAAD/+v+Q=")</f>
        <v>#VALUE!</v>
      </c>
      <c r="HV29" t="e">
        <f>AND('SPR BARRANQUILLA'!FD31,"AAAAAD/+v+U=")</f>
        <v>#VALUE!</v>
      </c>
      <c r="HW29" t="e">
        <f>AND('SPR BARRANQUILLA'!FE31,"AAAAAD/+v+Y=")</f>
        <v>#VALUE!</v>
      </c>
      <c r="HX29" t="e">
        <f>AND('SPR BARRANQUILLA'!FF31,"AAAAAD/+v+c=")</f>
        <v>#VALUE!</v>
      </c>
      <c r="HY29" t="e">
        <f>AND('SPR BARRANQUILLA'!FG31,"AAAAAD/+v+g=")</f>
        <v>#VALUE!</v>
      </c>
      <c r="HZ29" t="e">
        <f>AND('SPR BARRANQUILLA'!FH31,"AAAAAD/+v+k=")</f>
        <v>#VALUE!</v>
      </c>
      <c r="IA29" t="e">
        <f>AND('SPR BARRANQUILLA'!FI31,"AAAAAD/+v+o=")</f>
        <v>#VALUE!</v>
      </c>
      <c r="IB29" t="e">
        <f>AND('SPR BARRANQUILLA'!FJ31,"AAAAAD/+v+s=")</f>
        <v>#VALUE!</v>
      </c>
      <c r="IC29" t="e">
        <f>AND('SPR BARRANQUILLA'!FK31,"AAAAAD/+v+w=")</f>
        <v>#VALUE!</v>
      </c>
      <c r="ID29" t="e">
        <f>AND('SPR BARRANQUILLA'!FL31,"AAAAAD/+v+0=")</f>
        <v>#VALUE!</v>
      </c>
      <c r="IE29" t="e">
        <f>AND('SPR BARRANQUILLA'!FM31,"AAAAAD/+v+4=")</f>
        <v>#VALUE!</v>
      </c>
      <c r="IF29" t="e">
        <f>AND('SPR BARRANQUILLA'!FN31,"AAAAAD/+v+8=")</f>
        <v>#VALUE!</v>
      </c>
      <c r="IG29" t="e">
        <f>AND('SPR BARRANQUILLA'!FO31,"AAAAAD/+v/A=")</f>
        <v>#VALUE!</v>
      </c>
      <c r="IH29" t="e">
        <f>AND('SPR BARRANQUILLA'!FP31,"AAAAAD/+v/E=")</f>
        <v>#VALUE!</v>
      </c>
      <c r="II29" t="e">
        <f>AND('SPR BARRANQUILLA'!FQ31,"AAAAAD/+v/I=")</f>
        <v>#VALUE!</v>
      </c>
      <c r="IJ29" t="e">
        <f>AND('SPR BARRANQUILLA'!FR31,"AAAAAD/+v/M=")</f>
        <v>#VALUE!</v>
      </c>
      <c r="IK29" t="e">
        <f>AND('SPR BARRANQUILLA'!FS31,"AAAAAD/+v/Q=")</f>
        <v>#VALUE!</v>
      </c>
      <c r="IL29" t="e">
        <f>AND('SPR BARRANQUILLA'!FT31,"AAAAAD/+v/U=")</f>
        <v>#VALUE!</v>
      </c>
      <c r="IM29" t="e">
        <f>AND('SPR BARRANQUILLA'!FU31,"AAAAAD/+v/Y=")</f>
        <v>#VALUE!</v>
      </c>
      <c r="IN29" t="e">
        <f>AND('SPR BARRANQUILLA'!FV31,"AAAAAD/+v/c=")</f>
        <v>#VALUE!</v>
      </c>
      <c r="IO29" t="e">
        <f>AND('SPR BARRANQUILLA'!FW31,"AAAAAD/+v/g=")</f>
        <v>#VALUE!</v>
      </c>
      <c r="IP29" t="e">
        <f>AND('SPR BARRANQUILLA'!FX31,"AAAAAD/+v/k=")</f>
        <v>#VALUE!</v>
      </c>
      <c r="IQ29" t="e">
        <f>AND('SPR BARRANQUILLA'!FY31,"AAAAAD/+v/o=")</f>
        <v>#VALUE!</v>
      </c>
      <c r="IR29" t="e">
        <f>AND('SPR BARRANQUILLA'!FZ31,"AAAAAD/+v/s=")</f>
        <v>#VALUE!</v>
      </c>
      <c r="IS29" t="e">
        <f>AND('SPR BARRANQUILLA'!GA31,"AAAAAD/+v/w=")</f>
        <v>#VALUE!</v>
      </c>
      <c r="IT29" t="e">
        <f>AND('SPR BARRANQUILLA'!GB31,"AAAAAD/+v/0=")</f>
        <v>#VALUE!</v>
      </c>
      <c r="IU29" t="e">
        <f>AND('SPR BARRANQUILLA'!GC31,"AAAAAD/+v/4=")</f>
        <v>#VALUE!</v>
      </c>
      <c r="IV29" t="e">
        <f>AND('SPR BARRANQUILLA'!GD31,"AAAAAD/+v/8=")</f>
        <v>#VALUE!</v>
      </c>
    </row>
    <row r="30" spans="1:256">
      <c r="A30" t="e">
        <f>AND('SPR BARRANQUILLA'!GE31,"AAAAAH/3fwA=")</f>
        <v>#VALUE!</v>
      </c>
      <c r="B30" t="e">
        <f>AND('SPR BARRANQUILLA'!GF31,"AAAAAH/3fwE=")</f>
        <v>#VALUE!</v>
      </c>
      <c r="C30" t="e">
        <f>AND('SPR BARRANQUILLA'!GG31,"AAAAAH/3fwI=")</f>
        <v>#VALUE!</v>
      </c>
      <c r="D30" t="e">
        <f>AND('SPR BARRANQUILLA'!GH31,"AAAAAH/3fwM=")</f>
        <v>#VALUE!</v>
      </c>
      <c r="E30" t="e">
        <f>AND('SPR BARRANQUILLA'!GI31,"AAAAAH/3fwQ=")</f>
        <v>#VALUE!</v>
      </c>
      <c r="F30" t="e">
        <f>AND('SPR BARRANQUILLA'!GJ31,"AAAAAH/3fwU=")</f>
        <v>#VALUE!</v>
      </c>
      <c r="G30" t="e">
        <f>AND('SPR BARRANQUILLA'!GK31,"AAAAAH/3fwY=")</f>
        <v>#VALUE!</v>
      </c>
      <c r="H30" t="e">
        <f>AND('SPR BARRANQUILLA'!GL31,"AAAAAH/3fwc=")</f>
        <v>#VALUE!</v>
      </c>
      <c r="I30" t="e">
        <f>AND('SPR BARRANQUILLA'!GM31,"AAAAAH/3fwg=")</f>
        <v>#VALUE!</v>
      </c>
      <c r="J30" t="e">
        <f>AND('SPR BARRANQUILLA'!GN31,"AAAAAH/3fwk=")</f>
        <v>#VALUE!</v>
      </c>
      <c r="K30" t="e">
        <f>AND('SPR BARRANQUILLA'!GO31,"AAAAAH/3fwo=")</f>
        <v>#VALUE!</v>
      </c>
      <c r="L30" t="e">
        <f>AND('SPR BARRANQUILLA'!GP31,"AAAAAH/3fws=")</f>
        <v>#VALUE!</v>
      </c>
      <c r="M30" t="e">
        <f>AND('SPR BARRANQUILLA'!GQ31,"AAAAAH/3fww=")</f>
        <v>#VALUE!</v>
      </c>
      <c r="N30" t="e">
        <f>AND('SPR BARRANQUILLA'!GR31,"AAAAAH/3fw0=")</f>
        <v>#VALUE!</v>
      </c>
      <c r="O30" t="e">
        <f>AND('SPR BARRANQUILLA'!GS31,"AAAAAH/3fw4=")</f>
        <v>#VALUE!</v>
      </c>
      <c r="P30" t="e">
        <f>AND('SPR BARRANQUILLA'!GT31,"AAAAAH/3fw8=")</f>
        <v>#VALUE!</v>
      </c>
      <c r="Q30" t="e">
        <f>AND('SPR BARRANQUILLA'!GU31,"AAAAAH/3fxA=")</f>
        <v>#VALUE!</v>
      </c>
      <c r="R30" t="e">
        <f>AND('SPR BARRANQUILLA'!GV31,"AAAAAH/3fxE=")</f>
        <v>#VALUE!</v>
      </c>
      <c r="S30" t="e">
        <f>AND('SPR BARRANQUILLA'!GW31,"AAAAAH/3fxI=")</f>
        <v>#VALUE!</v>
      </c>
      <c r="T30" t="e">
        <f>AND('SPR BARRANQUILLA'!GX31,"AAAAAH/3fxM=")</f>
        <v>#VALUE!</v>
      </c>
      <c r="U30" t="e">
        <f>AND('SPR BARRANQUILLA'!GY31,"AAAAAH/3fxQ=")</f>
        <v>#VALUE!</v>
      </c>
      <c r="V30">
        <f>IF('SPR BARRANQUILLA'!32:32,"AAAAAH/3fxU=",0)</f>
        <v>0</v>
      </c>
      <c r="W30" t="e">
        <f>AND('SPR BARRANQUILLA'!A32,"AAAAAH/3fxY=")</f>
        <v>#VALUE!</v>
      </c>
      <c r="X30" t="e">
        <f>AND('SPR BARRANQUILLA'!B32,"AAAAAH/3fxc=")</f>
        <v>#VALUE!</v>
      </c>
      <c r="Y30" t="e">
        <f>AND('SPR BARRANQUILLA'!C32,"AAAAAH/3fxg=")</f>
        <v>#VALUE!</v>
      </c>
      <c r="Z30" t="e">
        <f>AND('SPR BARRANQUILLA'!D32,"AAAAAH/3fxk=")</f>
        <v>#VALUE!</v>
      </c>
      <c r="AA30" t="e">
        <f>AND('SPR BARRANQUILLA'!E32,"AAAAAH/3fxo=")</f>
        <v>#VALUE!</v>
      </c>
      <c r="AB30" t="e">
        <f>AND('SPR BARRANQUILLA'!F32,"AAAAAH/3fxs=")</f>
        <v>#VALUE!</v>
      </c>
      <c r="AC30" t="e">
        <f>AND('SPR BARRANQUILLA'!G32,"AAAAAH/3fxw=")</f>
        <v>#VALUE!</v>
      </c>
      <c r="AD30" t="e">
        <f>AND('SPR BARRANQUILLA'!H32,"AAAAAH/3fx0=")</f>
        <v>#VALUE!</v>
      </c>
      <c r="AE30" t="e">
        <f>AND('SPR BARRANQUILLA'!I32,"AAAAAH/3fx4=")</f>
        <v>#VALUE!</v>
      </c>
      <c r="AF30" t="e">
        <f>AND('SPR BARRANQUILLA'!J32,"AAAAAH/3fx8=")</f>
        <v>#VALUE!</v>
      </c>
      <c r="AG30" t="e">
        <f>AND('SPR BARRANQUILLA'!K32,"AAAAAH/3fyA=")</f>
        <v>#VALUE!</v>
      </c>
      <c r="AH30" t="e">
        <f>AND('SPR BARRANQUILLA'!L32,"AAAAAH/3fyE=")</f>
        <v>#VALUE!</v>
      </c>
      <c r="AI30" t="e">
        <f>AND('SPR BARRANQUILLA'!M32,"AAAAAH/3fyI=")</f>
        <v>#VALUE!</v>
      </c>
      <c r="AJ30" t="e">
        <f>AND('SPR BARRANQUILLA'!N32,"AAAAAH/3fyM=")</f>
        <v>#VALUE!</v>
      </c>
      <c r="AK30" t="e">
        <f>AND('SPR BARRANQUILLA'!O32,"AAAAAH/3fyQ=")</f>
        <v>#VALUE!</v>
      </c>
      <c r="AL30" t="e">
        <f>AND('SPR BARRANQUILLA'!P32,"AAAAAH/3fyU=")</f>
        <v>#VALUE!</v>
      </c>
      <c r="AM30" t="e">
        <f>AND('SPR BARRANQUILLA'!Q32,"AAAAAH/3fyY=")</f>
        <v>#VALUE!</v>
      </c>
      <c r="AN30" t="e">
        <f>AND('SPR BARRANQUILLA'!R32,"AAAAAH/3fyc=")</f>
        <v>#VALUE!</v>
      </c>
      <c r="AO30" t="e">
        <f>AND('SPR BARRANQUILLA'!S32,"AAAAAH/3fyg=")</f>
        <v>#VALUE!</v>
      </c>
      <c r="AP30" t="e">
        <f>AND('SPR BARRANQUILLA'!T32,"AAAAAH/3fyk=")</f>
        <v>#VALUE!</v>
      </c>
      <c r="AQ30" t="e">
        <f>AND('SPR BARRANQUILLA'!U32,"AAAAAH/3fyo=")</f>
        <v>#VALUE!</v>
      </c>
      <c r="AR30" t="e">
        <f>AND('SPR BARRANQUILLA'!V32,"AAAAAH/3fys=")</f>
        <v>#VALUE!</v>
      </c>
      <c r="AS30" t="e">
        <f>AND('SPR BARRANQUILLA'!W32,"AAAAAH/3fyw=")</f>
        <v>#VALUE!</v>
      </c>
      <c r="AT30" t="e">
        <f>AND('SPR BARRANQUILLA'!X32,"AAAAAH/3fy0=")</f>
        <v>#VALUE!</v>
      </c>
      <c r="AU30" t="e">
        <f>AND('SPR BARRANQUILLA'!Y32,"AAAAAH/3fy4=")</f>
        <v>#VALUE!</v>
      </c>
      <c r="AV30" t="e">
        <f>AND('SPR BARRANQUILLA'!Z32,"AAAAAH/3fy8=")</f>
        <v>#VALUE!</v>
      </c>
      <c r="AW30" t="e">
        <f>AND('SPR BARRANQUILLA'!AA32,"AAAAAH/3fzA=")</f>
        <v>#VALUE!</v>
      </c>
      <c r="AX30" t="e">
        <f>AND('SPR BARRANQUILLA'!AB32,"AAAAAH/3fzE=")</f>
        <v>#VALUE!</v>
      </c>
      <c r="AY30" t="e">
        <f>AND('SPR BARRANQUILLA'!AC32,"AAAAAH/3fzI=")</f>
        <v>#VALUE!</v>
      </c>
      <c r="AZ30" t="e">
        <f>AND('SPR BARRANQUILLA'!AD32,"AAAAAH/3fzM=")</f>
        <v>#VALUE!</v>
      </c>
      <c r="BA30" t="e">
        <f>AND('SPR BARRANQUILLA'!AE32,"AAAAAH/3fzQ=")</f>
        <v>#VALUE!</v>
      </c>
      <c r="BB30" t="e">
        <f>AND('SPR BARRANQUILLA'!AF32,"AAAAAH/3fzU=")</f>
        <v>#VALUE!</v>
      </c>
      <c r="BC30" t="e">
        <f>AND('SPR BARRANQUILLA'!AG32,"AAAAAH/3fzY=")</f>
        <v>#VALUE!</v>
      </c>
      <c r="BD30" t="e">
        <f>AND('SPR BARRANQUILLA'!AH32,"AAAAAH/3fzc=")</f>
        <v>#VALUE!</v>
      </c>
      <c r="BE30" t="e">
        <f>AND('SPR BARRANQUILLA'!AI32,"AAAAAH/3fzg=")</f>
        <v>#VALUE!</v>
      </c>
      <c r="BF30" t="e">
        <f>AND('SPR BARRANQUILLA'!AJ32,"AAAAAH/3fzk=")</f>
        <v>#VALUE!</v>
      </c>
      <c r="BG30" t="e">
        <f>AND('SPR BARRANQUILLA'!AK32,"AAAAAH/3fzo=")</f>
        <v>#VALUE!</v>
      </c>
      <c r="BH30" t="e">
        <f>AND('SPR BARRANQUILLA'!AL32,"AAAAAH/3fzs=")</f>
        <v>#VALUE!</v>
      </c>
      <c r="BI30" t="e">
        <f>AND('SPR BARRANQUILLA'!AM32,"AAAAAH/3fzw=")</f>
        <v>#VALUE!</v>
      </c>
      <c r="BJ30" t="e">
        <f>AND('SPR BARRANQUILLA'!AN32,"AAAAAH/3fz0=")</f>
        <v>#VALUE!</v>
      </c>
      <c r="BK30" t="e">
        <f>AND('SPR BARRANQUILLA'!AO32,"AAAAAH/3fz4=")</f>
        <v>#VALUE!</v>
      </c>
      <c r="BL30" t="e">
        <f>AND('SPR BARRANQUILLA'!AP32,"AAAAAH/3fz8=")</f>
        <v>#VALUE!</v>
      </c>
      <c r="BM30" t="e">
        <f>AND('SPR BARRANQUILLA'!AQ32,"AAAAAH/3f0A=")</f>
        <v>#VALUE!</v>
      </c>
      <c r="BN30" t="e">
        <f>AND('SPR BARRANQUILLA'!AR32,"AAAAAH/3f0E=")</f>
        <v>#VALUE!</v>
      </c>
      <c r="BO30" t="e">
        <f>AND('SPR BARRANQUILLA'!AS32,"AAAAAH/3f0I=")</f>
        <v>#VALUE!</v>
      </c>
      <c r="BP30" t="e">
        <f>AND('SPR BARRANQUILLA'!AT32,"AAAAAH/3f0M=")</f>
        <v>#VALUE!</v>
      </c>
      <c r="BQ30" t="e">
        <f>AND('SPR BARRANQUILLA'!AU32,"AAAAAH/3f0Q=")</f>
        <v>#VALUE!</v>
      </c>
      <c r="BR30" t="e">
        <f>AND('SPR BARRANQUILLA'!AV32,"AAAAAH/3f0U=")</f>
        <v>#VALUE!</v>
      </c>
      <c r="BS30" t="e">
        <f>AND('SPR BARRANQUILLA'!AW32,"AAAAAH/3f0Y=")</f>
        <v>#VALUE!</v>
      </c>
      <c r="BT30" t="e">
        <f>AND('SPR BARRANQUILLA'!AX32,"AAAAAH/3f0c=")</f>
        <v>#VALUE!</v>
      </c>
      <c r="BU30" t="e">
        <f>AND('SPR BARRANQUILLA'!AY32,"AAAAAH/3f0g=")</f>
        <v>#VALUE!</v>
      </c>
      <c r="BV30" t="e">
        <f>AND('SPR BARRANQUILLA'!AZ32,"AAAAAH/3f0k=")</f>
        <v>#VALUE!</v>
      </c>
      <c r="BW30" t="e">
        <f>AND('SPR BARRANQUILLA'!BA32,"AAAAAH/3f0o=")</f>
        <v>#VALUE!</v>
      </c>
      <c r="BX30" t="e">
        <f>AND('SPR BARRANQUILLA'!BB32,"AAAAAH/3f0s=")</f>
        <v>#VALUE!</v>
      </c>
      <c r="BY30" t="e">
        <f>AND('SPR BARRANQUILLA'!BC32,"AAAAAH/3f0w=")</f>
        <v>#VALUE!</v>
      </c>
      <c r="BZ30" t="e">
        <f>AND('SPR BARRANQUILLA'!BD32,"AAAAAH/3f00=")</f>
        <v>#VALUE!</v>
      </c>
      <c r="CA30" t="e">
        <f>AND('SPR BARRANQUILLA'!BE32,"AAAAAH/3f04=")</f>
        <v>#VALUE!</v>
      </c>
      <c r="CB30" t="e">
        <f>AND('SPR BARRANQUILLA'!BF32,"AAAAAH/3f08=")</f>
        <v>#VALUE!</v>
      </c>
      <c r="CC30" t="e">
        <f>AND('SPR BARRANQUILLA'!BG32,"AAAAAH/3f1A=")</f>
        <v>#VALUE!</v>
      </c>
      <c r="CD30" t="e">
        <f>AND('SPR BARRANQUILLA'!BH32,"AAAAAH/3f1E=")</f>
        <v>#VALUE!</v>
      </c>
      <c r="CE30" t="e">
        <f>AND('SPR BARRANQUILLA'!BI32,"AAAAAH/3f1I=")</f>
        <v>#VALUE!</v>
      </c>
      <c r="CF30" t="e">
        <f>AND('SPR BARRANQUILLA'!BJ32,"AAAAAH/3f1M=")</f>
        <v>#VALUE!</v>
      </c>
      <c r="CG30" t="e">
        <f>AND('SPR BARRANQUILLA'!BK32,"AAAAAH/3f1Q=")</f>
        <v>#VALUE!</v>
      </c>
      <c r="CH30" t="e">
        <f>AND('SPR BARRANQUILLA'!BL32,"AAAAAH/3f1U=")</f>
        <v>#VALUE!</v>
      </c>
      <c r="CI30" t="e">
        <f>AND('SPR BARRANQUILLA'!BM32,"AAAAAH/3f1Y=")</f>
        <v>#VALUE!</v>
      </c>
      <c r="CJ30" t="e">
        <f>AND('SPR BARRANQUILLA'!BN32,"AAAAAH/3f1c=")</f>
        <v>#VALUE!</v>
      </c>
      <c r="CK30" t="e">
        <f>AND('SPR BARRANQUILLA'!BO32,"AAAAAH/3f1g=")</f>
        <v>#VALUE!</v>
      </c>
      <c r="CL30" t="e">
        <f>AND('SPR BARRANQUILLA'!BP32,"AAAAAH/3f1k=")</f>
        <v>#VALUE!</v>
      </c>
      <c r="CM30" t="e">
        <f>AND('SPR BARRANQUILLA'!BQ32,"AAAAAH/3f1o=")</f>
        <v>#VALUE!</v>
      </c>
      <c r="CN30" t="e">
        <f>AND('SPR BARRANQUILLA'!BR32,"AAAAAH/3f1s=")</f>
        <v>#VALUE!</v>
      </c>
      <c r="CO30" t="e">
        <f>AND('SPR BARRANQUILLA'!BS32,"AAAAAH/3f1w=")</f>
        <v>#VALUE!</v>
      </c>
      <c r="CP30" t="e">
        <f>AND('SPR BARRANQUILLA'!BT32,"AAAAAH/3f10=")</f>
        <v>#VALUE!</v>
      </c>
      <c r="CQ30" t="e">
        <f>AND('SPR BARRANQUILLA'!BU32,"AAAAAH/3f14=")</f>
        <v>#VALUE!</v>
      </c>
      <c r="CR30" t="e">
        <f>AND('SPR BARRANQUILLA'!BV32,"AAAAAH/3f18=")</f>
        <v>#VALUE!</v>
      </c>
      <c r="CS30" t="e">
        <f>AND('SPR BARRANQUILLA'!BW32,"AAAAAH/3f2A=")</f>
        <v>#VALUE!</v>
      </c>
      <c r="CT30" t="e">
        <f>AND('SPR BARRANQUILLA'!BX32,"AAAAAH/3f2E=")</f>
        <v>#VALUE!</v>
      </c>
      <c r="CU30" t="e">
        <f>AND('SPR BARRANQUILLA'!BY32,"AAAAAH/3f2I=")</f>
        <v>#VALUE!</v>
      </c>
      <c r="CV30" t="e">
        <f>AND('SPR BARRANQUILLA'!BZ32,"AAAAAH/3f2M=")</f>
        <v>#VALUE!</v>
      </c>
      <c r="CW30" t="e">
        <f>AND('SPR BARRANQUILLA'!CA32,"AAAAAH/3f2Q=")</f>
        <v>#VALUE!</v>
      </c>
      <c r="CX30" t="e">
        <f>AND('SPR BARRANQUILLA'!CB32,"AAAAAH/3f2U=")</f>
        <v>#VALUE!</v>
      </c>
      <c r="CY30" t="e">
        <f>AND('SPR BARRANQUILLA'!CC32,"AAAAAH/3f2Y=")</f>
        <v>#VALUE!</v>
      </c>
      <c r="CZ30" t="e">
        <f>AND('SPR BARRANQUILLA'!CD32,"AAAAAH/3f2c=")</f>
        <v>#VALUE!</v>
      </c>
      <c r="DA30" t="e">
        <f>AND('SPR BARRANQUILLA'!CE32,"AAAAAH/3f2g=")</f>
        <v>#VALUE!</v>
      </c>
      <c r="DB30" t="e">
        <f>AND('SPR BARRANQUILLA'!CF32,"AAAAAH/3f2k=")</f>
        <v>#VALUE!</v>
      </c>
      <c r="DC30" t="e">
        <f>AND('SPR BARRANQUILLA'!CG32,"AAAAAH/3f2o=")</f>
        <v>#VALUE!</v>
      </c>
      <c r="DD30" t="e">
        <f>AND('SPR BARRANQUILLA'!CH32,"AAAAAH/3f2s=")</f>
        <v>#VALUE!</v>
      </c>
      <c r="DE30" t="e">
        <f>AND('SPR BARRANQUILLA'!CI32,"AAAAAH/3f2w=")</f>
        <v>#VALUE!</v>
      </c>
      <c r="DF30" t="e">
        <f>AND('SPR BARRANQUILLA'!CJ32,"AAAAAH/3f20=")</f>
        <v>#VALUE!</v>
      </c>
      <c r="DG30" t="e">
        <f>AND('SPR BARRANQUILLA'!CK32,"AAAAAH/3f24=")</f>
        <v>#VALUE!</v>
      </c>
      <c r="DH30" t="e">
        <f>AND('SPR BARRANQUILLA'!CL32,"AAAAAH/3f28=")</f>
        <v>#VALUE!</v>
      </c>
      <c r="DI30" t="e">
        <f>AND('SPR BARRANQUILLA'!CM32,"AAAAAH/3f3A=")</f>
        <v>#VALUE!</v>
      </c>
      <c r="DJ30" t="e">
        <f>AND('SPR BARRANQUILLA'!CN32,"AAAAAH/3f3E=")</f>
        <v>#VALUE!</v>
      </c>
      <c r="DK30" t="e">
        <f>AND('SPR BARRANQUILLA'!CO32,"AAAAAH/3f3I=")</f>
        <v>#VALUE!</v>
      </c>
      <c r="DL30" t="e">
        <f>AND('SPR BARRANQUILLA'!CP32,"AAAAAH/3f3M=")</f>
        <v>#VALUE!</v>
      </c>
      <c r="DM30" t="e">
        <f>AND('SPR BARRANQUILLA'!CQ32,"AAAAAH/3f3Q=")</f>
        <v>#VALUE!</v>
      </c>
      <c r="DN30" t="e">
        <f>AND('SPR BARRANQUILLA'!CR32,"AAAAAH/3f3U=")</f>
        <v>#VALUE!</v>
      </c>
      <c r="DO30" t="e">
        <f>AND('SPR BARRANQUILLA'!CS32,"AAAAAH/3f3Y=")</f>
        <v>#VALUE!</v>
      </c>
      <c r="DP30" t="e">
        <f>AND('SPR BARRANQUILLA'!CT32,"AAAAAH/3f3c=")</f>
        <v>#VALUE!</v>
      </c>
      <c r="DQ30" t="e">
        <f>AND('SPR BARRANQUILLA'!CU32,"AAAAAH/3f3g=")</f>
        <v>#VALUE!</v>
      </c>
      <c r="DR30" t="e">
        <f>AND('SPR BARRANQUILLA'!CV32,"AAAAAH/3f3k=")</f>
        <v>#VALUE!</v>
      </c>
      <c r="DS30" t="e">
        <f>AND('SPR BARRANQUILLA'!CW32,"AAAAAH/3f3o=")</f>
        <v>#VALUE!</v>
      </c>
      <c r="DT30" t="e">
        <f>AND('SPR BARRANQUILLA'!CX32,"AAAAAH/3f3s=")</f>
        <v>#VALUE!</v>
      </c>
      <c r="DU30" t="e">
        <f>AND('SPR BARRANQUILLA'!CY32,"AAAAAH/3f3w=")</f>
        <v>#VALUE!</v>
      </c>
      <c r="DV30" t="e">
        <f>AND('SPR BARRANQUILLA'!CZ32,"AAAAAH/3f30=")</f>
        <v>#VALUE!</v>
      </c>
      <c r="DW30" t="e">
        <f>AND('SPR BARRANQUILLA'!DA32,"AAAAAH/3f34=")</f>
        <v>#VALUE!</v>
      </c>
      <c r="DX30" t="e">
        <f>AND('SPR BARRANQUILLA'!DB32,"AAAAAH/3f38=")</f>
        <v>#VALUE!</v>
      </c>
      <c r="DY30" t="e">
        <f>AND('SPR BARRANQUILLA'!DC32,"AAAAAH/3f4A=")</f>
        <v>#VALUE!</v>
      </c>
      <c r="DZ30" t="e">
        <f>AND('SPR BARRANQUILLA'!DD32,"AAAAAH/3f4E=")</f>
        <v>#VALUE!</v>
      </c>
      <c r="EA30" t="e">
        <f>AND('SPR BARRANQUILLA'!DE32,"AAAAAH/3f4I=")</f>
        <v>#VALUE!</v>
      </c>
      <c r="EB30" t="e">
        <f>AND('SPR BARRANQUILLA'!DF32,"AAAAAH/3f4M=")</f>
        <v>#VALUE!</v>
      </c>
      <c r="EC30" t="e">
        <f>AND('SPR BARRANQUILLA'!DG32,"AAAAAH/3f4Q=")</f>
        <v>#VALUE!</v>
      </c>
      <c r="ED30" t="e">
        <f>AND('SPR BARRANQUILLA'!DH32,"AAAAAH/3f4U=")</f>
        <v>#VALUE!</v>
      </c>
      <c r="EE30" t="e">
        <f>AND('SPR BARRANQUILLA'!DI32,"AAAAAH/3f4Y=")</f>
        <v>#VALUE!</v>
      </c>
      <c r="EF30" t="e">
        <f>AND('SPR BARRANQUILLA'!DJ32,"AAAAAH/3f4c=")</f>
        <v>#VALUE!</v>
      </c>
      <c r="EG30" t="e">
        <f>AND('SPR BARRANQUILLA'!DK32,"AAAAAH/3f4g=")</f>
        <v>#VALUE!</v>
      </c>
      <c r="EH30" t="e">
        <f>AND('SPR BARRANQUILLA'!DL32,"AAAAAH/3f4k=")</f>
        <v>#VALUE!</v>
      </c>
      <c r="EI30" t="e">
        <f>AND('SPR BARRANQUILLA'!DM32,"AAAAAH/3f4o=")</f>
        <v>#VALUE!</v>
      </c>
      <c r="EJ30" t="e">
        <f>AND('SPR BARRANQUILLA'!DN32,"AAAAAH/3f4s=")</f>
        <v>#VALUE!</v>
      </c>
      <c r="EK30" t="e">
        <f>AND('SPR BARRANQUILLA'!DO32,"AAAAAH/3f4w=")</f>
        <v>#VALUE!</v>
      </c>
      <c r="EL30" t="e">
        <f>AND('SPR BARRANQUILLA'!DP32,"AAAAAH/3f40=")</f>
        <v>#VALUE!</v>
      </c>
      <c r="EM30" t="e">
        <f>AND('SPR BARRANQUILLA'!DQ32,"AAAAAH/3f44=")</f>
        <v>#VALUE!</v>
      </c>
      <c r="EN30" t="e">
        <f>AND('SPR BARRANQUILLA'!DR32,"AAAAAH/3f48=")</f>
        <v>#VALUE!</v>
      </c>
      <c r="EO30" t="e">
        <f>AND('SPR BARRANQUILLA'!DS32,"AAAAAH/3f5A=")</f>
        <v>#VALUE!</v>
      </c>
      <c r="EP30" t="e">
        <f>AND('SPR BARRANQUILLA'!DT32,"AAAAAH/3f5E=")</f>
        <v>#VALUE!</v>
      </c>
      <c r="EQ30" t="e">
        <f>AND('SPR BARRANQUILLA'!DU32,"AAAAAH/3f5I=")</f>
        <v>#VALUE!</v>
      </c>
      <c r="ER30" t="e">
        <f>AND('SPR BARRANQUILLA'!DV32,"AAAAAH/3f5M=")</f>
        <v>#VALUE!</v>
      </c>
      <c r="ES30" t="e">
        <f>AND('SPR BARRANQUILLA'!DW32,"AAAAAH/3f5Q=")</f>
        <v>#VALUE!</v>
      </c>
      <c r="ET30" t="e">
        <f>AND('SPR BARRANQUILLA'!DX32,"AAAAAH/3f5U=")</f>
        <v>#VALUE!</v>
      </c>
      <c r="EU30" t="e">
        <f>AND('SPR BARRANQUILLA'!DY32,"AAAAAH/3f5Y=")</f>
        <v>#VALUE!</v>
      </c>
      <c r="EV30" t="e">
        <f>AND('SPR BARRANQUILLA'!DZ32,"AAAAAH/3f5c=")</f>
        <v>#VALUE!</v>
      </c>
      <c r="EW30" t="e">
        <f>AND('SPR BARRANQUILLA'!EA32,"AAAAAH/3f5g=")</f>
        <v>#VALUE!</v>
      </c>
      <c r="EX30" t="e">
        <f>AND('SPR BARRANQUILLA'!EB32,"AAAAAH/3f5k=")</f>
        <v>#VALUE!</v>
      </c>
      <c r="EY30" t="e">
        <f>AND('SPR BARRANQUILLA'!EC32,"AAAAAH/3f5o=")</f>
        <v>#VALUE!</v>
      </c>
      <c r="EZ30" t="e">
        <f>AND('SPR BARRANQUILLA'!ED32,"AAAAAH/3f5s=")</f>
        <v>#VALUE!</v>
      </c>
      <c r="FA30" t="e">
        <f>AND('SPR BARRANQUILLA'!EE32,"AAAAAH/3f5w=")</f>
        <v>#VALUE!</v>
      </c>
      <c r="FB30" t="e">
        <f>AND('SPR BARRANQUILLA'!EF32,"AAAAAH/3f50=")</f>
        <v>#VALUE!</v>
      </c>
      <c r="FC30" t="e">
        <f>AND('SPR BARRANQUILLA'!EG32,"AAAAAH/3f54=")</f>
        <v>#VALUE!</v>
      </c>
      <c r="FD30" t="e">
        <f>AND('SPR BARRANQUILLA'!EH32,"AAAAAH/3f58=")</f>
        <v>#VALUE!</v>
      </c>
      <c r="FE30" t="e">
        <f>AND('SPR BARRANQUILLA'!EI32,"AAAAAH/3f6A=")</f>
        <v>#VALUE!</v>
      </c>
      <c r="FF30" t="e">
        <f>AND('SPR BARRANQUILLA'!EJ32,"AAAAAH/3f6E=")</f>
        <v>#VALUE!</v>
      </c>
      <c r="FG30" t="e">
        <f>AND('SPR BARRANQUILLA'!EK32,"AAAAAH/3f6I=")</f>
        <v>#VALUE!</v>
      </c>
      <c r="FH30" t="e">
        <f>AND('SPR BARRANQUILLA'!EL32,"AAAAAH/3f6M=")</f>
        <v>#VALUE!</v>
      </c>
      <c r="FI30" t="e">
        <f>AND('SPR BARRANQUILLA'!EM32,"AAAAAH/3f6Q=")</f>
        <v>#VALUE!</v>
      </c>
      <c r="FJ30" t="e">
        <f>AND('SPR BARRANQUILLA'!EN32,"AAAAAH/3f6U=")</f>
        <v>#VALUE!</v>
      </c>
      <c r="FK30" t="e">
        <f>AND('SPR BARRANQUILLA'!EO32,"AAAAAH/3f6Y=")</f>
        <v>#VALUE!</v>
      </c>
      <c r="FL30" t="e">
        <f>AND('SPR BARRANQUILLA'!EP32,"AAAAAH/3f6c=")</f>
        <v>#VALUE!</v>
      </c>
      <c r="FM30" t="e">
        <f>AND('SPR BARRANQUILLA'!EQ32,"AAAAAH/3f6g=")</f>
        <v>#VALUE!</v>
      </c>
      <c r="FN30" t="e">
        <f>AND('SPR BARRANQUILLA'!ER32,"AAAAAH/3f6k=")</f>
        <v>#VALUE!</v>
      </c>
      <c r="FO30" t="e">
        <f>AND('SPR BARRANQUILLA'!ES32,"AAAAAH/3f6o=")</f>
        <v>#VALUE!</v>
      </c>
      <c r="FP30" t="e">
        <f>AND('SPR BARRANQUILLA'!ET32,"AAAAAH/3f6s=")</f>
        <v>#VALUE!</v>
      </c>
      <c r="FQ30" t="e">
        <f>AND('SPR BARRANQUILLA'!EU32,"AAAAAH/3f6w=")</f>
        <v>#VALUE!</v>
      </c>
      <c r="FR30" t="e">
        <f>AND('SPR BARRANQUILLA'!EV32,"AAAAAH/3f60=")</f>
        <v>#VALUE!</v>
      </c>
      <c r="FS30" t="e">
        <f>AND('SPR BARRANQUILLA'!EW32,"AAAAAH/3f64=")</f>
        <v>#VALUE!</v>
      </c>
      <c r="FT30" t="e">
        <f>AND('SPR BARRANQUILLA'!EX32,"AAAAAH/3f68=")</f>
        <v>#VALUE!</v>
      </c>
      <c r="FU30" t="e">
        <f>AND('SPR BARRANQUILLA'!EY32,"AAAAAH/3f7A=")</f>
        <v>#VALUE!</v>
      </c>
      <c r="FV30" t="e">
        <f>AND('SPR BARRANQUILLA'!EZ32,"AAAAAH/3f7E=")</f>
        <v>#VALUE!</v>
      </c>
      <c r="FW30" t="e">
        <f>AND('SPR BARRANQUILLA'!FA32,"AAAAAH/3f7I=")</f>
        <v>#VALUE!</v>
      </c>
      <c r="FX30" t="e">
        <f>AND('SPR BARRANQUILLA'!FB32,"AAAAAH/3f7M=")</f>
        <v>#VALUE!</v>
      </c>
      <c r="FY30" t="e">
        <f>AND('SPR BARRANQUILLA'!FC32,"AAAAAH/3f7Q=")</f>
        <v>#VALUE!</v>
      </c>
      <c r="FZ30" t="e">
        <f>AND('SPR BARRANQUILLA'!FD32,"AAAAAH/3f7U=")</f>
        <v>#VALUE!</v>
      </c>
      <c r="GA30" t="e">
        <f>AND('SPR BARRANQUILLA'!FE32,"AAAAAH/3f7Y=")</f>
        <v>#VALUE!</v>
      </c>
      <c r="GB30" t="e">
        <f>AND('SPR BARRANQUILLA'!FF32,"AAAAAH/3f7c=")</f>
        <v>#VALUE!</v>
      </c>
      <c r="GC30" t="e">
        <f>AND('SPR BARRANQUILLA'!FG32,"AAAAAH/3f7g=")</f>
        <v>#VALUE!</v>
      </c>
      <c r="GD30" t="e">
        <f>AND('SPR BARRANQUILLA'!FH32,"AAAAAH/3f7k=")</f>
        <v>#VALUE!</v>
      </c>
      <c r="GE30" t="e">
        <f>AND('SPR BARRANQUILLA'!FI32,"AAAAAH/3f7o=")</f>
        <v>#VALUE!</v>
      </c>
      <c r="GF30" t="e">
        <f>AND('SPR BARRANQUILLA'!FJ32,"AAAAAH/3f7s=")</f>
        <v>#VALUE!</v>
      </c>
      <c r="GG30" t="e">
        <f>AND('SPR BARRANQUILLA'!FK32,"AAAAAH/3f7w=")</f>
        <v>#VALUE!</v>
      </c>
      <c r="GH30" t="e">
        <f>AND('SPR BARRANQUILLA'!FL32,"AAAAAH/3f70=")</f>
        <v>#VALUE!</v>
      </c>
      <c r="GI30" t="e">
        <f>AND('SPR BARRANQUILLA'!FM32,"AAAAAH/3f74=")</f>
        <v>#VALUE!</v>
      </c>
      <c r="GJ30" t="e">
        <f>AND('SPR BARRANQUILLA'!FN32,"AAAAAH/3f78=")</f>
        <v>#VALUE!</v>
      </c>
      <c r="GK30" t="e">
        <f>AND('SPR BARRANQUILLA'!FO32,"AAAAAH/3f8A=")</f>
        <v>#VALUE!</v>
      </c>
      <c r="GL30" t="e">
        <f>AND('SPR BARRANQUILLA'!FP32,"AAAAAH/3f8E=")</f>
        <v>#VALUE!</v>
      </c>
      <c r="GM30" t="e">
        <f>AND('SPR BARRANQUILLA'!FQ32,"AAAAAH/3f8I=")</f>
        <v>#VALUE!</v>
      </c>
      <c r="GN30" t="e">
        <f>AND('SPR BARRANQUILLA'!FR32,"AAAAAH/3f8M=")</f>
        <v>#VALUE!</v>
      </c>
      <c r="GO30" t="e">
        <f>AND('SPR BARRANQUILLA'!FS32,"AAAAAH/3f8Q=")</f>
        <v>#VALUE!</v>
      </c>
      <c r="GP30" t="e">
        <f>AND('SPR BARRANQUILLA'!FT32,"AAAAAH/3f8U=")</f>
        <v>#VALUE!</v>
      </c>
      <c r="GQ30" t="e">
        <f>AND('SPR BARRANQUILLA'!FU32,"AAAAAH/3f8Y=")</f>
        <v>#VALUE!</v>
      </c>
      <c r="GR30" t="e">
        <f>AND('SPR BARRANQUILLA'!FV32,"AAAAAH/3f8c=")</f>
        <v>#VALUE!</v>
      </c>
      <c r="GS30" t="e">
        <f>AND('SPR BARRANQUILLA'!FW32,"AAAAAH/3f8g=")</f>
        <v>#VALUE!</v>
      </c>
      <c r="GT30" t="e">
        <f>AND('SPR BARRANQUILLA'!FX32,"AAAAAH/3f8k=")</f>
        <v>#VALUE!</v>
      </c>
      <c r="GU30" t="e">
        <f>AND('SPR BARRANQUILLA'!FY32,"AAAAAH/3f8o=")</f>
        <v>#VALUE!</v>
      </c>
      <c r="GV30" t="e">
        <f>AND('SPR BARRANQUILLA'!FZ32,"AAAAAH/3f8s=")</f>
        <v>#VALUE!</v>
      </c>
      <c r="GW30" t="e">
        <f>AND('SPR BARRANQUILLA'!GA32,"AAAAAH/3f8w=")</f>
        <v>#VALUE!</v>
      </c>
      <c r="GX30" t="e">
        <f>AND('SPR BARRANQUILLA'!GB32,"AAAAAH/3f80=")</f>
        <v>#VALUE!</v>
      </c>
      <c r="GY30" t="e">
        <f>AND('SPR BARRANQUILLA'!GC32,"AAAAAH/3f84=")</f>
        <v>#VALUE!</v>
      </c>
      <c r="GZ30" t="e">
        <f>AND('SPR BARRANQUILLA'!GD32,"AAAAAH/3f88=")</f>
        <v>#VALUE!</v>
      </c>
      <c r="HA30" t="e">
        <f>AND('SPR BARRANQUILLA'!GE32,"AAAAAH/3f9A=")</f>
        <v>#VALUE!</v>
      </c>
      <c r="HB30" t="e">
        <f>AND('SPR BARRANQUILLA'!GF32,"AAAAAH/3f9E=")</f>
        <v>#VALUE!</v>
      </c>
      <c r="HC30" t="e">
        <f>AND('SPR BARRANQUILLA'!GG32,"AAAAAH/3f9I=")</f>
        <v>#VALUE!</v>
      </c>
      <c r="HD30" t="e">
        <f>AND('SPR BARRANQUILLA'!GH32,"AAAAAH/3f9M=")</f>
        <v>#VALUE!</v>
      </c>
      <c r="HE30" t="e">
        <f>AND('SPR BARRANQUILLA'!GI32,"AAAAAH/3f9Q=")</f>
        <v>#VALUE!</v>
      </c>
      <c r="HF30" t="e">
        <f>AND('SPR BARRANQUILLA'!GJ32,"AAAAAH/3f9U=")</f>
        <v>#VALUE!</v>
      </c>
      <c r="HG30" t="e">
        <f>AND('SPR BARRANQUILLA'!GK32,"AAAAAH/3f9Y=")</f>
        <v>#VALUE!</v>
      </c>
      <c r="HH30" t="e">
        <f>AND('SPR BARRANQUILLA'!GL32,"AAAAAH/3f9c=")</f>
        <v>#VALUE!</v>
      </c>
      <c r="HI30" t="e">
        <f>AND('SPR BARRANQUILLA'!GM32,"AAAAAH/3f9g=")</f>
        <v>#VALUE!</v>
      </c>
      <c r="HJ30" t="e">
        <f>AND('SPR BARRANQUILLA'!GN32,"AAAAAH/3f9k=")</f>
        <v>#VALUE!</v>
      </c>
      <c r="HK30" t="e">
        <f>AND('SPR BARRANQUILLA'!GO32,"AAAAAH/3f9o=")</f>
        <v>#VALUE!</v>
      </c>
      <c r="HL30" t="e">
        <f>AND('SPR BARRANQUILLA'!GP32,"AAAAAH/3f9s=")</f>
        <v>#VALUE!</v>
      </c>
      <c r="HM30" t="e">
        <f>AND('SPR BARRANQUILLA'!GQ32,"AAAAAH/3f9w=")</f>
        <v>#VALUE!</v>
      </c>
      <c r="HN30" t="e">
        <f>AND('SPR BARRANQUILLA'!GR32,"AAAAAH/3f90=")</f>
        <v>#VALUE!</v>
      </c>
      <c r="HO30" t="e">
        <f>AND('SPR BARRANQUILLA'!GS32,"AAAAAH/3f94=")</f>
        <v>#VALUE!</v>
      </c>
      <c r="HP30" t="e">
        <f>AND('SPR BARRANQUILLA'!GT32,"AAAAAH/3f98=")</f>
        <v>#VALUE!</v>
      </c>
      <c r="HQ30" t="e">
        <f>AND('SPR BARRANQUILLA'!GU32,"AAAAAH/3f+A=")</f>
        <v>#VALUE!</v>
      </c>
      <c r="HR30" t="e">
        <f>AND('SPR BARRANQUILLA'!GV32,"AAAAAH/3f+E=")</f>
        <v>#VALUE!</v>
      </c>
      <c r="HS30" t="e">
        <f>AND('SPR BARRANQUILLA'!GW32,"AAAAAH/3f+I=")</f>
        <v>#VALUE!</v>
      </c>
      <c r="HT30" t="e">
        <f>AND('SPR BARRANQUILLA'!GX32,"AAAAAH/3f+M=")</f>
        <v>#VALUE!</v>
      </c>
      <c r="HU30" t="e">
        <f>AND('SPR BARRANQUILLA'!GY32,"AAAAAH/3f+Q=")</f>
        <v>#VALUE!</v>
      </c>
      <c r="HV30">
        <f>IF('SPR BARRANQUILLA'!33:33,"AAAAAH/3f+U=",0)</f>
        <v>0</v>
      </c>
      <c r="HW30" t="e">
        <f>AND('SPR BARRANQUILLA'!A33,"AAAAAH/3f+Y=")</f>
        <v>#VALUE!</v>
      </c>
      <c r="HX30" t="e">
        <f>AND('SPR BARRANQUILLA'!B33,"AAAAAH/3f+c=")</f>
        <v>#VALUE!</v>
      </c>
      <c r="HY30" t="e">
        <f>AND('SPR BARRANQUILLA'!C33,"AAAAAH/3f+g=")</f>
        <v>#VALUE!</v>
      </c>
      <c r="HZ30" t="e">
        <f>AND('SPR BARRANQUILLA'!D33,"AAAAAH/3f+k=")</f>
        <v>#VALUE!</v>
      </c>
      <c r="IA30" t="e">
        <f>AND('SPR BARRANQUILLA'!E33,"AAAAAH/3f+o=")</f>
        <v>#VALUE!</v>
      </c>
      <c r="IB30" t="e">
        <f>AND('SPR BARRANQUILLA'!F33,"AAAAAH/3f+s=")</f>
        <v>#VALUE!</v>
      </c>
      <c r="IC30" t="e">
        <f>AND('SPR BARRANQUILLA'!G33,"AAAAAH/3f+w=")</f>
        <v>#VALUE!</v>
      </c>
      <c r="ID30" t="e">
        <f>AND('SPR BARRANQUILLA'!H33,"AAAAAH/3f+0=")</f>
        <v>#VALUE!</v>
      </c>
      <c r="IE30" t="e">
        <f>AND('SPR BARRANQUILLA'!I33,"AAAAAH/3f+4=")</f>
        <v>#VALUE!</v>
      </c>
      <c r="IF30" t="e">
        <f>AND('SPR BARRANQUILLA'!J33,"AAAAAH/3f+8=")</f>
        <v>#VALUE!</v>
      </c>
      <c r="IG30" t="e">
        <f>AND('SPR BARRANQUILLA'!K33,"AAAAAH/3f/A=")</f>
        <v>#VALUE!</v>
      </c>
      <c r="IH30" t="e">
        <f>AND('SPR BARRANQUILLA'!L33,"AAAAAH/3f/E=")</f>
        <v>#VALUE!</v>
      </c>
      <c r="II30" t="e">
        <f>AND('SPR BARRANQUILLA'!M33,"AAAAAH/3f/I=")</f>
        <v>#VALUE!</v>
      </c>
      <c r="IJ30" t="e">
        <f>AND('SPR BARRANQUILLA'!N33,"AAAAAH/3f/M=")</f>
        <v>#VALUE!</v>
      </c>
      <c r="IK30" t="e">
        <f>AND('SPR BARRANQUILLA'!O33,"AAAAAH/3f/Q=")</f>
        <v>#VALUE!</v>
      </c>
      <c r="IL30" t="e">
        <f>AND('SPR BARRANQUILLA'!P33,"AAAAAH/3f/U=")</f>
        <v>#VALUE!</v>
      </c>
      <c r="IM30" t="e">
        <f>AND('SPR BARRANQUILLA'!Q33,"AAAAAH/3f/Y=")</f>
        <v>#VALUE!</v>
      </c>
      <c r="IN30" t="e">
        <f>AND('SPR BARRANQUILLA'!R33,"AAAAAH/3f/c=")</f>
        <v>#VALUE!</v>
      </c>
      <c r="IO30" t="e">
        <f>AND('SPR BARRANQUILLA'!S33,"AAAAAH/3f/g=")</f>
        <v>#VALUE!</v>
      </c>
      <c r="IP30" t="e">
        <f>AND('SPR BARRANQUILLA'!T33,"AAAAAH/3f/k=")</f>
        <v>#VALUE!</v>
      </c>
      <c r="IQ30" t="e">
        <f>AND('SPR BARRANQUILLA'!U33,"AAAAAH/3f/o=")</f>
        <v>#VALUE!</v>
      </c>
      <c r="IR30" t="e">
        <f>AND('SPR BARRANQUILLA'!V33,"AAAAAH/3f/s=")</f>
        <v>#VALUE!</v>
      </c>
      <c r="IS30" t="e">
        <f>AND('SPR BARRANQUILLA'!W33,"AAAAAH/3f/w=")</f>
        <v>#VALUE!</v>
      </c>
      <c r="IT30" t="e">
        <f>AND('SPR BARRANQUILLA'!X33,"AAAAAH/3f/0=")</f>
        <v>#VALUE!</v>
      </c>
      <c r="IU30" t="e">
        <f>AND('SPR BARRANQUILLA'!Y33,"AAAAAH/3f/4=")</f>
        <v>#VALUE!</v>
      </c>
      <c r="IV30" t="e">
        <f>AND('SPR BARRANQUILLA'!Z33,"AAAAAH/3f/8=")</f>
        <v>#VALUE!</v>
      </c>
    </row>
    <row r="31" spans="1:256">
      <c r="A31" t="e">
        <f>AND('SPR BARRANQUILLA'!AA33,"AAAAADn79QA=")</f>
        <v>#VALUE!</v>
      </c>
      <c r="B31" t="e">
        <f>AND('SPR BARRANQUILLA'!AB33,"AAAAADn79QE=")</f>
        <v>#VALUE!</v>
      </c>
      <c r="C31" t="e">
        <f>AND('SPR BARRANQUILLA'!AC33,"AAAAADn79QI=")</f>
        <v>#VALUE!</v>
      </c>
      <c r="D31" t="e">
        <f>AND('SPR BARRANQUILLA'!AD33,"AAAAADn79QM=")</f>
        <v>#VALUE!</v>
      </c>
      <c r="E31" t="e">
        <f>AND('SPR BARRANQUILLA'!AE33,"AAAAADn79QQ=")</f>
        <v>#VALUE!</v>
      </c>
      <c r="F31" t="e">
        <f>AND('SPR BARRANQUILLA'!AF33,"AAAAADn79QU=")</f>
        <v>#VALUE!</v>
      </c>
      <c r="G31" t="e">
        <f>AND('SPR BARRANQUILLA'!AG33,"AAAAADn79QY=")</f>
        <v>#VALUE!</v>
      </c>
      <c r="H31" t="e">
        <f>AND('SPR BARRANQUILLA'!AH33,"AAAAADn79Qc=")</f>
        <v>#VALUE!</v>
      </c>
      <c r="I31" t="e">
        <f>AND('SPR BARRANQUILLA'!AI33,"AAAAADn79Qg=")</f>
        <v>#VALUE!</v>
      </c>
      <c r="J31" t="e">
        <f>AND('SPR BARRANQUILLA'!AJ33,"AAAAADn79Qk=")</f>
        <v>#VALUE!</v>
      </c>
      <c r="K31" t="e">
        <f>AND('SPR BARRANQUILLA'!AK33,"AAAAADn79Qo=")</f>
        <v>#VALUE!</v>
      </c>
      <c r="L31" t="e">
        <f>AND('SPR BARRANQUILLA'!AL33,"AAAAADn79Qs=")</f>
        <v>#VALUE!</v>
      </c>
      <c r="M31" t="e">
        <f>AND('SPR BARRANQUILLA'!AM33,"AAAAADn79Qw=")</f>
        <v>#VALUE!</v>
      </c>
      <c r="N31" t="e">
        <f>AND('SPR BARRANQUILLA'!AN33,"AAAAADn79Q0=")</f>
        <v>#VALUE!</v>
      </c>
      <c r="O31" t="e">
        <f>AND('SPR BARRANQUILLA'!AO33,"AAAAADn79Q4=")</f>
        <v>#VALUE!</v>
      </c>
      <c r="P31" t="e">
        <f>AND('SPR BARRANQUILLA'!AP33,"AAAAADn79Q8=")</f>
        <v>#VALUE!</v>
      </c>
      <c r="Q31" t="e">
        <f>AND('SPR BARRANQUILLA'!AQ33,"AAAAADn79RA=")</f>
        <v>#VALUE!</v>
      </c>
      <c r="R31" t="e">
        <f>AND('SPR BARRANQUILLA'!AR33,"AAAAADn79RE=")</f>
        <v>#VALUE!</v>
      </c>
      <c r="S31" t="e">
        <f>AND('SPR BARRANQUILLA'!AS33,"AAAAADn79RI=")</f>
        <v>#VALUE!</v>
      </c>
      <c r="T31" t="e">
        <f>AND('SPR BARRANQUILLA'!AT33,"AAAAADn79RM=")</f>
        <v>#VALUE!</v>
      </c>
      <c r="U31" t="e">
        <f>AND('SPR BARRANQUILLA'!AU33,"AAAAADn79RQ=")</f>
        <v>#VALUE!</v>
      </c>
      <c r="V31" t="e">
        <f>AND('SPR BARRANQUILLA'!AV33,"AAAAADn79RU=")</f>
        <v>#VALUE!</v>
      </c>
      <c r="W31" t="e">
        <f>AND('SPR BARRANQUILLA'!AW33,"AAAAADn79RY=")</f>
        <v>#VALUE!</v>
      </c>
      <c r="X31" t="e">
        <f>AND('SPR BARRANQUILLA'!AX33,"AAAAADn79Rc=")</f>
        <v>#VALUE!</v>
      </c>
      <c r="Y31" t="e">
        <f>AND('SPR BARRANQUILLA'!AY33,"AAAAADn79Rg=")</f>
        <v>#VALUE!</v>
      </c>
      <c r="Z31" t="e">
        <f>AND('SPR BARRANQUILLA'!AZ33,"AAAAADn79Rk=")</f>
        <v>#VALUE!</v>
      </c>
      <c r="AA31" t="e">
        <f>AND('SPR BARRANQUILLA'!BA33,"AAAAADn79Ro=")</f>
        <v>#VALUE!</v>
      </c>
      <c r="AB31" t="e">
        <f>AND('SPR BARRANQUILLA'!BB33,"AAAAADn79Rs=")</f>
        <v>#VALUE!</v>
      </c>
      <c r="AC31" t="e">
        <f>AND('SPR BARRANQUILLA'!BC33,"AAAAADn79Rw=")</f>
        <v>#VALUE!</v>
      </c>
      <c r="AD31" t="e">
        <f>AND('SPR BARRANQUILLA'!BD33,"AAAAADn79R0=")</f>
        <v>#VALUE!</v>
      </c>
      <c r="AE31" t="e">
        <f>AND('SPR BARRANQUILLA'!BE33,"AAAAADn79R4=")</f>
        <v>#VALUE!</v>
      </c>
      <c r="AF31" t="e">
        <f>AND('SPR BARRANQUILLA'!BF33,"AAAAADn79R8=")</f>
        <v>#VALUE!</v>
      </c>
      <c r="AG31" t="e">
        <f>AND('SPR BARRANQUILLA'!BG33,"AAAAADn79SA=")</f>
        <v>#VALUE!</v>
      </c>
      <c r="AH31" t="e">
        <f>AND('SPR BARRANQUILLA'!BH33,"AAAAADn79SE=")</f>
        <v>#VALUE!</v>
      </c>
      <c r="AI31" t="e">
        <f>AND('SPR BARRANQUILLA'!BI33,"AAAAADn79SI=")</f>
        <v>#VALUE!</v>
      </c>
      <c r="AJ31" t="e">
        <f>AND('SPR BARRANQUILLA'!BJ33,"AAAAADn79SM=")</f>
        <v>#VALUE!</v>
      </c>
      <c r="AK31" t="e">
        <f>AND('SPR BARRANQUILLA'!BK33,"AAAAADn79SQ=")</f>
        <v>#VALUE!</v>
      </c>
      <c r="AL31" t="e">
        <f>AND('SPR BARRANQUILLA'!BL33,"AAAAADn79SU=")</f>
        <v>#VALUE!</v>
      </c>
      <c r="AM31" t="e">
        <f>AND('SPR BARRANQUILLA'!BM33,"AAAAADn79SY=")</f>
        <v>#VALUE!</v>
      </c>
      <c r="AN31" t="e">
        <f>AND('SPR BARRANQUILLA'!BN33,"AAAAADn79Sc=")</f>
        <v>#VALUE!</v>
      </c>
      <c r="AO31" t="e">
        <f>AND('SPR BARRANQUILLA'!BO33,"AAAAADn79Sg=")</f>
        <v>#VALUE!</v>
      </c>
      <c r="AP31" t="e">
        <f>AND('SPR BARRANQUILLA'!BP33,"AAAAADn79Sk=")</f>
        <v>#VALUE!</v>
      </c>
      <c r="AQ31" t="e">
        <f>AND('SPR BARRANQUILLA'!BQ33,"AAAAADn79So=")</f>
        <v>#VALUE!</v>
      </c>
      <c r="AR31" t="e">
        <f>AND('SPR BARRANQUILLA'!BR33,"AAAAADn79Ss=")</f>
        <v>#VALUE!</v>
      </c>
      <c r="AS31" t="e">
        <f>AND('SPR BARRANQUILLA'!BS33,"AAAAADn79Sw=")</f>
        <v>#VALUE!</v>
      </c>
      <c r="AT31" t="e">
        <f>AND('SPR BARRANQUILLA'!BT33,"AAAAADn79S0=")</f>
        <v>#VALUE!</v>
      </c>
      <c r="AU31" t="e">
        <f>AND('SPR BARRANQUILLA'!BU33,"AAAAADn79S4=")</f>
        <v>#VALUE!</v>
      </c>
      <c r="AV31" t="e">
        <f>AND('SPR BARRANQUILLA'!BV33,"AAAAADn79S8=")</f>
        <v>#VALUE!</v>
      </c>
      <c r="AW31" t="e">
        <f>AND('SPR BARRANQUILLA'!BW33,"AAAAADn79TA=")</f>
        <v>#VALUE!</v>
      </c>
      <c r="AX31" t="e">
        <f>AND('SPR BARRANQUILLA'!BX33,"AAAAADn79TE=")</f>
        <v>#VALUE!</v>
      </c>
      <c r="AY31" t="e">
        <f>AND('SPR BARRANQUILLA'!BY33,"AAAAADn79TI=")</f>
        <v>#VALUE!</v>
      </c>
      <c r="AZ31" t="e">
        <f>AND('SPR BARRANQUILLA'!BZ33,"AAAAADn79TM=")</f>
        <v>#VALUE!</v>
      </c>
      <c r="BA31" t="e">
        <f>AND('SPR BARRANQUILLA'!CA33,"AAAAADn79TQ=")</f>
        <v>#VALUE!</v>
      </c>
      <c r="BB31" t="e">
        <f>AND('SPR BARRANQUILLA'!CB33,"AAAAADn79TU=")</f>
        <v>#VALUE!</v>
      </c>
      <c r="BC31" t="e">
        <f>AND('SPR BARRANQUILLA'!CC33,"AAAAADn79TY=")</f>
        <v>#VALUE!</v>
      </c>
      <c r="BD31" t="e">
        <f>AND('SPR BARRANQUILLA'!CD33,"AAAAADn79Tc=")</f>
        <v>#VALUE!</v>
      </c>
      <c r="BE31" t="e">
        <f>AND('SPR BARRANQUILLA'!CE33,"AAAAADn79Tg=")</f>
        <v>#VALUE!</v>
      </c>
      <c r="BF31" t="e">
        <f>AND('SPR BARRANQUILLA'!CF33,"AAAAADn79Tk=")</f>
        <v>#VALUE!</v>
      </c>
      <c r="BG31" t="e">
        <f>AND('SPR BARRANQUILLA'!CG33,"AAAAADn79To=")</f>
        <v>#VALUE!</v>
      </c>
      <c r="BH31" t="e">
        <f>AND('SPR BARRANQUILLA'!CH33,"AAAAADn79Ts=")</f>
        <v>#VALUE!</v>
      </c>
      <c r="BI31" t="e">
        <f>AND('SPR BARRANQUILLA'!CI33,"AAAAADn79Tw=")</f>
        <v>#VALUE!</v>
      </c>
      <c r="BJ31" t="e">
        <f>AND('SPR BARRANQUILLA'!CJ33,"AAAAADn79T0=")</f>
        <v>#VALUE!</v>
      </c>
      <c r="BK31" t="e">
        <f>AND('SPR BARRANQUILLA'!CK33,"AAAAADn79T4=")</f>
        <v>#VALUE!</v>
      </c>
      <c r="BL31" t="e">
        <f>AND('SPR BARRANQUILLA'!CL33,"AAAAADn79T8=")</f>
        <v>#VALUE!</v>
      </c>
      <c r="BM31" t="e">
        <f>AND('SPR BARRANQUILLA'!CM33,"AAAAADn79UA=")</f>
        <v>#VALUE!</v>
      </c>
      <c r="BN31" t="e">
        <f>AND('SPR BARRANQUILLA'!CN33,"AAAAADn79UE=")</f>
        <v>#VALUE!</v>
      </c>
      <c r="BO31" t="e">
        <f>AND('SPR BARRANQUILLA'!CO33,"AAAAADn79UI=")</f>
        <v>#VALUE!</v>
      </c>
      <c r="BP31" t="e">
        <f>AND('SPR BARRANQUILLA'!CP33,"AAAAADn79UM=")</f>
        <v>#VALUE!</v>
      </c>
      <c r="BQ31" t="e">
        <f>AND('SPR BARRANQUILLA'!CQ33,"AAAAADn79UQ=")</f>
        <v>#VALUE!</v>
      </c>
      <c r="BR31" t="e">
        <f>AND('SPR BARRANQUILLA'!CR33,"AAAAADn79UU=")</f>
        <v>#VALUE!</v>
      </c>
      <c r="BS31" t="e">
        <f>AND('SPR BARRANQUILLA'!CS33,"AAAAADn79UY=")</f>
        <v>#VALUE!</v>
      </c>
      <c r="BT31" t="e">
        <f>AND('SPR BARRANQUILLA'!CT33,"AAAAADn79Uc=")</f>
        <v>#VALUE!</v>
      </c>
      <c r="BU31" t="e">
        <f>AND('SPR BARRANQUILLA'!CU33,"AAAAADn79Ug=")</f>
        <v>#VALUE!</v>
      </c>
      <c r="BV31" t="e">
        <f>AND('SPR BARRANQUILLA'!CV33,"AAAAADn79Uk=")</f>
        <v>#VALUE!</v>
      </c>
      <c r="BW31" t="e">
        <f>AND('SPR BARRANQUILLA'!CW33,"AAAAADn79Uo=")</f>
        <v>#VALUE!</v>
      </c>
      <c r="BX31" t="e">
        <f>AND('SPR BARRANQUILLA'!CX33,"AAAAADn79Us=")</f>
        <v>#VALUE!</v>
      </c>
      <c r="BY31" t="e">
        <f>AND('SPR BARRANQUILLA'!CY33,"AAAAADn79Uw=")</f>
        <v>#VALUE!</v>
      </c>
      <c r="BZ31" t="e">
        <f>AND('SPR BARRANQUILLA'!CZ33,"AAAAADn79U0=")</f>
        <v>#VALUE!</v>
      </c>
      <c r="CA31" t="e">
        <f>AND('SPR BARRANQUILLA'!DA33,"AAAAADn79U4=")</f>
        <v>#VALUE!</v>
      </c>
      <c r="CB31" t="e">
        <f>AND('SPR BARRANQUILLA'!DB33,"AAAAADn79U8=")</f>
        <v>#VALUE!</v>
      </c>
      <c r="CC31" t="e">
        <f>AND('SPR BARRANQUILLA'!DC33,"AAAAADn79VA=")</f>
        <v>#VALUE!</v>
      </c>
      <c r="CD31" t="e">
        <f>AND('SPR BARRANQUILLA'!DD33,"AAAAADn79VE=")</f>
        <v>#VALUE!</v>
      </c>
      <c r="CE31" t="e">
        <f>AND('SPR BARRANQUILLA'!DE33,"AAAAADn79VI=")</f>
        <v>#VALUE!</v>
      </c>
      <c r="CF31" t="e">
        <f>AND('SPR BARRANQUILLA'!DF33,"AAAAADn79VM=")</f>
        <v>#VALUE!</v>
      </c>
      <c r="CG31" t="e">
        <f>AND('SPR BARRANQUILLA'!DG33,"AAAAADn79VQ=")</f>
        <v>#VALUE!</v>
      </c>
      <c r="CH31" t="e">
        <f>AND('SPR BARRANQUILLA'!DH33,"AAAAADn79VU=")</f>
        <v>#VALUE!</v>
      </c>
      <c r="CI31" t="e">
        <f>AND('SPR BARRANQUILLA'!DI33,"AAAAADn79VY=")</f>
        <v>#VALUE!</v>
      </c>
      <c r="CJ31" t="e">
        <f>AND('SPR BARRANQUILLA'!DJ33,"AAAAADn79Vc=")</f>
        <v>#VALUE!</v>
      </c>
      <c r="CK31" t="e">
        <f>AND('SPR BARRANQUILLA'!DK33,"AAAAADn79Vg=")</f>
        <v>#VALUE!</v>
      </c>
      <c r="CL31" t="e">
        <f>AND('SPR BARRANQUILLA'!DL33,"AAAAADn79Vk=")</f>
        <v>#VALUE!</v>
      </c>
      <c r="CM31" t="e">
        <f>AND('SPR BARRANQUILLA'!DM33,"AAAAADn79Vo=")</f>
        <v>#VALUE!</v>
      </c>
      <c r="CN31" t="e">
        <f>AND('SPR BARRANQUILLA'!DN33,"AAAAADn79Vs=")</f>
        <v>#VALUE!</v>
      </c>
      <c r="CO31" t="e">
        <f>AND('SPR BARRANQUILLA'!DO33,"AAAAADn79Vw=")</f>
        <v>#VALUE!</v>
      </c>
      <c r="CP31" t="e">
        <f>AND('SPR BARRANQUILLA'!DP33,"AAAAADn79V0=")</f>
        <v>#VALUE!</v>
      </c>
      <c r="CQ31" t="e">
        <f>AND('SPR BARRANQUILLA'!DQ33,"AAAAADn79V4=")</f>
        <v>#VALUE!</v>
      </c>
      <c r="CR31" t="e">
        <f>AND('SPR BARRANQUILLA'!DR33,"AAAAADn79V8=")</f>
        <v>#VALUE!</v>
      </c>
      <c r="CS31" t="e">
        <f>AND('SPR BARRANQUILLA'!DS33,"AAAAADn79WA=")</f>
        <v>#VALUE!</v>
      </c>
      <c r="CT31" t="e">
        <f>AND('SPR BARRANQUILLA'!DT33,"AAAAADn79WE=")</f>
        <v>#VALUE!</v>
      </c>
      <c r="CU31" t="e">
        <f>AND('SPR BARRANQUILLA'!DU33,"AAAAADn79WI=")</f>
        <v>#VALUE!</v>
      </c>
      <c r="CV31" t="e">
        <f>AND('SPR BARRANQUILLA'!DV33,"AAAAADn79WM=")</f>
        <v>#VALUE!</v>
      </c>
      <c r="CW31" t="e">
        <f>AND('SPR BARRANQUILLA'!DW33,"AAAAADn79WQ=")</f>
        <v>#VALUE!</v>
      </c>
      <c r="CX31" t="e">
        <f>AND('SPR BARRANQUILLA'!DX33,"AAAAADn79WU=")</f>
        <v>#VALUE!</v>
      </c>
      <c r="CY31" t="e">
        <f>AND('SPR BARRANQUILLA'!DY33,"AAAAADn79WY=")</f>
        <v>#VALUE!</v>
      </c>
      <c r="CZ31" t="e">
        <f>AND('SPR BARRANQUILLA'!DZ33,"AAAAADn79Wc=")</f>
        <v>#VALUE!</v>
      </c>
      <c r="DA31" t="e">
        <f>AND('SPR BARRANQUILLA'!EA33,"AAAAADn79Wg=")</f>
        <v>#VALUE!</v>
      </c>
      <c r="DB31" t="e">
        <f>AND('SPR BARRANQUILLA'!EB33,"AAAAADn79Wk=")</f>
        <v>#VALUE!</v>
      </c>
      <c r="DC31" t="e">
        <f>AND('SPR BARRANQUILLA'!EC33,"AAAAADn79Wo=")</f>
        <v>#VALUE!</v>
      </c>
      <c r="DD31" t="e">
        <f>AND('SPR BARRANQUILLA'!ED33,"AAAAADn79Ws=")</f>
        <v>#VALUE!</v>
      </c>
      <c r="DE31" t="e">
        <f>AND('SPR BARRANQUILLA'!EE33,"AAAAADn79Ww=")</f>
        <v>#VALUE!</v>
      </c>
      <c r="DF31" t="e">
        <f>AND('SPR BARRANQUILLA'!EF33,"AAAAADn79W0=")</f>
        <v>#VALUE!</v>
      </c>
      <c r="DG31" t="e">
        <f>AND('SPR BARRANQUILLA'!EG33,"AAAAADn79W4=")</f>
        <v>#VALUE!</v>
      </c>
      <c r="DH31" t="e">
        <f>AND('SPR BARRANQUILLA'!EH33,"AAAAADn79W8=")</f>
        <v>#VALUE!</v>
      </c>
      <c r="DI31" t="e">
        <f>AND('SPR BARRANQUILLA'!EI33,"AAAAADn79XA=")</f>
        <v>#VALUE!</v>
      </c>
      <c r="DJ31" t="e">
        <f>AND('SPR BARRANQUILLA'!EJ33,"AAAAADn79XE=")</f>
        <v>#VALUE!</v>
      </c>
      <c r="DK31" t="e">
        <f>AND('SPR BARRANQUILLA'!EK33,"AAAAADn79XI=")</f>
        <v>#VALUE!</v>
      </c>
      <c r="DL31" t="e">
        <f>AND('SPR BARRANQUILLA'!EL33,"AAAAADn79XM=")</f>
        <v>#VALUE!</v>
      </c>
      <c r="DM31" t="e">
        <f>AND('SPR BARRANQUILLA'!EM33,"AAAAADn79XQ=")</f>
        <v>#VALUE!</v>
      </c>
      <c r="DN31" t="e">
        <f>AND('SPR BARRANQUILLA'!EN33,"AAAAADn79XU=")</f>
        <v>#VALUE!</v>
      </c>
      <c r="DO31" t="e">
        <f>AND('SPR BARRANQUILLA'!EO33,"AAAAADn79XY=")</f>
        <v>#VALUE!</v>
      </c>
      <c r="DP31" t="e">
        <f>AND('SPR BARRANQUILLA'!EP33,"AAAAADn79Xc=")</f>
        <v>#VALUE!</v>
      </c>
      <c r="DQ31" t="e">
        <f>AND('SPR BARRANQUILLA'!EQ33,"AAAAADn79Xg=")</f>
        <v>#VALUE!</v>
      </c>
      <c r="DR31" t="e">
        <f>AND('SPR BARRANQUILLA'!ER33,"AAAAADn79Xk=")</f>
        <v>#VALUE!</v>
      </c>
      <c r="DS31" t="e">
        <f>AND('SPR BARRANQUILLA'!ES33,"AAAAADn79Xo=")</f>
        <v>#VALUE!</v>
      </c>
      <c r="DT31" t="e">
        <f>AND('SPR BARRANQUILLA'!ET33,"AAAAADn79Xs=")</f>
        <v>#VALUE!</v>
      </c>
      <c r="DU31" t="e">
        <f>AND('SPR BARRANQUILLA'!EU33,"AAAAADn79Xw=")</f>
        <v>#VALUE!</v>
      </c>
      <c r="DV31" t="e">
        <f>AND('SPR BARRANQUILLA'!EV33,"AAAAADn79X0=")</f>
        <v>#VALUE!</v>
      </c>
      <c r="DW31" t="e">
        <f>AND('SPR BARRANQUILLA'!EW33,"AAAAADn79X4=")</f>
        <v>#VALUE!</v>
      </c>
      <c r="DX31" t="e">
        <f>AND('SPR BARRANQUILLA'!EX33,"AAAAADn79X8=")</f>
        <v>#VALUE!</v>
      </c>
      <c r="DY31" t="e">
        <f>AND('SPR BARRANQUILLA'!EY33,"AAAAADn79YA=")</f>
        <v>#VALUE!</v>
      </c>
      <c r="DZ31" t="e">
        <f>AND('SPR BARRANQUILLA'!EZ33,"AAAAADn79YE=")</f>
        <v>#VALUE!</v>
      </c>
      <c r="EA31" t="e">
        <f>AND('SPR BARRANQUILLA'!FA33,"AAAAADn79YI=")</f>
        <v>#VALUE!</v>
      </c>
      <c r="EB31" t="e">
        <f>AND('SPR BARRANQUILLA'!FB33,"AAAAADn79YM=")</f>
        <v>#VALUE!</v>
      </c>
      <c r="EC31" t="e">
        <f>AND('SPR BARRANQUILLA'!FC33,"AAAAADn79YQ=")</f>
        <v>#VALUE!</v>
      </c>
      <c r="ED31" t="e">
        <f>AND('SPR BARRANQUILLA'!FD33,"AAAAADn79YU=")</f>
        <v>#VALUE!</v>
      </c>
      <c r="EE31" t="e">
        <f>AND('SPR BARRANQUILLA'!FE33,"AAAAADn79YY=")</f>
        <v>#VALUE!</v>
      </c>
      <c r="EF31" t="e">
        <f>AND('SPR BARRANQUILLA'!FF33,"AAAAADn79Yc=")</f>
        <v>#VALUE!</v>
      </c>
      <c r="EG31" t="e">
        <f>AND('SPR BARRANQUILLA'!FG33,"AAAAADn79Yg=")</f>
        <v>#VALUE!</v>
      </c>
      <c r="EH31" t="e">
        <f>AND('SPR BARRANQUILLA'!FH33,"AAAAADn79Yk=")</f>
        <v>#VALUE!</v>
      </c>
      <c r="EI31" t="e">
        <f>AND('SPR BARRANQUILLA'!FI33,"AAAAADn79Yo=")</f>
        <v>#VALUE!</v>
      </c>
      <c r="EJ31" t="e">
        <f>AND('SPR BARRANQUILLA'!FJ33,"AAAAADn79Ys=")</f>
        <v>#VALUE!</v>
      </c>
      <c r="EK31" t="e">
        <f>AND('SPR BARRANQUILLA'!FK33,"AAAAADn79Yw=")</f>
        <v>#VALUE!</v>
      </c>
      <c r="EL31" t="e">
        <f>AND('SPR BARRANQUILLA'!FL33,"AAAAADn79Y0=")</f>
        <v>#VALUE!</v>
      </c>
      <c r="EM31" t="e">
        <f>AND('SPR BARRANQUILLA'!FM33,"AAAAADn79Y4=")</f>
        <v>#VALUE!</v>
      </c>
      <c r="EN31" t="e">
        <f>AND('SPR BARRANQUILLA'!FN33,"AAAAADn79Y8=")</f>
        <v>#VALUE!</v>
      </c>
      <c r="EO31" t="e">
        <f>AND('SPR BARRANQUILLA'!FO33,"AAAAADn79ZA=")</f>
        <v>#VALUE!</v>
      </c>
      <c r="EP31" t="e">
        <f>AND('SPR BARRANQUILLA'!FP33,"AAAAADn79ZE=")</f>
        <v>#VALUE!</v>
      </c>
      <c r="EQ31" t="e">
        <f>AND('SPR BARRANQUILLA'!FQ33,"AAAAADn79ZI=")</f>
        <v>#VALUE!</v>
      </c>
      <c r="ER31" t="e">
        <f>AND('SPR BARRANQUILLA'!FR33,"AAAAADn79ZM=")</f>
        <v>#VALUE!</v>
      </c>
      <c r="ES31" t="e">
        <f>AND('SPR BARRANQUILLA'!FS33,"AAAAADn79ZQ=")</f>
        <v>#VALUE!</v>
      </c>
      <c r="ET31" t="e">
        <f>AND('SPR BARRANQUILLA'!FT33,"AAAAADn79ZU=")</f>
        <v>#VALUE!</v>
      </c>
      <c r="EU31" t="e">
        <f>AND('SPR BARRANQUILLA'!FU33,"AAAAADn79ZY=")</f>
        <v>#VALUE!</v>
      </c>
      <c r="EV31" t="e">
        <f>AND('SPR BARRANQUILLA'!FV33,"AAAAADn79Zc=")</f>
        <v>#VALUE!</v>
      </c>
      <c r="EW31" t="e">
        <f>AND('SPR BARRANQUILLA'!FW33,"AAAAADn79Zg=")</f>
        <v>#VALUE!</v>
      </c>
      <c r="EX31" t="e">
        <f>AND('SPR BARRANQUILLA'!FX33,"AAAAADn79Zk=")</f>
        <v>#VALUE!</v>
      </c>
      <c r="EY31" t="e">
        <f>AND('SPR BARRANQUILLA'!FY33,"AAAAADn79Zo=")</f>
        <v>#VALUE!</v>
      </c>
      <c r="EZ31" t="e">
        <f>AND('SPR BARRANQUILLA'!FZ33,"AAAAADn79Zs=")</f>
        <v>#VALUE!</v>
      </c>
      <c r="FA31" t="e">
        <f>AND('SPR BARRANQUILLA'!GA33,"AAAAADn79Zw=")</f>
        <v>#VALUE!</v>
      </c>
      <c r="FB31" t="e">
        <f>AND('SPR BARRANQUILLA'!GB33,"AAAAADn79Z0=")</f>
        <v>#VALUE!</v>
      </c>
      <c r="FC31" t="e">
        <f>AND('SPR BARRANQUILLA'!GC33,"AAAAADn79Z4=")</f>
        <v>#VALUE!</v>
      </c>
      <c r="FD31" t="e">
        <f>AND('SPR BARRANQUILLA'!GD33,"AAAAADn79Z8=")</f>
        <v>#VALUE!</v>
      </c>
      <c r="FE31" t="e">
        <f>AND('SPR BARRANQUILLA'!GE33,"AAAAADn79aA=")</f>
        <v>#VALUE!</v>
      </c>
      <c r="FF31" t="e">
        <f>AND('SPR BARRANQUILLA'!GF33,"AAAAADn79aE=")</f>
        <v>#VALUE!</v>
      </c>
      <c r="FG31" t="e">
        <f>AND('SPR BARRANQUILLA'!GG33,"AAAAADn79aI=")</f>
        <v>#VALUE!</v>
      </c>
      <c r="FH31" t="e">
        <f>AND('SPR BARRANQUILLA'!GH33,"AAAAADn79aM=")</f>
        <v>#VALUE!</v>
      </c>
      <c r="FI31" t="e">
        <f>AND('SPR BARRANQUILLA'!GI33,"AAAAADn79aQ=")</f>
        <v>#VALUE!</v>
      </c>
      <c r="FJ31" t="e">
        <f>AND('SPR BARRANQUILLA'!GJ33,"AAAAADn79aU=")</f>
        <v>#VALUE!</v>
      </c>
      <c r="FK31" t="e">
        <f>AND('SPR BARRANQUILLA'!GK33,"AAAAADn79aY=")</f>
        <v>#VALUE!</v>
      </c>
      <c r="FL31" t="e">
        <f>AND('SPR BARRANQUILLA'!GL33,"AAAAADn79ac=")</f>
        <v>#VALUE!</v>
      </c>
      <c r="FM31" t="e">
        <f>AND('SPR BARRANQUILLA'!GM33,"AAAAADn79ag=")</f>
        <v>#VALUE!</v>
      </c>
      <c r="FN31" t="e">
        <f>AND('SPR BARRANQUILLA'!GN33,"AAAAADn79ak=")</f>
        <v>#VALUE!</v>
      </c>
      <c r="FO31" t="e">
        <f>AND('SPR BARRANQUILLA'!GO33,"AAAAADn79ao=")</f>
        <v>#VALUE!</v>
      </c>
      <c r="FP31" t="e">
        <f>AND('SPR BARRANQUILLA'!GP33,"AAAAADn79as=")</f>
        <v>#VALUE!</v>
      </c>
      <c r="FQ31" t="e">
        <f>AND('SPR BARRANQUILLA'!GQ33,"AAAAADn79aw=")</f>
        <v>#VALUE!</v>
      </c>
      <c r="FR31" t="e">
        <f>AND('SPR BARRANQUILLA'!GR33,"AAAAADn79a0=")</f>
        <v>#VALUE!</v>
      </c>
      <c r="FS31" t="e">
        <f>AND('SPR BARRANQUILLA'!GS33,"AAAAADn79a4=")</f>
        <v>#VALUE!</v>
      </c>
      <c r="FT31" t="e">
        <f>AND('SPR BARRANQUILLA'!GT33,"AAAAADn79a8=")</f>
        <v>#VALUE!</v>
      </c>
      <c r="FU31" t="e">
        <f>AND('SPR BARRANQUILLA'!GU33,"AAAAADn79bA=")</f>
        <v>#VALUE!</v>
      </c>
      <c r="FV31" t="e">
        <f>AND('SPR BARRANQUILLA'!GV33,"AAAAADn79bE=")</f>
        <v>#VALUE!</v>
      </c>
      <c r="FW31" t="e">
        <f>AND('SPR BARRANQUILLA'!GW33,"AAAAADn79bI=")</f>
        <v>#VALUE!</v>
      </c>
      <c r="FX31" t="e">
        <f>AND('SPR BARRANQUILLA'!GX33,"AAAAADn79bM=")</f>
        <v>#VALUE!</v>
      </c>
      <c r="FY31" t="e">
        <f>AND('SPR BARRANQUILLA'!GY33,"AAAAADn79bQ=")</f>
        <v>#VALUE!</v>
      </c>
      <c r="FZ31">
        <f>IF('SPR BARRANQUILLA'!34:34,"AAAAADn79bU=",0)</f>
        <v>0</v>
      </c>
      <c r="GA31" t="e">
        <f>AND('SPR BARRANQUILLA'!A34,"AAAAADn79bY=")</f>
        <v>#VALUE!</v>
      </c>
      <c r="GB31" t="e">
        <f>AND('SPR BARRANQUILLA'!B34,"AAAAADn79bc=")</f>
        <v>#VALUE!</v>
      </c>
      <c r="GC31" t="e">
        <f>AND('SPR BARRANQUILLA'!C34,"AAAAADn79bg=")</f>
        <v>#VALUE!</v>
      </c>
      <c r="GD31" t="e">
        <f>AND('SPR BARRANQUILLA'!D34,"AAAAADn79bk=")</f>
        <v>#VALUE!</v>
      </c>
      <c r="GE31" t="e">
        <f>AND('SPR BARRANQUILLA'!E34,"AAAAADn79bo=")</f>
        <v>#VALUE!</v>
      </c>
      <c r="GF31" t="e">
        <f>AND('SPR BARRANQUILLA'!F34,"AAAAADn79bs=")</f>
        <v>#VALUE!</v>
      </c>
      <c r="GG31" t="e">
        <f>AND('SPR BARRANQUILLA'!G34,"AAAAADn79bw=")</f>
        <v>#VALUE!</v>
      </c>
      <c r="GH31" t="e">
        <f>AND('SPR BARRANQUILLA'!H34,"AAAAADn79b0=")</f>
        <v>#VALUE!</v>
      </c>
      <c r="GI31" t="e">
        <f>AND('SPR BARRANQUILLA'!I34,"AAAAADn79b4=")</f>
        <v>#VALUE!</v>
      </c>
      <c r="GJ31" t="e">
        <f>AND('SPR BARRANQUILLA'!J34,"AAAAADn79b8=")</f>
        <v>#VALUE!</v>
      </c>
      <c r="GK31" t="e">
        <f>AND('SPR BARRANQUILLA'!K34,"AAAAADn79cA=")</f>
        <v>#VALUE!</v>
      </c>
      <c r="GL31" t="e">
        <f>AND('SPR BARRANQUILLA'!L34,"AAAAADn79cE=")</f>
        <v>#VALUE!</v>
      </c>
      <c r="GM31" t="e">
        <f>AND('SPR BARRANQUILLA'!M34,"AAAAADn79cI=")</f>
        <v>#VALUE!</v>
      </c>
      <c r="GN31" t="e">
        <f>AND('SPR BARRANQUILLA'!N34,"AAAAADn79cM=")</f>
        <v>#VALUE!</v>
      </c>
      <c r="GO31" t="e">
        <f>AND('SPR BARRANQUILLA'!O34,"AAAAADn79cQ=")</f>
        <v>#VALUE!</v>
      </c>
      <c r="GP31" t="e">
        <f>AND('SPR BARRANQUILLA'!P34,"AAAAADn79cU=")</f>
        <v>#VALUE!</v>
      </c>
      <c r="GQ31" t="e">
        <f>AND('SPR BARRANQUILLA'!Q34,"AAAAADn79cY=")</f>
        <v>#VALUE!</v>
      </c>
      <c r="GR31" t="e">
        <f>AND('SPR BARRANQUILLA'!R34,"AAAAADn79cc=")</f>
        <v>#VALUE!</v>
      </c>
      <c r="GS31" t="e">
        <f>AND('SPR BARRANQUILLA'!S34,"AAAAADn79cg=")</f>
        <v>#VALUE!</v>
      </c>
      <c r="GT31" t="e">
        <f>AND('SPR BARRANQUILLA'!T34,"AAAAADn79ck=")</f>
        <v>#VALUE!</v>
      </c>
      <c r="GU31" t="e">
        <f>AND('SPR BARRANQUILLA'!U34,"AAAAADn79co=")</f>
        <v>#VALUE!</v>
      </c>
      <c r="GV31" t="e">
        <f>AND('SPR BARRANQUILLA'!V34,"AAAAADn79cs=")</f>
        <v>#VALUE!</v>
      </c>
      <c r="GW31" t="e">
        <f>AND('SPR BARRANQUILLA'!W34,"AAAAADn79cw=")</f>
        <v>#VALUE!</v>
      </c>
      <c r="GX31" t="e">
        <f>AND('SPR BARRANQUILLA'!X34,"AAAAADn79c0=")</f>
        <v>#VALUE!</v>
      </c>
      <c r="GY31" t="e">
        <f>AND('SPR BARRANQUILLA'!Y34,"AAAAADn79c4=")</f>
        <v>#VALUE!</v>
      </c>
      <c r="GZ31" t="e">
        <f>AND('SPR BARRANQUILLA'!Z34,"AAAAADn79c8=")</f>
        <v>#VALUE!</v>
      </c>
      <c r="HA31" t="e">
        <f>AND('SPR BARRANQUILLA'!AA34,"AAAAADn79dA=")</f>
        <v>#VALUE!</v>
      </c>
      <c r="HB31" t="e">
        <f>AND('SPR BARRANQUILLA'!AB34,"AAAAADn79dE=")</f>
        <v>#VALUE!</v>
      </c>
      <c r="HC31" t="e">
        <f>AND('SPR BARRANQUILLA'!AC34,"AAAAADn79dI=")</f>
        <v>#VALUE!</v>
      </c>
      <c r="HD31" t="e">
        <f>AND('SPR BARRANQUILLA'!AD34,"AAAAADn79dM=")</f>
        <v>#VALUE!</v>
      </c>
      <c r="HE31" t="e">
        <f>AND('SPR BARRANQUILLA'!AE34,"AAAAADn79dQ=")</f>
        <v>#VALUE!</v>
      </c>
      <c r="HF31" t="e">
        <f>AND('SPR BARRANQUILLA'!AF34,"AAAAADn79dU=")</f>
        <v>#VALUE!</v>
      </c>
      <c r="HG31" t="e">
        <f>AND('SPR BARRANQUILLA'!AG34,"AAAAADn79dY=")</f>
        <v>#VALUE!</v>
      </c>
      <c r="HH31" t="e">
        <f>AND('SPR BARRANQUILLA'!AH34,"AAAAADn79dc=")</f>
        <v>#VALUE!</v>
      </c>
      <c r="HI31" t="e">
        <f>AND('SPR BARRANQUILLA'!AI34,"AAAAADn79dg=")</f>
        <v>#VALUE!</v>
      </c>
      <c r="HJ31" t="e">
        <f>AND('SPR BARRANQUILLA'!AJ34,"AAAAADn79dk=")</f>
        <v>#VALUE!</v>
      </c>
      <c r="HK31" t="e">
        <f>AND('SPR BARRANQUILLA'!AK34,"AAAAADn79do=")</f>
        <v>#VALUE!</v>
      </c>
      <c r="HL31" t="e">
        <f>AND('SPR BARRANQUILLA'!AL34,"AAAAADn79ds=")</f>
        <v>#VALUE!</v>
      </c>
      <c r="HM31" t="e">
        <f>AND('SPR BARRANQUILLA'!AM34,"AAAAADn79dw=")</f>
        <v>#VALUE!</v>
      </c>
      <c r="HN31" t="e">
        <f>AND('SPR BARRANQUILLA'!AN34,"AAAAADn79d0=")</f>
        <v>#VALUE!</v>
      </c>
      <c r="HO31" t="e">
        <f>AND('SPR BARRANQUILLA'!AO34,"AAAAADn79d4=")</f>
        <v>#VALUE!</v>
      </c>
      <c r="HP31" t="e">
        <f>AND('SPR BARRANQUILLA'!AP34,"AAAAADn79d8=")</f>
        <v>#VALUE!</v>
      </c>
      <c r="HQ31" t="e">
        <f>AND('SPR BARRANQUILLA'!AQ34,"AAAAADn79eA=")</f>
        <v>#VALUE!</v>
      </c>
      <c r="HR31" t="e">
        <f>AND('SPR BARRANQUILLA'!AR34,"AAAAADn79eE=")</f>
        <v>#VALUE!</v>
      </c>
      <c r="HS31" t="e">
        <f>AND('SPR BARRANQUILLA'!AS34,"AAAAADn79eI=")</f>
        <v>#VALUE!</v>
      </c>
      <c r="HT31" t="e">
        <f>AND('SPR BARRANQUILLA'!AT34,"AAAAADn79eM=")</f>
        <v>#VALUE!</v>
      </c>
      <c r="HU31" t="e">
        <f>AND('SPR BARRANQUILLA'!AU34,"AAAAADn79eQ=")</f>
        <v>#VALUE!</v>
      </c>
      <c r="HV31" t="e">
        <f>AND('SPR BARRANQUILLA'!AV34,"AAAAADn79eU=")</f>
        <v>#VALUE!</v>
      </c>
      <c r="HW31" t="e">
        <f>AND('SPR BARRANQUILLA'!AW34,"AAAAADn79eY=")</f>
        <v>#VALUE!</v>
      </c>
      <c r="HX31" t="e">
        <f>AND('SPR BARRANQUILLA'!AX34,"AAAAADn79ec=")</f>
        <v>#VALUE!</v>
      </c>
      <c r="HY31" t="e">
        <f>AND('SPR BARRANQUILLA'!AY34,"AAAAADn79eg=")</f>
        <v>#VALUE!</v>
      </c>
      <c r="HZ31" t="e">
        <f>AND('SPR BARRANQUILLA'!AZ34,"AAAAADn79ek=")</f>
        <v>#VALUE!</v>
      </c>
      <c r="IA31" t="e">
        <f>AND('SPR BARRANQUILLA'!BA34,"AAAAADn79eo=")</f>
        <v>#VALUE!</v>
      </c>
      <c r="IB31" t="e">
        <f>AND('SPR BARRANQUILLA'!BB34,"AAAAADn79es=")</f>
        <v>#VALUE!</v>
      </c>
      <c r="IC31" t="e">
        <f>AND('SPR BARRANQUILLA'!BC34,"AAAAADn79ew=")</f>
        <v>#VALUE!</v>
      </c>
      <c r="ID31" t="e">
        <f>AND('SPR BARRANQUILLA'!BD34,"AAAAADn79e0=")</f>
        <v>#VALUE!</v>
      </c>
      <c r="IE31" t="e">
        <f>AND('SPR BARRANQUILLA'!BE34,"AAAAADn79e4=")</f>
        <v>#VALUE!</v>
      </c>
      <c r="IF31" t="e">
        <f>AND('SPR BARRANQUILLA'!BF34,"AAAAADn79e8=")</f>
        <v>#VALUE!</v>
      </c>
      <c r="IG31" t="e">
        <f>AND('SPR BARRANQUILLA'!BG34,"AAAAADn79fA=")</f>
        <v>#VALUE!</v>
      </c>
      <c r="IH31" t="e">
        <f>AND('SPR BARRANQUILLA'!BH34,"AAAAADn79fE=")</f>
        <v>#VALUE!</v>
      </c>
      <c r="II31" t="e">
        <f>AND('SPR BARRANQUILLA'!BI34,"AAAAADn79fI=")</f>
        <v>#VALUE!</v>
      </c>
      <c r="IJ31" t="e">
        <f>AND('SPR BARRANQUILLA'!BJ34,"AAAAADn79fM=")</f>
        <v>#VALUE!</v>
      </c>
      <c r="IK31" t="e">
        <f>AND('SPR BARRANQUILLA'!BK34,"AAAAADn79fQ=")</f>
        <v>#VALUE!</v>
      </c>
      <c r="IL31" t="e">
        <f>AND('SPR BARRANQUILLA'!BL34,"AAAAADn79fU=")</f>
        <v>#VALUE!</v>
      </c>
      <c r="IM31" t="e">
        <f>AND('SPR BARRANQUILLA'!BM34,"AAAAADn79fY=")</f>
        <v>#VALUE!</v>
      </c>
      <c r="IN31" t="e">
        <f>AND('SPR BARRANQUILLA'!BN34,"AAAAADn79fc=")</f>
        <v>#VALUE!</v>
      </c>
      <c r="IO31" t="e">
        <f>AND('SPR BARRANQUILLA'!BO34,"AAAAADn79fg=")</f>
        <v>#VALUE!</v>
      </c>
      <c r="IP31" t="e">
        <f>AND('SPR BARRANQUILLA'!BP34,"AAAAADn79fk=")</f>
        <v>#VALUE!</v>
      </c>
      <c r="IQ31" t="e">
        <f>AND('SPR BARRANQUILLA'!BQ34,"AAAAADn79fo=")</f>
        <v>#VALUE!</v>
      </c>
      <c r="IR31" t="e">
        <f>AND('SPR BARRANQUILLA'!BR34,"AAAAADn79fs=")</f>
        <v>#VALUE!</v>
      </c>
      <c r="IS31" t="e">
        <f>AND('SPR BARRANQUILLA'!BS34,"AAAAADn79fw=")</f>
        <v>#VALUE!</v>
      </c>
      <c r="IT31" t="e">
        <f>AND('SPR BARRANQUILLA'!BT34,"AAAAADn79f0=")</f>
        <v>#VALUE!</v>
      </c>
      <c r="IU31" t="e">
        <f>AND('SPR BARRANQUILLA'!BU34,"AAAAADn79f4=")</f>
        <v>#VALUE!</v>
      </c>
      <c r="IV31" t="e">
        <f>AND('SPR BARRANQUILLA'!BV34,"AAAAADn79f8=")</f>
        <v>#VALUE!</v>
      </c>
    </row>
    <row r="32" spans="1:256">
      <c r="A32" t="e">
        <f>AND('SPR BARRANQUILLA'!BW34,"AAAAAH/u/wA=")</f>
        <v>#VALUE!</v>
      </c>
      <c r="B32" t="e">
        <f>AND('SPR BARRANQUILLA'!BX34,"AAAAAH/u/wE=")</f>
        <v>#VALUE!</v>
      </c>
      <c r="C32" t="e">
        <f>AND('SPR BARRANQUILLA'!BY34,"AAAAAH/u/wI=")</f>
        <v>#VALUE!</v>
      </c>
      <c r="D32" t="e">
        <f>AND('SPR BARRANQUILLA'!BZ34,"AAAAAH/u/wM=")</f>
        <v>#VALUE!</v>
      </c>
      <c r="E32" t="e">
        <f>AND('SPR BARRANQUILLA'!CA34,"AAAAAH/u/wQ=")</f>
        <v>#VALUE!</v>
      </c>
      <c r="F32" t="e">
        <f>AND('SPR BARRANQUILLA'!CB34,"AAAAAH/u/wU=")</f>
        <v>#VALUE!</v>
      </c>
      <c r="G32" t="e">
        <f>AND('SPR BARRANQUILLA'!CC34,"AAAAAH/u/wY=")</f>
        <v>#VALUE!</v>
      </c>
      <c r="H32" t="e">
        <f>AND('SPR BARRANQUILLA'!CD34,"AAAAAH/u/wc=")</f>
        <v>#VALUE!</v>
      </c>
      <c r="I32" t="e">
        <f>AND('SPR BARRANQUILLA'!CE34,"AAAAAH/u/wg=")</f>
        <v>#VALUE!</v>
      </c>
      <c r="J32" t="e">
        <f>AND('SPR BARRANQUILLA'!CF34,"AAAAAH/u/wk=")</f>
        <v>#VALUE!</v>
      </c>
      <c r="K32" t="e">
        <f>AND('SPR BARRANQUILLA'!CG34,"AAAAAH/u/wo=")</f>
        <v>#VALUE!</v>
      </c>
      <c r="L32" t="e">
        <f>AND('SPR BARRANQUILLA'!CH34,"AAAAAH/u/ws=")</f>
        <v>#VALUE!</v>
      </c>
      <c r="M32" t="e">
        <f>AND('SPR BARRANQUILLA'!CI34,"AAAAAH/u/ww=")</f>
        <v>#VALUE!</v>
      </c>
      <c r="N32" t="e">
        <f>AND('SPR BARRANQUILLA'!CJ34,"AAAAAH/u/w0=")</f>
        <v>#VALUE!</v>
      </c>
      <c r="O32" t="e">
        <f>AND('SPR BARRANQUILLA'!CK34,"AAAAAH/u/w4=")</f>
        <v>#VALUE!</v>
      </c>
      <c r="P32" t="e">
        <f>AND('SPR BARRANQUILLA'!CL34,"AAAAAH/u/w8=")</f>
        <v>#VALUE!</v>
      </c>
      <c r="Q32" t="e">
        <f>AND('SPR BARRANQUILLA'!CM34,"AAAAAH/u/xA=")</f>
        <v>#VALUE!</v>
      </c>
      <c r="R32" t="e">
        <f>AND('SPR BARRANQUILLA'!CN34,"AAAAAH/u/xE=")</f>
        <v>#VALUE!</v>
      </c>
      <c r="S32" t="e">
        <f>AND('SPR BARRANQUILLA'!CO34,"AAAAAH/u/xI=")</f>
        <v>#VALUE!</v>
      </c>
      <c r="T32" t="e">
        <f>AND('SPR BARRANQUILLA'!CP34,"AAAAAH/u/xM=")</f>
        <v>#VALUE!</v>
      </c>
      <c r="U32" t="e">
        <f>AND('SPR BARRANQUILLA'!CQ34,"AAAAAH/u/xQ=")</f>
        <v>#VALUE!</v>
      </c>
      <c r="V32" t="e">
        <f>AND('SPR BARRANQUILLA'!CR34,"AAAAAH/u/xU=")</f>
        <v>#VALUE!</v>
      </c>
      <c r="W32" t="e">
        <f>AND('SPR BARRANQUILLA'!CS34,"AAAAAH/u/xY=")</f>
        <v>#VALUE!</v>
      </c>
      <c r="X32" t="e">
        <f>AND('SPR BARRANQUILLA'!CT34,"AAAAAH/u/xc=")</f>
        <v>#VALUE!</v>
      </c>
      <c r="Y32" t="e">
        <f>AND('SPR BARRANQUILLA'!CU34,"AAAAAH/u/xg=")</f>
        <v>#VALUE!</v>
      </c>
      <c r="Z32" t="e">
        <f>AND('SPR BARRANQUILLA'!CV34,"AAAAAH/u/xk=")</f>
        <v>#VALUE!</v>
      </c>
      <c r="AA32" t="e">
        <f>AND('SPR BARRANQUILLA'!CW34,"AAAAAH/u/xo=")</f>
        <v>#VALUE!</v>
      </c>
      <c r="AB32" t="e">
        <f>AND('SPR BARRANQUILLA'!CX34,"AAAAAH/u/xs=")</f>
        <v>#VALUE!</v>
      </c>
      <c r="AC32" t="e">
        <f>AND('SPR BARRANQUILLA'!CY34,"AAAAAH/u/xw=")</f>
        <v>#VALUE!</v>
      </c>
      <c r="AD32" t="e">
        <f>AND('SPR BARRANQUILLA'!CZ34,"AAAAAH/u/x0=")</f>
        <v>#VALUE!</v>
      </c>
      <c r="AE32" t="e">
        <f>AND('SPR BARRANQUILLA'!DA34,"AAAAAH/u/x4=")</f>
        <v>#VALUE!</v>
      </c>
      <c r="AF32" t="e">
        <f>AND('SPR BARRANQUILLA'!DB34,"AAAAAH/u/x8=")</f>
        <v>#VALUE!</v>
      </c>
      <c r="AG32" t="e">
        <f>AND('SPR BARRANQUILLA'!DC34,"AAAAAH/u/yA=")</f>
        <v>#VALUE!</v>
      </c>
      <c r="AH32" t="e">
        <f>AND('SPR BARRANQUILLA'!DD34,"AAAAAH/u/yE=")</f>
        <v>#VALUE!</v>
      </c>
      <c r="AI32" t="e">
        <f>AND('SPR BARRANQUILLA'!DE34,"AAAAAH/u/yI=")</f>
        <v>#VALUE!</v>
      </c>
      <c r="AJ32" t="e">
        <f>AND('SPR BARRANQUILLA'!DF34,"AAAAAH/u/yM=")</f>
        <v>#VALUE!</v>
      </c>
      <c r="AK32" t="e">
        <f>AND('SPR BARRANQUILLA'!DG34,"AAAAAH/u/yQ=")</f>
        <v>#VALUE!</v>
      </c>
      <c r="AL32" t="e">
        <f>AND('SPR BARRANQUILLA'!DH34,"AAAAAH/u/yU=")</f>
        <v>#VALUE!</v>
      </c>
      <c r="AM32" t="e">
        <f>AND('SPR BARRANQUILLA'!DI34,"AAAAAH/u/yY=")</f>
        <v>#VALUE!</v>
      </c>
      <c r="AN32" t="e">
        <f>AND('SPR BARRANQUILLA'!DJ34,"AAAAAH/u/yc=")</f>
        <v>#VALUE!</v>
      </c>
      <c r="AO32" t="e">
        <f>AND('SPR BARRANQUILLA'!DK34,"AAAAAH/u/yg=")</f>
        <v>#VALUE!</v>
      </c>
      <c r="AP32" t="e">
        <f>AND('SPR BARRANQUILLA'!DL34,"AAAAAH/u/yk=")</f>
        <v>#VALUE!</v>
      </c>
      <c r="AQ32" t="e">
        <f>AND('SPR BARRANQUILLA'!DM34,"AAAAAH/u/yo=")</f>
        <v>#VALUE!</v>
      </c>
      <c r="AR32" t="e">
        <f>AND('SPR BARRANQUILLA'!DN34,"AAAAAH/u/ys=")</f>
        <v>#VALUE!</v>
      </c>
      <c r="AS32" t="e">
        <f>AND('SPR BARRANQUILLA'!DO34,"AAAAAH/u/yw=")</f>
        <v>#VALUE!</v>
      </c>
      <c r="AT32" t="e">
        <f>AND('SPR BARRANQUILLA'!DP34,"AAAAAH/u/y0=")</f>
        <v>#VALUE!</v>
      </c>
      <c r="AU32" t="e">
        <f>AND('SPR BARRANQUILLA'!DQ34,"AAAAAH/u/y4=")</f>
        <v>#VALUE!</v>
      </c>
      <c r="AV32" t="e">
        <f>AND('SPR BARRANQUILLA'!DR34,"AAAAAH/u/y8=")</f>
        <v>#VALUE!</v>
      </c>
      <c r="AW32" t="e">
        <f>AND('SPR BARRANQUILLA'!DS34,"AAAAAH/u/zA=")</f>
        <v>#VALUE!</v>
      </c>
      <c r="AX32" t="e">
        <f>AND('SPR BARRANQUILLA'!DT34,"AAAAAH/u/zE=")</f>
        <v>#VALUE!</v>
      </c>
      <c r="AY32" t="e">
        <f>AND('SPR BARRANQUILLA'!DU34,"AAAAAH/u/zI=")</f>
        <v>#VALUE!</v>
      </c>
      <c r="AZ32" t="e">
        <f>AND('SPR BARRANQUILLA'!DV34,"AAAAAH/u/zM=")</f>
        <v>#VALUE!</v>
      </c>
      <c r="BA32" t="e">
        <f>AND('SPR BARRANQUILLA'!DW34,"AAAAAH/u/zQ=")</f>
        <v>#VALUE!</v>
      </c>
      <c r="BB32" t="e">
        <f>AND('SPR BARRANQUILLA'!DX34,"AAAAAH/u/zU=")</f>
        <v>#VALUE!</v>
      </c>
      <c r="BC32" t="e">
        <f>AND('SPR BARRANQUILLA'!DY34,"AAAAAH/u/zY=")</f>
        <v>#VALUE!</v>
      </c>
      <c r="BD32" t="e">
        <f>AND('SPR BARRANQUILLA'!DZ34,"AAAAAH/u/zc=")</f>
        <v>#VALUE!</v>
      </c>
      <c r="BE32" t="e">
        <f>AND('SPR BARRANQUILLA'!EA34,"AAAAAH/u/zg=")</f>
        <v>#VALUE!</v>
      </c>
      <c r="BF32" t="e">
        <f>AND('SPR BARRANQUILLA'!EB34,"AAAAAH/u/zk=")</f>
        <v>#VALUE!</v>
      </c>
      <c r="BG32" t="e">
        <f>AND('SPR BARRANQUILLA'!EC34,"AAAAAH/u/zo=")</f>
        <v>#VALUE!</v>
      </c>
      <c r="BH32" t="e">
        <f>AND('SPR BARRANQUILLA'!ED34,"AAAAAH/u/zs=")</f>
        <v>#VALUE!</v>
      </c>
      <c r="BI32" t="e">
        <f>AND('SPR BARRANQUILLA'!EE34,"AAAAAH/u/zw=")</f>
        <v>#VALUE!</v>
      </c>
      <c r="BJ32" t="e">
        <f>AND('SPR BARRANQUILLA'!EF34,"AAAAAH/u/z0=")</f>
        <v>#VALUE!</v>
      </c>
      <c r="BK32" t="e">
        <f>AND('SPR BARRANQUILLA'!EG34,"AAAAAH/u/z4=")</f>
        <v>#VALUE!</v>
      </c>
      <c r="BL32" t="e">
        <f>AND('SPR BARRANQUILLA'!EH34,"AAAAAH/u/z8=")</f>
        <v>#VALUE!</v>
      </c>
      <c r="BM32" t="e">
        <f>AND('SPR BARRANQUILLA'!EI34,"AAAAAH/u/0A=")</f>
        <v>#VALUE!</v>
      </c>
      <c r="BN32" t="e">
        <f>AND('SPR BARRANQUILLA'!EJ34,"AAAAAH/u/0E=")</f>
        <v>#VALUE!</v>
      </c>
      <c r="BO32" t="e">
        <f>AND('SPR BARRANQUILLA'!EK34,"AAAAAH/u/0I=")</f>
        <v>#VALUE!</v>
      </c>
      <c r="BP32" t="e">
        <f>AND('SPR BARRANQUILLA'!EL34,"AAAAAH/u/0M=")</f>
        <v>#VALUE!</v>
      </c>
      <c r="BQ32" t="e">
        <f>AND('SPR BARRANQUILLA'!EM34,"AAAAAH/u/0Q=")</f>
        <v>#VALUE!</v>
      </c>
      <c r="BR32" t="e">
        <f>AND('SPR BARRANQUILLA'!EN34,"AAAAAH/u/0U=")</f>
        <v>#VALUE!</v>
      </c>
      <c r="BS32" t="e">
        <f>AND('SPR BARRANQUILLA'!EO34,"AAAAAH/u/0Y=")</f>
        <v>#VALUE!</v>
      </c>
      <c r="BT32" t="e">
        <f>AND('SPR BARRANQUILLA'!EP34,"AAAAAH/u/0c=")</f>
        <v>#VALUE!</v>
      </c>
      <c r="BU32" t="e">
        <f>AND('SPR BARRANQUILLA'!EQ34,"AAAAAH/u/0g=")</f>
        <v>#VALUE!</v>
      </c>
      <c r="BV32" t="e">
        <f>AND('SPR BARRANQUILLA'!ER34,"AAAAAH/u/0k=")</f>
        <v>#VALUE!</v>
      </c>
      <c r="BW32" t="e">
        <f>AND('SPR BARRANQUILLA'!ES34,"AAAAAH/u/0o=")</f>
        <v>#VALUE!</v>
      </c>
      <c r="BX32" t="e">
        <f>AND('SPR BARRANQUILLA'!ET34,"AAAAAH/u/0s=")</f>
        <v>#VALUE!</v>
      </c>
      <c r="BY32" t="e">
        <f>AND('SPR BARRANQUILLA'!EU34,"AAAAAH/u/0w=")</f>
        <v>#VALUE!</v>
      </c>
      <c r="BZ32" t="e">
        <f>AND('SPR BARRANQUILLA'!EV34,"AAAAAH/u/00=")</f>
        <v>#VALUE!</v>
      </c>
      <c r="CA32" t="e">
        <f>AND('SPR BARRANQUILLA'!EW34,"AAAAAH/u/04=")</f>
        <v>#VALUE!</v>
      </c>
      <c r="CB32" t="e">
        <f>AND('SPR BARRANQUILLA'!EX34,"AAAAAH/u/08=")</f>
        <v>#VALUE!</v>
      </c>
      <c r="CC32" t="e">
        <f>AND('SPR BARRANQUILLA'!EY34,"AAAAAH/u/1A=")</f>
        <v>#VALUE!</v>
      </c>
      <c r="CD32" t="e">
        <f>AND('SPR BARRANQUILLA'!EZ34,"AAAAAH/u/1E=")</f>
        <v>#VALUE!</v>
      </c>
      <c r="CE32" t="e">
        <f>AND('SPR BARRANQUILLA'!FA34,"AAAAAH/u/1I=")</f>
        <v>#VALUE!</v>
      </c>
      <c r="CF32" t="e">
        <f>AND('SPR BARRANQUILLA'!FB34,"AAAAAH/u/1M=")</f>
        <v>#VALUE!</v>
      </c>
      <c r="CG32" t="e">
        <f>AND('SPR BARRANQUILLA'!FC34,"AAAAAH/u/1Q=")</f>
        <v>#VALUE!</v>
      </c>
      <c r="CH32" t="e">
        <f>AND('SPR BARRANQUILLA'!FD34,"AAAAAH/u/1U=")</f>
        <v>#VALUE!</v>
      </c>
      <c r="CI32" t="e">
        <f>AND('SPR BARRANQUILLA'!FE34,"AAAAAH/u/1Y=")</f>
        <v>#VALUE!</v>
      </c>
      <c r="CJ32" t="e">
        <f>AND('SPR BARRANQUILLA'!FF34,"AAAAAH/u/1c=")</f>
        <v>#VALUE!</v>
      </c>
      <c r="CK32" t="e">
        <f>AND('SPR BARRANQUILLA'!FG34,"AAAAAH/u/1g=")</f>
        <v>#VALUE!</v>
      </c>
      <c r="CL32" t="e">
        <f>AND('SPR BARRANQUILLA'!FH34,"AAAAAH/u/1k=")</f>
        <v>#VALUE!</v>
      </c>
      <c r="CM32" t="e">
        <f>AND('SPR BARRANQUILLA'!FI34,"AAAAAH/u/1o=")</f>
        <v>#VALUE!</v>
      </c>
      <c r="CN32" t="e">
        <f>AND('SPR BARRANQUILLA'!FJ34,"AAAAAH/u/1s=")</f>
        <v>#VALUE!</v>
      </c>
      <c r="CO32" t="e">
        <f>AND('SPR BARRANQUILLA'!FK34,"AAAAAH/u/1w=")</f>
        <v>#VALUE!</v>
      </c>
      <c r="CP32" t="e">
        <f>AND('SPR BARRANQUILLA'!FL34,"AAAAAH/u/10=")</f>
        <v>#VALUE!</v>
      </c>
      <c r="CQ32" t="e">
        <f>AND('SPR BARRANQUILLA'!FM34,"AAAAAH/u/14=")</f>
        <v>#VALUE!</v>
      </c>
      <c r="CR32" t="e">
        <f>AND('SPR BARRANQUILLA'!FN34,"AAAAAH/u/18=")</f>
        <v>#VALUE!</v>
      </c>
      <c r="CS32" t="e">
        <f>AND('SPR BARRANQUILLA'!FO34,"AAAAAH/u/2A=")</f>
        <v>#VALUE!</v>
      </c>
      <c r="CT32" t="e">
        <f>AND('SPR BARRANQUILLA'!FP34,"AAAAAH/u/2E=")</f>
        <v>#VALUE!</v>
      </c>
      <c r="CU32" t="e">
        <f>AND('SPR BARRANQUILLA'!FQ34,"AAAAAH/u/2I=")</f>
        <v>#VALUE!</v>
      </c>
      <c r="CV32" t="e">
        <f>AND('SPR BARRANQUILLA'!FR34,"AAAAAH/u/2M=")</f>
        <v>#VALUE!</v>
      </c>
      <c r="CW32" t="e">
        <f>AND('SPR BARRANQUILLA'!FS34,"AAAAAH/u/2Q=")</f>
        <v>#VALUE!</v>
      </c>
      <c r="CX32" t="e">
        <f>AND('SPR BARRANQUILLA'!FT34,"AAAAAH/u/2U=")</f>
        <v>#VALUE!</v>
      </c>
      <c r="CY32" t="e">
        <f>AND('SPR BARRANQUILLA'!FU34,"AAAAAH/u/2Y=")</f>
        <v>#VALUE!</v>
      </c>
      <c r="CZ32" t="e">
        <f>AND('SPR BARRANQUILLA'!FV34,"AAAAAH/u/2c=")</f>
        <v>#VALUE!</v>
      </c>
      <c r="DA32" t="e">
        <f>AND('SPR BARRANQUILLA'!FW34,"AAAAAH/u/2g=")</f>
        <v>#VALUE!</v>
      </c>
      <c r="DB32" t="e">
        <f>AND('SPR BARRANQUILLA'!FX34,"AAAAAH/u/2k=")</f>
        <v>#VALUE!</v>
      </c>
      <c r="DC32" t="e">
        <f>AND('SPR BARRANQUILLA'!FY34,"AAAAAH/u/2o=")</f>
        <v>#VALUE!</v>
      </c>
      <c r="DD32" t="e">
        <f>AND('SPR BARRANQUILLA'!FZ34,"AAAAAH/u/2s=")</f>
        <v>#VALUE!</v>
      </c>
      <c r="DE32" t="e">
        <f>AND('SPR BARRANQUILLA'!GA34,"AAAAAH/u/2w=")</f>
        <v>#VALUE!</v>
      </c>
      <c r="DF32" t="e">
        <f>AND('SPR BARRANQUILLA'!GB34,"AAAAAH/u/20=")</f>
        <v>#VALUE!</v>
      </c>
      <c r="DG32" t="e">
        <f>AND('SPR BARRANQUILLA'!GC34,"AAAAAH/u/24=")</f>
        <v>#VALUE!</v>
      </c>
      <c r="DH32" t="e">
        <f>AND('SPR BARRANQUILLA'!GD34,"AAAAAH/u/28=")</f>
        <v>#VALUE!</v>
      </c>
      <c r="DI32" t="e">
        <f>AND('SPR BARRANQUILLA'!GE34,"AAAAAH/u/3A=")</f>
        <v>#VALUE!</v>
      </c>
      <c r="DJ32" t="e">
        <f>AND('SPR BARRANQUILLA'!GF34,"AAAAAH/u/3E=")</f>
        <v>#VALUE!</v>
      </c>
      <c r="DK32" t="e">
        <f>AND('SPR BARRANQUILLA'!GG34,"AAAAAH/u/3I=")</f>
        <v>#VALUE!</v>
      </c>
      <c r="DL32" t="e">
        <f>AND('SPR BARRANQUILLA'!GH34,"AAAAAH/u/3M=")</f>
        <v>#VALUE!</v>
      </c>
      <c r="DM32" t="e">
        <f>AND('SPR BARRANQUILLA'!GI34,"AAAAAH/u/3Q=")</f>
        <v>#VALUE!</v>
      </c>
      <c r="DN32" t="e">
        <f>AND('SPR BARRANQUILLA'!GJ34,"AAAAAH/u/3U=")</f>
        <v>#VALUE!</v>
      </c>
      <c r="DO32" t="e">
        <f>AND('SPR BARRANQUILLA'!GK34,"AAAAAH/u/3Y=")</f>
        <v>#VALUE!</v>
      </c>
      <c r="DP32" t="e">
        <f>AND('SPR BARRANQUILLA'!GL34,"AAAAAH/u/3c=")</f>
        <v>#VALUE!</v>
      </c>
      <c r="DQ32" t="e">
        <f>AND('SPR BARRANQUILLA'!GM34,"AAAAAH/u/3g=")</f>
        <v>#VALUE!</v>
      </c>
      <c r="DR32" t="e">
        <f>AND('SPR BARRANQUILLA'!GN34,"AAAAAH/u/3k=")</f>
        <v>#VALUE!</v>
      </c>
      <c r="DS32" t="e">
        <f>AND('SPR BARRANQUILLA'!GO34,"AAAAAH/u/3o=")</f>
        <v>#VALUE!</v>
      </c>
      <c r="DT32" t="e">
        <f>AND('SPR BARRANQUILLA'!GP34,"AAAAAH/u/3s=")</f>
        <v>#VALUE!</v>
      </c>
      <c r="DU32" t="e">
        <f>AND('SPR BARRANQUILLA'!GQ34,"AAAAAH/u/3w=")</f>
        <v>#VALUE!</v>
      </c>
      <c r="DV32" t="e">
        <f>AND('SPR BARRANQUILLA'!GR34,"AAAAAH/u/30=")</f>
        <v>#VALUE!</v>
      </c>
      <c r="DW32" t="e">
        <f>AND('SPR BARRANQUILLA'!GS34,"AAAAAH/u/34=")</f>
        <v>#VALUE!</v>
      </c>
      <c r="DX32" t="e">
        <f>AND('SPR BARRANQUILLA'!GT34,"AAAAAH/u/38=")</f>
        <v>#VALUE!</v>
      </c>
      <c r="DY32" t="e">
        <f>AND('SPR BARRANQUILLA'!GU34,"AAAAAH/u/4A=")</f>
        <v>#VALUE!</v>
      </c>
      <c r="DZ32" t="e">
        <f>AND('SPR BARRANQUILLA'!GV34,"AAAAAH/u/4E=")</f>
        <v>#VALUE!</v>
      </c>
      <c r="EA32" t="e">
        <f>AND('SPR BARRANQUILLA'!GW34,"AAAAAH/u/4I=")</f>
        <v>#VALUE!</v>
      </c>
      <c r="EB32" t="e">
        <f>AND('SPR BARRANQUILLA'!GX34,"AAAAAH/u/4M=")</f>
        <v>#VALUE!</v>
      </c>
      <c r="EC32" t="e">
        <f>AND('SPR BARRANQUILLA'!GY34,"AAAAAH/u/4Q=")</f>
        <v>#VALUE!</v>
      </c>
      <c r="ED32">
        <f>IF('SPR BARRANQUILLA'!35:35,"AAAAAH/u/4U=",0)</f>
        <v>0</v>
      </c>
      <c r="EE32" t="e">
        <f>AND('SPR BARRANQUILLA'!A35,"AAAAAH/u/4Y=")</f>
        <v>#VALUE!</v>
      </c>
      <c r="EF32" t="e">
        <f>AND('SPR BARRANQUILLA'!B35,"AAAAAH/u/4c=")</f>
        <v>#VALUE!</v>
      </c>
      <c r="EG32" t="e">
        <f>AND('SPR BARRANQUILLA'!C35,"AAAAAH/u/4g=")</f>
        <v>#VALUE!</v>
      </c>
      <c r="EH32" t="e">
        <f>AND('SPR BARRANQUILLA'!D35,"AAAAAH/u/4k=")</f>
        <v>#VALUE!</v>
      </c>
      <c r="EI32" t="e">
        <f>AND('SPR BARRANQUILLA'!E35,"AAAAAH/u/4o=")</f>
        <v>#VALUE!</v>
      </c>
      <c r="EJ32" t="e">
        <f>AND('SPR BARRANQUILLA'!F35,"AAAAAH/u/4s=")</f>
        <v>#VALUE!</v>
      </c>
      <c r="EK32" t="e">
        <f>AND('SPR BARRANQUILLA'!G35,"AAAAAH/u/4w=")</f>
        <v>#VALUE!</v>
      </c>
      <c r="EL32" t="e">
        <f>AND('SPR BARRANQUILLA'!H35,"AAAAAH/u/40=")</f>
        <v>#VALUE!</v>
      </c>
      <c r="EM32" t="e">
        <f>AND('SPR BARRANQUILLA'!I35,"AAAAAH/u/44=")</f>
        <v>#VALUE!</v>
      </c>
      <c r="EN32" t="e">
        <f>AND('SPR BARRANQUILLA'!J35,"AAAAAH/u/48=")</f>
        <v>#VALUE!</v>
      </c>
      <c r="EO32" t="e">
        <f>AND('SPR BARRANQUILLA'!K35,"AAAAAH/u/5A=")</f>
        <v>#VALUE!</v>
      </c>
      <c r="EP32" t="e">
        <f>AND('SPR BARRANQUILLA'!L35,"AAAAAH/u/5E=")</f>
        <v>#VALUE!</v>
      </c>
      <c r="EQ32" t="e">
        <f>AND('SPR BARRANQUILLA'!M35,"AAAAAH/u/5I=")</f>
        <v>#VALUE!</v>
      </c>
      <c r="ER32" t="e">
        <f>AND('SPR BARRANQUILLA'!N35,"AAAAAH/u/5M=")</f>
        <v>#VALUE!</v>
      </c>
      <c r="ES32" t="e">
        <f>AND('SPR BARRANQUILLA'!O35,"AAAAAH/u/5Q=")</f>
        <v>#VALUE!</v>
      </c>
      <c r="ET32" t="e">
        <f>AND('SPR BARRANQUILLA'!P35,"AAAAAH/u/5U=")</f>
        <v>#VALUE!</v>
      </c>
      <c r="EU32" t="e">
        <f>AND('SPR BARRANQUILLA'!Q35,"AAAAAH/u/5Y=")</f>
        <v>#VALUE!</v>
      </c>
      <c r="EV32" t="e">
        <f>AND('SPR BARRANQUILLA'!R35,"AAAAAH/u/5c=")</f>
        <v>#VALUE!</v>
      </c>
      <c r="EW32" t="e">
        <f>AND('SPR BARRANQUILLA'!S35,"AAAAAH/u/5g=")</f>
        <v>#VALUE!</v>
      </c>
      <c r="EX32" t="e">
        <f>AND('SPR BARRANQUILLA'!T35,"AAAAAH/u/5k=")</f>
        <v>#VALUE!</v>
      </c>
      <c r="EY32" t="e">
        <f>AND('SPR BARRANQUILLA'!U35,"AAAAAH/u/5o=")</f>
        <v>#VALUE!</v>
      </c>
      <c r="EZ32" t="e">
        <f>AND('SPR BARRANQUILLA'!V35,"AAAAAH/u/5s=")</f>
        <v>#VALUE!</v>
      </c>
      <c r="FA32" t="e">
        <f>AND('SPR BARRANQUILLA'!W35,"AAAAAH/u/5w=")</f>
        <v>#VALUE!</v>
      </c>
      <c r="FB32" t="e">
        <f>AND('SPR BARRANQUILLA'!X35,"AAAAAH/u/50=")</f>
        <v>#VALUE!</v>
      </c>
      <c r="FC32" t="e">
        <f>AND('SPR BARRANQUILLA'!Y35,"AAAAAH/u/54=")</f>
        <v>#VALUE!</v>
      </c>
      <c r="FD32" t="e">
        <f>AND('SPR BARRANQUILLA'!Z35,"AAAAAH/u/58=")</f>
        <v>#VALUE!</v>
      </c>
      <c r="FE32" t="e">
        <f>AND('SPR BARRANQUILLA'!AA35,"AAAAAH/u/6A=")</f>
        <v>#VALUE!</v>
      </c>
      <c r="FF32" t="e">
        <f>AND('SPR BARRANQUILLA'!AB35,"AAAAAH/u/6E=")</f>
        <v>#VALUE!</v>
      </c>
      <c r="FG32" t="e">
        <f>AND('SPR BARRANQUILLA'!AC35,"AAAAAH/u/6I=")</f>
        <v>#VALUE!</v>
      </c>
      <c r="FH32" t="e">
        <f>AND('SPR BARRANQUILLA'!AD35,"AAAAAH/u/6M=")</f>
        <v>#VALUE!</v>
      </c>
      <c r="FI32" t="e">
        <f>AND('SPR BARRANQUILLA'!AE35,"AAAAAH/u/6Q=")</f>
        <v>#VALUE!</v>
      </c>
      <c r="FJ32" t="e">
        <f>AND('SPR BARRANQUILLA'!AF35,"AAAAAH/u/6U=")</f>
        <v>#VALUE!</v>
      </c>
      <c r="FK32" t="e">
        <f>AND('SPR BARRANQUILLA'!AG35,"AAAAAH/u/6Y=")</f>
        <v>#VALUE!</v>
      </c>
      <c r="FL32" t="e">
        <f>AND('SPR BARRANQUILLA'!AH35,"AAAAAH/u/6c=")</f>
        <v>#VALUE!</v>
      </c>
      <c r="FM32" t="e">
        <f>AND('SPR BARRANQUILLA'!AI35,"AAAAAH/u/6g=")</f>
        <v>#VALUE!</v>
      </c>
      <c r="FN32" t="e">
        <f>AND('SPR BARRANQUILLA'!AJ35,"AAAAAH/u/6k=")</f>
        <v>#VALUE!</v>
      </c>
      <c r="FO32" t="e">
        <f>AND('SPR BARRANQUILLA'!AK35,"AAAAAH/u/6o=")</f>
        <v>#VALUE!</v>
      </c>
      <c r="FP32" t="e">
        <f>AND('SPR BARRANQUILLA'!AL35,"AAAAAH/u/6s=")</f>
        <v>#VALUE!</v>
      </c>
      <c r="FQ32" t="e">
        <f>AND('SPR BARRANQUILLA'!AM35,"AAAAAH/u/6w=")</f>
        <v>#VALUE!</v>
      </c>
      <c r="FR32" t="e">
        <f>AND('SPR BARRANQUILLA'!AN35,"AAAAAH/u/60=")</f>
        <v>#VALUE!</v>
      </c>
      <c r="FS32" t="e">
        <f>AND('SPR BARRANQUILLA'!AO35,"AAAAAH/u/64=")</f>
        <v>#VALUE!</v>
      </c>
      <c r="FT32" t="e">
        <f>AND('SPR BARRANQUILLA'!AP35,"AAAAAH/u/68=")</f>
        <v>#VALUE!</v>
      </c>
      <c r="FU32" t="e">
        <f>AND('SPR BARRANQUILLA'!AQ35,"AAAAAH/u/7A=")</f>
        <v>#VALUE!</v>
      </c>
      <c r="FV32" t="e">
        <f>AND('SPR BARRANQUILLA'!AR35,"AAAAAH/u/7E=")</f>
        <v>#VALUE!</v>
      </c>
      <c r="FW32" t="e">
        <f>AND('SPR BARRANQUILLA'!AS35,"AAAAAH/u/7I=")</f>
        <v>#VALUE!</v>
      </c>
      <c r="FX32" t="e">
        <f>AND('SPR BARRANQUILLA'!AT35,"AAAAAH/u/7M=")</f>
        <v>#VALUE!</v>
      </c>
      <c r="FY32" t="e">
        <f>AND('SPR BARRANQUILLA'!AU35,"AAAAAH/u/7Q=")</f>
        <v>#VALUE!</v>
      </c>
      <c r="FZ32" t="e">
        <f>AND('SPR BARRANQUILLA'!AV35,"AAAAAH/u/7U=")</f>
        <v>#VALUE!</v>
      </c>
      <c r="GA32" t="e">
        <f>AND('SPR BARRANQUILLA'!AW35,"AAAAAH/u/7Y=")</f>
        <v>#VALUE!</v>
      </c>
      <c r="GB32" t="e">
        <f>AND('SPR BARRANQUILLA'!AX35,"AAAAAH/u/7c=")</f>
        <v>#VALUE!</v>
      </c>
      <c r="GC32" t="e">
        <f>AND('SPR BARRANQUILLA'!AY35,"AAAAAH/u/7g=")</f>
        <v>#VALUE!</v>
      </c>
      <c r="GD32" t="e">
        <f>AND('SPR BARRANQUILLA'!AZ35,"AAAAAH/u/7k=")</f>
        <v>#VALUE!</v>
      </c>
      <c r="GE32" t="e">
        <f>AND('SPR BARRANQUILLA'!BA35,"AAAAAH/u/7o=")</f>
        <v>#VALUE!</v>
      </c>
      <c r="GF32" t="e">
        <f>AND('SPR BARRANQUILLA'!BB35,"AAAAAH/u/7s=")</f>
        <v>#VALUE!</v>
      </c>
      <c r="GG32" t="e">
        <f>AND('SPR BARRANQUILLA'!BC35,"AAAAAH/u/7w=")</f>
        <v>#VALUE!</v>
      </c>
      <c r="GH32" t="e">
        <f>AND('SPR BARRANQUILLA'!BD35,"AAAAAH/u/70=")</f>
        <v>#VALUE!</v>
      </c>
      <c r="GI32" t="e">
        <f>AND('SPR BARRANQUILLA'!BE35,"AAAAAH/u/74=")</f>
        <v>#VALUE!</v>
      </c>
      <c r="GJ32" t="e">
        <f>AND('SPR BARRANQUILLA'!BF35,"AAAAAH/u/78=")</f>
        <v>#VALUE!</v>
      </c>
      <c r="GK32" t="e">
        <f>AND('SPR BARRANQUILLA'!BG35,"AAAAAH/u/8A=")</f>
        <v>#VALUE!</v>
      </c>
      <c r="GL32" t="e">
        <f>AND('SPR BARRANQUILLA'!BH35,"AAAAAH/u/8E=")</f>
        <v>#VALUE!</v>
      </c>
      <c r="GM32" t="e">
        <f>AND('SPR BARRANQUILLA'!BI35,"AAAAAH/u/8I=")</f>
        <v>#VALUE!</v>
      </c>
      <c r="GN32" t="e">
        <f>AND('SPR BARRANQUILLA'!BJ35,"AAAAAH/u/8M=")</f>
        <v>#VALUE!</v>
      </c>
      <c r="GO32" t="e">
        <f>AND('SPR BARRANQUILLA'!BK35,"AAAAAH/u/8Q=")</f>
        <v>#VALUE!</v>
      </c>
      <c r="GP32" t="e">
        <f>AND('SPR BARRANQUILLA'!BL35,"AAAAAH/u/8U=")</f>
        <v>#VALUE!</v>
      </c>
      <c r="GQ32" t="e">
        <f>AND('SPR BARRANQUILLA'!BM35,"AAAAAH/u/8Y=")</f>
        <v>#VALUE!</v>
      </c>
      <c r="GR32" t="e">
        <f>AND('SPR BARRANQUILLA'!BN35,"AAAAAH/u/8c=")</f>
        <v>#VALUE!</v>
      </c>
      <c r="GS32" t="e">
        <f>AND('SPR BARRANQUILLA'!BO35,"AAAAAH/u/8g=")</f>
        <v>#VALUE!</v>
      </c>
      <c r="GT32" t="e">
        <f>AND('SPR BARRANQUILLA'!BP35,"AAAAAH/u/8k=")</f>
        <v>#VALUE!</v>
      </c>
      <c r="GU32" t="e">
        <f>AND('SPR BARRANQUILLA'!BQ35,"AAAAAH/u/8o=")</f>
        <v>#VALUE!</v>
      </c>
      <c r="GV32" t="e">
        <f>AND('SPR BARRANQUILLA'!BR35,"AAAAAH/u/8s=")</f>
        <v>#VALUE!</v>
      </c>
      <c r="GW32" t="e">
        <f>AND('SPR BARRANQUILLA'!BS35,"AAAAAH/u/8w=")</f>
        <v>#VALUE!</v>
      </c>
      <c r="GX32" t="e">
        <f>AND('SPR BARRANQUILLA'!BT35,"AAAAAH/u/80=")</f>
        <v>#VALUE!</v>
      </c>
      <c r="GY32" t="e">
        <f>AND('SPR BARRANQUILLA'!BU35,"AAAAAH/u/84=")</f>
        <v>#VALUE!</v>
      </c>
      <c r="GZ32" t="e">
        <f>AND('SPR BARRANQUILLA'!BV35,"AAAAAH/u/88=")</f>
        <v>#VALUE!</v>
      </c>
      <c r="HA32" t="e">
        <f>AND('SPR BARRANQUILLA'!BW35,"AAAAAH/u/9A=")</f>
        <v>#VALUE!</v>
      </c>
      <c r="HB32" t="e">
        <f>AND('SPR BARRANQUILLA'!BX35,"AAAAAH/u/9E=")</f>
        <v>#VALUE!</v>
      </c>
      <c r="HC32" t="e">
        <f>AND('SPR BARRANQUILLA'!BY35,"AAAAAH/u/9I=")</f>
        <v>#VALUE!</v>
      </c>
      <c r="HD32" t="e">
        <f>AND('SPR BARRANQUILLA'!BZ35,"AAAAAH/u/9M=")</f>
        <v>#VALUE!</v>
      </c>
      <c r="HE32" t="e">
        <f>AND('SPR BARRANQUILLA'!CA35,"AAAAAH/u/9Q=")</f>
        <v>#VALUE!</v>
      </c>
      <c r="HF32" t="e">
        <f>AND('SPR BARRANQUILLA'!CB35,"AAAAAH/u/9U=")</f>
        <v>#VALUE!</v>
      </c>
      <c r="HG32" t="e">
        <f>AND('SPR BARRANQUILLA'!CC35,"AAAAAH/u/9Y=")</f>
        <v>#VALUE!</v>
      </c>
      <c r="HH32" t="e">
        <f>AND('SPR BARRANQUILLA'!CD35,"AAAAAH/u/9c=")</f>
        <v>#VALUE!</v>
      </c>
      <c r="HI32" t="e">
        <f>AND('SPR BARRANQUILLA'!CE35,"AAAAAH/u/9g=")</f>
        <v>#VALUE!</v>
      </c>
      <c r="HJ32" t="e">
        <f>AND('SPR BARRANQUILLA'!CF35,"AAAAAH/u/9k=")</f>
        <v>#VALUE!</v>
      </c>
      <c r="HK32" t="e">
        <f>AND('SPR BARRANQUILLA'!CG35,"AAAAAH/u/9o=")</f>
        <v>#VALUE!</v>
      </c>
      <c r="HL32" t="e">
        <f>AND('SPR BARRANQUILLA'!CH35,"AAAAAH/u/9s=")</f>
        <v>#VALUE!</v>
      </c>
      <c r="HM32" t="e">
        <f>AND('SPR BARRANQUILLA'!CI35,"AAAAAH/u/9w=")</f>
        <v>#VALUE!</v>
      </c>
      <c r="HN32" t="e">
        <f>AND('SPR BARRANQUILLA'!CJ35,"AAAAAH/u/90=")</f>
        <v>#VALUE!</v>
      </c>
      <c r="HO32" t="e">
        <f>AND('SPR BARRANQUILLA'!CK35,"AAAAAH/u/94=")</f>
        <v>#VALUE!</v>
      </c>
      <c r="HP32" t="e">
        <f>AND('SPR BARRANQUILLA'!CL35,"AAAAAH/u/98=")</f>
        <v>#VALUE!</v>
      </c>
      <c r="HQ32" t="e">
        <f>AND('SPR BARRANQUILLA'!CM35,"AAAAAH/u/+A=")</f>
        <v>#VALUE!</v>
      </c>
      <c r="HR32" t="e">
        <f>AND('SPR BARRANQUILLA'!CN35,"AAAAAH/u/+E=")</f>
        <v>#VALUE!</v>
      </c>
      <c r="HS32" t="e">
        <f>AND('SPR BARRANQUILLA'!CO35,"AAAAAH/u/+I=")</f>
        <v>#VALUE!</v>
      </c>
      <c r="HT32" t="e">
        <f>AND('SPR BARRANQUILLA'!CP35,"AAAAAH/u/+M=")</f>
        <v>#VALUE!</v>
      </c>
      <c r="HU32" t="e">
        <f>AND('SPR BARRANQUILLA'!CQ35,"AAAAAH/u/+Q=")</f>
        <v>#VALUE!</v>
      </c>
      <c r="HV32" t="e">
        <f>AND('SPR BARRANQUILLA'!CR35,"AAAAAH/u/+U=")</f>
        <v>#VALUE!</v>
      </c>
      <c r="HW32" t="e">
        <f>AND('SPR BARRANQUILLA'!CS35,"AAAAAH/u/+Y=")</f>
        <v>#VALUE!</v>
      </c>
      <c r="HX32" t="e">
        <f>AND('SPR BARRANQUILLA'!CT35,"AAAAAH/u/+c=")</f>
        <v>#VALUE!</v>
      </c>
      <c r="HY32" t="e">
        <f>AND('SPR BARRANQUILLA'!CU35,"AAAAAH/u/+g=")</f>
        <v>#VALUE!</v>
      </c>
      <c r="HZ32" t="e">
        <f>AND('SPR BARRANQUILLA'!CV35,"AAAAAH/u/+k=")</f>
        <v>#VALUE!</v>
      </c>
      <c r="IA32" t="e">
        <f>AND('SPR BARRANQUILLA'!CW35,"AAAAAH/u/+o=")</f>
        <v>#VALUE!</v>
      </c>
      <c r="IB32" t="e">
        <f>AND('SPR BARRANQUILLA'!CX35,"AAAAAH/u/+s=")</f>
        <v>#VALUE!</v>
      </c>
      <c r="IC32" t="e">
        <f>AND('SPR BARRANQUILLA'!CY35,"AAAAAH/u/+w=")</f>
        <v>#VALUE!</v>
      </c>
      <c r="ID32" t="e">
        <f>AND('SPR BARRANQUILLA'!CZ35,"AAAAAH/u/+0=")</f>
        <v>#VALUE!</v>
      </c>
      <c r="IE32" t="e">
        <f>AND('SPR BARRANQUILLA'!DA35,"AAAAAH/u/+4=")</f>
        <v>#VALUE!</v>
      </c>
      <c r="IF32" t="e">
        <f>AND('SPR BARRANQUILLA'!DB35,"AAAAAH/u/+8=")</f>
        <v>#VALUE!</v>
      </c>
      <c r="IG32" t="e">
        <f>AND('SPR BARRANQUILLA'!DC35,"AAAAAH/u//A=")</f>
        <v>#VALUE!</v>
      </c>
      <c r="IH32" t="e">
        <f>AND('SPR BARRANQUILLA'!DD35,"AAAAAH/u//E=")</f>
        <v>#VALUE!</v>
      </c>
      <c r="II32" t="e">
        <f>AND('SPR BARRANQUILLA'!DE35,"AAAAAH/u//I=")</f>
        <v>#VALUE!</v>
      </c>
      <c r="IJ32" t="e">
        <f>AND('SPR BARRANQUILLA'!DF35,"AAAAAH/u//M=")</f>
        <v>#VALUE!</v>
      </c>
      <c r="IK32" t="e">
        <f>AND('SPR BARRANQUILLA'!DG35,"AAAAAH/u//Q=")</f>
        <v>#VALUE!</v>
      </c>
      <c r="IL32" t="e">
        <f>AND('SPR BARRANQUILLA'!DH35,"AAAAAH/u//U=")</f>
        <v>#VALUE!</v>
      </c>
      <c r="IM32" t="e">
        <f>AND('SPR BARRANQUILLA'!DI35,"AAAAAH/u//Y=")</f>
        <v>#VALUE!</v>
      </c>
      <c r="IN32" t="e">
        <f>AND('SPR BARRANQUILLA'!DJ35,"AAAAAH/u//c=")</f>
        <v>#VALUE!</v>
      </c>
      <c r="IO32" t="e">
        <f>AND('SPR BARRANQUILLA'!DK35,"AAAAAH/u//g=")</f>
        <v>#VALUE!</v>
      </c>
      <c r="IP32" t="e">
        <f>AND('SPR BARRANQUILLA'!DL35,"AAAAAH/u//k=")</f>
        <v>#VALUE!</v>
      </c>
      <c r="IQ32" t="e">
        <f>AND('SPR BARRANQUILLA'!DM35,"AAAAAH/u//o=")</f>
        <v>#VALUE!</v>
      </c>
      <c r="IR32" t="e">
        <f>AND('SPR BARRANQUILLA'!DN35,"AAAAAH/u//s=")</f>
        <v>#VALUE!</v>
      </c>
      <c r="IS32" t="e">
        <f>AND('SPR BARRANQUILLA'!DO35,"AAAAAH/u//w=")</f>
        <v>#VALUE!</v>
      </c>
      <c r="IT32" t="e">
        <f>AND('SPR BARRANQUILLA'!DP35,"AAAAAH/u//0=")</f>
        <v>#VALUE!</v>
      </c>
      <c r="IU32" t="e">
        <f>AND('SPR BARRANQUILLA'!DQ35,"AAAAAH/u//4=")</f>
        <v>#VALUE!</v>
      </c>
      <c r="IV32" t="e">
        <f>AND('SPR BARRANQUILLA'!DR35,"AAAAAH/u//8=")</f>
        <v>#VALUE!</v>
      </c>
    </row>
    <row r="33" spans="1:256">
      <c r="A33" t="e">
        <f>AND('SPR BARRANQUILLA'!DS35,"AAAAAEY/vwA=")</f>
        <v>#VALUE!</v>
      </c>
      <c r="B33" t="e">
        <f>AND('SPR BARRANQUILLA'!DT35,"AAAAAEY/vwE=")</f>
        <v>#VALUE!</v>
      </c>
      <c r="C33" t="e">
        <f>AND('SPR BARRANQUILLA'!DU35,"AAAAAEY/vwI=")</f>
        <v>#VALUE!</v>
      </c>
      <c r="D33" t="e">
        <f>AND('SPR BARRANQUILLA'!DV35,"AAAAAEY/vwM=")</f>
        <v>#VALUE!</v>
      </c>
      <c r="E33" t="e">
        <f>AND('SPR BARRANQUILLA'!DW35,"AAAAAEY/vwQ=")</f>
        <v>#VALUE!</v>
      </c>
      <c r="F33" t="e">
        <f>AND('SPR BARRANQUILLA'!DX35,"AAAAAEY/vwU=")</f>
        <v>#VALUE!</v>
      </c>
      <c r="G33" t="e">
        <f>AND('SPR BARRANQUILLA'!DY35,"AAAAAEY/vwY=")</f>
        <v>#VALUE!</v>
      </c>
      <c r="H33" t="e">
        <f>AND('SPR BARRANQUILLA'!DZ35,"AAAAAEY/vwc=")</f>
        <v>#VALUE!</v>
      </c>
      <c r="I33" t="e">
        <f>AND('SPR BARRANQUILLA'!EA35,"AAAAAEY/vwg=")</f>
        <v>#VALUE!</v>
      </c>
      <c r="J33" t="e">
        <f>AND('SPR BARRANQUILLA'!EB35,"AAAAAEY/vwk=")</f>
        <v>#VALUE!</v>
      </c>
      <c r="K33" t="e">
        <f>AND('SPR BARRANQUILLA'!EC35,"AAAAAEY/vwo=")</f>
        <v>#VALUE!</v>
      </c>
      <c r="L33" t="e">
        <f>AND('SPR BARRANQUILLA'!ED35,"AAAAAEY/vws=")</f>
        <v>#VALUE!</v>
      </c>
      <c r="M33" t="e">
        <f>AND('SPR BARRANQUILLA'!EE35,"AAAAAEY/vww=")</f>
        <v>#VALUE!</v>
      </c>
      <c r="N33" t="e">
        <f>AND('SPR BARRANQUILLA'!EF35,"AAAAAEY/vw0=")</f>
        <v>#VALUE!</v>
      </c>
      <c r="O33" t="e">
        <f>AND('SPR BARRANQUILLA'!EG35,"AAAAAEY/vw4=")</f>
        <v>#VALUE!</v>
      </c>
      <c r="P33" t="e">
        <f>AND('SPR BARRANQUILLA'!EH35,"AAAAAEY/vw8=")</f>
        <v>#VALUE!</v>
      </c>
      <c r="Q33" t="e">
        <f>AND('SPR BARRANQUILLA'!EI35,"AAAAAEY/vxA=")</f>
        <v>#VALUE!</v>
      </c>
      <c r="R33" t="e">
        <f>AND('SPR BARRANQUILLA'!EJ35,"AAAAAEY/vxE=")</f>
        <v>#VALUE!</v>
      </c>
      <c r="S33" t="e">
        <f>AND('SPR BARRANQUILLA'!EK35,"AAAAAEY/vxI=")</f>
        <v>#VALUE!</v>
      </c>
      <c r="T33" t="e">
        <f>AND('SPR BARRANQUILLA'!EL35,"AAAAAEY/vxM=")</f>
        <v>#VALUE!</v>
      </c>
      <c r="U33" t="e">
        <f>AND('SPR BARRANQUILLA'!EM35,"AAAAAEY/vxQ=")</f>
        <v>#VALUE!</v>
      </c>
      <c r="V33" t="e">
        <f>AND('SPR BARRANQUILLA'!EN35,"AAAAAEY/vxU=")</f>
        <v>#VALUE!</v>
      </c>
      <c r="W33" t="e">
        <f>AND('SPR BARRANQUILLA'!EO35,"AAAAAEY/vxY=")</f>
        <v>#VALUE!</v>
      </c>
      <c r="X33" t="e">
        <f>AND('SPR BARRANQUILLA'!EP35,"AAAAAEY/vxc=")</f>
        <v>#VALUE!</v>
      </c>
      <c r="Y33" t="e">
        <f>AND('SPR BARRANQUILLA'!EQ35,"AAAAAEY/vxg=")</f>
        <v>#VALUE!</v>
      </c>
      <c r="Z33" t="e">
        <f>AND('SPR BARRANQUILLA'!ER35,"AAAAAEY/vxk=")</f>
        <v>#VALUE!</v>
      </c>
      <c r="AA33" t="e">
        <f>AND('SPR BARRANQUILLA'!ES35,"AAAAAEY/vxo=")</f>
        <v>#VALUE!</v>
      </c>
      <c r="AB33" t="e">
        <f>AND('SPR BARRANQUILLA'!ET35,"AAAAAEY/vxs=")</f>
        <v>#VALUE!</v>
      </c>
      <c r="AC33" t="e">
        <f>AND('SPR BARRANQUILLA'!EU35,"AAAAAEY/vxw=")</f>
        <v>#VALUE!</v>
      </c>
      <c r="AD33" t="e">
        <f>AND('SPR BARRANQUILLA'!EV35,"AAAAAEY/vx0=")</f>
        <v>#VALUE!</v>
      </c>
      <c r="AE33" t="e">
        <f>AND('SPR BARRANQUILLA'!EW35,"AAAAAEY/vx4=")</f>
        <v>#VALUE!</v>
      </c>
      <c r="AF33" t="e">
        <f>AND('SPR BARRANQUILLA'!EX35,"AAAAAEY/vx8=")</f>
        <v>#VALUE!</v>
      </c>
      <c r="AG33" t="e">
        <f>AND('SPR BARRANQUILLA'!EY35,"AAAAAEY/vyA=")</f>
        <v>#VALUE!</v>
      </c>
      <c r="AH33" t="e">
        <f>AND('SPR BARRANQUILLA'!EZ35,"AAAAAEY/vyE=")</f>
        <v>#VALUE!</v>
      </c>
      <c r="AI33" t="e">
        <f>AND('SPR BARRANQUILLA'!FA35,"AAAAAEY/vyI=")</f>
        <v>#VALUE!</v>
      </c>
      <c r="AJ33" t="e">
        <f>AND('SPR BARRANQUILLA'!FB35,"AAAAAEY/vyM=")</f>
        <v>#VALUE!</v>
      </c>
      <c r="AK33" t="e">
        <f>AND('SPR BARRANQUILLA'!FC35,"AAAAAEY/vyQ=")</f>
        <v>#VALUE!</v>
      </c>
      <c r="AL33" t="e">
        <f>AND('SPR BARRANQUILLA'!FD35,"AAAAAEY/vyU=")</f>
        <v>#VALUE!</v>
      </c>
      <c r="AM33" t="e">
        <f>AND('SPR BARRANQUILLA'!FE35,"AAAAAEY/vyY=")</f>
        <v>#VALUE!</v>
      </c>
      <c r="AN33" t="e">
        <f>AND('SPR BARRANQUILLA'!FF35,"AAAAAEY/vyc=")</f>
        <v>#VALUE!</v>
      </c>
      <c r="AO33" t="e">
        <f>AND('SPR BARRANQUILLA'!FG35,"AAAAAEY/vyg=")</f>
        <v>#VALUE!</v>
      </c>
      <c r="AP33" t="e">
        <f>AND('SPR BARRANQUILLA'!FH35,"AAAAAEY/vyk=")</f>
        <v>#VALUE!</v>
      </c>
      <c r="AQ33" t="e">
        <f>AND('SPR BARRANQUILLA'!FI35,"AAAAAEY/vyo=")</f>
        <v>#VALUE!</v>
      </c>
      <c r="AR33" t="e">
        <f>AND('SPR BARRANQUILLA'!FJ35,"AAAAAEY/vys=")</f>
        <v>#VALUE!</v>
      </c>
      <c r="AS33" t="e">
        <f>AND('SPR BARRANQUILLA'!FK35,"AAAAAEY/vyw=")</f>
        <v>#VALUE!</v>
      </c>
      <c r="AT33" t="e">
        <f>AND('SPR BARRANQUILLA'!FL35,"AAAAAEY/vy0=")</f>
        <v>#VALUE!</v>
      </c>
      <c r="AU33" t="e">
        <f>AND('SPR BARRANQUILLA'!FM35,"AAAAAEY/vy4=")</f>
        <v>#VALUE!</v>
      </c>
      <c r="AV33" t="e">
        <f>AND('SPR BARRANQUILLA'!FN35,"AAAAAEY/vy8=")</f>
        <v>#VALUE!</v>
      </c>
      <c r="AW33" t="e">
        <f>AND('SPR BARRANQUILLA'!FO35,"AAAAAEY/vzA=")</f>
        <v>#VALUE!</v>
      </c>
      <c r="AX33" t="e">
        <f>AND('SPR BARRANQUILLA'!FP35,"AAAAAEY/vzE=")</f>
        <v>#VALUE!</v>
      </c>
      <c r="AY33" t="e">
        <f>AND('SPR BARRANQUILLA'!FQ35,"AAAAAEY/vzI=")</f>
        <v>#VALUE!</v>
      </c>
      <c r="AZ33" t="e">
        <f>AND('SPR BARRANQUILLA'!FR35,"AAAAAEY/vzM=")</f>
        <v>#VALUE!</v>
      </c>
      <c r="BA33" t="e">
        <f>AND('SPR BARRANQUILLA'!FS35,"AAAAAEY/vzQ=")</f>
        <v>#VALUE!</v>
      </c>
      <c r="BB33" t="e">
        <f>AND('SPR BARRANQUILLA'!FT35,"AAAAAEY/vzU=")</f>
        <v>#VALUE!</v>
      </c>
      <c r="BC33" t="e">
        <f>AND('SPR BARRANQUILLA'!FU35,"AAAAAEY/vzY=")</f>
        <v>#VALUE!</v>
      </c>
      <c r="BD33" t="e">
        <f>AND('SPR BARRANQUILLA'!FV35,"AAAAAEY/vzc=")</f>
        <v>#VALUE!</v>
      </c>
      <c r="BE33" t="e">
        <f>AND('SPR BARRANQUILLA'!FW35,"AAAAAEY/vzg=")</f>
        <v>#VALUE!</v>
      </c>
      <c r="BF33" t="e">
        <f>AND('SPR BARRANQUILLA'!FX35,"AAAAAEY/vzk=")</f>
        <v>#VALUE!</v>
      </c>
      <c r="BG33" t="e">
        <f>AND('SPR BARRANQUILLA'!FY35,"AAAAAEY/vzo=")</f>
        <v>#VALUE!</v>
      </c>
      <c r="BH33" t="e">
        <f>AND('SPR BARRANQUILLA'!FZ35,"AAAAAEY/vzs=")</f>
        <v>#VALUE!</v>
      </c>
      <c r="BI33" t="e">
        <f>AND('SPR BARRANQUILLA'!GA35,"AAAAAEY/vzw=")</f>
        <v>#VALUE!</v>
      </c>
      <c r="BJ33" t="e">
        <f>AND('SPR BARRANQUILLA'!GB35,"AAAAAEY/vz0=")</f>
        <v>#VALUE!</v>
      </c>
      <c r="BK33" t="e">
        <f>AND('SPR BARRANQUILLA'!GC35,"AAAAAEY/vz4=")</f>
        <v>#VALUE!</v>
      </c>
      <c r="BL33" t="e">
        <f>AND('SPR BARRANQUILLA'!GD35,"AAAAAEY/vz8=")</f>
        <v>#VALUE!</v>
      </c>
      <c r="BM33" t="e">
        <f>AND('SPR BARRANQUILLA'!GE35,"AAAAAEY/v0A=")</f>
        <v>#VALUE!</v>
      </c>
      <c r="BN33" t="e">
        <f>AND('SPR BARRANQUILLA'!GF35,"AAAAAEY/v0E=")</f>
        <v>#VALUE!</v>
      </c>
      <c r="BO33" t="e">
        <f>AND('SPR BARRANQUILLA'!GG35,"AAAAAEY/v0I=")</f>
        <v>#VALUE!</v>
      </c>
      <c r="BP33" t="e">
        <f>AND('SPR BARRANQUILLA'!GH35,"AAAAAEY/v0M=")</f>
        <v>#VALUE!</v>
      </c>
      <c r="BQ33" t="e">
        <f>AND('SPR BARRANQUILLA'!GI35,"AAAAAEY/v0Q=")</f>
        <v>#VALUE!</v>
      </c>
      <c r="BR33" t="e">
        <f>AND('SPR BARRANQUILLA'!GJ35,"AAAAAEY/v0U=")</f>
        <v>#VALUE!</v>
      </c>
      <c r="BS33" t="e">
        <f>AND('SPR BARRANQUILLA'!GK35,"AAAAAEY/v0Y=")</f>
        <v>#VALUE!</v>
      </c>
      <c r="BT33" t="e">
        <f>AND('SPR BARRANQUILLA'!GL35,"AAAAAEY/v0c=")</f>
        <v>#VALUE!</v>
      </c>
      <c r="BU33" t="e">
        <f>AND('SPR BARRANQUILLA'!GM35,"AAAAAEY/v0g=")</f>
        <v>#VALUE!</v>
      </c>
      <c r="BV33" t="e">
        <f>AND('SPR BARRANQUILLA'!GN35,"AAAAAEY/v0k=")</f>
        <v>#VALUE!</v>
      </c>
      <c r="BW33" t="e">
        <f>AND('SPR BARRANQUILLA'!GO35,"AAAAAEY/v0o=")</f>
        <v>#VALUE!</v>
      </c>
      <c r="BX33" t="e">
        <f>AND('SPR BARRANQUILLA'!GP35,"AAAAAEY/v0s=")</f>
        <v>#VALUE!</v>
      </c>
      <c r="BY33" t="e">
        <f>AND('SPR BARRANQUILLA'!GQ35,"AAAAAEY/v0w=")</f>
        <v>#VALUE!</v>
      </c>
      <c r="BZ33" t="e">
        <f>AND('SPR BARRANQUILLA'!GR35,"AAAAAEY/v00=")</f>
        <v>#VALUE!</v>
      </c>
      <c r="CA33" t="e">
        <f>AND('SPR BARRANQUILLA'!GS35,"AAAAAEY/v04=")</f>
        <v>#VALUE!</v>
      </c>
      <c r="CB33" t="e">
        <f>AND('SPR BARRANQUILLA'!GT35,"AAAAAEY/v08=")</f>
        <v>#VALUE!</v>
      </c>
      <c r="CC33" t="e">
        <f>AND('SPR BARRANQUILLA'!GU35,"AAAAAEY/v1A=")</f>
        <v>#VALUE!</v>
      </c>
      <c r="CD33" t="e">
        <f>AND('SPR BARRANQUILLA'!GV35,"AAAAAEY/v1E=")</f>
        <v>#VALUE!</v>
      </c>
      <c r="CE33" t="e">
        <f>AND('SPR BARRANQUILLA'!GW35,"AAAAAEY/v1I=")</f>
        <v>#VALUE!</v>
      </c>
      <c r="CF33" t="e">
        <f>AND('SPR BARRANQUILLA'!GX35,"AAAAAEY/v1M=")</f>
        <v>#VALUE!</v>
      </c>
      <c r="CG33" t="e">
        <f>AND('SPR BARRANQUILLA'!GY35,"AAAAAEY/v1Q=")</f>
        <v>#VALUE!</v>
      </c>
      <c r="CH33">
        <f>IF('SPR BARRANQUILLA'!36:36,"AAAAAEY/v1U=",0)</f>
        <v>0</v>
      </c>
      <c r="CI33" t="e">
        <f>AND('SPR BARRANQUILLA'!A36,"AAAAAEY/v1Y=")</f>
        <v>#VALUE!</v>
      </c>
      <c r="CJ33" t="e">
        <f>AND('SPR BARRANQUILLA'!B36,"AAAAAEY/v1c=")</f>
        <v>#VALUE!</v>
      </c>
      <c r="CK33" t="e">
        <f>AND('SPR BARRANQUILLA'!C36,"AAAAAEY/v1g=")</f>
        <v>#VALUE!</v>
      </c>
      <c r="CL33" t="e">
        <f>AND('SPR BARRANQUILLA'!D36,"AAAAAEY/v1k=")</f>
        <v>#VALUE!</v>
      </c>
      <c r="CM33" t="e">
        <f>AND('SPR BARRANQUILLA'!E36,"AAAAAEY/v1o=")</f>
        <v>#VALUE!</v>
      </c>
      <c r="CN33" t="e">
        <f>AND('SPR BARRANQUILLA'!F36,"AAAAAEY/v1s=")</f>
        <v>#VALUE!</v>
      </c>
      <c r="CO33" t="e">
        <f>AND('SPR BARRANQUILLA'!G36,"AAAAAEY/v1w=")</f>
        <v>#VALUE!</v>
      </c>
      <c r="CP33" t="e">
        <f>AND('SPR BARRANQUILLA'!H36,"AAAAAEY/v10=")</f>
        <v>#VALUE!</v>
      </c>
      <c r="CQ33" t="e">
        <f>AND('SPR BARRANQUILLA'!I36,"AAAAAEY/v14=")</f>
        <v>#VALUE!</v>
      </c>
      <c r="CR33" t="e">
        <f>AND('SPR BARRANQUILLA'!J36,"AAAAAEY/v18=")</f>
        <v>#VALUE!</v>
      </c>
      <c r="CS33" t="e">
        <f>AND('SPR BARRANQUILLA'!K36,"AAAAAEY/v2A=")</f>
        <v>#VALUE!</v>
      </c>
      <c r="CT33" t="e">
        <f>AND('SPR BARRANQUILLA'!L36,"AAAAAEY/v2E=")</f>
        <v>#VALUE!</v>
      </c>
      <c r="CU33" t="e">
        <f>AND('SPR BARRANQUILLA'!M36,"AAAAAEY/v2I=")</f>
        <v>#VALUE!</v>
      </c>
      <c r="CV33" t="e">
        <f>AND('SPR BARRANQUILLA'!N36,"AAAAAEY/v2M=")</f>
        <v>#VALUE!</v>
      </c>
      <c r="CW33" t="e">
        <f>AND('SPR BARRANQUILLA'!O36,"AAAAAEY/v2Q=")</f>
        <v>#VALUE!</v>
      </c>
      <c r="CX33" t="e">
        <f>AND('SPR BARRANQUILLA'!P36,"AAAAAEY/v2U=")</f>
        <v>#VALUE!</v>
      </c>
      <c r="CY33" t="e">
        <f>AND('SPR BARRANQUILLA'!Q36,"AAAAAEY/v2Y=")</f>
        <v>#VALUE!</v>
      </c>
      <c r="CZ33" t="e">
        <f>AND('SPR BARRANQUILLA'!R36,"AAAAAEY/v2c=")</f>
        <v>#VALUE!</v>
      </c>
      <c r="DA33" t="e">
        <f>AND('SPR BARRANQUILLA'!S36,"AAAAAEY/v2g=")</f>
        <v>#VALUE!</v>
      </c>
      <c r="DB33" t="e">
        <f>AND('SPR BARRANQUILLA'!T36,"AAAAAEY/v2k=")</f>
        <v>#VALUE!</v>
      </c>
      <c r="DC33" t="e">
        <f>AND('SPR BARRANQUILLA'!U36,"AAAAAEY/v2o=")</f>
        <v>#VALUE!</v>
      </c>
      <c r="DD33" t="e">
        <f>AND('SPR BARRANQUILLA'!V36,"AAAAAEY/v2s=")</f>
        <v>#VALUE!</v>
      </c>
      <c r="DE33" t="e">
        <f>AND('SPR BARRANQUILLA'!W36,"AAAAAEY/v2w=")</f>
        <v>#VALUE!</v>
      </c>
      <c r="DF33" t="e">
        <f>AND('SPR BARRANQUILLA'!X36,"AAAAAEY/v20=")</f>
        <v>#VALUE!</v>
      </c>
      <c r="DG33" t="e">
        <f>AND('SPR BARRANQUILLA'!Y36,"AAAAAEY/v24=")</f>
        <v>#VALUE!</v>
      </c>
      <c r="DH33" t="e">
        <f>AND('SPR BARRANQUILLA'!Z36,"AAAAAEY/v28=")</f>
        <v>#VALUE!</v>
      </c>
      <c r="DI33" t="e">
        <f>AND('SPR BARRANQUILLA'!AA36,"AAAAAEY/v3A=")</f>
        <v>#VALUE!</v>
      </c>
      <c r="DJ33" t="e">
        <f>AND('SPR BARRANQUILLA'!AB36,"AAAAAEY/v3E=")</f>
        <v>#VALUE!</v>
      </c>
      <c r="DK33" t="e">
        <f>AND('SPR BARRANQUILLA'!AC36,"AAAAAEY/v3I=")</f>
        <v>#VALUE!</v>
      </c>
      <c r="DL33" t="e">
        <f>AND('SPR BARRANQUILLA'!AD36,"AAAAAEY/v3M=")</f>
        <v>#VALUE!</v>
      </c>
      <c r="DM33" t="e">
        <f>AND('SPR BARRANQUILLA'!AE36,"AAAAAEY/v3Q=")</f>
        <v>#VALUE!</v>
      </c>
      <c r="DN33" t="e">
        <f>AND('SPR BARRANQUILLA'!AF36,"AAAAAEY/v3U=")</f>
        <v>#VALUE!</v>
      </c>
      <c r="DO33" t="e">
        <f>AND('SPR BARRANQUILLA'!AG36,"AAAAAEY/v3Y=")</f>
        <v>#VALUE!</v>
      </c>
      <c r="DP33" t="e">
        <f>AND('SPR BARRANQUILLA'!AH36,"AAAAAEY/v3c=")</f>
        <v>#VALUE!</v>
      </c>
      <c r="DQ33" t="e">
        <f>AND('SPR BARRANQUILLA'!AI36,"AAAAAEY/v3g=")</f>
        <v>#VALUE!</v>
      </c>
      <c r="DR33" t="e">
        <f>AND('SPR BARRANQUILLA'!AJ36,"AAAAAEY/v3k=")</f>
        <v>#VALUE!</v>
      </c>
      <c r="DS33" t="e">
        <f>AND('SPR BARRANQUILLA'!AK36,"AAAAAEY/v3o=")</f>
        <v>#VALUE!</v>
      </c>
      <c r="DT33" t="e">
        <f>AND('SPR BARRANQUILLA'!AL36,"AAAAAEY/v3s=")</f>
        <v>#VALUE!</v>
      </c>
      <c r="DU33" t="e">
        <f>AND('SPR BARRANQUILLA'!AM36,"AAAAAEY/v3w=")</f>
        <v>#VALUE!</v>
      </c>
      <c r="DV33" t="e">
        <f>AND('SPR BARRANQUILLA'!AN36,"AAAAAEY/v30=")</f>
        <v>#VALUE!</v>
      </c>
      <c r="DW33" t="e">
        <f>AND('SPR BARRANQUILLA'!AO36,"AAAAAEY/v34=")</f>
        <v>#VALUE!</v>
      </c>
      <c r="DX33" t="e">
        <f>AND('SPR BARRANQUILLA'!AP36,"AAAAAEY/v38=")</f>
        <v>#VALUE!</v>
      </c>
      <c r="DY33" t="e">
        <f>AND('SPR BARRANQUILLA'!AQ36,"AAAAAEY/v4A=")</f>
        <v>#VALUE!</v>
      </c>
      <c r="DZ33" t="e">
        <f>AND('SPR BARRANQUILLA'!AR36,"AAAAAEY/v4E=")</f>
        <v>#VALUE!</v>
      </c>
      <c r="EA33" t="e">
        <f>AND('SPR BARRANQUILLA'!AS36,"AAAAAEY/v4I=")</f>
        <v>#VALUE!</v>
      </c>
      <c r="EB33" t="e">
        <f>AND('SPR BARRANQUILLA'!AT36,"AAAAAEY/v4M=")</f>
        <v>#VALUE!</v>
      </c>
      <c r="EC33" t="e">
        <f>AND('SPR BARRANQUILLA'!AU36,"AAAAAEY/v4Q=")</f>
        <v>#VALUE!</v>
      </c>
      <c r="ED33" t="e">
        <f>AND('SPR BARRANQUILLA'!AV36,"AAAAAEY/v4U=")</f>
        <v>#VALUE!</v>
      </c>
      <c r="EE33" t="e">
        <f>AND('SPR BARRANQUILLA'!AW36,"AAAAAEY/v4Y=")</f>
        <v>#VALUE!</v>
      </c>
      <c r="EF33" t="e">
        <f>AND('SPR BARRANQUILLA'!AX36,"AAAAAEY/v4c=")</f>
        <v>#VALUE!</v>
      </c>
      <c r="EG33" t="e">
        <f>AND('SPR BARRANQUILLA'!AY36,"AAAAAEY/v4g=")</f>
        <v>#VALUE!</v>
      </c>
      <c r="EH33" t="e">
        <f>AND('SPR BARRANQUILLA'!AZ36,"AAAAAEY/v4k=")</f>
        <v>#VALUE!</v>
      </c>
      <c r="EI33" t="e">
        <f>AND('SPR BARRANQUILLA'!BA36,"AAAAAEY/v4o=")</f>
        <v>#VALUE!</v>
      </c>
      <c r="EJ33" t="e">
        <f>AND('SPR BARRANQUILLA'!BB36,"AAAAAEY/v4s=")</f>
        <v>#VALUE!</v>
      </c>
      <c r="EK33" t="e">
        <f>AND('SPR BARRANQUILLA'!BC36,"AAAAAEY/v4w=")</f>
        <v>#VALUE!</v>
      </c>
      <c r="EL33" t="e">
        <f>AND('SPR BARRANQUILLA'!BD36,"AAAAAEY/v40=")</f>
        <v>#VALUE!</v>
      </c>
      <c r="EM33" t="e">
        <f>AND('SPR BARRANQUILLA'!BE36,"AAAAAEY/v44=")</f>
        <v>#VALUE!</v>
      </c>
      <c r="EN33" t="e">
        <f>AND('SPR BARRANQUILLA'!BF36,"AAAAAEY/v48=")</f>
        <v>#VALUE!</v>
      </c>
      <c r="EO33" t="e">
        <f>AND('SPR BARRANQUILLA'!BG36,"AAAAAEY/v5A=")</f>
        <v>#VALUE!</v>
      </c>
      <c r="EP33" t="e">
        <f>AND('SPR BARRANQUILLA'!BH36,"AAAAAEY/v5E=")</f>
        <v>#VALUE!</v>
      </c>
      <c r="EQ33" t="e">
        <f>AND('SPR BARRANQUILLA'!BI36,"AAAAAEY/v5I=")</f>
        <v>#VALUE!</v>
      </c>
      <c r="ER33" t="e">
        <f>AND('SPR BARRANQUILLA'!BJ36,"AAAAAEY/v5M=")</f>
        <v>#VALUE!</v>
      </c>
      <c r="ES33" t="e">
        <f>AND('SPR BARRANQUILLA'!BK36,"AAAAAEY/v5Q=")</f>
        <v>#VALUE!</v>
      </c>
      <c r="ET33" t="e">
        <f>AND('SPR BARRANQUILLA'!BL36,"AAAAAEY/v5U=")</f>
        <v>#VALUE!</v>
      </c>
      <c r="EU33" t="e">
        <f>AND('SPR BARRANQUILLA'!BM36,"AAAAAEY/v5Y=")</f>
        <v>#VALUE!</v>
      </c>
      <c r="EV33" t="e">
        <f>AND('SPR BARRANQUILLA'!BN36,"AAAAAEY/v5c=")</f>
        <v>#VALUE!</v>
      </c>
      <c r="EW33" t="e">
        <f>AND('SPR BARRANQUILLA'!BO36,"AAAAAEY/v5g=")</f>
        <v>#VALUE!</v>
      </c>
      <c r="EX33" t="e">
        <f>AND('SPR BARRANQUILLA'!BP36,"AAAAAEY/v5k=")</f>
        <v>#VALUE!</v>
      </c>
      <c r="EY33" t="e">
        <f>AND('SPR BARRANQUILLA'!BQ36,"AAAAAEY/v5o=")</f>
        <v>#VALUE!</v>
      </c>
      <c r="EZ33" t="e">
        <f>AND('SPR BARRANQUILLA'!BR36,"AAAAAEY/v5s=")</f>
        <v>#VALUE!</v>
      </c>
      <c r="FA33" t="e">
        <f>AND('SPR BARRANQUILLA'!BS36,"AAAAAEY/v5w=")</f>
        <v>#VALUE!</v>
      </c>
      <c r="FB33" t="e">
        <f>AND('SPR BARRANQUILLA'!BT36,"AAAAAEY/v50=")</f>
        <v>#VALUE!</v>
      </c>
      <c r="FC33" t="e">
        <f>AND('SPR BARRANQUILLA'!BU36,"AAAAAEY/v54=")</f>
        <v>#VALUE!</v>
      </c>
      <c r="FD33" t="e">
        <f>AND('SPR BARRANQUILLA'!BV36,"AAAAAEY/v58=")</f>
        <v>#VALUE!</v>
      </c>
      <c r="FE33" t="e">
        <f>AND('SPR BARRANQUILLA'!BW36,"AAAAAEY/v6A=")</f>
        <v>#VALUE!</v>
      </c>
      <c r="FF33" t="e">
        <f>AND('SPR BARRANQUILLA'!BX36,"AAAAAEY/v6E=")</f>
        <v>#VALUE!</v>
      </c>
      <c r="FG33" t="e">
        <f>AND('SPR BARRANQUILLA'!BY36,"AAAAAEY/v6I=")</f>
        <v>#VALUE!</v>
      </c>
      <c r="FH33" t="e">
        <f>AND('SPR BARRANQUILLA'!BZ36,"AAAAAEY/v6M=")</f>
        <v>#VALUE!</v>
      </c>
      <c r="FI33" t="e">
        <f>AND('SPR BARRANQUILLA'!CA36,"AAAAAEY/v6Q=")</f>
        <v>#VALUE!</v>
      </c>
      <c r="FJ33" t="e">
        <f>AND('SPR BARRANQUILLA'!CB36,"AAAAAEY/v6U=")</f>
        <v>#VALUE!</v>
      </c>
      <c r="FK33" t="e">
        <f>AND('SPR BARRANQUILLA'!CC36,"AAAAAEY/v6Y=")</f>
        <v>#VALUE!</v>
      </c>
      <c r="FL33" t="e">
        <f>AND('SPR BARRANQUILLA'!CD36,"AAAAAEY/v6c=")</f>
        <v>#VALUE!</v>
      </c>
      <c r="FM33" t="e">
        <f>AND('SPR BARRANQUILLA'!CE36,"AAAAAEY/v6g=")</f>
        <v>#VALUE!</v>
      </c>
      <c r="FN33" t="e">
        <f>AND('SPR BARRANQUILLA'!CF36,"AAAAAEY/v6k=")</f>
        <v>#VALUE!</v>
      </c>
      <c r="FO33" t="e">
        <f>AND('SPR BARRANQUILLA'!CG36,"AAAAAEY/v6o=")</f>
        <v>#VALUE!</v>
      </c>
      <c r="FP33" t="e">
        <f>AND('SPR BARRANQUILLA'!CH36,"AAAAAEY/v6s=")</f>
        <v>#VALUE!</v>
      </c>
      <c r="FQ33" t="e">
        <f>AND('SPR BARRANQUILLA'!CI36,"AAAAAEY/v6w=")</f>
        <v>#VALUE!</v>
      </c>
      <c r="FR33" t="e">
        <f>AND('SPR BARRANQUILLA'!CJ36,"AAAAAEY/v60=")</f>
        <v>#VALUE!</v>
      </c>
      <c r="FS33" t="e">
        <f>AND('SPR BARRANQUILLA'!CK36,"AAAAAEY/v64=")</f>
        <v>#VALUE!</v>
      </c>
      <c r="FT33" t="e">
        <f>AND('SPR BARRANQUILLA'!CL36,"AAAAAEY/v68=")</f>
        <v>#VALUE!</v>
      </c>
      <c r="FU33" t="e">
        <f>AND('SPR BARRANQUILLA'!CM36,"AAAAAEY/v7A=")</f>
        <v>#VALUE!</v>
      </c>
      <c r="FV33" t="e">
        <f>AND('SPR BARRANQUILLA'!CN36,"AAAAAEY/v7E=")</f>
        <v>#VALUE!</v>
      </c>
      <c r="FW33" t="e">
        <f>AND('SPR BARRANQUILLA'!CO36,"AAAAAEY/v7I=")</f>
        <v>#VALUE!</v>
      </c>
      <c r="FX33" t="e">
        <f>AND('SPR BARRANQUILLA'!CP36,"AAAAAEY/v7M=")</f>
        <v>#VALUE!</v>
      </c>
      <c r="FY33" t="e">
        <f>AND('SPR BARRANQUILLA'!CQ36,"AAAAAEY/v7Q=")</f>
        <v>#VALUE!</v>
      </c>
      <c r="FZ33" t="e">
        <f>AND('SPR BARRANQUILLA'!CR36,"AAAAAEY/v7U=")</f>
        <v>#VALUE!</v>
      </c>
      <c r="GA33" t="e">
        <f>AND('SPR BARRANQUILLA'!CS36,"AAAAAEY/v7Y=")</f>
        <v>#VALUE!</v>
      </c>
      <c r="GB33" t="e">
        <f>AND('SPR BARRANQUILLA'!CT36,"AAAAAEY/v7c=")</f>
        <v>#VALUE!</v>
      </c>
      <c r="GC33" t="e">
        <f>AND('SPR BARRANQUILLA'!CU36,"AAAAAEY/v7g=")</f>
        <v>#VALUE!</v>
      </c>
      <c r="GD33" t="e">
        <f>AND('SPR BARRANQUILLA'!CV36,"AAAAAEY/v7k=")</f>
        <v>#VALUE!</v>
      </c>
      <c r="GE33" t="e">
        <f>AND('SPR BARRANQUILLA'!CW36,"AAAAAEY/v7o=")</f>
        <v>#VALUE!</v>
      </c>
      <c r="GF33" t="e">
        <f>AND('SPR BARRANQUILLA'!CX36,"AAAAAEY/v7s=")</f>
        <v>#VALUE!</v>
      </c>
      <c r="GG33" t="e">
        <f>AND('SPR BARRANQUILLA'!CY36,"AAAAAEY/v7w=")</f>
        <v>#VALUE!</v>
      </c>
      <c r="GH33" t="e">
        <f>AND('SPR BARRANQUILLA'!CZ36,"AAAAAEY/v70=")</f>
        <v>#VALUE!</v>
      </c>
      <c r="GI33" t="e">
        <f>AND('SPR BARRANQUILLA'!DA36,"AAAAAEY/v74=")</f>
        <v>#VALUE!</v>
      </c>
      <c r="GJ33" t="e">
        <f>AND('SPR BARRANQUILLA'!DB36,"AAAAAEY/v78=")</f>
        <v>#VALUE!</v>
      </c>
      <c r="GK33" t="e">
        <f>AND('SPR BARRANQUILLA'!DC36,"AAAAAEY/v8A=")</f>
        <v>#VALUE!</v>
      </c>
      <c r="GL33" t="e">
        <f>AND('SPR BARRANQUILLA'!DD36,"AAAAAEY/v8E=")</f>
        <v>#VALUE!</v>
      </c>
      <c r="GM33" t="e">
        <f>AND('SPR BARRANQUILLA'!DE36,"AAAAAEY/v8I=")</f>
        <v>#VALUE!</v>
      </c>
      <c r="GN33" t="e">
        <f>AND('SPR BARRANQUILLA'!DF36,"AAAAAEY/v8M=")</f>
        <v>#VALUE!</v>
      </c>
      <c r="GO33" t="e">
        <f>AND('SPR BARRANQUILLA'!DG36,"AAAAAEY/v8Q=")</f>
        <v>#VALUE!</v>
      </c>
      <c r="GP33" t="e">
        <f>AND('SPR BARRANQUILLA'!DH36,"AAAAAEY/v8U=")</f>
        <v>#VALUE!</v>
      </c>
      <c r="GQ33" t="e">
        <f>AND('SPR BARRANQUILLA'!DI36,"AAAAAEY/v8Y=")</f>
        <v>#VALUE!</v>
      </c>
      <c r="GR33" t="e">
        <f>AND('SPR BARRANQUILLA'!DJ36,"AAAAAEY/v8c=")</f>
        <v>#VALUE!</v>
      </c>
      <c r="GS33" t="e">
        <f>AND('SPR BARRANQUILLA'!DK36,"AAAAAEY/v8g=")</f>
        <v>#VALUE!</v>
      </c>
      <c r="GT33" t="e">
        <f>AND('SPR BARRANQUILLA'!DL36,"AAAAAEY/v8k=")</f>
        <v>#VALUE!</v>
      </c>
      <c r="GU33" t="e">
        <f>AND('SPR BARRANQUILLA'!DM36,"AAAAAEY/v8o=")</f>
        <v>#VALUE!</v>
      </c>
      <c r="GV33" t="e">
        <f>AND('SPR BARRANQUILLA'!DN36,"AAAAAEY/v8s=")</f>
        <v>#VALUE!</v>
      </c>
      <c r="GW33" t="e">
        <f>AND('SPR BARRANQUILLA'!DO36,"AAAAAEY/v8w=")</f>
        <v>#VALUE!</v>
      </c>
      <c r="GX33" t="e">
        <f>AND('SPR BARRANQUILLA'!DP36,"AAAAAEY/v80=")</f>
        <v>#VALUE!</v>
      </c>
      <c r="GY33" t="e">
        <f>AND('SPR BARRANQUILLA'!DQ36,"AAAAAEY/v84=")</f>
        <v>#VALUE!</v>
      </c>
      <c r="GZ33" t="e">
        <f>AND('SPR BARRANQUILLA'!DR36,"AAAAAEY/v88=")</f>
        <v>#VALUE!</v>
      </c>
      <c r="HA33" t="e">
        <f>AND('SPR BARRANQUILLA'!DS36,"AAAAAEY/v9A=")</f>
        <v>#VALUE!</v>
      </c>
      <c r="HB33" t="e">
        <f>AND('SPR BARRANQUILLA'!DT36,"AAAAAEY/v9E=")</f>
        <v>#VALUE!</v>
      </c>
      <c r="HC33" t="e">
        <f>AND('SPR BARRANQUILLA'!DU36,"AAAAAEY/v9I=")</f>
        <v>#VALUE!</v>
      </c>
      <c r="HD33" t="e">
        <f>AND('SPR BARRANQUILLA'!DV36,"AAAAAEY/v9M=")</f>
        <v>#VALUE!</v>
      </c>
      <c r="HE33" t="e">
        <f>AND('SPR BARRANQUILLA'!DW36,"AAAAAEY/v9Q=")</f>
        <v>#VALUE!</v>
      </c>
      <c r="HF33" t="e">
        <f>AND('SPR BARRANQUILLA'!DX36,"AAAAAEY/v9U=")</f>
        <v>#VALUE!</v>
      </c>
      <c r="HG33" t="e">
        <f>AND('SPR BARRANQUILLA'!DY36,"AAAAAEY/v9Y=")</f>
        <v>#VALUE!</v>
      </c>
      <c r="HH33" t="e">
        <f>AND('SPR BARRANQUILLA'!DZ36,"AAAAAEY/v9c=")</f>
        <v>#VALUE!</v>
      </c>
      <c r="HI33" t="e">
        <f>AND('SPR BARRANQUILLA'!EA36,"AAAAAEY/v9g=")</f>
        <v>#VALUE!</v>
      </c>
      <c r="HJ33" t="e">
        <f>AND('SPR BARRANQUILLA'!EB36,"AAAAAEY/v9k=")</f>
        <v>#VALUE!</v>
      </c>
      <c r="HK33" t="e">
        <f>AND('SPR BARRANQUILLA'!EC36,"AAAAAEY/v9o=")</f>
        <v>#VALUE!</v>
      </c>
      <c r="HL33" t="e">
        <f>AND('SPR BARRANQUILLA'!ED36,"AAAAAEY/v9s=")</f>
        <v>#VALUE!</v>
      </c>
      <c r="HM33" t="e">
        <f>AND('SPR BARRANQUILLA'!EE36,"AAAAAEY/v9w=")</f>
        <v>#VALUE!</v>
      </c>
      <c r="HN33" t="e">
        <f>AND('SPR BARRANQUILLA'!EF36,"AAAAAEY/v90=")</f>
        <v>#VALUE!</v>
      </c>
      <c r="HO33" t="e">
        <f>AND('SPR BARRANQUILLA'!EG36,"AAAAAEY/v94=")</f>
        <v>#VALUE!</v>
      </c>
      <c r="HP33" t="e">
        <f>AND('SPR BARRANQUILLA'!EH36,"AAAAAEY/v98=")</f>
        <v>#VALUE!</v>
      </c>
      <c r="HQ33" t="e">
        <f>AND('SPR BARRANQUILLA'!EI36,"AAAAAEY/v+A=")</f>
        <v>#VALUE!</v>
      </c>
      <c r="HR33" t="e">
        <f>AND('SPR BARRANQUILLA'!EJ36,"AAAAAEY/v+E=")</f>
        <v>#VALUE!</v>
      </c>
      <c r="HS33" t="e">
        <f>AND('SPR BARRANQUILLA'!EK36,"AAAAAEY/v+I=")</f>
        <v>#VALUE!</v>
      </c>
      <c r="HT33" t="e">
        <f>AND('SPR BARRANQUILLA'!EL36,"AAAAAEY/v+M=")</f>
        <v>#VALUE!</v>
      </c>
      <c r="HU33" t="e">
        <f>AND('SPR BARRANQUILLA'!EM36,"AAAAAEY/v+Q=")</f>
        <v>#VALUE!</v>
      </c>
      <c r="HV33" t="e">
        <f>AND('SPR BARRANQUILLA'!EN36,"AAAAAEY/v+U=")</f>
        <v>#VALUE!</v>
      </c>
      <c r="HW33" t="e">
        <f>AND('SPR BARRANQUILLA'!EO36,"AAAAAEY/v+Y=")</f>
        <v>#VALUE!</v>
      </c>
      <c r="HX33" t="e">
        <f>AND('SPR BARRANQUILLA'!EP36,"AAAAAEY/v+c=")</f>
        <v>#VALUE!</v>
      </c>
      <c r="HY33" t="e">
        <f>AND('SPR BARRANQUILLA'!EQ36,"AAAAAEY/v+g=")</f>
        <v>#VALUE!</v>
      </c>
      <c r="HZ33" t="e">
        <f>AND('SPR BARRANQUILLA'!ER36,"AAAAAEY/v+k=")</f>
        <v>#VALUE!</v>
      </c>
      <c r="IA33" t="e">
        <f>AND('SPR BARRANQUILLA'!ES36,"AAAAAEY/v+o=")</f>
        <v>#VALUE!</v>
      </c>
      <c r="IB33" t="e">
        <f>AND('SPR BARRANQUILLA'!ET36,"AAAAAEY/v+s=")</f>
        <v>#VALUE!</v>
      </c>
      <c r="IC33" t="e">
        <f>AND('SPR BARRANQUILLA'!EU36,"AAAAAEY/v+w=")</f>
        <v>#VALUE!</v>
      </c>
      <c r="ID33" t="e">
        <f>AND('SPR BARRANQUILLA'!EV36,"AAAAAEY/v+0=")</f>
        <v>#VALUE!</v>
      </c>
      <c r="IE33" t="e">
        <f>AND('SPR BARRANQUILLA'!EW36,"AAAAAEY/v+4=")</f>
        <v>#VALUE!</v>
      </c>
      <c r="IF33" t="e">
        <f>AND('SPR BARRANQUILLA'!EX36,"AAAAAEY/v+8=")</f>
        <v>#VALUE!</v>
      </c>
      <c r="IG33" t="e">
        <f>AND('SPR BARRANQUILLA'!EY36,"AAAAAEY/v/A=")</f>
        <v>#VALUE!</v>
      </c>
      <c r="IH33" t="e">
        <f>AND('SPR BARRANQUILLA'!EZ36,"AAAAAEY/v/E=")</f>
        <v>#VALUE!</v>
      </c>
      <c r="II33" t="e">
        <f>AND('SPR BARRANQUILLA'!FA36,"AAAAAEY/v/I=")</f>
        <v>#VALUE!</v>
      </c>
      <c r="IJ33" t="e">
        <f>AND('SPR BARRANQUILLA'!FB36,"AAAAAEY/v/M=")</f>
        <v>#VALUE!</v>
      </c>
      <c r="IK33" t="e">
        <f>AND('SPR BARRANQUILLA'!FC36,"AAAAAEY/v/Q=")</f>
        <v>#VALUE!</v>
      </c>
      <c r="IL33" t="e">
        <f>AND('SPR BARRANQUILLA'!FD36,"AAAAAEY/v/U=")</f>
        <v>#VALUE!</v>
      </c>
      <c r="IM33" t="e">
        <f>AND('SPR BARRANQUILLA'!FE36,"AAAAAEY/v/Y=")</f>
        <v>#VALUE!</v>
      </c>
      <c r="IN33" t="e">
        <f>AND('SPR BARRANQUILLA'!FF36,"AAAAAEY/v/c=")</f>
        <v>#VALUE!</v>
      </c>
      <c r="IO33" t="e">
        <f>AND('SPR BARRANQUILLA'!FG36,"AAAAAEY/v/g=")</f>
        <v>#VALUE!</v>
      </c>
      <c r="IP33" t="e">
        <f>AND('SPR BARRANQUILLA'!FH36,"AAAAAEY/v/k=")</f>
        <v>#VALUE!</v>
      </c>
      <c r="IQ33" t="e">
        <f>AND('SPR BARRANQUILLA'!FI36,"AAAAAEY/v/o=")</f>
        <v>#VALUE!</v>
      </c>
      <c r="IR33" t="e">
        <f>AND('SPR BARRANQUILLA'!FJ36,"AAAAAEY/v/s=")</f>
        <v>#VALUE!</v>
      </c>
      <c r="IS33" t="e">
        <f>AND('SPR BARRANQUILLA'!FK36,"AAAAAEY/v/w=")</f>
        <v>#VALUE!</v>
      </c>
      <c r="IT33" t="e">
        <f>AND('SPR BARRANQUILLA'!FL36,"AAAAAEY/v/0=")</f>
        <v>#VALUE!</v>
      </c>
      <c r="IU33" t="e">
        <f>AND('SPR BARRANQUILLA'!FM36,"AAAAAEY/v/4=")</f>
        <v>#VALUE!</v>
      </c>
      <c r="IV33" t="e">
        <f>AND('SPR BARRANQUILLA'!FN36,"AAAAAEY/v/8=")</f>
        <v>#VALUE!</v>
      </c>
    </row>
    <row r="34" spans="1:256">
      <c r="A34" t="e">
        <f>AND('SPR BARRANQUILLA'!FO36,"AAAAAHr04gA=")</f>
        <v>#VALUE!</v>
      </c>
      <c r="B34" t="e">
        <f>AND('SPR BARRANQUILLA'!FP36,"AAAAAHr04gE=")</f>
        <v>#VALUE!</v>
      </c>
      <c r="C34" t="e">
        <f>AND('SPR BARRANQUILLA'!FQ36,"AAAAAHr04gI=")</f>
        <v>#VALUE!</v>
      </c>
      <c r="D34" t="e">
        <f>AND('SPR BARRANQUILLA'!FR36,"AAAAAHr04gM=")</f>
        <v>#VALUE!</v>
      </c>
      <c r="E34" t="e">
        <f>AND('SPR BARRANQUILLA'!FS36,"AAAAAHr04gQ=")</f>
        <v>#VALUE!</v>
      </c>
      <c r="F34" t="e">
        <f>AND('SPR BARRANQUILLA'!FT36,"AAAAAHr04gU=")</f>
        <v>#VALUE!</v>
      </c>
      <c r="G34" t="e">
        <f>AND('SPR BARRANQUILLA'!FU36,"AAAAAHr04gY=")</f>
        <v>#VALUE!</v>
      </c>
      <c r="H34" t="e">
        <f>AND('SPR BARRANQUILLA'!FV36,"AAAAAHr04gc=")</f>
        <v>#VALUE!</v>
      </c>
      <c r="I34" t="e">
        <f>AND('SPR BARRANQUILLA'!FW36,"AAAAAHr04gg=")</f>
        <v>#VALUE!</v>
      </c>
      <c r="J34" t="e">
        <f>AND('SPR BARRANQUILLA'!FX36,"AAAAAHr04gk=")</f>
        <v>#VALUE!</v>
      </c>
      <c r="K34" t="e">
        <f>AND('SPR BARRANQUILLA'!FY36,"AAAAAHr04go=")</f>
        <v>#VALUE!</v>
      </c>
      <c r="L34" t="e">
        <f>AND('SPR BARRANQUILLA'!FZ36,"AAAAAHr04gs=")</f>
        <v>#VALUE!</v>
      </c>
      <c r="M34" t="e">
        <f>AND('SPR BARRANQUILLA'!GA36,"AAAAAHr04gw=")</f>
        <v>#VALUE!</v>
      </c>
      <c r="N34" t="e">
        <f>AND('SPR BARRANQUILLA'!GB36,"AAAAAHr04g0=")</f>
        <v>#VALUE!</v>
      </c>
      <c r="O34" t="e">
        <f>AND('SPR BARRANQUILLA'!GC36,"AAAAAHr04g4=")</f>
        <v>#VALUE!</v>
      </c>
      <c r="P34" t="e">
        <f>AND('SPR BARRANQUILLA'!GD36,"AAAAAHr04g8=")</f>
        <v>#VALUE!</v>
      </c>
      <c r="Q34" t="e">
        <f>AND('SPR BARRANQUILLA'!GE36,"AAAAAHr04hA=")</f>
        <v>#VALUE!</v>
      </c>
      <c r="R34" t="e">
        <f>AND('SPR BARRANQUILLA'!GF36,"AAAAAHr04hE=")</f>
        <v>#VALUE!</v>
      </c>
      <c r="S34" t="e">
        <f>AND('SPR BARRANQUILLA'!GG36,"AAAAAHr04hI=")</f>
        <v>#VALUE!</v>
      </c>
      <c r="T34" t="e">
        <f>AND('SPR BARRANQUILLA'!GH36,"AAAAAHr04hM=")</f>
        <v>#VALUE!</v>
      </c>
      <c r="U34" t="e">
        <f>AND('SPR BARRANQUILLA'!GI36,"AAAAAHr04hQ=")</f>
        <v>#VALUE!</v>
      </c>
      <c r="V34" t="e">
        <f>AND('SPR BARRANQUILLA'!GJ36,"AAAAAHr04hU=")</f>
        <v>#VALUE!</v>
      </c>
      <c r="W34" t="e">
        <f>AND('SPR BARRANQUILLA'!GK36,"AAAAAHr04hY=")</f>
        <v>#VALUE!</v>
      </c>
      <c r="X34" t="e">
        <f>AND('SPR BARRANQUILLA'!GL36,"AAAAAHr04hc=")</f>
        <v>#VALUE!</v>
      </c>
      <c r="Y34" t="e">
        <f>AND('SPR BARRANQUILLA'!GM36,"AAAAAHr04hg=")</f>
        <v>#VALUE!</v>
      </c>
      <c r="Z34" t="e">
        <f>AND('SPR BARRANQUILLA'!GN36,"AAAAAHr04hk=")</f>
        <v>#VALUE!</v>
      </c>
      <c r="AA34" t="e">
        <f>AND('SPR BARRANQUILLA'!GO36,"AAAAAHr04ho=")</f>
        <v>#VALUE!</v>
      </c>
      <c r="AB34" t="e">
        <f>AND('SPR BARRANQUILLA'!GP36,"AAAAAHr04hs=")</f>
        <v>#VALUE!</v>
      </c>
      <c r="AC34" t="e">
        <f>AND('SPR BARRANQUILLA'!GQ36,"AAAAAHr04hw=")</f>
        <v>#VALUE!</v>
      </c>
      <c r="AD34" t="e">
        <f>AND('SPR BARRANQUILLA'!GR36,"AAAAAHr04h0=")</f>
        <v>#VALUE!</v>
      </c>
      <c r="AE34" t="e">
        <f>AND('SPR BARRANQUILLA'!GS36,"AAAAAHr04h4=")</f>
        <v>#VALUE!</v>
      </c>
      <c r="AF34" t="e">
        <f>AND('SPR BARRANQUILLA'!GT36,"AAAAAHr04h8=")</f>
        <v>#VALUE!</v>
      </c>
      <c r="AG34" t="e">
        <f>AND('SPR BARRANQUILLA'!GU36,"AAAAAHr04iA=")</f>
        <v>#VALUE!</v>
      </c>
      <c r="AH34" t="e">
        <f>AND('SPR BARRANQUILLA'!GV36,"AAAAAHr04iE=")</f>
        <v>#VALUE!</v>
      </c>
      <c r="AI34" t="e">
        <f>AND('SPR BARRANQUILLA'!GW36,"AAAAAHr04iI=")</f>
        <v>#VALUE!</v>
      </c>
      <c r="AJ34" t="e">
        <f>AND('SPR BARRANQUILLA'!GX36,"AAAAAHr04iM=")</f>
        <v>#VALUE!</v>
      </c>
      <c r="AK34" t="e">
        <f>AND('SPR BARRANQUILLA'!GY36,"AAAAAHr04iQ=")</f>
        <v>#VALUE!</v>
      </c>
      <c r="AL34">
        <f>IF('SPR BARRANQUILLA'!37:37,"AAAAAHr04iU=",0)</f>
        <v>0</v>
      </c>
      <c r="AM34" t="e">
        <f>AND('SPR BARRANQUILLA'!A37,"AAAAAHr04iY=")</f>
        <v>#VALUE!</v>
      </c>
      <c r="AN34" t="e">
        <f>AND('SPR BARRANQUILLA'!B37,"AAAAAHr04ic=")</f>
        <v>#VALUE!</v>
      </c>
      <c r="AO34" t="e">
        <f>AND('SPR BARRANQUILLA'!C37,"AAAAAHr04ig=")</f>
        <v>#VALUE!</v>
      </c>
      <c r="AP34" t="e">
        <f>AND('SPR BARRANQUILLA'!D37,"AAAAAHr04ik=")</f>
        <v>#VALUE!</v>
      </c>
      <c r="AQ34" t="e">
        <f>AND('SPR BARRANQUILLA'!E37,"AAAAAHr04io=")</f>
        <v>#VALUE!</v>
      </c>
      <c r="AR34" t="e">
        <f>AND('SPR BARRANQUILLA'!F37,"AAAAAHr04is=")</f>
        <v>#VALUE!</v>
      </c>
      <c r="AS34" t="e">
        <f>AND('SPR BARRANQUILLA'!G37,"AAAAAHr04iw=")</f>
        <v>#VALUE!</v>
      </c>
      <c r="AT34" t="e">
        <f>AND('SPR BARRANQUILLA'!H37,"AAAAAHr04i0=")</f>
        <v>#VALUE!</v>
      </c>
      <c r="AU34" t="e">
        <f>AND('SPR BARRANQUILLA'!I37,"AAAAAHr04i4=")</f>
        <v>#VALUE!</v>
      </c>
      <c r="AV34" t="e">
        <f>AND('SPR BARRANQUILLA'!J37,"AAAAAHr04i8=")</f>
        <v>#VALUE!</v>
      </c>
      <c r="AW34" t="e">
        <f>AND('SPR BARRANQUILLA'!K37,"AAAAAHr04jA=")</f>
        <v>#VALUE!</v>
      </c>
      <c r="AX34" t="e">
        <f>AND('SPR BARRANQUILLA'!L37,"AAAAAHr04jE=")</f>
        <v>#VALUE!</v>
      </c>
      <c r="AY34" t="e">
        <f>AND('SPR BARRANQUILLA'!M37,"AAAAAHr04jI=")</f>
        <v>#VALUE!</v>
      </c>
      <c r="AZ34" t="e">
        <f>AND('SPR BARRANQUILLA'!N37,"AAAAAHr04jM=")</f>
        <v>#VALUE!</v>
      </c>
      <c r="BA34" t="e">
        <f>AND('SPR BARRANQUILLA'!O37,"AAAAAHr04jQ=")</f>
        <v>#VALUE!</v>
      </c>
      <c r="BB34" t="e">
        <f>AND('SPR BARRANQUILLA'!P37,"AAAAAHr04jU=")</f>
        <v>#VALUE!</v>
      </c>
      <c r="BC34" t="e">
        <f>AND('SPR BARRANQUILLA'!Q37,"AAAAAHr04jY=")</f>
        <v>#VALUE!</v>
      </c>
      <c r="BD34" t="e">
        <f>AND('SPR BARRANQUILLA'!R37,"AAAAAHr04jc=")</f>
        <v>#VALUE!</v>
      </c>
      <c r="BE34" t="e">
        <f>AND('SPR BARRANQUILLA'!S37,"AAAAAHr04jg=")</f>
        <v>#VALUE!</v>
      </c>
      <c r="BF34" t="e">
        <f>AND('SPR BARRANQUILLA'!T37,"AAAAAHr04jk=")</f>
        <v>#VALUE!</v>
      </c>
      <c r="BG34" t="e">
        <f>AND('SPR BARRANQUILLA'!U37,"AAAAAHr04jo=")</f>
        <v>#VALUE!</v>
      </c>
      <c r="BH34" t="e">
        <f>AND('SPR BARRANQUILLA'!V37,"AAAAAHr04js=")</f>
        <v>#VALUE!</v>
      </c>
      <c r="BI34" t="e">
        <f>AND('SPR BARRANQUILLA'!W37,"AAAAAHr04jw=")</f>
        <v>#VALUE!</v>
      </c>
      <c r="BJ34" t="e">
        <f>AND('SPR BARRANQUILLA'!X37,"AAAAAHr04j0=")</f>
        <v>#VALUE!</v>
      </c>
      <c r="BK34" t="e">
        <f>AND('SPR BARRANQUILLA'!Y37,"AAAAAHr04j4=")</f>
        <v>#VALUE!</v>
      </c>
      <c r="BL34" t="e">
        <f>AND('SPR BARRANQUILLA'!Z37,"AAAAAHr04j8=")</f>
        <v>#VALUE!</v>
      </c>
      <c r="BM34" t="e">
        <f>AND('SPR BARRANQUILLA'!AA37,"AAAAAHr04kA=")</f>
        <v>#VALUE!</v>
      </c>
      <c r="BN34" t="e">
        <f>AND('SPR BARRANQUILLA'!AB37,"AAAAAHr04kE=")</f>
        <v>#VALUE!</v>
      </c>
      <c r="BO34" t="e">
        <f>AND('SPR BARRANQUILLA'!AC37,"AAAAAHr04kI=")</f>
        <v>#VALUE!</v>
      </c>
      <c r="BP34" t="e">
        <f>AND('SPR BARRANQUILLA'!AD37,"AAAAAHr04kM=")</f>
        <v>#VALUE!</v>
      </c>
      <c r="BQ34" t="e">
        <f>AND('SPR BARRANQUILLA'!AE37,"AAAAAHr04kQ=")</f>
        <v>#VALUE!</v>
      </c>
      <c r="BR34" t="e">
        <f>AND('SPR BARRANQUILLA'!AF37,"AAAAAHr04kU=")</f>
        <v>#VALUE!</v>
      </c>
      <c r="BS34" t="e">
        <f>AND('SPR BARRANQUILLA'!AG37,"AAAAAHr04kY=")</f>
        <v>#VALUE!</v>
      </c>
      <c r="BT34" t="e">
        <f>AND('SPR BARRANQUILLA'!AH37,"AAAAAHr04kc=")</f>
        <v>#VALUE!</v>
      </c>
      <c r="BU34" t="e">
        <f>AND('SPR BARRANQUILLA'!AI37,"AAAAAHr04kg=")</f>
        <v>#VALUE!</v>
      </c>
      <c r="BV34" t="e">
        <f>AND('SPR BARRANQUILLA'!AJ37,"AAAAAHr04kk=")</f>
        <v>#VALUE!</v>
      </c>
      <c r="BW34" t="e">
        <f>AND('SPR BARRANQUILLA'!AK37,"AAAAAHr04ko=")</f>
        <v>#VALUE!</v>
      </c>
      <c r="BX34" t="e">
        <f>AND('SPR BARRANQUILLA'!AL37,"AAAAAHr04ks=")</f>
        <v>#VALUE!</v>
      </c>
      <c r="BY34" t="e">
        <f>AND('SPR BARRANQUILLA'!AM37,"AAAAAHr04kw=")</f>
        <v>#VALUE!</v>
      </c>
      <c r="BZ34" t="e">
        <f>AND('SPR BARRANQUILLA'!AN37,"AAAAAHr04k0=")</f>
        <v>#VALUE!</v>
      </c>
      <c r="CA34" t="e">
        <f>AND('SPR BARRANQUILLA'!AO37,"AAAAAHr04k4=")</f>
        <v>#VALUE!</v>
      </c>
      <c r="CB34" t="e">
        <f>AND('SPR BARRANQUILLA'!AP37,"AAAAAHr04k8=")</f>
        <v>#VALUE!</v>
      </c>
      <c r="CC34" t="e">
        <f>AND('SPR BARRANQUILLA'!AQ37,"AAAAAHr04lA=")</f>
        <v>#VALUE!</v>
      </c>
      <c r="CD34" t="e">
        <f>AND('SPR BARRANQUILLA'!AR37,"AAAAAHr04lE=")</f>
        <v>#VALUE!</v>
      </c>
      <c r="CE34" t="e">
        <f>AND('SPR BARRANQUILLA'!AS37,"AAAAAHr04lI=")</f>
        <v>#VALUE!</v>
      </c>
      <c r="CF34" t="e">
        <f>AND('SPR BARRANQUILLA'!AT37,"AAAAAHr04lM=")</f>
        <v>#VALUE!</v>
      </c>
      <c r="CG34" t="e">
        <f>AND('SPR BARRANQUILLA'!AU37,"AAAAAHr04lQ=")</f>
        <v>#VALUE!</v>
      </c>
      <c r="CH34" t="e">
        <f>AND('SPR BARRANQUILLA'!AV37,"AAAAAHr04lU=")</f>
        <v>#VALUE!</v>
      </c>
      <c r="CI34" t="e">
        <f>AND('SPR BARRANQUILLA'!AW37,"AAAAAHr04lY=")</f>
        <v>#VALUE!</v>
      </c>
      <c r="CJ34" t="e">
        <f>AND('SPR BARRANQUILLA'!AX37,"AAAAAHr04lc=")</f>
        <v>#VALUE!</v>
      </c>
      <c r="CK34" t="e">
        <f>AND('SPR BARRANQUILLA'!AY37,"AAAAAHr04lg=")</f>
        <v>#VALUE!</v>
      </c>
      <c r="CL34" t="e">
        <f>AND('SPR BARRANQUILLA'!AZ37,"AAAAAHr04lk=")</f>
        <v>#VALUE!</v>
      </c>
      <c r="CM34" t="e">
        <f>AND('SPR BARRANQUILLA'!BA37,"AAAAAHr04lo=")</f>
        <v>#VALUE!</v>
      </c>
      <c r="CN34" t="e">
        <f>AND('SPR BARRANQUILLA'!BB37,"AAAAAHr04ls=")</f>
        <v>#VALUE!</v>
      </c>
      <c r="CO34" t="e">
        <f>AND('SPR BARRANQUILLA'!BC37,"AAAAAHr04lw=")</f>
        <v>#VALUE!</v>
      </c>
      <c r="CP34" t="e">
        <f>AND('SPR BARRANQUILLA'!BD37,"AAAAAHr04l0=")</f>
        <v>#VALUE!</v>
      </c>
      <c r="CQ34" t="e">
        <f>AND('SPR BARRANQUILLA'!BE37,"AAAAAHr04l4=")</f>
        <v>#VALUE!</v>
      </c>
      <c r="CR34" t="e">
        <f>AND('SPR BARRANQUILLA'!BF37,"AAAAAHr04l8=")</f>
        <v>#VALUE!</v>
      </c>
      <c r="CS34" t="e">
        <f>AND('SPR BARRANQUILLA'!BG37,"AAAAAHr04mA=")</f>
        <v>#VALUE!</v>
      </c>
      <c r="CT34" t="e">
        <f>AND('SPR BARRANQUILLA'!BH37,"AAAAAHr04mE=")</f>
        <v>#VALUE!</v>
      </c>
      <c r="CU34" t="e">
        <f>AND('SPR BARRANQUILLA'!BI37,"AAAAAHr04mI=")</f>
        <v>#VALUE!</v>
      </c>
      <c r="CV34" t="e">
        <f>AND('SPR BARRANQUILLA'!BJ37,"AAAAAHr04mM=")</f>
        <v>#VALUE!</v>
      </c>
      <c r="CW34" t="e">
        <f>AND('SPR BARRANQUILLA'!BK37,"AAAAAHr04mQ=")</f>
        <v>#VALUE!</v>
      </c>
      <c r="CX34" t="e">
        <f>AND('SPR BARRANQUILLA'!BL37,"AAAAAHr04mU=")</f>
        <v>#VALUE!</v>
      </c>
      <c r="CY34" t="e">
        <f>AND('SPR BARRANQUILLA'!BM37,"AAAAAHr04mY=")</f>
        <v>#VALUE!</v>
      </c>
      <c r="CZ34" t="e">
        <f>AND('SPR BARRANQUILLA'!BN37,"AAAAAHr04mc=")</f>
        <v>#VALUE!</v>
      </c>
      <c r="DA34" t="e">
        <f>AND('SPR BARRANQUILLA'!BO37,"AAAAAHr04mg=")</f>
        <v>#VALUE!</v>
      </c>
      <c r="DB34" t="e">
        <f>AND('SPR BARRANQUILLA'!BP37,"AAAAAHr04mk=")</f>
        <v>#VALUE!</v>
      </c>
      <c r="DC34" t="e">
        <f>AND('SPR BARRANQUILLA'!BQ37,"AAAAAHr04mo=")</f>
        <v>#VALUE!</v>
      </c>
      <c r="DD34" t="e">
        <f>AND('SPR BARRANQUILLA'!BR37,"AAAAAHr04ms=")</f>
        <v>#VALUE!</v>
      </c>
      <c r="DE34" t="e">
        <f>AND('SPR BARRANQUILLA'!BS37,"AAAAAHr04mw=")</f>
        <v>#VALUE!</v>
      </c>
      <c r="DF34" t="e">
        <f>AND('SPR BARRANQUILLA'!BT37,"AAAAAHr04m0=")</f>
        <v>#VALUE!</v>
      </c>
      <c r="DG34" t="e">
        <f>AND('SPR BARRANQUILLA'!BU37,"AAAAAHr04m4=")</f>
        <v>#VALUE!</v>
      </c>
      <c r="DH34" t="e">
        <f>AND('SPR BARRANQUILLA'!BV37,"AAAAAHr04m8=")</f>
        <v>#VALUE!</v>
      </c>
      <c r="DI34" t="e">
        <f>AND('SPR BARRANQUILLA'!BW37,"AAAAAHr04nA=")</f>
        <v>#VALUE!</v>
      </c>
      <c r="DJ34" t="e">
        <f>AND('SPR BARRANQUILLA'!BX37,"AAAAAHr04nE=")</f>
        <v>#VALUE!</v>
      </c>
      <c r="DK34" t="e">
        <f>AND('SPR BARRANQUILLA'!BY37,"AAAAAHr04nI=")</f>
        <v>#VALUE!</v>
      </c>
      <c r="DL34" t="e">
        <f>AND('SPR BARRANQUILLA'!BZ37,"AAAAAHr04nM=")</f>
        <v>#VALUE!</v>
      </c>
      <c r="DM34" t="e">
        <f>AND('SPR BARRANQUILLA'!CA37,"AAAAAHr04nQ=")</f>
        <v>#VALUE!</v>
      </c>
      <c r="DN34" t="e">
        <f>AND('SPR BARRANQUILLA'!CB37,"AAAAAHr04nU=")</f>
        <v>#VALUE!</v>
      </c>
      <c r="DO34" t="e">
        <f>AND('SPR BARRANQUILLA'!CC37,"AAAAAHr04nY=")</f>
        <v>#VALUE!</v>
      </c>
      <c r="DP34" t="e">
        <f>AND('SPR BARRANQUILLA'!CD37,"AAAAAHr04nc=")</f>
        <v>#VALUE!</v>
      </c>
      <c r="DQ34" t="e">
        <f>AND('SPR BARRANQUILLA'!CE37,"AAAAAHr04ng=")</f>
        <v>#VALUE!</v>
      </c>
      <c r="DR34" t="e">
        <f>AND('SPR BARRANQUILLA'!CF37,"AAAAAHr04nk=")</f>
        <v>#VALUE!</v>
      </c>
      <c r="DS34" t="e">
        <f>AND('SPR BARRANQUILLA'!CG37,"AAAAAHr04no=")</f>
        <v>#VALUE!</v>
      </c>
      <c r="DT34" t="e">
        <f>AND('SPR BARRANQUILLA'!CH37,"AAAAAHr04ns=")</f>
        <v>#VALUE!</v>
      </c>
      <c r="DU34" t="e">
        <f>AND('SPR BARRANQUILLA'!CI37,"AAAAAHr04nw=")</f>
        <v>#VALUE!</v>
      </c>
      <c r="DV34" t="e">
        <f>AND('SPR BARRANQUILLA'!CJ37,"AAAAAHr04n0=")</f>
        <v>#VALUE!</v>
      </c>
      <c r="DW34" t="e">
        <f>AND('SPR BARRANQUILLA'!CK37,"AAAAAHr04n4=")</f>
        <v>#VALUE!</v>
      </c>
      <c r="DX34" t="e">
        <f>AND('SPR BARRANQUILLA'!CL37,"AAAAAHr04n8=")</f>
        <v>#VALUE!</v>
      </c>
      <c r="DY34" t="e">
        <f>AND('SPR BARRANQUILLA'!CM37,"AAAAAHr04oA=")</f>
        <v>#VALUE!</v>
      </c>
      <c r="DZ34" t="e">
        <f>AND('SPR BARRANQUILLA'!CN37,"AAAAAHr04oE=")</f>
        <v>#VALUE!</v>
      </c>
      <c r="EA34" t="e">
        <f>AND('SPR BARRANQUILLA'!CO37,"AAAAAHr04oI=")</f>
        <v>#VALUE!</v>
      </c>
      <c r="EB34" t="e">
        <f>AND('SPR BARRANQUILLA'!CP37,"AAAAAHr04oM=")</f>
        <v>#VALUE!</v>
      </c>
      <c r="EC34" t="e">
        <f>AND('SPR BARRANQUILLA'!CQ37,"AAAAAHr04oQ=")</f>
        <v>#VALUE!</v>
      </c>
      <c r="ED34" t="e">
        <f>AND('SPR BARRANQUILLA'!CR37,"AAAAAHr04oU=")</f>
        <v>#VALUE!</v>
      </c>
      <c r="EE34" t="e">
        <f>AND('SPR BARRANQUILLA'!CS37,"AAAAAHr04oY=")</f>
        <v>#VALUE!</v>
      </c>
      <c r="EF34" t="e">
        <f>AND('SPR BARRANQUILLA'!CT37,"AAAAAHr04oc=")</f>
        <v>#VALUE!</v>
      </c>
      <c r="EG34" t="e">
        <f>AND('SPR BARRANQUILLA'!CU37,"AAAAAHr04og=")</f>
        <v>#VALUE!</v>
      </c>
      <c r="EH34" t="e">
        <f>AND('SPR BARRANQUILLA'!CV37,"AAAAAHr04ok=")</f>
        <v>#VALUE!</v>
      </c>
      <c r="EI34" t="e">
        <f>AND('SPR BARRANQUILLA'!CW37,"AAAAAHr04oo=")</f>
        <v>#VALUE!</v>
      </c>
      <c r="EJ34" t="e">
        <f>AND('SPR BARRANQUILLA'!CX37,"AAAAAHr04os=")</f>
        <v>#VALUE!</v>
      </c>
      <c r="EK34" t="e">
        <f>AND('SPR BARRANQUILLA'!CY37,"AAAAAHr04ow=")</f>
        <v>#VALUE!</v>
      </c>
      <c r="EL34" t="e">
        <f>AND('SPR BARRANQUILLA'!CZ37,"AAAAAHr04o0=")</f>
        <v>#VALUE!</v>
      </c>
      <c r="EM34" t="e">
        <f>AND('SPR BARRANQUILLA'!DA37,"AAAAAHr04o4=")</f>
        <v>#VALUE!</v>
      </c>
      <c r="EN34" t="e">
        <f>AND('SPR BARRANQUILLA'!DB37,"AAAAAHr04o8=")</f>
        <v>#VALUE!</v>
      </c>
      <c r="EO34" t="e">
        <f>AND('SPR BARRANQUILLA'!DC37,"AAAAAHr04pA=")</f>
        <v>#VALUE!</v>
      </c>
      <c r="EP34" t="e">
        <f>AND('SPR BARRANQUILLA'!DD37,"AAAAAHr04pE=")</f>
        <v>#VALUE!</v>
      </c>
      <c r="EQ34" t="e">
        <f>AND('SPR BARRANQUILLA'!DE37,"AAAAAHr04pI=")</f>
        <v>#VALUE!</v>
      </c>
      <c r="ER34" t="e">
        <f>AND('SPR BARRANQUILLA'!DF37,"AAAAAHr04pM=")</f>
        <v>#VALUE!</v>
      </c>
      <c r="ES34" t="e">
        <f>AND('SPR BARRANQUILLA'!DG37,"AAAAAHr04pQ=")</f>
        <v>#VALUE!</v>
      </c>
      <c r="ET34" t="e">
        <f>AND('SPR BARRANQUILLA'!DH37,"AAAAAHr04pU=")</f>
        <v>#VALUE!</v>
      </c>
      <c r="EU34" t="e">
        <f>AND('SPR BARRANQUILLA'!DI37,"AAAAAHr04pY=")</f>
        <v>#VALUE!</v>
      </c>
      <c r="EV34" t="e">
        <f>AND('SPR BARRANQUILLA'!DJ37,"AAAAAHr04pc=")</f>
        <v>#VALUE!</v>
      </c>
      <c r="EW34" t="e">
        <f>AND('SPR BARRANQUILLA'!DK37,"AAAAAHr04pg=")</f>
        <v>#VALUE!</v>
      </c>
      <c r="EX34" t="e">
        <f>AND('SPR BARRANQUILLA'!DL37,"AAAAAHr04pk=")</f>
        <v>#VALUE!</v>
      </c>
      <c r="EY34" t="e">
        <f>AND('SPR BARRANQUILLA'!DM37,"AAAAAHr04po=")</f>
        <v>#VALUE!</v>
      </c>
      <c r="EZ34" t="e">
        <f>AND('SPR BARRANQUILLA'!DN37,"AAAAAHr04ps=")</f>
        <v>#VALUE!</v>
      </c>
      <c r="FA34" t="e">
        <f>AND('SPR BARRANQUILLA'!DO37,"AAAAAHr04pw=")</f>
        <v>#VALUE!</v>
      </c>
      <c r="FB34" t="e">
        <f>AND('SPR BARRANQUILLA'!DP37,"AAAAAHr04p0=")</f>
        <v>#VALUE!</v>
      </c>
      <c r="FC34" t="e">
        <f>AND('SPR BARRANQUILLA'!DQ37,"AAAAAHr04p4=")</f>
        <v>#VALUE!</v>
      </c>
      <c r="FD34" t="e">
        <f>AND('SPR BARRANQUILLA'!DR37,"AAAAAHr04p8=")</f>
        <v>#VALUE!</v>
      </c>
      <c r="FE34" t="e">
        <f>AND('SPR BARRANQUILLA'!DS37,"AAAAAHr04qA=")</f>
        <v>#VALUE!</v>
      </c>
      <c r="FF34" t="e">
        <f>AND('SPR BARRANQUILLA'!DT37,"AAAAAHr04qE=")</f>
        <v>#VALUE!</v>
      </c>
      <c r="FG34" t="e">
        <f>AND('SPR BARRANQUILLA'!DU37,"AAAAAHr04qI=")</f>
        <v>#VALUE!</v>
      </c>
      <c r="FH34" t="e">
        <f>AND('SPR BARRANQUILLA'!DV37,"AAAAAHr04qM=")</f>
        <v>#VALUE!</v>
      </c>
      <c r="FI34" t="e">
        <f>AND('SPR BARRANQUILLA'!DW37,"AAAAAHr04qQ=")</f>
        <v>#VALUE!</v>
      </c>
      <c r="FJ34" t="e">
        <f>AND('SPR BARRANQUILLA'!DX37,"AAAAAHr04qU=")</f>
        <v>#VALUE!</v>
      </c>
      <c r="FK34" t="e">
        <f>AND('SPR BARRANQUILLA'!DY37,"AAAAAHr04qY=")</f>
        <v>#VALUE!</v>
      </c>
      <c r="FL34" t="e">
        <f>AND('SPR BARRANQUILLA'!DZ37,"AAAAAHr04qc=")</f>
        <v>#VALUE!</v>
      </c>
      <c r="FM34" t="e">
        <f>AND('SPR BARRANQUILLA'!EA37,"AAAAAHr04qg=")</f>
        <v>#VALUE!</v>
      </c>
      <c r="FN34" t="e">
        <f>AND('SPR BARRANQUILLA'!EB37,"AAAAAHr04qk=")</f>
        <v>#VALUE!</v>
      </c>
      <c r="FO34" t="e">
        <f>AND('SPR BARRANQUILLA'!EC37,"AAAAAHr04qo=")</f>
        <v>#VALUE!</v>
      </c>
      <c r="FP34" t="e">
        <f>AND('SPR BARRANQUILLA'!ED37,"AAAAAHr04qs=")</f>
        <v>#VALUE!</v>
      </c>
      <c r="FQ34" t="e">
        <f>AND('SPR BARRANQUILLA'!EE37,"AAAAAHr04qw=")</f>
        <v>#VALUE!</v>
      </c>
      <c r="FR34" t="e">
        <f>AND('SPR BARRANQUILLA'!EF37,"AAAAAHr04q0=")</f>
        <v>#VALUE!</v>
      </c>
      <c r="FS34" t="e">
        <f>AND('SPR BARRANQUILLA'!EG37,"AAAAAHr04q4=")</f>
        <v>#VALUE!</v>
      </c>
      <c r="FT34" t="e">
        <f>AND('SPR BARRANQUILLA'!EH37,"AAAAAHr04q8=")</f>
        <v>#VALUE!</v>
      </c>
      <c r="FU34" t="e">
        <f>AND('SPR BARRANQUILLA'!EI37,"AAAAAHr04rA=")</f>
        <v>#VALUE!</v>
      </c>
      <c r="FV34" t="e">
        <f>AND('SPR BARRANQUILLA'!EJ37,"AAAAAHr04rE=")</f>
        <v>#VALUE!</v>
      </c>
      <c r="FW34" t="e">
        <f>AND('SPR BARRANQUILLA'!EK37,"AAAAAHr04rI=")</f>
        <v>#VALUE!</v>
      </c>
      <c r="FX34" t="e">
        <f>AND('SPR BARRANQUILLA'!EL37,"AAAAAHr04rM=")</f>
        <v>#VALUE!</v>
      </c>
      <c r="FY34" t="e">
        <f>AND('SPR BARRANQUILLA'!EM37,"AAAAAHr04rQ=")</f>
        <v>#VALUE!</v>
      </c>
      <c r="FZ34" t="e">
        <f>AND('SPR BARRANQUILLA'!EN37,"AAAAAHr04rU=")</f>
        <v>#VALUE!</v>
      </c>
      <c r="GA34" t="e">
        <f>AND('SPR BARRANQUILLA'!EO37,"AAAAAHr04rY=")</f>
        <v>#VALUE!</v>
      </c>
      <c r="GB34" t="e">
        <f>AND('SPR BARRANQUILLA'!EP37,"AAAAAHr04rc=")</f>
        <v>#VALUE!</v>
      </c>
      <c r="GC34" t="e">
        <f>AND('SPR BARRANQUILLA'!EQ37,"AAAAAHr04rg=")</f>
        <v>#VALUE!</v>
      </c>
      <c r="GD34" t="e">
        <f>AND('SPR BARRANQUILLA'!ER37,"AAAAAHr04rk=")</f>
        <v>#VALUE!</v>
      </c>
      <c r="GE34" t="e">
        <f>AND('SPR BARRANQUILLA'!ES37,"AAAAAHr04ro=")</f>
        <v>#VALUE!</v>
      </c>
      <c r="GF34" t="e">
        <f>AND('SPR BARRANQUILLA'!ET37,"AAAAAHr04rs=")</f>
        <v>#VALUE!</v>
      </c>
      <c r="GG34" t="e">
        <f>AND('SPR BARRANQUILLA'!EU37,"AAAAAHr04rw=")</f>
        <v>#VALUE!</v>
      </c>
      <c r="GH34" t="e">
        <f>AND('SPR BARRANQUILLA'!EV37,"AAAAAHr04r0=")</f>
        <v>#VALUE!</v>
      </c>
      <c r="GI34" t="e">
        <f>AND('SPR BARRANQUILLA'!EW37,"AAAAAHr04r4=")</f>
        <v>#VALUE!</v>
      </c>
      <c r="GJ34" t="e">
        <f>AND('SPR BARRANQUILLA'!EX37,"AAAAAHr04r8=")</f>
        <v>#VALUE!</v>
      </c>
      <c r="GK34" t="e">
        <f>AND('SPR BARRANQUILLA'!EY37,"AAAAAHr04sA=")</f>
        <v>#VALUE!</v>
      </c>
      <c r="GL34" t="e">
        <f>AND('SPR BARRANQUILLA'!EZ37,"AAAAAHr04sE=")</f>
        <v>#VALUE!</v>
      </c>
      <c r="GM34" t="e">
        <f>AND('SPR BARRANQUILLA'!FA37,"AAAAAHr04sI=")</f>
        <v>#VALUE!</v>
      </c>
      <c r="GN34" t="e">
        <f>AND('SPR BARRANQUILLA'!FB37,"AAAAAHr04sM=")</f>
        <v>#VALUE!</v>
      </c>
      <c r="GO34" t="e">
        <f>AND('SPR BARRANQUILLA'!FC37,"AAAAAHr04sQ=")</f>
        <v>#VALUE!</v>
      </c>
      <c r="GP34" t="e">
        <f>AND('SPR BARRANQUILLA'!FD37,"AAAAAHr04sU=")</f>
        <v>#VALUE!</v>
      </c>
      <c r="GQ34" t="e">
        <f>AND('SPR BARRANQUILLA'!FE37,"AAAAAHr04sY=")</f>
        <v>#VALUE!</v>
      </c>
      <c r="GR34" t="e">
        <f>AND('SPR BARRANQUILLA'!FF37,"AAAAAHr04sc=")</f>
        <v>#VALUE!</v>
      </c>
      <c r="GS34" t="e">
        <f>AND('SPR BARRANQUILLA'!FG37,"AAAAAHr04sg=")</f>
        <v>#VALUE!</v>
      </c>
      <c r="GT34" t="e">
        <f>AND('SPR BARRANQUILLA'!FH37,"AAAAAHr04sk=")</f>
        <v>#VALUE!</v>
      </c>
      <c r="GU34" t="e">
        <f>AND('SPR BARRANQUILLA'!FI37,"AAAAAHr04so=")</f>
        <v>#VALUE!</v>
      </c>
      <c r="GV34" t="e">
        <f>AND('SPR BARRANQUILLA'!FJ37,"AAAAAHr04ss=")</f>
        <v>#VALUE!</v>
      </c>
      <c r="GW34" t="e">
        <f>AND('SPR BARRANQUILLA'!FK37,"AAAAAHr04sw=")</f>
        <v>#VALUE!</v>
      </c>
      <c r="GX34" t="e">
        <f>AND('SPR BARRANQUILLA'!FL37,"AAAAAHr04s0=")</f>
        <v>#VALUE!</v>
      </c>
      <c r="GY34" t="e">
        <f>AND('SPR BARRANQUILLA'!FM37,"AAAAAHr04s4=")</f>
        <v>#VALUE!</v>
      </c>
      <c r="GZ34" t="e">
        <f>AND('SPR BARRANQUILLA'!FN37,"AAAAAHr04s8=")</f>
        <v>#VALUE!</v>
      </c>
      <c r="HA34" t="e">
        <f>AND('SPR BARRANQUILLA'!FO37,"AAAAAHr04tA=")</f>
        <v>#VALUE!</v>
      </c>
      <c r="HB34" t="e">
        <f>AND('SPR BARRANQUILLA'!FP37,"AAAAAHr04tE=")</f>
        <v>#VALUE!</v>
      </c>
      <c r="HC34" t="e">
        <f>AND('SPR BARRANQUILLA'!FQ37,"AAAAAHr04tI=")</f>
        <v>#VALUE!</v>
      </c>
      <c r="HD34" t="e">
        <f>AND('SPR BARRANQUILLA'!FR37,"AAAAAHr04tM=")</f>
        <v>#VALUE!</v>
      </c>
      <c r="HE34" t="e">
        <f>AND('SPR BARRANQUILLA'!FS37,"AAAAAHr04tQ=")</f>
        <v>#VALUE!</v>
      </c>
      <c r="HF34" t="e">
        <f>AND('SPR BARRANQUILLA'!FT37,"AAAAAHr04tU=")</f>
        <v>#VALUE!</v>
      </c>
      <c r="HG34" t="e">
        <f>AND('SPR BARRANQUILLA'!FU37,"AAAAAHr04tY=")</f>
        <v>#VALUE!</v>
      </c>
      <c r="HH34" t="e">
        <f>AND('SPR BARRANQUILLA'!FV37,"AAAAAHr04tc=")</f>
        <v>#VALUE!</v>
      </c>
      <c r="HI34" t="e">
        <f>AND('SPR BARRANQUILLA'!FW37,"AAAAAHr04tg=")</f>
        <v>#VALUE!</v>
      </c>
      <c r="HJ34" t="e">
        <f>AND('SPR BARRANQUILLA'!FX37,"AAAAAHr04tk=")</f>
        <v>#VALUE!</v>
      </c>
      <c r="HK34" t="e">
        <f>AND('SPR BARRANQUILLA'!FY37,"AAAAAHr04to=")</f>
        <v>#VALUE!</v>
      </c>
      <c r="HL34" t="e">
        <f>AND('SPR BARRANQUILLA'!FZ37,"AAAAAHr04ts=")</f>
        <v>#VALUE!</v>
      </c>
      <c r="HM34" t="e">
        <f>AND('SPR BARRANQUILLA'!GA37,"AAAAAHr04tw=")</f>
        <v>#VALUE!</v>
      </c>
      <c r="HN34" t="e">
        <f>AND('SPR BARRANQUILLA'!GB37,"AAAAAHr04t0=")</f>
        <v>#VALUE!</v>
      </c>
      <c r="HO34" t="e">
        <f>AND('SPR BARRANQUILLA'!GC37,"AAAAAHr04t4=")</f>
        <v>#VALUE!</v>
      </c>
      <c r="HP34" t="e">
        <f>AND('SPR BARRANQUILLA'!GD37,"AAAAAHr04t8=")</f>
        <v>#VALUE!</v>
      </c>
      <c r="HQ34" t="e">
        <f>AND('SPR BARRANQUILLA'!GE37,"AAAAAHr04uA=")</f>
        <v>#VALUE!</v>
      </c>
      <c r="HR34" t="e">
        <f>AND('SPR BARRANQUILLA'!GF37,"AAAAAHr04uE=")</f>
        <v>#VALUE!</v>
      </c>
      <c r="HS34" t="e">
        <f>AND('SPR BARRANQUILLA'!GG37,"AAAAAHr04uI=")</f>
        <v>#VALUE!</v>
      </c>
      <c r="HT34" t="e">
        <f>AND('SPR BARRANQUILLA'!GH37,"AAAAAHr04uM=")</f>
        <v>#VALUE!</v>
      </c>
      <c r="HU34" t="e">
        <f>AND('SPR BARRANQUILLA'!GI37,"AAAAAHr04uQ=")</f>
        <v>#VALUE!</v>
      </c>
      <c r="HV34" t="e">
        <f>AND('SPR BARRANQUILLA'!GJ37,"AAAAAHr04uU=")</f>
        <v>#VALUE!</v>
      </c>
      <c r="HW34" t="e">
        <f>AND('SPR BARRANQUILLA'!GK37,"AAAAAHr04uY=")</f>
        <v>#VALUE!</v>
      </c>
      <c r="HX34" t="e">
        <f>AND('SPR BARRANQUILLA'!GL37,"AAAAAHr04uc=")</f>
        <v>#VALUE!</v>
      </c>
      <c r="HY34" t="e">
        <f>AND('SPR BARRANQUILLA'!GM37,"AAAAAHr04ug=")</f>
        <v>#VALUE!</v>
      </c>
      <c r="HZ34" t="e">
        <f>AND('SPR BARRANQUILLA'!GN37,"AAAAAHr04uk=")</f>
        <v>#VALUE!</v>
      </c>
      <c r="IA34" t="e">
        <f>AND('SPR BARRANQUILLA'!GO37,"AAAAAHr04uo=")</f>
        <v>#VALUE!</v>
      </c>
      <c r="IB34" t="e">
        <f>AND('SPR BARRANQUILLA'!GP37,"AAAAAHr04us=")</f>
        <v>#VALUE!</v>
      </c>
      <c r="IC34" t="e">
        <f>AND('SPR BARRANQUILLA'!GQ37,"AAAAAHr04uw=")</f>
        <v>#VALUE!</v>
      </c>
      <c r="ID34" t="e">
        <f>AND('SPR BARRANQUILLA'!GR37,"AAAAAHr04u0=")</f>
        <v>#VALUE!</v>
      </c>
      <c r="IE34" t="e">
        <f>AND('SPR BARRANQUILLA'!GS37,"AAAAAHr04u4=")</f>
        <v>#VALUE!</v>
      </c>
      <c r="IF34" t="e">
        <f>AND('SPR BARRANQUILLA'!GT37,"AAAAAHr04u8=")</f>
        <v>#VALUE!</v>
      </c>
      <c r="IG34" t="e">
        <f>AND('SPR BARRANQUILLA'!GU37,"AAAAAHr04vA=")</f>
        <v>#VALUE!</v>
      </c>
      <c r="IH34" t="e">
        <f>AND('SPR BARRANQUILLA'!GV37,"AAAAAHr04vE=")</f>
        <v>#VALUE!</v>
      </c>
      <c r="II34" t="e">
        <f>AND('SPR BARRANQUILLA'!GW37,"AAAAAHr04vI=")</f>
        <v>#VALUE!</v>
      </c>
      <c r="IJ34" t="e">
        <f>AND('SPR BARRANQUILLA'!GX37,"AAAAAHr04vM=")</f>
        <v>#VALUE!</v>
      </c>
      <c r="IK34" t="e">
        <f>AND('SPR BARRANQUILLA'!GY37,"AAAAAHr04vQ=")</f>
        <v>#VALUE!</v>
      </c>
      <c r="IL34">
        <f>IF('SPR BARRANQUILLA'!38:38,"AAAAAHr04vU=",0)</f>
        <v>0</v>
      </c>
      <c r="IM34" t="e">
        <f>AND('SPR BARRANQUILLA'!A38,"AAAAAHr04vY=")</f>
        <v>#VALUE!</v>
      </c>
      <c r="IN34" t="e">
        <f>AND('SPR BARRANQUILLA'!B38,"AAAAAHr04vc=")</f>
        <v>#VALUE!</v>
      </c>
      <c r="IO34" t="e">
        <f>AND('SPR BARRANQUILLA'!C38,"AAAAAHr04vg=")</f>
        <v>#VALUE!</v>
      </c>
      <c r="IP34" t="e">
        <f>AND('SPR BARRANQUILLA'!D38,"AAAAAHr04vk=")</f>
        <v>#VALUE!</v>
      </c>
      <c r="IQ34" t="e">
        <f>AND('SPR BARRANQUILLA'!E38,"AAAAAHr04vo=")</f>
        <v>#VALUE!</v>
      </c>
      <c r="IR34" t="e">
        <f>AND('SPR BARRANQUILLA'!F38,"AAAAAHr04vs=")</f>
        <v>#VALUE!</v>
      </c>
      <c r="IS34" t="e">
        <f>AND('SPR BARRANQUILLA'!G38,"AAAAAHr04vw=")</f>
        <v>#VALUE!</v>
      </c>
      <c r="IT34" t="e">
        <f>AND('SPR BARRANQUILLA'!H38,"AAAAAHr04v0=")</f>
        <v>#VALUE!</v>
      </c>
      <c r="IU34" t="e">
        <f>AND('SPR BARRANQUILLA'!I38,"AAAAAHr04v4=")</f>
        <v>#VALUE!</v>
      </c>
      <c r="IV34" t="e">
        <f>AND('SPR BARRANQUILLA'!J38,"AAAAAHr04v8=")</f>
        <v>#VALUE!</v>
      </c>
    </row>
    <row r="35" spans="1:256">
      <c r="A35" t="e">
        <f>AND('SPR BARRANQUILLA'!K38,"AAAAAH/6vwA=")</f>
        <v>#VALUE!</v>
      </c>
      <c r="B35" t="e">
        <f>AND('SPR BARRANQUILLA'!L38,"AAAAAH/6vwE=")</f>
        <v>#VALUE!</v>
      </c>
      <c r="C35" t="e">
        <f>AND('SPR BARRANQUILLA'!M38,"AAAAAH/6vwI=")</f>
        <v>#VALUE!</v>
      </c>
      <c r="D35" t="e">
        <f>AND('SPR BARRANQUILLA'!N38,"AAAAAH/6vwM=")</f>
        <v>#VALUE!</v>
      </c>
      <c r="E35" t="e">
        <f>AND('SPR BARRANQUILLA'!O38,"AAAAAH/6vwQ=")</f>
        <v>#VALUE!</v>
      </c>
      <c r="F35" t="e">
        <f>AND('SPR BARRANQUILLA'!P38,"AAAAAH/6vwU=")</f>
        <v>#VALUE!</v>
      </c>
      <c r="G35" t="e">
        <f>AND('SPR BARRANQUILLA'!Q38,"AAAAAH/6vwY=")</f>
        <v>#VALUE!</v>
      </c>
      <c r="H35" t="e">
        <f>AND('SPR BARRANQUILLA'!R38,"AAAAAH/6vwc=")</f>
        <v>#VALUE!</v>
      </c>
      <c r="I35" t="e">
        <f>AND('SPR BARRANQUILLA'!S38,"AAAAAH/6vwg=")</f>
        <v>#VALUE!</v>
      </c>
      <c r="J35" t="e">
        <f>AND('SPR BARRANQUILLA'!T38,"AAAAAH/6vwk=")</f>
        <v>#VALUE!</v>
      </c>
      <c r="K35" t="e">
        <f>AND('SPR BARRANQUILLA'!U38,"AAAAAH/6vwo=")</f>
        <v>#VALUE!</v>
      </c>
      <c r="L35" t="e">
        <f>AND('SPR BARRANQUILLA'!V38,"AAAAAH/6vws=")</f>
        <v>#VALUE!</v>
      </c>
      <c r="M35" t="e">
        <f>AND('SPR BARRANQUILLA'!W38,"AAAAAH/6vww=")</f>
        <v>#VALUE!</v>
      </c>
      <c r="N35" t="e">
        <f>AND('SPR BARRANQUILLA'!X38,"AAAAAH/6vw0=")</f>
        <v>#VALUE!</v>
      </c>
      <c r="O35" t="e">
        <f>AND('SPR BARRANQUILLA'!Y38,"AAAAAH/6vw4=")</f>
        <v>#VALUE!</v>
      </c>
      <c r="P35" t="e">
        <f>AND('SPR BARRANQUILLA'!Z38,"AAAAAH/6vw8=")</f>
        <v>#VALUE!</v>
      </c>
      <c r="Q35" t="e">
        <f>AND('SPR BARRANQUILLA'!AA38,"AAAAAH/6vxA=")</f>
        <v>#VALUE!</v>
      </c>
      <c r="R35" t="e">
        <f>AND('SPR BARRANQUILLA'!AB38,"AAAAAH/6vxE=")</f>
        <v>#VALUE!</v>
      </c>
      <c r="S35" t="e">
        <f>AND('SPR BARRANQUILLA'!AC38,"AAAAAH/6vxI=")</f>
        <v>#VALUE!</v>
      </c>
      <c r="T35" t="e">
        <f>AND('SPR BARRANQUILLA'!AD38,"AAAAAH/6vxM=")</f>
        <v>#VALUE!</v>
      </c>
      <c r="U35" t="e">
        <f>AND('SPR BARRANQUILLA'!AE38,"AAAAAH/6vxQ=")</f>
        <v>#VALUE!</v>
      </c>
      <c r="V35" t="e">
        <f>AND('SPR BARRANQUILLA'!AF38,"AAAAAH/6vxU=")</f>
        <v>#VALUE!</v>
      </c>
      <c r="W35" t="e">
        <f>AND('SPR BARRANQUILLA'!AG38,"AAAAAH/6vxY=")</f>
        <v>#VALUE!</v>
      </c>
      <c r="X35" t="e">
        <f>AND('SPR BARRANQUILLA'!AH38,"AAAAAH/6vxc=")</f>
        <v>#VALUE!</v>
      </c>
      <c r="Y35" t="e">
        <f>AND('SPR BARRANQUILLA'!AI38,"AAAAAH/6vxg=")</f>
        <v>#VALUE!</v>
      </c>
      <c r="Z35" t="e">
        <f>AND('SPR BARRANQUILLA'!AJ38,"AAAAAH/6vxk=")</f>
        <v>#VALUE!</v>
      </c>
      <c r="AA35" t="e">
        <f>AND('SPR BARRANQUILLA'!AK38,"AAAAAH/6vxo=")</f>
        <v>#VALUE!</v>
      </c>
      <c r="AB35" t="e">
        <f>AND('SPR BARRANQUILLA'!AL38,"AAAAAH/6vxs=")</f>
        <v>#VALUE!</v>
      </c>
      <c r="AC35" t="e">
        <f>AND('SPR BARRANQUILLA'!AM38,"AAAAAH/6vxw=")</f>
        <v>#VALUE!</v>
      </c>
      <c r="AD35" t="e">
        <f>AND('SPR BARRANQUILLA'!AN38,"AAAAAH/6vx0=")</f>
        <v>#VALUE!</v>
      </c>
      <c r="AE35" t="e">
        <f>AND('SPR BARRANQUILLA'!AO38,"AAAAAH/6vx4=")</f>
        <v>#VALUE!</v>
      </c>
      <c r="AF35" t="e">
        <f>AND('SPR BARRANQUILLA'!AP38,"AAAAAH/6vx8=")</f>
        <v>#VALUE!</v>
      </c>
      <c r="AG35" t="e">
        <f>AND('SPR BARRANQUILLA'!AQ38,"AAAAAH/6vyA=")</f>
        <v>#VALUE!</v>
      </c>
      <c r="AH35" t="e">
        <f>AND('SPR BARRANQUILLA'!AR38,"AAAAAH/6vyE=")</f>
        <v>#VALUE!</v>
      </c>
      <c r="AI35" t="e">
        <f>AND('SPR BARRANQUILLA'!AS38,"AAAAAH/6vyI=")</f>
        <v>#VALUE!</v>
      </c>
      <c r="AJ35" t="e">
        <f>AND('SPR BARRANQUILLA'!AT38,"AAAAAH/6vyM=")</f>
        <v>#VALUE!</v>
      </c>
      <c r="AK35" t="e">
        <f>AND('SPR BARRANQUILLA'!AU38,"AAAAAH/6vyQ=")</f>
        <v>#VALUE!</v>
      </c>
      <c r="AL35" t="e">
        <f>AND('SPR BARRANQUILLA'!AV38,"AAAAAH/6vyU=")</f>
        <v>#VALUE!</v>
      </c>
      <c r="AM35" t="e">
        <f>AND('SPR BARRANQUILLA'!AW38,"AAAAAH/6vyY=")</f>
        <v>#VALUE!</v>
      </c>
      <c r="AN35" t="e">
        <f>AND('SPR BARRANQUILLA'!AX38,"AAAAAH/6vyc=")</f>
        <v>#VALUE!</v>
      </c>
      <c r="AO35" t="e">
        <f>AND('SPR BARRANQUILLA'!AY38,"AAAAAH/6vyg=")</f>
        <v>#VALUE!</v>
      </c>
      <c r="AP35" t="e">
        <f>AND('SPR BARRANQUILLA'!AZ38,"AAAAAH/6vyk=")</f>
        <v>#VALUE!</v>
      </c>
      <c r="AQ35" t="e">
        <f>AND('SPR BARRANQUILLA'!BA38,"AAAAAH/6vyo=")</f>
        <v>#VALUE!</v>
      </c>
      <c r="AR35" t="e">
        <f>AND('SPR BARRANQUILLA'!BB38,"AAAAAH/6vys=")</f>
        <v>#VALUE!</v>
      </c>
      <c r="AS35" t="e">
        <f>AND('SPR BARRANQUILLA'!BC38,"AAAAAH/6vyw=")</f>
        <v>#VALUE!</v>
      </c>
      <c r="AT35" t="e">
        <f>AND('SPR BARRANQUILLA'!BD38,"AAAAAH/6vy0=")</f>
        <v>#VALUE!</v>
      </c>
      <c r="AU35" t="e">
        <f>AND('SPR BARRANQUILLA'!BE38,"AAAAAH/6vy4=")</f>
        <v>#VALUE!</v>
      </c>
      <c r="AV35" t="e">
        <f>AND('SPR BARRANQUILLA'!BF38,"AAAAAH/6vy8=")</f>
        <v>#VALUE!</v>
      </c>
      <c r="AW35" t="e">
        <f>AND('SPR BARRANQUILLA'!BG38,"AAAAAH/6vzA=")</f>
        <v>#VALUE!</v>
      </c>
      <c r="AX35" t="e">
        <f>AND('SPR BARRANQUILLA'!BH38,"AAAAAH/6vzE=")</f>
        <v>#VALUE!</v>
      </c>
      <c r="AY35" t="e">
        <f>AND('SPR BARRANQUILLA'!BI38,"AAAAAH/6vzI=")</f>
        <v>#VALUE!</v>
      </c>
      <c r="AZ35" t="e">
        <f>AND('SPR BARRANQUILLA'!BJ38,"AAAAAH/6vzM=")</f>
        <v>#VALUE!</v>
      </c>
      <c r="BA35" t="e">
        <f>AND('SPR BARRANQUILLA'!BK38,"AAAAAH/6vzQ=")</f>
        <v>#VALUE!</v>
      </c>
      <c r="BB35" t="e">
        <f>AND('SPR BARRANQUILLA'!BL38,"AAAAAH/6vzU=")</f>
        <v>#VALUE!</v>
      </c>
      <c r="BC35" t="e">
        <f>AND('SPR BARRANQUILLA'!BM38,"AAAAAH/6vzY=")</f>
        <v>#VALUE!</v>
      </c>
      <c r="BD35" t="e">
        <f>AND('SPR BARRANQUILLA'!BN38,"AAAAAH/6vzc=")</f>
        <v>#VALUE!</v>
      </c>
      <c r="BE35" t="e">
        <f>AND('SPR BARRANQUILLA'!BO38,"AAAAAH/6vzg=")</f>
        <v>#VALUE!</v>
      </c>
      <c r="BF35" t="e">
        <f>AND('SPR BARRANQUILLA'!BP38,"AAAAAH/6vzk=")</f>
        <v>#VALUE!</v>
      </c>
      <c r="BG35" t="e">
        <f>AND('SPR BARRANQUILLA'!BQ38,"AAAAAH/6vzo=")</f>
        <v>#VALUE!</v>
      </c>
      <c r="BH35" t="e">
        <f>AND('SPR BARRANQUILLA'!BR38,"AAAAAH/6vzs=")</f>
        <v>#VALUE!</v>
      </c>
      <c r="BI35" t="e">
        <f>AND('SPR BARRANQUILLA'!BS38,"AAAAAH/6vzw=")</f>
        <v>#VALUE!</v>
      </c>
      <c r="BJ35" t="e">
        <f>AND('SPR BARRANQUILLA'!BT38,"AAAAAH/6vz0=")</f>
        <v>#VALUE!</v>
      </c>
      <c r="BK35" t="e">
        <f>AND('SPR BARRANQUILLA'!BU38,"AAAAAH/6vz4=")</f>
        <v>#VALUE!</v>
      </c>
      <c r="BL35" t="e">
        <f>AND('SPR BARRANQUILLA'!BV38,"AAAAAH/6vz8=")</f>
        <v>#VALUE!</v>
      </c>
      <c r="BM35" t="e">
        <f>AND('SPR BARRANQUILLA'!BW38,"AAAAAH/6v0A=")</f>
        <v>#VALUE!</v>
      </c>
      <c r="BN35" t="e">
        <f>AND('SPR BARRANQUILLA'!BX38,"AAAAAH/6v0E=")</f>
        <v>#VALUE!</v>
      </c>
      <c r="BO35" t="e">
        <f>AND('SPR BARRANQUILLA'!BY38,"AAAAAH/6v0I=")</f>
        <v>#VALUE!</v>
      </c>
      <c r="BP35" t="e">
        <f>AND('SPR BARRANQUILLA'!BZ38,"AAAAAH/6v0M=")</f>
        <v>#VALUE!</v>
      </c>
      <c r="BQ35" t="e">
        <f>AND('SPR BARRANQUILLA'!CA38,"AAAAAH/6v0Q=")</f>
        <v>#VALUE!</v>
      </c>
      <c r="BR35" t="e">
        <f>AND('SPR BARRANQUILLA'!CB38,"AAAAAH/6v0U=")</f>
        <v>#VALUE!</v>
      </c>
      <c r="BS35" t="e">
        <f>AND('SPR BARRANQUILLA'!CC38,"AAAAAH/6v0Y=")</f>
        <v>#VALUE!</v>
      </c>
      <c r="BT35" t="e">
        <f>AND('SPR BARRANQUILLA'!CD38,"AAAAAH/6v0c=")</f>
        <v>#VALUE!</v>
      </c>
      <c r="BU35" t="e">
        <f>AND('SPR BARRANQUILLA'!CE38,"AAAAAH/6v0g=")</f>
        <v>#VALUE!</v>
      </c>
      <c r="BV35" t="e">
        <f>AND('SPR BARRANQUILLA'!CF38,"AAAAAH/6v0k=")</f>
        <v>#VALUE!</v>
      </c>
      <c r="BW35" t="e">
        <f>AND('SPR BARRANQUILLA'!CG38,"AAAAAH/6v0o=")</f>
        <v>#VALUE!</v>
      </c>
      <c r="BX35" t="e">
        <f>AND('SPR BARRANQUILLA'!CH38,"AAAAAH/6v0s=")</f>
        <v>#VALUE!</v>
      </c>
      <c r="BY35" t="e">
        <f>AND('SPR BARRANQUILLA'!CI38,"AAAAAH/6v0w=")</f>
        <v>#VALUE!</v>
      </c>
      <c r="BZ35" t="e">
        <f>AND('SPR BARRANQUILLA'!CJ38,"AAAAAH/6v00=")</f>
        <v>#VALUE!</v>
      </c>
      <c r="CA35" t="e">
        <f>AND('SPR BARRANQUILLA'!CK38,"AAAAAH/6v04=")</f>
        <v>#VALUE!</v>
      </c>
      <c r="CB35" t="e">
        <f>AND('SPR BARRANQUILLA'!CL38,"AAAAAH/6v08=")</f>
        <v>#VALUE!</v>
      </c>
      <c r="CC35" t="e">
        <f>AND('SPR BARRANQUILLA'!CM38,"AAAAAH/6v1A=")</f>
        <v>#VALUE!</v>
      </c>
      <c r="CD35" t="e">
        <f>AND('SPR BARRANQUILLA'!CN38,"AAAAAH/6v1E=")</f>
        <v>#VALUE!</v>
      </c>
      <c r="CE35" t="e">
        <f>AND('SPR BARRANQUILLA'!CO38,"AAAAAH/6v1I=")</f>
        <v>#VALUE!</v>
      </c>
      <c r="CF35" t="e">
        <f>AND('SPR BARRANQUILLA'!CP38,"AAAAAH/6v1M=")</f>
        <v>#VALUE!</v>
      </c>
      <c r="CG35" t="e">
        <f>AND('SPR BARRANQUILLA'!CQ38,"AAAAAH/6v1Q=")</f>
        <v>#VALUE!</v>
      </c>
      <c r="CH35" t="e">
        <f>AND('SPR BARRANQUILLA'!CR38,"AAAAAH/6v1U=")</f>
        <v>#VALUE!</v>
      </c>
      <c r="CI35" t="e">
        <f>AND('SPR BARRANQUILLA'!CS38,"AAAAAH/6v1Y=")</f>
        <v>#VALUE!</v>
      </c>
      <c r="CJ35" t="e">
        <f>AND('SPR BARRANQUILLA'!CT38,"AAAAAH/6v1c=")</f>
        <v>#VALUE!</v>
      </c>
      <c r="CK35" t="e">
        <f>AND('SPR BARRANQUILLA'!CU38,"AAAAAH/6v1g=")</f>
        <v>#VALUE!</v>
      </c>
      <c r="CL35" t="e">
        <f>AND('SPR BARRANQUILLA'!CV38,"AAAAAH/6v1k=")</f>
        <v>#VALUE!</v>
      </c>
      <c r="CM35" t="e">
        <f>AND('SPR BARRANQUILLA'!CW38,"AAAAAH/6v1o=")</f>
        <v>#VALUE!</v>
      </c>
      <c r="CN35" t="e">
        <f>AND('SPR BARRANQUILLA'!CX38,"AAAAAH/6v1s=")</f>
        <v>#VALUE!</v>
      </c>
      <c r="CO35" t="e">
        <f>AND('SPR BARRANQUILLA'!CY38,"AAAAAH/6v1w=")</f>
        <v>#VALUE!</v>
      </c>
      <c r="CP35" t="e">
        <f>AND('SPR BARRANQUILLA'!CZ38,"AAAAAH/6v10=")</f>
        <v>#VALUE!</v>
      </c>
      <c r="CQ35" t="e">
        <f>AND('SPR BARRANQUILLA'!DA38,"AAAAAH/6v14=")</f>
        <v>#VALUE!</v>
      </c>
      <c r="CR35" t="e">
        <f>AND('SPR BARRANQUILLA'!DB38,"AAAAAH/6v18=")</f>
        <v>#VALUE!</v>
      </c>
      <c r="CS35" t="e">
        <f>AND('SPR BARRANQUILLA'!DC38,"AAAAAH/6v2A=")</f>
        <v>#VALUE!</v>
      </c>
      <c r="CT35" t="e">
        <f>AND('SPR BARRANQUILLA'!DD38,"AAAAAH/6v2E=")</f>
        <v>#VALUE!</v>
      </c>
      <c r="CU35" t="e">
        <f>AND('SPR BARRANQUILLA'!DE38,"AAAAAH/6v2I=")</f>
        <v>#VALUE!</v>
      </c>
      <c r="CV35" t="e">
        <f>AND('SPR BARRANQUILLA'!DF38,"AAAAAH/6v2M=")</f>
        <v>#VALUE!</v>
      </c>
      <c r="CW35" t="e">
        <f>AND('SPR BARRANQUILLA'!DG38,"AAAAAH/6v2Q=")</f>
        <v>#VALUE!</v>
      </c>
      <c r="CX35" t="e">
        <f>AND('SPR BARRANQUILLA'!DH38,"AAAAAH/6v2U=")</f>
        <v>#VALUE!</v>
      </c>
      <c r="CY35" t="e">
        <f>AND('SPR BARRANQUILLA'!DI38,"AAAAAH/6v2Y=")</f>
        <v>#VALUE!</v>
      </c>
      <c r="CZ35" t="e">
        <f>AND('SPR BARRANQUILLA'!DJ38,"AAAAAH/6v2c=")</f>
        <v>#VALUE!</v>
      </c>
      <c r="DA35" t="e">
        <f>AND('SPR BARRANQUILLA'!DK38,"AAAAAH/6v2g=")</f>
        <v>#VALUE!</v>
      </c>
      <c r="DB35" t="e">
        <f>AND('SPR BARRANQUILLA'!DL38,"AAAAAH/6v2k=")</f>
        <v>#VALUE!</v>
      </c>
      <c r="DC35" t="e">
        <f>AND('SPR BARRANQUILLA'!DM38,"AAAAAH/6v2o=")</f>
        <v>#VALUE!</v>
      </c>
      <c r="DD35" t="e">
        <f>AND('SPR BARRANQUILLA'!DN38,"AAAAAH/6v2s=")</f>
        <v>#VALUE!</v>
      </c>
      <c r="DE35" t="e">
        <f>AND('SPR BARRANQUILLA'!DO38,"AAAAAH/6v2w=")</f>
        <v>#VALUE!</v>
      </c>
      <c r="DF35" t="e">
        <f>AND('SPR BARRANQUILLA'!DP38,"AAAAAH/6v20=")</f>
        <v>#VALUE!</v>
      </c>
      <c r="DG35" t="e">
        <f>AND('SPR BARRANQUILLA'!DQ38,"AAAAAH/6v24=")</f>
        <v>#VALUE!</v>
      </c>
      <c r="DH35" t="e">
        <f>AND('SPR BARRANQUILLA'!DR38,"AAAAAH/6v28=")</f>
        <v>#VALUE!</v>
      </c>
      <c r="DI35" t="e">
        <f>AND('SPR BARRANQUILLA'!DS38,"AAAAAH/6v3A=")</f>
        <v>#VALUE!</v>
      </c>
      <c r="DJ35" t="e">
        <f>AND('SPR BARRANQUILLA'!DT38,"AAAAAH/6v3E=")</f>
        <v>#VALUE!</v>
      </c>
      <c r="DK35" t="e">
        <f>AND('SPR BARRANQUILLA'!DU38,"AAAAAH/6v3I=")</f>
        <v>#VALUE!</v>
      </c>
      <c r="DL35" t="e">
        <f>AND('SPR BARRANQUILLA'!DV38,"AAAAAH/6v3M=")</f>
        <v>#VALUE!</v>
      </c>
      <c r="DM35" t="e">
        <f>AND('SPR BARRANQUILLA'!DW38,"AAAAAH/6v3Q=")</f>
        <v>#VALUE!</v>
      </c>
      <c r="DN35" t="e">
        <f>AND('SPR BARRANQUILLA'!DX38,"AAAAAH/6v3U=")</f>
        <v>#VALUE!</v>
      </c>
      <c r="DO35" t="e">
        <f>AND('SPR BARRANQUILLA'!DY38,"AAAAAH/6v3Y=")</f>
        <v>#VALUE!</v>
      </c>
      <c r="DP35" t="e">
        <f>AND('SPR BARRANQUILLA'!DZ38,"AAAAAH/6v3c=")</f>
        <v>#VALUE!</v>
      </c>
      <c r="DQ35" t="e">
        <f>AND('SPR BARRANQUILLA'!EA38,"AAAAAH/6v3g=")</f>
        <v>#VALUE!</v>
      </c>
      <c r="DR35" t="e">
        <f>AND('SPR BARRANQUILLA'!EB38,"AAAAAH/6v3k=")</f>
        <v>#VALUE!</v>
      </c>
      <c r="DS35" t="e">
        <f>AND('SPR BARRANQUILLA'!EC38,"AAAAAH/6v3o=")</f>
        <v>#VALUE!</v>
      </c>
      <c r="DT35" t="e">
        <f>AND('SPR BARRANQUILLA'!ED38,"AAAAAH/6v3s=")</f>
        <v>#VALUE!</v>
      </c>
      <c r="DU35" t="e">
        <f>AND('SPR BARRANQUILLA'!EE38,"AAAAAH/6v3w=")</f>
        <v>#VALUE!</v>
      </c>
      <c r="DV35" t="e">
        <f>AND('SPR BARRANQUILLA'!EF38,"AAAAAH/6v30=")</f>
        <v>#VALUE!</v>
      </c>
      <c r="DW35" t="e">
        <f>AND('SPR BARRANQUILLA'!EG38,"AAAAAH/6v34=")</f>
        <v>#VALUE!</v>
      </c>
      <c r="DX35" t="e">
        <f>AND('SPR BARRANQUILLA'!EH38,"AAAAAH/6v38=")</f>
        <v>#VALUE!</v>
      </c>
      <c r="DY35" t="e">
        <f>AND('SPR BARRANQUILLA'!EI38,"AAAAAH/6v4A=")</f>
        <v>#VALUE!</v>
      </c>
      <c r="DZ35" t="e">
        <f>AND('SPR BARRANQUILLA'!EJ38,"AAAAAH/6v4E=")</f>
        <v>#VALUE!</v>
      </c>
      <c r="EA35" t="e">
        <f>AND('SPR BARRANQUILLA'!EK38,"AAAAAH/6v4I=")</f>
        <v>#VALUE!</v>
      </c>
      <c r="EB35" t="e">
        <f>AND('SPR BARRANQUILLA'!EL38,"AAAAAH/6v4M=")</f>
        <v>#VALUE!</v>
      </c>
      <c r="EC35" t="e">
        <f>AND('SPR BARRANQUILLA'!EM38,"AAAAAH/6v4Q=")</f>
        <v>#VALUE!</v>
      </c>
      <c r="ED35" t="e">
        <f>AND('SPR BARRANQUILLA'!EN38,"AAAAAH/6v4U=")</f>
        <v>#VALUE!</v>
      </c>
      <c r="EE35" t="e">
        <f>AND('SPR BARRANQUILLA'!EO38,"AAAAAH/6v4Y=")</f>
        <v>#VALUE!</v>
      </c>
      <c r="EF35" t="e">
        <f>AND('SPR BARRANQUILLA'!EP38,"AAAAAH/6v4c=")</f>
        <v>#VALUE!</v>
      </c>
      <c r="EG35" t="e">
        <f>AND('SPR BARRANQUILLA'!EQ38,"AAAAAH/6v4g=")</f>
        <v>#VALUE!</v>
      </c>
      <c r="EH35" t="e">
        <f>AND('SPR BARRANQUILLA'!ER38,"AAAAAH/6v4k=")</f>
        <v>#VALUE!</v>
      </c>
      <c r="EI35" t="e">
        <f>AND('SPR BARRANQUILLA'!ES38,"AAAAAH/6v4o=")</f>
        <v>#VALUE!</v>
      </c>
      <c r="EJ35" t="e">
        <f>AND('SPR BARRANQUILLA'!ET38,"AAAAAH/6v4s=")</f>
        <v>#VALUE!</v>
      </c>
      <c r="EK35" t="e">
        <f>AND('SPR BARRANQUILLA'!EU38,"AAAAAH/6v4w=")</f>
        <v>#VALUE!</v>
      </c>
      <c r="EL35" t="e">
        <f>AND('SPR BARRANQUILLA'!EV38,"AAAAAH/6v40=")</f>
        <v>#VALUE!</v>
      </c>
      <c r="EM35" t="e">
        <f>AND('SPR BARRANQUILLA'!EW38,"AAAAAH/6v44=")</f>
        <v>#VALUE!</v>
      </c>
      <c r="EN35" t="e">
        <f>AND('SPR BARRANQUILLA'!EX38,"AAAAAH/6v48=")</f>
        <v>#VALUE!</v>
      </c>
      <c r="EO35" t="e">
        <f>AND('SPR BARRANQUILLA'!EY38,"AAAAAH/6v5A=")</f>
        <v>#VALUE!</v>
      </c>
      <c r="EP35" t="e">
        <f>AND('SPR BARRANQUILLA'!EZ38,"AAAAAH/6v5E=")</f>
        <v>#VALUE!</v>
      </c>
      <c r="EQ35" t="e">
        <f>AND('SPR BARRANQUILLA'!FA38,"AAAAAH/6v5I=")</f>
        <v>#VALUE!</v>
      </c>
      <c r="ER35" t="e">
        <f>AND('SPR BARRANQUILLA'!FB38,"AAAAAH/6v5M=")</f>
        <v>#VALUE!</v>
      </c>
      <c r="ES35" t="e">
        <f>AND('SPR BARRANQUILLA'!FC38,"AAAAAH/6v5Q=")</f>
        <v>#VALUE!</v>
      </c>
      <c r="ET35" t="e">
        <f>AND('SPR BARRANQUILLA'!FD38,"AAAAAH/6v5U=")</f>
        <v>#VALUE!</v>
      </c>
      <c r="EU35" t="e">
        <f>AND('SPR BARRANQUILLA'!FE38,"AAAAAH/6v5Y=")</f>
        <v>#VALUE!</v>
      </c>
      <c r="EV35" t="e">
        <f>AND('SPR BARRANQUILLA'!FF38,"AAAAAH/6v5c=")</f>
        <v>#VALUE!</v>
      </c>
      <c r="EW35" t="e">
        <f>AND('SPR BARRANQUILLA'!FG38,"AAAAAH/6v5g=")</f>
        <v>#VALUE!</v>
      </c>
      <c r="EX35" t="e">
        <f>AND('SPR BARRANQUILLA'!FH38,"AAAAAH/6v5k=")</f>
        <v>#VALUE!</v>
      </c>
      <c r="EY35" t="e">
        <f>AND('SPR BARRANQUILLA'!FI38,"AAAAAH/6v5o=")</f>
        <v>#VALUE!</v>
      </c>
      <c r="EZ35" t="e">
        <f>AND('SPR BARRANQUILLA'!FJ38,"AAAAAH/6v5s=")</f>
        <v>#VALUE!</v>
      </c>
      <c r="FA35" t="e">
        <f>AND('SPR BARRANQUILLA'!FK38,"AAAAAH/6v5w=")</f>
        <v>#VALUE!</v>
      </c>
      <c r="FB35" t="e">
        <f>AND('SPR BARRANQUILLA'!FL38,"AAAAAH/6v50=")</f>
        <v>#VALUE!</v>
      </c>
      <c r="FC35" t="e">
        <f>AND('SPR BARRANQUILLA'!FM38,"AAAAAH/6v54=")</f>
        <v>#VALUE!</v>
      </c>
      <c r="FD35" t="e">
        <f>AND('SPR BARRANQUILLA'!FN38,"AAAAAH/6v58=")</f>
        <v>#VALUE!</v>
      </c>
      <c r="FE35" t="e">
        <f>AND('SPR BARRANQUILLA'!FO38,"AAAAAH/6v6A=")</f>
        <v>#VALUE!</v>
      </c>
      <c r="FF35" t="e">
        <f>AND('SPR BARRANQUILLA'!FP38,"AAAAAH/6v6E=")</f>
        <v>#VALUE!</v>
      </c>
      <c r="FG35" t="e">
        <f>AND('SPR BARRANQUILLA'!FQ38,"AAAAAH/6v6I=")</f>
        <v>#VALUE!</v>
      </c>
      <c r="FH35" t="e">
        <f>AND('SPR BARRANQUILLA'!FR38,"AAAAAH/6v6M=")</f>
        <v>#VALUE!</v>
      </c>
      <c r="FI35" t="e">
        <f>AND('SPR BARRANQUILLA'!FS38,"AAAAAH/6v6Q=")</f>
        <v>#VALUE!</v>
      </c>
      <c r="FJ35" t="e">
        <f>AND('SPR BARRANQUILLA'!FT38,"AAAAAH/6v6U=")</f>
        <v>#VALUE!</v>
      </c>
      <c r="FK35" t="e">
        <f>AND('SPR BARRANQUILLA'!FU38,"AAAAAH/6v6Y=")</f>
        <v>#VALUE!</v>
      </c>
      <c r="FL35" t="e">
        <f>AND('SPR BARRANQUILLA'!FV38,"AAAAAH/6v6c=")</f>
        <v>#VALUE!</v>
      </c>
      <c r="FM35" t="e">
        <f>AND('SPR BARRANQUILLA'!FW38,"AAAAAH/6v6g=")</f>
        <v>#VALUE!</v>
      </c>
      <c r="FN35" t="e">
        <f>AND('SPR BARRANQUILLA'!FX38,"AAAAAH/6v6k=")</f>
        <v>#VALUE!</v>
      </c>
      <c r="FO35" t="e">
        <f>AND('SPR BARRANQUILLA'!FY38,"AAAAAH/6v6o=")</f>
        <v>#VALUE!</v>
      </c>
      <c r="FP35" t="e">
        <f>AND('SPR BARRANQUILLA'!FZ38,"AAAAAH/6v6s=")</f>
        <v>#VALUE!</v>
      </c>
      <c r="FQ35" t="e">
        <f>AND('SPR BARRANQUILLA'!GA38,"AAAAAH/6v6w=")</f>
        <v>#VALUE!</v>
      </c>
      <c r="FR35" t="e">
        <f>AND('SPR BARRANQUILLA'!GB38,"AAAAAH/6v60=")</f>
        <v>#VALUE!</v>
      </c>
      <c r="FS35" t="e">
        <f>AND('SPR BARRANQUILLA'!GC38,"AAAAAH/6v64=")</f>
        <v>#VALUE!</v>
      </c>
      <c r="FT35" t="e">
        <f>AND('SPR BARRANQUILLA'!GD38,"AAAAAH/6v68=")</f>
        <v>#VALUE!</v>
      </c>
      <c r="FU35" t="e">
        <f>AND('SPR BARRANQUILLA'!GE38,"AAAAAH/6v7A=")</f>
        <v>#VALUE!</v>
      </c>
      <c r="FV35" t="e">
        <f>AND('SPR BARRANQUILLA'!GF38,"AAAAAH/6v7E=")</f>
        <v>#VALUE!</v>
      </c>
      <c r="FW35" t="e">
        <f>AND('SPR BARRANQUILLA'!GG38,"AAAAAH/6v7I=")</f>
        <v>#VALUE!</v>
      </c>
      <c r="FX35" t="e">
        <f>AND('SPR BARRANQUILLA'!GH38,"AAAAAH/6v7M=")</f>
        <v>#VALUE!</v>
      </c>
      <c r="FY35" t="e">
        <f>AND('SPR BARRANQUILLA'!GI38,"AAAAAH/6v7Q=")</f>
        <v>#VALUE!</v>
      </c>
      <c r="FZ35" t="e">
        <f>AND('SPR BARRANQUILLA'!GJ38,"AAAAAH/6v7U=")</f>
        <v>#VALUE!</v>
      </c>
      <c r="GA35" t="e">
        <f>AND('SPR BARRANQUILLA'!GK38,"AAAAAH/6v7Y=")</f>
        <v>#VALUE!</v>
      </c>
      <c r="GB35" t="e">
        <f>AND('SPR BARRANQUILLA'!GL38,"AAAAAH/6v7c=")</f>
        <v>#VALUE!</v>
      </c>
      <c r="GC35" t="e">
        <f>AND('SPR BARRANQUILLA'!GM38,"AAAAAH/6v7g=")</f>
        <v>#VALUE!</v>
      </c>
      <c r="GD35" t="e">
        <f>AND('SPR BARRANQUILLA'!GN38,"AAAAAH/6v7k=")</f>
        <v>#VALUE!</v>
      </c>
      <c r="GE35" t="e">
        <f>AND('SPR BARRANQUILLA'!GO38,"AAAAAH/6v7o=")</f>
        <v>#VALUE!</v>
      </c>
      <c r="GF35" t="e">
        <f>AND('SPR BARRANQUILLA'!GP38,"AAAAAH/6v7s=")</f>
        <v>#VALUE!</v>
      </c>
      <c r="GG35" t="e">
        <f>AND('SPR BARRANQUILLA'!GQ38,"AAAAAH/6v7w=")</f>
        <v>#VALUE!</v>
      </c>
      <c r="GH35" t="e">
        <f>AND('SPR BARRANQUILLA'!GR38,"AAAAAH/6v70=")</f>
        <v>#VALUE!</v>
      </c>
      <c r="GI35" t="e">
        <f>AND('SPR BARRANQUILLA'!GS38,"AAAAAH/6v74=")</f>
        <v>#VALUE!</v>
      </c>
      <c r="GJ35" t="e">
        <f>AND('SPR BARRANQUILLA'!GT38,"AAAAAH/6v78=")</f>
        <v>#VALUE!</v>
      </c>
      <c r="GK35" t="e">
        <f>AND('SPR BARRANQUILLA'!GU38,"AAAAAH/6v8A=")</f>
        <v>#VALUE!</v>
      </c>
      <c r="GL35" t="e">
        <f>AND('SPR BARRANQUILLA'!GV38,"AAAAAH/6v8E=")</f>
        <v>#VALUE!</v>
      </c>
      <c r="GM35" t="e">
        <f>AND('SPR BARRANQUILLA'!GW38,"AAAAAH/6v8I=")</f>
        <v>#VALUE!</v>
      </c>
      <c r="GN35" t="e">
        <f>AND('SPR BARRANQUILLA'!GX38,"AAAAAH/6v8M=")</f>
        <v>#VALUE!</v>
      </c>
      <c r="GO35" t="e">
        <f>AND('SPR BARRANQUILLA'!GY38,"AAAAAH/6v8Q=")</f>
        <v>#VALUE!</v>
      </c>
      <c r="GP35">
        <f>IF('SPR BARRANQUILLA'!39:39,"AAAAAH/6v8U=",0)</f>
        <v>0</v>
      </c>
      <c r="GQ35" t="e">
        <f>AND('SPR BARRANQUILLA'!A39,"AAAAAH/6v8Y=")</f>
        <v>#VALUE!</v>
      </c>
      <c r="GR35" t="e">
        <f>AND('SPR BARRANQUILLA'!B39,"AAAAAH/6v8c=")</f>
        <v>#VALUE!</v>
      </c>
      <c r="GS35" t="e">
        <f>AND('SPR BARRANQUILLA'!C39,"AAAAAH/6v8g=")</f>
        <v>#VALUE!</v>
      </c>
      <c r="GT35" t="e">
        <f>AND('SPR BARRANQUILLA'!D39,"AAAAAH/6v8k=")</f>
        <v>#VALUE!</v>
      </c>
      <c r="GU35" t="e">
        <f>AND('SPR BARRANQUILLA'!E39,"AAAAAH/6v8o=")</f>
        <v>#VALUE!</v>
      </c>
      <c r="GV35" t="e">
        <f>AND('SPR BARRANQUILLA'!F39,"AAAAAH/6v8s=")</f>
        <v>#VALUE!</v>
      </c>
      <c r="GW35" t="e">
        <f>AND('SPR BARRANQUILLA'!G39,"AAAAAH/6v8w=")</f>
        <v>#VALUE!</v>
      </c>
      <c r="GX35" t="e">
        <f>AND('SPR BARRANQUILLA'!H39,"AAAAAH/6v80=")</f>
        <v>#VALUE!</v>
      </c>
      <c r="GY35" t="e">
        <f>AND('SPR BARRANQUILLA'!I39,"AAAAAH/6v84=")</f>
        <v>#VALUE!</v>
      </c>
      <c r="GZ35" t="e">
        <f>AND('SPR BARRANQUILLA'!J39,"AAAAAH/6v88=")</f>
        <v>#VALUE!</v>
      </c>
      <c r="HA35" t="e">
        <f>AND('SPR BARRANQUILLA'!K39,"AAAAAH/6v9A=")</f>
        <v>#VALUE!</v>
      </c>
      <c r="HB35" t="e">
        <f>AND('SPR BARRANQUILLA'!L39,"AAAAAH/6v9E=")</f>
        <v>#VALUE!</v>
      </c>
      <c r="HC35" t="e">
        <f>AND('SPR BARRANQUILLA'!M39,"AAAAAH/6v9I=")</f>
        <v>#VALUE!</v>
      </c>
      <c r="HD35" t="e">
        <f>AND('SPR BARRANQUILLA'!N39,"AAAAAH/6v9M=")</f>
        <v>#VALUE!</v>
      </c>
      <c r="HE35" t="e">
        <f>AND('SPR BARRANQUILLA'!O39,"AAAAAH/6v9Q=")</f>
        <v>#VALUE!</v>
      </c>
      <c r="HF35" t="e">
        <f>AND('SPR BARRANQUILLA'!P39,"AAAAAH/6v9U=")</f>
        <v>#VALUE!</v>
      </c>
      <c r="HG35" t="e">
        <f>AND('SPR BARRANQUILLA'!Q39,"AAAAAH/6v9Y=")</f>
        <v>#VALUE!</v>
      </c>
      <c r="HH35" t="e">
        <f>AND('SPR BARRANQUILLA'!R39,"AAAAAH/6v9c=")</f>
        <v>#VALUE!</v>
      </c>
      <c r="HI35" t="e">
        <f>AND('SPR BARRANQUILLA'!S39,"AAAAAH/6v9g=")</f>
        <v>#VALUE!</v>
      </c>
      <c r="HJ35" t="e">
        <f>AND('SPR BARRANQUILLA'!T39,"AAAAAH/6v9k=")</f>
        <v>#VALUE!</v>
      </c>
      <c r="HK35" t="e">
        <f>AND('SPR BARRANQUILLA'!U39,"AAAAAH/6v9o=")</f>
        <v>#VALUE!</v>
      </c>
      <c r="HL35" t="e">
        <f>AND('SPR BARRANQUILLA'!V39,"AAAAAH/6v9s=")</f>
        <v>#VALUE!</v>
      </c>
      <c r="HM35" t="e">
        <f>AND('SPR BARRANQUILLA'!W39,"AAAAAH/6v9w=")</f>
        <v>#VALUE!</v>
      </c>
      <c r="HN35" t="e">
        <f>AND('SPR BARRANQUILLA'!X39,"AAAAAH/6v90=")</f>
        <v>#VALUE!</v>
      </c>
      <c r="HO35" t="e">
        <f>AND('SPR BARRANQUILLA'!Y39,"AAAAAH/6v94=")</f>
        <v>#VALUE!</v>
      </c>
      <c r="HP35" t="e">
        <f>AND('SPR BARRANQUILLA'!Z39,"AAAAAH/6v98=")</f>
        <v>#VALUE!</v>
      </c>
      <c r="HQ35" t="e">
        <f>AND('SPR BARRANQUILLA'!AA39,"AAAAAH/6v+A=")</f>
        <v>#VALUE!</v>
      </c>
      <c r="HR35" t="e">
        <f>AND('SPR BARRANQUILLA'!AB39,"AAAAAH/6v+E=")</f>
        <v>#VALUE!</v>
      </c>
      <c r="HS35" t="e">
        <f>AND('SPR BARRANQUILLA'!AC39,"AAAAAH/6v+I=")</f>
        <v>#VALUE!</v>
      </c>
      <c r="HT35" t="e">
        <f>AND('SPR BARRANQUILLA'!AD39,"AAAAAH/6v+M=")</f>
        <v>#VALUE!</v>
      </c>
      <c r="HU35" t="e">
        <f>AND('SPR BARRANQUILLA'!AE39,"AAAAAH/6v+Q=")</f>
        <v>#VALUE!</v>
      </c>
      <c r="HV35" t="e">
        <f>AND('SPR BARRANQUILLA'!AF39,"AAAAAH/6v+U=")</f>
        <v>#VALUE!</v>
      </c>
      <c r="HW35" t="e">
        <f>AND('SPR BARRANQUILLA'!AG39,"AAAAAH/6v+Y=")</f>
        <v>#VALUE!</v>
      </c>
      <c r="HX35" t="e">
        <f>AND('SPR BARRANQUILLA'!AH39,"AAAAAH/6v+c=")</f>
        <v>#VALUE!</v>
      </c>
      <c r="HY35" t="e">
        <f>AND('SPR BARRANQUILLA'!AI39,"AAAAAH/6v+g=")</f>
        <v>#VALUE!</v>
      </c>
      <c r="HZ35" t="e">
        <f>AND('SPR BARRANQUILLA'!AJ39,"AAAAAH/6v+k=")</f>
        <v>#VALUE!</v>
      </c>
      <c r="IA35" t="e">
        <f>AND('SPR BARRANQUILLA'!AK39,"AAAAAH/6v+o=")</f>
        <v>#VALUE!</v>
      </c>
      <c r="IB35" t="e">
        <f>AND('SPR BARRANQUILLA'!AL39,"AAAAAH/6v+s=")</f>
        <v>#VALUE!</v>
      </c>
      <c r="IC35" t="e">
        <f>AND('SPR BARRANQUILLA'!AM39,"AAAAAH/6v+w=")</f>
        <v>#VALUE!</v>
      </c>
      <c r="ID35" t="e">
        <f>AND('SPR BARRANQUILLA'!AN39,"AAAAAH/6v+0=")</f>
        <v>#VALUE!</v>
      </c>
      <c r="IE35" t="e">
        <f>AND('SPR BARRANQUILLA'!AO39,"AAAAAH/6v+4=")</f>
        <v>#VALUE!</v>
      </c>
      <c r="IF35" t="e">
        <f>AND('SPR BARRANQUILLA'!AP39,"AAAAAH/6v+8=")</f>
        <v>#VALUE!</v>
      </c>
      <c r="IG35" t="e">
        <f>AND('SPR BARRANQUILLA'!AQ39,"AAAAAH/6v/A=")</f>
        <v>#VALUE!</v>
      </c>
      <c r="IH35" t="e">
        <f>AND('SPR BARRANQUILLA'!AR39,"AAAAAH/6v/E=")</f>
        <v>#VALUE!</v>
      </c>
      <c r="II35" t="e">
        <f>AND('SPR BARRANQUILLA'!AS39,"AAAAAH/6v/I=")</f>
        <v>#VALUE!</v>
      </c>
      <c r="IJ35" t="e">
        <f>AND('SPR BARRANQUILLA'!AT39,"AAAAAH/6v/M=")</f>
        <v>#VALUE!</v>
      </c>
      <c r="IK35" t="e">
        <f>AND('SPR BARRANQUILLA'!AU39,"AAAAAH/6v/Q=")</f>
        <v>#VALUE!</v>
      </c>
      <c r="IL35" t="e">
        <f>AND('SPR BARRANQUILLA'!AV39,"AAAAAH/6v/U=")</f>
        <v>#VALUE!</v>
      </c>
      <c r="IM35" t="e">
        <f>AND('SPR BARRANQUILLA'!AW39,"AAAAAH/6v/Y=")</f>
        <v>#VALUE!</v>
      </c>
      <c r="IN35" t="e">
        <f>AND('SPR BARRANQUILLA'!AX39,"AAAAAH/6v/c=")</f>
        <v>#VALUE!</v>
      </c>
      <c r="IO35" t="e">
        <f>AND('SPR BARRANQUILLA'!AY39,"AAAAAH/6v/g=")</f>
        <v>#VALUE!</v>
      </c>
      <c r="IP35" t="e">
        <f>AND('SPR BARRANQUILLA'!AZ39,"AAAAAH/6v/k=")</f>
        <v>#VALUE!</v>
      </c>
      <c r="IQ35" t="e">
        <f>AND('SPR BARRANQUILLA'!BA39,"AAAAAH/6v/o=")</f>
        <v>#VALUE!</v>
      </c>
      <c r="IR35" t="e">
        <f>AND('SPR BARRANQUILLA'!BB39,"AAAAAH/6v/s=")</f>
        <v>#VALUE!</v>
      </c>
      <c r="IS35" t="e">
        <f>AND('SPR BARRANQUILLA'!BC39,"AAAAAH/6v/w=")</f>
        <v>#VALUE!</v>
      </c>
      <c r="IT35" t="e">
        <f>AND('SPR BARRANQUILLA'!BD39,"AAAAAH/6v/0=")</f>
        <v>#VALUE!</v>
      </c>
      <c r="IU35" t="e">
        <f>AND('SPR BARRANQUILLA'!BE39,"AAAAAH/6v/4=")</f>
        <v>#VALUE!</v>
      </c>
      <c r="IV35" t="e">
        <f>AND('SPR BARRANQUILLA'!BF39,"AAAAAH/6v/8=")</f>
        <v>#VALUE!</v>
      </c>
    </row>
    <row r="36" spans="1:256">
      <c r="A36" t="e">
        <f>AND('SPR BARRANQUILLA'!BG39,"AAAAAHe/ewA=")</f>
        <v>#VALUE!</v>
      </c>
      <c r="B36" t="e">
        <f>AND('SPR BARRANQUILLA'!BH39,"AAAAAHe/ewE=")</f>
        <v>#VALUE!</v>
      </c>
      <c r="C36" t="e">
        <f>AND('SPR BARRANQUILLA'!BI39,"AAAAAHe/ewI=")</f>
        <v>#VALUE!</v>
      </c>
      <c r="D36" t="e">
        <f>AND('SPR BARRANQUILLA'!BJ39,"AAAAAHe/ewM=")</f>
        <v>#VALUE!</v>
      </c>
      <c r="E36" t="e">
        <f>AND('SPR BARRANQUILLA'!BK39,"AAAAAHe/ewQ=")</f>
        <v>#VALUE!</v>
      </c>
      <c r="F36" t="e">
        <f>AND('SPR BARRANQUILLA'!BL39,"AAAAAHe/ewU=")</f>
        <v>#VALUE!</v>
      </c>
      <c r="G36" t="e">
        <f>AND('SPR BARRANQUILLA'!BM39,"AAAAAHe/ewY=")</f>
        <v>#VALUE!</v>
      </c>
      <c r="H36" t="e">
        <f>AND('SPR BARRANQUILLA'!BN39,"AAAAAHe/ewc=")</f>
        <v>#VALUE!</v>
      </c>
      <c r="I36" t="e">
        <f>AND('SPR BARRANQUILLA'!BO39,"AAAAAHe/ewg=")</f>
        <v>#VALUE!</v>
      </c>
      <c r="J36" t="e">
        <f>AND('SPR BARRANQUILLA'!BP39,"AAAAAHe/ewk=")</f>
        <v>#VALUE!</v>
      </c>
      <c r="K36" t="e">
        <f>AND('SPR BARRANQUILLA'!BQ39,"AAAAAHe/ewo=")</f>
        <v>#VALUE!</v>
      </c>
      <c r="L36" t="e">
        <f>AND('SPR BARRANQUILLA'!BR39,"AAAAAHe/ews=")</f>
        <v>#VALUE!</v>
      </c>
      <c r="M36" t="e">
        <f>AND('SPR BARRANQUILLA'!BS39,"AAAAAHe/eww=")</f>
        <v>#VALUE!</v>
      </c>
      <c r="N36" t="e">
        <f>AND('SPR BARRANQUILLA'!BT39,"AAAAAHe/ew0=")</f>
        <v>#VALUE!</v>
      </c>
      <c r="O36" t="e">
        <f>AND('SPR BARRANQUILLA'!BU39,"AAAAAHe/ew4=")</f>
        <v>#VALUE!</v>
      </c>
      <c r="P36" t="e">
        <f>AND('SPR BARRANQUILLA'!BV39,"AAAAAHe/ew8=")</f>
        <v>#VALUE!</v>
      </c>
      <c r="Q36" t="e">
        <f>AND('SPR BARRANQUILLA'!BW39,"AAAAAHe/exA=")</f>
        <v>#VALUE!</v>
      </c>
      <c r="R36" t="e">
        <f>AND('SPR BARRANQUILLA'!BX39,"AAAAAHe/exE=")</f>
        <v>#VALUE!</v>
      </c>
      <c r="S36" t="e">
        <f>AND('SPR BARRANQUILLA'!BY39,"AAAAAHe/exI=")</f>
        <v>#VALUE!</v>
      </c>
      <c r="T36" t="e">
        <f>AND('SPR BARRANQUILLA'!BZ39,"AAAAAHe/exM=")</f>
        <v>#VALUE!</v>
      </c>
      <c r="U36" t="e">
        <f>AND('SPR BARRANQUILLA'!CA39,"AAAAAHe/exQ=")</f>
        <v>#VALUE!</v>
      </c>
      <c r="V36" t="e">
        <f>AND('SPR BARRANQUILLA'!CB39,"AAAAAHe/exU=")</f>
        <v>#VALUE!</v>
      </c>
      <c r="W36" t="e">
        <f>AND('SPR BARRANQUILLA'!CC39,"AAAAAHe/exY=")</f>
        <v>#VALUE!</v>
      </c>
      <c r="X36" t="e">
        <f>AND('SPR BARRANQUILLA'!CD39,"AAAAAHe/exc=")</f>
        <v>#VALUE!</v>
      </c>
      <c r="Y36" t="e">
        <f>AND('SPR BARRANQUILLA'!CE39,"AAAAAHe/exg=")</f>
        <v>#VALUE!</v>
      </c>
      <c r="Z36" t="e">
        <f>AND('SPR BARRANQUILLA'!CF39,"AAAAAHe/exk=")</f>
        <v>#VALUE!</v>
      </c>
      <c r="AA36" t="e">
        <f>AND('SPR BARRANQUILLA'!CG39,"AAAAAHe/exo=")</f>
        <v>#VALUE!</v>
      </c>
      <c r="AB36" t="e">
        <f>AND('SPR BARRANQUILLA'!CH39,"AAAAAHe/exs=")</f>
        <v>#VALUE!</v>
      </c>
      <c r="AC36" t="e">
        <f>AND('SPR BARRANQUILLA'!CI39,"AAAAAHe/exw=")</f>
        <v>#VALUE!</v>
      </c>
      <c r="AD36" t="e">
        <f>AND('SPR BARRANQUILLA'!CJ39,"AAAAAHe/ex0=")</f>
        <v>#VALUE!</v>
      </c>
      <c r="AE36" t="e">
        <f>AND('SPR BARRANQUILLA'!CK39,"AAAAAHe/ex4=")</f>
        <v>#VALUE!</v>
      </c>
      <c r="AF36" t="e">
        <f>AND('SPR BARRANQUILLA'!CL39,"AAAAAHe/ex8=")</f>
        <v>#VALUE!</v>
      </c>
      <c r="AG36" t="e">
        <f>AND('SPR BARRANQUILLA'!CM39,"AAAAAHe/eyA=")</f>
        <v>#VALUE!</v>
      </c>
      <c r="AH36" t="e">
        <f>AND('SPR BARRANQUILLA'!CN39,"AAAAAHe/eyE=")</f>
        <v>#VALUE!</v>
      </c>
      <c r="AI36" t="e">
        <f>AND('SPR BARRANQUILLA'!CO39,"AAAAAHe/eyI=")</f>
        <v>#VALUE!</v>
      </c>
      <c r="AJ36" t="e">
        <f>AND('SPR BARRANQUILLA'!CP39,"AAAAAHe/eyM=")</f>
        <v>#VALUE!</v>
      </c>
      <c r="AK36" t="e">
        <f>AND('SPR BARRANQUILLA'!CQ39,"AAAAAHe/eyQ=")</f>
        <v>#VALUE!</v>
      </c>
      <c r="AL36" t="e">
        <f>AND('SPR BARRANQUILLA'!CR39,"AAAAAHe/eyU=")</f>
        <v>#VALUE!</v>
      </c>
      <c r="AM36" t="e">
        <f>AND('SPR BARRANQUILLA'!CS39,"AAAAAHe/eyY=")</f>
        <v>#VALUE!</v>
      </c>
      <c r="AN36" t="e">
        <f>AND('SPR BARRANQUILLA'!CT39,"AAAAAHe/eyc=")</f>
        <v>#VALUE!</v>
      </c>
      <c r="AO36" t="e">
        <f>AND('SPR BARRANQUILLA'!CU39,"AAAAAHe/eyg=")</f>
        <v>#VALUE!</v>
      </c>
      <c r="AP36" t="e">
        <f>AND('SPR BARRANQUILLA'!CV39,"AAAAAHe/eyk=")</f>
        <v>#VALUE!</v>
      </c>
      <c r="AQ36" t="e">
        <f>AND('SPR BARRANQUILLA'!CW39,"AAAAAHe/eyo=")</f>
        <v>#VALUE!</v>
      </c>
      <c r="AR36" t="e">
        <f>AND('SPR BARRANQUILLA'!CX39,"AAAAAHe/eys=")</f>
        <v>#VALUE!</v>
      </c>
      <c r="AS36" t="e">
        <f>AND('SPR BARRANQUILLA'!CY39,"AAAAAHe/eyw=")</f>
        <v>#VALUE!</v>
      </c>
      <c r="AT36" t="e">
        <f>AND('SPR BARRANQUILLA'!CZ39,"AAAAAHe/ey0=")</f>
        <v>#VALUE!</v>
      </c>
      <c r="AU36" t="e">
        <f>AND('SPR BARRANQUILLA'!DA39,"AAAAAHe/ey4=")</f>
        <v>#VALUE!</v>
      </c>
      <c r="AV36" t="e">
        <f>AND('SPR BARRANQUILLA'!DB39,"AAAAAHe/ey8=")</f>
        <v>#VALUE!</v>
      </c>
      <c r="AW36" t="e">
        <f>AND('SPR BARRANQUILLA'!DC39,"AAAAAHe/ezA=")</f>
        <v>#VALUE!</v>
      </c>
      <c r="AX36" t="e">
        <f>AND('SPR BARRANQUILLA'!DD39,"AAAAAHe/ezE=")</f>
        <v>#VALUE!</v>
      </c>
      <c r="AY36" t="e">
        <f>AND('SPR BARRANQUILLA'!DE39,"AAAAAHe/ezI=")</f>
        <v>#VALUE!</v>
      </c>
      <c r="AZ36" t="e">
        <f>AND('SPR BARRANQUILLA'!DF39,"AAAAAHe/ezM=")</f>
        <v>#VALUE!</v>
      </c>
      <c r="BA36" t="e">
        <f>AND('SPR BARRANQUILLA'!DG39,"AAAAAHe/ezQ=")</f>
        <v>#VALUE!</v>
      </c>
      <c r="BB36" t="e">
        <f>AND('SPR BARRANQUILLA'!DH39,"AAAAAHe/ezU=")</f>
        <v>#VALUE!</v>
      </c>
      <c r="BC36" t="e">
        <f>AND('SPR BARRANQUILLA'!DI39,"AAAAAHe/ezY=")</f>
        <v>#VALUE!</v>
      </c>
      <c r="BD36" t="e">
        <f>AND('SPR BARRANQUILLA'!DJ39,"AAAAAHe/ezc=")</f>
        <v>#VALUE!</v>
      </c>
      <c r="BE36" t="e">
        <f>AND('SPR BARRANQUILLA'!DK39,"AAAAAHe/ezg=")</f>
        <v>#VALUE!</v>
      </c>
      <c r="BF36" t="e">
        <f>AND('SPR BARRANQUILLA'!DL39,"AAAAAHe/ezk=")</f>
        <v>#VALUE!</v>
      </c>
      <c r="BG36" t="e">
        <f>AND('SPR BARRANQUILLA'!DM39,"AAAAAHe/ezo=")</f>
        <v>#VALUE!</v>
      </c>
      <c r="BH36" t="e">
        <f>AND('SPR BARRANQUILLA'!DN39,"AAAAAHe/ezs=")</f>
        <v>#VALUE!</v>
      </c>
      <c r="BI36" t="e">
        <f>AND('SPR BARRANQUILLA'!DO39,"AAAAAHe/ezw=")</f>
        <v>#VALUE!</v>
      </c>
      <c r="BJ36" t="e">
        <f>AND('SPR BARRANQUILLA'!DP39,"AAAAAHe/ez0=")</f>
        <v>#VALUE!</v>
      </c>
      <c r="BK36" t="e">
        <f>AND('SPR BARRANQUILLA'!DQ39,"AAAAAHe/ez4=")</f>
        <v>#VALUE!</v>
      </c>
      <c r="BL36" t="e">
        <f>AND('SPR BARRANQUILLA'!DR39,"AAAAAHe/ez8=")</f>
        <v>#VALUE!</v>
      </c>
      <c r="BM36" t="e">
        <f>AND('SPR BARRANQUILLA'!DS39,"AAAAAHe/e0A=")</f>
        <v>#VALUE!</v>
      </c>
      <c r="BN36" t="e">
        <f>AND('SPR BARRANQUILLA'!DT39,"AAAAAHe/e0E=")</f>
        <v>#VALUE!</v>
      </c>
      <c r="BO36" t="e">
        <f>AND('SPR BARRANQUILLA'!DU39,"AAAAAHe/e0I=")</f>
        <v>#VALUE!</v>
      </c>
      <c r="BP36" t="e">
        <f>AND('SPR BARRANQUILLA'!DV39,"AAAAAHe/e0M=")</f>
        <v>#VALUE!</v>
      </c>
      <c r="BQ36" t="e">
        <f>AND('SPR BARRANQUILLA'!DW39,"AAAAAHe/e0Q=")</f>
        <v>#VALUE!</v>
      </c>
      <c r="BR36" t="e">
        <f>AND('SPR BARRANQUILLA'!DX39,"AAAAAHe/e0U=")</f>
        <v>#VALUE!</v>
      </c>
      <c r="BS36" t="e">
        <f>AND('SPR BARRANQUILLA'!DY39,"AAAAAHe/e0Y=")</f>
        <v>#VALUE!</v>
      </c>
      <c r="BT36" t="e">
        <f>AND('SPR BARRANQUILLA'!DZ39,"AAAAAHe/e0c=")</f>
        <v>#VALUE!</v>
      </c>
      <c r="BU36" t="e">
        <f>AND('SPR BARRANQUILLA'!EA39,"AAAAAHe/e0g=")</f>
        <v>#VALUE!</v>
      </c>
      <c r="BV36" t="e">
        <f>AND('SPR BARRANQUILLA'!EB39,"AAAAAHe/e0k=")</f>
        <v>#VALUE!</v>
      </c>
      <c r="BW36" t="e">
        <f>AND('SPR BARRANQUILLA'!EC39,"AAAAAHe/e0o=")</f>
        <v>#VALUE!</v>
      </c>
      <c r="BX36" t="e">
        <f>AND('SPR BARRANQUILLA'!ED39,"AAAAAHe/e0s=")</f>
        <v>#VALUE!</v>
      </c>
      <c r="BY36" t="e">
        <f>AND('SPR BARRANQUILLA'!EE39,"AAAAAHe/e0w=")</f>
        <v>#VALUE!</v>
      </c>
      <c r="BZ36" t="e">
        <f>AND('SPR BARRANQUILLA'!EF39,"AAAAAHe/e00=")</f>
        <v>#VALUE!</v>
      </c>
      <c r="CA36" t="e">
        <f>AND('SPR BARRANQUILLA'!EG39,"AAAAAHe/e04=")</f>
        <v>#VALUE!</v>
      </c>
      <c r="CB36" t="e">
        <f>AND('SPR BARRANQUILLA'!EH39,"AAAAAHe/e08=")</f>
        <v>#VALUE!</v>
      </c>
      <c r="CC36" t="e">
        <f>AND('SPR BARRANQUILLA'!EI39,"AAAAAHe/e1A=")</f>
        <v>#VALUE!</v>
      </c>
      <c r="CD36" t="e">
        <f>AND('SPR BARRANQUILLA'!EJ39,"AAAAAHe/e1E=")</f>
        <v>#VALUE!</v>
      </c>
      <c r="CE36" t="e">
        <f>AND('SPR BARRANQUILLA'!EK39,"AAAAAHe/e1I=")</f>
        <v>#VALUE!</v>
      </c>
      <c r="CF36" t="e">
        <f>AND('SPR BARRANQUILLA'!EL39,"AAAAAHe/e1M=")</f>
        <v>#VALUE!</v>
      </c>
      <c r="CG36" t="e">
        <f>AND('SPR BARRANQUILLA'!EM39,"AAAAAHe/e1Q=")</f>
        <v>#VALUE!</v>
      </c>
      <c r="CH36" t="e">
        <f>AND('SPR BARRANQUILLA'!EN39,"AAAAAHe/e1U=")</f>
        <v>#VALUE!</v>
      </c>
      <c r="CI36" t="e">
        <f>AND('SPR BARRANQUILLA'!EO39,"AAAAAHe/e1Y=")</f>
        <v>#VALUE!</v>
      </c>
      <c r="CJ36" t="e">
        <f>AND('SPR BARRANQUILLA'!EP39,"AAAAAHe/e1c=")</f>
        <v>#VALUE!</v>
      </c>
      <c r="CK36" t="e">
        <f>AND('SPR BARRANQUILLA'!EQ39,"AAAAAHe/e1g=")</f>
        <v>#VALUE!</v>
      </c>
      <c r="CL36" t="e">
        <f>AND('SPR BARRANQUILLA'!ER39,"AAAAAHe/e1k=")</f>
        <v>#VALUE!</v>
      </c>
      <c r="CM36" t="e">
        <f>AND('SPR BARRANQUILLA'!ES39,"AAAAAHe/e1o=")</f>
        <v>#VALUE!</v>
      </c>
      <c r="CN36" t="e">
        <f>AND('SPR BARRANQUILLA'!ET39,"AAAAAHe/e1s=")</f>
        <v>#VALUE!</v>
      </c>
      <c r="CO36" t="e">
        <f>AND('SPR BARRANQUILLA'!EU39,"AAAAAHe/e1w=")</f>
        <v>#VALUE!</v>
      </c>
      <c r="CP36" t="e">
        <f>AND('SPR BARRANQUILLA'!EV39,"AAAAAHe/e10=")</f>
        <v>#VALUE!</v>
      </c>
      <c r="CQ36" t="e">
        <f>AND('SPR BARRANQUILLA'!EW39,"AAAAAHe/e14=")</f>
        <v>#VALUE!</v>
      </c>
      <c r="CR36" t="e">
        <f>AND('SPR BARRANQUILLA'!EX39,"AAAAAHe/e18=")</f>
        <v>#VALUE!</v>
      </c>
      <c r="CS36" t="e">
        <f>AND('SPR BARRANQUILLA'!EY39,"AAAAAHe/e2A=")</f>
        <v>#VALUE!</v>
      </c>
      <c r="CT36" t="e">
        <f>AND('SPR BARRANQUILLA'!EZ39,"AAAAAHe/e2E=")</f>
        <v>#VALUE!</v>
      </c>
      <c r="CU36" t="e">
        <f>AND('SPR BARRANQUILLA'!FA39,"AAAAAHe/e2I=")</f>
        <v>#VALUE!</v>
      </c>
      <c r="CV36" t="e">
        <f>AND('SPR BARRANQUILLA'!FB39,"AAAAAHe/e2M=")</f>
        <v>#VALUE!</v>
      </c>
      <c r="CW36" t="e">
        <f>AND('SPR BARRANQUILLA'!FC39,"AAAAAHe/e2Q=")</f>
        <v>#VALUE!</v>
      </c>
      <c r="CX36" t="e">
        <f>AND('SPR BARRANQUILLA'!FD39,"AAAAAHe/e2U=")</f>
        <v>#VALUE!</v>
      </c>
      <c r="CY36" t="e">
        <f>AND('SPR BARRANQUILLA'!FE39,"AAAAAHe/e2Y=")</f>
        <v>#VALUE!</v>
      </c>
      <c r="CZ36" t="e">
        <f>AND('SPR BARRANQUILLA'!FF39,"AAAAAHe/e2c=")</f>
        <v>#VALUE!</v>
      </c>
      <c r="DA36" t="e">
        <f>AND('SPR BARRANQUILLA'!FG39,"AAAAAHe/e2g=")</f>
        <v>#VALUE!</v>
      </c>
      <c r="DB36" t="e">
        <f>AND('SPR BARRANQUILLA'!FH39,"AAAAAHe/e2k=")</f>
        <v>#VALUE!</v>
      </c>
      <c r="DC36" t="e">
        <f>AND('SPR BARRANQUILLA'!FI39,"AAAAAHe/e2o=")</f>
        <v>#VALUE!</v>
      </c>
      <c r="DD36" t="e">
        <f>AND('SPR BARRANQUILLA'!FJ39,"AAAAAHe/e2s=")</f>
        <v>#VALUE!</v>
      </c>
      <c r="DE36" t="e">
        <f>AND('SPR BARRANQUILLA'!FK39,"AAAAAHe/e2w=")</f>
        <v>#VALUE!</v>
      </c>
      <c r="DF36" t="e">
        <f>AND('SPR BARRANQUILLA'!FL39,"AAAAAHe/e20=")</f>
        <v>#VALUE!</v>
      </c>
      <c r="DG36" t="e">
        <f>AND('SPR BARRANQUILLA'!FM39,"AAAAAHe/e24=")</f>
        <v>#VALUE!</v>
      </c>
      <c r="DH36" t="e">
        <f>AND('SPR BARRANQUILLA'!FN39,"AAAAAHe/e28=")</f>
        <v>#VALUE!</v>
      </c>
      <c r="DI36" t="e">
        <f>AND('SPR BARRANQUILLA'!FO39,"AAAAAHe/e3A=")</f>
        <v>#VALUE!</v>
      </c>
      <c r="DJ36" t="e">
        <f>AND('SPR BARRANQUILLA'!FP39,"AAAAAHe/e3E=")</f>
        <v>#VALUE!</v>
      </c>
      <c r="DK36" t="e">
        <f>AND('SPR BARRANQUILLA'!FQ39,"AAAAAHe/e3I=")</f>
        <v>#VALUE!</v>
      </c>
      <c r="DL36" t="e">
        <f>AND('SPR BARRANQUILLA'!FR39,"AAAAAHe/e3M=")</f>
        <v>#VALUE!</v>
      </c>
      <c r="DM36" t="e">
        <f>AND('SPR BARRANQUILLA'!FS39,"AAAAAHe/e3Q=")</f>
        <v>#VALUE!</v>
      </c>
      <c r="DN36" t="e">
        <f>AND('SPR BARRANQUILLA'!FT39,"AAAAAHe/e3U=")</f>
        <v>#VALUE!</v>
      </c>
      <c r="DO36" t="e">
        <f>AND('SPR BARRANQUILLA'!FU39,"AAAAAHe/e3Y=")</f>
        <v>#VALUE!</v>
      </c>
      <c r="DP36" t="e">
        <f>AND('SPR BARRANQUILLA'!FV39,"AAAAAHe/e3c=")</f>
        <v>#VALUE!</v>
      </c>
      <c r="DQ36" t="e">
        <f>AND('SPR BARRANQUILLA'!FW39,"AAAAAHe/e3g=")</f>
        <v>#VALUE!</v>
      </c>
      <c r="DR36" t="e">
        <f>AND('SPR BARRANQUILLA'!FX39,"AAAAAHe/e3k=")</f>
        <v>#VALUE!</v>
      </c>
      <c r="DS36" t="e">
        <f>AND('SPR BARRANQUILLA'!FY39,"AAAAAHe/e3o=")</f>
        <v>#VALUE!</v>
      </c>
      <c r="DT36" t="e">
        <f>AND('SPR BARRANQUILLA'!FZ39,"AAAAAHe/e3s=")</f>
        <v>#VALUE!</v>
      </c>
      <c r="DU36" t="e">
        <f>AND('SPR BARRANQUILLA'!GA39,"AAAAAHe/e3w=")</f>
        <v>#VALUE!</v>
      </c>
      <c r="DV36" t="e">
        <f>AND('SPR BARRANQUILLA'!GB39,"AAAAAHe/e30=")</f>
        <v>#VALUE!</v>
      </c>
      <c r="DW36" t="e">
        <f>AND('SPR BARRANQUILLA'!GC39,"AAAAAHe/e34=")</f>
        <v>#VALUE!</v>
      </c>
      <c r="DX36" t="e">
        <f>AND('SPR BARRANQUILLA'!GD39,"AAAAAHe/e38=")</f>
        <v>#VALUE!</v>
      </c>
      <c r="DY36" t="e">
        <f>AND('SPR BARRANQUILLA'!GE39,"AAAAAHe/e4A=")</f>
        <v>#VALUE!</v>
      </c>
      <c r="DZ36" t="e">
        <f>AND('SPR BARRANQUILLA'!GF39,"AAAAAHe/e4E=")</f>
        <v>#VALUE!</v>
      </c>
      <c r="EA36" t="e">
        <f>AND('SPR BARRANQUILLA'!GG39,"AAAAAHe/e4I=")</f>
        <v>#VALUE!</v>
      </c>
      <c r="EB36" t="e">
        <f>AND('SPR BARRANQUILLA'!GH39,"AAAAAHe/e4M=")</f>
        <v>#VALUE!</v>
      </c>
      <c r="EC36" t="e">
        <f>AND('SPR BARRANQUILLA'!GI39,"AAAAAHe/e4Q=")</f>
        <v>#VALUE!</v>
      </c>
      <c r="ED36" t="e">
        <f>AND('SPR BARRANQUILLA'!GJ39,"AAAAAHe/e4U=")</f>
        <v>#VALUE!</v>
      </c>
      <c r="EE36" t="e">
        <f>AND('SPR BARRANQUILLA'!GK39,"AAAAAHe/e4Y=")</f>
        <v>#VALUE!</v>
      </c>
      <c r="EF36" t="e">
        <f>AND('SPR BARRANQUILLA'!GL39,"AAAAAHe/e4c=")</f>
        <v>#VALUE!</v>
      </c>
      <c r="EG36" t="e">
        <f>AND('SPR BARRANQUILLA'!GM39,"AAAAAHe/e4g=")</f>
        <v>#VALUE!</v>
      </c>
      <c r="EH36" t="e">
        <f>AND('SPR BARRANQUILLA'!GN39,"AAAAAHe/e4k=")</f>
        <v>#VALUE!</v>
      </c>
      <c r="EI36" t="e">
        <f>AND('SPR BARRANQUILLA'!GO39,"AAAAAHe/e4o=")</f>
        <v>#VALUE!</v>
      </c>
      <c r="EJ36" t="e">
        <f>AND('SPR BARRANQUILLA'!GP39,"AAAAAHe/e4s=")</f>
        <v>#VALUE!</v>
      </c>
      <c r="EK36" t="e">
        <f>AND('SPR BARRANQUILLA'!GQ39,"AAAAAHe/e4w=")</f>
        <v>#VALUE!</v>
      </c>
      <c r="EL36" t="e">
        <f>AND('SPR BARRANQUILLA'!GR39,"AAAAAHe/e40=")</f>
        <v>#VALUE!</v>
      </c>
      <c r="EM36" t="e">
        <f>AND('SPR BARRANQUILLA'!GS39,"AAAAAHe/e44=")</f>
        <v>#VALUE!</v>
      </c>
      <c r="EN36" t="e">
        <f>AND('SPR BARRANQUILLA'!GT39,"AAAAAHe/e48=")</f>
        <v>#VALUE!</v>
      </c>
      <c r="EO36" t="e">
        <f>AND('SPR BARRANQUILLA'!GU39,"AAAAAHe/e5A=")</f>
        <v>#VALUE!</v>
      </c>
      <c r="EP36" t="e">
        <f>AND('SPR BARRANQUILLA'!GV39,"AAAAAHe/e5E=")</f>
        <v>#VALUE!</v>
      </c>
      <c r="EQ36" t="e">
        <f>AND('SPR BARRANQUILLA'!GW39,"AAAAAHe/e5I=")</f>
        <v>#VALUE!</v>
      </c>
      <c r="ER36" t="e">
        <f>AND('SPR BARRANQUILLA'!GX39,"AAAAAHe/e5M=")</f>
        <v>#VALUE!</v>
      </c>
      <c r="ES36" t="e">
        <f>AND('SPR BARRANQUILLA'!GY39,"AAAAAHe/e5Q=")</f>
        <v>#VALUE!</v>
      </c>
      <c r="ET36">
        <f>IF('SPR BARRANQUILLA'!40:40,"AAAAAHe/e5U=",0)</f>
        <v>0</v>
      </c>
      <c r="EU36" t="e">
        <f>AND('SPR BARRANQUILLA'!A40,"AAAAAHe/e5Y=")</f>
        <v>#VALUE!</v>
      </c>
      <c r="EV36" t="e">
        <f>AND('SPR BARRANQUILLA'!B40,"AAAAAHe/e5c=")</f>
        <v>#VALUE!</v>
      </c>
      <c r="EW36" t="e">
        <f>AND('SPR BARRANQUILLA'!C40,"AAAAAHe/e5g=")</f>
        <v>#VALUE!</v>
      </c>
      <c r="EX36" t="e">
        <f>AND('SPR BARRANQUILLA'!D40,"AAAAAHe/e5k=")</f>
        <v>#VALUE!</v>
      </c>
      <c r="EY36" t="e">
        <f>AND('SPR BARRANQUILLA'!E40,"AAAAAHe/e5o=")</f>
        <v>#VALUE!</v>
      </c>
      <c r="EZ36" t="e">
        <f>AND('SPR BARRANQUILLA'!F40,"AAAAAHe/e5s=")</f>
        <v>#VALUE!</v>
      </c>
      <c r="FA36" t="e">
        <f>AND('SPR BARRANQUILLA'!G40,"AAAAAHe/e5w=")</f>
        <v>#VALUE!</v>
      </c>
      <c r="FB36" t="e">
        <f>AND('SPR BARRANQUILLA'!H40,"AAAAAHe/e50=")</f>
        <v>#VALUE!</v>
      </c>
      <c r="FC36" t="e">
        <f>AND('SPR BARRANQUILLA'!I40,"AAAAAHe/e54=")</f>
        <v>#VALUE!</v>
      </c>
      <c r="FD36" t="e">
        <f>AND('SPR BARRANQUILLA'!J40,"AAAAAHe/e58=")</f>
        <v>#VALUE!</v>
      </c>
      <c r="FE36" t="e">
        <f>AND('SPR BARRANQUILLA'!K40,"AAAAAHe/e6A=")</f>
        <v>#VALUE!</v>
      </c>
      <c r="FF36" t="e">
        <f>AND('SPR BARRANQUILLA'!L40,"AAAAAHe/e6E=")</f>
        <v>#VALUE!</v>
      </c>
      <c r="FG36" t="e">
        <f>AND('SPR BARRANQUILLA'!M40,"AAAAAHe/e6I=")</f>
        <v>#VALUE!</v>
      </c>
      <c r="FH36" t="e">
        <f>AND('SPR BARRANQUILLA'!N40,"AAAAAHe/e6M=")</f>
        <v>#VALUE!</v>
      </c>
      <c r="FI36" t="e">
        <f>AND('SPR BARRANQUILLA'!O40,"AAAAAHe/e6Q=")</f>
        <v>#VALUE!</v>
      </c>
      <c r="FJ36" t="e">
        <f>AND('SPR BARRANQUILLA'!P40,"AAAAAHe/e6U=")</f>
        <v>#VALUE!</v>
      </c>
      <c r="FK36" t="e">
        <f>AND('SPR BARRANQUILLA'!Q40,"AAAAAHe/e6Y=")</f>
        <v>#VALUE!</v>
      </c>
      <c r="FL36" t="e">
        <f>AND('SPR BARRANQUILLA'!R40,"AAAAAHe/e6c=")</f>
        <v>#VALUE!</v>
      </c>
      <c r="FM36" t="e">
        <f>AND('SPR BARRANQUILLA'!S40,"AAAAAHe/e6g=")</f>
        <v>#VALUE!</v>
      </c>
      <c r="FN36" t="e">
        <f>AND('SPR BARRANQUILLA'!T40,"AAAAAHe/e6k=")</f>
        <v>#VALUE!</v>
      </c>
      <c r="FO36" t="e">
        <f>AND('SPR BARRANQUILLA'!U40,"AAAAAHe/e6o=")</f>
        <v>#VALUE!</v>
      </c>
      <c r="FP36" t="e">
        <f>AND('SPR BARRANQUILLA'!V40,"AAAAAHe/e6s=")</f>
        <v>#VALUE!</v>
      </c>
      <c r="FQ36" t="e">
        <f>AND('SPR BARRANQUILLA'!W40,"AAAAAHe/e6w=")</f>
        <v>#VALUE!</v>
      </c>
      <c r="FR36" t="e">
        <f>AND('SPR BARRANQUILLA'!X40,"AAAAAHe/e60=")</f>
        <v>#VALUE!</v>
      </c>
      <c r="FS36" t="e">
        <f>AND('SPR BARRANQUILLA'!Y40,"AAAAAHe/e64=")</f>
        <v>#VALUE!</v>
      </c>
      <c r="FT36" t="e">
        <f>AND('SPR BARRANQUILLA'!Z40,"AAAAAHe/e68=")</f>
        <v>#VALUE!</v>
      </c>
      <c r="FU36" t="e">
        <f>AND('SPR BARRANQUILLA'!AA40,"AAAAAHe/e7A=")</f>
        <v>#VALUE!</v>
      </c>
      <c r="FV36" t="e">
        <f>AND('SPR BARRANQUILLA'!AB40,"AAAAAHe/e7E=")</f>
        <v>#VALUE!</v>
      </c>
      <c r="FW36" t="e">
        <f>AND('SPR BARRANQUILLA'!AC40,"AAAAAHe/e7I=")</f>
        <v>#VALUE!</v>
      </c>
      <c r="FX36" t="e">
        <f>AND('SPR BARRANQUILLA'!AD40,"AAAAAHe/e7M=")</f>
        <v>#VALUE!</v>
      </c>
      <c r="FY36" t="e">
        <f>AND('SPR BARRANQUILLA'!AE40,"AAAAAHe/e7Q=")</f>
        <v>#VALUE!</v>
      </c>
      <c r="FZ36" t="e">
        <f>AND('SPR BARRANQUILLA'!AF40,"AAAAAHe/e7U=")</f>
        <v>#VALUE!</v>
      </c>
      <c r="GA36" t="e">
        <f>AND('SPR BARRANQUILLA'!AG40,"AAAAAHe/e7Y=")</f>
        <v>#VALUE!</v>
      </c>
      <c r="GB36" t="e">
        <f>AND('SPR BARRANQUILLA'!AH40,"AAAAAHe/e7c=")</f>
        <v>#VALUE!</v>
      </c>
      <c r="GC36" t="e">
        <f>AND('SPR BARRANQUILLA'!AI40,"AAAAAHe/e7g=")</f>
        <v>#VALUE!</v>
      </c>
      <c r="GD36" t="e">
        <f>AND('SPR BARRANQUILLA'!AJ40,"AAAAAHe/e7k=")</f>
        <v>#VALUE!</v>
      </c>
      <c r="GE36" t="e">
        <f>AND('SPR BARRANQUILLA'!AK40,"AAAAAHe/e7o=")</f>
        <v>#VALUE!</v>
      </c>
      <c r="GF36" t="e">
        <f>AND('SPR BARRANQUILLA'!AL40,"AAAAAHe/e7s=")</f>
        <v>#VALUE!</v>
      </c>
      <c r="GG36" t="e">
        <f>AND('SPR BARRANQUILLA'!AM40,"AAAAAHe/e7w=")</f>
        <v>#VALUE!</v>
      </c>
      <c r="GH36" t="e">
        <f>AND('SPR BARRANQUILLA'!AN40,"AAAAAHe/e70=")</f>
        <v>#VALUE!</v>
      </c>
      <c r="GI36" t="e">
        <f>AND('SPR BARRANQUILLA'!AO40,"AAAAAHe/e74=")</f>
        <v>#VALUE!</v>
      </c>
      <c r="GJ36" t="e">
        <f>AND('SPR BARRANQUILLA'!AP40,"AAAAAHe/e78=")</f>
        <v>#VALUE!</v>
      </c>
      <c r="GK36" t="e">
        <f>AND('SPR BARRANQUILLA'!AQ40,"AAAAAHe/e8A=")</f>
        <v>#VALUE!</v>
      </c>
      <c r="GL36" t="e">
        <f>AND('SPR BARRANQUILLA'!AR40,"AAAAAHe/e8E=")</f>
        <v>#VALUE!</v>
      </c>
      <c r="GM36" t="e">
        <f>AND('SPR BARRANQUILLA'!AS40,"AAAAAHe/e8I=")</f>
        <v>#VALUE!</v>
      </c>
      <c r="GN36" t="e">
        <f>AND('SPR BARRANQUILLA'!AT40,"AAAAAHe/e8M=")</f>
        <v>#VALUE!</v>
      </c>
      <c r="GO36" t="e">
        <f>AND('SPR BARRANQUILLA'!AU40,"AAAAAHe/e8Q=")</f>
        <v>#VALUE!</v>
      </c>
      <c r="GP36" t="e">
        <f>AND('SPR BARRANQUILLA'!AV40,"AAAAAHe/e8U=")</f>
        <v>#VALUE!</v>
      </c>
      <c r="GQ36" t="e">
        <f>AND('SPR BARRANQUILLA'!AW40,"AAAAAHe/e8Y=")</f>
        <v>#VALUE!</v>
      </c>
      <c r="GR36" t="e">
        <f>AND('SPR BARRANQUILLA'!AX40,"AAAAAHe/e8c=")</f>
        <v>#VALUE!</v>
      </c>
      <c r="GS36" t="e">
        <f>AND('SPR BARRANQUILLA'!AY40,"AAAAAHe/e8g=")</f>
        <v>#VALUE!</v>
      </c>
      <c r="GT36" t="e">
        <f>AND('SPR BARRANQUILLA'!AZ40,"AAAAAHe/e8k=")</f>
        <v>#VALUE!</v>
      </c>
      <c r="GU36" t="e">
        <f>AND('SPR BARRANQUILLA'!BA40,"AAAAAHe/e8o=")</f>
        <v>#VALUE!</v>
      </c>
      <c r="GV36" t="e">
        <f>AND('SPR BARRANQUILLA'!BB40,"AAAAAHe/e8s=")</f>
        <v>#VALUE!</v>
      </c>
      <c r="GW36" t="e">
        <f>AND('SPR BARRANQUILLA'!BC40,"AAAAAHe/e8w=")</f>
        <v>#VALUE!</v>
      </c>
      <c r="GX36" t="e">
        <f>AND('SPR BARRANQUILLA'!BD40,"AAAAAHe/e80=")</f>
        <v>#VALUE!</v>
      </c>
      <c r="GY36" t="e">
        <f>AND('SPR BARRANQUILLA'!BE40,"AAAAAHe/e84=")</f>
        <v>#VALUE!</v>
      </c>
      <c r="GZ36" t="e">
        <f>AND('SPR BARRANQUILLA'!BF40,"AAAAAHe/e88=")</f>
        <v>#VALUE!</v>
      </c>
      <c r="HA36" t="e">
        <f>AND('SPR BARRANQUILLA'!BG40,"AAAAAHe/e9A=")</f>
        <v>#VALUE!</v>
      </c>
      <c r="HB36" t="e">
        <f>AND('SPR BARRANQUILLA'!BH40,"AAAAAHe/e9E=")</f>
        <v>#VALUE!</v>
      </c>
      <c r="HC36" t="e">
        <f>AND('SPR BARRANQUILLA'!BI40,"AAAAAHe/e9I=")</f>
        <v>#VALUE!</v>
      </c>
      <c r="HD36" t="e">
        <f>AND('SPR BARRANQUILLA'!BJ40,"AAAAAHe/e9M=")</f>
        <v>#VALUE!</v>
      </c>
      <c r="HE36" t="e">
        <f>AND('SPR BARRANQUILLA'!BK40,"AAAAAHe/e9Q=")</f>
        <v>#VALUE!</v>
      </c>
      <c r="HF36" t="e">
        <f>AND('SPR BARRANQUILLA'!BL40,"AAAAAHe/e9U=")</f>
        <v>#VALUE!</v>
      </c>
      <c r="HG36" t="e">
        <f>AND('SPR BARRANQUILLA'!BM40,"AAAAAHe/e9Y=")</f>
        <v>#VALUE!</v>
      </c>
      <c r="HH36" t="e">
        <f>AND('SPR BARRANQUILLA'!BN40,"AAAAAHe/e9c=")</f>
        <v>#VALUE!</v>
      </c>
      <c r="HI36" t="e">
        <f>AND('SPR BARRANQUILLA'!BO40,"AAAAAHe/e9g=")</f>
        <v>#VALUE!</v>
      </c>
      <c r="HJ36" t="e">
        <f>AND('SPR BARRANQUILLA'!BP40,"AAAAAHe/e9k=")</f>
        <v>#VALUE!</v>
      </c>
      <c r="HK36" t="e">
        <f>AND('SPR BARRANQUILLA'!BQ40,"AAAAAHe/e9o=")</f>
        <v>#VALUE!</v>
      </c>
      <c r="HL36" t="e">
        <f>AND('SPR BARRANQUILLA'!BR40,"AAAAAHe/e9s=")</f>
        <v>#VALUE!</v>
      </c>
      <c r="HM36" t="e">
        <f>AND('SPR BARRANQUILLA'!BS40,"AAAAAHe/e9w=")</f>
        <v>#VALUE!</v>
      </c>
      <c r="HN36" t="e">
        <f>AND('SPR BARRANQUILLA'!BT40,"AAAAAHe/e90=")</f>
        <v>#VALUE!</v>
      </c>
      <c r="HO36" t="e">
        <f>AND('SPR BARRANQUILLA'!BU40,"AAAAAHe/e94=")</f>
        <v>#VALUE!</v>
      </c>
      <c r="HP36" t="e">
        <f>AND('SPR BARRANQUILLA'!BV40,"AAAAAHe/e98=")</f>
        <v>#VALUE!</v>
      </c>
      <c r="HQ36" t="e">
        <f>AND('SPR BARRANQUILLA'!BW40,"AAAAAHe/e+A=")</f>
        <v>#VALUE!</v>
      </c>
      <c r="HR36" t="e">
        <f>AND('SPR BARRANQUILLA'!BX40,"AAAAAHe/e+E=")</f>
        <v>#VALUE!</v>
      </c>
      <c r="HS36" t="e">
        <f>AND('SPR BARRANQUILLA'!BY40,"AAAAAHe/e+I=")</f>
        <v>#VALUE!</v>
      </c>
      <c r="HT36" t="e">
        <f>AND('SPR BARRANQUILLA'!BZ40,"AAAAAHe/e+M=")</f>
        <v>#VALUE!</v>
      </c>
      <c r="HU36" t="e">
        <f>AND('SPR BARRANQUILLA'!CA40,"AAAAAHe/e+Q=")</f>
        <v>#VALUE!</v>
      </c>
      <c r="HV36" t="e">
        <f>AND('SPR BARRANQUILLA'!CB40,"AAAAAHe/e+U=")</f>
        <v>#VALUE!</v>
      </c>
      <c r="HW36" t="e">
        <f>AND('SPR BARRANQUILLA'!CC40,"AAAAAHe/e+Y=")</f>
        <v>#VALUE!</v>
      </c>
      <c r="HX36" t="e">
        <f>AND('SPR BARRANQUILLA'!CD40,"AAAAAHe/e+c=")</f>
        <v>#VALUE!</v>
      </c>
      <c r="HY36" t="e">
        <f>AND('SPR BARRANQUILLA'!CE40,"AAAAAHe/e+g=")</f>
        <v>#VALUE!</v>
      </c>
      <c r="HZ36" t="e">
        <f>AND('SPR BARRANQUILLA'!CF40,"AAAAAHe/e+k=")</f>
        <v>#VALUE!</v>
      </c>
      <c r="IA36" t="e">
        <f>AND('SPR BARRANQUILLA'!CG40,"AAAAAHe/e+o=")</f>
        <v>#VALUE!</v>
      </c>
      <c r="IB36" t="e">
        <f>AND('SPR BARRANQUILLA'!CH40,"AAAAAHe/e+s=")</f>
        <v>#VALUE!</v>
      </c>
      <c r="IC36" t="e">
        <f>AND('SPR BARRANQUILLA'!CI40,"AAAAAHe/e+w=")</f>
        <v>#VALUE!</v>
      </c>
      <c r="ID36" t="e">
        <f>AND('SPR BARRANQUILLA'!CJ40,"AAAAAHe/e+0=")</f>
        <v>#VALUE!</v>
      </c>
      <c r="IE36" t="e">
        <f>AND('SPR BARRANQUILLA'!CK40,"AAAAAHe/e+4=")</f>
        <v>#VALUE!</v>
      </c>
      <c r="IF36" t="e">
        <f>AND('SPR BARRANQUILLA'!CL40,"AAAAAHe/e+8=")</f>
        <v>#VALUE!</v>
      </c>
      <c r="IG36" t="e">
        <f>AND('SPR BARRANQUILLA'!CM40,"AAAAAHe/e/A=")</f>
        <v>#VALUE!</v>
      </c>
      <c r="IH36" t="e">
        <f>AND('SPR BARRANQUILLA'!CN40,"AAAAAHe/e/E=")</f>
        <v>#VALUE!</v>
      </c>
      <c r="II36" t="e">
        <f>AND('SPR BARRANQUILLA'!CO40,"AAAAAHe/e/I=")</f>
        <v>#VALUE!</v>
      </c>
      <c r="IJ36" t="e">
        <f>AND('SPR BARRANQUILLA'!CP40,"AAAAAHe/e/M=")</f>
        <v>#VALUE!</v>
      </c>
      <c r="IK36" t="e">
        <f>AND('SPR BARRANQUILLA'!CQ40,"AAAAAHe/e/Q=")</f>
        <v>#VALUE!</v>
      </c>
      <c r="IL36" t="e">
        <f>AND('SPR BARRANQUILLA'!CR40,"AAAAAHe/e/U=")</f>
        <v>#VALUE!</v>
      </c>
      <c r="IM36" t="e">
        <f>AND('SPR BARRANQUILLA'!CS40,"AAAAAHe/e/Y=")</f>
        <v>#VALUE!</v>
      </c>
      <c r="IN36" t="e">
        <f>AND('SPR BARRANQUILLA'!CT40,"AAAAAHe/e/c=")</f>
        <v>#VALUE!</v>
      </c>
      <c r="IO36" t="e">
        <f>AND('SPR BARRANQUILLA'!CU40,"AAAAAHe/e/g=")</f>
        <v>#VALUE!</v>
      </c>
      <c r="IP36" t="e">
        <f>AND('SPR BARRANQUILLA'!CV40,"AAAAAHe/e/k=")</f>
        <v>#VALUE!</v>
      </c>
      <c r="IQ36" t="e">
        <f>AND('SPR BARRANQUILLA'!CW40,"AAAAAHe/e/o=")</f>
        <v>#VALUE!</v>
      </c>
      <c r="IR36" t="e">
        <f>AND('SPR BARRANQUILLA'!CX40,"AAAAAHe/e/s=")</f>
        <v>#VALUE!</v>
      </c>
      <c r="IS36" t="e">
        <f>AND('SPR BARRANQUILLA'!CY40,"AAAAAHe/e/w=")</f>
        <v>#VALUE!</v>
      </c>
      <c r="IT36" t="e">
        <f>AND('SPR BARRANQUILLA'!CZ40,"AAAAAHe/e/0=")</f>
        <v>#VALUE!</v>
      </c>
      <c r="IU36" t="e">
        <f>AND('SPR BARRANQUILLA'!DA40,"AAAAAHe/e/4=")</f>
        <v>#VALUE!</v>
      </c>
      <c r="IV36" t="e">
        <f>AND('SPR BARRANQUILLA'!DB40,"AAAAAHe/e/8=")</f>
        <v>#VALUE!</v>
      </c>
    </row>
    <row r="37" spans="1:256">
      <c r="A37" t="e">
        <f>AND('SPR BARRANQUILLA'!DC40,"AAAAAH399wA=")</f>
        <v>#VALUE!</v>
      </c>
      <c r="B37" t="e">
        <f>AND('SPR BARRANQUILLA'!DD40,"AAAAAH399wE=")</f>
        <v>#VALUE!</v>
      </c>
      <c r="C37" t="e">
        <f>AND('SPR BARRANQUILLA'!DE40,"AAAAAH399wI=")</f>
        <v>#VALUE!</v>
      </c>
      <c r="D37" t="e">
        <f>AND('SPR BARRANQUILLA'!DF40,"AAAAAH399wM=")</f>
        <v>#VALUE!</v>
      </c>
      <c r="E37" t="e">
        <f>AND('SPR BARRANQUILLA'!DG40,"AAAAAH399wQ=")</f>
        <v>#VALUE!</v>
      </c>
      <c r="F37" t="e">
        <f>AND('SPR BARRANQUILLA'!DH40,"AAAAAH399wU=")</f>
        <v>#VALUE!</v>
      </c>
      <c r="G37" t="e">
        <f>AND('SPR BARRANQUILLA'!DI40,"AAAAAH399wY=")</f>
        <v>#VALUE!</v>
      </c>
      <c r="H37" t="e">
        <f>AND('SPR BARRANQUILLA'!DJ40,"AAAAAH399wc=")</f>
        <v>#VALUE!</v>
      </c>
      <c r="I37" t="e">
        <f>AND('SPR BARRANQUILLA'!DK40,"AAAAAH399wg=")</f>
        <v>#VALUE!</v>
      </c>
      <c r="J37" t="e">
        <f>AND('SPR BARRANQUILLA'!DL40,"AAAAAH399wk=")</f>
        <v>#VALUE!</v>
      </c>
      <c r="K37" t="e">
        <f>AND('SPR BARRANQUILLA'!DM40,"AAAAAH399wo=")</f>
        <v>#VALUE!</v>
      </c>
      <c r="L37" t="e">
        <f>AND('SPR BARRANQUILLA'!DN40,"AAAAAH399ws=")</f>
        <v>#VALUE!</v>
      </c>
      <c r="M37" t="e">
        <f>AND('SPR BARRANQUILLA'!DO40,"AAAAAH399ww=")</f>
        <v>#VALUE!</v>
      </c>
      <c r="N37" t="e">
        <f>AND('SPR BARRANQUILLA'!DP40,"AAAAAH399w0=")</f>
        <v>#VALUE!</v>
      </c>
      <c r="O37" t="e">
        <f>AND('SPR BARRANQUILLA'!DQ40,"AAAAAH399w4=")</f>
        <v>#VALUE!</v>
      </c>
      <c r="P37" t="e">
        <f>AND('SPR BARRANQUILLA'!DR40,"AAAAAH399w8=")</f>
        <v>#VALUE!</v>
      </c>
      <c r="Q37" t="e">
        <f>AND('SPR BARRANQUILLA'!DS40,"AAAAAH399xA=")</f>
        <v>#VALUE!</v>
      </c>
      <c r="R37" t="e">
        <f>AND('SPR BARRANQUILLA'!DT40,"AAAAAH399xE=")</f>
        <v>#VALUE!</v>
      </c>
      <c r="S37" t="e">
        <f>AND('SPR BARRANQUILLA'!DU40,"AAAAAH399xI=")</f>
        <v>#VALUE!</v>
      </c>
      <c r="T37" t="e">
        <f>AND('SPR BARRANQUILLA'!DV40,"AAAAAH399xM=")</f>
        <v>#VALUE!</v>
      </c>
      <c r="U37" t="e">
        <f>AND('SPR BARRANQUILLA'!DW40,"AAAAAH399xQ=")</f>
        <v>#VALUE!</v>
      </c>
      <c r="V37" t="e">
        <f>AND('SPR BARRANQUILLA'!DX40,"AAAAAH399xU=")</f>
        <v>#VALUE!</v>
      </c>
      <c r="W37" t="e">
        <f>AND('SPR BARRANQUILLA'!DY40,"AAAAAH399xY=")</f>
        <v>#VALUE!</v>
      </c>
      <c r="X37" t="e">
        <f>AND('SPR BARRANQUILLA'!DZ40,"AAAAAH399xc=")</f>
        <v>#VALUE!</v>
      </c>
      <c r="Y37" t="e">
        <f>AND('SPR BARRANQUILLA'!EA40,"AAAAAH399xg=")</f>
        <v>#VALUE!</v>
      </c>
      <c r="Z37" t="e">
        <f>AND('SPR BARRANQUILLA'!EB40,"AAAAAH399xk=")</f>
        <v>#VALUE!</v>
      </c>
      <c r="AA37" t="e">
        <f>AND('SPR BARRANQUILLA'!EC40,"AAAAAH399xo=")</f>
        <v>#VALUE!</v>
      </c>
      <c r="AB37" t="e">
        <f>AND('SPR BARRANQUILLA'!ED40,"AAAAAH399xs=")</f>
        <v>#VALUE!</v>
      </c>
      <c r="AC37" t="e">
        <f>AND('SPR BARRANQUILLA'!EE40,"AAAAAH399xw=")</f>
        <v>#VALUE!</v>
      </c>
      <c r="AD37" t="e">
        <f>AND('SPR BARRANQUILLA'!EF40,"AAAAAH399x0=")</f>
        <v>#VALUE!</v>
      </c>
      <c r="AE37" t="e">
        <f>AND('SPR BARRANQUILLA'!EG40,"AAAAAH399x4=")</f>
        <v>#VALUE!</v>
      </c>
      <c r="AF37" t="e">
        <f>AND('SPR BARRANQUILLA'!EH40,"AAAAAH399x8=")</f>
        <v>#VALUE!</v>
      </c>
      <c r="AG37" t="e">
        <f>AND('SPR BARRANQUILLA'!EI40,"AAAAAH399yA=")</f>
        <v>#VALUE!</v>
      </c>
      <c r="AH37" t="e">
        <f>AND('SPR BARRANQUILLA'!EJ40,"AAAAAH399yE=")</f>
        <v>#VALUE!</v>
      </c>
      <c r="AI37" t="e">
        <f>AND('SPR BARRANQUILLA'!EK40,"AAAAAH399yI=")</f>
        <v>#VALUE!</v>
      </c>
      <c r="AJ37" t="e">
        <f>AND('SPR BARRANQUILLA'!EL40,"AAAAAH399yM=")</f>
        <v>#VALUE!</v>
      </c>
      <c r="AK37" t="e">
        <f>AND('SPR BARRANQUILLA'!EM40,"AAAAAH399yQ=")</f>
        <v>#VALUE!</v>
      </c>
      <c r="AL37" t="e">
        <f>AND('SPR BARRANQUILLA'!EN40,"AAAAAH399yU=")</f>
        <v>#VALUE!</v>
      </c>
      <c r="AM37" t="e">
        <f>AND('SPR BARRANQUILLA'!EO40,"AAAAAH399yY=")</f>
        <v>#VALUE!</v>
      </c>
      <c r="AN37" t="e">
        <f>AND('SPR BARRANQUILLA'!EP40,"AAAAAH399yc=")</f>
        <v>#VALUE!</v>
      </c>
      <c r="AO37" t="e">
        <f>AND('SPR BARRANQUILLA'!EQ40,"AAAAAH399yg=")</f>
        <v>#VALUE!</v>
      </c>
      <c r="AP37" t="e">
        <f>AND('SPR BARRANQUILLA'!ER40,"AAAAAH399yk=")</f>
        <v>#VALUE!</v>
      </c>
      <c r="AQ37" t="e">
        <f>AND('SPR BARRANQUILLA'!ES40,"AAAAAH399yo=")</f>
        <v>#VALUE!</v>
      </c>
      <c r="AR37" t="e">
        <f>AND('SPR BARRANQUILLA'!ET40,"AAAAAH399ys=")</f>
        <v>#VALUE!</v>
      </c>
      <c r="AS37" t="e">
        <f>AND('SPR BARRANQUILLA'!EU40,"AAAAAH399yw=")</f>
        <v>#VALUE!</v>
      </c>
      <c r="AT37" t="e">
        <f>AND('SPR BARRANQUILLA'!EV40,"AAAAAH399y0=")</f>
        <v>#VALUE!</v>
      </c>
      <c r="AU37" t="e">
        <f>AND('SPR BARRANQUILLA'!EW40,"AAAAAH399y4=")</f>
        <v>#VALUE!</v>
      </c>
      <c r="AV37" t="e">
        <f>AND('SPR BARRANQUILLA'!EX40,"AAAAAH399y8=")</f>
        <v>#VALUE!</v>
      </c>
      <c r="AW37" t="e">
        <f>AND('SPR BARRANQUILLA'!EY40,"AAAAAH399zA=")</f>
        <v>#VALUE!</v>
      </c>
      <c r="AX37" t="e">
        <f>AND('SPR BARRANQUILLA'!EZ40,"AAAAAH399zE=")</f>
        <v>#VALUE!</v>
      </c>
      <c r="AY37" t="e">
        <f>AND('SPR BARRANQUILLA'!FA40,"AAAAAH399zI=")</f>
        <v>#VALUE!</v>
      </c>
      <c r="AZ37" t="e">
        <f>AND('SPR BARRANQUILLA'!FB40,"AAAAAH399zM=")</f>
        <v>#VALUE!</v>
      </c>
      <c r="BA37" t="e">
        <f>AND('SPR BARRANQUILLA'!FC40,"AAAAAH399zQ=")</f>
        <v>#VALUE!</v>
      </c>
      <c r="BB37" t="e">
        <f>AND('SPR BARRANQUILLA'!FD40,"AAAAAH399zU=")</f>
        <v>#VALUE!</v>
      </c>
      <c r="BC37" t="e">
        <f>AND('SPR BARRANQUILLA'!FE40,"AAAAAH399zY=")</f>
        <v>#VALUE!</v>
      </c>
      <c r="BD37" t="e">
        <f>AND('SPR BARRANQUILLA'!FF40,"AAAAAH399zc=")</f>
        <v>#VALUE!</v>
      </c>
      <c r="BE37" t="e">
        <f>AND('SPR BARRANQUILLA'!FG40,"AAAAAH399zg=")</f>
        <v>#VALUE!</v>
      </c>
      <c r="BF37" t="e">
        <f>AND('SPR BARRANQUILLA'!FH40,"AAAAAH399zk=")</f>
        <v>#VALUE!</v>
      </c>
      <c r="BG37" t="e">
        <f>AND('SPR BARRANQUILLA'!FI40,"AAAAAH399zo=")</f>
        <v>#VALUE!</v>
      </c>
      <c r="BH37" t="e">
        <f>AND('SPR BARRANQUILLA'!FJ40,"AAAAAH399zs=")</f>
        <v>#VALUE!</v>
      </c>
      <c r="BI37" t="e">
        <f>AND('SPR BARRANQUILLA'!FK40,"AAAAAH399zw=")</f>
        <v>#VALUE!</v>
      </c>
      <c r="BJ37" t="e">
        <f>AND('SPR BARRANQUILLA'!FL40,"AAAAAH399z0=")</f>
        <v>#VALUE!</v>
      </c>
      <c r="BK37" t="e">
        <f>AND('SPR BARRANQUILLA'!FM40,"AAAAAH399z4=")</f>
        <v>#VALUE!</v>
      </c>
      <c r="BL37" t="e">
        <f>AND('SPR BARRANQUILLA'!FN40,"AAAAAH399z8=")</f>
        <v>#VALUE!</v>
      </c>
      <c r="BM37" t="e">
        <f>AND('SPR BARRANQUILLA'!FO40,"AAAAAH3990A=")</f>
        <v>#VALUE!</v>
      </c>
      <c r="BN37" t="e">
        <f>AND('SPR BARRANQUILLA'!FP40,"AAAAAH3990E=")</f>
        <v>#VALUE!</v>
      </c>
      <c r="BO37" t="e">
        <f>AND('SPR BARRANQUILLA'!FQ40,"AAAAAH3990I=")</f>
        <v>#VALUE!</v>
      </c>
      <c r="BP37" t="e">
        <f>AND('SPR BARRANQUILLA'!FR40,"AAAAAH3990M=")</f>
        <v>#VALUE!</v>
      </c>
      <c r="BQ37" t="e">
        <f>AND('SPR BARRANQUILLA'!FS40,"AAAAAH3990Q=")</f>
        <v>#VALUE!</v>
      </c>
      <c r="BR37" t="e">
        <f>AND('SPR BARRANQUILLA'!FT40,"AAAAAH3990U=")</f>
        <v>#VALUE!</v>
      </c>
      <c r="BS37" t="e">
        <f>AND('SPR BARRANQUILLA'!FU40,"AAAAAH3990Y=")</f>
        <v>#VALUE!</v>
      </c>
      <c r="BT37" t="e">
        <f>AND('SPR BARRANQUILLA'!FV40,"AAAAAH3990c=")</f>
        <v>#VALUE!</v>
      </c>
      <c r="BU37" t="e">
        <f>AND('SPR BARRANQUILLA'!FW40,"AAAAAH3990g=")</f>
        <v>#VALUE!</v>
      </c>
      <c r="BV37" t="e">
        <f>AND('SPR BARRANQUILLA'!FX40,"AAAAAH3990k=")</f>
        <v>#VALUE!</v>
      </c>
      <c r="BW37" t="e">
        <f>AND('SPR BARRANQUILLA'!FY40,"AAAAAH3990o=")</f>
        <v>#VALUE!</v>
      </c>
      <c r="BX37" t="e">
        <f>AND('SPR BARRANQUILLA'!FZ40,"AAAAAH3990s=")</f>
        <v>#VALUE!</v>
      </c>
      <c r="BY37" t="e">
        <f>AND('SPR BARRANQUILLA'!GA40,"AAAAAH3990w=")</f>
        <v>#VALUE!</v>
      </c>
      <c r="BZ37" t="e">
        <f>AND('SPR BARRANQUILLA'!GB40,"AAAAAH39900=")</f>
        <v>#VALUE!</v>
      </c>
      <c r="CA37" t="e">
        <f>AND('SPR BARRANQUILLA'!GC40,"AAAAAH39904=")</f>
        <v>#VALUE!</v>
      </c>
      <c r="CB37" t="e">
        <f>AND('SPR BARRANQUILLA'!GD40,"AAAAAH39908=")</f>
        <v>#VALUE!</v>
      </c>
      <c r="CC37" t="e">
        <f>AND('SPR BARRANQUILLA'!GE40,"AAAAAH3991A=")</f>
        <v>#VALUE!</v>
      </c>
      <c r="CD37" t="e">
        <f>AND('SPR BARRANQUILLA'!GF40,"AAAAAH3991E=")</f>
        <v>#VALUE!</v>
      </c>
      <c r="CE37" t="e">
        <f>AND('SPR BARRANQUILLA'!GG40,"AAAAAH3991I=")</f>
        <v>#VALUE!</v>
      </c>
      <c r="CF37" t="e">
        <f>AND('SPR BARRANQUILLA'!GH40,"AAAAAH3991M=")</f>
        <v>#VALUE!</v>
      </c>
      <c r="CG37" t="e">
        <f>AND('SPR BARRANQUILLA'!GI40,"AAAAAH3991Q=")</f>
        <v>#VALUE!</v>
      </c>
      <c r="CH37" t="e">
        <f>AND('SPR BARRANQUILLA'!GJ40,"AAAAAH3991U=")</f>
        <v>#VALUE!</v>
      </c>
      <c r="CI37" t="e">
        <f>AND('SPR BARRANQUILLA'!GK40,"AAAAAH3991Y=")</f>
        <v>#VALUE!</v>
      </c>
      <c r="CJ37" t="e">
        <f>AND('SPR BARRANQUILLA'!GL40,"AAAAAH3991c=")</f>
        <v>#VALUE!</v>
      </c>
      <c r="CK37" t="e">
        <f>AND('SPR BARRANQUILLA'!GM40,"AAAAAH3991g=")</f>
        <v>#VALUE!</v>
      </c>
      <c r="CL37" t="e">
        <f>AND('SPR BARRANQUILLA'!GN40,"AAAAAH3991k=")</f>
        <v>#VALUE!</v>
      </c>
      <c r="CM37" t="e">
        <f>AND('SPR BARRANQUILLA'!GO40,"AAAAAH3991o=")</f>
        <v>#VALUE!</v>
      </c>
      <c r="CN37" t="e">
        <f>AND('SPR BARRANQUILLA'!GP40,"AAAAAH3991s=")</f>
        <v>#VALUE!</v>
      </c>
      <c r="CO37" t="e">
        <f>AND('SPR BARRANQUILLA'!GQ40,"AAAAAH3991w=")</f>
        <v>#VALUE!</v>
      </c>
      <c r="CP37" t="e">
        <f>AND('SPR BARRANQUILLA'!GR40,"AAAAAH39910=")</f>
        <v>#VALUE!</v>
      </c>
      <c r="CQ37" t="e">
        <f>AND('SPR BARRANQUILLA'!GS40,"AAAAAH39914=")</f>
        <v>#VALUE!</v>
      </c>
      <c r="CR37" t="e">
        <f>AND('SPR BARRANQUILLA'!GT40,"AAAAAH39918=")</f>
        <v>#VALUE!</v>
      </c>
      <c r="CS37" t="e">
        <f>AND('SPR BARRANQUILLA'!GU40,"AAAAAH3992A=")</f>
        <v>#VALUE!</v>
      </c>
      <c r="CT37" t="e">
        <f>AND('SPR BARRANQUILLA'!GV40,"AAAAAH3992E=")</f>
        <v>#VALUE!</v>
      </c>
      <c r="CU37" t="e">
        <f>AND('SPR BARRANQUILLA'!GW40,"AAAAAH3992I=")</f>
        <v>#VALUE!</v>
      </c>
      <c r="CV37" t="e">
        <f>AND('SPR BARRANQUILLA'!GX40,"AAAAAH3992M=")</f>
        <v>#VALUE!</v>
      </c>
      <c r="CW37" t="e">
        <f>AND('SPR BARRANQUILLA'!GY40,"AAAAAH3992Q=")</f>
        <v>#VALUE!</v>
      </c>
      <c r="CX37">
        <f>IF('SPR BARRANQUILLA'!41:41,"AAAAAH3992U=",0)</f>
        <v>0</v>
      </c>
      <c r="CY37" t="e">
        <f>AND('SPR BARRANQUILLA'!A41,"AAAAAH3992Y=")</f>
        <v>#VALUE!</v>
      </c>
      <c r="CZ37" t="e">
        <f>AND('SPR BARRANQUILLA'!B41,"AAAAAH3992c=")</f>
        <v>#VALUE!</v>
      </c>
      <c r="DA37" t="e">
        <f>AND('SPR BARRANQUILLA'!C41,"AAAAAH3992g=")</f>
        <v>#VALUE!</v>
      </c>
      <c r="DB37" t="e">
        <f>AND('SPR BARRANQUILLA'!D41,"AAAAAH3992k=")</f>
        <v>#VALUE!</v>
      </c>
      <c r="DC37" t="e">
        <f>AND('SPR BARRANQUILLA'!E41,"AAAAAH3992o=")</f>
        <v>#VALUE!</v>
      </c>
      <c r="DD37" t="e">
        <f>AND('SPR BARRANQUILLA'!F41,"AAAAAH3992s=")</f>
        <v>#VALUE!</v>
      </c>
      <c r="DE37" t="e">
        <f>AND('SPR BARRANQUILLA'!G41,"AAAAAH3992w=")</f>
        <v>#VALUE!</v>
      </c>
      <c r="DF37" t="e">
        <f>AND('SPR BARRANQUILLA'!H41,"AAAAAH39920=")</f>
        <v>#VALUE!</v>
      </c>
      <c r="DG37" t="e">
        <f>AND('SPR BARRANQUILLA'!I41,"AAAAAH39924=")</f>
        <v>#VALUE!</v>
      </c>
      <c r="DH37" t="e">
        <f>AND('SPR BARRANQUILLA'!J41,"AAAAAH39928=")</f>
        <v>#VALUE!</v>
      </c>
      <c r="DI37" t="e">
        <f>AND('SPR BARRANQUILLA'!K41,"AAAAAH3993A=")</f>
        <v>#VALUE!</v>
      </c>
      <c r="DJ37" t="e">
        <f>AND('SPR BARRANQUILLA'!L41,"AAAAAH3993E=")</f>
        <v>#VALUE!</v>
      </c>
      <c r="DK37" t="e">
        <f>AND('SPR BARRANQUILLA'!M41,"AAAAAH3993I=")</f>
        <v>#VALUE!</v>
      </c>
      <c r="DL37" t="e">
        <f>AND('SPR BARRANQUILLA'!N41,"AAAAAH3993M=")</f>
        <v>#VALUE!</v>
      </c>
      <c r="DM37" t="e">
        <f>AND('SPR BARRANQUILLA'!O41,"AAAAAH3993Q=")</f>
        <v>#VALUE!</v>
      </c>
      <c r="DN37" t="e">
        <f>AND('SPR BARRANQUILLA'!P41,"AAAAAH3993U=")</f>
        <v>#VALUE!</v>
      </c>
      <c r="DO37" t="e">
        <f>AND('SPR BARRANQUILLA'!Q41,"AAAAAH3993Y=")</f>
        <v>#VALUE!</v>
      </c>
      <c r="DP37" t="e">
        <f>AND('SPR BARRANQUILLA'!R41,"AAAAAH3993c=")</f>
        <v>#VALUE!</v>
      </c>
      <c r="DQ37" t="e">
        <f>AND('SPR BARRANQUILLA'!S41,"AAAAAH3993g=")</f>
        <v>#VALUE!</v>
      </c>
      <c r="DR37" t="e">
        <f>AND('SPR BARRANQUILLA'!T41,"AAAAAH3993k=")</f>
        <v>#VALUE!</v>
      </c>
      <c r="DS37" t="e">
        <f>AND('SPR BARRANQUILLA'!U41,"AAAAAH3993o=")</f>
        <v>#VALUE!</v>
      </c>
      <c r="DT37" t="e">
        <f>AND('SPR BARRANQUILLA'!V41,"AAAAAH3993s=")</f>
        <v>#VALUE!</v>
      </c>
      <c r="DU37" t="e">
        <f>AND('SPR BARRANQUILLA'!W41,"AAAAAH3993w=")</f>
        <v>#VALUE!</v>
      </c>
      <c r="DV37" t="e">
        <f>AND('SPR BARRANQUILLA'!X41,"AAAAAH39930=")</f>
        <v>#VALUE!</v>
      </c>
      <c r="DW37" t="e">
        <f>AND('SPR BARRANQUILLA'!Y41,"AAAAAH39934=")</f>
        <v>#VALUE!</v>
      </c>
      <c r="DX37" t="e">
        <f>AND('SPR BARRANQUILLA'!Z41,"AAAAAH39938=")</f>
        <v>#VALUE!</v>
      </c>
      <c r="DY37" t="e">
        <f>AND('SPR BARRANQUILLA'!AA41,"AAAAAH3994A=")</f>
        <v>#VALUE!</v>
      </c>
      <c r="DZ37" t="e">
        <f>AND('SPR BARRANQUILLA'!AB41,"AAAAAH3994E=")</f>
        <v>#VALUE!</v>
      </c>
      <c r="EA37" t="e">
        <f>AND('SPR BARRANQUILLA'!AC41,"AAAAAH3994I=")</f>
        <v>#VALUE!</v>
      </c>
      <c r="EB37" t="e">
        <f>AND('SPR BARRANQUILLA'!AD41,"AAAAAH3994M=")</f>
        <v>#VALUE!</v>
      </c>
      <c r="EC37" t="e">
        <f>AND('SPR BARRANQUILLA'!AE41,"AAAAAH3994Q=")</f>
        <v>#VALUE!</v>
      </c>
      <c r="ED37" t="e">
        <f>AND('SPR BARRANQUILLA'!AF41,"AAAAAH3994U=")</f>
        <v>#VALUE!</v>
      </c>
      <c r="EE37" t="e">
        <f>AND('SPR BARRANQUILLA'!AG41,"AAAAAH3994Y=")</f>
        <v>#VALUE!</v>
      </c>
      <c r="EF37" t="e">
        <f>AND('SPR BARRANQUILLA'!AH41,"AAAAAH3994c=")</f>
        <v>#VALUE!</v>
      </c>
      <c r="EG37" t="e">
        <f>AND('SPR BARRANQUILLA'!AI41,"AAAAAH3994g=")</f>
        <v>#VALUE!</v>
      </c>
      <c r="EH37" t="e">
        <f>AND('SPR BARRANQUILLA'!AJ41,"AAAAAH3994k=")</f>
        <v>#VALUE!</v>
      </c>
      <c r="EI37" t="e">
        <f>AND('SPR BARRANQUILLA'!AK41,"AAAAAH3994o=")</f>
        <v>#VALUE!</v>
      </c>
      <c r="EJ37" t="e">
        <f>AND('SPR BARRANQUILLA'!AL41,"AAAAAH3994s=")</f>
        <v>#VALUE!</v>
      </c>
      <c r="EK37" t="e">
        <f>AND('SPR BARRANQUILLA'!AM41,"AAAAAH3994w=")</f>
        <v>#VALUE!</v>
      </c>
      <c r="EL37" t="e">
        <f>AND('SPR BARRANQUILLA'!AN41,"AAAAAH39940=")</f>
        <v>#VALUE!</v>
      </c>
      <c r="EM37" t="e">
        <f>AND('SPR BARRANQUILLA'!AO41,"AAAAAH39944=")</f>
        <v>#VALUE!</v>
      </c>
      <c r="EN37" t="e">
        <f>AND('SPR BARRANQUILLA'!AP41,"AAAAAH39948=")</f>
        <v>#VALUE!</v>
      </c>
      <c r="EO37" t="e">
        <f>AND('SPR BARRANQUILLA'!AQ41,"AAAAAH3995A=")</f>
        <v>#VALUE!</v>
      </c>
      <c r="EP37" t="e">
        <f>AND('SPR BARRANQUILLA'!AR41,"AAAAAH3995E=")</f>
        <v>#VALUE!</v>
      </c>
      <c r="EQ37" t="e">
        <f>AND('SPR BARRANQUILLA'!AS41,"AAAAAH3995I=")</f>
        <v>#VALUE!</v>
      </c>
      <c r="ER37" t="e">
        <f>AND('SPR BARRANQUILLA'!AT41,"AAAAAH3995M=")</f>
        <v>#VALUE!</v>
      </c>
      <c r="ES37" t="e">
        <f>AND('SPR BARRANQUILLA'!AU41,"AAAAAH3995Q=")</f>
        <v>#VALUE!</v>
      </c>
      <c r="ET37" t="e">
        <f>AND('SPR BARRANQUILLA'!AV41,"AAAAAH3995U=")</f>
        <v>#VALUE!</v>
      </c>
      <c r="EU37" t="e">
        <f>AND('SPR BARRANQUILLA'!AW41,"AAAAAH3995Y=")</f>
        <v>#VALUE!</v>
      </c>
      <c r="EV37" t="e">
        <f>AND('SPR BARRANQUILLA'!AX41,"AAAAAH3995c=")</f>
        <v>#VALUE!</v>
      </c>
      <c r="EW37" t="e">
        <f>AND('SPR BARRANQUILLA'!AY41,"AAAAAH3995g=")</f>
        <v>#VALUE!</v>
      </c>
      <c r="EX37" t="e">
        <f>AND('SPR BARRANQUILLA'!AZ41,"AAAAAH3995k=")</f>
        <v>#VALUE!</v>
      </c>
      <c r="EY37" t="e">
        <f>AND('SPR BARRANQUILLA'!BA41,"AAAAAH3995o=")</f>
        <v>#VALUE!</v>
      </c>
      <c r="EZ37" t="e">
        <f>AND('SPR BARRANQUILLA'!BB41,"AAAAAH3995s=")</f>
        <v>#VALUE!</v>
      </c>
      <c r="FA37" t="e">
        <f>AND('SPR BARRANQUILLA'!BC41,"AAAAAH3995w=")</f>
        <v>#VALUE!</v>
      </c>
      <c r="FB37" t="e">
        <f>AND('SPR BARRANQUILLA'!BD41,"AAAAAH39950=")</f>
        <v>#VALUE!</v>
      </c>
      <c r="FC37" t="e">
        <f>AND('SPR BARRANQUILLA'!BE41,"AAAAAH39954=")</f>
        <v>#VALUE!</v>
      </c>
      <c r="FD37" t="e">
        <f>AND('SPR BARRANQUILLA'!BF41,"AAAAAH39958=")</f>
        <v>#VALUE!</v>
      </c>
      <c r="FE37" t="e">
        <f>AND('SPR BARRANQUILLA'!BG41,"AAAAAH3996A=")</f>
        <v>#VALUE!</v>
      </c>
      <c r="FF37" t="e">
        <f>AND('SPR BARRANQUILLA'!BH41,"AAAAAH3996E=")</f>
        <v>#VALUE!</v>
      </c>
      <c r="FG37" t="e">
        <f>AND('SPR BARRANQUILLA'!BI41,"AAAAAH3996I=")</f>
        <v>#VALUE!</v>
      </c>
      <c r="FH37" t="e">
        <f>AND('SPR BARRANQUILLA'!BJ41,"AAAAAH3996M=")</f>
        <v>#VALUE!</v>
      </c>
      <c r="FI37" t="e">
        <f>AND('SPR BARRANQUILLA'!BK41,"AAAAAH3996Q=")</f>
        <v>#VALUE!</v>
      </c>
      <c r="FJ37" t="e">
        <f>AND('SPR BARRANQUILLA'!BL41,"AAAAAH3996U=")</f>
        <v>#VALUE!</v>
      </c>
      <c r="FK37" t="e">
        <f>AND('SPR BARRANQUILLA'!BM41,"AAAAAH3996Y=")</f>
        <v>#VALUE!</v>
      </c>
      <c r="FL37" t="e">
        <f>AND('SPR BARRANQUILLA'!BN41,"AAAAAH3996c=")</f>
        <v>#VALUE!</v>
      </c>
      <c r="FM37" t="e">
        <f>AND('SPR BARRANQUILLA'!BO41,"AAAAAH3996g=")</f>
        <v>#VALUE!</v>
      </c>
      <c r="FN37" t="e">
        <f>AND('SPR BARRANQUILLA'!BP41,"AAAAAH3996k=")</f>
        <v>#VALUE!</v>
      </c>
      <c r="FO37" t="e">
        <f>AND('SPR BARRANQUILLA'!BQ41,"AAAAAH3996o=")</f>
        <v>#VALUE!</v>
      </c>
      <c r="FP37" t="e">
        <f>AND('SPR BARRANQUILLA'!BR41,"AAAAAH3996s=")</f>
        <v>#VALUE!</v>
      </c>
      <c r="FQ37" t="e">
        <f>AND('SPR BARRANQUILLA'!BS41,"AAAAAH3996w=")</f>
        <v>#VALUE!</v>
      </c>
      <c r="FR37" t="e">
        <f>AND('SPR BARRANQUILLA'!BT41,"AAAAAH39960=")</f>
        <v>#VALUE!</v>
      </c>
      <c r="FS37" t="e">
        <f>AND('SPR BARRANQUILLA'!BU41,"AAAAAH39964=")</f>
        <v>#VALUE!</v>
      </c>
      <c r="FT37" t="e">
        <f>AND('SPR BARRANQUILLA'!BV41,"AAAAAH39968=")</f>
        <v>#VALUE!</v>
      </c>
      <c r="FU37" t="e">
        <f>AND('SPR BARRANQUILLA'!BW41,"AAAAAH3997A=")</f>
        <v>#VALUE!</v>
      </c>
      <c r="FV37" t="e">
        <f>AND('SPR BARRANQUILLA'!BX41,"AAAAAH3997E=")</f>
        <v>#VALUE!</v>
      </c>
      <c r="FW37" t="e">
        <f>AND('SPR BARRANQUILLA'!BY41,"AAAAAH3997I=")</f>
        <v>#VALUE!</v>
      </c>
      <c r="FX37" t="e">
        <f>AND('SPR BARRANQUILLA'!BZ41,"AAAAAH3997M=")</f>
        <v>#VALUE!</v>
      </c>
      <c r="FY37" t="e">
        <f>AND('SPR BARRANQUILLA'!CA41,"AAAAAH3997Q=")</f>
        <v>#VALUE!</v>
      </c>
      <c r="FZ37" t="e">
        <f>AND('SPR BARRANQUILLA'!CB41,"AAAAAH3997U=")</f>
        <v>#VALUE!</v>
      </c>
      <c r="GA37" t="e">
        <f>AND('SPR BARRANQUILLA'!CC41,"AAAAAH3997Y=")</f>
        <v>#VALUE!</v>
      </c>
      <c r="GB37" t="e">
        <f>AND('SPR BARRANQUILLA'!CD41,"AAAAAH3997c=")</f>
        <v>#VALUE!</v>
      </c>
      <c r="GC37" t="e">
        <f>AND('SPR BARRANQUILLA'!CE41,"AAAAAH3997g=")</f>
        <v>#VALUE!</v>
      </c>
      <c r="GD37" t="e">
        <f>AND('SPR BARRANQUILLA'!CF41,"AAAAAH3997k=")</f>
        <v>#VALUE!</v>
      </c>
      <c r="GE37" t="e">
        <f>AND('SPR BARRANQUILLA'!CG41,"AAAAAH3997o=")</f>
        <v>#VALUE!</v>
      </c>
      <c r="GF37" t="e">
        <f>AND('SPR BARRANQUILLA'!CH41,"AAAAAH3997s=")</f>
        <v>#VALUE!</v>
      </c>
      <c r="GG37" t="e">
        <f>AND('SPR BARRANQUILLA'!CI41,"AAAAAH3997w=")</f>
        <v>#VALUE!</v>
      </c>
      <c r="GH37" t="e">
        <f>AND('SPR BARRANQUILLA'!CJ41,"AAAAAH39970=")</f>
        <v>#VALUE!</v>
      </c>
      <c r="GI37" t="e">
        <f>AND('SPR BARRANQUILLA'!CK41,"AAAAAH39974=")</f>
        <v>#VALUE!</v>
      </c>
      <c r="GJ37" t="e">
        <f>AND('SPR BARRANQUILLA'!CL41,"AAAAAH39978=")</f>
        <v>#VALUE!</v>
      </c>
      <c r="GK37" t="e">
        <f>AND('SPR BARRANQUILLA'!CM41,"AAAAAH3998A=")</f>
        <v>#VALUE!</v>
      </c>
      <c r="GL37" t="e">
        <f>AND('SPR BARRANQUILLA'!CN41,"AAAAAH3998E=")</f>
        <v>#VALUE!</v>
      </c>
      <c r="GM37" t="e">
        <f>AND('SPR BARRANQUILLA'!CO41,"AAAAAH3998I=")</f>
        <v>#VALUE!</v>
      </c>
      <c r="GN37" t="e">
        <f>AND('SPR BARRANQUILLA'!CP41,"AAAAAH3998M=")</f>
        <v>#VALUE!</v>
      </c>
      <c r="GO37" t="e">
        <f>AND('SPR BARRANQUILLA'!CQ41,"AAAAAH3998Q=")</f>
        <v>#VALUE!</v>
      </c>
      <c r="GP37" t="e">
        <f>AND('SPR BARRANQUILLA'!CR41,"AAAAAH3998U=")</f>
        <v>#VALUE!</v>
      </c>
      <c r="GQ37" t="e">
        <f>AND('SPR BARRANQUILLA'!CS41,"AAAAAH3998Y=")</f>
        <v>#VALUE!</v>
      </c>
      <c r="GR37" t="e">
        <f>AND('SPR BARRANQUILLA'!CT41,"AAAAAH3998c=")</f>
        <v>#VALUE!</v>
      </c>
      <c r="GS37" t="e">
        <f>AND('SPR BARRANQUILLA'!CU41,"AAAAAH3998g=")</f>
        <v>#VALUE!</v>
      </c>
      <c r="GT37" t="e">
        <f>AND('SPR BARRANQUILLA'!CV41,"AAAAAH3998k=")</f>
        <v>#VALUE!</v>
      </c>
      <c r="GU37" t="e">
        <f>AND('SPR BARRANQUILLA'!CW41,"AAAAAH3998o=")</f>
        <v>#VALUE!</v>
      </c>
      <c r="GV37" t="e">
        <f>AND('SPR BARRANQUILLA'!CX41,"AAAAAH3998s=")</f>
        <v>#VALUE!</v>
      </c>
      <c r="GW37" t="e">
        <f>AND('SPR BARRANQUILLA'!CY41,"AAAAAH3998w=")</f>
        <v>#VALUE!</v>
      </c>
      <c r="GX37" t="e">
        <f>AND('SPR BARRANQUILLA'!CZ41,"AAAAAH39980=")</f>
        <v>#VALUE!</v>
      </c>
      <c r="GY37" t="e">
        <f>AND('SPR BARRANQUILLA'!DA41,"AAAAAH39984=")</f>
        <v>#VALUE!</v>
      </c>
      <c r="GZ37" t="e">
        <f>AND('SPR BARRANQUILLA'!DB41,"AAAAAH39988=")</f>
        <v>#VALUE!</v>
      </c>
      <c r="HA37" t="e">
        <f>AND('SPR BARRANQUILLA'!DC41,"AAAAAH3999A=")</f>
        <v>#VALUE!</v>
      </c>
      <c r="HB37" t="e">
        <f>AND('SPR BARRANQUILLA'!DD41,"AAAAAH3999E=")</f>
        <v>#VALUE!</v>
      </c>
      <c r="HC37" t="e">
        <f>AND('SPR BARRANQUILLA'!DE41,"AAAAAH3999I=")</f>
        <v>#VALUE!</v>
      </c>
      <c r="HD37" t="e">
        <f>AND('SPR BARRANQUILLA'!DF41,"AAAAAH3999M=")</f>
        <v>#VALUE!</v>
      </c>
      <c r="HE37" t="e">
        <f>AND('SPR BARRANQUILLA'!DG41,"AAAAAH3999Q=")</f>
        <v>#VALUE!</v>
      </c>
      <c r="HF37" t="e">
        <f>AND('SPR BARRANQUILLA'!DH41,"AAAAAH3999U=")</f>
        <v>#VALUE!</v>
      </c>
      <c r="HG37" t="e">
        <f>AND('SPR BARRANQUILLA'!DI41,"AAAAAH3999Y=")</f>
        <v>#VALUE!</v>
      </c>
      <c r="HH37" t="e">
        <f>AND('SPR BARRANQUILLA'!DJ41,"AAAAAH3999c=")</f>
        <v>#VALUE!</v>
      </c>
      <c r="HI37" t="e">
        <f>AND('SPR BARRANQUILLA'!DK41,"AAAAAH3999g=")</f>
        <v>#VALUE!</v>
      </c>
      <c r="HJ37" t="e">
        <f>AND('SPR BARRANQUILLA'!DL41,"AAAAAH3999k=")</f>
        <v>#VALUE!</v>
      </c>
      <c r="HK37" t="e">
        <f>AND('SPR BARRANQUILLA'!DM41,"AAAAAH3999o=")</f>
        <v>#VALUE!</v>
      </c>
      <c r="HL37" t="e">
        <f>AND('SPR BARRANQUILLA'!DN41,"AAAAAH3999s=")</f>
        <v>#VALUE!</v>
      </c>
      <c r="HM37" t="e">
        <f>AND('SPR BARRANQUILLA'!DO41,"AAAAAH3999w=")</f>
        <v>#VALUE!</v>
      </c>
      <c r="HN37" t="e">
        <f>AND('SPR BARRANQUILLA'!DP41,"AAAAAH39990=")</f>
        <v>#VALUE!</v>
      </c>
      <c r="HO37" t="e">
        <f>AND('SPR BARRANQUILLA'!DQ41,"AAAAAH39994=")</f>
        <v>#VALUE!</v>
      </c>
      <c r="HP37" t="e">
        <f>AND('SPR BARRANQUILLA'!DR41,"AAAAAH39998=")</f>
        <v>#VALUE!</v>
      </c>
      <c r="HQ37" t="e">
        <f>AND('SPR BARRANQUILLA'!DS41,"AAAAAH399+A=")</f>
        <v>#VALUE!</v>
      </c>
      <c r="HR37" t="e">
        <f>AND('SPR BARRANQUILLA'!DT41,"AAAAAH399+E=")</f>
        <v>#VALUE!</v>
      </c>
      <c r="HS37" t="e">
        <f>AND('SPR BARRANQUILLA'!DU41,"AAAAAH399+I=")</f>
        <v>#VALUE!</v>
      </c>
      <c r="HT37" t="e">
        <f>AND('SPR BARRANQUILLA'!DV41,"AAAAAH399+M=")</f>
        <v>#VALUE!</v>
      </c>
      <c r="HU37" t="e">
        <f>AND('SPR BARRANQUILLA'!DW41,"AAAAAH399+Q=")</f>
        <v>#VALUE!</v>
      </c>
      <c r="HV37" t="e">
        <f>AND('SPR BARRANQUILLA'!DX41,"AAAAAH399+U=")</f>
        <v>#VALUE!</v>
      </c>
      <c r="HW37" t="e">
        <f>AND('SPR BARRANQUILLA'!DY41,"AAAAAH399+Y=")</f>
        <v>#VALUE!</v>
      </c>
      <c r="HX37" t="e">
        <f>AND('SPR BARRANQUILLA'!DZ41,"AAAAAH399+c=")</f>
        <v>#VALUE!</v>
      </c>
      <c r="HY37" t="e">
        <f>AND('SPR BARRANQUILLA'!EA41,"AAAAAH399+g=")</f>
        <v>#VALUE!</v>
      </c>
      <c r="HZ37" t="e">
        <f>AND('SPR BARRANQUILLA'!EB41,"AAAAAH399+k=")</f>
        <v>#VALUE!</v>
      </c>
      <c r="IA37" t="e">
        <f>AND('SPR BARRANQUILLA'!EC41,"AAAAAH399+o=")</f>
        <v>#VALUE!</v>
      </c>
      <c r="IB37" t="e">
        <f>AND('SPR BARRANQUILLA'!ED41,"AAAAAH399+s=")</f>
        <v>#VALUE!</v>
      </c>
      <c r="IC37" t="e">
        <f>AND('SPR BARRANQUILLA'!EE41,"AAAAAH399+w=")</f>
        <v>#VALUE!</v>
      </c>
      <c r="ID37" t="e">
        <f>AND('SPR BARRANQUILLA'!EF41,"AAAAAH399+0=")</f>
        <v>#VALUE!</v>
      </c>
      <c r="IE37" t="e">
        <f>AND('SPR BARRANQUILLA'!EG41,"AAAAAH399+4=")</f>
        <v>#VALUE!</v>
      </c>
      <c r="IF37" t="e">
        <f>AND('SPR BARRANQUILLA'!EH41,"AAAAAH399+8=")</f>
        <v>#VALUE!</v>
      </c>
      <c r="IG37" t="e">
        <f>AND('SPR BARRANQUILLA'!EI41,"AAAAAH399/A=")</f>
        <v>#VALUE!</v>
      </c>
      <c r="IH37" t="e">
        <f>AND('SPR BARRANQUILLA'!EJ41,"AAAAAH399/E=")</f>
        <v>#VALUE!</v>
      </c>
      <c r="II37" t="e">
        <f>AND('SPR BARRANQUILLA'!EK41,"AAAAAH399/I=")</f>
        <v>#VALUE!</v>
      </c>
      <c r="IJ37" t="e">
        <f>AND('SPR BARRANQUILLA'!EL41,"AAAAAH399/M=")</f>
        <v>#VALUE!</v>
      </c>
      <c r="IK37" t="e">
        <f>AND('SPR BARRANQUILLA'!EM41,"AAAAAH399/Q=")</f>
        <v>#VALUE!</v>
      </c>
      <c r="IL37" t="e">
        <f>AND('SPR BARRANQUILLA'!EN41,"AAAAAH399/U=")</f>
        <v>#VALUE!</v>
      </c>
      <c r="IM37" t="e">
        <f>AND('SPR BARRANQUILLA'!EO41,"AAAAAH399/Y=")</f>
        <v>#VALUE!</v>
      </c>
      <c r="IN37" t="e">
        <f>AND('SPR BARRANQUILLA'!EP41,"AAAAAH399/c=")</f>
        <v>#VALUE!</v>
      </c>
      <c r="IO37" t="e">
        <f>AND('SPR BARRANQUILLA'!EQ41,"AAAAAH399/g=")</f>
        <v>#VALUE!</v>
      </c>
      <c r="IP37" t="e">
        <f>AND('SPR BARRANQUILLA'!ER41,"AAAAAH399/k=")</f>
        <v>#VALUE!</v>
      </c>
      <c r="IQ37" t="e">
        <f>AND('SPR BARRANQUILLA'!ES41,"AAAAAH399/o=")</f>
        <v>#VALUE!</v>
      </c>
      <c r="IR37" t="e">
        <f>AND('SPR BARRANQUILLA'!ET41,"AAAAAH399/s=")</f>
        <v>#VALUE!</v>
      </c>
      <c r="IS37" t="e">
        <f>AND('SPR BARRANQUILLA'!EU41,"AAAAAH399/w=")</f>
        <v>#VALUE!</v>
      </c>
      <c r="IT37" t="e">
        <f>AND('SPR BARRANQUILLA'!EV41,"AAAAAH399/0=")</f>
        <v>#VALUE!</v>
      </c>
      <c r="IU37" t="e">
        <f>AND('SPR BARRANQUILLA'!EW41,"AAAAAH399/4=")</f>
        <v>#VALUE!</v>
      </c>
      <c r="IV37" t="e">
        <f>AND('SPR BARRANQUILLA'!EX41,"AAAAAH399/8=")</f>
        <v>#VALUE!</v>
      </c>
    </row>
    <row r="38" spans="1:256">
      <c r="A38" t="e">
        <f>AND('SPR BARRANQUILLA'!EY41,"AAAAADnB/wA=")</f>
        <v>#VALUE!</v>
      </c>
      <c r="B38" t="e">
        <f>AND('SPR BARRANQUILLA'!EZ41,"AAAAADnB/wE=")</f>
        <v>#VALUE!</v>
      </c>
      <c r="C38" t="e">
        <f>AND('SPR BARRANQUILLA'!FA41,"AAAAADnB/wI=")</f>
        <v>#VALUE!</v>
      </c>
      <c r="D38" t="e">
        <f>AND('SPR BARRANQUILLA'!FB41,"AAAAADnB/wM=")</f>
        <v>#VALUE!</v>
      </c>
      <c r="E38" t="e">
        <f>AND('SPR BARRANQUILLA'!FC41,"AAAAADnB/wQ=")</f>
        <v>#VALUE!</v>
      </c>
      <c r="F38" t="e">
        <f>AND('SPR BARRANQUILLA'!FD41,"AAAAADnB/wU=")</f>
        <v>#VALUE!</v>
      </c>
      <c r="G38" t="e">
        <f>AND('SPR BARRANQUILLA'!FE41,"AAAAADnB/wY=")</f>
        <v>#VALUE!</v>
      </c>
      <c r="H38" t="e">
        <f>AND('SPR BARRANQUILLA'!FF41,"AAAAADnB/wc=")</f>
        <v>#VALUE!</v>
      </c>
      <c r="I38" t="e">
        <f>AND('SPR BARRANQUILLA'!FG41,"AAAAADnB/wg=")</f>
        <v>#VALUE!</v>
      </c>
      <c r="J38" t="e">
        <f>AND('SPR BARRANQUILLA'!FH41,"AAAAADnB/wk=")</f>
        <v>#VALUE!</v>
      </c>
      <c r="K38" t="e">
        <f>AND('SPR BARRANQUILLA'!FI41,"AAAAADnB/wo=")</f>
        <v>#VALUE!</v>
      </c>
      <c r="L38" t="e">
        <f>AND('SPR BARRANQUILLA'!FJ41,"AAAAADnB/ws=")</f>
        <v>#VALUE!</v>
      </c>
      <c r="M38" t="e">
        <f>AND('SPR BARRANQUILLA'!FK41,"AAAAADnB/ww=")</f>
        <v>#VALUE!</v>
      </c>
      <c r="N38" t="e">
        <f>AND('SPR BARRANQUILLA'!FL41,"AAAAADnB/w0=")</f>
        <v>#VALUE!</v>
      </c>
      <c r="O38" t="e">
        <f>AND('SPR BARRANQUILLA'!FM41,"AAAAADnB/w4=")</f>
        <v>#VALUE!</v>
      </c>
      <c r="P38" t="e">
        <f>AND('SPR BARRANQUILLA'!FN41,"AAAAADnB/w8=")</f>
        <v>#VALUE!</v>
      </c>
      <c r="Q38" t="e">
        <f>AND('SPR BARRANQUILLA'!FO41,"AAAAADnB/xA=")</f>
        <v>#VALUE!</v>
      </c>
      <c r="R38" t="e">
        <f>AND('SPR BARRANQUILLA'!FP41,"AAAAADnB/xE=")</f>
        <v>#VALUE!</v>
      </c>
      <c r="S38" t="e">
        <f>AND('SPR BARRANQUILLA'!FQ41,"AAAAADnB/xI=")</f>
        <v>#VALUE!</v>
      </c>
      <c r="T38" t="e">
        <f>AND('SPR BARRANQUILLA'!FR41,"AAAAADnB/xM=")</f>
        <v>#VALUE!</v>
      </c>
      <c r="U38" t="e">
        <f>AND('SPR BARRANQUILLA'!FS41,"AAAAADnB/xQ=")</f>
        <v>#VALUE!</v>
      </c>
      <c r="V38" t="e">
        <f>AND('SPR BARRANQUILLA'!FT41,"AAAAADnB/xU=")</f>
        <v>#VALUE!</v>
      </c>
      <c r="W38" t="e">
        <f>AND('SPR BARRANQUILLA'!FU41,"AAAAADnB/xY=")</f>
        <v>#VALUE!</v>
      </c>
      <c r="X38" t="e">
        <f>AND('SPR BARRANQUILLA'!FV41,"AAAAADnB/xc=")</f>
        <v>#VALUE!</v>
      </c>
      <c r="Y38" t="e">
        <f>AND('SPR BARRANQUILLA'!FW41,"AAAAADnB/xg=")</f>
        <v>#VALUE!</v>
      </c>
      <c r="Z38" t="e">
        <f>AND('SPR BARRANQUILLA'!FX41,"AAAAADnB/xk=")</f>
        <v>#VALUE!</v>
      </c>
      <c r="AA38" t="e">
        <f>AND('SPR BARRANQUILLA'!FY41,"AAAAADnB/xo=")</f>
        <v>#VALUE!</v>
      </c>
      <c r="AB38" t="e">
        <f>AND('SPR BARRANQUILLA'!FZ41,"AAAAADnB/xs=")</f>
        <v>#VALUE!</v>
      </c>
      <c r="AC38" t="e">
        <f>AND('SPR BARRANQUILLA'!GA41,"AAAAADnB/xw=")</f>
        <v>#VALUE!</v>
      </c>
      <c r="AD38" t="e">
        <f>AND('SPR BARRANQUILLA'!GB41,"AAAAADnB/x0=")</f>
        <v>#VALUE!</v>
      </c>
      <c r="AE38" t="e">
        <f>AND('SPR BARRANQUILLA'!GC41,"AAAAADnB/x4=")</f>
        <v>#VALUE!</v>
      </c>
      <c r="AF38" t="e">
        <f>AND('SPR BARRANQUILLA'!GD41,"AAAAADnB/x8=")</f>
        <v>#VALUE!</v>
      </c>
      <c r="AG38" t="e">
        <f>AND('SPR BARRANQUILLA'!GE41,"AAAAADnB/yA=")</f>
        <v>#VALUE!</v>
      </c>
      <c r="AH38" t="e">
        <f>AND('SPR BARRANQUILLA'!GF41,"AAAAADnB/yE=")</f>
        <v>#VALUE!</v>
      </c>
      <c r="AI38" t="e">
        <f>AND('SPR BARRANQUILLA'!GG41,"AAAAADnB/yI=")</f>
        <v>#VALUE!</v>
      </c>
      <c r="AJ38" t="e">
        <f>AND('SPR BARRANQUILLA'!GH41,"AAAAADnB/yM=")</f>
        <v>#VALUE!</v>
      </c>
      <c r="AK38" t="e">
        <f>AND('SPR BARRANQUILLA'!GI41,"AAAAADnB/yQ=")</f>
        <v>#VALUE!</v>
      </c>
      <c r="AL38" t="e">
        <f>AND('SPR BARRANQUILLA'!GJ41,"AAAAADnB/yU=")</f>
        <v>#VALUE!</v>
      </c>
      <c r="AM38" t="e">
        <f>AND('SPR BARRANQUILLA'!GK41,"AAAAADnB/yY=")</f>
        <v>#VALUE!</v>
      </c>
      <c r="AN38" t="e">
        <f>AND('SPR BARRANQUILLA'!GL41,"AAAAADnB/yc=")</f>
        <v>#VALUE!</v>
      </c>
      <c r="AO38" t="e">
        <f>AND('SPR BARRANQUILLA'!GM41,"AAAAADnB/yg=")</f>
        <v>#VALUE!</v>
      </c>
      <c r="AP38" t="e">
        <f>AND('SPR BARRANQUILLA'!GN41,"AAAAADnB/yk=")</f>
        <v>#VALUE!</v>
      </c>
      <c r="AQ38" t="e">
        <f>AND('SPR BARRANQUILLA'!GO41,"AAAAADnB/yo=")</f>
        <v>#VALUE!</v>
      </c>
      <c r="AR38" t="e">
        <f>AND('SPR BARRANQUILLA'!GP41,"AAAAADnB/ys=")</f>
        <v>#VALUE!</v>
      </c>
      <c r="AS38" t="e">
        <f>AND('SPR BARRANQUILLA'!GQ41,"AAAAADnB/yw=")</f>
        <v>#VALUE!</v>
      </c>
      <c r="AT38" t="e">
        <f>AND('SPR BARRANQUILLA'!GR41,"AAAAADnB/y0=")</f>
        <v>#VALUE!</v>
      </c>
      <c r="AU38" t="e">
        <f>AND('SPR BARRANQUILLA'!GS41,"AAAAADnB/y4=")</f>
        <v>#VALUE!</v>
      </c>
      <c r="AV38" t="e">
        <f>AND('SPR BARRANQUILLA'!GT41,"AAAAADnB/y8=")</f>
        <v>#VALUE!</v>
      </c>
      <c r="AW38" t="e">
        <f>AND('SPR BARRANQUILLA'!GU41,"AAAAADnB/zA=")</f>
        <v>#VALUE!</v>
      </c>
      <c r="AX38" t="e">
        <f>AND('SPR BARRANQUILLA'!GV41,"AAAAADnB/zE=")</f>
        <v>#VALUE!</v>
      </c>
      <c r="AY38" t="e">
        <f>AND('SPR BARRANQUILLA'!GW41,"AAAAADnB/zI=")</f>
        <v>#VALUE!</v>
      </c>
      <c r="AZ38" t="e">
        <f>AND('SPR BARRANQUILLA'!GX41,"AAAAADnB/zM=")</f>
        <v>#VALUE!</v>
      </c>
      <c r="BA38" t="e">
        <f>AND('SPR BARRANQUILLA'!GY41,"AAAAADnB/zQ=")</f>
        <v>#VALUE!</v>
      </c>
      <c r="BB38">
        <f>IF('SPR BARRANQUILLA'!42:42,"AAAAADnB/zU=",0)</f>
        <v>0</v>
      </c>
      <c r="BC38" t="e">
        <f>AND('SPR BARRANQUILLA'!A42,"AAAAADnB/zY=")</f>
        <v>#VALUE!</v>
      </c>
      <c r="BD38" t="e">
        <f>AND('SPR BARRANQUILLA'!B42,"AAAAADnB/zc=")</f>
        <v>#VALUE!</v>
      </c>
      <c r="BE38" t="e">
        <f>AND('SPR BARRANQUILLA'!C42,"AAAAADnB/zg=")</f>
        <v>#VALUE!</v>
      </c>
      <c r="BF38" t="e">
        <f>AND('SPR BARRANQUILLA'!D42,"AAAAADnB/zk=")</f>
        <v>#VALUE!</v>
      </c>
      <c r="BG38" t="e">
        <f>AND('SPR BARRANQUILLA'!E42,"AAAAADnB/zo=")</f>
        <v>#VALUE!</v>
      </c>
      <c r="BH38" t="e">
        <f>AND('SPR BARRANQUILLA'!F42,"AAAAADnB/zs=")</f>
        <v>#VALUE!</v>
      </c>
      <c r="BI38" t="e">
        <f>AND('SPR BARRANQUILLA'!G42,"AAAAADnB/zw=")</f>
        <v>#VALUE!</v>
      </c>
      <c r="BJ38" t="e">
        <f>AND('SPR BARRANQUILLA'!H42,"AAAAADnB/z0=")</f>
        <v>#VALUE!</v>
      </c>
      <c r="BK38" t="e">
        <f>AND('SPR BARRANQUILLA'!I42,"AAAAADnB/z4=")</f>
        <v>#VALUE!</v>
      </c>
      <c r="BL38" t="e">
        <f>AND('SPR BARRANQUILLA'!J42,"AAAAADnB/z8=")</f>
        <v>#VALUE!</v>
      </c>
      <c r="BM38" t="e">
        <f>AND('SPR BARRANQUILLA'!K42,"AAAAADnB/0A=")</f>
        <v>#VALUE!</v>
      </c>
      <c r="BN38" t="e">
        <f>AND('SPR BARRANQUILLA'!L42,"AAAAADnB/0E=")</f>
        <v>#VALUE!</v>
      </c>
      <c r="BO38" t="e">
        <f>AND('SPR BARRANQUILLA'!M42,"AAAAADnB/0I=")</f>
        <v>#VALUE!</v>
      </c>
      <c r="BP38" t="e">
        <f>AND('SPR BARRANQUILLA'!N42,"AAAAADnB/0M=")</f>
        <v>#VALUE!</v>
      </c>
      <c r="BQ38" t="e">
        <f>AND('SPR BARRANQUILLA'!O42,"AAAAADnB/0Q=")</f>
        <v>#VALUE!</v>
      </c>
      <c r="BR38" t="e">
        <f>AND('SPR BARRANQUILLA'!P42,"AAAAADnB/0U=")</f>
        <v>#VALUE!</v>
      </c>
      <c r="BS38" t="e">
        <f>AND('SPR BARRANQUILLA'!Q42,"AAAAADnB/0Y=")</f>
        <v>#VALUE!</v>
      </c>
      <c r="BT38" t="e">
        <f>AND('SPR BARRANQUILLA'!R42,"AAAAADnB/0c=")</f>
        <v>#VALUE!</v>
      </c>
      <c r="BU38" t="e">
        <f>AND('SPR BARRANQUILLA'!S42,"AAAAADnB/0g=")</f>
        <v>#VALUE!</v>
      </c>
      <c r="BV38" t="e">
        <f>AND('SPR BARRANQUILLA'!T42,"AAAAADnB/0k=")</f>
        <v>#VALUE!</v>
      </c>
      <c r="BW38" t="e">
        <f>AND('SPR BARRANQUILLA'!U42,"AAAAADnB/0o=")</f>
        <v>#VALUE!</v>
      </c>
      <c r="BX38" t="e">
        <f>AND('SPR BARRANQUILLA'!V42,"AAAAADnB/0s=")</f>
        <v>#VALUE!</v>
      </c>
      <c r="BY38" t="e">
        <f>AND('SPR BARRANQUILLA'!W42,"AAAAADnB/0w=")</f>
        <v>#VALUE!</v>
      </c>
      <c r="BZ38" t="e">
        <f>AND('SPR BARRANQUILLA'!X42,"AAAAADnB/00=")</f>
        <v>#VALUE!</v>
      </c>
      <c r="CA38" t="e">
        <f>AND('SPR BARRANQUILLA'!Y42,"AAAAADnB/04=")</f>
        <v>#VALUE!</v>
      </c>
      <c r="CB38" t="e">
        <f>AND('SPR BARRANQUILLA'!Z42,"AAAAADnB/08=")</f>
        <v>#VALUE!</v>
      </c>
      <c r="CC38" t="e">
        <f>AND('SPR BARRANQUILLA'!AA42,"AAAAADnB/1A=")</f>
        <v>#VALUE!</v>
      </c>
      <c r="CD38" t="e">
        <f>AND('SPR BARRANQUILLA'!AB42,"AAAAADnB/1E=")</f>
        <v>#VALUE!</v>
      </c>
      <c r="CE38" t="e">
        <f>AND('SPR BARRANQUILLA'!AC42,"AAAAADnB/1I=")</f>
        <v>#VALUE!</v>
      </c>
      <c r="CF38" t="e">
        <f>AND('SPR BARRANQUILLA'!AD42,"AAAAADnB/1M=")</f>
        <v>#VALUE!</v>
      </c>
      <c r="CG38" t="e">
        <f>AND('SPR BARRANQUILLA'!AE42,"AAAAADnB/1Q=")</f>
        <v>#VALUE!</v>
      </c>
      <c r="CH38" t="e">
        <f>AND('SPR BARRANQUILLA'!AF42,"AAAAADnB/1U=")</f>
        <v>#VALUE!</v>
      </c>
      <c r="CI38" t="e">
        <f>AND('SPR BARRANQUILLA'!AG42,"AAAAADnB/1Y=")</f>
        <v>#VALUE!</v>
      </c>
      <c r="CJ38" t="e">
        <f>AND('SPR BARRANQUILLA'!AH42,"AAAAADnB/1c=")</f>
        <v>#VALUE!</v>
      </c>
      <c r="CK38" t="e">
        <f>AND('SPR BARRANQUILLA'!AI42,"AAAAADnB/1g=")</f>
        <v>#VALUE!</v>
      </c>
      <c r="CL38" t="e">
        <f>AND('SPR BARRANQUILLA'!AJ42,"AAAAADnB/1k=")</f>
        <v>#VALUE!</v>
      </c>
      <c r="CM38" t="e">
        <f>AND('SPR BARRANQUILLA'!AK42,"AAAAADnB/1o=")</f>
        <v>#VALUE!</v>
      </c>
      <c r="CN38" t="e">
        <f>AND('SPR BARRANQUILLA'!AL42,"AAAAADnB/1s=")</f>
        <v>#VALUE!</v>
      </c>
      <c r="CO38" t="e">
        <f>AND('SPR BARRANQUILLA'!AM42,"AAAAADnB/1w=")</f>
        <v>#VALUE!</v>
      </c>
      <c r="CP38" t="e">
        <f>AND('SPR BARRANQUILLA'!AN42,"AAAAADnB/10=")</f>
        <v>#VALUE!</v>
      </c>
      <c r="CQ38" t="e">
        <f>AND('SPR BARRANQUILLA'!AO42,"AAAAADnB/14=")</f>
        <v>#VALUE!</v>
      </c>
      <c r="CR38" t="e">
        <f>AND('SPR BARRANQUILLA'!AP42,"AAAAADnB/18=")</f>
        <v>#VALUE!</v>
      </c>
      <c r="CS38" t="e">
        <f>AND('SPR BARRANQUILLA'!AQ42,"AAAAADnB/2A=")</f>
        <v>#VALUE!</v>
      </c>
      <c r="CT38" t="e">
        <f>AND('SPR BARRANQUILLA'!AR42,"AAAAADnB/2E=")</f>
        <v>#VALUE!</v>
      </c>
      <c r="CU38" t="e">
        <f>AND('SPR BARRANQUILLA'!AS42,"AAAAADnB/2I=")</f>
        <v>#VALUE!</v>
      </c>
      <c r="CV38" t="e">
        <f>AND('SPR BARRANQUILLA'!AT42,"AAAAADnB/2M=")</f>
        <v>#VALUE!</v>
      </c>
      <c r="CW38" t="e">
        <f>AND('SPR BARRANQUILLA'!AU42,"AAAAADnB/2Q=")</f>
        <v>#VALUE!</v>
      </c>
      <c r="CX38" t="e">
        <f>AND('SPR BARRANQUILLA'!AV42,"AAAAADnB/2U=")</f>
        <v>#VALUE!</v>
      </c>
      <c r="CY38" t="e">
        <f>AND('SPR BARRANQUILLA'!AW42,"AAAAADnB/2Y=")</f>
        <v>#VALUE!</v>
      </c>
      <c r="CZ38" t="e">
        <f>AND('SPR BARRANQUILLA'!AX42,"AAAAADnB/2c=")</f>
        <v>#VALUE!</v>
      </c>
      <c r="DA38" t="e">
        <f>AND('SPR BARRANQUILLA'!AY42,"AAAAADnB/2g=")</f>
        <v>#VALUE!</v>
      </c>
      <c r="DB38" t="e">
        <f>AND('SPR BARRANQUILLA'!AZ42,"AAAAADnB/2k=")</f>
        <v>#VALUE!</v>
      </c>
      <c r="DC38" t="e">
        <f>AND('SPR BARRANQUILLA'!BA42,"AAAAADnB/2o=")</f>
        <v>#VALUE!</v>
      </c>
      <c r="DD38" t="e">
        <f>AND('SPR BARRANQUILLA'!BB42,"AAAAADnB/2s=")</f>
        <v>#VALUE!</v>
      </c>
      <c r="DE38" t="e">
        <f>AND('SPR BARRANQUILLA'!BC42,"AAAAADnB/2w=")</f>
        <v>#VALUE!</v>
      </c>
      <c r="DF38" t="e">
        <f>AND('SPR BARRANQUILLA'!BD42,"AAAAADnB/20=")</f>
        <v>#VALUE!</v>
      </c>
      <c r="DG38" t="e">
        <f>AND('SPR BARRANQUILLA'!BE42,"AAAAADnB/24=")</f>
        <v>#VALUE!</v>
      </c>
      <c r="DH38" t="e">
        <f>AND('SPR BARRANQUILLA'!BF42,"AAAAADnB/28=")</f>
        <v>#VALUE!</v>
      </c>
      <c r="DI38" t="e">
        <f>AND('SPR BARRANQUILLA'!BG42,"AAAAADnB/3A=")</f>
        <v>#VALUE!</v>
      </c>
      <c r="DJ38" t="e">
        <f>AND('SPR BARRANQUILLA'!BH42,"AAAAADnB/3E=")</f>
        <v>#VALUE!</v>
      </c>
      <c r="DK38" t="e">
        <f>AND('SPR BARRANQUILLA'!BI42,"AAAAADnB/3I=")</f>
        <v>#VALUE!</v>
      </c>
      <c r="DL38" t="e">
        <f>AND('SPR BARRANQUILLA'!BJ42,"AAAAADnB/3M=")</f>
        <v>#VALUE!</v>
      </c>
      <c r="DM38" t="e">
        <f>AND('SPR BARRANQUILLA'!BK42,"AAAAADnB/3Q=")</f>
        <v>#VALUE!</v>
      </c>
      <c r="DN38" t="e">
        <f>AND('SPR BARRANQUILLA'!BL42,"AAAAADnB/3U=")</f>
        <v>#VALUE!</v>
      </c>
      <c r="DO38" t="e">
        <f>AND('SPR BARRANQUILLA'!BM42,"AAAAADnB/3Y=")</f>
        <v>#VALUE!</v>
      </c>
      <c r="DP38" t="e">
        <f>AND('SPR BARRANQUILLA'!BN42,"AAAAADnB/3c=")</f>
        <v>#VALUE!</v>
      </c>
      <c r="DQ38" t="e">
        <f>AND('SPR BARRANQUILLA'!BO42,"AAAAADnB/3g=")</f>
        <v>#VALUE!</v>
      </c>
      <c r="DR38" t="e">
        <f>AND('SPR BARRANQUILLA'!BP42,"AAAAADnB/3k=")</f>
        <v>#VALUE!</v>
      </c>
      <c r="DS38" t="e">
        <f>AND('SPR BARRANQUILLA'!BQ42,"AAAAADnB/3o=")</f>
        <v>#VALUE!</v>
      </c>
      <c r="DT38" t="e">
        <f>AND('SPR BARRANQUILLA'!BR42,"AAAAADnB/3s=")</f>
        <v>#VALUE!</v>
      </c>
      <c r="DU38" t="e">
        <f>AND('SPR BARRANQUILLA'!BS42,"AAAAADnB/3w=")</f>
        <v>#VALUE!</v>
      </c>
      <c r="DV38" t="e">
        <f>AND('SPR BARRANQUILLA'!BT42,"AAAAADnB/30=")</f>
        <v>#VALUE!</v>
      </c>
      <c r="DW38" t="e">
        <f>AND('SPR BARRANQUILLA'!BU42,"AAAAADnB/34=")</f>
        <v>#VALUE!</v>
      </c>
      <c r="DX38" t="e">
        <f>AND('SPR BARRANQUILLA'!BV42,"AAAAADnB/38=")</f>
        <v>#VALUE!</v>
      </c>
      <c r="DY38" t="e">
        <f>AND('SPR BARRANQUILLA'!BW42,"AAAAADnB/4A=")</f>
        <v>#VALUE!</v>
      </c>
      <c r="DZ38" t="e">
        <f>AND('SPR BARRANQUILLA'!BX42,"AAAAADnB/4E=")</f>
        <v>#VALUE!</v>
      </c>
      <c r="EA38" t="e">
        <f>AND('SPR BARRANQUILLA'!BY42,"AAAAADnB/4I=")</f>
        <v>#VALUE!</v>
      </c>
      <c r="EB38" t="e">
        <f>AND('SPR BARRANQUILLA'!BZ42,"AAAAADnB/4M=")</f>
        <v>#VALUE!</v>
      </c>
      <c r="EC38" t="e">
        <f>AND('SPR BARRANQUILLA'!CA42,"AAAAADnB/4Q=")</f>
        <v>#VALUE!</v>
      </c>
      <c r="ED38" t="e">
        <f>AND('SPR BARRANQUILLA'!CB42,"AAAAADnB/4U=")</f>
        <v>#VALUE!</v>
      </c>
      <c r="EE38" t="e">
        <f>AND('SPR BARRANQUILLA'!CC42,"AAAAADnB/4Y=")</f>
        <v>#VALUE!</v>
      </c>
      <c r="EF38" t="e">
        <f>AND('SPR BARRANQUILLA'!CD42,"AAAAADnB/4c=")</f>
        <v>#VALUE!</v>
      </c>
      <c r="EG38" t="e">
        <f>AND('SPR BARRANQUILLA'!CE42,"AAAAADnB/4g=")</f>
        <v>#VALUE!</v>
      </c>
      <c r="EH38" t="e">
        <f>AND('SPR BARRANQUILLA'!CF42,"AAAAADnB/4k=")</f>
        <v>#VALUE!</v>
      </c>
      <c r="EI38" t="e">
        <f>AND('SPR BARRANQUILLA'!CG42,"AAAAADnB/4o=")</f>
        <v>#VALUE!</v>
      </c>
      <c r="EJ38" t="e">
        <f>AND('SPR BARRANQUILLA'!CH42,"AAAAADnB/4s=")</f>
        <v>#VALUE!</v>
      </c>
      <c r="EK38" t="e">
        <f>AND('SPR BARRANQUILLA'!CI42,"AAAAADnB/4w=")</f>
        <v>#VALUE!</v>
      </c>
      <c r="EL38" t="e">
        <f>AND('SPR BARRANQUILLA'!CJ42,"AAAAADnB/40=")</f>
        <v>#VALUE!</v>
      </c>
      <c r="EM38" t="e">
        <f>AND('SPR BARRANQUILLA'!CK42,"AAAAADnB/44=")</f>
        <v>#VALUE!</v>
      </c>
      <c r="EN38" t="e">
        <f>AND('SPR BARRANQUILLA'!CL42,"AAAAADnB/48=")</f>
        <v>#VALUE!</v>
      </c>
      <c r="EO38" t="e">
        <f>AND('SPR BARRANQUILLA'!CM42,"AAAAADnB/5A=")</f>
        <v>#VALUE!</v>
      </c>
      <c r="EP38" t="e">
        <f>AND('SPR BARRANQUILLA'!CN42,"AAAAADnB/5E=")</f>
        <v>#VALUE!</v>
      </c>
      <c r="EQ38" t="e">
        <f>AND('SPR BARRANQUILLA'!CO42,"AAAAADnB/5I=")</f>
        <v>#VALUE!</v>
      </c>
      <c r="ER38" t="e">
        <f>AND('SPR BARRANQUILLA'!CP42,"AAAAADnB/5M=")</f>
        <v>#VALUE!</v>
      </c>
      <c r="ES38" t="e">
        <f>AND('SPR BARRANQUILLA'!CQ42,"AAAAADnB/5Q=")</f>
        <v>#VALUE!</v>
      </c>
      <c r="ET38" t="e">
        <f>AND('SPR BARRANQUILLA'!CR42,"AAAAADnB/5U=")</f>
        <v>#VALUE!</v>
      </c>
      <c r="EU38" t="e">
        <f>AND('SPR BARRANQUILLA'!CS42,"AAAAADnB/5Y=")</f>
        <v>#VALUE!</v>
      </c>
      <c r="EV38" t="e">
        <f>AND('SPR BARRANQUILLA'!CT42,"AAAAADnB/5c=")</f>
        <v>#VALUE!</v>
      </c>
      <c r="EW38" t="e">
        <f>AND('SPR BARRANQUILLA'!CU42,"AAAAADnB/5g=")</f>
        <v>#VALUE!</v>
      </c>
      <c r="EX38" t="e">
        <f>AND('SPR BARRANQUILLA'!CV42,"AAAAADnB/5k=")</f>
        <v>#VALUE!</v>
      </c>
      <c r="EY38" t="e">
        <f>AND('SPR BARRANQUILLA'!CW42,"AAAAADnB/5o=")</f>
        <v>#VALUE!</v>
      </c>
      <c r="EZ38" t="e">
        <f>AND('SPR BARRANQUILLA'!CX42,"AAAAADnB/5s=")</f>
        <v>#VALUE!</v>
      </c>
      <c r="FA38" t="e">
        <f>AND('SPR BARRANQUILLA'!CY42,"AAAAADnB/5w=")</f>
        <v>#VALUE!</v>
      </c>
      <c r="FB38" t="e">
        <f>AND('SPR BARRANQUILLA'!CZ42,"AAAAADnB/50=")</f>
        <v>#VALUE!</v>
      </c>
      <c r="FC38" t="e">
        <f>AND('SPR BARRANQUILLA'!DA42,"AAAAADnB/54=")</f>
        <v>#VALUE!</v>
      </c>
      <c r="FD38" t="e">
        <f>AND('SPR BARRANQUILLA'!DB42,"AAAAADnB/58=")</f>
        <v>#VALUE!</v>
      </c>
      <c r="FE38" t="e">
        <f>AND('SPR BARRANQUILLA'!DC42,"AAAAADnB/6A=")</f>
        <v>#VALUE!</v>
      </c>
      <c r="FF38" t="e">
        <f>AND('SPR BARRANQUILLA'!DD42,"AAAAADnB/6E=")</f>
        <v>#VALUE!</v>
      </c>
      <c r="FG38" t="e">
        <f>AND('SPR BARRANQUILLA'!DE42,"AAAAADnB/6I=")</f>
        <v>#VALUE!</v>
      </c>
      <c r="FH38" t="e">
        <f>AND('SPR BARRANQUILLA'!DF42,"AAAAADnB/6M=")</f>
        <v>#VALUE!</v>
      </c>
      <c r="FI38" t="e">
        <f>AND('SPR BARRANQUILLA'!DG42,"AAAAADnB/6Q=")</f>
        <v>#VALUE!</v>
      </c>
      <c r="FJ38" t="e">
        <f>AND('SPR BARRANQUILLA'!DH42,"AAAAADnB/6U=")</f>
        <v>#VALUE!</v>
      </c>
      <c r="FK38" t="e">
        <f>AND('SPR BARRANQUILLA'!DI42,"AAAAADnB/6Y=")</f>
        <v>#VALUE!</v>
      </c>
      <c r="FL38" t="e">
        <f>AND('SPR BARRANQUILLA'!DJ42,"AAAAADnB/6c=")</f>
        <v>#VALUE!</v>
      </c>
      <c r="FM38" t="e">
        <f>AND('SPR BARRANQUILLA'!DK42,"AAAAADnB/6g=")</f>
        <v>#VALUE!</v>
      </c>
      <c r="FN38" t="e">
        <f>AND('SPR BARRANQUILLA'!DL42,"AAAAADnB/6k=")</f>
        <v>#VALUE!</v>
      </c>
      <c r="FO38" t="e">
        <f>AND('SPR BARRANQUILLA'!DM42,"AAAAADnB/6o=")</f>
        <v>#VALUE!</v>
      </c>
      <c r="FP38" t="e">
        <f>AND('SPR BARRANQUILLA'!DN42,"AAAAADnB/6s=")</f>
        <v>#VALUE!</v>
      </c>
      <c r="FQ38" t="e">
        <f>AND('SPR BARRANQUILLA'!DO42,"AAAAADnB/6w=")</f>
        <v>#VALUE!</v>
      </c>
      <c r="FR38" t="e">
        <f>AND('SPR BARRANQUILLA'!DP42,"AAAAADnB/60=")</f>
        <v>#VALUE!</v>
      </c>
      <c r="FS38" t="e">
        <f>AND('SPR BARRANQUILLA'!DQ42,"AAAAADnB/64=")</f>
        <v>#VALUE!</v>
      </c>
      <c r="FT38" t="e">
        <f>AND('SPR BARRANQUILLA'!DR42,"AAAAADnB/68=")</f>
        <v>#VALUE!</v>
      </c>
      <c r="FU38" t="e">
        <f>AND('SPR BARRANQUILLA'!DS42,"AAAAADnB/7A=")</f>
        <v>#VALUE!</v>
      </c>
      <c r="FV38" t="e">
        <f>AND('SPR BARRANQUILLA'!DT42,"AAAAADnB/7E=")</f>
        <v>#VALUE!</v>
      </c>
      <c r="FW38" t="e">
        <f>AND('SPR BARRANQUILLA'!DU42,"AAAAADnB/7I=")</f>
        <v>#VALUE!</v>
      </c>
      <c r="FX38" t="e">
        <f>AND('SPR BARRANQUILLA'!DV42,"AAAAADnB/7M=")</f>
        <v>#VALUE!</v>
      </c>
      <c r="FY38" t="e">
        <f>AND('SPR BARRANQUILLA'!DW42,"AAAAADnB/7Q=")</f>
        <v>#VALUE!</v>
      </c>
      <c r="FZ38" t="e">
        <f>AND('SPR BARRANQUILLA'!DX42,"AAAAADnB/7U=")</f>
        <v>#VALUE!</v>
      </c>
      <c r="GA38" t="e">
        <f>AND('SPR BARRANQUILLA'!DY42,"AAAAADnB/7Y=")</f>
        <v>#VALUE!</v>
      </c>
      <c r="GB38" t="e">
        <f>AND('SPR BARRANQUILLA'!DZ42,"AAAAADnB/7c=")</f>
        <v>#VALUE!</v>
      </c>
      <c r="GC38" t="e">
        <f>AND('SPR BARRANQUILLA'!EA42,"AAAAADnB/7g=")</f>
        <v>#VALUE!</v>
      </c>
      <c r="GD38" t="e">
        <f>AND('SPR BARRANQUILLA'!EB42,"AAAAADnB/7k=")</f>
        <v>#VALUE!</v>
      </c>
      <c r="GE38" t="e">
        <f>AND('SPR BARRANQUILLA'!EC42,"AAAAADnB/7o=")</f>
        <v>#VALUE!</v>
      </c>
      <c r="GF38" t="e">
        <f>AND('SPR BARRANQUILLA'!ED42,"AAAAADnB/7s=")</f>
        <v>#VALUE!</v>
      </c>
      <c r="GG38" t="e">
        <f>AND('SPR BARRANQUILLA'!EE42,"AAAAADnB/7w=")</f>
        <v>#VALUE!</v>
      </c>
      <c r="GH38" t="e">
        <f>AND('SPR BARRANQUILLA'!EF42,"AAAAADnB/70=")</f>
        <v>#VALUE!</v>
      </c>
      <c r="GI38" t="e">
        <f>AND('SPR BARRANQUILLA'!EG42,"AAAAADnB/74=")</f>
        <v>#VALUE!</v>
      </c>
      <c r="GJ38" t="e">
        <f>AND('SPR BARRANQUILLA'!EH42,"AAAAADnB/78=")</f>
        <v>#VALUE!</v>
      </c>
      <c r="GK38" t="e">
        <f>AND('SPR BARRANQUILLA'!EI42,"AAAAADnB/8A=")</f>
        <v>#VALUE!</v>
      </c>
      <c r="GL38" t="e">
        <f>AND('SPR BARRANQUILLA'!EJ42,"AAAAADnB/8E=")</f>
        <v>#VALUE!</v>
      </c>
      <c r="GM38" t="e">
        <f>AND('SPR BARRANQUILLA'!EK42,"AAAAADnB/8I=")</f>
        <v>#VALUE!</v>
      </c>
      <c r="GN38" t="e">
        <f>AND('SPR BARRANQUILLA'!EL42,"AAAAADnB/8M=")</f>
        <v>#VALUE!</v>
      </c>
      <c r="GO38" t="e">
        <f>AND('SPR BARRANQUILLA'!EM42,"AAAAADnB/8Q=")</f>
        <v>#VALUE!</v>
      </c>
      <c r="GP38" t="e">
        <f>AND('SPR BARRANQUILLA'!EN42,"AAAAADnB/8U=")</f>
        <v>#VALUE!</v>
      </c>
      <c r="GQ38" t="e">
        <f>AND('SPR BARRANQUILLA'!EO42,"AAAAADnB/8Y=")</f>
        <v>#VALUE!</v>
      </c>
      <c r="GR38" t="e">
        <f>AND('SPR BARRANQUILLA'!EP42,"AAAAADnB/8c=")</f>
        <v>#VALUE!</v>
      </c>
      <c r="GS38" t="e">
        <f>AND('SPR BARRANQUILLA'!EQ42,"AAAAADnB/8g=")</f>
        <v>#VALUE!</v>
      </c>
      <c r="GT38" t="e">
        <f>AND('SPR BARRANQUILLA'!ER42,"AAAAADnB/8k=")</f>
        <v>#VALUE!</v>
      </c>
      <c r="GU38" t="e">
        <f>AND('SPR BARRANQUILLA'!ES42,"AAAAADnB/8o=")</f>
        <v>#VALUE!</v>
      </c>
      <c r="GV38" t="e">
        <f>AND('SPR BARRANQUILLA'!ET42,"AAAAADnB/8s=")</f>
        <v>#VALUE!</v>
      </c>
      <c r="GW38" t="e">
        <f>AND('SPR BARRANQUILLA'!EU42,"AAAAADnB/8w=")</f>
        <v>#VALUE!</v>
      </c>
      <c r="GX38" t="e">
        <f>AND('SPR BARRANQUILLA'!EV42,"AAAAADnB/80=")</f>
        <v>#VALUE!</v>
      </c>
      <c r="GY38" t="e">
        <f>AND('SPR BARRANQUILLA'!EW42,"AAAAADnB/84=")</f>
        <v>#VALUE!</v>
      </c>
      <c r="GZ38" t="e">
        <f>AND('SPR BARRANQUILLA'!EX42,"AAAAADnB/88=")</f>
        <v>#VALUE!</v>
      </c>
      <c r="HA38" t="e">
        <f>AND('SPR BARRANQUILLA'!EY42,"AAAAADnB/9A=")</f>
        <v>#VALUE!</v>
      </c>
      <c r="HB38" t="e">
        <f>AND('SPR BARRANQUILLA'!EZ42,"AAAAADnB/9E=")</f>
        <v>#VALUE!</v>
      </c>
      <c r="HC38" t="e">
        <f>AND('SPR BARRANQUILLA'!FA42,"AAAAADnB/9I=")</f>
        <v>#VALUE!</v>
      </c>
      <c r="HD38" t="e">
        <f>AND('SPR BARRANQUILLA'!FB42,"AAAAADnB/9M=")</f>
        <v>#VALUE!</v>
      </c>
      <c r="HE38" t="e">
        <f>AND('SPR BARRANQUILLA'!FC42,"AAAAADnB/9Q=")</f>
        <v>#VALUE!</v>
      </c>
      <c r="HF38" t="e">
        <f>AND('SPR BARRANQUILLA'!FD42,"AAAAADnB/9U=")</f>
        <v>#VALUE!</v>
      </c>
      <c r="HG38" t="e">
        <f>AND('SPR BARRANQUILLA'!FE42,"AAAAADnB/9Y=")</f>
        <v>#VALUE!</v>
      </c>
      <c r="HH38" t="e">
        <f>AND('SPR BARRANQUILLA'!FF42,"AAAAADnB/9c=")</f>
        <v>#VALUE!</v>
      </c>
      <c r="HI38" t="e">
        <f>AND('SPR BARRANQUILLA'!FG42,"AAAAADnB/9g=")</f>
        <v>#VALUE!</v>
      </c>
      <c r="HJ38" t="e">
        <f>AND('SPR BARRANQUILLA'!FH42,"AAAAADnB/9k=")</f>
        <v>#VALUE!</v>
      </c>
      <c r="HK38" t="e">
        <f>AND('SPR BARRANQUILLA'!FI42,"AAAAADnB/9o=")</f>
        <v>#VALUE!</v>
      </c>
      <c r="HL38" t="e">
        <f>AND('SPR BARRANQUILLA'!FJ42,"AAAAADnB/9s=")</f>
        <v>#VALUE!</v>
      </c>
      <c r="HM38" t="e">
        <f>AND('SPR BARRANQUILLA'!FK42,"AAAAADnB/9w=")</f>
        <v>#VALUE!</v>
      </c>
      <c r="HN38" t="e">
        <f>AND('SPR BARRANQUILLA'!FL42,"AAAAADnB/90=")</f>
        <v>#VALUE!</v>
      </c>
      <c r="HO38" t="e">
        <f>AND('SPR BARRANQUILLA'!FM42,"AAAAADnB/94=")</f>
        <v>#VALUE!</v>
      </c>
      <c r="HP38" t="e">
        <f>AND('SPR BARRANQUILLA'!FN42,"AAAAADnB/98=")</f>
        <v>#VALUE!</v>
      </c>
      <c r="HQ38" t="e">
        <f>AND('SPR BARRANQUILLA'!FO42,"AAAAADnB/+A=")</f>
        <v>#VALUE!</v>
      </c>
      <c r="HR38" t="e">
        <f>AND('SPR BARRANQUILLA'!FP42,"AAAAADnB/+E=")</f>
        <v>#VALUE!</v>
      </c>
      <c r="HS38" t="e">
        <f>AND('SPR BARRANQUILLA'!FQ42,"AAAAADnB/+I=")</f>
        <v>#VALUE!</v>
      </c>
      <c r="HT38" t="e">
        <f>AND('SPR BARRANQUILLA'!FR42,"AAAAADnB/+M=")</f>
        <v>#VALUE!</v>
      </c>
      <c r="HU38" t="e">
        <f>AND('SPR BARRANQUILLA'!FS42,"AAAAADnB/+Q=")</f>
        <v>#VALUE!</v>
      </c>
      <c r="HV38" t="e">
        <f>AND('SPR BARRANQUILLA'!FT42,"AAAAADnB/+U=")</f>
        <v>#VALUE!</v>
      </c>
      <c r="HW38" t="e">
        <f>AND('SPR BARRANQUILLA'!FU42,"AAAAADnB/+Y=")</f>
        <v>#VALUE!</v>
      </c>
      <c r="HX38" t="e">
        <f>AND('SPR BARRANQUILLA'!FV42,"AAAAADnB/+c=")</f>
        <v>#VALUE!</v>
      </c>
      <c r="HY38" t="e">
        <f>AND('SPR BARRANQUILLA'!FW42,"AAAAADnB/+g=")</f>
        <v>#VALUE!</v>
      </c>
      <c r="HZ38" t="e">
        <f>AND('SPR BARRANQUILLA'!FX42,"AAAAADnB/+k=")</f>
        <v>#VALUE!</v>
      </c>
      <c r="IA38" t="e">
        <f>AND('SPR BARRANQUILLA'!FY42,"AAAAADnB/+o=")</f>
        <v>#VALUE!</v>
      </c>
      <c r="IB38" t="e">
        <f>AND('SPR BARRANQUILLA'!FZ42,"AAAAADnB/+s=")</f>
        <v>#VALUE!</v>
      </c>
      <c r="IC38" t="e">
        <f>AND('SPR BARRANQUILLA'!GA42,"AAAAADnB/+w=")</f>
        <v>#VALUE!</v>
      </c>
      <c r="ID38" t="e">
        <f>AND('SPR BARRANQUILLA'!GB42,"AAAAADnB/+0=")</f>
        <v>#VALUE!</v>
      </c>
      <c r="IE38" t="e">
        <f>AND('SPR BARRANQUILLA'!GC42,"AAAAADnB/+4=")</f>
        <v>#VALUE!</v>
      </c>
      <c r="IF38" t="e">
        <f>AND('SPR BARRANQUILLA'!GD42,"AAAAADnB/+8=")</f>
        <v>#VALUE!</v>
      </c>
      <c r="IG38" t="e">
        <f>AND('SPR BARRANQUILLA'!GE42,"AAAAADnB//A=")</f>
        <v>#VALUE!</v>
      </c>
      <c r="IH38" t="e">
        <f>AND('SPR BARRANQUILLA'!GF42,"AAAAADnB//E=")</f>
        <v>#VALUE!</v>
      </c>
      <c r="II38" t="e">
        <f>AND('SPR BARRANQUILLA'!GG42,"AAAAADnB//I=")</f>
        <v>#VALUE!</v>
      </c>
      <c r="IJ38" t="e">
        <f>AND('SPR BARRANQUILLA'!GH42,"AAAAADnB//M=")</f>
        <v>#VALUE!</v>
      </c>
      <c r="IK38" t="e">
        <f>AND('SPR BARRANQUILLA'!GI42,"AAAAADnB//Q=")</f>
        <v>#VALUE!</v>
      </c>
      <c r="IL38" t="e">
        <f>AND('SPR BARRANQUILLA'!GJ42,"AAAAADnB//U=")</f>
        <v>#VALUE!</v>
      </c>
      <c r="IM38" t="e">
        <f>AND('SPR BARRANQUILLA'!GK42,"AAAAADnB//Y=")</f>
        <v>#VALUE!</v>
      </c>
      <c r="IN38" t="e">
        <f>AND('SPR BARRANQUILLA'!GL42,"AAAAADnB//c=")</f>
        <v>#VALUE!</v>
      </c>
      <c r="IO38" t="e">
        <f>AND('SPR BARRANQUILLA'!GM42,"AAAAADnB//g=")</f>
        <v>#VALUE!</v>
      </c>
      <c r="IP38" t="e">
        <f>AND('SPR BARRANQUILLA'!GN42,"AAAAADnB//k=")</f>
        <v>#VALUE!</v>
      </c>
      <c r="IQ38" t="e">
        <f>AND('SPR BARRANQUILLA'!GO42,"AAAAADnB//o=")</f>
        <v>#VALUE!</v>
      </c>
      <c r="IR38" t="e">
        <f>AND('SPR BARRANQUILLA'!GP42,"AAAAADnB//s=")</f>
        <v>#VALUE!</v>
      </c>
      <c r="IS38" t="e">
        <f>AND('SPR BARRANQUILLA'!GQ42,"AAAAADnB//w=")</f>
        <v>#VALUE!</v>
      </c>
      <c r="IT38" t="e">
        <f>AND('SPR BARRANQUILLA'!GR42,"AAAAADnB//0=")</f>
        <v>#VALUE!</v>
      </c>
      <c r="IU38" t="e">
        <f>AND('SPR BARRANQUILLA'!GS42,"AAAAADnB//4=")</f>
        <v>#VALUE!</v>
      </c>
      <c r="IV38" t="e">
        <f>AND('SPR BARRANQUILLA'!GT42,"AAAAADnB//8=")</f>
        <v>#VALUE!</v>
      </c>
    </row>
    <row r="39" spans="1:256">
      <c r="A39" t="e">
        <f>AND('SPR BARRANQUILLA'!GU42,"AAAAAAxJlwA=")</f>
        <v>#VALUE!</v>
      </c>
      <c r="B39" t="e">
        <f>AND('SPR BARRANQUILLA'!GV42,"AAAAAAxJlwE=")</f>
        <v>#VALUE!</v>
      </c>
      <c r="C39" t="e">
        <f>AND('SPR BARRANQUILLA'!GW42,"AAAAAAxJlwI=")</f>
        <v>#VALUE!</v>
      </c>
      <c r="D39" t="e">
        <f>AND('SPR BARRANQUILLA'!GX42,"AAAAAAxJlwM=")</f>
        <v>#VALUE!</v>
      </c>
      <c r="E39" t="e">
        <f>AND('SPR BARRANQUILLA'!GY42,"AAAAAAxJlwQ=")</f>
        <v>#VALUE!</v>
      </c>
      <c r="F39">
        <f>IF('SPR BARRANQUILLA'!43:43,"AAAAAAxJlwU=",0)</f>
        <v>0</v>
      </c>
      <c r="G39" t="e">
        <f>AND('SPR BARRANQUILLA'!A43,"AAAAAAxJlwY=")</f>
        <v>#VALUE!</v>
      </c>
      <c r="H39" t="e">
        <f>AND('SPR BARRANQUILLA'!B43,"AAAAAAxJlwc=")</f>
        <v>#VALUE!</v>
      </c>
      <c r="I39" t="e">
        <f>AND('SPR BARRANQUILLA'!C43,"AAAAAAxJlwg=")</f>
        <v>#VALUE!</v>
      </c>
      <c r="J39" t="e">
        <f>AND('SPR BARRANQUILLA'!D43,"AAAAAAxJlwk=")</f>
        <v>#VALUE!</v>
      </c>
      <c r="K39" t="e">
        <f>AND('SPR BARRANQUILLA'!E43,"AAAAAAxJlwo=")</f>
        <v>#VALUE!</v>
      </c>
      <c r="L39" t="e">
        <f>AND('SPR BARRANQUILLA'!F43,"AAAAAAxJlws=")</f>
        <v>#VALUE!</v>
      </c>
      <c r="M39" t="e">
        <f>AND('SPR BARRANQUILLA'!G43,"AAAAAAxJlww=")</f>
        <v>#VALUE!</v>
      </c>
      <c r="N39" t="e">
        <f>AND('SPR BARRANQUILLA'!H43,"AAAAAAxJlw0=")</f>
        <v>#VALUE!</v>
      </c>
      <c r="O39" t="e">
        <f>AND('SPR BARRANQUILLA'!I43,"AAAAAAxJlw4=")</f>
        <v>#VALUE!</v>
      </c>
      <c r="P39" t="e">
        <f>AND('SPR BARRANQUILLA'!J43,"AAAAAAxJlw8=")</f>
        <v>#VALUE!</v>
      </c>
      <c r="Q39" t="e">
        <f>AND('SPR BARRANQUILLA'!K43,"AAAAAAxJlxA=")</f>
        <v>#VALUE!</v>
      </c>
      <c r="R39" t="e">
        <f>AND('SPR BARRANQUILLA'!L43,"AAAAAAxJlxE=")</f>
        <v>#VALUE!</v>
      </c>
      <c r="S39" t="e">
        <f>AND('SPR BARRANQUILLA'!M43,"AAAAAAxJlxI=")</f>
        <v>#VALUE!</v>
      </c>
      <c r="T39" t="e">
        <f>AND('SPR BARRANQUILLA'!N43,"AAAAAAxJlxM=")</f>
        <v>#VALUE!</v>
      </c>
      <c r="U39" t="e">
        <f>AND('SPR BARRANQUILLA'!O43,"AAAAAAxJlxQ=")</f>
        <v>#VALUE!</v>
      </c>
      <c r="V39" t="e">
        <f>AND('SPR BARRANQUILLA'!P43,"AAAAAAxJlxU=")</f>
        <v>#VALUE!</v>
      </c>
      <c r="W39" t="e">
        <f>AND('SPR BARRANQUILLA'!Q43,"AAAAAAxJlxY=")</f>
        <v>#VALUE!</v>
      </c>
      <c r="X39" t="e">
        <f>AND('SPR BARRANQUILLA'!R43,"AAAAAAxJlxc=")</f>
        <v>#VALUE!</v>
      </c>
      <c r="Y39" t="e">
        <f>AND('SPR BARRANQUILLA'!S43,"AAAAAAxJlxg=")</f>
        <v>#VALUE!</v>
      </c>
      <c r="Z39" t="e">
        <f>AND('SPR BARRANQUILLA'!T43,"AAAAAAxJlxk=")</f>
        <v>#VALUE!</v>
      </c>
      <c r="AA39" t="e">
        <f>AND('SPR BARRANQUILLA'!U43,"AAAAAAxJlxo=")</f>
        <v>#VALUE!</v>
      </c>
      <c r="AB39" t="e">
        <f>AND('SPR BARRANQUILLA'!V43,"AAAAAAxJlxs=")</f>
        <v>#VALUE!</v>
      </c>
      <c r="AC39" t="e">
        <f>AND('SPR BARRANQUILLA'!W43,"AAAAAAxJlxw=")</f>
        <v>#VALUE!</v>
      </c>
      <c r="AD39" t="e">
        <f>AND('SPR BARRANQUILLA'!X43,"AAAAAAxJlx0=")</f>
        <v>#VALUE!</v>
      </c>
      <c r="AE39" t="e">
        <f>AND('SPR BARRANQUILLA'!Y43,"AAAAAAxJlx4=")</f>
        <v>#VALUE!</v>
      </c>
      <c r="AF39" t="e">
        <f>AND('SPR BARRANQUILLA'!Z43,"AAAAAAxJlx8=")</f>
        <v>#VALUE!</v>
      </c>
      <c r="AG39" t="e">
        <f>AND('SPR BARRANQUILLA'!AA43,"AAAAAAxJlyA=")</f>
        <v>#VALUE!</v>
      </c>
      <c r="AH39" t="e">
        <f>AND('SPR BARRANQUILLA'!AB43,"AAAAAAxJlyE=")</f>
        <v>#VALUE!</v>
      </c>
      <c r="AI39" t="e">
        <f>AND('SPR BARRANQUILLA'!AC43,"AAAAAAxJlyI=")</f>
        <v>#VALUE!</v>
      </c>
      <c r="AJ39" t="e">
        <f>AND('SPR BARRANQUILLA'!AD43,"AAAAAAxJlyM=")</f>
        <v>#VALUE!</v>
      </c>
      <c r="AK39" t="e">
        <f>AND('SPR BARRANQUILLA'!AE43,"AAAAAAxJlyQ=")</f>
        <v>#VALUE!</v>
      </c>
      <c r="AL39" t="e">
        <f>AND('SPR BARRANQUILLA'!AF43,"AAAAAAxJlyU=")</f>
        <v>#VALUE!</v>
      </c>
      <c r="AM39" t="e">
        <f>AND('SPR BARRANQUILLA'!AG43,"AAAAAAxJlyY=")</f>
        <v>#VALUE!</v>
      </c>
      <c r="AN39" t="e">
        <f>AND('SPR BARRANQUILLA'!AH43,"AAAAAAxJlyc=")</f>
        <v>#VALUE!</v>
      </c>
      <c r="AO39" t="e">
        <f>AND('SPR BARRANQUILLA'!AI43,"AAAAAAxJlyg=")</f>
        <v>#VALUE!</v>
      </c>
      <c r="AP39" t="e">
        <f>AND('SPR BARRANQUILLA'!AJ43,"AAAAAAxJlyk=")</f>
        <v>#VALUE!</v>
      </c>
      <c r="AQ39" t="e">
        <f>AND('SPR BARRANQUILLA'!AK43,"AAAAAAxJlyo=")</f>
        <v>#VALUE!</v>
      </c>
      <c r="AR39" t="e">
        <f>AND('SPR BARRANQUILLA'!AL43,"AAAAAAxJlys=")</f>
        <v>#VALUE!</v>
      </c>
      <c r="AS39" t="e">
        <f>AND('SPR BARRANQUILLA'!AM43,"AAAAAAxJlyw=")</f>
        <v>#VALUE!</v>
      </c>
      <c r="AT39" t="e">
        <f>AND('SPR BARRANQUILLA'!AN43,"AAAAAAxJly0=")</f>
        <v>#VALUE!</v>
      </c>
      <c r="AU39" t="e">
        <f>AND('SPR BARRANQUILLA'!AO43,"AAAAAAxJly4=")</f>
        <v>#VALUE!</v>
      </c>
      <c r="AV39" t="e">
        <f>AND('SPR BARRANQUILLA'!AP43,"AAAAAAxJly8=")</f>
        <v>#VALUE!</v>
      </c>
      <c r="AW39" t="e">
        <f>AND('SPR BARRANQUILLA'!AQ43,"AAAAAAxJlzA=")</f>
        <v>#VALUE!</v>
      </c>
      <c r="AX39" t="e">
        <f>AND('SPR BARRANQUILLA'!AR43,"AAAAAAxJlzE=")</f>
        <v>#VALUE!</v>
      </c>
      <c r="AY39" t="e">
        <f>AND('SPR BARRANQUILLA'!AS43,"AAAAAAxJlzI=")</f>
        <v>#VALUE!</v>
      </c>
      <c r="AZ39" t="e">
        <f>AND('SPR BARRANQUILLA'!AT43,"AAAAAAxJlzM=")</f>
        <v>#VALUE!</v>
      </c>
      <c r="BA39" t="e">
        <f>AND('SPR BARRANQUILLA'!AU43,"AAAAAAxJlzQ=")</f>
        <v>#VALUE!</v>
      </c>
      <c r="BB39" t="e">
        <f>AND('SPR BARRANQUILLA'!AV43,"AAAAAAxJlzU=")</f>
        <v>#VALUE!</v>
      </c>
      <c r="BC39" t="e">
        <f>AND('SPR BARRANQUILLA'!AW43,"AAAAAAxJlzY=")</f>
        <v>#VALUE!</v>
      </c>
      <c r="BD39" t="e">
        <f>AND('SPR BARRANQUILLA'!AX43,"AAAAAAxJlzc=")</f>
        <v>#VALUE!</v>
      </c>
      <c r="BE39" t="e">
        <f>AND('SPR BARRANQUILLA'!AY43,"AAAAAAxJlzg=")</f>
        <v>#VALUE!</v>
      </c>
      <c r="BF39" t="e">
        <f>AND('SPR BARRANQUILLA'!AZ43,"AAAAAAxJlzk=")</f>
        <v>#VALUE!</v>
      </c>
      <c r="BG39" t="e">
        <f>AND('SPR BARRANQUILLA'!BA43,"AAAAAAxJlzo=")</f>
        <v>#VALUE!</v>
      </c>
      <c r="BH39" t="e">
        <f>AND('SPR BARRANQUILLA'!BB43,"AAAAAAxJlzs=")</f>
        <v>#VALUE!</v>
      </c>
      <c r="BI39" t="e">
        <f>AND('SPR BARRANQUILLA'!BC43,"AAAAAAxJlzw=")</f>
        <v>#VALUE!</v>
      </c>
      <c r="BJ39" t="e">
        <f>AND('SPR BARRANQUILLA'!BD43,"AAAAAAxJlz0=")</f>
        <v>#VALUE!</v>
      </c>
      <c r="BK39" t="e">
        <f>AND('SPR BARRANQUILLA'!BE43,"AAAAAAxJlz4=")</f>
        <v>#VALUE!</v>
      </c>
      <c r="BL39" t="e">
        <f>AND('SPR BARRANQUILLA'!BF43,"AAAAAAxJlz8=")</f>
        <v>#VALUE!</v>
      </c>
      <c r="BM39" t="e">
        <f>AND('SPR BARRANQUILLA'!BG43,"AAAAAAxJl0A=")</f>
        <v>#VALUE!</v>
      </c>
      <c r="BN39" t="e">
        <f>AND('SPR BARRANQUILLA'!BH43,"AAAAAAxJl0E=")</f>
        <v>#VALUE!</v>
      </c>
      <c r="BO39" t="e">
        <f>AND('SPR BARRANQUILLA'!BI43,"AAAAAAxJl0I=")</f>
        <v>#VALUE!</v>
      </c>
      <c r="BP39" t="e">
        <f>AND('SPR BARRANQUILLA'!BJ43,"AAAAAAxJl0M=")</f>
        <v>#VALUE!</v>
      </c>
      <c r="BQ39" t="e">
        <f>AND('SPR BARRANQUILLA'!BK43,"AAAAAAxJl0Q=")</f>
        <v>#VALUE!</v>
      </c>
      <c r="BR39" t="e">
        <f>AND('SPR BARRANQUILLA'!BL43,"AAAAAAxJl0U=")</f>
        <v>#VALUE!</v>
      </c>
      <c r="BS39" t="e">
        <f>AND('SPR BARRANQUILLA'!BM43,"AAAAAAxJl0Y=")</f>
        <v>#VALUE!</v>
      </c>
      <c r="BT39" t="e">
        <f>AND('SPR BARRANQUILLA'!BN43,"AAAAAAxJl0c=")</f>
        <v>#VALUE!</v>
      </c>
      <c r="BU39" t="e">
        <f>AND('SPR BARRANQUILLA'!BO43,"AAAAAAxJl0g=")</f>
        <v>#VALUE!</v>
      </c>
      <c r="BV39" t="e">
        <f>AND('SPR BARRANQUILLA'!BP43,"AAAAAAxJl0k=")</f>
        <v>#VALUE!</v>
      </c>
      <c r="BW39" t="e">
        <f>AND('SPR BARRANQUILLA'!BQ43,"AAAAAAxJl0o=")</f>
        <v>#VALUE!</v>
      </c>
      <c r="BX39" t="e">
        <f>AND('SPR BARRANQUILLA'!BR43,"AAAAAAxJl0s=")</f>
        <v>#VALUE!</v>
      </c>
      <c r="BY39" t="e">
        <f>AND('SPR BARRANQUILLA'!BS43,"AAAAAAxJl0w=")</f>
        <v>#VALUE!</v>
      </c>
      <c r="BZ39" t="e">
        <f>AND('SPR BARRANQUILLA'!BT43,"AAAAAAxJl00=")</f>
        <v>#VALUE!</v>
      </c>
      <c r="CA39" t="e">
        <f>AND('SPR BARRANQUILLA'!BU43,"AAAAAAxJl04=")</f>
        <v>#VALUE!</v>
      </c>
      <c r="CB39" t="e">
        <f>AND('SPR BARRANQUILLA'!BV43,"AAAAAAxJl08=")</f>
        <v>#VALUE!</v>
      </c>
      <c r="CC39" t="e">
        <f>AND('SPR BARRANQUILLA'!BW43,"AAAAAAxJl1A=")</f>
        <v>#VALUE!</v>
      </c>
      <c r="CD39" t="e">
        <f>AND('SPR BARRANQUILLA'!BX43,"AAAAAAxJl1E=")</f>
        <v>#VALUE!</v>
      </c>
      <c r="CE39" t="e">
        <f>AND('SPR BARRANQUILLA'!BY43,"AAAAAAxJl1I=")</f>
        <v>#VALUE!</v>
      </c>
      <c r="CF39" t="e">
        <f>AND('SPR BARRANQUILLA'!BZ43,"AAAAAAxJl1M=")</f>
        <v>#VALUE!</v>
      </c>
      <c r="CG39" t="e">
        <f>AND('SPR BARRANQUILLA'!CA43,"AAAAAAxJl1Q=")</f>
        <v>#VALUE!</v>
      </c>
      <c r="CH39" t="e">
        <f>AND('SPR BARRANQUILLA'!CB43,"AAAAAAxJl1U=")</f>
        <v>#VALUE!</v>
      </c>
      <c r="CI39" t="e">
        <f>AND('SPR BARRANQUILLA'!CC43,"AAAAAAxJl1Y=")</f>
        <v>#VALUE!</v>
      </c>
      <c r="CJ39" t="e">
        <f>AND('SPR BARRANQUILLA'!CD43,"AAAAAAxJl1c=")</f>
        <v>#VALUE!</v>
      </c>
      <c r="CK39" t="e">
        <f>AND('SPR BARRANQUILLA'!CE43,"AAAAAAxJl1g=")</f>
        <v>#VALUE!</v>
      </c>
      <c r="CL39" t="e">
        <f>AND('SPR BARRANQUILLA'!CF43,"AAAAAAxJl1k=")</f>
        <v>#VALUE!</v>
      </c>
      <c r="CM39" t="e">
        <f>AND('SPR BARRANQUILLA'!CG43,"AAAAAAxJl1o=")</f>
        <v>#VALUE!</v>
      </c>
      <c r="CN39" t="e">
        <f>AND('SPR BARRANQUILLA'!CH43,"AAAAAAxJl1s=")</f>
        <v>#VALUE!</v>
      </c>
      <c r="CO39" t="e">
        <f>AND('SPR BARRANQUILLA'!CI43,"AAAAAAxJl1w=")</f>
        <v>#VALUE!</v>
      </c>
      <c r="CP39" t="e">
        <f>AND('SPR BARRANQUILLA'!CJ43,"AAAAAAxJl10=")</f>
        <v>#VALUE!</v>
      </c>
      <c r="CQ39" t="e">
        <f>AND('SPR BARRANQUILLA'!CK43,"AAAAAAxJl14=")</f>
        <v>#VALUE!</v>
      </c>
      <c r="CR39" t="e">
        <f>AND('SPR BARRANQUILLA'!CL43,"AAAAAAxJl18=")</f>
        <v>#VALUE!</v>
      </c>
      <c r="CS39" t="e">
        <f>AND('SPR BARRANQUILLA'!CM43,"AAAAAAxJl2A=")</f>
        <v>#VALUE!</v>
      </c>
      <c r="CT39" t="e">
        <f>AND('SPR BARRANQUILLA'!CN43,"AAAAAAxJl2E=")</f>
        <v>#VALUE!</v>
      </c>
      <c r="CU39" t="e">
        <f>AND('SPR BARRANQUILLA'!CO43,"AAAAAAxJl2I=")</f>
        <v>#VALUE!</v>
      </c>
      <c r="CV39" t="e">
        <f>AND('SPR BARRANQUILLA'!CP43,"AAAAAAxJl2M=")</f>
        <v>#VALUE!</v>
      </c>
      <c r="CW39" t="e">
        <f>AND('SPR BARRANQUILLA'!CQ43,"AAAAAAxJl2Q=")</f>
        <v>#VALUE!</v>
      </c>
      <c r="CX39" t="e">
        <f>AND('SPR BARRANQUILLA'!CR43,"AAAAAAxJl2U=")</f>
        <v>#VALUE!</v>
      </c>
      <c r="CY39" t="e">
        <f>AND('SPR BARRANQUILLA'!CS43,"AAAAAAxJl2Y=")</f>
        <v>#VALUE!</v>
      </c>
      <c r="CZ39" t="e">
        <f>AND('SPR BARRANQUILLA'!CT43,"AAAAAAxJl2c=")</f>
        <v>#VALUE!</v>
      </c>
      <c r="DA39" t="e">
        <f>AND('SPR BARRANQUILLA'!CU43,"AAAAAAxJl2g=")</f>
        <v>#VALUE!</v>
      </c>
      <c r="DB39" t="e">
        <f>AND('SPR BARRANQUILLA'!CV43,"AAAAAAxJl2k=")</f>
        <v>#VALUE!</v>
      </c>
      <c r="DC39" t="e">
        <f>AND('SPR BARRANQUILLA'!CW43,"AAAAAAxJl2o=")</f>
        <v>#VALUE!</v>
      </c>
      <c r="DD39" t="e">
        <f>AND('SPR BARRANQUILLA'!CX43,"AAAAAAxJl2s=")</f>
        <v>#VALUE!</v>
      </c>
      <c r="DE39" t="e">
        <f>AND('SPR BARRANQUILLA'!CY43,"AAAAAAxJl2w=")</f>
        <v>#VALUE!</v>
      </c>
      <c r="DF39" t="e">
        <f>AND('SPR BARRANQUILLA'!CZ43,"AAAAAAxJl20=")</f>
        <v>#VALUE!</v>
      </c>
      <c r="DG39" t="e">
        <f>AND('SPR BARRANQUILLA'!DA43,"AAAAAAxJl24=")</f>
        <v>#VALUE!</v>
      </c>
      <c r="DH39" t="e">
        <f>AND('SPR BARRANQUILLA'!DB43,"AAAAAAxJl28=")</f>
        <v>#VALUE!</v>
      </c>
      <c r="DI39" t="e">
        <f>AND('SPR BARRANQUILLA'!DC43,"AAAAAAxJl3A=")</f>
        <v>#VALUE!</v>
      </c>
      <c r="DJ39" t="e">
        <f>AND('SPR BARRANQUILLA'!DD43,"AAAAAAxJl3E=")</f>
        <v>#VALUE!</v>
      </c>
      <c r="DK39" t="e">
        <f>AND('SPR BARRANQUILLA'!DE43,"AAAAAAxJl3I=")</f>
        <v>#VALUE!</v>
      </c>
      <c r="DL39" t="e">
        <f>AND('SPR BARRANQUILLA'!DF43,"AAAAAAxJl3M=")</f>
        <v>#VALUE!</v>
      </c>
      <c r="DM39" t="e">
        <f>AND('SPR BARRANQUILLA'!DG43,"AAAAAAxJl3Q=")</f>
        <v>#VALUE!</v>
      </c>
      <c r="DN39" t="e">
        <f>AND('SPR BARRANQUILLA'!DH43,"AAAAAAxJl3U=")</f>
        <v>#VALUE!</v>
      </c>
      <c r="DO39" t="e">
        <f>AND('SPR BARRANQUILLA'!DI43,"AAAAAAxJl3Y=")</f>
        <v>#VALUE!</v>
      </c>
      <c r="DP39" t="e">
        <f>AND('SPR BARRANQUILLA'!DJ43,"AAAAAAxJl3c=")</f>
        <v>#VALUE!</v>
      </c>
      <c r="DQ39" t="e">
        <f>AND('SPR BARRANQUILLA'!DK43,"AAAAAAxJl3g=")</f>
        <v>#VALUE!</v>
      </c>
      <c r="DR39" t="e">
        <f>AND('SPR BARRANQUILLA'!DL43,"AAAAAAxJl3k=")</f>
        <v>#VALUE!</v>
      </c>
      <c r="DS39" t="e">
        <f>AND('SPR BARRANQUILLA'!DM43,"AAAAAAxJl3o=")</f>
        <v>#VALUE!</v>
      </c>
      <c r="DT39" t="e">
        <f>AND('SPR BARRANQUILLA'!DN43,"AAAAAAxJl3s=")</f>
        <v>#VALUE!</v>
      </c>
      <c r="DU39" t="e">
        <f>AND('SPR BARRANQUILLA'!DO43,"AAAAAAxJl3w=")</f>
        <v>#VALUE!</v>
      </c>
      <c r="DV39" t="e">
        <f>AND('SPR BARRANQUILLA'!DP43,"AAAAAAxJl30=")</f>
        <v>#VALUE!</v>
      </c>
      <c r="DW39" t="e">
        <f>AND('SPR BARRANQUILLA'!DQ43,"AAAAAAxJl34=")</f>
        <v>#VALUE!</v>
      </c>
      <c r="DX39" t="e">
        <f>AND('SPR BARRANQUILLA'!DR43,"AAAAAAxJl38=")</f>
        <v>#VALUE!</v>
      </c>
      <c r="DY39" t="e">
        <f>AND('SPR BARRANQUILLA'!DS43,"AAAAAAxJl4A=")</f>
        <v>#VALUE!</v>
      </c>
      <c r="DZ39" t="e">
        <f>AND('SPR BARRANQUILLA'!DT43,"AAAAAAxJl4E=")</f>
        <v>#VALUE!</v>
      </c>
      <c r="EA39" t="e">
        <f>AND('SPR BARRANQUILLA'!DU43,"AAAAAAxJl4I=")</f>
        <v>#VALUE!</v>
      </c>
      <c r="EB39" t="e">
        <f>AND('SPR BARRANQUILLA'!DV43,"AAAAAAxJl4M=")</f>
        <v>#VALUE!</v>
      </c>
      <c r="EC39" t="e">
        <f>AND('SPR BARRANQUILLA'!DW43,"AAAAAAxJl4Q=")</f>
        <v>#VALUE!</v>
      </c>
      <c r="ED39" t="e">
        <f>AND('SPR BARRANQUILLA'!DX43,"AAAAAAxJl4U=")</f>
        <v>#VALUE!</v>
      </c>
      <c r="EE39" t="e">
        <f>AND('SPR BARRANQUILLA'!DY43,"AAAAAAxJl4Y=")</f>
        <v>#VALUE!</v>
      </c>
      <c r="EF39" t="e">
        <f>AND('SPR BARRANQUILLA'!DZ43,"AAAAAAxJl4c=")</f>
        <v>#VALUE!</v>
      </c>
      <c r="EG39" t="e">
        <f>AND('SPR BARRANQUILLA'!EA43,"AAAAAAxJl4g=")</f>
        <v>#VALUE!</v>
      </c>
      <c r="EH39" t="e">
        <f>AND('SPR BARRANQUILLA'!EB43,"AAAAAAxJl4k=")</f>
        <v>#VALUE!</v>
      </c>
      <c r="EI39" t="e">
        <f>AND('SPR BARRANQUILLA'!EC43,"AAAAAAxJl4o=")</f>
        <v>#VALUE!</v>
      </c>
      <c r="EJ39" t="e">
        <f>AND('SPR BARRANQUILLA'!ED43,"AAAAAAxJl4s=")</f>
        <v>#VALUE!</v>
      </c>
      <c r="EK39" t="e">
        <f>AND('SPR BARRANQUILLA'!EE43,"AAAAAAxJl4w=")</f>
        <v>#VALUE!</v>
      </c>
      <c r="EL39" t="e">
        <f>AND('SPR BARRANQUILLA'!EF43,"AAAAAAxJl40=")</f>
        <v>#VALUE!</v>
      </c>
      <c r="EM39" t="e">
        <f>AND('SPR BARRANQUILLA'!EG43,"AAAAAAxJl44=")</f>
        <v>#VALUE!</v>
      </c>
      <c r="EN39" t="e">
        <f>AND('SPR BARRANQUILLA'!EH43,"AAAAAAxJl48=")</f>
        <v>#VALUE!</v>
      </c>
      <c r="EO39" t="e">
        <f>AND('SPR BARRANQUILLA'!EI43,"AAAAAAxJl5A=")</f>
        <v>#VALUE!</v>
      </c>
      <c r="EP39" t="e">
        <f>AND('SPR BARRANQUILLA'!EJ43,"AAAAAAxJl5E=")</f>
        <v>#VALUE!</v>
      </c>
      <c r="EQ39" t="e">
        <f>AND('SPR BARRANQUILLA'!EK43,"AAAAAAxJl5I=")</f>
        <v>#VALUE!</v>
      </c>
      <c r="ER39" t="e">
        <f>AND('SPR BARRANQUILLA'!EL43,"AAAAAAxJl5M=")</f>
        <v>#VALUE!</v>
      </c>
      <c r="ES39" t="e">
        <f>AND('SPR BARRANQUILLA'!EM43,"AAAAAAxJl5Q=")</f>
        <v>#VALUE!</v>
      </c>
      <c r="ET39" t="e">
        <f>AND('SPR BARRANQUILLA'!EN43,"AAAAAAxJl5U=")</f>
        <v>#VALUE!</v>
      </c>
      <c r="EU39" t="e">
        <f>AND('SPR BARRANQUILLA'!EO43,"AAAAAAxJl5Y=")</f>
        <v>#VALUE!</v>
      </c>
      <c r="EV39" t="e">
        <f>AND('SPR BARRANQUILLA'!EP43,"AAAAAAxJl5c=")</f>
        <v>#VALUE!</v>
      </c>
      <c r="EW39" t="e">
        <f>AND('SPR BARRANQUILLA'!EQ43,"AAAAAAxJl5g=")</f>
        <v>#VALUE!</v>
      </c>
      <c r="EX39" t="e">
        <f>AND('SPR BARRANQUILLA'!ER43,"AAAAAAxJl5k=")</f>
        <v>#VALUE!</v>
      </c>
      <c r="EY39" t="e">
        <f>AND('SPR BARRANQUILLA'!ES43,"AAAAAAxJl5o=")</f>
        <v>#VALUE!</v>
      </c>
      <c r="EZ39" t="e">
        <f>AND('SPR BARRANQUILLA'!ET43,"AAAAAAxJl5s=")</f>
        <v>#VALUE!</v>
      </c>
      <c r="FA39" t="e">
        <f>AND('SPR BARRANQUILLA'!EU43,"AAAAAAxJl5w=")</f>
        <v>#VALUE!</v>
      </c>
      <c r="FB39" t="e">
        <f>AND('SPR BARRANQUILLA'!EV43,"AAAAAAxJl50=")</f>
        <v>#VALUE!</v>
      </c>
      <c r="FC39" t="e">
        <f>AND('SPR BARRANQUILLA'!EW43,"AAAAAAxJl54=")</f>
        <v>#VALUE!</v>
      </c>
      <c r="FD39" t="e">
        <f>AND('SPR BARRANQUILLA'!EX43,"AAAAAAxJl58=")</f>
        <v>#VALUE!</v>
      </c>
      <c r="FE39" t="e">
        <f>AND('SPR BARRANQUILLA'!EY43,"AAAAAAxJl6A=")</f>
        <v>#VALUE!</v>
      </c>
      <c r="FF39" t="e">
        <f>AND('SPR BARRANQUILLA'!EZ43,"AAAAAAxJl6E=")</f>
        <v>#VALUE!</v>
      </c>
      <c r="FG39" t="e">
        <f>AND('SPR BARRANQUILLA'!FA43,"AAAAAAxJl6I=")</f>
        <v>#VALUE!</v>
      </c>
      <c r="FH39" t="e">
        <f>AND('SPR BARRANQUILLA'!FB43,"AAAAAAxJl6M=")</f>
        <v>#VALUE!</v>
      </c>
      <c r="FI39" t="e">
        <f>AND('SPR BARRANQUILLA'!FC43,"AAAAAAxJl6Q=")</f>
        <v>#VALUE!</v>
      </c>
      <c r="FJ39" t="e">
        <f>AND('SPR BARRANQUILLA'!FD43,"AAAAAAxJl6U=")</f>
        <v>#VALUE!</v>
      </c>
      <c r="FK39" t="e">
        <f>AND('SPR BARRANQUILLA'!FE43,"AAAAAAxJl6Y=")</f>
        <v>#VALUE!</v>
      </c>
      <c r="FL39" t="e">
        <f>AND('SPR BARRANQUILLA'!FF43,"AAAAAAxJl6c=")</f>
        <v>#VALUE!</v>
      </c>
      <c r="FM39" t="e">
        <f>AND('SPR BARRANQUILLA'!FG43,"AAAAAAxJl6g=")</f>
        <v>#VALUE!</v>
      </c>
      <c r="FN39" t="e">
        <f>AND('SPR BARRANQUILLA'!FH43,"AAAAAAxJl6k=")</f>
        <v>#VALUE!</v>
      </c>
      <c r="FO39" t="e">
        <f>AND('SPR BARRANQUILLA'!FI43,"AAAAAAxJl6o=")</f>
        <v>#VALUE!</v>
      </c>
      <c r="FP39" t="e">
        <f>AND('SPR BARRANQUILLA'!FJ43,"AAAAAAxJl6s=")</f>
        <v>#VALUE!</v>
      </c>
      <c r="FQ39" t="e">
        <f>AND('SPR BARRANQUILLA'!FK43,"AAAAAAxJl6w=")</f>
        <v>#VALUE!</v>
      </c>
      <c r="FR39" t="e">
        <f>AND('SPR BARRANQUILLA'!FL43,"AAAAAAxJl60=")</f>
        <v>#VALUE!</v>
      </c>
      <c r="FS39" t="e">
        <f>AND('SPR BARRANQUILLA'!FM43,"AAAAAAxJl64=")</f>
        <v>#VALUE!</v>
      </c>
      <c r="FT39" t="e">
        <f>AND('SPR BARRANQUILLA'!FN43,"AAAAAAxJl68=")</f>
        <v>#VALUE!</v>
      </c>
      <c r="FU39" t="e">
        <f>AND('SPR BARRANQUILLA'!FO43,"AAAAAAxJl7A=")</f>
        <v>#VALUE!</v>
      </c>
      <c r="FV39" t="e">
        <f>AND('SPR BARRANQUILLA'!FP43,"AAAAAAxJl7E=")</f>
        <v>#VALUE!</v>
      </c>
      <c r="FW39" t="e">
        <f>AND('SPR BARRANQUILLA'!FQ43,"AAAAAAxJl7I=")</f>
        <v>#VALUE!</v>
      </c>
      <c r="FX39" t="e">
        <f>AND('SPR BARRANQUILLA'!FR43,"AAAAAAxJl7M=")</f>
        <v>#VALUE!</v>
      </c>
      <c r="FY39" t="e">
        <f>AND('SPR BARRANQUILLA'!FS43,"AAAAAAxJl7Q=")</f>
        <v>#VALUE!</v>
      </c>
      <c r="FZ39" t="e">
        <f>AND('SPR BARRANQUILLA'!FT43,"AAAAAAxJl7U=")</f>
        <v>#VALUE!</v>
      </c>
      <c r="GA39" t="e">
        <f>AND('SPR BARRANQUILLA'!FU43,"AAAAAAxJl7Y=")</f>
        <v>#VALUE!</v>
      </c>
      <c r="GB39" t="e">
        <f>AND('SPR BARRANQUILLA'!FV43,"AAAAAAxJl7c=")</f>
        <v>#VALUE!</v>
      </c>
      <c r="GC39" t="e">
        <f>AND('SPR BARRANQUILLA'!FW43,"AAAAAAxJl7g=")</f>
        <v>#VALUE!</v>
      </c>
      <c r="GD39" t="e">
        <f>AND('SPR BARRANQUILLA'!FX43,"AAAAAAxJl7k=")</f>
        <v>#VALUE!</v>
      </c>
      <c r="GE39" t="e">
        <f>AND('SPR BARRANQUILLA'!FY43,"AAAAAAxJl7o=")</f>
        <v>#VALUE!</v>
      </c>
      <c r="GF39" t="e">
        <f>AND('SPR BARRANQUILLA'!FZ43,"AAAAAAxJl7s=")</f>
        <v>#VALUE!</v>
      </c>
      <c r="GG39" t="e">
        <f>AND('SPR BARRANQUILLA'!GA43,"AAAAAAxJl7w=")</f>
        <v>#VALUE!</v>
      </c>
      <c r="GH39" t="e">
        <f>AND('SPR BARRANQUILLA'!GB43,"AAAAAAxJl70=")</f>
        <v>#VALUE!</v>
      </c>
      <c r="GI39" t="e">
        <f>AND('SPR BARRANQUILLA'!GC43,"AAAAAAxJl74=")</f>
        <v>#VALUE!</v>
      </c>
      <c r="GJ39" t="e">
        <f>AND('SPR BARRANQUILLA'!GD43,"AAAAAAxJl78=")</f>
        <v>#VALUE!</v>
      </c>
      <c r="GK39" t="e">
        <f>AND('SPR BARRANQUILLA'!GE43,"AAAAAAxJl8A=")</f>
        <v>#VALUE!</v>
      </c>
      <c r="GL39" t="e">
        <f>AND('SPR BARRANQUILLA'!GF43,"AAAAAAxJl8E=")</f>
        <v>#VALUE!</v>
      </c>
      <c r="GM39" t="e">
        <f>AND('SPR BARRANQUILLA'!GG43,"AAAAAAxJl8I=")</f>
        <v>#VALUE!</v>
      </c>
      <c r="GN39" t="e">
        <f>AND('SPR BARRANQUILLA'!GH43,"AAAAAAxJl8M=")</f>
        <v>#VALUE!</v>
      </c>
      <c r="GO39" t="e">
        <f>AND('SPR BARRANQUILLA'!GI43,"AAAAAAxJl8Q=")</f>
        <v>#VALUE!</v>
      </c>
      <c r="GP39" t="e">
        <f>AND('SPR BARRANQUILLA'!GJ43,"AAAAAAxJl8U=")</f>
        <v>#VALUE!</v>
      </c>
      <c r="GQ39" t="e">
        <f>AND('SPR BARRANQUILLA'!GK43,"AAAAAAxJl8Y=")</f>
        <v>#VALUE!</v>
      </c>
      <c r="GR39" t="e">
        <f>AND('SPR BARRANQUILLA'!GL43,"AAAAAAxJl8c=")</f>
        <v>#VALUE!</v>
      </c>
      <c r="GS39" t="e">
        <f>AND('SPR BARRANQUILLA'!GM43,"AAAAAAxJl8g=")</f>
        <v>#VALUE!</v>
      </c>
      <c r="GT39" t="e">
        <f>AND('SPR BARRANQUILLA'!GN43,"AAAAAAxJl8k=")</f>
        <v>#VALUE!</v>
      </c>
      <c r="GU39" t="e">
        <f>AND('SPR BARRANQUILLA'!GO43,"AAAAAAxJl8o=")</f>
        <v>#VALUE!</v>
      </c>
      <c r="GV39" t="e">
        <f>AND('SPR BARRANQUILLA'!GP43,"AAAAAAxJl8s=")</f>
        <v>#VALUE!</v>
      </c>
      <c r="GW39" t="e">
        <f>AND('SPR BARRANQUILLA'!GQ43,"AAAAAAxJl8w=")</f>
        <v>#VALUE!</v>
      </c>
      <c r="GX39" t="e">
        <f>AND('SPR BARRANQUILLA'!GR43,"AAAAAAxJl80=")</f>
        <v>#VALUE!</v>
      </c>
      <c r="GY39" t="e">
        <f>AND('SPR BARRANQUILLA'!GS43,"AAAAAAxJl84=")</f>
        <v>#VALUE!</v>
      </c>
      <c r="GZ39" t="e">
        <f>AND('SPR BARRANQUILLA'!GT43,"AAAAAAxJl88=")</f>
        <v>#VALUE!</v>
      </c>
      <c r="HA39" t="e">
        <f>AND('SPR BARRANQUILLA'!GU43,"AAAAAAxJl9A=")</f>
        <v>#VALUE!</v>
      </c>
      <c r="HB39" t="e">
        <f>AND('SPR BARRANQUILLA'!GV43,"AAAAAAxJl9E=")</f>
        <v>#VALUE!</v>
      </c>
      <c r="HC39" t="e">
        <f>AND('SPR BARRANQUILLA'!GW43,"AAAAAAxJl9I=")</f>
        <v>#VALUE!</v>
      </c>
      <c r="HD39" t="e">
        <f>AND('SPR BARRANQUILLA'!GX43,"AAAAAAxJl9M=")</f>
        <v>#VALUE!</v>
      </c>
      <c r="HE39" t="e">
        <f>AND('SPR BARRANQUILLA'!GY43,"AAAAAAxJl9Q=")</f>
        <v>#VALUE!</v>
      </c>
      <c r="HF39">
        <f>IF('SPR BARRANQUILLA'!44:44,"AAAAAAxJl9U=",0)</f>
        <v>0</v>
      </c>
      <c r="HG39" t="e">
        <f>AND('SPR BARRANQUILLA'!A44,"AAAAAAxJl9Y=")</f>
        <v>#VALUE!</v>
      </c>
      <c r="HH39" t="e">
        <f>AND('SPR BARRANQUILLA'!B44,"AAAAAAxJl9c=")</f>
        <v>#VALUE!</v>
      </c>
      <c r="HI39" t="e">
        <f>AND('SPR BARRANQUILLA'!C44,"AAAAAAxJl9g=")</f>
        <v>#VALUE!</v>
      </c>
      <c r="HJ39" t="e">
        <f>AND('SPR BARRANQUILLA'!D44,"AAAAAAxJl9k=")</f>
        <v>#VALUE!</v>
      </c>
      <c r="HK39" t="e">
        <f>AND('SPR BARRANQUILLA'!E44,"AAAAAAxJl9o=")</f>
        <v>#VALUE!</v>
      </c>
      <c r="HL39" t="e">
        <f>AND('SPR BARRANQUILLA'!F44,"AAAAAAxJl9s=")</f>
        <v>#VALUE!</v>
      </c>
      <c r="HM39" t="e">
        <f>AND('SPR BARRANQUILLA'!G44,"AAAAAAxJl9w=")</f>
        <v>#VALUE!</v>
      </c>
      <c r="HN39" t="e">
        <f>AND('SPR BARRANQUILLA'!H44,"AAAAAAxJl90=")</f>
        <v>#VALUE!</v>
      </c>
      <c r="HO39" t="e">
        <f>AND('SPR BARRANQUILLA'!I44,"AAAAAAxJl94=")</f>
        <v>#VALUE!</v>
      </c>
      <c r="HP39" t="e">
        <f>AND('SPR BARRANQUILLA'!J44,"AAAAAAxJl98=")</f>
        <v>#VALUE!</v>
      </c>
      <c r="HQ39" t="e">
        <f>AND('SPR BARRANQUILLA'!K44,"AAAAAAxJl+A=")</f>
        <v>#VALUE!</v>
      </c>
      <c r="HR39" t="e">
        <f>AND('SPR BARRANQUILLA'!L44,"AAAAAAxJl+E=")</f>
        <v>#VALUE!</v>
      </c>
      <c r="HS39" t="e">
        <f>AND('SPR BARRANQUILLA'!M44,"AAAAAAxJl+I=")</f>
        <v>#VALUE!</v>
      </c>
      <c r="HT39" t="e">
        <f>AND('SPR BARRANQUILLA'!N44,"AAAAAAxJl+M=")</f>
        <v>#VALUE!</v>
      </c>
      <c r="HU39" t="e">
        <f>AND('SPR BARRANQUILLA'!O44,"AAAAAAxJl+Q=")</f>
        <v>#VALUE!</v>
      </c>
      <c r="HV39" t="e">
        <f>AND('SPR BARRANQUILLA'!P44,"AAAAAAxJl+U=")</f>
        <v>#VALUE!</v>
      </c>
      <c r="HW39" t="e">
        <f>AND('SPR BARRANQUILLA'!Q44,"AAAAAAxJl+Y=")</f>
        <v>#VALUE!</v>
      </c>
      <c r="HX39" t="e">
        <f>AND('SPR BARRANQUILLA'!R44,"AAAAAAxJl+c=")</f>
        <v>#VALUE!</v>
      </c>
      <c r="HY39" t="e">
        <f>AND('SPR BARRANQUILLA'!S44,"AAAAAAxJl+g=")</f>
        <v>#VALUE!</v>
      </c>
      <c r="HZ39" t="e">
        <f>AND('SPR BARRANQUILLA'!T44,"AAAAAAxJl+k=")</f>
        <v>#VALUE!</v>
      </c>
      <c r="IA39" t="e">
        <f>AND('SPR BARRANQUILLA'!U44,"AAAAAAxJl+o=")</f>
        <v>#VALUE!</v>
      </c>
      <c r="IB39" t="e">
        <f>AND('SPR BARRANQUILLA'!V44,"AAAAAAxJl+s=")</f>
        <v>#VALUE!</v>
      </c>
      <c r="IC39" t="e">
        <f>AND('SPR BARRANQUILLA'!W44,"AAAAAAxJl+w=")</f>
        <v>#VALUE!</v>
      </c>
      <c r="ID39" t="e">
        <f>AND('SPR BARRANQUILLA'!X44,"AAAAAAxJl+0=")</f>
        <v>#VALUE!</v>
      </c>
      <c r="IE39" t="e">
        <f>AND('SPR BARRANQUILLA'!Y44,"AAAAAAxJl+4=")</f>
        <v>#VALUE!</v>
      </c>
      <c r="IF39" t="e">
        <f>AND('SPR BARRANQUILLA'!Z44,"AAAAAAxJl+8=")</f>
        <v>#VALUE!</v>
      </c>
      <c r="IG39" t="e">
        <f>AND('SPR BARRANQUILLA'!AA44,"AAAAAAxJl/A=")</f>
        <v>#VALUE!</v>
      </c>
      <c r="IH39" t="e">
        <f>AND('SPR BARRANQUILLA'!AB44,"AAAAAAxJl/E=")</f>
        <v>#VALUE!</v>
      </c>
      <c r="II39" t="e">
        <f>AND('SPR BARRANQUILLA'!AC44,"AAAAAAxJl/I=")</f>
        <v>#VALUE!</v>
      </c>
      <c r="IJ39" t="e">
        <f>AND('SPR BARRANQUILLA'!AD44,"AAAAAAxJl/M=")</f>
        <v>#VALUE!</v>
      </c>
      <c r="IK39" t="e">
        <f>AND('SPR BARRANQUILLA'!AE44,"AAAAAAxJl/Q=")</f>
        <v>#VALUE!</v>
      </c>
      <c r="IL39" t="e">
        <f>AND('SPR BARRANQUILLA'!AF44,"AAAAAAxJl/U=")</f>
        <v>#VALUE!</v>
      </c>
      <c r="IM39" t="e">
        <f>AND('SPR BARRANQUILLA'!AG44,"AAAAAAxJl/Y=")</f>
        <v>#VALUE!</v>
      </c>
      <c r="IN39" t="e">
        <f>AND('SPR BARRANQUILLA'!AH44,"AAAAAAxJl/c=")</f>
        <v>#VALUE!</v>
      </c>
      <c r="IO39" t="e">
        <f>AND('SPR BARRANQUILLA'!AI44,"AAAAAAxJl/g=")</f>
        <v>#VALUE!</v>
      </c>
      <c r="IP39" t="e">
        <f>AND('SPR BARRANQUILLA'!AJ44,"AAAAAAxJl/k=")</f>
        <v>#VALUE!</v>
      </c>
      <c r="IQ39" t="e">
        <f>AND('SPR BARRANQUILLA'!AK44,"AAAAAAxJl/o=")</f>
        <v>#VALUE!</v>
      </c>
      <c r="IR39" t="e">
        <f>AND('SPR BARRANQUILLA'!AL44,"AAAAAAxJl/s=")</f>
        <v>#VALUE!</v>
      </c>
      <c r="IS39" t="e">
        <f>AND('SPR BARRANQUILLA'!AM44,"AAAAAAxJl/w=")</f>
        <v>#VALUE!</v>
      </c>
      <c r="IT39" t="e">
        <f>AND('SPR BARRANQUILLA'!AN44,"AAAAAAxJl/0=")</f>
        <v>#VALUE!</v>
      </c>
      <c r="IU39" t="e">
        <f>AND('SPR BARRANQUILLA'!AO44,"AAAAAAxJl/4=")</f>
        <v>#VALUE!</v>
      </c>
      <c r="IV39" t="e">
        <f>AND('SPR BARRANQUILLA'!AP44,"AAAAAAxJl/8=")</f>
        <v>#VALUE!</v>
      </c>
    </row>
    <row r="40" spans="1:256">
      <c r="A40" t="e">
        <f>AND('SPR BARRANQUILLA'!AQ44,"AAAAAH38TwA=")</f>
        <v>#VALUE!</v>
      </c>
      <c r="B40" t="e">
        <f>AND('SPR BARRANQUILLA'!AR44,"AAAAAH38TwE=")</f>
        <v>#VALUE!</v>
      </c>
      <c r="C40" t="e">
        <f>AND('SPR BARRANQUILLA'!AS44,"AAAAAH38TwI=")</f>
        <v>#VALUE!</v>
      </c>
      <c r="D40" t="e">
        <f>AND('SPR BARRANQUILLA'!AT44,"AAAAAH38TwM=")</f>
        <v>#VALUE!</v>
      </c>
      <c r="E40" t="e">
        <f>AND('SPR BARRANQUILLA'!AU44,"AAAAAH38TwQ=")</f>
        <v>#VALUE!</v>
      </c>
      <c r="F40" t="e">
        <f>AND('SPR BARRANQUILLA'!AV44,"AAAAAH38TwU=")</f>
        <v>#VALUE!</v>
      </c>
      <c r="G40" t="e">
        <f>AND('SPR BARRANQUILLA'!AW44,"AAAAAH38TwY=")</f>
        <v>#VALUE!</v>
      </c>
      <c r="H40" t="e">
        <f>AND('SPR BARRANQUILLA'!AX44,"AAAAAH38Twc=")</f>
        <v>#VALUE!</v>
      </c>
      <c r="I40" t="e">
        <f>AND('SPR BARRANQUILLA'!AY44,"AAAAAH38Twg=")</f>
        <v>#VALUE!</v>
      </c>
      <c r="J40" t="e">
        <f>AND('SPR BARRANQUILLA'!AZ44,"AAAAAH38Twk=")</f>
        <v>#VALUE!</v>
      </c>
      <c r="K40" t="e">
        <f>AND('SPR BARRANQUILLA'!BA44,"AAAAAH38Two=")</f>
        <v>#VALUE!</v>
      </c>
      <c r="L40" t="e">
        <f>AND('SPR BARRANQUILLA'!BB44,"AAAAAH38Tws=")</f>
        <v>#VALUE!</v>
      </c>
      <c r="M40" t="e">
        <f>AND('SPR BARRANQUILLA'!BC44,"AAAAAH38Tww=")</f>
        <v>#VALUE!</v>
      </c>
      <c r="N40" t="e">
        <f>AND('SPR BARRANQUILLA'!BD44,"AAAAAH38Tw0=")</f>
        <v>#VALUE!</v>
      </c>
      <c r="O40" t="e">
        <f>AND('SPR BARRANQUILLA'!BE44,"AAAAAH38Tw4=")</f>
        <v>#VALUE!</v>
      </c>
      <c r="P40" t="e">
        <f>AND('SPR BARRANQUILLA'!BF44,"AAAAAH38Tw8=")</f>
        <v>#VALUE!</v>
      </c>
      <c r="Q40" t="e">
        <f>AND('SPR BARRANQUILLA'!BG44,"AAAAAH38TxA=")</f>
        <v>#VALUE!</v>
      </c>
      <c r="R40" t="e">
        <f>AND('SPR BARRANQUILLA'!BH44,"AAAAAH38TxE=")</f>
        <v>#VALUE!</v>
      </c>
      <c r="S40" t="e">
        <f>AND('SPR BARRANQUILLA'!BI44,"AAAAAH38TxI=")</f>
        <v>#VALUE!</v>
      </c>
      <c r="T40" t="e">
        <f>AND('SPR BARRANQUILLA'!BJ44,"AAAAAH38TxM=")</f>
        <v>#VALUE!</v>
      </c>
      <c r="U40" t="e">
        <f>AND('SPR BARRANQUILLA'!BK44,"AAAAAH38TxQ=")</f>
        <v>#VALUE!</v>
      </c>
      <c r="V40" t="e">
        <f>AND('SPR BARRANQUILLA'!BL44,"AAAAAH38TxU=")</f>
        <v>#VALUE!</v>
      </c>
      <c r="W40" t="e">
        <f>AND('SPR BARRANQUILLA'!BM44,"AAAAAH38TxY=")</f>
        <v>#VALUE!</v>
      </c>
      <c r="X40" t="e">
        <f>AND('SPR BARRANQUILLA'!BN44,"AAAAAH38Txc=")</f>
        <v>#VALUE!</v>
      </c>
      <c r="Y40" t="e">
        <f>AND('SPR BARRANQUILLA'!BO44,"AAAAAH38Txg=")</f>
        <v>#VALUE!</v>
      </c>
      <c r="Z40" t="e">
        <f>AND('SPR BARRANQUILLA'!BP44,"AAAAAH38Txk=")</f>
        <v>#VALUE!</v>
      </c>
      <c r="AA40" t="e">
        <f>AND('SPR BARRANQUILLA'!BQ44,"AAAAAH38Txo=")</f>
        <v>#VALUE!</v>
      </c>
      <c r="AB40" t="e">
        <f>AND('SPR BARRANQUILLA'!BR44,"AAAAAH38Txs=")</f>
        <v>#VALUE!</v>
      </c>
      <c r="AC40" t="e">
        <f>AND('SPR BARRANQUILLA'!BS44,"AAAAAH38Txw=")</f>
        <v>#VALUE!</v>
      </c>
      <c r="AD40" t="e">
        <f>AND('SPR BARRANQUILLA'!BT44,"AAAAAH38Tx0=")</f>
        <v>#VALUE!</v>
      </c>
      <c r="AE40" t="e">
        <f>AND('SPR BARRANQUILLA'!BU44,"AAAAAH38Tx4=")</f>
        <v>#VALUE!</v>
      </c>
      <c r="AF40" t="e">
        <f>AND('SPR BARRANQUILLA'!BV44,"AAAAAH38Tx8=")</f>
        <v>#VALUE!</v>
      </c>
      <c r="AG40" t="e">
        <f>AND('SPR BARRANQUILLA'!BW44,"AAAAAH38TyA=")</f>
        <v>#VALUE!</v>
      </c>
      <c r="AH40" t="e">
        <f>AND('SPR BARRANQUILLA'!BX44,"AAAAAH38TyE=")</f>
        <v>#VALUE!</v>
      </c>
      <c r="AI40" t="e">
        <f>AND('SPR BARRANQUILLA'!BY44,"AAAAAH38TyI=")</f>
        <v>#VALUE!</v>
      </c>
      <c r="AJ40" t="e">
        <f>AND('SPR BARRANQUILLA'!BZ44,"AAAAAH38TyM=")</f>
        <v>#VALUE!</v>
      </c>
      <c r="AK40" t="e">
        <f>AND('SPR BARRANQUILLA'!CA44,"AAAAAH38TyQ=")</f>
        <v>#VALUE!</v>
      </c>
      <c r="AL40" t="e">
        <f>AND('SPR BARRANQUILLA'!CB44,"AAAAAH38TyU=")</f>
        <v>#VALUE!</v>
      </c>
      <c r="AM40" t="e">
        <f>AND('SPR BARRANQUILLA'!CC44,"AAAAAH38TyY=")</f>
        <v>#VALUE!</v>
      </c>
      <c r="AN40" t="e">
        <f>AND('SPR BARRANQUILLA'!CD44,"AAAAAH38Tyc=")</f>
        <v>#VALUE!</v>
      </c>
      <c r="AO40" t="e">
        <f>AND('SPR BARRANQUILLA'!CE44,"AAAAAH38Tyg=")</f>
        <v>#VALUE!</v>
      </c>
      <c r="AP40" t="e">
        <f>AND('SPR BARRANQUILLA'!CF44,"AAAAAH38Tyk=")</f>
        <v>#VALUE!</v>
      </c>
      <c r="AQ40" t="e">
        <f>AND('SPR BARRANQUILLA'!CG44,"AAAAAH38Tyo=")</f>
        <v>#VALUE!</v>
      </c>
      <c r="AR40" t="e">
        <f>AND('SPR BARRANQUILLA'!CH44,"AAAAAH38Tys=")</f>
        <v>#VALUE!</v>
      </c>
      <c r="AS40" t="e">
        <f>AND('SPR BARRANQUILLA'!CI44,"AAAAAH38Tyw=")</f>
        <v>#VALUE!</v>
      </c>
      <c r="AT40" t="e">
        <f>AND('SPR BARRANQUILLA'!CJ44,"AAAAAH38Ty0=")</f>
        <v>#VALUE!</v>
      </c>
      <c r="AU40" t="e">
        <f>AND('SPR BARRANQUILLA'!CK44,"AAAAAH38Ty4=")</f>
        <v>#VALUE!</v>
      </c>
      <c r="AV40" t="e">
        <f>AND('SPR BARRANQUILLA'!CL44,"AAAAAH38Ty8=")</f>
        <v>#VALUE!</v>
      </c>
      <c r="AW40" t="e">
        <f>AND('SPR BARRANQUILLA'!CM44,"AAAAAH38TzA=")</f>
        <v>#VALUE!</v>
      </c>
      <c r="AX40" t="e">
        <f>AND('SPR BARRANQUILLA'!CN44,"AAAAAH38TzE=")</f>
        <v>#VALUE!</v>
      </c>
      <c r="AY40" t="e">
        <f>AND('SPR BARRANQUILLA'!CO44,"AAAAAH38TzI=")</f>
        <v>#VALUE!</v>
      </c>
      <c r="AZ40" t="e">
        <f>AND('SPR BARRANQUILLA'!CP44,"AAAAAH38TzM=")</f>
        <v>#VALUE!</v>
      </c>
      <c r="BA40" t="e">
        <f>AND('SPR BARRANQUILLA'!CQ44,"AAAAAH38TzQ=")</f>
        <v>#VALUE!</v>
      </c>
      <c r="BB40" t="e">
        <f>AND('SPR BARRANQUILLA'!CR44,"AAAAAH38TzU=")</f>
        <v>#VALUE!</v>
      </c>
      <c r="BC40" t="e">
        <f>AND('SPR BARRANQUILLA'!CS44,"AAAAAH38TzY=")</f>
        <v>#VALUE!</v>
      </c>
      <c r="BD40" t="e">
        <f>AND('SPR BARRANQUILLA'!CT44,"AAAAAH38Tzc=")</f>
        <v>#VALUE!</v>
      </c>
      <c r="BE40" t="e">
        <f>AND('SPR BARRANQUILLA'!CU44,"AAAAAH38Tzg=")</f>
        <v>#VALUE!</v>
      </c>
      <c r="BF40" t="e">
        <f>AND('SPR BARRANQUILLA'!CV44,"AAAAAH38Tzk=")</f>
        <v>#VALUE!</v>
      </c>
      <c r="BG40" t="e">
        <f>AND('SPR BARRANQUILLA'!CW44,"AAAAAH38Tzo=")</f>
        <v>#VALUE!</v>
      </c>
      <c r="BH40" t="e">
        <f>AND('SPR BARRANQUILLA'!CX44,"AAAAAH38Tzs=")</f>
        <v>#VALUE!</v>
      </c>
      <c r="BI40" t="e">
        <f>AND('SPR BARRANQUILLA'!CY44,"AAAAAH38Tzw=")</f>
        <v>#VALUE!</v>
      </c>
      <c r="BJ40" t="e">
        <f>AND('SPR BARRANQUILLA'!CZ44,"AAAAAH38Tz0=")</f>
        <v>#VALUE!</v>
      </c>
      <c r="BK40" t="e">
        <f>AND('SPR BARRANQUILLA'!DA44,"AAAAAH38Tz4=")</f>
        <v>#VALUE!</v>
      </c>
      <c r="BL40" t="e">
        <f>AND('SPR BARRANQUILLA'!DB44,"AAAAAH38Tz8=")</f>
        <v>#VALUE!</v>
      </c>
      <c r="BM40" t="e">
        <f>AND('SPR BARRANQUILLA'!DC44,"AAAAAH38T0A=")</f>
        <v>#VALUE!</v>
      </c>
      <c r="BN40" t="e">
        <f>AND('SPR BARRANQUILLA'!DD44,"AAAAAH38T0E=")</f>
        <v>#VALUE!</v>
      </c>
      <c r="BO40" t="e">
        <f>AND('SPR BARRANQUILLA'!DE44,"AAAAAH38T0I=")</f>
        <v>#VALUE!</v>
      </c>
      <c r="BP40" t="e">
        <f>AND('SPR BARRANQUILLA'!DF44,"AAAAAH38T0M=")</f>
        <v>#VALUE!</v>
      </c>
      <c r="BQ40" t="e">
        <f>AND('SPR BARRANQUILLA'!DG44,"AAAAAH38T0Q=")</f>
        <v>#VALUE!</v>
      </c>
      <c r="BR40" t="e">
        <f>AND('SPR BARRANQUILLA'!DH44,"AAAAAH38T0U=")</f>
        <v>#VALUE!</v>
      </c>
      <c r="BS40" t="e">
        <f>AND('SPR BARRANQUILLA'!DI44,"AAAAAH38T0Y=")</f>
        <v>#VALUE!</v>
      </c>
      <c r="BT40" t="e">
        <f>AND('SPR BARRANQUILLA'!DJ44,"AAAAAH38T0c=")</f>
        <v>#VALUE!</v>
      </c>
      <c r="BU40" t="e">
        <f>AND('SPR BARRANQUILLA'!DK44,"AAAAAH38T0g=")</f>
        <v>#VALUE!</v>
      </c>
      <c r="BV40" t="e">
        <f>AND('SPR BARRANQUILLA'!DL44,"AAAAAH38T0k=")</f>
        <v>#VALUE!</v>
      </c>
      <c r="BW40" t="e">
        <f>AND('SPR BARRANQUILLA'!DM44,"AAAAAH38T0o=")</f>
        <v>#VALUE!</v>
      </c>
      <c r="BX40" t="e">
        <f>AND('SPR BARRANQUILLA'!DN44,"AAAAAH38T0s=")</f>
        <v>#VALUE!</v>
      </c>
      <c r="BY40" t="e">
        <f>AND('SPR BARRANQUILLA'!DO44,"AAAAAH38T0w=")</f>
        <v>#VALUE!</v>
      </c>
      <c r="BZ40" t="e">
        <f>AND('SPR BARRANQUILLA'!DP44,"AAAAAH38T00=")</f>
        <v>#VALUE!</v>
      </c>
      <c r="CA40" t="e">
        <f>AND('SPR BARRANQUILLA'!DQ44,"AAAAAH38T04=")</f>
        <v>#VALUE!</v>
      </c>
      <c r="CB40" t="e">
        <f>AND('SPR BARRANQUILLA'!DR44,"AAAAAH38T08=")</f>
        <v>#VALUE!</v>
      </c>
      <c r="CC40" t="e">
        <f>AND('SPR BARRANQUILLA'!DS44,"AAAAAH38T1A=")</f>
        <v>#VALUE!</v>
      </c>
      <c r="CD40" t="e">
        <f>AND('SPR BARRANQUILLA'!DT44,"AAAAAH38T1E=")</f>
        <v>#VALUE!</v>
      </c>
      <c r="CE40" t="e">
        <f>AND('SPR BARRANQUILLA'!DU44,"AAAAAH38T1I=")</f>
        <v>#VALUE!</v>
      </c>
      <c r="CF40" t="e">
        <f>AND('SPR BARRANQUILLA'!DV44,"AAAAAH38T1M=")</f>
        <v>#VALUE!</v>
      </c>
      <c r="CG40" t="e">
        <f>AND('SPR BARRANQUILLA'!DW44,"AAAAAH38T1Q=")</f>
        <v>#VALUE!</v>
      </c>
      <c r="CH40" t="e">
        <f>AND('SPR BARRANQUILLA'!DX44,"AAAAAH38T1U=")</f>
        <v>#VALUE!</v>
      </c>
      <c r="CI40" t="e">
        <f>AND('SPR BARRANQUILLA'!DY44,"AAAAAH38T1Y=")</f>
        <v>#VALUE!</v>
      </c>
      <c r="CJ40" t="e">
        <f>AND('SPR BARRANQUILLA'!DZ44,"AAAAAH38T1c=")</f>
        <v>#VALUE!</v>
      </c>
      <c r="CK40" t="e">
        <f>AND('SPR BARRANQUILLA'!EA44,"AAAAAH38T1g=")</f>
        <v>#VALUE!</v>
      </c>
      <c r="CL40" t="e">
        <f>AND('SPR BARRANQUILLA'!EB44,"AAAAAH38T1k=")</f>
        <v>#VALUE!</v>
      </c>
      <c r="CM40" t="e">
        <f>AND('SPR BARRANQUILLA'!EC44,"AAAAAH38T1o=")</f>
        <v>#VALUE!</v>
      </c>
      <c r="CN40" t="e">
        <f>AND('SPR BARRANQUILLA'!ED44,"AAAAAH38T1s=")</f>
        <v>#VALUE!</v>
      </c>
      <c r="CO40" t="e">
        <f>AND('SPR BARRANQUILLA'!EE44,"AAAAAH38T1w=")</f>
        <v>#VALUE!</v>
      </c>
      <c r="CP40" t="e">
        <f>AND('SPR BARRANQUILLA'!EF44,"AAAAAH38T10=")</f>
        <v>#VALUE!</v>
      </c>
      <c r="CQ40" t="e">
        <f>AND('SPR BARRANQUILLA'!EG44,"AAAAAH38T14=")</f>
        <v>#VALUE!</v>
      </c>
      <c r="CR40" t="e">
        <f>AND('SPR BARRANQUILLA'!EH44,"AAAAAH38T18=")</f>
        <v>#VALUE!</v>
      </c>
      <c r="CS40" t="e">
        <f>AND('SPR BARRANQUILLA'!EI44,"AAAAAH38T2A=")</f>
        <v>#VALUE!</v>
      </c>
      <c r="CT40" t="e">
        <f>AND('SPR BARRANQUILLA'!EJ44,"AAAAAH38T2E=")</f>
        <v>#VALUE!</v>
      </c>
      <c r="CU40" t="e">
        <f>AND('SPR BARRANQUILLA'!EK44,"AAAAAH38T2I=")</f>
        <v>#VALUE!</v>
      </c>
      <c r="CV40" t="e">
        <f>AND('SPR BARRANQUILLA'!EL44,"AAAAAH38T2M=")</f>
        <v>#VALUE!</v>
      </c>
      <c r="CW40" t="e">
        <f>AND('SPR BARRANQUILLA'!EM44,"AAAAAH38T2Q=")</f>
        <v>#VALUE!</v>
      </c>
      <c r="CX40" t="e">
        <f>AND('SPR BARRANQUILLA'!EN44,"AAAAAH38T2U=")</f>
        <v>#VALUE!</v>
      </c>
      <c r="CY40" t="e">
        <f>AND('SPR BARRANQUILLA'!EO44,"AAAAAH38T2Y=")</f>
        <v>#VALUE!</v>
      </c>
      <c r="CZ40" t="e">
        <f>AND('SPR BARRANQUILLA'!EP44,"AAAAAH38T2c=")</f>
        <v>#VALUE!</v>
      </c>
      <c r="DA40" t="e">
        <f>AND('SPR BARRANQUILLA'!EQ44,"AAAAAH38T2g=")</f>
        <v>#VALUE!</v>
      </c>
      <c r="DB40" t="e">
        <f>AND('SPR BARRANQUILLA'!ER44,"AAAAAH38T2k=")</f>
        <v>#VALUE!</v>
      </c>
      <c r="DC40" t="e">
        <f>AND('SPR BARRANQUILLA'!ES44,"AAAAAH38T2o=")</f>
        <v>#VALUE!</v>
      </c>
      <c r="DD40" t="e">
        <f>AND('SPR BARRANQUILLA'!ET44,"AAAAAH38T2s=")</f>
        <v>#VALUE!</v>
      </c>
      <c r="DE40" t="e">
        <f>AND('SPR BARRANQUILLA'!EU44,"AAAAAH38T2w=")</f>
        <v>#VALUE!</v>
      </c>
      <c r="DF40" t="e">
        <f>AND('SPR BARRANQUILLA'!EV44,"AAAAAH38T20=")</f>
        <v>#VALUE!</v>
      </c>
      <c r="DG40" t="e">
        <f>AND('SPR BARRANQUILLA'!EW44,"AAAAAH38T24=")</f>
        <v>#VALUE!</v>
      </c>
      <c r="DH40" t="e">
        <f>AND('SPR BARRANQUILLA'!EX44,"AAAAAH38T28=")</f>
        <v>#VALUE!</v>
      </c>
      <c r="DI40" t="e">
        <f>AND('SPR BARRANQUILLA'!EY44,"AAAAAH38T3A=")</f>
        <v>#VALUE!</v>
      </c>
      <c r="DJ40" t="e">
        <f>AND('SPR BARRANQUILLA'!EZ44,"AAAAAH38T3E=")</f>
        <v>#VALUE!</v>
      </c>
      <c r="DK40" t="e">
        <f>AND('SPR BARRANQUILLA'!FA44,"AAAAAH38T3I=")</f>
        <v>#VALUE!</v>
      </c>
      <c r="DL40" t="e">
        <f>AND('SPR BARRANQUILLA'!FB44,"AAAAAH38T3M=")</f>
        <v>#VALUE!</v>
      </c>
      <c r="DM40" t="e">
        <f>AND('SPR BARRANQUILLA'!FC44,"AAAAAH38T3Q=")</f>
        <v>#VALUE!</v>
      </c>
      <c r="DN40" t="e">
        <f>AND('SPR BARRANQUILLA'!FD44,"AAAAAH38T3U=")</f>
        <v>#VALUE!</v>
      </c>
      <c r="DO40" t="e">
        <f>AND('SPR BARRANQUILLA'!FE44,"AAAAAH38T3Y=")</f>
        <v>#VALUE!</v>
      </c>
      <c r="DP40" t="e">
        <f>AND('SPR BARRANQUILLA'!FF44,"AAAAAH38T3c=")</f>
        <v>#VALUE!</v>
      </c>
      <c r="DQ40" t="e">
        <f>AND('SPR BARRANQUILLA'!FG44,"AAAAAH38T3g=")</f>
        <v>#VALUE!</v>
      </c>
      <c r="DR40" t="e">
        <f>AND('SPR BARRANQUILLA'!FH44,"AAAAAH38T3k=")</f>
        <v>#VALUE!</v>
      </c>
      <c r="DS40" t="e">
        <f>AND('SPR BARRANQUILLA'!FI44,"AAAAAH38T3o=")</f>
        <v>#VALUE!</v>
      </c>
      <c r="DT40" t="e">
        <f>AND('SPR BARRANQUILLA'!FJ44,"AAAAAH38T3s=")</f>
        <v>#VALUE!</v>
      </c>
      <c r="DU40" t="e">
        <f>AND('SPR BARRANQUILLA'!FK44,"AAAAAH38T3w=")</f>
        <v>#VALUE!</v>
      </c>
      <c r="DV40" t="e">
        <f>AND('SPR BARRANQUILLA'!FL44,"AAAAAH38T30=")</f>
        <v>#VALUE!</v>
      </c>
      <c r="DW40" t="e">
        <f>AND('SPR BARRANQUILLA'!FM44,"AAAAAH38T34=")</f>
        <v>#VALUE!</v>
      </c>
      <c r="DX40" t="e">
        <f>AND('SPR BARRANQUILLA'!FN44,"AAAAAH38T38=")</f>
        <v>#VALUE!</v>
      </c>
      <c r="DY40" t="e">
        <f>AND('SPR BARRANQUILLA'!FO44,"AAAAAH38T4A=")</f>
        <v>#VALUE!</v>
      </c>
      <c r="DZ40" t="e">
        <f>AND('SPR BARRANQUILLA'!FP44,"AAAAAH38T4E=")</f>
        <v>#VALUE!</v>
      </c>
      <c r="EA40" t="e">
        <f>AND('SPR BARRANQUILLA'!FQ44,"AAAAAH38T4I=")</f>
        <v>#VALUE!</v>
      </c>
      <c r="EB40" t="e">
        <f>AND('SPR BARRANQUILLA'!FR44,"AAAAAH38T4M=")</f>
        <v>#VALUE!</v>
      </c>
      <c r="EC40" t="e">
        <f>AND('SPR BARRANQUILLA'!FS44,"AAAAAH38T4Q=")</f>
        <v>#VALUE!</v>
      </c>
      <c r="ED40" t="e">
        <f>AND('SPR BARRANQUILLA'!FT44,"AAAAAH38T4U=")</f>
        <v>#VALUE!</v>
      </c>
      <c r="EE40" t="e">
        <f>AND('SPR BARRANQUILLA'!FU44,"AAAAAH38T4Y=")</f>
        <v>#VALUE!</v>
      </c>
      <c r="EF40" t="e">
        <f>AND('SPR BARRANQUILLA'!FV44,"AAAAAH38T4c=")</f>
        <v>#VALUE!</v>
      </c>
      <c r="EG40" t="e">
        <f>AND('SPR BARRANQUILLA'!FW44,"AAAAAH38T4g=")</f>
        <v>#VALUE!</v>
      </c>
      <c r="EH40" t="e">
        <f>AND('SPR BARRANQUILLA'!FX44,"AAAAAH38T4k=")</f>
        <v>#VALUE!</v>
      </c>
      <c r="EI40" t="e">
        <f>AND('SPR BARRANQUILLA'!FY44,"AAAAAH38T4o=")</f>
        <v>#VALUE!</v>
      </c>
      <c r="EJ40" t="e">
        <f>AND('SPR BARRANQUILLA'!FZ44,"AAAAAH38T4s=")</f>
        <v>#VALUE!</v>
      </c>
      <c r="EK40" t="e">
        <f>AND('SPR BARRANQUILLA'!GA44,"AAAAAH38T4w=")</f>
        <v>#VALUE!</v>
      </c>
      <c r="EL40" t="e">
        <f>AND('SPR BARRANQUILLA'!GB44,"AAAAAH38T40=")</f>
        <v>#VALUE!</v>
      </c>
      <c r="EM40" t="e">
        <f>AND('SPR BARRANQUILLA'!GC44,"AAAAAH38T44=")</f>
        <v>#VALUE!</v>
      </c>
      <c r="EN40" t="e">
        <f>AND('SPR BARRANQUILLA'!GD44,"AAAAAH38T48=")</f>
        <v>#VALUE!</v>
      </c>
      <c r="EO40" t="e">
        <f>AND('SPR BARRANQUILLA'!GE44,"AAAAAH38T5A=")</f>
        <v>#VALUE!</v>
      </c>
      <c r="EP40" t="e">
        <f>AND('SPR BARRANQUILLA'!GF44,"AAAAAH38T5E=")</f>
        <v>#VALUE!</v>
      </c>
      <c r="EQ40" t="e">
        <f>AND('SPR BARRANQUILLA'!GG44,"AAAAAH38T5I=")</f>
        <v>#VALUE!</v>
      </c>
      <c r="ER40" t="e">
        <f>AND('SPR BARRANQUILLA'!GH44,"AAAAAH38T5M=")</f>
        <v>#VALUE!</v>
      </c>
      <c r="ES40" t="e">
        <f>AND('SPR BARRANQUILLA'!GI44,"AAAAAH38T5Q=")</f>
        <v>#VALUE!</v>
      </c>
      <c r="ET40" t="e">
        <f>AND('SPR BARRANQUILLA'!GJ44,"AAAAAH38T5U=")</f>
        <v>#VALUE!</v>
      </c>
      <c r="EU40" t="e">
        <f>AND('SPR BARRANQUILLA'!GK44,"AAAAAH38T5Y=")</f>
        <v>#VALUE!</v>
      </c>
      <c r="EV40" t="e">
        <f>AND('SPR BARRANQUILLA'!GL44,"AAAAAH38T5c=")</f>
        <v>#VALUE!</v>
      </c>
      <c r="EW40" t="e">
        <f>AND('SPR BARRANQUILLA'!GM44,"AAAAAH38T5g=")</f>
        <v>#VALUE!</v>
      </c>
      <c r="EX40" t="e">
        <f>AND('SPR BARRANQUILLA'!GN44,"AAAAAH38T5k=")</f>
        <v>#VALUE!</v>
      </c>
      <c r="EY40" t="e">
        <f>AND('SPR BARRANQUILLA'!GO44,"AAAAAH38T5o=")</f>
        <v>#VALUE!</v>
      </c>
      <c r="EZ40" t="e">
        <f>AND('SPR BARRANQUILLA'!GP44,"AAAAAH38T5s=")</f>
        <v>#VALUE!</v>
      </c>
      <c r="FA40" t="e">
        <f>AND('SPR BARRANQUILLA'!GQ44,"AAAAAH38T5w=")</f>
        <v>#VALUE!</v>
      </c>
      <c r="FB40" t="e">
        <f>AND('SPR BARRANQUILLA'!GR44,"AAAAAH38T50=")</f>
        <v>#VALUE!</v>
      </c>
      <c r="FC40" t="e">
        <f>AND('SPR BARRANQUILLA'!GS44,"AAAAAH38T54=")</f>
        <v>#VALUE!</v>
      </c>
      <c r="FD40" t="e">
        <f>AND('SPR BARRANQUILLA'!GT44,"AAAAAH38T58=")</f>
        <v>#VALUE!</v>
      </c>
      <c r="FE40" t="e">
        <f>AND('SPR BARRANQUILLA'!GU44,"AAAAAH38T6A=")</f>
        <v>#VALUE!</v>
      </c>
      <c r="FF40" t="e">
        <f>AND('SPR BARRANQUILLA'!GV44,"AAAAAH38T6E=")</f>
        <v>#VALUE!</v>
      </c>
      <c r="FG40" t="e">
        <f>AND('SPR BARRANQUILLA'!GW44,"AAAAAH38T6I=")</f>
        <v>#VALUE!</v>
      </c>
      <c r="FH40" t="e">
        <f>AND('SPR BARRANQUILLA'!GX44,"AAAAAH38T6M=")</f>
        <v>#VALUE!</v>
      </c>
      <c r="FI40" t="e">
        <f>AND('SPR BARRANQUILLA'!GY44,"AAAAAH38T6Q=")</f>
        <v>#VALUE!</v>
      </c>
      <c r="FJ40">
        <f>IF('SPR BARRANQUILLA'!45:45,"AAAAAH38T6U=",0)</f>
        <v>0</v>
      </c>
      <c r="FK40" t="e">
        <f>AND('SPR BARRANQUILLA'!A45,"AAAAAH38T6Y=")</f>
        <v>#VALUE!</v>
      </c>
      <c r="FL40" t="e">
        <f>AND('SPR BARRANQUILLA'!B45,"AAAAAH38T6c=")</f>
        <v>#VALUE!</v>
      </c>
      <c r="FM40" t="e">
        <f>AND('SPR BARRANQUILLA'!C45,"AAAAAH38T6g=")</f>
        <v>#VALUE!</v>
      </c>
      <c r="FN40" t="e">
        <f>AND('SPR BARRANQUILLA'!D45,"AAAAAH38T6k=")</f>
        <v>#VALUE!</v>
      </c>
      <c r="FO40" t="e">
        <f>AND('SPR BARRANQUILLA'!E45,"AAAAAH38T6o=")</f>
        <v>#VALUE!</v>
      </c>
      <c r="FP40" t="e">
        <f>AND('SPR BARRANQUILLA'!F45,"AAAAAH38T6s=")</f>
        <v>#VALUE!</v>
      </c>
      <c r="FQ40" t="e">
        <f>AND('SPR BARRANQUILLA'!G45,"AAAAAH38T6w=")</f>
        <v>#VALUE!</v>
      </c>
      <c r="FR40" t="e">
        <f>AND('SPR BARRANQUILLA'!H45,"AAAAAH38T60=")</f>
        <v>#VALUE!</v>
      </c>
      <c r="FS40" t="e">
        <f>AND('SPR BARRANQUILLA'!I45,"AAAAAH38T64=")</f>
        <v>#VALUE!</v>
      </c>
      <c r="FT40" t="e">
        <f>AND('SPR BARRANQUILLA'!J45,"AAAAAH38T68=")</f>
        <v>#VALUE!</v>
      </c>
      <c r="FU40" t="e">
        <f>AND('SPR BARRANQUILLA'!K45,"AAAAAH38T7A=")</f>
        <v>#VALUE!</v>
      </c>
      <c r="FV40" t="e">
        <f>AND('SPR BARRANQUILLA'!L45,"AAAAAH38T7E=")</f>
        <v>#VALUE!</v>
      </c>
      <c r="FW40" t="e">
        <f>AND('SPR BARRANQUILLA'!M45,"AAAAAH38T7I=")</f>
        <v>#VALUE!</v>
      </c>
      <c r="FX40" t="e">
        <f>AND('SPR BARRANQUILLA'!N45,"AAAAAH38T7M=")</f>
        <v>#VALUE!</v>
      </c>
      <c r="FY40" t="e">
        <f>AND('SPR BARRANQUILLA'!O45,"AAAAAH38T7Q=")</f>
        <v>#VALUE!</v>
      </c>
      <c r="FZ40" t="e">
        <f>AND('SPR BARRANQUILLA'!P45,"AAAAAH38T7U=")</f>
        <v>#VALUE!</v>
      </c>
      <c r="GA40" t="e">
        <f>AND('SPR BARRANQUILLA'!Q45,"AAAAAH38T7Y=")</f>
        <v>#VALUE!</v>
      </c>
      <c r="GB40" t="e">
        <f>AND('SPR BARRANQUILLA'!R45,"AAAAAH38T7c=")</f>
        <v>#VALUE!</v>
      </c>
      <c r="GC40" t="e">
        <f>AND('SPR BARRANQUILLA'!S45,"AAAAAH38T7g=")</f>
        <v>#VALUE!</v>
      </c>
      <c r="GD40" t="e">
        <f>AND('SPR BARRANQUILLA'!T45,"AAAAAH38T7k=")</f>
        <v>#VALUE!</v>
      </c>
      <c r="GE40" t="e">
        <f>AND('SPR BARRANQUILLA'!U45,"AAAAAH38T7o=")</f>
        <v>#VALUE!</v>
      </c>
      <c r="GF40" t="e">
        <f>AND('SPR BARRANQUILLA'!V45,"AAAAAH38T7s=")</f>
        <v>#VALUE!</v>
      </c>
      <c r="GG40" t="e">
        <f>AND('SPR BARRANQUILLA'!W45,"AAAAAH38T7w=")</f>
        <v>#VALUE!</v>
      </c>
      <c r="GH40" t="e">
        <f>AND('SPR BARRANQUILLA'!X45,"AAAAAH38T70=")</f>
        <v>#VALUE!</v>
      </c>
      <c r="GI40" t="e">
        <f>AND('SPR BARRANQUILLA'!Y45,"AAAAAH38T74=")</f>
        <v>#VALUE!</v>
      </c>
      <c r="GJ40" t="e">
        <f>AND('SPR BARRANQUILLA'!Z45,"AAAAAH38T78=")</f>
        <v>#VALUE!</v>
      </c>
      <c r="GK40" t="e">
        <f>AND('SPR BARRANQUILLA'!AA45,"AAAAAH38T8A=")</f>
        <v>#VALUE!</v>
      </c>
      <c r="GL40" t="e">
        <f>AND('SPR BARRANQUILLA'!AB45,"AAAAAH38T8E=")</f>
        <v>#VALUE!</v>
      </c>
      <c r="GM40" t="e">
        <f>AND('SPR BARRANQUILLA'!AC45,"AAAAAH38T8I=")</f>
        <v>#VALUE!</v>
      </c>
      <c r="GN40" t="e">
        <f>AND('SPR BARRANQUILLA'!AD45,"AAAAAH38T8M=")</f>
        <v>#VALUE!</v>
      </c>
      <c r="GO40" t="e">
        <f>AND('SPR BARRANQUILLA'!AE45,"AAAAAH38T8Q=")</f>
        <v>#VALUE!</v>
      </c>
      <c r="GP40" t="e">
        <f>AND('SPR BARRANQUILLA'!AF45,"AAAAAH38T8U=")</f>
        <v>#VALUE!</v>
      </c>
      <c r="GQ40" t="e">
        <f>AND('SPR BARRANQUILLA'!AG45,"AAAAAH38T8Y=")</f>
        <v>#VALUE!</v>
      </c>
      <c r="GR40" t="e">
        <f>AND('SPR BARRANQUILLA'!AH45,"AAAAAH38T8c=")</f>
        <v>#VALUE!</v>
      </c>
      <c r="GS40" t="e">
        <f>AND('SPR BARRANQUILLA'!AI45,"AAAAAH38T8g=")</f>
        <v>#VALUE!</v>
      </c>
      <c r="GT40" t="e">
        <f>AND('SPR BARRANQUILLA'!AJ45,"AAAAAH38T8k=")</f>
        <v>#VALUE!</v>
      </c>
      <c r="GU40" t="e">
        <f>AND('SPR BARRANQUILLA'!AK45,"AAAAAH38T8o=")</f>
        <v>#VALUE!</v>
      </c>
      <c r="GV40" t="e">
        <f>AND('SPR BARRANQUILLA'!AL45,"AAAAAH38T8s=")</f>
        <v>#VALUE!</v>
      </c>
      <c r="GW40" t="e">
        <f>AND('SPR BARRANQUILLA'!AM45,"AAAAAH38T8w=")</f>
        <v>#VALUE!</v>
      </c>
      <c r="GX40" t="e">
        <f>AND('SPR BARRANQUILLA'!AN45,"AAAAAH38T80=")</f>
        <v>#VALUE!</v>
      </c>
      <c r="GY40" t="e">
        <f>AND('SPR BARRANQUILLA'!AO45,"AAAAAH38T84=")</f>
        <v>#VALUE!</v>
      </c>
      <c r="GZ40" t="e">
        <f>AND('SPR BARRANQUILLA'!AP45,"AAAAAH38T88=")</f>
        <v>#VALUE!</v>
      </c>
      <c r="HA40" t="e">
        <f>AND('SPR BARRANQUILLA'!AQ45,"AAAAAH38T9A=")</f>
        <v>#VALUE!</v>
      </c>
      <c r="HB40" t="e">
        <f>AND('SPR BARRANQUILLA'!AR45,"AAAAAH38T9E=")</f>
        <v>#VALUE!</v>
      </c>
      <c r="HC40" t="e">
        <f>AND('SPR BARRANQUILLA'!AS45,"AAAAAH38T9I=")</f>
        <v>#VALUE!</v>
      </c>
      <c r="HD40" t="e">
        <f>AND('SPR BARRANQUILLA'!AT45,"AAAAAH38T9M=")</f>
        <v>#VALUE!</v>
      </c>
      <c r="HE40" t="e">
        <f>AND('SPR BARRANQUILLA'!AU45,"AAAAAH38T9Q=")</f>
        <v>#VALUE!</v>
      </c>
      <c r="HF40" t="e">
        <f>AND('SPR BARRANQUILLA'!AV45,"AAAAAH38T9U=")</f>
        <v>#VALUE!</v>
      </c>
      <c r="HG40" t="e">
        <f>AND('SPR BARRANQUILLA'!AW45,"AAAAAH38T9Y=")</f>
        <v>#VALUE!</v>
      </c>
      <c r="HH40" t="e">
        <f>AND('SPR BARRANQUILLA'!AX45,"AAAAAH38T9c=")</f>
        <v>#VALUE!</v>
      </c>
      <c r="HI40" t="e">
        <f>AND('SPR BARRANQUILLA'!AY45,"AAAAAH38T9g=")</f>
        <v>#VALUE!</v>
      </c>
      <c r="HJ40" t="e">
        <f>AND('SPR BARRANQUILLA'!AZ45,"AAAAAH38T9k=")</f>
        <v>#VALUE!</v>
      </c>
      <c r="HK40" t="e">
        <f>AND('SPR BARRANQUILLA'!BA45,"AAAAAH38T9o=")</f>
        <v>#VALUE!</v>
      </c>
      <c r="HL40" t="e">
        <f>AND('SPR BARRANQUILLA'!BB45,"AAAAAH38T9s=")</f>
        <v>#VALUE!</v>
      </c>
      <c r="HM40" t="e">
        <f>AND('SPR BARRANQUILLA'!BC45,"AAAAAH38T9w=")</f>
        <v>#VALUE!</v>
      </c>
      <c r="HN40" t="e">
        <f>AND('SPR BARRANQUILLA'!BD45,"AAAAAH38T90=")</f>
        <v>#VALUE!</v>
      </c>
      <c r="HO40" t="e">
        <f>AND('SPR BARRANQUILLA'!BE45,"AAAAAH38T94=")</f>
        <v>#VALUE!</v>
      </c>
      <c r="HP40" t="e">
        <f>AND('SPR BARRANQUILLA'!BF45,"AAAAAH38T98=")</f>
        <v>#VALUE!</v>
      </c>
      <c r="HQ40" t="e">
        <f>AND('SPR BARRANQUILLA'!BG45,"AAAAAH38T+A=")</f>
        <v>#VALUE!</v>
      </c>
      <c r="HR40" t="e">
        <f>AND('SPR BARRANQUILLA'!BH45,"AAAAAH38T+E=")</f>
        <v>#VALUE!</v>
      </c>
      <c r="HS40" t="e">
        <f>AND('SPR BARRANQUILLA'!BI45,"AAAAAH38T+I=")</f>
        <v>#VALUE!</v>
      </c>
      <c r="HT40" t="e">
        <f>AND('SPR BARRANQUILLA'!BJ45,"AAAAAH38T+M=")</f>
        <v>#VALUE!</v>
      </c>
      <c r="HU40" t="e">
        <f>AND('SPR BARRANQUILLA'!BK45,"AAAAAH38T+Q=")</f>
        <v>#VALUE!</v>
      </c>
      <c r="HV40" t="e">
        <f>AND('SPR BARRANQUILLA'!BL45,"AAAAAH38T+U=")</f>
        <v>#VALUE!</v>
      </c>
      <c r="HW40" t="e">
        <f>AND('SPR BARRANQUILLA'!BM45,"AAAAAH38T+Y=")</f>
        <v>#VALUE!</v>
      </c>
      <c r="HX40" t="e">
        <f>AND('SPR BARRANQUILLA'!BN45,"AAAAAH38T+c=")</f>
        <v>#VALUE!</v>
      </c>
      <c r="HY40" t="e">
        <f>AND('SPR BARRANQUILLA'!BO45,"AAAAAH38T+g=")</f>
        <v>#VALUE!</v>
      </c>
      <c r="HZ40" t="e">
        <f>AND('SPR BARRANQUILLA'!BP45,"AAAAAH38T+k=")</f>
        <v>#VALUE!</v>
      </c>
      <c r="IA40" t="e">
        <f>AND('SPR BARRANQUILLA'!BQ45,"AAAAAH38T+o=")</f>
        <v>#VALUE!</v>
      </c>
      <c r="IB40" t="e">
        <f>AND('SPR BARRANQUILLA'!BR45,"AAAAAH38T+s=")</f>
        <v>#VALUE!</v>
      </c>
      <c r="IC40" t="e">
        <f>AND('SPR BARRANQUILLA'!BS45,"AAAAAH38T+w=")</f>
        <v>#VALUE!</v>
      </c>
      <c r="ID40" t="e">
        <f>AND('SPR BARRANQUILLA'!BT45,"AAAAAH38T+0=")</f>
        <v>#VALUE!</v>
      </c>
      <c r="IE40" t="e">
        <f>AND('SPR BARRANQUILLA'!BU45,"AAAAAH38T+4=")</f>
        <v>#VALUE!</v>
      </c>
      <c r="IF40" t="e">
        <f>AND('SPR BARRANQUILLA'!BV45,"AAAAAH38T+8=")</f>
        <v>#VALUE!</v>
      </c>
      <c r="IG40" t="e">
        <f>AND('SPR BARRANQUILLA'!BW45,"AAAAAH38T/A=")</f>
        <v>#VALUE!</v>
      </c>
      <c r="IH40" t="e">
        <f>AND('SPR BARRANQUILLA'!BX45,"AAAAAH38T/E=")</f>
        <v>#VALUE!</v>
      </c>
      <c r="II40" t="e">
        <f>AND('SPR BARRANQUILLA'!BY45,"AAAAAH38T/I=")</f>
        <v>#VALUE!</v>
      </c>
      <c r="IJ40" t="e">
        <f>AND('SPR BARRANQUILLA'!BZ45,"AAAAAH38T/M=")</f>
        <v>#VALUE!</v>
      </c>
      <c r="IK40" t="e">
        <f>AND('SPR BARRANQUILLA'!CA45,"AAAAAH38T/Q=")</f>
        <v>#VALUE!</v>
      </c>
      <c r="IL40" t="e">
        <f>AND('SPR BARRANQUILLA'!CB45,"AAAAAH38T/U=")</f>
        <v>#VALUE!</v>
      </c>
      <c r="IM40" t="e">
        <f>AND('SPR BARRANQUILLA'!CC45,"AAAAAH38T/Y=")</f>
        <v>#VALUE!</v>
      </c>
      <c r="IN40" t="e">
        <f>AND('SPR BARRANQUILLA'!CD45,"AAAAAH38T/c=")</f>
        <v>#VALUE!</v>
      </c>
      <c r="IO40" t="e">
        <f>AND('SPR BARRANQUILLA'!CE45,"AAAAAH38T/g=")</f>
        <v>#VALUE!</v>
      </c>
      <c r="IP40" t="e">
        <f>AND('SPR BARRANQUILLA'!CF45,"AAAAAH38T/k=")</f>
        <v>#VALUE!</v>
      </c>
      <c r="IQ40" t="e">
        <f>AND('SPR BARRANQUILLA'!CG45,"AAAAAH38T/o=")</f>
        <v>#VALUE!</v>
      </c>
      <c r="IR40" t="e">
        <f>AND('SPR BARRANQUILLA'!CH45,"AAAAAH38T/s=")</f>
        <v>#VALUE!</v>
      </c>
      <c r="IS40" t="e">
        <f>AND('SPR BARRANQUILLA'!CI45,"AAAAAH38T/w=")</f>
        <v>#VALUE!</v>
      </c>
      <c r="IT40" t="e">
        <f>AND('SPR BARRANQUILLA'!CJ45,"AAAAAH38T/0=")</f>
        <v>#VALUE!</v>
      </c>
      <c r="IU40" t="e">
        <f>AND('SPR BARRANQUILLA'!CK45,"AAAAAH38T/4=")</f>
        <v>#VALUE!</v>
      </c>
      <c r="IV40" t="e">
        <f>AND('SPR BARRANQUILLA'!CL45,"AAAAAH38T/8=")</f>
        <v>#VALUE!</v>
      </c>
    </row>
    <row r="41" spans="1:256">
      <c r="A41" t="e">
        <f>AND('SPR BARRANQUILLA'!CM45,"AAAAAH/nawA=")</f>
        <v>#VALUE!</v>
      </c>
      <c r="B41" t="e">
        <f>AND('SPR BARRANQUILLA'!CN45,"AAAAAH/nawE=")</f>
        <v>#VALUE!</v>
      </c>
      <c r="C41" t="e">
        <f>AND('SPR BARRANQUILLA'!CO45,"AAAAAH/nawI=")</f>
        <v>#VALUE!</v>
      </c>
      <c r="D41" t="e">
        <f>AND('SPR BARRANQUILLA'!CP45,"AAAAAH/nawM=")</f>
        <v>#VALUE!</v>
      </c>
      <c r="E41" t="e">
        <f>AND('SPR BARRANQUILLA'!CQ45,"AAAAAH/nawQ=")</f>
        <v>#VALUE!</v>
      </c>
      <c r="F41" t="e">
        <f>AND('SPR BARRANQUILLA'!CR45,"AAAAAH/nawU=")</f>
        <v>#VALUE!</v>
      </c>
      <c r="G41" t="e">
        <f>AND('SPR BARRANQUILLA'!CS45,"AAAAAH/nawY=")</f>
        <v>#VALUE!</v>
      </c>
      <c r="H41" t="e">
        <f>AND('SPR BARRANQUILLA'!CT45,"AAAAAH/nawc=")</f>
        <v>#VALUE!</v>
      </c>
      <c r="I41" t="e">
        <f>AND('SPR BARRANQUILLA'!CU45,"AAAAAH/nawg=")</f>
        <v>#VALUE!</v>
      </c>
      <c r="J41" t="e">
        <f>AND('SPR BARRANQUILLA'!CV45,"AAAAAH/nawk=")</f>
        <v>#VALUE!</v>
      </c>
      <c r="K41" t="e">
        <f>AND('SPR BARRANQUILLA'!CW45,"AAAAAH/nawo=")</f>
        <v>#VALUE!</v>
      </c>
      <c r="L41" t="e">
        <f>AND('SPR BARRANQUILLA'!CX45,"AAAAAH/naws=")</f>
        <v>#VALUE!</v>
      </c>
      <c r="M41" t="e">
        <f>AND('SPR BARRANQUILLA'!CY45,"AAAAAH/naww=")</f>
        <v>#VALUE!</v>
      </c>
      <c r="N41" t="e">
        <f>AND('SPR BARRANQUILLA'!CZ45,"AAAAAH/naw0=")</f>
        <v>#VALUE!</v>
      </c>
      <c r="O41" t="e">
        <f>AND('SPR BARRANQUILLA'!DA45,"AAAAAH/naw4=")</f>
        <v>#VALUE!</v>
      </c>
      <c r="P41" t="e">
        <f>AND('SPR BARRANQUILLA'!DB45,"AAAAAH/naw8=")</f>
        <v>#VALUE!</v>
      </c>
      <c r="Q41" t="e">
        <f>AND('SPR BARRANQUILLA'!DC45,"AAAAAH/naxA=")</f>
        <v>#VALUE!</v>
      </c>
      <c r="R41" t="e">
        <f>AND('SPR BARRANQUILLA'!DD45,"AAAAAH/naxE=")</f>
        <v>#VALUE!</v>
      </c>
      <c r="S41" t="e">
        <f>AND('SPR BARRANQUILLA'!DE45,"AAAAAH/naxI=")</f>
        <v>#VALUE!</v>
      </c>
      <c r="T41" t="e">
        <f>AND('SPR BARRANQUILLA'!DF45,"AAAAAH/naxM=")</f>
        <v>#VALUE!</v>
      </c>
      <c r="U41" t="e">
        <f>AND('SPR BARRANQUILLA'!DG45,"AAAAAH/naxQ=")</f>
        <v>#VALUE!</v>
      </c>
      <c r="V41" t="e">
        <f>AND('SPR BARRANQUILLA'!DH45,"AAAAAH/naxU=")</f>
        <v>#VALUE!</v>
      </c>
      <c r="W41" t="e">
        <f>AND('SPR BARRANQUILLA'!DI45,"AAAAAH/naxY=")</f>
        <v>#VALUE!</v>
      </c>
      <c r="X41" t="e">
        <f>AND('SPR BARRANQUILLA'!DJ45,"AAAAAH/naxc=")</f>
        <v>#VALUE!</v>
      </c>
      <c r="Y41" t="e">
        <f>AND('SPR BARRANQUILLA'!DK45,"AAAAAH/naxg=")</f>
        <v>#VALUE!</v>
      </c>
      <c r="Z41" t="e">
        <f>AND('SPR BARRANQUILLA'!DL45,"AAAAAH/naxk=")</f>
        <v>#VALUE!</v>
      </c>
      <c r="AA41" t="e">
        <f>AND('SPR BARRANQUILLA'!DM45,"AAAAAH/naxo=")</f>
        <v>#VALUE!</v>
      </c>
      <c r="AB41" t="e">
        <f>AND('SPR BARRANQUILLA'!DN45,"AAAAAH/naxs=")</f>
        <v>#VALUE!</v>
      </c>
      <c r="AC41" t="e">
        <f>AND('SPR BARRANQUILLA'!DO45,"AAAAAH/naxw=")</f>
        <v>#VALUE!</v>
      </c>
      <c r="AD41" t="e">
        <f>AND('SPR BARRANQUILLA'!DP45,"AAAAAH/nax0=")</f>
        <v>#VALUE!</v>
      </c>
      <c r="AE41" t="e">
        <f>AND('SPR BARRANQUILLA'!DQ45,"AAAAAH/nax4=")</f>
        <v>#VALUE!</v>
      </c>
      <c r="AF41" t="e">
        <f>AND('SPR BARRANQUILLA'!DR45,"AAAAAH/nax8=")</f>
        <v>#VALUE!</v>
      </c>
      <c r="AG41" t="e">
        <f>AND('SPR BARRANQUILLA'!DS45,"AAAAAH/nayA=")</f>
        <v>#VALUE!</v>
      </c>
      <c r="AH41" t="e">
        <f>AND('SPR BARRANQUILLA'!DT45,"AAAAAH/nayE=")</f>
        <v>#VALUE!</v>
      </c>
      <c r="AI41" t="e">
        <f>AND('SPR BARRANQUILLA'!DU45,"AAAAAH/nayI=")</f>
        <v>#VALUE!</v>
      </c>
      <c r="AJ41" t="e">
        <f>AND('SPR BARRANQUILLA'!DV45,"AAAAAH/nayM=")</f>
        <v>#VALUE!</v>
      </c>
      <c r="AK41" t="e">
        <f>AND('SPR BARRANQUILLA'!DW45,"AAAAAH/nayQ=")</f>
        <v>#VALUE!</v>
      </c>
      <c r="AL41" t="e">
        <f>AND('SPR BARRANQUILLA'!DX45,"AAAAAH/nayU=")</f>
        <v>#VALUE!</v>
      </c>
      <c r="AM41" t="e">
        <f>AND('SPR BARRANQUILLA'!DY45,"AAAAAH/nayY=")</f>
        <v>#VALUE!</v>
      </c>
      <c r="AN41" t="e">
        <f>AND('SPR BARRANQUILLA'!DZ45,"AAAAAH/nayc=")</f>
        <v>#VALUE!</v>
      </c>
      <c r="AO41" t="e">
        <f>AND('SPR BARRANQUILLA'!EA45,"AAAAAH/nayg=")</f>
        <v>#VALUE!</v>
      </c>
      <c r="AP41" t="e">
        <f>AND('SPR BARRANQUILLA'!EB45,"AAAAAH/nayk=")</f>
        <v>#VALUE!</v>
      </c>
      <c r="AQ41" t="e">
        <f>AND('SPR BARRANQUILLA'!EC45,"AAAAAH/nayo=")</f>
        <v>#VALUE!</v>
      </c>
      <c r="AR41" t="e">
        <f>AND('SPR BARRANQUILLA'!ED45,"AAAAAH/nays=")</f>
        <v>#VALUE!</v>
      </c>
      <c r="AS41" t="e">
        <f>AND('SPR BARRANQUILLA'!EE45,"AAAAAH/nayw=")</f>
        <v>#VALUE!</v>
      </c>
      <c r="AT41" t="e">
        <f>AND('SPR BARRANQUILLA'!EF45,"AAAAAH/nay0=")</f>
        <v>#VALUE!</v>
      </c>
      <c r="AU41" t="e">
        <f>AND('SPR BARRANQUILLA'!EG45,"AAAAAH/nay4=")</f>
        <v>#VALUE!</v>
      </c>
      <c r="AV41" t="e">
        <f>AND('SPR BARRANQUILLA'!EH45,"AAAAAH/nay8=")</f>
        <v>#VALUE!</v>
      </c>
      <c r="AW41" t="e">
        <f>AND('SPR BARRANQUILLA'!EI45,"AAAAAH/nazA=")</f>
        <v>#VALUE!</v>
      </c>
      <c r="AX41" t="e">
        <f>AND('SPR BARRANQUILLA'!EJ45,"AAAAAH/nazE=")</f>
        <v>#VALUE!</v>
      </c>
      <c r="AY41" t="e">
        <f>AND('SPR BARRANQUILLA'!EK45,"AAAAAH/nazI=")</f>
        <v>#VALUE!</v>
      </c>
      <c r="AZ41" t="e">
        <f>AND('SPR BARRANQUILLA'!EL45,"AAAAAH/nazM=")</f>
        <v>#VALUE!</v>
      </c>
      <c r="BA41" t="e">
        <f>AND('SPR BARRANQUILLA'!EM45,"AAAAAH/nazQ=")</f>
        <v>#VALUE!</v>
      </c>
      <c r="BB41" t="e">
        <f>AND('SPR BARRANQUILLA'!EN45,"AAAAAH/nazU=")</f>
        <v>#VALUE!</v>
      </c>
      <c r="BC41" t="e">
        <f>AND('SPR BARRANQUILLA'!EO45,"AAAAAH/nazY=")</f>
        <v>#VALUE!</v>
      </c>
      <c r="BD41" t="e">
        <f>AND('SPR BARRANQUILLA'!EP45,"AAAAAH/nazc=")</f>
        <v>#VALUE!</v>
      </c>
      <c r="BE41" t="e">
        <f>AND('SPR BARRANQUILLA'!EQ45,"AAAAAH/nazg=")</f>
        <v>#VALUE!</v>
      </c>
      <c r="BF41" t="e">
        <f>AND('SPR BARRANQUILLA'!ER45,"AAAAAH/nazk=")</f>
        <v>#VALUE!</v>
      </c>
      <c r="BG41" t="e">
        <f>AND('SPR BARRANQUILLA'!ES45,"AAAAAH/nazo=")</f>
        <v>#VALUE!</v>
      </c>
      <c r="BH41" t="e">
        <f>AND('SPR BARRANQUILLA'!ET45,"AAAAAH/nazs=")</f>
        <v>#VALUE!</v>
      </c>
      <c r="BI41" t="e">
        <f>AND('SPR BARRANQUILLA'!EU45,"AAAAAH/nazw=")</f>
        <v>#VALUE!</v>
      </c>
      <c r="BJ41" t="e">
        <f>AND('SPR BARRANQUILLA'!EV45,"AAAAAH/naz0=")</f>
        <v>#VALUE!</v>
      </c>
      <c r="BK41" t="e">
        <f>AND('SPR BARRANQUILLA'!EW45,"AAAAAH/naz4=")</f>
        <v>#VALUE!</v>
      </c>
      <c r="BL41" t="e">
        <f>AND('SPR BARRANQUILLA'!EX45,"AAAAAH/naz8=")</f>
        <v>#VALUE!</v>
      </c>
      <c r="BM41" t="e">
        <f>AND('SPR BARRANQUILLA'!EY45,"AAAAAH/na0A=")</f>
        <v>#VALUE!</v>
      </c>
      <c r="BN41" t="e">
        <f>AND('SPR BARRANQUILLA'!EZ45,"AAAAAH/na0E=")</f>
        <v>#VALUE!</v>
      </c>
      <c r="BO41" t="e">
        <f>AND('SPR BARRANQUILLA'!FA45,"AAAAAH/na0I=")</f>
        <v>#VALUE!</v>
      </c>
      <c r="BP41" t="e">
        <f>AND('SPR BARRANQUILLA'!FB45,"AAAAAH/na0M=")</f>
        <v>#VALUE!</v>
      </c>
      <c r="BQ41" t="e">
        <f>AND('SPR BARRANQUILLA'!FC45,"AAAAAH/na0Q=")</f>
        <v>#VALUE!</v>
      </c>
      <c r="BR41" t="e">
        <f>AND('SPR BARRANQUILLA'!FD45,"AAAAAH/na0U=")</f>
        <v>#VALUE!</v>
      </c>
      <c r="BS41" t="e">
        <f>AND('SPR BARRANQUILLA'!FE45,"AAAAAH/na0Y=")</f>
        <v>#VALUE!</v>
      </c>
      <c r="BT41" t="e">
        <f>AND('SPR BARRANQUILLA'!FF45,"AAAAAH/na0c=")</f>
        <v>#VALUE!</v>
      </c>
      <c r="BU41" t="e">
        <f>AND('SPR BARRANQUILLA'!FG45,"AAAAAH/na0g=")</f>
        <v>#VALUE!</v>
      </c>
      <c r="BV41" t="e">
        <f>AND('SPR BARRANQUILLA'!FH45,"AAAAAH/na0k=")</f>
        <v>#VALUE!</v>
      </c>
      <c r="BW41" t="e">
        <f>AND('SPR BARRANQUILLA'!FI45,"AAAAAH/na0o=")</f>
        <v>#VALUE!</v>
      </c>
      <c r="BX41" t="e">
        <f>AND('SPR BARRANQUILLA'!FJ45,"AAAAAH/na0s=")</f>
        <v>#VALUE!</v>
      </c>
      <c r="BY41" t="e">
        <f>AND('SPR BARRANQUILLA'!FK45,"AAAAAH/na0w=")</f>
        <v>#VALUE!</v>
      </c>
      <c r="BZ41" t="e">
        <f>AND('SPR BARRANQUILLA'!FL45,"AAAAAH/na00=")</f>
        <v>#VALUE!</v>
      </c>
      <c r="CA41" t="e">
        <f>AND('SPR BARRANQUILLA'!FM45,"AAAAAH/na04=")</f>
        <v>#VALUE!</v>
      </c>
      <c r="CB41" t="e">
        <f>AND('SPR BARRANQUILLA'!FN45,"AAAAAH/na08=")</f>
        <v>#VALUE!</v>
      </c>
      <c r="CC41" t="e">
        <f>AND('SPR BARRANQUILLA'!FO45,"AAAAAH/na1A=")</f>
        <v>#VALUE!</v>
      </c>
      <c r="CD41" t="e">
        <f>AND('SPR BARRANQUILLA'!FP45,"AAAAAH/na1E=")</f>
        <v>#VALUE!</v>
      </c>
      <c r="CE41" t="e">
        <f>AND('SPR BARRANQUILLA'!FQ45,"AAAAAH/na1I=")</f>
        <v>#VALUE!</v>
      </c>
      <c r="CF41" t="e">
        <f>AND('SPR BARRANQUILLA'!FR45,"AAAAAH/na1M=")</f>
        <v>#VALUE!</v>
      </c>
      <c r="CG41" t="e">
        <f>AND('SPR BARRANQUILLA'!FS45,"AAAAAH/na1Q=")</f>
        <v>#VALUE!</v>
      </c>
      <c r="CH41" t="e">
        <f>AND('SPR BARRANQUILLA'!FT45,"AAAAAH/na1U=")</f>
        <v>#VALUE!</v>
      </c>
      <c r="CI41" t="e">
        <f>AND('SPR BARRANQUILLA'!FU45,"AAAAAH/na1Y=")</f>
        <v>#VALUE!</v>
      </c>
      <c r="CJ41" t="e">
        <f>AND('SPR BARRANQUILLA'!FV45,"AAAAAH/na1c=")</f>
        <v>#VALUE!</v>
      </c>
      <c r="CK41" t="e">
        <f>AND('SPR BARRANQUILLA'!FW45,"AAAAAH/na1g=")</f>
        <v>#VALUE!</v>
      </c>
      <c r="CL41" t="e">
        <f>AND('SPR BARRANQUILLA'!FX45,"AAAAAH/na1k=")</f>
        <v>#VALUE!</v>
      </c>
      <c r="CM41" t="e">
        <f>AND('SPR BARRANQUILLA'!FY45,"AAAAAH/na1o=")</f>
        <v>#VALUE!</v>
      </c>
      <c r="CN41" t="e">
        <f>AND('SPR BARRANQUILLA'!FZ45,"AAAAAH/na1s=")</f>
        <v>#VALUE!</v>
      </c>
      <c r="CO41" t="e">
        <f>AND('SPR BARRANQUILLA'!GA45,"AAAAAH/na1w=")</f>
        <v>#VALUE!</v>
      </c>
      <c r="CP41" t="e">
        <f>AND('SPR BARRANQUILLA'!GB45,"AAAAAH/na10=")</f>
        <v>#VALUE!</v>
      </c>
      <c r="CQ41" t="e">
        <f>AND('SPR BARRANQUILLA'!GC45,"AAAAAH/na14=")</f>
        <v>#VALUE!</v>
      </c>
      <c r="CR41" t="e">
        <f>AND('SPR BARRANQUILLA'!GD45,"AAAAAH/na18=")</f>
        <v>#VALUE!</v>
      </c>
      <c r="CS41" t="e">
        <f>AND('SPR BARRANQUILLA'!GE45,"AAAAAH/na2A=")</f>
        <v>#VALUE!</v>
      </c>
      <c r="CT41" t="e">
        <f>AND('SPR BARRANQUILLA'!GF45,"AAAAAH/na2E=")</f>
        <v>#VALUE!</v>
      </c>
      <c r="CU41" t="e">
        <f>AND('SPR BARRANQUILLA'!GG45,"AAAAAH/na2I=")</f>
        <v>#VALUE!</v>
      </c>
      <c r="CV41" t="e">
        <f>AND('SPR BARRANQUILLA'!GH45,"AAAAAH/na2M=")</f>
        <v>#VALUE!</v>
      </c>
      <c r="CW41" t="e">
        <f>AND('SPR BARRANQUILLA'!GI45,"AAAAAH/na2Q=")</f>
        <v>#VALUE!</v>
      </c>
      <c r="CX41" t="e">
        <f>AND('SPR BARRANQUILLA'!GJ45,"AAAAAH/na2U=")</f>
        <v>#VALUE!</v>
      </c>
      <c r="CY41" t="e">
        <f>AND('SPR BARRANQUILLA'!GK45,"AAAAAH/na2Y=")</f>
        <v>#VALUE!</v>
      </c>
      <c r="CZ41" t="e">
        <f>AND('SPR BARRANQUILLA'!GL45,"AAAAAH/na2c=")</f>
        <v>#VALUE!</v>
      </c>
      <c r="DA41" t="e">
        <f>AND('SPR BARRANQUILLA'!GM45,"AAAAAH/na2g=")</f>
        <v>#VALUE!</v>
      </c>
      <c r="DB41" t="e">
        <f>AND('SPR BARRANQUILLA'!GN45,"AAAAAH/na2k=")</f>
        <v>#VALUE!</v>
      </c>
      <c r="DC41" t="e">
        <f>AND('SPR BARRANQUILLA'!GO45,"AAAAAH/na2o=")</f>
        <v>#VALUE!</v>
      </c>
      <c r="DD41" t="e">
        <f>AND('SPR BARRANQUILLA'!GP45,"AAAAAH/na2s=")</f>
        <v>#VALUE!</v>
      </c>
      <c r="DE41" t="e">
        <f>AND('SPR BARRANQUILLA'!GQ45,"AAAAAH/na2w=")</f>
        <v>#VALUE!</v>
      </c>
      <c r="DF41" t="e">
        <f>AND('SPR BARRANQUILLA'!GR45,"AAAAAH/na20=")</f>
        <v>#VALUE!</v>
      </c>
      <c r="DG41" t="e">
        <f>AND('SPR BARRANQUILLA'!GS45,"AAAAAH/na24=")</f>
        <v>#VALUE!</v>
      </c>
      <c r="DH41" t="e">
        <f>AND('SPR BARRANQUILLA'!GT45,"AAAAAH/na28=")</f>
        <v>#VALUE!</v>
      </c>
      <c r="DI41" t="e">
        <f>AND('SPR BARRANQUILLA'!GU45,"AAAAAH/na3A=")</f>
        <v>#VALUE!</v>
      </c>
      <c r="DJ41" t="e">
        <f>AND('SPR BARRANQUILLA'!GV45,"AAAAAH/na3E=")</f>
        <v>#VALUE!</v>
      </c>
      <c r="DK41" t="e">
        <f>AND('SPR BARRANQUILLA'!GW45,"AAAAAH/na3I=")</f>
        <v>#VALUE!</v>
      </c>
      <c r="DL41" t="e">
        <f>AND('SPR BARRANQUILLA'!GX45,"AAAAAH/na3M=")</f>
        <v>#VALUE!</v>
      </c>
      <c r="DM41" t="e">
        <f>AND('SPR BARRANQUILLA'!GY45,"AAAAAH/na3Q=")</f>
        <v>#VALUE!</v>
      </c>
      <c r="DN41">
        <f>IF('SPR BARRANQUILLA'!46:46,"AAAAAH/na3U=",0)</f>
        <v>0</v>
      </c>
      <c r="DO41" t="e">
        <f>AND('SPR BARRANQUILLA'!A46,"AAAAAH/na3Y=")</f>
        <v>#VALUE!</v>
      </c>
      <c r="DP41" t="e">
        <f>AND('SPR BARRANQUILLA'!B46,"AAAAAH/na3c=")</f>
        <v>#VALUE!</v>
      </c>
      <c r="DQ41" t="e">
        <f>AND('SPR BARRANQUILLA'!C46,"AAAAAH/na3g=")</f>
        <v>#VALUE!</v>
      </c>
      <c r="DR41" t="e">
        <f>AND('SPR BARRANQUILLA'!D46,"AAAAAH/na3k=")</f>
        <v>#VALUE!</v>
      </c>
      <c r="DS41" t="e">
        <f>AND('SPR BARRANQUILLA'!E46,"AAAAAH/na3o=")</f>
        <v>#VALUE!</v>
      </c>
      <c r="DT41" t="e">
        <f>AND('SPR BARRANQUILLA'!F46,"AAAAAH/na3s=")</f>
        <v>#VALUE!</v>
      </c>
      <c r="DU41" t="e">
        <f>AND('SPR BARRANQUILLA'!G46,"AAAAAH/na3w=")</f>
        <v>#VALUE!</v>
      </c>
      <c r="DV41" t="e">
        <f>AND('SPR BARRANQUILLA'!H46,"AAAAAH/na30=")</f>
        <v>#VALUE!</v>
      </c>
      <c r="DW41" t="e">
        <f>AND('SPR BARRANQUILLA'!I46,"AAAAAH/na34=")</f>
        <v>#VALUE!</v>
      </c>
      <c r="DX41" t="e">
        <f>AND('SPR BARRANQUILLA'!J46,"AAAAAH/na38=")</f>
        <v>#VALUE!</v>
      </c>
      <c r="DY41" t="e">
        <f>AND('SPR BARRANQUILLA'!K46,"AAAAAH/na4A=")</f>
        <v>#VALUE!</v>
      </c>
      <c r="DZ41" t="e">
        <f>AND('SPR BARRANQUILLA'!L46,"AAAAAH/na4E=")</f>
        <v>#VALUE!</v>
      </c>
      <c r="EA41" t="e">
        <f>AND('SPR BARRANQUILLA'!M46,"AAAAAH/na4I=")</f>
        <v>#VALUE!</v>
      </c>
      <c r="EB41" t="e">
        <f>AND('SPR BARRANQUILLA'!N46,"AAAAAH/na4M=")</f>
        <v>#VALUE!</v>
      </c>
      <c r="EC41" t="e">
        <f>AND('SPR BARRANQUILLA'!O46,"AAAAAH/na4Q=")</f>
        <v>#VALUE!</v>
      </c>
      <c r="ED41" t="e">
        <f>AND('SPR BARRANQUILLA'!P46,"AAAAAH/na4U=")</f>
        <v>#VALUE!</v>
      </c>
      <c r="EE41" t="e">
        <f>AND('SPR BARRANQUILLA'!Q46,"AAAAAH/na4Y=")</f>
        <v>#VALUE!</v>
      </c>
      <c r="EF41" t="e">
        <f>AND('SPR BARRANQUILLA'!R46,"AAAAAH/na4c=")</f>
        <v>#VALUE!</v>
      </c>
      <c r="EG41" t="e">
        <f>AND('SPR BARRANQUILLA'!S46,"AAAAAH/na4g=")</f>
        <v>#VALUE!</v>
      </c>
      <c r="EH41" t="e">
        <f>AND('SPR BARRANQUILLA'!T46,"AAAAAH/na4k=")</f>
        <v>#VALUE!</v>
      </c>
      <c r="EI41" t="e">
        <f>AND('SPR BARRANQUILLA'!U46,"AAAAAH/na4o=")</f>
        <v>#VALUE!</v>
      </c>
      <c r="EJ41" t="e">
        <f>AND('SPR BARRANQUILLA'!V46,"AAAAAH/na4s=")</f>
        <v>#VALUE!</v>
      </c>
      <c r="EK41" t="e">
        <f>AND('SPR BARRANQUILLA'!W46,"AAAAAH/na4w=")</f>
        <v>#VALUE!</v>
      </c>
      <c r="EL41" t="e">
        <f>AND('SPR BARRANQUILLA'!X46,"AAAAAH/na40=")</f>
        <v>#VALUE!</v>
      </c>
      <c r="EM41" t="e">
        <f>AND('SPR BARRANQUILLA'!Y46,"AAAAAH/na44=")</f>
        <v>#VALUE!</v>
      </c>
      <c r="EN41" t="e">
        <f>AND('SPR BARRANQUILLA'!Z46,"AAAAAH/na48=")</f>
        <v>#VALUE!</v>
      </c>
      <c r="EO41" t="e">
        <f>AND('SPR BARRANQUILLA'!AA46,"AAAAAH/na5A=")</f>
        <v>#VALUE!</v>
      </c>
      <c r="EP41" t="e">
        <f>AND('SPR BARRANQUILLA'!AB46,"AAAAAH/na5E=")</f>
        <v>#VALUE!</v>
      </c>
      <c r="EQ41" t="e">
        <f>AND('SPR BARRANQUILLA'!AC46,"AAAAAH/na5I=")</f>
        <v>#VALUE!</v>
      </c>
      <c r="ER41" t="e">
        <f>AND('SPR BARRANQUILLA'!AD46,"AAAAAH/na5M=")</f>
        <v>#VALUE!</v>
      </c>
      <c r="ES41" t="e">
        <f>AND('SPR BARRANQUILLA'!AE46,"AAAAAH/na5Q=")</f>
        <v>#VALUE!</v>
      </c>
      <c r="ET41" t="e">
        <f>AND('SPR BARRANQUILLA'!AF46,"AAAAAH/na5U=")</f>
        <v>#VALUE!</v>
      </c>
      <c r="EU41" t="e">
        <f>AND('SPR BARRANQUILLA'!AG46,"AAAAAH/na5Y=")</f>
        <v>#VALUE!</v>
      </c>
      <c r="EV41" t="e">
        <f>AND('SPR BARRANQUILLA'!AH46,"AAAAAH/na5c=")</f>
        <v>#VALUE!</v>
      </c>
      <c r="EW41" t="e">
        <f>AND('SPR BARRANQUILLA'!AI46,"AAAAAH/na5g=")</f>
        <v>#VALUE!</v>
      </c>
      <c r="EX41" t="e">
        <f>AND('SPR BARRANQUILLA'!AJ46,"AAAAAH/na5k=")</f>
        <v>#VALUE!</v>
      </c>
      <c r="EY41" t="e">
        <f>AND('SPR BARRANQUILLA'!AK46,"AAAAAH/na5o=")</f>
        <v>#VALUE!</v>
      </c>
      <c r="EZ41" t="e">
        <f>AND('SPR BARRANQUILLA'!AL46,"AAAAAH/na5s=")</f>
        <v>#VALUE!</v>
      </c>
      <c r="FA41" t="e">
        <f>AND('SPR BARRANQUILLA'!AM46,"AAAAAH/na5w=")</f>
        <v>#VALUE!</v>
      </c>
      <c r="FB41" t="e">
        <f>AND('SPR BARRANQUILLA'!AN46,"AAAAAH/na50=")</f>
        <v>#VALUE!</v>
      </c>
      <c r="FC41" t="e">
        <f>AND('SPR BARRANQUILLA'!AO46,"AAAAAH/na54=")</f>
        <v>#VALUE!</v>
      </c>
      <c r="FD41" t="e">
        <f>AND('SPR BARRANQUILLA'!AP46,"AAAAAH/na58=")</f>
        <v>#VALUE!</v>
      </c>
      <c r="FE41" t="e">
        <f>AND('SPR BARRANQUILLA'!AQ46,"AAAAAH/na6A=")</f>
        <v>#VALUE!</v>
      </c>
      <c r="FF41" t="e">
        <f>AND('SPR BARRANQUILLA'!AR46,"AAAAAH/na6E=")</f>
        <v>#VALUE!</v>
      </c>
      <c r="FG41" t="e">
        <f>AND('SPR BARRANQUILLA'!AS46,"AAAAAH/na6I=")</f>
        <v>#VALUE!</v>
      </c>
      <c r="FH41" t="e">
        <f>AND('SPR BARRANQUILLA'!AT46,"AAAAAH/na6M=")</f>
        <v>#VALUE!</v>
      </c>
      <c r="FI41" t="e">
        <f>AND('SPR BARRANQUILLA'!AU46,"AAAAAH/na6Q=")</f>
        <v>#VALUE!</v>
      </c>
      <c r="FJ41" t="e">
        <f>AND('SPR BARRANQUILLA'!AV46,"AAAAAH/na6U=")</f>
        <v>#VALUE!</v>
      </c>
      <c r="FK41" t="e">
        <f>AND('SPR BARRANQUILLA'!AW46,"AAAAAH/na6Y=")</f>
        <v>#VALUE!</v>
      </c>
      <c r="FL41" t="e">
        <f>AND('SPR BARRANQUILLA'!AX46,"AAAAAH/na6c=")</f>
        <v>#VALUE!</v>
      </c>
      <c r="FM41" t="e">
        <f>AND('SPR BARRANQUILLA'!AY46,"AAAAAH/na6g=")</f>
        <v>#VALUE!</v>
      </c>
      <c r="FN41" t="e">
        <f>AND('SPR BARRANQUILLA'!AZ46,"AAAAAH/na6k=")</f>
        <v>#VALUE!</v>
      </c>
      <c r="FO41" t="e">
        <f>AND('SPR BARRANQUILLA'!BA46,"AAAAAH/na6o=")</f>
        <v>#VALUE!</v>
      </c>
      <c r="FP41" t="e">
        <f>AND('SPR BARRANQUILLA'!BB46,"AAAAAH/na6s=")</f>
        <v>#VALUE!</v>
      </c>
      <c r="FQ41" t="e">
        <f>AND('SPR BARRANQUILLA'!BC46,"AAAAAH/na6w=")</f>
        <v>#VALUE!</v>
      </c>
      <c r="FR41" t="e">
        <f>AND('SPR BARRANQUILLA'!BD46,"AAAAAH/na60=")</f>
        <v>#VALUE!</v>
      </c>
      <c r="FS41" t="e">
        <f>AND('SPR BARRANQUILLA'!BE46,"AAAAAH/na64=")</f>
        <v>#VALUE!</v>
      </c>
      <c r="FT41" t="e">
        <f>AND('SPR BARRANQUILLA'!BF46,"AAAAAH/na68=")</f>
        <v>#VALUE!</v>
      </c>
      <c r="FU41" t="e">
        <f>AND('SPR BARRANQUILLA'!BG46,"AAAAAH/na7A=")</f>
        <v>#VALUE!</v>
      </c>
      <c r="FV41" t="e">
        <f>AND('SPR BARRANQUILLA'!BH46,"AAAAAH/na7E=")</f>
        <v>#VALUE!</v>
      </c>
      <c r="FW41" t="e">
        <f>AND('SPR BARRANQUILLA'!BI46,"AAAAAH/na7I=")</f>
        <v>#VALUE!</v>
      </c>
      <c r="FX41" t="e">
        <f>AND('SPR BARRANQUILLA'!BJ46,"AAAAAH/na7M=")</f>
        <v>#VALUE!</v>
      </c>
      <c r="FY41" t="e">
        <f>AND('SPR BARRANQUILLA'!BK46,"AAAAAH/na7Q=")</f>
        <v>#VALUE!</v>
      </c>
      <c r="FZ41" t="e">
        <f>AND('SPR BARRANQUILLA'!BL46,"AAAAAH/na7U=")</f>
        <v>#VALUE!</v>
      </c>
      <c r="GA41" t="e">
        <f>AND('SPR BARRANQUILLA'!BM46,"AAAAAH/na7Y=")</f>
        <v>#VALUE!</v>
      </c>
      <c r="GB41" t="e">
        <f>AND('SPR BARRANQUILLA'!BN46,"AAAAAH/na7c=")</f>
        <v>#VALUE!</v>
      </c>
      <c r="GC41" t="e">
        <f>AND('SPR BARRANQUILLA'!BO46,"AAAAAH/na7g=")</f>
        <v>#VALUE!</v>
      </c>
      <c r="GD41" t="e">
        <f>AND('SPR BARRANQUILLA'!BP46,"AAAAAH/na7k=")</f>
        <v>#VALUE!</v>
      </c>
      <c r="GE41" t="e">
        <f>AND('SPR BARRANQUILLA'!BQ46,"AAAAAH/na7o=")</f>
        <v>#VALUE!</v>
      </c>
      <c r="GF41" t="e">
        <f>AND('SPR BARRANQUILLA'!BR46,"AAAAAH/na7s=")</f>
        <v>#VALUE!</v>
      </c>
      <c r="GG41" t="e">
        <f>AND('SPR BARRANQUILLA'!BS46,"AAAAAH/na7w=")</f>
        <v>#VALUE!</v>
      </c>
      <c r="GH41" t="e">
        <f>AND('SPR BARRANQUILLA'!BT46,"AAAAAH/na70=")</f>
        <v>#VALUE!</v>
      </c>
      <c r="GI41" t="e">
        <f>AND('SPR BARRANQUILLA'!BU46,"AAAAAH/na74=")</f>
        <v>#VALUE!</v>
      </c>
      <c r="GJ41" t="e">
        <f>AND('SPR BARRANQUILLA'!BV46,"AAAAAH/na78=")</f>
        <v>#VALUE!</v>
      </c>
      <c r="GK41" t="e">
        <f>AND('SPR BARRANQUILLA'!BW46,"AAAAAH/na8A=")</f>
        <v>#VALUE!</v>
      </c>
      <c r="GL41" t="e">
        <f>AND('SPR BARRANQUILLA'!BX46,"AAAAAH/na8E=")</f>
        <v>#VALUE!</v>
      </c>
      <c r="GM41" t="e">
        <f>AND('SPR BARRANQUILLA'!BY46,"AAAAAH/na8I=")</f>
        <v>#VALUE!</v>
      </c>
      <c r="GN41" t="e">
        <f>AND('SPR BARRANQUILLA'!BZ46,"AAAAAH/na8M=")</f>
        <v>#VALUE!</v>
      </c>
      <c r="GO41" t="e">
        <f>AND('SPR BARRANQUILLA'!CA46,"AAAAAH/na8Q=")</f>
        <v>#VALUE!</v>
      </c>
      <c r="GP41" t="e">
        <f>AND('SPR BARRANQUILLA'!CB46,"AAAAAH/na8U=")</f>
        <v>#VALUE!</v>
      </c>
      <c r="GQ41" t="e">
        <f>AND('SPR BARRANQUILLA'!CC46,"AAAAAH/na8Y=")</f>
        <v>#VALUE!</v>
      </c>
      <c r="GR41" t="e">
        <f>AND('SPR BARRANQUILLA'!CD46,"AAAAAH/na8c=")</f>
        <v>#VALUE!</v>
      </c>
      <c r="GS41" t="e">
        <f>AND('SPR BARRANQUILLA'!CE46,"AAAAAH/na8g=")</f>
        <v>#VALUE!</v>
      </c>
      <c r="GT41" t="e">
        <f>AND('SPR BARRANQUILLA'!CF46,"AAAAAH/na8k=")</f>
        <v>#VALUE!</v>
      </c>
      <c r="GU41" t="e">
        <f>AND('SPR BARRANQUILLA'!CG46,"AAAAAH/na8o=")</f>
        <v>#VALUE!</v>
      </c>
      <c r="GV41" t="e">
        <f>AND('SPR BARRANQUILLA'!CH46,"AAAAAH/na8s=")</f>
        <v>#VALUE!</v>
      </c>
      <c r="GW41" t="e">
        <f>AND('SPR BARRANQUILLA'!CI46,"AAAAAH/na8w=")</f>
        <v>#VALUE!</v>
      </c>
      <c r="GX41" t="e">
        <f>AND('SPR BARRANQUILLA'!CJ46,"AAAAAH/na80=")</f>
        <v>#VALUE!</v>
      </c>
      <c r="GY41" t="e">
        <f>AND('SPR BARRANQUILLA'!CK46,"AAAAAH/na84=")</f>
        <v>#VALUE!</v>
      </c>
      <c r="GZ41" t="e">
        <f>AND('SPR BARRANQUILLA'!CL46,"AAAAAH/na88=")</f>
        <v>#VALUE!</v>
      </c>
      <c r="HA41" t="e">
        <f>AND('SPR BARRANQUILLA'!CM46,"AAAAAH/na9A=")</f>
        <v>#VALUE!</v>
      </c>
      <c r="HB41" t="e">
        <f>AND('SPR BARRANQUILLA'!CN46,"AAAAAH/na9E=")</f>
        <v>#VALUE!</v>
      </c>
      <c r="HC41" t="e">
        <f>AND('SPR BARRANQUILLA'!CO46,"AAAAAH/na9I=")</f>
        <v>#VALUE!</v>
      </c>
      <c r="HD41" t="e">
        <f>AND('SPR BARRANQUILLA'!CP46,"AAAAAH/na9M=")</f>
        <v>#VALUE!</v>
      </c>
      <c r="HE41" t="e">
        <f>AND('SPR BARRANQUILLA'!CQ46,"AAAAAH/na9Q=")</f>
        <v>#VALUE!</v>
      </c>
      <c r="HF41" t="e">
        <f>AND('SPR BARRANQUILLA'!CR46,"AAAAAH/na9U=")</f>
        <v>#VALUE!</v>
      </c>
      <c r="HG41" t="e">
        <f>AND('SPR BARRANQUILLA'!CS46,"AAAAAH/na9Y=")</f>
        <v>#VALUE!</v>
      </c>
      <c r="HH41" t="e">
        <f>AND('SPR BARRANQUILLA'!CT46,"AAAAAH/na9c=")</f>
        <v>#VALUE!</v>
      </c>
      <c r="HI41" t="e">
        <f>AND('SPR BARRANQUILLA'!CU46,"AAAAAH/na9g=")</f>
        <v>#VALUE!</v>
      </c>
      <c r="HJ41" t="e">
        <f>AND('SPR BARRANQUILLA'!CV46,"AAAAAH/na9k=")</f>
        <v>#VALUE!</v>
      </c>
      <c r="HK41" t="e">
        <f>AND('SPR BARRANQUILLA'!CW46,"AAAAAH/na9o=")</f>
        <v>#VALUE!</v>
      </c>
      <c r="HL41" t="e">
        <f>AND('SPR BARRANQUILLA'!CX46,"AAAAAH/na9s=")</f>
        <v>#VALUE!</v>
      </c>
      <c r="HM41" t="e">
        <f>AND('SPR BARRANQUILLA'!CY46,"AAAAAH/na9w=")</f>
        <v>#VALUE!</v>
      </c>
      <c r="HN41" t="e">
        <f>AND('SPR BARRANQUILLA'!CZ46,"AAAAAH/na90=")</f>
        <v>#VALUE!</v>
      </c>
      <c r="HO41" t="e">
        <f>AND('SPR BARRANQUILLA'!DA46,"AAAAAH/na94=")</f>
        <v>#VALUE!</v>
      </c>
      <c r="HP41" t="e">
        <f>AND('SPR BARRANQUILLA'!DB46,"AAAAAH/na98=")</f>
        <v>#VALUE!</v>
      </c>
      <c r="HQ41" t="e">
        <f>AND('SPR BARRANQUILLA'!DC46,"AAAAAH/na+A=")</f>
        <v>#VALUE!</v>
      </c>
      <c r="HR41" t="e">
        <f>AND('SPR BARRANQUILLA'!DD46,"AAAAAH/na+E=")</f>
        <v>#VALUE!</v>
      </c>
      <c r="HS41" t="e">
        <f>AND('SPR BARRANQUILLA'!DE46,"AAAAAH/na+I=")</f>
        <v>#VALUE!</v>
      </c>
      <c r="HT41" t="e">
        <f>AND('SPR BARRANQUILLA'!DF46,"AAAAAH/na+M=")</f>
        <v>#VALUE!</v>
      </c>
      <c r="HU41" t="e">
        <f>AND('SPR BARRANQUILLA'!DG46,"AAAAAH/na+Q=")</f>
        <v>#VALUE!</v>
      </c>
      <c r="HV41" t="e">
        <f>AND('SPR BARRANQUILLA'!DH46,"AAAAAH/na+U=")</f>
        <v>#VALUE!</v>
      </c>
      <c r="HW41" t="e">
        <f>AND('SPR BARRANQUILLA'!DI46,"AAAAAH/na+Y=")</f>
        <v>#VALUE!</v>
      </c>
      <c r="HX41" t="e">
        <f>AND('SPR BARRANQUILLA'!DJ46,"AAAAAH/na+c=")</f>
        <v>#VALUE!</v>
      </c>
      <c r="HY41" t="e">
        <f>AND('SPR BARRANQUILLA'!DK46,"AAAAAH/na+g=")</f>
        <v>#VALUE!</v>
      </c>
      <c r="HZ41" t="e">
        <f>AND('SPR BARRANQUILLA'!DL46,"AAAAAH/na+k=")</f>
        <v>#VALUE!</v>
      </c>
      <c r="IA41" t="e">
        <f>AND('SPR BARRANQUILLA'!DM46,"AAAAAH/na+o=")</f>
        <v>#VALUE!</v>
      </c>
      <c r="IB41" t="e">
        <f>AND('SPR BARRANQUILLA'!DN46,"AAAAAH/na+s=")</f>
        <v>#VALUE!</v>
      </c>
      <c r="IC41" t="e">
        <f>AND('SPR BARRANQUILLA'!DO46,"AAAAAH/na+w=")</f>
        <v>#VALUE!</v>
      </c>
      <c r="ID41" t="e">
        <f>AND('SPR BARRANQUILLA'!DP46,"AAAAAH/na+0=")</f>
        <v>#VALUE!</v>
      </c>
      <c r="IE41" t="e">
        <f>AND('SPR BARRANQUILLA'!DQ46,"AAAAAH/na+4=")</f>
        <v>#VALUE!</v>
      </c>
      <c r="IF41" t="e">
        <f>AND('SPR BARRANQUILLA'!DR46,"AAAAAH/na+8=")</f>
        <v>#VALUE!</v>
      </c>
      <c r="IG41" t="e">
        <f>AND('SPR BARRANQUILLA'!DS46,"AAAAAH/na/A=")</f>
        <v>#VALUE!</v>
      </c>
      <c r="IH41" t="e">
        <f>AND('SPR BARRANQUILLA'!DT46,"AAAAAH/na/E=")</f>
        <v>#VALUE!</v>
      </c>
      <c r="II41" t="e">
        <f>AND('SPR BARRANQUILLA'!DU46,"AAAAAH/na/I=")</f>
        <v>#VALUE!</v>
      </c>
      <c r="IJ41" t="e">
        <f>AND('SPR BARRANQUILLA'!DV46,"AAAAAH/na/M=")</f>
        <v>#VALUE!</v>
      </c>
      <c r="IK41" t="e">
        <f>AND('SPR BARRANQUILLA'!DW46,"AAAAAH/na/Q=")</f>
        <v>#VALUE!</v>
      </c>
      <c r="IL41" t="e">
        <f>AND('SPR BARRANQUILLA'!DX46,"AAAAAH/na/U=")</f>
        <v>#VALUE!</v>
      </c>
      <c r="IM41" t="e">
        <f>AND('SPR BARRANQUILLA'!DY46,"AAAAAH/na/Y=")</f>
        <v>#VALUE!</v>
      </c>
      <c r="IN41" t="e">
        <f>AND('SPR BARRANQUILLA'!DZ46,"AAAAAH/na/c=")</f>
        <v>#VALUE!</v>
      </c>
      <c r="IO41" t="e">
        <f>AND('SPR BARRANQUILLA'!EA46,"AAAAAH/na/g=")</f>
        <v>#VALUE!</v>
      </c>
      <c r="IP41" t="e">
        <f>AND('SPR BARRANQUILLA'!EB46,"AAAAAH/na/k=")</f>
        <v>#VALUE!</v>
      </c>
      <c r="IQ41" t="e">
        <f>AND('SPR BARRANQUILLA'!EC46,"AAAAAH/na/o=")</f>
        <v>#VALUE!</v>
      </c>
      <c r="IR41" t="e">
        <f>AND('SPR BARRANQUILLA'!ED46,"AAAAAH/na/s=")</f>
        <v>#VALUE!</v>
      </c>
      <c r="IS41" t="e">
        <f>AND('SPR BARRANQUILLA'!EE46,"AAAAAH/na/w=")</f>
        <v>#VALUE!</v>
      </c>
      <c r="IT41" t="e">
        <f>AND('SPR BARRANQUILLA'!EF46,"AAAAAH/na/0=")</f>
        <v>#VALUE!</v>
      </c>
      <c r="IU41" t="e">
        <f>AND('SPR BARRANQUILLA'!EG46,"AAAAAH/na/4=")</f>
        <v>#VALUE!</v>
      </c>
      <c r="IV41" t="e">
        <f>AND('SPR BARRANQUILLA'!EH46,"AAAAAH/na/8=")</f>
        <v>#VALUE!</v>
      </c>
    </row>
    <row r="42" spans="1:256">
      <c r="A42" t="e">
        <f>AND('SPR BARRANQUILLA'!EI46,"AAAAAH9/fwA=")</f>
        <v>#VALUE!</v>
      </c>
      <c r="B42" t="e">
        <f>AND('SPR BARRANQUILLA'!EJ46,"AAAAAH9/fwE=")</f>
        <v>#VALUE!</v>
      </c>
      <c r="C42" t="e">
        <f>AND('SPR BARRANQUILLA'!EK46,"AAAAAH9/fwI=")</f>
        <v>#VALUE!</v>
      </c>
      <c r="D42" t="e">
        <f>AND('SPR BARRANQUILLA'!EL46,"AAAAAH9/fwM=")</f>
        <v>#VALUE!</v>
      </c>
      <c r="E42" t="e">
        <f>AND('SPR BARRANQUILLA'!EM46,"AAAAAH9/fwQ=")</f>
        <v>#VALUE!</v>
      </c>
      <c r="F42" t="e">
        <f>AND('SPR BARRANQUILLA'!EN46,"AAAAAH9/fwU=")</f>
        <v>#VALUE!</v>
      </c>
      <c r="G42" t="e">
        <f>AND('SPR BARRANQUILLA'!EO46,"AAAAAH9/fwY=")</f>
        <v>#VALUE!</v>
      </c>
      <c r="H42" t="e">
        <f>AND('SPR BARRANQUILLA'!EP46,"AAAAAH9/fwc=")</f>
        <v>#VALUE!</v>
      </c>
      <c r="I42" t="e">
        <f>AND('SPR BARRANQUILLA'!EQ46,"AAAAAH9/fwg=")</f>
        <v>#VALUE!</v>
      </c>
      <c r="J42" t="e">
        <f>AND('SPR BARRANQUILLA'!ER46,"AAAAAH9/fwk=")</f>
        <v>#VALUE!</v>
      </c>
      <c r="K42" t="e">
        <f>AND('SPR BARRANQUILLA'!ES46,"AAAAAH9/fwo=")</f>
        <v>#VALUE!</v>
      </c>
      <c r="L42" t="e">
        <f>AND('SPR BARRANQUILLA'!ET46,"AAAAAH9/fws=")</f>
        <v>#VALUE!</v>
      </c>
      <c r="M42" t="e">
        <f>AND('SPR BARRANQUILLA'!EU46,"AAAAAH9/fww=")</f>
        <v>#VALUE!</v>
      </c>
      <c r="N42" t="e">
        <f>AND('SPR BARRANQUILLA'!EV46,"AAAAAH9/fw0=")</f>
        <v>#VALUE!</v>
      </c>
      <c r="O42" t="e">
        <f>AND('SPR BARRANQUILLA'!EW46,"AAAAAH9/fw4=")</f>
        <v>#VALUE!</v>
      </c>
      <c r="P42" t="e">
        <f>AND('SPR BARRANQUILLA'!EX46,"AAAAAH9/fw8=")</f>
        <v>#VALUE!</v>
      </c>
      <c r="Q42" t="e">
        <f>AND('SPR BARRANQUILLA'!EY46,"AAAAAH9/fxA=")</f>
        <v>#VALUE!</v>
      </c>
      <c r="R42" t="e">
        <f>AND('SPR BARRANQUILLA'!EZ46,"AAAAAH9/fxE=")</f>
        <v>#VALUE!</v>
      </c>
      <c r="S42" t="e">
        <f>AND('SPR BARRANQUILLA'!FA46,"AAAAAH9/fxI=")</f>
        <v>#VALUE!</v>
      </c>
      <c r="T42" t="e">
        <f>AND('SPR BARRANQUILLA'!FB46,"AAAAAH9/fxM=")</f>
        <v>#VALUE!</v>
      </c>
      <c r="U42" t="e">
        <f>AND('SPR BARRANQUILLA'!FC46,"AAAAAH9/fxQ=")</f>
        <v>#VALUE!</v>
      </c>
      <c r="V42" t="e">
        <f>AND('SPR BARRANQUILLA'!FD46,"AAAAAH9/fxU=")</f>
        <v>#VALUE!</v>
      </c>
      <c r="W42" t="e">
        <f>AND('SPR BARRANQUILLA'!FE46,"AAAAAH9/fxY=")</f>
        <v>#VALUE!</v>
      </c>
      <c r="X42" t="e">
        <f>AND('SPR BARRANQUILLA'!FF46,"AAAAAH9/fxc=")</f>
        <v>#VALUE!</v>
      </c>
      <c r="Y42" t="e">
        <f>AND('SPR BARRANQUILLA'!FG46,"AAAAAH9/fxg=")</f>
        <v>#VALUE!</v>
      </c>
      <c r="Z42" t="e">
        <f>AND('SPR BARRANQUILLA'!FH46,"AAAAAH9/fxk=")</f>
        <v>#VALUE!</v>
      </c>
      <c r="AA42" t="e">
        <f>AND('SPR BARRANQUILLA'!FI46,"AAAAAH9/fxo=")</f>
        <v>#VALUE!</v>
      </c>
      <c r="AB42" t="e">
        <f>AND('SPR BARRANQUILLA'!FJ46,"AAAAAH9/fxs=")</f>
        <v>#VALUE!</v>
      </c>
      <c r="AC42" t="e">
        <f>AND('SPR BARRANQUILLA'!FK46,"AAAAAH9/fxw=")</f>
        <v>#VALUE!</v>
      </c>
      <c r="AD42" t="e">
        <f>AND('SPR BARRANQUILLA'!FL46,"AAAAAH9/fx0=")</f>
        <v>#VALUE!</v>
      </c>
      <c r="AE42" t="e">
        <f>AND('SPR BARRANQUILLA'!FM46,"AAAAAH9/fx4=")</f>
        <v>#VALUE!</v>
      </c>
      <c r="AF42" t="e">
        <f>AND('SPR BARRANQUILLA'!FN46,"AAAAAH9/fx8=")</f>
        <v>#VALUE!</v>
      </c>
      <c r="AG42" t="e">
        <f>AND('SPR BARRANQUILLA'!FO46,"AAAAAH9/fyA=")</f>
        <v>#VALUE!</v>
      </c>
      <c r="AH42" t="e">
        <f>AND('SPR BARRANQUILLA'!FP46,"AAAAAH9/fyE=")</f>
        <v>#VALUE!</v>
      </c>
      <c r="AI42" t="e">
        <f>AND('SPR BARRANQUILLA'!FQ46,"AAAAAH9/fyI=")</f>
        <v>#VALUE!</v>
      </c>
      <c r="AJ42" t="e">
        <f>AND('SPR BARRANQUILLA'!FR46,"AAAAAH9/fyM=")</f>
        <v>#VALUE!</v>
      </c>
      <c r="AK42" t="e">
        <f>AND('SPR BARRANQUILLA'!FS46,"AAAAAH9/fyQ=")</f>
        <v>#VALUE!</v>
      </c>
      <c r="AL42" t="e">
        <f>AND('SPR BARRANQUILLA'!FT46,"AAAAAH9/fyU=")</f>
        <v>#VALUE!</v>
      </c>
      <c r="AM42" t="e">
        <f>AND('SPR BARRANQUILLA'!FU46,"AAAAAH9/fyY=")</f>
        <v>#VALUE!</v>
      </c>
      <c r="AN42" t="e">
        <f>AND('SPR BARRANQUILLA'!FV46,"AAAAAH9/fyc=")</f>
        <v>#VALUE!</v>
      </c>
      <c r="AO42" t="e">
        <f>AND('SPR BARRANQUILLA'!FW46,"AAAAAH9/fyg=")</f>
        <v>#VALUE!</v>
      </c>
      <c r="AP42" t="e">
        <f>AND('SPR BARRANQUILLA'!FX46,"AAAAAH9/fyk=")</f>
        <v>#VALUE!</v>
      </c>
      <c r="AQ42" t="e">
        <f>AND('SPR BARRANQUILLA'!FY46,"AAAAAH9/fyo=")</f>
        <v>#VALUE!</v>
      </c>
      <c r="AR42" t="e">
        <f>AND('SPR BARRANQUILLA'!FZ46,"AAAAAH9/fys=")</f>
        <v>#VALUE!</v>
      </c>
      <c r="AS42" t="e">
        <f>AND('SPR BARRANQUILLA'!GA46,"AAAAAH9/fyw=")</f>
        <v>#VALUE!</v>
      </c>
      <c r="AT42" t="e">
        <f>AND('SPR BARRANQUILLA'!GB46,"AAAAAH9/fy0=")</f>
        <v>#VALUE!</v>
      </c>
      <c r="AU42" t="e">
        <f>AND('SPR BARRANQUILLA'!GC46,"AAAAAH9/fy4=")</f>
        <v>#VALUE!</v>
      </c>
      <c r="AV42" t="e">
        <f>AND('SPR BARRANQUILLA'!GD46,"AAAAAH9/fy8=")</f>
        <v>#VALUE!</v>
      </c>
      <c r="AW42" t="e">
        <f>AND('SPR BARRANQUILLA'!GE46,"AAAAAH9/fzA=")</f>
        <v>#VALUE!</v>
      </c>
      <c r="AX42" t="e">
        <f>AND('SPR BARRANQUILLA'!GF46,"AAAAAH9/fzE=")</f>
        <v>#VALUE!</v>
      </c>
      <c r="AY42" t="e">
        <f>AND('SPR BARRANQUILLA'!GG46,"AAAAAH9/fzI=")</f>
        <v>#VALUE!</v>
      </c>
      <c r="AZ42" t="e">
        <f>AND('SPR BARRANQUILLA'!GH46,"AAAAAH9/fzM=")</f>
        <v>#VALUE!</v>
      </c>
      <c r="BA42" t="e">
        <f>AND('SPR BARRANQUILLA'!GI46,"AAAAAH9/fzQ=")</f>
        <v>#VALUE!</v>
      </c>
      <c r="BB42" t="e">
        <f>AND('SPR BARRANQUILLA'!GJ46,"AAAAAH9/fzU=")</f>
        <v>#VALUE!</v>
      </c>
      <c r="BC42" t="e">
        <f>AND('SPR BARRANQUILLA'!GK46,"AAAAAH9/fzY=")</f>
        <v>#VALUE!</v>
      </c>
      <c r="BD42" t="e">
        <f>AND('SPR BARRANQUILLA'!GL46,"AAAAAH9/fzc=")</f>
        <v>#VALUE!</v>
      </c>
      <c r="BE42" t="e">
        <f>AND('SPR BARRANQUILLA'!GM46,"AAAAAH9/fzg=")</f>
        <v>#VALUE!</v>
      </c>
      <c r="BF42" t="e">
        <f>AND('SPR BARRANQUILLA'!GN46,"AAAAAH9/fzk=")</f>
        <v>#VALUE!</v>
      </c>
      <c r="BG42" t="e">
        <f>AND('SPR BARRANQUILLA'!GO46,"AAAAAH9/fzo=")</f>
        <v>#VALUE!</v>
      </c>
      <c r="BH42" t="e">
        <f>AND('SPR BARRANQUILLA'!GP46,"AAAAAH9/fzs=")</f>
        <v>#VALUE!</v>
      </c>
      <c r="BI42" t="e">
        <f>AND('SPR BARRANQUILLA'!GQ46,"AAAAAH9/fzw=")</f>
        <v>#VALUE!</v>
      </c>
      <c r="BJ42" t="e">
        <f>AND('SPR BARRANQUILLA'!GR46,"AAAAAH9/fz0=")</f>
        <v>#VALUE!</v>
      </c>
      <c r="BK42" t="e">
        <f>AND('SPR BARRANQUILLA'!GS46,"AAAAAH9/fz4=")</f>
        <v>#VALUE!</v>
      </c>
      <c r="BL42" t="e">
        <f>AND('SPR BARRANQUILLA'!GT46,"AAAAAH9/fz8=")</f>
        <v>#VALUE!</v>
      </c>
      <c r="BM42" t="e">
        <f>AND('SPR BARRANQUILLA'!GU46,"AAAAAH9/f0A=")</f>
        <v>#VALUE!</v>
      </c>
      <c r="BN42" t="e">
        <f>AND('SPR BARRANQUILLA'!GV46,"AAAAAH9/f0E=")</f>
        <v>#VALUE!</v>
      </c>
      <c r="BO42" t="e">
        <f>AND('SPR BARRANQUILLA'!GW46,"AAAAAH9/f0I=")</f>
        <v>#VALUE!</v>
      </c>
      <c r="BP42" t="e">
        <f>AND('SPR BARRANQUILLA'!GX46,"AAAAAH9/f0M=")</f>
        <v>#VALUE!</v>
      </c>
      <c r="BQ42" t="e">
        <f>AND('SPR BARRANQUILLA'!GY46,"AAAAAH9/f0Q=")</f>
        <v>#VALUE!</v>
      </c>
      <c r="BR42">
        <f>IF('SPR BARRANQUILLA'!47:47,"AAAAAH9/f0U=",0)</f>
        <v>0</v>
      </c>
      <c r="BS42" t="e">
        <f>AND('SPR BARRANQUILLA'!A47,"AAAAAH9/f0Y=")</f>
        <v>#VALUE!</v>
      </c>
      <c r="BT42" t="e">
        <f>AND('SPR BARRANQUILLA'!B47,"AAAAAH9/f0c=")</f>
        <v>#VALUE!</v>
      </c>
      <c r="BU42" t="e">
        <f>AND('SPR BARRANQUILLA'!C47,"AAAAAH9/f0g=")</f>
        <v>#VALUE!</v>
      </c>
      <c r="BV42" t="e">
        <f>AND('SPR BARRANQUILLA'!D47,"AAAAAH9/f0k=")</f>
        <v>#VALUE!</v>
      </c>
      <c r="BW42" t="e">
        <f>AND('SPR BARRANQUILLA'!E47,"AAAAAH9/f0o=")</f>
        <v>#VALUE!</v>
      </c>
      <c r="BX42" t="e">
        <f>AND('SPR BARRANQUILLA'!F47,"AAAAAH9/f0s=")</f>
        <v>#VALUE!</v>
      </c>
      <c r="BY42" t="e">
        <f>AND('SPR BARRANQUILLA'!G47,"AAAAAH9/f0w=")</f>
        <v>#VALUE!</v>
      </c>
      <c r="BZ42" t="e">
        <f>AND('SPR BARRANQUILLA'!H47,"AAAAAH9/f00=")</f>
        <v>#VALUE!</v>
      </c>
      <c r="CA42" t="e">
        <f>AND('SPR BARRANQUILLA'!I47,"AAAAAH9/f04=")</f>
        <v>#VALUE!</v>
      </c>
      <c r="CB42" t="e">
        <f>AND('SPR BARRANQUILLA'!J47,"AAAAAH9/f08=")</f>
        <v>#VALUE!</v>
      </c>
      <c r="CC42" t="e">
        <f>AND('SPR BARRANQUILLA'!K47,"AAAAAH9/f1A=")</f>
        <v>#VALUE!</v>
      </c>
      <c r="CD42" t="e">
        <f>AND('SPR BARRANQUILLA'!L47,"AAAAAH9/f1E=")</f>
        <v>#VALUE!</v>
      </c>
      <c r="CE42" t="e">
        <f>AND('SPR BARRANQUILLA'!M47,"AAAAAH9/f1I=")</f>
        <v>#VALUE!</v>
      </c>
      <c r="CF42" t="e">
        <f>AND('SPR BARRANQUILLA'!N47,"AAAAAH9/f1M=")</f>
        <v>#VALUE!</v>
      </c>
      <c r="CG42" t="e">
        <f>AND('SPR BARRANQUILLA'!O47,"AAAAAH9/f1Q=")</f>
        <v>#VALUE!</v>
      </c>
      <c r="CH42" t="e">
        <f>AND('SPR BARRANQUILLA'!P47,"AAAAAH9/f1U=")</f>
        <v>#VALUE!</v>
      </c>
      <c r="CI42" t="e">
        <f>AND('SPR BARRANQUILLA'!Q47,"AAAAAH9/f1Y=")</f>
        <v>#VALUE!</v>
      </c>
      <c r="CJ42" t="e">
        <f>AND('SPR BARRANQUILLA'!R47,"AAAAAH9/f1c=")</f>
        <v>#VALUE!</v>
      </c>
      <c r="CK42" t="e">
        <f>AND('SPR BARRANQUILLA'!S47,"AAAAAH9/f1g=")</f>
        <v>#VALUE!</v>
      </c>
      <c r="CL42" t="e">
        <f>AND('SPR BARRANQUILLA'!T47,"AAAAAH9/f1k=")</f>
        <v>#VALUE!</v>
      </c>
      <c r="CM42" t="e">
        <f>AND('SPR BARRANQUILLA'!U47,"AAAAAH9/f1o=")</f>
        <v>#VALUE!</v>
      </c>
      <c r="CN42" t="e">
        <f>AND('SPR BARRANQUILLA'!V47,"AAAAAH9/f1s=")</f>
        <v>#VALUE!</v>
      </c>
      <c r="CO42" t="e">
        <f>AND('SPR BARRANQUILLA'!W47,"AAAAAH9/f1w=")</f>
        <v>#VALUE!</v>
      </c>
      <c r="CP42" t="e">
        <f>AND('SPR BARRANQUILLA'!X47,"AAAAAH9/f10=")</f>
        <v>#VALUE!</v>
      </c>
      <c r="CQ42" t="e">
        <f>AND('SPR BARRANQUILLA'!Y47,"AAAAAH9/f14=")</f>
        <v>#VALUE!</v>
      </c>
      <c r="CR42" t="e">
        <f>AND('SPR BARRANQUILLA'!Z47,"AAAAAH9/f18=")</f>
        <v>#VALUE!</v>
      </c>
      <c r="CS42" t="e">
        <f>AND('SPR BARRANQUILLA'!AA47,"AAAAAH9/f2A=")</f>
        <v>#VALUE!</v>
      </c>
      <c r="CT42" t="e">
        <f>AND('SPR BARRANQUILLA'!AB47,"AAAAAH9/f2E=")</f>
        <v>#VALUE!</v>
      </c>
      <c r="CU42" t="e">
        <f>AND('SPR BARRANQUILLA'!AC47,"AAAAAH9/f2I=")</f>
        <v>#VALUE!</v>
      </c>
      <c r="CV42" t="e">
        <f>AND('SPR BARRANQUILLA'!AD47,"AAAAAH9/f2M=")</f>
        <v>#VALUE!</v>
      </c>
      <c r="CW42" t="e">
        <f>AND('SPR BARRANQUILLA'!AE47,"AAAAAH9/f2Q=")</f>
        <v>#VALUE!</v>
      </c>
      <c r="CX42" t="e">
        <f>AND('SPR BARRANQUILLA'!AF47,"AAAAAH9/f2U=")</f>
        <v>#VALUE!</v>
      </c>
      <c r="CY42" t="e">
        <f>AND('SPR BARRANQUILLA'!AG47,"AAAAAH9/f2Y=")</f>
        <v>#VALUE!</v>
      </c>
      <c r="CZ42" t="e">
        <f>AND('SPR BARRANQUILLA'!AH47,"AAAAAH9/f2c=")</f>
        <v>#VALUE!</v>
      </c>
      <c r="DA42" t="e">
        <f>AND('SPR BARRANQUILLA'!AI47,"AAAAAH9/f2g=")</f>
        <v>#VALUE!</v>
      </c>
      <c r="DB42" t="e">
        <f>AND('SPR BARRANQUILLA'!AJ47,"AAAAAH9/f2k=")</f>
        <v>#VALUE!</v>
      </c>
      <c r="DC42" t="e">
        <f>AND('SPR BARRANQUILLA'!AK47,"AAAAAH9/f2o=")</f>
        <v>#VALUE!</v>
      </c>
      <c r="DD42" t="e">
        <f>AND('SPR BARRANQUILLA'!AL47,"AAAAAH9/f2s=")</f>
        <v>#VALUE!</v>
      </c>
      <c r="DE42" t="e">
        <f>AND('SPR BARRANQUILLA'!AM47,"AAAAAH9/f2w=")</f>
        <v>#VALUE!</v>
      </c>
      <c r="DF42" t="e">
        <f>AND('SPR BARRANQUILLA'!AN47,"AAAAAH9/f20=")</f>
        <v>#VALUE!</v>
      </c>
      <c r="DG42" t="e">
        <f>AND('SPR BARRANQUILLA'!AO47,"AAAAAH9/f24=")</f>
        <v>#VALUE!</v>
      </c>
      <c r="DH42" t="e">
        <f>AND('SPR BARRANQUILLA'!AP47,"AAAAAH9/f28=")</f>
        <v>#VALUE!</v>
      </c>
      <c r="DI42" t="e">
        <f>AND('SPR BARRANQUILLA'!AQ47,"AAAAAH9/f3A=")</f>
        <v>#VALUE!</v>
      </c>
      <c r="DJ42" t="e">
        <f>AND('SPR BARRANQUILLA'!AR47,"AAAAAH9/f3E=")</f>
        <v>#VALUE!</v>
      </c>
      <c r="DK42" t="e">
        <f>AND('SPR BARRANQUILLA'!AS47,"AAAAAH9/f3I=")</f>
        <v>#VALUE!</v>
      </c>
      <c r="DL42" t="e">
        <f>AND('SPR BARRANQUILLA'!AT47,"AAAAAH9/f3M=")</f>
        <v>#VALUE!</v>
      </c>
      <c r="DM42" t="e">
        <f>AND('SPR BARRANQUILLA'!AU47,"AAAAAH9/f3Q=")</f>
        <v>#VALUE!</v>
      </c>
      <c r="DN42" t="e">
        <f>AND('SPR BARRANQUILLA'!AV47,"AAAAAH9/f3U=")</f>
        <v>#VALUE!</v>
      </c>
      <c r="DO42" t="e">
        <f>AND('SPR BARRANQUILLA'!AW47,"AAAAAH9/f3Y=")</f>
        <v>#VALUE!</v>
      </c>
      <c r="DP42" t="e">
        <f>AND('SPR BARRANQUILLA'!AX47,"AAAAAH9/f3c=")</f>
        <v>#VALUE!</v>
      </c>
      <c r="DQ42" t="e">
        <f>AND('SPR BARRANQUILLA'!AY47,"AAAAAH9/f3g=")</f>
        <v>#VALUE!</v>
      </c>
      <c r="DR42" t="e">
        <f>AND('SPR BARRANQUILLA'!AZ47,"AAAAAH9/f3k=")</f>
        <v>#VALUE!</v>
      </c>
      <c r="DS42" t="e">
        <f>AND('SPR BARRANQUILLA'!BA47,"AAAAAH9/f3o=")</f>
        <v>#VALUE!</v>
      </c>
      <c r="DT42" t="e">
        <f>AND('SPR BARRANQUILLA'!BB47,"AAAAAH9/f3s=")</f>
        <v>#VALUE!</v>
      </c>
      <c r="DU42" t="e">
        <f>AND('SPR BARRANQUILLA'!BC47,"AAAAAH9/f3w=")</f>
        <v>#VALUE!</v>
      </c>
      <c r="DV42" t="e">
        <f>AND('SPR BARRANQUILLA'!BD47,"AAAAAH9/f30=")</f>
        <v>#VALUE!</v>
      </c>
      <c r="DW42" t="e">
        <f>AND('SPR BARRANQUILLA'!BE47,"AAAAAH9/f34=")</f>
        <v>#VALUE!</v>
      </c>
      <c r="DX42" t="e">
        <f>AND('SPR BARRANQUILLA'!BF47,"AAAAAH9/f38=")</f>
        <v>#VALUE!</v>
      </c>
      <c r="DY42" t="e">
        <f>AND('SPR BARRANQUILLA'!BG47,"AAAAAH9/f4A=")</f>
        <v>#VALUE!</v>
      </c>
      <c r="DZ42" t="e">
        <f>AND('SPR BARRANQUILLA'!BH47,"AAAAAH9/f4E=")</f>
        <v>#VALUE!</v>
      </c>
      <c r="EA42" t="e">
        <f>AND('SPR BARRANQUILLA'!BI47,"AAAAAH9/f4I=")</f>
        <v>#VALUE!</v>
      </c>
      <c r="EB42" t="e">
        <f>AND('SPR BARRANQUILLA'!BJ47,"AAAAAH9/f4M=")</f>
        <v>#VALUE!</v>
      </c>
      <c r="EC42" t="e">
        <f>AND('SPR BARRANQUILLA'!BK47,"AAAAAH9/f4Q=")</f>
        <v>#VALUE!</v>
      </c>
      <c r="ED42" t="e">
        <f>AND('SPR BARRANQUILLA'!BL47,"AAAAAH9/f4U=")</f>
        <v>#VALUE!</v>
      </c>
      <c r="EE42" t="e">
        <f>AND('SPR BARRANQUILLA'!BM47,"AAAAAH9/f4Y=")</f>
        <v>#VALUE!</v>
      </c>
      <c r="EF42" t="e">
        <f>AND('SPR BARRANQUILLA'!BN47,"AAAAAH9/f4c=")</f>
        <v>#VALUE!</v>
      </c>
      <c r="EG42" t="e">
        <f>AND('SPR BARRANQUILLA'!BO47,"AAAAAH9/f4g=")</f>
        <v>#VALUE!</v>
      </c>
      <c r="EH42" t="e">
        <f>AND('SPR BARRANQUILLA'!BP47,"AAAAAH9/f4k=")</f>
        <v>#VALUE!</v>
      </c>
      <c r="EI42" t="e">
        <f>AND('SPR BARRANQUILLA'!BQ47,"AAAAAH9/f4o=")</f>
        <v>#VALUE!</v>
      </c>
      <c r="EJ42" t="e">
        <f>AND('SPR BARRANQUILLA'!BR47,"AAAAAH9/f4s=")</f>
        <v>#VALUE!</v>
      </c>
      <c r="EK42" t="e">
        <f>AND('SPR BARRANQUILLA'!BS47,"AAAAAH9/f4w=")</f>
        <v>#VALUE!</v>
      </c>
      <c r="EL42" t="e">
        <f>AND('SPR BARRANQUILLA'!BT47,"AAAAAH9/f40=")</f>
        <v>#VALUE!</v>
      </c>
      <c r="EM42" t="e">
        <f>AND('SPR BARRANQUILLA'!BU47,"AAAAAH9/f44=")</f>
        <v>#VALUE!</v>
      </c>
      <c r="EN42" t="e">
        <f>AND('SPR BARRANQUILLA'!BV47,"AAAAAH9/f48=")</f>
        <v>#VALUE!</v>
      </c>
      <c r="EO42" t="e">
        <f>AND('SPR BARRANQUILLA'!BW47,"AAAAAH9/f5A=")</f>
        <v>#VALUE!</v>
      </c>
      <c r="EP42" t="e">
        <f>AND('SPR BARRANQUILLA'!BX47,"AAAAAH9/f5E=")</f>
        <v>#VALUE!</v>
      </c>
      <c r="EQ42" t="e">
        <f>AND('SPR BARRANQUILLA'!BY47,"AAAAAH9/f5I=")</f>
        <v>#VALUE!</v>
      </c>
      <c r="ER42" t="e">
        <f>AND('SPR BARRANQUILLA'!BZ47,"AAAAAH9/f5M=")</f>
        <v>#VALUE!</v>
      </c>
      <c r="ES42" t="e">
        <f>AND('SPR BARRANQUILLA'!CA47,"AAAAAH9/f5Q=")</f>
        <v>#VALUE!</v>
      </c>
      <c r="ET42" t="e">
        <f>AND('SPR BARRANQUILLA'!CB47,"AAAAAH9/f5U=")</f>
        <v>#VALUE!</v>
      </c>
      <c r="EU42" t="e">
        <f>AND('SPR BARRANQUILLA'!CC47,"AAAAAH9/f5Y=")</f>
        <v>#VALUE!</v>
      </c>
      <c r="EV42" t="e">
        <f>AND('SPR BARRANQUILLA'!CD47,"AAAAAH9/f5c=")</f>
        <v>#VALUE!</v>
      </c>
      <c r="EW42" t="e">
        <f>AND('SPR BARRANQUILLA'!CE47,"AAAAAH9/f5g=")</f>
        <v>#VALUE!</v>
      </c>
      <c r="EX42" t="e">
        <f>AND('SPR BARRANQUILLA'!CF47,"AAAAAH9/f5k=")</f>
        <v>#VALUE!</v>
      </c>
      <c r="EY42" t="e">
        <f>AND('SPR BARRANQUILLA'!CG47,"AAAAAH9/f5o=")</f>
        <v>#VALUE!</v>
      </c>
      <c r="EZ42" t="e">
        <f>AND('SPR BARRANQUILLA'!CH47,"AAAAAH9/f5s=")</f>
        <v>#VALUE!</v>
      </c>
      <c r="FA42" t="e">
        <f>AND('SPR BARRANQUILLA'!CI47,"AAAAAH9/f5w=")</f>
        <v>#VALUE!</v>
      </c>
      <c r="FB42" t="e">
        <f>AND('SPR BARRANQUILLA'!CJ47,"AAAAAH9/f50=")</f>
        <v>#VALUE!</v>
      </c>
      <c r="FC42" t="e">
        <f>AND('SPR BARRANQUILLA'!CK47,"AAAAAH9/f54=")</f>
        <v>#VALUE!</v>
      </c>
      <c r="FD42" t="e">
        <f>AND('SPR BARRANQUILLA'!CL47,"AAAAAH9/f58=")</f>
        <v>#VALUE!</v>
      </c>
      <c r="FE42" t="e">
        <f>AND('SPR BARRANQUILLA'!CM47,"AAAAAH9/f6A=")</f>
        <v>#VALUE!</v>
      </c>
      <c r="FF42" t="e">
        <f>AND('SPR BARRANQUILLA'!CN47,"AAAAAH9/f6E=")</f>
        <v>#VALUE!</v>
      </c>
      <c r="FG42" t="e">
        <f>AND('SPR BARRANQUILLA'!CO47,"AAAAAH9/f6I=")</f>
        <v>#VALUE!</v>
      </c>
      <c r="FH42" t="e">
        <f>AND('SPR BARRANQUILLA'!CP47,"AAAAAH9/f6M=")</f>
        <v>#VALUE!</v>
      </c>
      <c r="FI42" t="e">
        <f>AND('SPR BARRANQUILLA'!CQ47,"AAAAAH9/f6Q=")</f>
        <v>#VALUE!</v>
      </c>
      <c r="FJ42" t="e">
        <f>AND('SPR BARRANQUILLA'!CR47,"AAAAAH9/f6U=")</f>
        <v>#VALUE!</v>
      </c>
      <c r="FK42" t="e">
        <f>AND('SPR BARRANQUILLA'!CS47,"AAAAAH9/f6Y=")</f>
        <v>#VALUE!</v>
      </c>
      <c r="FL42" t="e">
        <f>AND('SPR BARRANQUILLA'!CT47,"AAAAAH9/f6c=")</f>
        <v>#VALUE!</v>
      </c>
      <c r="FM42" t="e">
        <f>AND('SPR BARRANQUILLA'!CU47,"AAAAAH9/f6g=")</f>
        <v>#VALUE!</v>
      </c>
      <c r="FN42" t="e">
        <f>AND('SPR BARRANQUILLA'!CV47,"AAAAAH9/f6k=")</f>
        <v>#VALUE!</v>
      </c>
      <c r="FO42" t="e">
        <f>AND('SPR BARRANQUILLA'!CW47,"AAAAAH9/f6o=")</f>
        <v>#VALUE!</v>
      </c>
      <c r="FP42" t="e">
        <f>AND('SPR BARRANQUILLA'!CX47,"AAAAAH9/f6s=")</f>
        <v>#VALUE!</v>
      </c>
      <c r="FQ42" t="e">
        <f>AND('SPR BARRANQUILLA'!CY47,"AAAAAH9/f6w=")</f>
        <v>#VALUE!</v>
      </c>
      <c r="FR42" t="e">
        <f>AND('SPR BARRANQUILLA'!CZ47,"AAAAAH9/f60=")</f>
        <v>#VALUE!</v>
      </c>
      <c r="FS42" t="e">
        <f>AND('SPR BARRANQUILLA'!DA47,"AAAAAH9/f64=")</f>
        <v>#VALUE!</v>
      </c>
      <c r="FT42" t="e">
        <f>AND('SPR BARRANQUILLA'!DB47,"AAAAAH9/f68=")</f>
        <v>#VALUE!</v>
      </c>
      <c r="FU42" t="e">
        <f>AND('SPR BARRANQUILLA'!DC47,"AAAAAH9/f7A=")</f>
        <v>#VALUE!</v>
      </c>
      <c r="FV42" t="e">
        <f>AND('SPR BARRANQUILLA'!DD47,"AAAAAH9/f7E=")</f>
        <v>#VALUE!</v>
      </c>
      <c r="FW42" t="e">
        <f>AND('SPR BARRANQUILLA'!DE47,"AAAAAH9/f7I=")</f>
        <v>#VALUE!</v>
      </c>
      <c r="FX42" t="e">
        <f>AND('SPR BARRANQUILLA'!DF47,"AAAAAH9/f7M=")</f>
        <v>#VALUE!</v>
      </c>
      <c r="FY42" t="e">
        <f>AND('SPR BARRANQUILLA'!DG47,"AAAAAH9/f7Q=")</f>
        <v>#VALUE!</v>
      </c>
      <c r="FZ42" t="e">
        <f>AND('SPR BARRANQUILLA'!DH47,"AAAAAH9/f7U=")</f>
        <v>#VALUE!</v>
      </c>
      <c r="GA42" t="e">
        <f>AND('SPR BARRANQUILLA'!DI47,"AAAAAH9/f7Y=")</f>
        <v>#VALUE!</v>
      </c>
      <c r="GB42" t="e">
        <f>AND('SPR BARRANQUILLA'!DJ47,"AAAAAH9/f7c=")</f>
        <v>#VALUE!</v>
      </c>
      <c r="GC42" t="e">
        <f>AND('SPR BARRANQUILLA'!DK47,"AAAAAH9/f7g=")</f>
        <v>#VALUE!</v>
      </c>
      <c r="GD42" t="e">
        <f>AND('SPR BARRANQUILLA'!DL47,"AAAAAH9/f7k=")</f>
        <v>#VALUE!</v>
      </c>
      <c r="GE42" t="e">
        <f>AND('SPR BARRANQUILLA'!DM47,"AAAAAH9/f7o=")</f>
        <v>#VALUE!</v>
      </c>
      <c r="GF42" t="e">
        <f>AND('SPR BARRANQUILLA'!DN47,"AAAAAH9/f7s=")</f>
        <v>#VALUE!</v>
      </c>
      <c r="GG42" t="e">
        <f>AND('SPR BARRANQUILLA'!DO47,"AAAAAH9/f7w=")</f>
        <v>#VALUE!</v>
      </c>
      <c r="GH42" t="e">
        <f>AND('SPR BARRANQUILLA'!DP47,"AAAAAH9/f70=")</f>
        <v>#VALUE!</v>
      </c>
      <c r="GI42" t="e">
        <f>AND('SPR BARRANQUILLA'!DQ47,"AAAAAH9/f74=")</f>
        <v>#VALUE!</v>
      </c>
      <c r="GJ42" t="e">
        <f>AND('SPR BARRANQUILLA'!DR47,"AAAAAH9/f78=")</f>
        <v>#VALUE!</v>
      </c>
      <c r="GK42" t="e">
        <f>AND('SPR BARRANQUILLA'!DS47,"AAAAAH9/f8A=")</f>
        <v>#VALUE!</v>
      </c>
      <c r="GL42" t="e">
        <f>AND('SPR BARRANQUILLA'!DT47,"AAAAAH9/f8E=")</f>
        <v>#VALUE!</v>
      </c>
      <c r="GM42" t="e">
        <f>AND('SPR BARRANQUILLA'!DU47,"AAAAAH9/f8I=")</f>
        <v>#VALUE!</v>
      </c>
      <c r="GN42" t="e">
        <f>AND('SPR BARRANQUILLA'!DV47,"AAAAAH9/f8M=")</f>
        <v>#VALUE!</v>
      </c>
      <c r="GO42" t="e">
        <f>AND('SPR BARRANQUILLA'!DW47,"AAAAAH9/f8Q=")</f>
        <v>#VALUE!</v>
      </c>
      <c r="GP42" t="e">
        <f>AND('SPR BARRANQUILLA'!DX47,"AAAAAH9/f8U=")</f>
        <v>#VALUE!</v>
      </c>
      <c r="GQ42" t="e">
        <f>AND('SPR BARRANQUILLA'!DY47,"AAAAAH9/f8Y=")</f>
        <v>#VALUE!</v>
      </c>
      <c r="GR42" t="e">
        <f>AND('SPR BARRANQUILLA'!DZ47,"AAAAAH9/f8c=")</f>
        <v>#VALUE!</v>
      </c>
      <c r="GS42" t="e">
        <f>AND('SPR BARRANQUILLA'!EA47,"AAAAAH9/f8g=")</f>
        <v>#VALUE!</v>
      </c>
      <c r="GT42" t="e">
        <f>AND('SPR BARRANQUILLA'!EB47,"AAAAAH9/f8k=")</f>
        <v>#VALUE!</v>
      </c>
      <c r="GU42" t="e">
        <f>AND('SPR BARRANQUILLA'!EC47,"AAAAAH9/f8o=")</f>
        <v>#VALUE!</v>
      </c>
      <c r="GV42" t="e">
        <f>AND('SPR BARRANQUILLA'!ED47,"AAAAAH9/f8s=")</f>
        <v>#VALUE!</v>
      </c>
      <c r="GW42" t="e">
        <f>AND('SPR BARRANQUILLA'!EE47,"AAAAAH9/f8w=")</f>
        <v>#VALUE!</v>
      </c>
      <c r="GX42" t="e">
        <f>AND('SPR BARRANQUILLA'!EF47,"AAAAAH9/f80=")</f>
        <v>#VALUE!</v>
      </c>
      <c r="GY42" t="e">
        <f>AND('SPR BARRANQUILLA'!EG47,"AAAAAH9/f84=")</f>
        <v>#VALUE!</v>
      </c>
      <c r="GZ42" t="e">
        <f>AND('SPR BARRANQUILLA'!EH47,"AAAAAH9/f88=")</f>
        <v>#VALUE!</v>
      </c>
      <c r="HA42" t="e">
        <f>AND('SPR BARRANQUILLA'!EI47,"AAAAAH9/f9A=")</f>
        <v>#VALUE!</v>
      </c>
      <c r="HB42" t="e">
        <f>AND('SPR BARRANQUILLA'!EJ47,"AAAAAH9/f9E=")</f>
        <v>#VALUE!</v>
      </c>
      <c r="HC42" t="e">
        <f>AND('SPR BARRANQUILLA'!EK47,"AAAAAH9/f9I=")</f>
        <v>#VALUE!</v>
      </c>
      <c r="HD42" t="e">
        <f>AND('SPR BARRANQUILLA'!EL47,"AAAAAH9/f9M=")</f>
        <v>#VALUE!</v>
      </c>
      <c r="HE42" t="e">
        <f>AND('SPR BARRANQUILLA'!EM47,"AAAAAH9/f9Q=")</f>
        <v>#VALUE!</v>
      </c>
      <c r="HF42" t="e">
        <f>AND('SPR BARRANQUILLA'!EN47,"AAAAAH9/f9U=")</f>
        <v>#VALUE!</v>
      </c>
      <c r="HG42" t="e">
        <f>AND('SPR BARRANQUILLA'!EO47,"AAAAAH9/f9Y=")</f>
        <v>#VALUE!</v>
      </c>
      <c r="HH42" t="e">
        <f>AND('SPR BARRANQUILLA'!EP47,"AAAAAH9/f9c=")</f>
        <v>#VALUE!</v>
      </c>
      <c r="HI42" t="e">
        <f>AND('SPR BARRANQUILLA'!EQ47,"AAAAAH9/f9g=")</f>
        <v>#VALUE!</v>
      </c>
      <c r="HJ42" t="e">
        <f>AND('SPR BARRANQUILLA'!ER47,"AAAAAH9/f9k=")</f>
        <v>#VALUE!</v>
      </c>
      <c r="HK42" t="e">
        <f>AND('SPR BARRANQUILLA'!ES47,"AAAAAH9/f9o=")</f>
        <v>#VALUE!</v>
      </c>
      <c r="HL42" t="e">
        <f>AND('SPR BARRANQUILLA'!ET47,"AAAAAH9/f9s=")</f>
        <v>#VALUE!</v>
      </c>
      <c r="HM42" t="e">
        <f>AND('SPR BARRANQUILLA'!EU47,"AAAAAH9/f9w=")</f>
        <v>#VALUE!</v>
      </c>
      <c r="HN42" t="e">
        <f>AND('SPR BARRANQUILLA'!EV47,"AAAAAH9/f90=")</f>
        <v>#VALUE!</v>
      </c>
      <c r="HO42" t="e">
        <f>AND('SPR BARRANQUILLA'!EW47,"AAAAAH9/f94=")</f>
        <v>#VALUE!</v>
      </c>
      <c r="HP42" t="e">
        <f>AND('SPR BARRANQUILLA'!EX47,"AAAAAH9/f98=")</f>
        <v>#VALUE!</v>
      </c>
      <c r="HQ42" t="e">
        <f>AND('SPR BARRANQUILLA'!EY47,"AAAAAH9/f+A=")</f>
        <v>#VALUE!</v>
      </c>
      <c r="HR42" t="e">
        <f>AND('SPR BARRANQUILLA'!EZ47,"AAAAAH9/f+E=")</f>
        <v>#VALUE!</v>
      </c>
      <c r="HS42" t="e">
        <f>AND('SPR BARRANQUILLA'!FA47,"AAAAAH9/f+I=")</f>
        <v>#VALUE!</v>
      </c>
      <c r="HT42" t="e">
        <f>AND('SPR BARRANQUILLA'!FB47,"AAAAAH9/f+M=")</f>
        <v>#VALUE!</v>
      </c>
      <c r="HU42" t="e">
        <f>AND('SPR BARRANQUILLA'!FC47,"AAAAAH9/f+Q=")</f>
        <v>#VALUE!</v>
      </c>
      <c r="HV42" t="e">
        <f>AND('SPR BARRANQUILLA'!FD47,"AAAAAH9/f+U=")</f>
        <v>#VALUE!</v>
      </c>
      <c r="HW42" t="e">
        <f>AND('SPR BARRANQUILLA'!FE47,"AAAAAH9/f+Y=")</f>
        <v>#VALUE!</v>
      </c>
      <c r="HX42" t="e">
        <f>AND('SPR BARRANQUILLA'!FF47,"AAAAAH9/f+c=")</f>
        <v>#VALUE!</v>
      </c>
      <c r="HY42" t="e">
        <f>AND('SPR BARRANQUILLA'!FG47,"AAAAAH9/f+g=")</f>
        <v>#VALUE!</v>
      </c>
      <c r="HZ42" t="e">
        <f>AND('SPR BARRANQUILLA'!FH47,"AAAAAH9/f+k=")</f>
        <v>#VALUE!</v>
      </c>
      <c r="IA42" t="e">
        <f>AND('SPR BARRANQUILLA'!FI47,"AAAAAH9/f+o=")</f>
        <v>#VALUE!</v>
      </c>
      <c r="IB42" t="e">
        <f>AND('SPR BARRANQUILLA'!FJ47,"AAAAAH9/f+s=")</f>
        <v>#VALUE!</v>
      </c>
      <c r="IC42" t="e">
        <f>AND('SPR BARRANQUILLA'!FK47,"AAAAAH9/f+w=")</f>
        <v>#VALUE!</v>
      </c>
      <c r="ID42" t="e">
        <f>AND('SPR BARRANQUILLA'!FL47,"AAAAAH9/f+0=")</f>
        <v>#VALUE!</v>
      </c>
      <c r="IE42" t="e">
        <f>AND('SPR BARRANQUILLA'!FM47,"AAAAAH9/f+4=")</f>
        <v>#VALUE!</v>
      </c>
      <c r="IF42" t="e">
        <f>AND('SPR BARRANQUILLA'!FN47,"AAAAAH9/f+8=")</f>
        <v>#VALUE!</v>
      </c>
      <c r="IG42" t="e">
        <f>AND('SPR BARRANQUILLA'!FO47,"AAAAAH9/f/A=")</f>
        <v>#VALUE!</v>
      </c>
      <c r="IH42" t="e">
        <f>AND('SPR BARRANQUILLA'!FP47,"AAAAAH9/f/E=")</f>
        <v>#VALUE!</v>
      </c>
      <c r="II42" t="e">
        <f>AND('SPR BARRANQUILLA'!FQ47,"AAAAAH9/f/I=")</f>
        <v>#VALUE!</v>
      </c>
      <c r="IJ42" t="e">
        <f>AND('SPR BARRANQUILLA'!FR47,"AAAAAH9/f/M=")</f>
        <v>#VALUE!</v>
      </c>
      <c r="IK42" t="e">
        <f>AND('SPR BARRANQUILLA'!FS47,"AAAAAH9/f/Q=")</f>
        <v>#VALUE!</v>
      </c>
      <c r="IL42" t="e">
        <f>AND('SPR BARRANQUILLA'!FT47,"AAAAAH9/f/U=")</f>
        <v>#VALUE!</v>
      </c>
      <c r="IM42" t="e">
        <f>AND('SPR BARRANQUILLA'!FU47,"AAAAAH9/f/Y=")</f>
        <v>#VALUE!</v>
      </c>
      <c r="IN42" t="e">
        <f>AND('SPR BARRANQUILLA'!FV47,"AAAAAH9/f/c=")</f>
        <v>#VALUE!</v>
      </c>
      <c r="IO42" t="e">
        <f>AND('SPR BARRANQUILLA'!FW47,"AAAAAH9/f/g=")</f>
        <v>#VALUE!</v>
      </c>
      <c r="IP42" t="e">
        <f>AND('SPR BARRANQUILLA'!FX47,"AAAAAH9/f/k=")</f>
        <v>#VALUE!</v>
      </c>
      <c r="IQ42" t="e">
        <f>AND('SPR BARRANQUILLA'!FY47,"AAAAAH9/f/o=")</f>
        <v>#VALUE!</v>
      </c>
      <c r="IR42" t="e">
        <f>AND('SPR BARRANQUILLA'!FZ47,"AAAAAH9/f/s=")</f>
        <v>#VALUE!</v>
      </c>
      <c r="IS42" t="e">
        <f>AND('SPR BARRANQUILLA'!GA47,"AAAAAH9/f/w=")</f>
        <v>#VALUE!</v>
      </c>
      <c r="IT42" t="e">
        <f>AND('SPR BARRANQUILLA'!GB47,"AAAAAH9/f/0=")</f>
        <v>#VALUE!</v>
      </c>
      <c r="IU42" t="e">
        <f>AND('SPR BARRANQUILLA'!GC47,"AAAAAH9/f/4=")</f>
        <v>#VALUE!</v>
      </c>
      <c r="IV42" t="e">
        <f>AND('SPR BARRANQUILLA'!GD47,"AAAAAH9/f/8=")</f>
        <v>#VALUE!</v>
      </c>
    </row>
    <row r="43" spans="1:256">
      <c r="A43" t="e">
        <f>AND('SPR BARRANQUILLA'!GE47,"AAAAAHFr/QA=")</f>
        <v>#VALUE!</v>
      </c>
      <c r="B43" t="e">
        <f>AND('SPR BARRANQUILLA'!GF47,"AAAAAHFr/QE=")</f>
        <v>#VALUE!</v>
      </c>
      <c r="C43" t="e">
        <f>AND('SPR BARRANQUILLA'!GG47,"AAAAAHFr/QI=")</f>
        <v>#VALUE!</v>
      </c>
      <c r="D43" t="e">
        <f>AND('SPR BARRANQUILLA'!GH47,"AAAAAHFr/QM=")</f>
        <v>#VALUE!</v>
      </c>
      <c r="E43" t="e">
        <f>AND('SPR BARRANQUILLA'!GI47,"AAAAAHFr/QQ=")</f>
        <v>#VALUE!</v>
      </c>
      <c r="F43" t="e">
        <f>AND('SPR BARRANQUILLA'!GJ47,"AAAAAHFr/QU=")</f>
        <v>#VALUE!</v>
      </c>
      <c r="G43" t="e">
        <f>AND('SPR BARRANQUILLA'!GK47,"AAAAAHFr/QY=")</f>
        <v>#VALUE!</v>
      </c>
      <c r="H43" t="e">
        <f>AND('SPR BARRANQUILLA'!GL47,"AAAAAHFr/Qc=")</f>
        <v>#VALUE!</v>
      </c>
      <c r="I43" t="e">
        <f>AND('SPR BARRANQUILLA'!GM47,"AAAAAHFr/Qg=")</f>
        <v>#VALUE!</v>
      </c>
      <c r="J43" t="e">
        <f>AND('SPR BARRANQUILLA'!GN47,"AAAAAHFr/Qk=")</f>
        <v>#VALUE!</v>
      </c>
      <c r="K43" t="e">
        <f>AND('SPR BARRANQUILLA'!GO47,"AAAAAHFr/Qo=")</f>
        <v>#VALUE!</v>
      </c>
      <c r="L43" t="e">
        <f>AND('SPR BARRANQUILLA'!GP47,"AAAAAHFr/Qs=")</f>
        <v>#VALUE!</v>
      </c>
      <c r="M43" t="e">
        <f>AND('SPR BARRANQUILLA'!GQ47,"AAAAAHFr/Qw=")</f>
        <v>#VALUE!</v>
      </c>
      <c r="N43" t="e">
        <f>AND('SPR BARRANQUILLA'!GR47,"AAAAAHFr/Q0=")</f>
        <v>#VALUE!</v>
      </c>
      <c r="O43" t="e">
        <f>AND('SPR BARRANQUILLA'!GS47,"AAAAAHFr/Q4=")</f>
        <v>#VALUE!</v>
      </c>
      <c r="P43" t="e">
        <f>AND('SPR BARRANQUILLA'!GT47,"AAAAAHFr/Q8=")</f>
        <v>#VALUE!</v>
      </c>
      <c r="Q43" t="e">
        <f>AND('SPR BARRANQUILLA'!GU47,"AAAAAHFr/RA=")</f>
        <v>#VALUE!</v>
      </c>
      <c r="R43" t="e">
        <f>AND('SPR BARRANQUILLA'!GV47,"AAAAAHFr/RE=")</f>
        <v>#VALUE!</v>
      </c>
      <c r="S43" t="e">
        <f>AND('SPR BARRANQUILLA'!GW47,"AAAAAHFr/RI=")</f>
        <v>#VALUE!</v>
      </c>
      <c r="T43" t="e">
        <f>AND('SPR BARRANQUILLA'!GX47,"AAAAAHFr/RM=")</f>
        <v>#VALUE!</v>
      </c>
      <c r="U43" t="e">
        <f>AND('SPR BARRANQUILLA'!GY47,"AAAAAHFr/RQ=")</f>
        <v>#VALUE!</v>
      </c>
      <c r="V43">
        <f>IF('SPR BARRANQUILLA'!48:48,"AAAAAHFr/RU=",0)</f>
        <v>0</v>
      </c>
      <c r="W43" t="e">
        <f>AND('SPR BARRANQUILLA'!A48,"AAAAAHFr/RY=")</f>
        <v>#VALUE!</v>
      </c>
      <c r="X43" t="e">
        <f>AND('SPR BARRANQUILLA'!B48,"AAAAAHFr/Rc=")</f>
        <v>#VALUE!</v>
      </c>
      <c r="Y43" t="e">
        <f>AND('SPR BARRANQUILLA'!C48,"AAAAAHFr/Rg=")</f>
        <v>#VALUE!</v>
      </c>
      <c r="Z43" t="e">
        <f>AND('SPR BARRANQUILLA'!D48,"AAAAAHFr/Rk=")</f>
        <v>#VALUE!</v>
      </c>
      <c r="AA43" t="e">
        <f>AND('SPR BARRANQUILLA'!E48,"AAAAAHFr/Ro=")</f>
        <v>#VALUE!</v>
      </c>
      <c r="AB43" t="e">
        <f>AND('SPR BARRANQUILLA'!F48,"AAAAAHFr/Rs=")</f>
        <v>#VALUE!</v>
      </c>
      <c r="AC43" t="e">
        <f>AND('SPR BARRANQUILLA'!G48,"AAAAAHFr/Rw=")</f>
        <v>#VALUE!</v>
      </c>
      <c r="AD43" t="e">
        <f>AND('SPR BARRANQUILLA'!H48,"AAAAAHFr/R0=")</f>
        <v>#VALUE!</v>
      </c>
      <c r="AE43" t="e">
        <f>AND('SPR BARRANQUILLA'!I48,"AAAAAHFr/R4=")</f>
        <v>#VALUE!</v>
      </c>
      <c r="AF43" t="e">
        <f>AND('SPR BARRANQUILLA'!J48,"AAAAAHFr/R8=")</f>
        <v>#VALUE!</v>
      </c>
      <c r="AG43" t="e">
        <f>AND('SPR BARRANQUILLA'!K48,"AAAAAHFr/SA=")</f>
        <v>#VALUE!</v>
      </c>
      <c r="AH43" t="e">
        <f>AND('SPR BARRANQUILLA'!L48,"AAAAAHFr/SE=")</f>
        <v>#VALUE!</v>
      </c>
      <c r="AI43" t="e">
        <f>AND('SPR BARRANQUILLA'!M48,"AAAAAHFr/SI=")</f>
        <v>#VALUE!</v>
      </c>
      <c r="AJ43" t="e">
        <f>AND('SPR BARRANQUILLA'!N48,"AAAAAHFr/SM=")</f>
        <v>#VALUE!</v>
      </c>
      <c r="AK43" t="e">
        <f>AND('SPR BARRANQUILLA'!O48,"AAAAAHFr/SQ=")</f>
        <v>#VALUE!</v>
      </c>
      <c r="AL43" t="e">
        <f>AND('SPR BARRANQUILLA'!P48,"AAAAAHFr/SU=")</f>
        <v>#VALUE!</v>
      </c>
      <c r="AM43" t="e">
        <f>AND('SPR BARRANQUILLA'!Q48,"AAAAAHFr/SY=")</f>
        <v>#VALUE!</v>
      </c>
      <c r="AN43" t="e">
        <f>AND('SPR BARRANQUILLA'!R48,"AAAAAHFr/Sc=")</f>
        <v>#VALUE!</v>
      </c>
      <c r="AO43" t="e">
        <f>AND('SPR BARRANQUILLA'!S48,"AAAAAHFr/Sg=")</f>
        <v>#VALUE!</v>
      </c>
      <c r="AP43" t="e">
        <f>AND('SPR BARRANQUILLA'!T48,"AAAAAHFr/Sk=")</f>
        <v>#VALUE!</v>
      </c>
      <c r="AQ43" t="e">
        <f>AND('SPR BARRANQUILLA'!U48,"AAAAAHFr/So=")</f>
        <v>#VALUE!</v>
      </c>
      <c r="AR43" t="e">
        <f>AND('SPR BARRANQUILLA'!V48,"AAAAAHFr/Ss=")</f>
        <v>#VALUE!</v>
      </c>
      <c r="AS43" t="e">
        <f>AND('SPR BARRANQUILLA'!W48,"AAAAAHFr/Sw=")</f>
        <v>#VALUE!</v>
      </c>
      <c r="AT43" t="e">
        <f>AND('SPR BARRANQUILLA'!X48,"AAAAAHFr/S0=")</f>
        <v>#VALUE!</v>
      </c>
      <c r="AU43" t="e">
        <f>AND('SPR BARRANQUILLA'!Y48,"AAAAAHFr/S4=")</f>
        <v>#VALUE!</v>
      </c>
      <c r="AV43" t="e">
        <f>AND('SPR BARRANQUILLA'!Z48,"AAAAAHFr/S8=")</f>
        <v>#VALUE!</v>
      </c>
      <c r="AW43" t="e">
        <f>AND('SPR BARRANQUILLA'!AA48,"AAAAAHFr/TA=")</f>
        <v>#VALUE!</v>
      </c>
      <c r="AX43" t="e">
        <f>AND('SPR BARRANQUILLA'!AB48,"AAAAAHFr/TE=")</f>
        <v>#VALUE!</v>
      </c>
      <c r="AY43" t="e">
        <f>AND('SPR BARRANQUILLA'!AC48,"AAAAAHFr/TI=")</f>
        <v>#VALUE!</v>
      </c>
      <c r="AZ43" t="e">
        <f>AND('SPR BARRANQUILLA'!AD48,"AAAAAHFr/TM=")</f>
        <v>#VALUE!</v>
      </c>
      <c r="BA43" t="e">
        <f>AND('SPR BARRANQUILLA'!AE48,"AAAAAHFr/TQ=")</f>
        <v>#VALUE!</v>
      </c>
      <c r="BB43" t="e">
        <f>AND('SPR BARRANQUILLA'!AF48,"AAAAAHFr/TU=")</f>
        <v>#VALUE!</v>
      </c>
      <c r="BC43" t="e">
        <f>AND('SPR BARRANQUILLA'!AG48,"AAAAAHFr/TY=")</f>
        <v>#VALUE!</v>
      </c>
      <c r="BD43" t="e">
        <f>AND('SPR BARRANQUILLA'!AH48,"AAAAAHFr/Tc=")</f>
        <v>#VALUE!</v>
      </c>
      <c r="BE43" t="e">
        <f>AND('SPR BARRANQUILLA'!AI48,"AAAAAHFr/Tg=")</f>
        <v>#VALUE!</v>
      </c>
      <c r="BF43" t="e">
        <f>AND('SPR BARRANQUILLA'!AJ48,"AAAAAHFr/Tk=")</f>
        <v>#VALUE!</v>
      </c>
      <c r="BG43" t="e">
        <f>AND('SPR BARRANQUILLA'!AK48,"AAAAAHFr/To=")</f>
        <v>#VALUE!</v>
      </c>
      <c r="BH43" t="e">
        <f>AND('SPR BARRANQUILLA'!AL48,"AAAAAHFr/Ts=")</f>
        <v>#VALUE!</v>
      </c>
      <c r="BI43" t="e">
        <f>AND('SPR BARRANQUILLA'!AM48,"AAAAAHFr/Tw=")</f>
        <v>#VALUE!</v>
      </c>
      <c r="BJ43" t="e">
        <f>AND('SPR BARRANQUILLA'!AN48,"AAAAAHFr/T0=")</f>
        <v>#VALUE!</v>
      </c>
      <c r="BK43" t="e">
        <f>AND('SPR BARRANQUILLA'!AO48,"AAAAAHFr/T4=")</f>
        <v>#VALUE!</v>
      </c>
      <c r="BL43" t="e">
        <f>AND('SPR BARRANQUILLA'!AP48,"AAAAAHFr/T8=")</f>
        <v>#VALUE!</v>
      </c>
      <c r="BM43" t="e">
        <f>AND('SPR BARRANQUILLA'!AQ48,"AAAAAHFr/UA=")</f>
        <v>#VALUE!</v>
      </c>
      <c r="BN43" t="e">
        <f>AND('SPR BARRANQUILLA'!AR48,"AAAAAHFr/UE=")</f>
        <v>#VALUE!</v>
      </c>
      <c r="BO43" t="e">
        <f>AND('SPR BARRANQUILLA'!AS48,"AAAAAHFr/UI=")</f>
        <v>#VALUE!</v>
      </c>
      <c r="BP43" t="e">
        <f>AND('SPR BARRANQUILLA'!AT48,"AAAAAHFr/UM=")</f>
        <v>#VALUE!</v>
      </c>
      <c r="BQ43" t="e">
        <f>AND('SPR BARRANQUILLA'!AU48,"AAAAAHFr/UQ=")</f>
        <v>#VALUE!</v>
      </c>
      <c r="BR43" t="e">
        <f>AND('SPR BARRANQUILLA'!AV48,"AAAAAHFr/UU=")</f>
        <v>#VALUE!</v>
      </c>
      <c r="BS43" t="e">
        <f>AND('SPR BARRANQUILLA'!AW48,"AAAAAHFr/UY=")</f>
        <v>#VALUE!</v>
      </c>
      <c r="BT43" t="e">
        <f>AND('SPR BARRANQUILLA'!AX48,"AAAAAHFr/Uc=")</f>
        <v>#VALUE!</v>
      </c>
      <c r="BU43" t="e">
        <f>AND('SPR BARRANQUILLA'!AY48,"AAAAAHFr/Ug=")</f>
        <v>#VALUE!</v>
      </c>
      <c r="BV43" t="e">
        <f>AND('SPR BARRANQUILLA'!AZ48,"AAAAAHFr/Uk=")</f>
        <v>#VALUE!</v>
      </c>
      <c r="BW43" t="e">
        <f>AND('SPR BARRANQUILLA'!BA48,"AAAAAHFr/Uo=")</f>
        <v>#VALUE!</v>
      </c>
      <c r="BX43" t="e">
        <f>AND('SPR BARRANQUILLA'!BB48,"AAAAAHFr/Us=")</f>
        <v>#VALUE!</v>
      </c>
      <c r="BY43" t="e">
        <f>AND('SPR BARRANQUILLA'!BC48,"AAAAAHFr/Uw=")</f>
        <v>#VALUE!</v>
      </c>
      <c r="BZ43" t="e">
        <f>AND('SPR BARRANQUILLA'!BD48,"AAAAAHFr/U0=")</f>
        <v>#VALUE!</v>
      </c>
      <c r="CA43" t="e">
        <f>AND('SPR BARRANQUILLA'!BE48,"AAAAAHFr/U4=")</f>
        <v>#VALUE!</v>
      </c>
      <c r="CB43" t="e">
        <f>AND('SPR BARRANQUILLA'!BF48,"AAAAAHFr/U8=")</f>
        <v>#VALUE!</v>
      </c>
      <c r="CC43" t="e">
        <f>AND('SPR BARRANQUILLA'!BG48,"AAAAAHFr/VA=")</f>
        <v>#VALUE!</v>
      </c>
      <c r="CD43" t="e">
        <f>AND('SPR BARRANQUILLA'!BH48,"AAAAAHFr/VE=")</f>
        <v>#VALUE!</v>
      </c>
      <c r="CE43" t="e">
        <f>AND('SPR BARRANQUILLA'!BI48,"AAAAAHFr/VI=")</f>
        <v>#VALUE!</v>
      </c>
      <c r="CF43" t="e">
        <f>AND('SPR BARRANQUILLA'!BJ48,"AAAAAHFr/VM=")</f>
        <v>#VALUE!</v>
      </c>
      <c r="CG43" t="e">
        <f>AND('SPR BARRANQUILLA'!BK48,"AAAAAHFr/VQ=")</f>
        <v>#VALUE!</v>
      </c>
      <c r="CH43" t="e">
        <f>AND('SPR BARRANQUILLA'!BL48,"AAAAAHFr/VU=")</f>
        <v>#VALUE!</v>
      </c>
      <c r="CI43" t="e">
        <f>AND('SPR BARRANQUILLA'!BM48,"AAAAAHFr/VY=")</f>
        <v>#VALUE!</v>
      </c>
      <c r="CJ43" t="e">
        <f>AND('SPR BARRANQUILLA'!BN48,"AAAAAHFr/Vc=")</f>
        <v>#VALUE!</v>
      </c>
      <c r="CK43" t="e">
        <f>AND('SPR BARRANQUILLA'!BO48,"AAAAAHFr/Vg=")</f>
        <v>#VALUE!</v>
      </c>
      <c r="CL43" t="e">
        <f>AND('SPR BARRANQUILLA'!BP48,"AAAAAHFr/Vk=")</f>
        <v>#VALUE!</v>
      </c>
      <c r="CM43" t="e">
        <f>AND('SPR BARRANQUILLA'!BQ48,"AAAAAHFr/Vo=")</f>
        <v>#VALUE!</v>
      </c>
      <c r="CN43" t="e">
        <f>AND('SPR BARRANQUILLA'!BR48,"AAAAAHFr/Vs=")</f>
        <v>#VALUE!</v>
      </c>
      <c r="CO43" t="e">
        <f>AND('SPR BARRANQUILLA'!BS48,"AAAAAHFr/Vw=")</f>
        <v>#VALUE!</v>
      </c>
      <c r="CP43" t="e">
        <f>AND('SPR BARRANQUILLA'!BT48,"AAAAAHFr/V0=")</f>
        <v>#VALUE!</v>
      </c>
      <c r="CQ43" t="e">
        <f>AND('SPR BARRANQUILLA'!BU48,"AAAAAHFr/V4=")</f>
        <v>#VALUE!</v>
      </c>
      <c r="CR43" t="e">
        <f>AND('SPR BARRANQUILLA'!BV48,"AAAAAHFr/V8=")</f>
        <v>#VALUE!</v>
      </c>
      <c r="CS43" t="e">
        <f>AND('SPR BARRANQUILLA'!BW48,"AAAAAHFr/WA=")</f>
        <v>#VALUE!</v>
      </c>
      <c r="CT43" t="e">
        <f>AND('SPR BARRANQUILLA'!BX48,"AAAAAHFr/WE=")</f>
        <v>#VALUE!</v>
      </c>
      <c r="CU43" t="e">
        <f>AND('SPR BARRANQUILLA'!BY48,"AAAAAHFr/WI=")</f>
        <v>#VALUE!</v>
      </c>
      <c r="CV43" t="e">
        <f>AND('SPR BARRANQUILLA'!BZ48,"AAAAAHFr/WM=")</f>
        <v>#VALUE!</v>
      </c>
      <c r="CW43" t="e">
        <f>AND('SPR BARRANQUILLA'!CA48,"AAAAAHFr/WQ=")</f>
        <v>#VALUE!</v>
      </c>
      <c r="CX43" t="e">
        <f>AND('SPR BARRANQUILLA'!CB48,"AAAAAHFr/WU=")</f>
        <v>#VALUE!</v>
      </c>
      <c r="CY43" t="e">
        <f>AND('SPR BARRANQUILLA'!CC48,"AAAAAHFr/WY=")</f>
        <v>#VALUE!</v>
      </c>
      <c r="CZ43" t="e">
        <f>AND('SPR BARRANQUILLA'!CD48,"AAAAAHFr/Wc=")</f>
        <v>#VALUE!</v>
      </c>
      <c r="DA43" t="e">
        <f>AND('SPR BARRANQUILLA'!CE48,"AAAAAHFr/Wg=")</f>
        <v>#VALUE!</v>
      </c>
      <c r="DB43" t="e">
        <f>AND('SPR BARRANQUILLA'!CF48,"AAAAAHFr/Wk=")</f>
        <v>#VALUE!</v>
      </c>
      <c r="DC43" t="e">
        <f>AND('SPR BARRANQUILLA'!CG48,"AAAAAHFr/Wo=")</f>
        <v>#VALUE!</v>
      </c>
      <c r="DD43" t="e">
        <f>AND('SPR BARRANQUILLA'!CH48,"AAAAAHFr/Ws=")</f>
        <v>#VALUE!</v>
      </c>
      <c r="DE43" t="e">
        <f>AND('SPR BARRANQUILLA'!CI48,"AAAAAHFr/Ww=")</f>
        <v>#VALUE!</v>
      </c>
      <c r="DF43" t="e">
        <f>AND('SPR BARRANQUILLA'!CJ48,"AAAAAHFr/W0=")</f>
        <v>#VALUE!</v>
      </c>
      <c r="DG43" t="e">
        <f>AND('SPR BARRANQUILLA'!CK48,"AAAAAHFr/W4=")</f>
        <v>#VALUE!</v>
      </c>
      <c r="DH43" t="e">
        <f>AND('SPR BARRANQUILLA'!CL48,"AAAAAHFr/W8=")</f>
        <v>#VALUE!</v>
      </c>
      <c r="DI43" t="e">
        <f>AND('SPR BARRANQUILLA'!CM48,"AAAAAHFr/XA=")</f>
        <v>#VALUE!</v>
      </c>
      <c r="DJ43" t="e">
        <f>AND('SPR BARRANQUILLA'!CN48,"AAAAAHFr/XE=")</f>
        <v>#VALUE!</v>
      </c>
      <c r="DK43" t="e">
        <f>AND('SPR BARRANQUILLA'!CO48,"AAAAAHFr/XI=")</f>
        <v>#VALUE!</v>
      </c>
      <c r="DL43" t="e">
        <f>AND('SPR BARRANQUILLA'!CP48,"AAAAAHFr/XM=")</f>
        <v>#VALUE!</v>
      </c>
      <c r="DM43" t="e">
        <f>AND('SPR BARRANQUILLA'!CQ48,"AAAAAHFr/XQ=")</f>
        <v>#VALUE!</v>
      </c>
      <c r="DN43" t="e">
        <f>AND('SPR BARRANQUILLA'!CR48,"AAAAAHFr/XU=")</f>
        <v>#VALUE!</v>
      </c>
      <c r="DO43" t="e">
        <f>AND('SPR BARRANQUILLA'!CS48,"AAAAAHFr/XY=")</f>
        <v>#VALUE!</v>
      </c>
      <c r="DP43" t="e">
        <f>AND('SPR BARRANQUILLA'!CT48,"AAAAAHFr/Xc=")</f>
        <v>#VALUE!</v>
      </c>
      <c r="DQ43" t="e">
        <f>AND('SPR BARRANQUILLA'!CU48,"AAAAAHFr/Xg=")</f>
        <v>#VALUE!</v>
      </c>
      <c r="DR43" t="e">
        <f>AND('SPR BARRANQUILLA'!CV48,"AAAAAHFr/Xk=")</f>
        <v>#VALUE!</v>
      </c>
      <c r="DS43" t="e">
        <f>AND('SPR BARRANQUILLA'!CW48,"AAAAAHFr/Xo=")</f>
        <v>#VALUE!</v>
      </c>
      <c r="DT43" t="e">
        <f>AND('SPR BARRANQUILLA'!CX48,"AAAAAHFr/Xs=")</f>
        <v>#VALUE!</v>
      </c>
      <c r="DU43" t="e">
        <f>AND('SPR BARRANQUILLA'!CY48,"AAAAAHFr/Xw=")</f>
        <v>#VALUE!</v>
      </c>
      <c r="DV43" t="e">
        <f>AND('SPR BARRANQUILLA'!CZ48,"AAAAAHFr/X0=")</f>
        <v>#VALUE!</v>
      </c>
      <c r="DW43" t="e">
        <f>AND('SPR BARRANQUILLA'!DA48,"AAAAAHFr/X4=")</f>
        <v>#VALUE!</v>
      </c>
      <c r="DX43" t="e">
        <f>AND('SPR BARRANQUILLA'!DB48,"AAAAAHFr/X8=")</f>
        <v>#VALUE!</v>
      </c>
      <c r="DY43" t="e">
        <f>AND('SPR BARRANQUILLA'!DC48,"AAAAAHFr/YA=")</f>
        <v>#VALUE!</v>
      </c>
      <c r="DZ43" t="e">
        <f>AND('SPR BARRANQUILLA'!DD48,"AAAAAHFr/YE=")</f>
        <v>#VALUE!</v>
      </c>
      <c r="EA43" t="e">
        <f>AND('SPR BARRANQUILLA'!DE48,"AAAAAHFr/YI=")</f>
        <v>#VALUE!</v>
      </c>
      <c r="EB43" t="e">
        <f>AND('SPR BARRANQUILLA'!DF48,"AAAAAHFr/YM=")</f>
        <v>#VALUE!</v>
      </c>
      <c r="EC43" t="e">
        <f>AND('SPR BARRANQUILLA'!DG48,"AAAAAHFr/YQ=")</f>
        <v>#VALUE!</v>
      </c>
      <c r="ED43" t="e">
        <f>AND('SPR BARRANQUILLA'!DH48,"AAAAAHFr/YU=")</f>
        <v>#VALUE!</v>
      </c>
      <c r="EE43" t="e">
        <f>AND('SPR BARRANQUILLA'!DI48,"AAAAAHFr/YY=")</f>
        <v>#VALUE!</v>
      </c>
      <c r="EF43" t="e">
        <f>AND('SPR BARRANQUILLA'!DJ48,"AAAAAHFr/Yc=")</f>
        <v>#VALUE!</v>
      </c>
      <c r="EG43" t="e">
        <f>AND('SPR BARRANQUILLA'!DK48,"AAAAAHFr/Yg=")</f>
        <v>#VALUE!</v>
      </c>
      <c r="EH43" t="e">
        <f>AND('SPR BARRANQUILLA'!DL48,"AAAAAHFr/Yk=")</f>
        <v>#VALUE!</v>
      </c>
      <c r="EI43" t="e">
        <f>AND('SPR BARRANQUILLA'!DM48,"AAAAAHFr/Yo=")</f>
        <v>#VALUE!</v>
      </c>
      <c r="EJ43" t="e">
        <f>AND('SPR BARRANQUILLA'!DN48,"AAAAAHFr/Ys=")</f>
        <v>#VALUE!</v>
      </c>
      <c r="EK43" t="e">
        <f>AND('SPR BARRANQUILLA'!DO48,"AAAAAHFr/Yw=")</f>
        <v>#VALUE!</v>
      </c>
      <c r="EL43" t="e">
        <f>AND('SPR BARRANQUILLA'!DP48,"AAAAAHFr/Y0=")</f>
        <v>#VALUE!</v>
      </c>
      <c r="EM43" t="e">
        <f>AND('SPR BARRANQUILLA'!DQ48,"AAAAAHFr/Y4=")</f>
        <v>#VALUE!</v>
      </c>
      <c r="EN43" t="e">
        <f>AND('SPR BARRANQUILLA'!DR48,"AAAAAHFr/Y8=")</f>
        <v>#VALUE!</v>
      </c>
      <c r="EO43" t="e">
        <f>AND('SPR BARRANQUILLA'!DS48,"AAAAAHFr/ZA=")</f>
        <v>#VALUE!</v>
      </c>
      <c r="EP43" t="e">
        <f>AND('SPR BARRANQUILLA'!DT48,"AAAAAHFr/ZE=")</f>
        <v>#VALUE!</v>
      </c>
      <c r="EQ43" t="e">
        <f>AND('SPR BARRANQUILLA'!DU48,"AAAAAHFr/ZI=")</f>
        <v>#VALUE!</v>
      </c>
      <c r="ER43" t="e">
        <f>AND('SPR BARRANQUILLA'!DV48,"AAAAAHFr/ZM=")</f>
        <v>#VALUE!</v>
      </c>
      <c r="ES43" t="e">
        <f>AND('SPR BARRANQUILLA'!DW48,"AAAAAHFr/ZQ=")</f>
        <v>#VALUE!</v>
      </c>
      <c r="ET43" t="e">
        <f>AND('SPR BARRANQUILLA'!DX48,"AAAAAHFr/ZU=")</f>
        <v>#VALUE!</v>
      </c>
      <c r="EU43" t="e">
        <f>AND('SPR BARRANQUILLA'!DY48,"AAAAAHFr/ZY=")</f>
        <v>#VALUE!</v>
      </c>
      <c r="EV43" t="e">
        <f>AND('SPR BARRANQUILLA'!DZ48,"AAAAAHFr/Zc=")</f>
        <v>#VALUE!</v>
      </c>
      <c r="EW43" t="e">
        <f>AND('SPR BARRANQUILLA'!EA48,"AAAAAHFr/Zg=")</f>
        <v>#VALUE!</v>
      </c>
      <c r="EX43" t="e">
        <f>AND('SPR BARRANQUILLA'!EB48,"AAAAAHFr/Zk=")</f>
        <v>#VALUE!</v>
      </c>
      <c r="EY43" t="e">
        <f>AND('SPR BARRANQUILLA'!EC48,"AAAAAHFr/Zo=")</f>
        <v>#VALUE!</v>
      </c>
      <c r="EZ43" t="e">
        <f>AND('SPR BARRANQUILLA'!ED48,"AAAAAHFr/Zs=")</f>
        <v>#VALUE!</v>
      </c>
      <c r="FA43" t="e">
        <f>AND('SPR BARRANQUILLA'!EE48,"AAAAAHFr/Zw=")</f>
        <v>#VALUE!</v>
      </c>
      <c r="FB43" t="e">
        <f>AND('SPR BARRANQUILLA'!EF48,"AAAAAHFr/Z0=")</f>
        <v>#VALUE!</v>
      </c>
      <c r="FC43" t="e">
        <f>AND('SPR BARRANQUILLA'!EG48,"AAAAAHFr/Z4=")</f>
        <v>#VALUE!</v>
      </c>
      <c r="FD43" t="e">
        <f>AND('SPR BARRANQUILLA'!EH48,"AAAAAHFr/Z8=")</f>
        <v>#VALUE!</v>
      </c>
      <c r="FE43" t="e">
        <f>AND('SPR BARRANQUILLA'!EI48,"AAAAAHFr/aA=")</f>
        <v>#VALUE!</v>
      </c>
      <c r="FF43" t="e">
        <f>AND('SPR BARRANQUILLA'!EJ48,"AAAAAHFr/aE=")</f>
        <v>#VALUE!</v>
      </c>
      <c r="FG43" t="e">
        <f>AND('SPR BARRANQUILLA'!EK48,"AAAAAHFr/aI=")</f>
        <v>#VALUE!</v>
      </c>
      <c r="FH43" t="e">
        <f>AND('SPR BARRANQUILLA'!EL48,"AAAAAHFr/aM=")</f>
        <v>#VALUE!</v>
      </c>
      <c r="FI43" t="e">
        <f>AND('SPR BARRANQUILLA'!EM48,"AAAAAHFr/aQ=")</f>
        <v>#VALUE!</v>
      </c>
      <c r="FJ43" t="e">
        <f>AND('SPR BARRANQUILLA'!EN48,"AAAAAHFr/aU=")</f>
        <v>#VALUE!</v>
      </c>
      <c r="FK43" t="e">
        <f>AND('SPR BARRANQUILLA'!EO48,"AAAAAHFr/aY=")</f>
        <v>#VALUE!</v>
      </c>
      <c r="FL43" t="e">
        <f>AND('SPR BARRANQUILLA'!EP48,"AAAAAHFr/ac=")</f>
        <v>#VALUE!</v>
      </c>
      <c r="FM43" t="e">
        <f>AND('SPR BARRANQUILLA'!EQ48,"AAAAAHFr/ag=")</f>
        <v>#VALUE!</v>
      </c>
      <c r="FN43" t="e">
        <f>AND('SPR BARRANQUILLA'!ER48,"AAAAAHFr/ak=")</f>
        <v>#VALUE!</v>
      </c>
      <c r="FO43" t="e">
        <f>AND('SPR BARRANQUILLA'!ES48,"AAAAAHFr/ao=")</f>
        <v>#VALUE!</v>
      </c>
      <c r="FP43" t="e">
        <f>AND('SPR BARRANQUILLA'!ET48,"AAAAAHFr/as=")</f>
        <v>#VALUE!</v>
      </c>
      <c r="FQ43" t="e">
        <f>AND('SPR BARRANQUILLA'!EU48,"AAAAAHFr/aw=")</f>
        <v>#VALUE!</v>
      </c>
      <c r="FR43" t="e">
        <f>AND('SPR BARRANQUILLA'!EV48,"AAAAAHFr/a0=")</f>
        <v>#VALUE!</v>
      </c>
      <c r="FS43" t="e">
        <f>AND('SPR BARRANQUILLA'!EW48,"AAAAAHFr/a4=")</f>
        <v>#VALUE!</v>
      </c>
      <c r="FT43" t="e">
        <f>AND('SPR BARRANQUILLA'!EX48,"AAAAAHFr/a8=")</f>
        <v>#VALUE!</v>
      </c>
      <c r="FU43" t="e">
        <f>AND('SPR BARRANQUILLA'!EY48,"AAAAAHFr/bA=")</f>
        <v>#VALUE!</v>
      </c>
      <c r="FV43" t="e">
        <f>AND('SPR BARRANQUILLA'!EZ48,"AAAAAHFr/bE=")</f>
        <v>#VALUE!</v>
      </c>
      <c r="FW43" t="e">
        <f>AND('SPR BARRANQUILLA'!FA48,"AAAAAHFr/bI=")</f>
        <v>#VALUE!</v>
      </c>
      <c r="FX43" t="e">
        <f>AND('SPR BARRANQUILLA'!FB48,"AAAAAHFr/bM=")</f>
        <v>#VALUE!</v>
      </c>
      <c r="FY43" t="e">
        <f>AND('SPR BARRANQUILLA'!FC48,"AAAAAHFr/bQ=")</f>
        <v>#VALUE!</v>
      </c>
      <c r="FZ43" t="e">
        <f>AND('SPR BARRANQUILLA'!FD48,"AAAAAHFr/bU=")</f>
        <v>#VALUE!</v>
      </c>
      <c r="GA43" t="e">
        <f>AND('SPR BARRANQUILLA'!FE48,"AAAAAHFr/bY=")</f>
        <v>#VALUE!</v>
      </c>
      <c r="GB43" t="e">
        <f>AND('SPR BARRANQUILLA'!FF48,"AAAAAHFr/bc=")</f>
        <v>#VALUE!</v>
      </c>
      <c r="GC43" t="e">
        <f>AND('SPR BARRANQUILLA'!FG48,"AAAAAHFr/bg=")</f>
        <v>#VALUE!</v>
      </c>
      <c r="GD43" t="e">
        <f>AND('SPR BARRANQUILLA'!FH48,"AAAAAHFr/bk=")</f>
        <v>#VALUE!</v>
      </c>
      <c r="GE43" t="e">
        <f>AND('SPR BARRANQUILLA'!FI48,"AAAAAHFr/bo=")</f>
        <v>#VALUE!</v>
      </c>
      <c r="GF43" t="e">
        <f>AND('SPR BARRANQUILLA'!FJ48,"AAAAAHFr/bs=")</f>
        <v>#VALUE!</v>
      </c>
      <c r="GG43" t="e">
        <f>AND('SPR BARRANQUILLA'!FK48,"AAAAAHFr/bw=")</f>
        <v>#VALUE!</v>
      </c>
      <c r="GH43" t="e">
        <f>AND('SPR BARRANQUILLA'!FL48,"AAAAAHFr/b0=")</f>
        <v>#VALUE!</v>
      </c>
      <c r="GI43" t="e">
        <f>AND('SPR BARRANQUILLA'!FM48,"AAAAAHFr/b4=")</f>
        <v>#VALUE!</v>
      </c>
      <c r="GJ43" t="e">
        <f>AND('SPR BARRANQUILLA'!FN48,"AAAAAHFr/b8=")</f>
        <v>#VALUE!</v>
      </c>
      <c r="GK43" t="e">
        <f>AND('SPR BARRANQUILLA'!FO48,"AAAAAHFr/cA=")</f>
        <v>#VALUE!</v>
      </c>
      <c r="GL43" t="e">
        <f>AND('SPR BARRANQUILLA'!FP48,"AAAAAHFr/cE=")</f>
        <v>#VALUE!</v>
      </c>
      <c r="GM43" t="e">
        <f>AND('SPR BARRANQUILLA'!FQ48,"AAAAAHFr/cI=")</f>
        <v>#VALUE!</v>
      </c>
      <c r="GN43" t="e">
        <f>AND('SPR BARRANQUILLA'!FR48,"AAAAAHFr/cM=")</f>
        <v>#VALUE!</v>
      </c>
      <c r="GO43" t="e">
        <f>AND('SPR BARRANQUILLA'!FS48,"AAAAAHFr/cQ=")</f>
        <v>#VALUE!</v>
      </c>
      <c r="GP43" t="e">
        <f>AND('SPR BARRANQUILLA'!FT48,"AAAAAHFr/cU=")</f>
        <v>#VALUE!</v>
      </c>
      <c r="GQ43" t="e">
        <f>AND('SPR BARRANQUILLA'!FU48,"AAAAAHFr/cY=")</f>
        <v>#VALUE!</v>
      </c>
      <c r="GR43" t="e">
        <f>AND('SPR BARRANQUILLA'!FV48,"AAAAAHFr/cc=")</f>
        <v>#VALUE!</v>
      </c>
      <c r="GS43" t="e">
        <f>AND('SPR BARRANQUILLA'!FW48,"AAAAAHFr/cg=")</f>
        <v>#VALUE!</v>
      </c>
      <c r="GT43" t="e">
        <f>AND('SPR BARRANQUILLA'!FX48,"AAAAAHFr/ck=")</f>
        <v>#VALUE!</v>
      </c>
      <c r="GU43" t="e">
        <f>AND('SPR BARRANQUILLA'!FY48,"AAAAAHFr/co=")</f>
        <v>#VALUE!</v>
      </c>
      <c r="GV43" t="e">
        <f>AND('SPR BARRANQUILLA'!FZ48,"AAAAAHFr/cs=")</f>
        <v>#VALUE!</v>
      </c>
      <c r="GW43" t="e">
        <f>AND('SPR BARRANQUILLA'!GA48,"AAAAAHFr/cw=")</f>
        <v>#VALUE!</v>
      </c>
      <c r="GX43" t="e">
        <f>AND('SPR BARRANQUILLA'!GB48,"AAAAAHFr/c0=")</f>
        <v>#VALUE!</v>
      </c>
      <c r="GY43" t="e">
        <f>AND('SPR BARRANQUILLA'!GC48,"AAAAAHFr/c4=")</f>
        <v>#VALUE!</v>
      </c>
      <c r="GZ43" t="e">
        <f>AND('SPR BARRANQUILLA'!GD48,"AAAAAHFr/c8=")</f>
        <v>#VALUE!</v>
      </c>
      <c r="HA43" t="e">
        <f>AND('SPR BARRANQUILLA'!GE48,"AAAAAHFr/dA=")</f>
        <v>#VALUE!</v>
      </c>
      <c r="HB43" t="e">
        <f>AND('SPR BARRANQUILLA'!GF48,"AAAAAHFr/dE=")</f>
        <v>#VALUE!</v>
      </c>
      <c r="HC43" t="e">
        <f>AND('SPR BARRANQUILLA'!GG48,"AAAAAHFr/dI=")</f>
        <v>#VALUE!</v>
      </c>
      <c r="HD43" t="e">
        <f>AND('SPR BARRANQUILLA'!GH48,"AAAAAHFr/dM=")</f>
        <v>#VALUE!</v>
      </c>
      <c r="HE43" t="e">
        <f>AND('SPR BARRANQUILLA'!GI48,"AAAAAHFr/dQ=")</f>
        <v>#VALUE!</v>
      </c>
      <c r="HF43" t="e">
        <f>AND('SPR BARRANQUILLA'!GJ48,"AAAAAHFr/dU=")</f>
        <v>#VALUE!</v>
      </c>
      <c r="HG43" t="e">
        <f>AND('SPR BARRANQUILLA'!GK48,"AAAAAHFr/dY=")</f>
        <v>#VALUE!</v>
      </c>
      <c r="HH43" t="e">
        <f>AND('SPR BARRANQUILLA'!GL48,"AAAAAHFr/dc=")</f>
        <v>#VALUE!</v>
      </c>
      <c r="HI43" t="e">
        <f>AND('SPR BARRANQUILLA'!GM48,"AAAAAHFr/dg=")</f>
        <v>#VALUE!</v>
      </c>
      <c r="HJ43" t="e">
        <f>AND('SPR BARRANQUILLA'!GN48,"AAAAAHFr/dk=")</f>
        <v>#VALUE!</v>
      </c>
      <c r="HK43" t="e">
        <f>AND('SPR BARRANQUILLA'!GO48,"AAAAAHFr/do=")</f>
        <v>#VALUE!</v>
      </c>
      <c r="HL43" t="e">
        <f>AND('SPR BARRANQUILLA'!GP48,"AAAAAHFr/ds=")</f>
        <v>#VALUE!</v>
      </c>
      <c r="HM43" t="e">
        <f>AND('SPR BARRANQUILLA'!GQ48,"AAAAAHFr/dw=")</f>
        <v>#VALUE!</v>
      </c>
      <c r="HN43" t="e">
        <f>AND('SPR BARRANQUILLA'!GR48,"AAAAAHFr/d0=")</f>
        <v>#VALUE!</v>
      </c>
      <c r="HO43" t="e">
        <f>AND('SPR BARRANQUILLA'!GS48,"AAAAAHFr/d4=")</f>
        <v>#VALUE!</v>
      </c>
      <c r="HP43" t="e">
        <f>AND('SPR BARRANQUILLA'!GT48,"AAAAAHFr/d8=")</f>
        <v>#VALUE!</v>
      </c>
      <c r="HQ43" t="e">
        <f>AND('SPR BARRANQUILLA'!GU48,"AAAAAHFr/eA=")</f>
        <v>#VALUE!</v>
      </c>
      <c r="HR43" t="e">
        <f>AND('SPR BARRANQUILLA'!GV48,"AAAAAHFr/eE=")</f>
        <v>#VALUE!</v>
      </c>
      <c r="HS43" t="e">
        <f>AND('SPR BARRANQUILLA'!GW48,"AAAAAHFr/eI=")</f>
        <v>#VALUE!</v>
      </c>
      <c r="HT43" t="e">
        <f>AND('SPR BARRANQUILLA'!GX48,"AAAAAHFr/eM=")</f>
        <v>#VALUE!</v>
      </c>
      <c r="HU43" t="e">
        <f>AND('SPR BARRANQUILLA'!GY48,"AAAAAHFr/eQ=")</f>
        <v>#VALUE!</v>
      </c>
      <c r="HV43">
        <f>IF('SPR BARRANQUILLA'!49:49,"AAAAAHFr/eU=",0)</f>
        <v>0</v>
      </c>
      <c r="HW43" t="e">
        <f>AND('SPR BARRANQUILLA'!A49,"AAAAAHFr/eY=")</f>
        <v>#VALUE!</v>
      </c>
      <c r="HX43" t="e">
        <f>AND('SPR BARRANQUILLA'!B49,"AAAAAHFr/ec=")</f>
        <v>#VALUE!</v>
      </c>
      <c r="HY43" t="e">
        <f>AND('SPR BARRANQUILLA'!C49,"AAAAAHFr/eg=")</f>
        <v>#VALUE!</v>
      </c>
      <c r="HZ43" t="e">
        <f>AND('SPR BARRANQUILLA'!D49,"AAAAAHFr/ek=")</f>
        <v>#VALUE!</v>
      </c>
      <c r="IA43" t="e">
        <f>AND('SPR BARRANQUILLA'!E49,"AAAAAHFr/eo=")</f>
        <v>#VALUE!</v>
      </c>
      <c r="IB43" t="e">
        <f>AND('SPR BARRANQUILLA'!F49,"AAAAAHFr/es=")</f>
        <v>#VALUE!</v>
      </c>
      <c r="IC43" t="e">
        <f>AND('SPR BARRANQUILLA'!G49,"AAAAAHFr/ew=")</f>
        <v>#VALUE!</v>
      </c>
      <c r="ID43" t="e">
        <f>AND('SPR BARRANQUILLA'!H49,"AAAAAHFr/e0=")</f>
        <v>#VALUE!</v>
      </c>
      <c r="IE43" t="e">
        <f>AND('SPR BARRANQUILLA'!I49,"AAAAAHFr/e4=")</f>
        <v>#VALUE!</v>
      </c>
      <c r="IF43" t="e">
        <f>AND('SPR BARRANQUILLA'!J49,"AAAAAHFr/e8=")</f>
        <v>#VALUE!</v>
      </c>
      <c r="IG43" t="e">
        <f>AND('SPR BARRANQUILLA'!K49,"AAAAAHFr/fA=")</f>
        <v>#VALUE!</v>
      </c>
      <c r="IH43" t="e">
        <f>AND('SPR BARRANQUILLA'!L49,"AAAAAHFr/fE=")</f>
        <v>#VALUE!</v>
      </c>
      <c r="II43" t="e">
        <f>AND('SPR BARRANQUILLA'!M49,"AAAAAHFr/fI=")</f>
        <v>#VALUE!</v>
      </c>
      <c r="IJ43" t="e">
        <f>AND('SPR BARRANQUILLA'!N49,"AAAAAHFr/fM=")</f>
        <v>#VALUE!</v>
      </c>
      <c r="IK43" t="e">
        <f>AND('SPR BARRANQUILLA'!O49,"AAAAAHFr/fQ=")</f>
        <v>#VALUE!</v>
      </c>
      <c r="IL43" t="e">
        <f>AND('SPR BARRANQUILLA'!P49,"AAAAAHFr/fU=")</f>
        <v>#VALUE!</v>
      </c>
      <c r="IM43" t="e">
        <f>AND('SPR BARRANQUILLA'!Q49,"AAAAAHFr/fY=")</f>
        <v>#VALUE!</v>
      </c>
      <c r="IN43" t="e">
        <f>AND('SPR BARRANQUILLA'!R49,"AAAAAHFr/fc=")</f>
        <v>#VALUE!</v>
      </c>
      <c r="IO43" t="e">
        <f>AND('SPR BARRANQUILLA'!S49,"AAAAAHFr/fg=")</f>
        <v>#VALUE!</v>
      </c>
      <c r="IP43" t="e">
        <f>AND('SPR BARRANQUILLA'!T49,"AAAAAHFr/fk=")</f>
        <v>#VALUE!</v>
      </c>
      <c r="IQ43" t="e">
        <f>AND('SPR BARRANQUILLA'!U49,"AAAAAHFr/fo=")</f>
        <v>#VALUE!</v>
      </c>
      <c r="IR43" t="e">
        <f>AND('SPR BARRANQUILLA'!V49,"AAAAAHFr/fs=")</f>
        <v>#VALUE!</v>
      </c>
      <c r="IS43" t="e">
        <f>AND('SPR BARRANQUILLA'!W49,"AAAAAHFr/fw=")</f>
        <v>#VALUE!</v>
      </c>
      <c r="IT43" t="e">
        <f>AND('SPR BARRANQUILLA'!X49,"AAAAAHFr/f0=")</f>
        <v>#VALUE!</v>
      </c>
      <c r="IU43" t="e">
        <f>AND('SPR BARRANQUILLA'!Y49,"AAAAAHFr/f4=")</f>
        <v>#VALUE!</v>
      </c>
      <c r="IV43" t="e">
        <f>AND('SPR BARRANQUILLA'!Z49,"AAAAAHFr/f8=")</f>
        <v>#VALUE!</v>
      </c>
    </row>
    <row r="44" spans="1:256">
      <c r="A44" t="e">
        <f>AND('SPR BARRANQUILLA'!AA49,"AAAAACZ/vwA=")</f>
        <v>#VALUE!</v>
      </c>
      <c r="B44" t="e">
        <f>AND('SPR BARRANQUILLA'!AB49,"AAAAACZ/vwE=")</f>
        <v>#VALUE!</v>
      </c>
      <c r="C44" t="e">
        <f>AND('SPR BARRANQUILLA'!AC49,"AAAAACZ/vwI=")</f>
        <v>#VALUE!</v>
      </c>
      <c r="D44" t="e">
        <f>AND('SPR BARRANQUILLA'!AD49,"AAAAACZ/vwM=")</f>
        <v>#VALUE!</v>
      </c>
      <c r="E44" t="e">
        <f>AND('SPR BARRANQUILLA'!AE49,"AAAAACZ/vwQ=")</f>
        <v>#VALUE!</v>
      </c>
      <c r="F44" t="e">
        <f>AND('SPR BARRANQUILLA'!AF49,"AAAAACZ/vwU=")</f>
        <v>#VALUE!</v>
      </c>
      <c r="G44" t="e">
        <f>AND('SPR BARRANQUILLA'!AG49,"AAAAACZ/vwY=")</f>
        <v>#VALUE!</v>
      </c>
      <c r="H44" t="e">
        <f>AND('SPR BARRANQUILLA'!AH49,"AAAAACZ/vwc=")</f>
        <v>#VALUE!</v>
      </c>
      <c r="I44" t="e">
        <f>AND('SPR BARRANQUILLA'!AI49,"AAAAACZ/vwg=")</f>
        <v>#VALUE!</v>
      </c>
      <c r="J44" t="e">
        <f>AND('SPR BARRANQUILLA'!AJ49,"AAAAACZ/vwk=")</f>
        <v>#VALUE!</v>
      </c>
      <c r="K44" t="e">
        <f>AND('SPR BARRANQUILLA'!AK49,"AAAAACZ/vwo=")</f>
        <v>#VALUE!</v>
      </c>
      <c r="L44" t="e">
        <f>AND('SPR BARRANQUILLA'!AL49,"AAAAACZ/vws=")</f>
        <v>#VALUE!</v>
      </c>
      <c r="M44" t="e">
        <f>AND('SPR BARRANQUILLA'!AM49,"AAAAACZ/vww=")</f>
        <v>#VALUE!</v>
      </c>
      <c r="N44" t="e">
        <f>AND('SPR BARRANQUILLA'!AN49,"AAAAACZ/vw0=")</f>
        <v>#VALUE!</v>
      </c>
      <c r="O44" t="e">
        <f>AND('SPR BARRANQUILLA'!AO49,"AAAAACZ/vw4=")</f>
        <v>#VALUE!</v>
      </c>
      <c r="P44" t="e">
        <f>AND('SPR BARRANQUILLA'!AP49,"AAAAACZ/vw8=")</f>
        <v>#VALUE!</v>
      </c>
      <c r="Q44" t="e">
        <f>AND('SPR BARRANQUILLA'!AQ49,"AAAAACZ/vxA=")</f>
        <v>#VALUE!</v>
      </c>
      <c r="R44" t="e">
        <f>AND('SPR BARRANQUILLA'!AR49,"AAAAACZ/vxE=")</f>
        <v>#VALUE!</v>
      </c>
      <c r="S44" t="e">
        <f>AND('SPR BARRANQUILLA'!AS49,"AAAAACZ/vxI=")</f>
        <v>#VALUE!</v>
      </c>
      <c r="T44" t="e">
        <f>AND('SPR BARRANQUILLA'!AT49,"AAAAACZ/vxM=")</f>
        <v>#VALUE!</v>
      </c>
      <c r="U44" t="e">
        <f>AND('SPR BARRANQUILLA'!AU49,"AAAAACZ/vxQ=")</f>
        <v>#VALUE!</v>
      </c>
      <c r="V44" t="e">
        <f>AND('SPR BARRANQUILLA'!AV49,"AAAAACZ/vxU=")</f>
        <v>#VALUE!</v>
      </c>
      <c r="W44" t="e">
        <f>AND('SPR BARRANQUILLA'!AW49,"AAAAACZ/vxY=")</f>
        <v>#VALUE!</v>
      </c>
      <c r="X44" t="e">
        <f>AND('SPR BARRANQUILLA'!AX49,"AAAAACZ/vxc=")</f>
        <v>#VALUE!</v>
      </c>
      <c r="Y44" t="e">
        <f>AND('SPR BARRANQUILLA'!AY49,"AAAAACZ/vxg=")</f>
        <v>#VALUE!</v>
      </c>
      <c r="Z44" t="e">
        <f>AND('SPR BARRANQUILLA'!AZ49,"AAAAACZ/vxk=")</f>
        <v>#VALUE!</v>
      </c>
      <c r="AA44" t="e">
        <f>AND('SPR BARRANQUILLA'!BA49,"AAAAACZ/vxo=")</f>
        <v>#VALUE!</v>
      </c>
      <c r="AB44" t="e">
        <f>AND('SPR BARRANQUILLA'!BB49,"AAAAACZ/vxs=")</f>
        <v>#VALUE!</v>
      </c>
      <c r="AC44" t="e">
        <f>AND('SPR BARRANQUILLA'!BC49,"AAAAACZ/vxw=")</f>
        <v>#VALUE!</v>
      </c>
      <c r="AD44" t="e">
        <f>AND('SPR BARRANQUILLA'!BD49,"AAAAACZ/vx0=")</f>
        <v>#VALUE!</v>
      </c>
      <c r="AE44" t="e">
        <f>AND('SPR BARRANQUILLA'!BE49,"AAAAACZ/vx4=")</f>
        <v>#VALUE!</v>
      </c>
      <c r="AF44" t="e">
        <f>AND('SPR BARRANQUILLA'!BF49,"AAAAACZ/vx8=")</f>
        <v>#VALUE!</v>
      </c>
      <c r="AG44" t="e">
        <f>AND('SPR BARRANQUILLA'!BG49,"AAAAACZ/vyA=")</f>
        <v>#VALUE!</v>
      </c>
      <c r="AH44" t="e">
        <f>AND('SPR BARRANQUILLA'!BH49,"AAAAACZ/vyE=")</f>
        <v>#VALUE!</v>
      </c>
      <c r="AI44" t="e">
        <f>AND('SPR BARRANQUILLA'!BI49,"AAAAACZ/vyI=")</f>
        <v>#VALUE!</v>
      </c>
      <c r="AJ44" t="e">
        <f>AND('SPR BARRANQUILLA'!BJ49,"AAAAACZ/vyM=")</f>
        <v>#VALUE!</v>
      </c>
      <c r="AK44" t="e">
        <f>AND('SPR BARRANQUILLA'!BK49,"AAAAACZ/vyQ=")</f>
        <v>#VALUE!</v>
      </c>
      <c r="AL44" t="e">
        <f>AND('SPR BARRANQUILLA'!BL49,"AAAAACZ/vyU=")</f>
        <v>#VALUE!</v>
      </c>
      <c r="AM44" t="e">
        <f>AND('SPR BARRANQUILLA'!BM49,"AAAAACZ/vyY=")</f>
        <v>#VALUE!</v>
      </c>
      <c r="AN44" t="e">
        <f>AND('SPR BARRANQUILLA'!BN49,"AAAAACZ/vyc=")</f>
        <v>#VALUE!</v>
      </c>
      <c r="AO44" t="e">
        <f>AND('SPR BARRANQUILLA'!BO49,"AAAAACZ/vyg=")</f>
        <v>#VALUE!</v>
      </c>
      <c r="AP44" t="e">
        <f>AND('SPR BARRANQUILLA'!BP49,"AAAAACZ/vyk=")</f>
        <v>#VALUE!</v>
      </c>
      <c r="AQ44" t="e">
        <f>AND('SPR BARRANQUILLA'!BQ49,"AAAAACZ/vyo=")</f>
        <v>#VALUE!</v>
      </c>
      <c r="AR44" t="e">
        <f>AND('SPR BARRANQUILLA'!BR49,"AAAAACZ/vys=")</f>
        <v>#VALUE!</v>
      </c>
      <c r="AS44" t="e">
        <f>AND('SPR BARRANQUILLA'!BS49,"AAAAACZ/vyw=")</f>
        <v>#VALUE!</v>
      </c>
      <c r="AT44" t="e">
        <f>AND('SPR BARRANQUILLA'!BT49,"AAAAACZ/vy0=")</f>
        <v>#VALUE!</v>
      </c>
      <c r="AU44" t="e">
        <f>AND('SPR BARRANQUILLA'!BU49,"AAAAACZ/vy4=")</f>
        <v>#VALUE!</v>
      </c>
      <c r="AV44" t="e">
        <f>AND('SPR BARRANQUILLA'!BV49,"AAAAACZ/vy8=")</f>
        <v>#VALUE!</v>
      </c>
      <c r="AW44" t="e">
        <f>AND('SPR BARRANQUILLA'!BW49,"AAAAACZ/vzA=")</f>
        <v>#VALUE!</v>
      </c>
      <c r="AX44" t="e">
        <f>AND('SPR BARRANQUILLA'!BX49,"AAAAACZ/vzE=")</f>
        <v>#VALUE!</v>
      </c>
      <c r="AY44" t="e">
        <f>AND('SPR BARRANQUILLA'!BY49,"AAAAACZ/vzI=")</f>
        <v>#VALUE!</v>
      </c>
      <c r="AZ44" t="e">
        <f>AND('SPR BARRANQUILLA'!BZ49,"AAAAACZ/vzM=")</f>
        <v>#VALUE!</v>
      </c>
      <c r="BA44" t="e">
        <f>AND('SPR BARRANQUILLA'!CA49,"AAAAACZ/vzQ=")</f>
        <v>#VALUE!</v>
      </c>
      <c r="BB44" t="e">
        <f>AND('SPR BARRANQUILLA'!CB49,"AAAAACZ/vzU=")</f>
        <v>#VALUE!</v>
      </c>
      <c r="BC44" t="e">
        <f>AND('SPR BARRANQUILLA'!CC49,"AAAAACZ/vzY=")</f>
        <v>#VALUE!</v>
      </c>
      <c r="BD44" t="e">
        <f>AND('SPR BARRANQUILLA'!CD49,"AAAAACZ/vzc=")</f>
        <v>#VALUE!</v>
      </c>
      <c r="BE44" t="e">
        <f>AND('SPR BARRANQUILLA'!CE49,"AAAAACZ/vzg=")</f>
        <v>#VALUE!</v>
      </c>
      <c r="BF44" t="e">
        <f>AND('SPR BARRANQUILLA'!CF49,"AAAAACZ/vzk=")</f>
        <v>#VALUE!</v>
      </c>
      <c r="BG44" t="e">
        <f>AND('SPR BARRANQUILLA'!CG49,"AAAAACZ/vzo=")</f>
        <v>#VALUE!</v>
      </c>
      <c r="BH44" t="e">
        <f>AND('SPR BARRANQUILLA'!CH49,"AAAAACZ/vzs=")</f>
        <v>#VALUE!</v>
      </c>
      <c r="BI44" t="e">
        <f>AND('SPR BARRANQUILLA'!CI49,"AAAAACZ/vzw=")</f>
        <v>#VALUE!</v>
      </c>
      <c r="BJ44" t="e">
        <f>AND('SPR BARRANQUILLA'!CJ49,"AAAAACZ/vz0=")</f>
        <v>#VALUE!</v>
      </c>
      <c r="BK44" t="e">
        <f>AND('SPR BARRANQUILLA'!CK49,"AAAAACZ/vz4=")</f>
        <v>#VALUE!</v>
      </c>
      <c r="BL44" t="e">
        <f>AND('SPR BARRANQUILLA'!CL49,"AAAAACZ/vz8=")</f>
        <v>#VALUE!</v>
      </c>
      <c r="BM44" t="e">
        <f>AND('SPR BARRANQUILLA'!CM49,"AAAAACZ/v0A=")</f>
        <v>#VALUE!</v>
      </c>
      <c r="BN44" t="e">
        <f>AND('SPR BARRANQUILLA'!CN49,"AAAAACZ/v0E=")</f>
        <v>#VALUE!</v>
      </c>
      <c r="BO44" t="e">
        <f>AND('SPR BARRANQUILLA'!CO49,"AAAAACZ/v0I=")</f>
        <v>#VALUE!</v>
      </c>
      <c r="BP44" t="e">
        <f>AND('SPR BARRANQUILLA'!CP49,"AAAAACZ/v0M=")</f>
        <v>#VALUE!</v>
      </c>
      <c r="BQ44" t="e">
        <f>AND('SPR BARRANQUILLA'!CQ49,"AAAAACZ/v0Q=")</f>
        <v>#VALUE!</v>
      </c>
      <c r="BR44" t="e">
        <f>AND('SPR BARRANQUILLA'!CR49,"AAAAACZ/v0U=")</f>
        <v>#VALUE!</v>
      </c>
      <c r="BS44" t="e">
        <f>AND('SPR BARRANQUILLA'!CS49,"AAAAACZ/v0Y=")</f>
        <v>#VALUE!</v>
      </c>
      <c r="BT44" t="e">
        <f>AND('SPR BARRANQUILLA'!CT49,"AAAAACZ/v0c=")</f>
        <v>#VALUE!</v>
      </c>
      <c r="BU44" t="e">
        <f>AND('SPR BARRANQUILLA'!CU49,"AAAAACZ/v0g=")</f>
        <v>#VALUE!</v>
      </c>
      <c r="BV44" t="e">
        <f>AND('SPR BARRANQUILLA'!CV49,"AAAAACZ/v0k=")</f>
        <v>#VALUE!</v>
      </c>
      <c r="BW44" t="e">
        <f>AND('SPR BARRANQUILLA'!CW49,"AAAAACZ/v0o=")</f>
        <v>#VALUE!</v>
      </c>
      <c r="BX44" t="e">
        <f>AND('SPR BARRANQUILLA'!CX49,"AAAAACZ/v0s=")</f>
        <v>#VALUE!</v>
      </c>
      <c r="BY44" t="e">
        <f>AND('SPR BARRANQUILLA'!CY49,"AAAAACZ/v0w=")</f>
        <v>#VALUE!</v>
      </c>
      <c r="BZ44" t="e">
        <f>AND('SPR BARRANQUILLA'!CZ49,"AAAAACZ/v00=")</f>
        <v>#VALUE!</v>
      </c>
      <c r="CA44" t="e">
        <f>AND('SPR BARRANQUILLA'!DA49,"AAAAACZ/v04=")</f>
        <v>#VALUE!</v>
      </c>
      <c r="CB44" t="e">
        <f>AND('SPR BARRANQUILLA'!DB49,"AAAAACZ/v08=")</f>
        <v>#VALUE!</v>
      </c>
      <c r="CC44" t="e">
        <f>AND('SPR BARRANQUILLA'!DC49,"AAAAACZ/v1A=")</f>
        <v>#VALUE!</v>
      </c>
      <c r="CD44" t="e">
        <f>AND('SPR BARRANQUILLA'!DD49,"AAAAACZ/v1E=")</f>
        <v>#VALUE!</v>
      </c>
      <c r="CE44" t="e">
        <f>AND('SPR BARRANQUILLA'!DE49,"AAAAACZ/v1I=")</f>
        <v>#VALUE!</v>
      </c>
      <c r="CF44" t="e">
        <f>AND('SPR BARRANQUILLA'!DF49,"AAAAACZ/v1M=")</f>
        <v>#VALUE!</v>
      </c>
      <c r="CG44" t="e">
        <f>AND('SPR BARRANQUILLA'!DG49,"AAAAACZ/v1Q=")</f>
        <v>#VALUE!</v>
      </c>
      <c r="CH44" t="e">
        <f>AND('SPR BARRANQUILLA'!DH49,"AAAAACZ/v1U=")</f>
        <v>#VALUE!</v>
      </c>
      <c r="CI44" t="e">
        <f>AND('SPR BARRANQUILLA'!DI49,"AAAAACZ/v1Y=")</f>
        <v>#VALUE!</v>
      </c>
      <c r="CJ44" t="e">
        <f>AND('SPR BARRANQUILLA'!DJ49,"AAAAACZ/v1c=")</f>
        <v>#VALUE!</v>
      </c>
      <c r="CK44" t="e">
        <f>AND('SPR BARRANQUILLA'!DK49,"AAAAACZ/v1g=")</f>
        <v>#VALUE!</v>
      </c>
      <c r="CL44" t="e">
        <f>AND('SPR BARRANQUILLA'!DL49,"AAAAACZ/v1k=")</f>
        <v>#VALUE!</v>
      </c>
      <c r="CM44" t="e">
        <f>AND('SPR BARRANQUILLA'!DM49,"AAAAACZ/v1o=")</f>
        <v>#VALUE!</v>
      </c>
      <c r="CN44" t="e">
        <f>AND('SPR BARRANQUILLA'!DN49,"AAAAACZ/v1s=")</f>
        <v>#VALUE!</v>
      </c>
      <c r="CO44" t="e">
        <f>AND('SPR BARRANQUILLA'!DO49,"AAAAACZ/v1w=")</f>
        <v>#VALUE!</v>
      </c>
      <c r="CP44" t="e">
        <f>AND('SPR BARRANQUILLA'!DP49,"AAAAACZ/v10=")</f>
        <v>#VALUE!</v>
      </c>
      <c r="CQ44" t="e">
        <f>AND('SPR BARRANQUILLA'!DQ49,"AAAAACZ/v14=")</f>
        <v>#VALUE!</v>
      </c>
      <c r="CR44" t="e">
        <f>AND('SPR BARRANQUILLA'!DR49,"AAAAACZ/v18=")</f>
        <v>#VALUE!</v>
      </c>
      <c r="CS44" t="e">
        <f>AND('SPR BARRANQUILLA'!DS49,"AAAAACZ/v2A=")</f>
        <v>#VALUE!</v>
      </c>
      <c r="CT44" t="e">
        <f>AND('SPR BARRANQUILLA'!DT49,"AAAAACZ/v2E=")</f>
        <v>#VALUE!</v>
      </c>
      <c r="CU44" t="e">
        <f>AND('SPR BARRANQUILLA'!DU49,"AAAAACZ/v2I=")</f>
        <v>#VALUE!</v>
      </c>
      <c r="CV44" t="e">
        <f>AND('SPR BARRANQUILLA'!DV49,"AAAAACZ/v2M=")</f>
        <v>#VALUE!</v>
      </c>
      <c r="CW44" t="e">
        <f>AND('SPR BARRANQUILLA'!DW49,"AAAAACZ/v2Q=")</f>
        <v>#VALUE!</v>
      </c>
      <c r="CX44" t="e">
        <f>AND('SPR BARRANQUILLA'!DX49,"AAAAACZ/v2U=")</f>
        <v>#VALUE!</v>
      </c>
      <c r="CY44" t="e">
        <f>AND('SPR BARRANQUILLA'!DY49,"AAAAACZ/v2Y=")</f>
        <v>#VALUE!</v>
      </c>
      <c r="CZ44" t="e">
        <f>AND('SPR BARRANQUILLA'!DZ49,"AAAAACZ/v2c=")</f>
        <v>#VALUE!</v>
      </c>
      <c r="DA44" t="e">
        <f>AND('SPR BARRANQUILLA'!EA49,"AAAAACZ/v2g=")</f>
        <v>#VALUE!</v>
      </c>
      <c r="DB44" t="e">
        <f>AND('SPR BARRANQUILLA'!EB49,"AAAAACZ/v2k=")</f>
        <v>#VALUE!</v>
      </c>
      <c r="DC44" t="e">
        <f>AND('SPR BARRANQUILLA'!EC49,"AAAAACZ/v2o=")</f>
        <v>#VALUE!</v>
      </c>
      <c r="DD44" t="e">
        <f>AND('SPR BARRANQUILLA'!ED49,"AAAAACZ/v2s=")</f>
        <v>#VALUE!</v>
      </c>
      <c r="DE44" t="e">
        <f>AND('SPR BARRANQUILLA'!EE49,"AAAAACZ/v2w=")</f>
        <v>#VALUE!</v>
      </c>
      <c r="DF44" t="e">
        <f>AND('SPR BARRANQUILLA'!EF49,"AAAAACZ/v20=")</f>
        <v>#VALUE!</v>
      </c>
      <c r="DG44" t="e">
        <f>AND('SPR BARRANQUILLA'!EG49,"AAAAACZ/v24=")</f>
        <v>#VALUE!</v>
      </c>
      <c r="DH44" t="e">
        <f>AND('SPR BARRANQUILLA'!EH49,"AAAAACZ/v28=")</f>
        <v>#VALUE!</v>
      </c>
      <c r="DI44" t="e">
        <f>AND('SPR BARRANQUILLA'!EI49,"AAAAACZ/v3A=")</f>
        <v>#VALUE!</v>
      </c>
      <c r="DJ44" t="e">
        <f>AND('SPR BARRANQUILLA'!EJ49,"AAAAACZ/v3E=")</f>
        <v>#VALUE!</v>
      </c>
      <c r="DK44" t="e">
        <f>AND('SPR BARRANQUILLA'!EK49,"AAAAACZ/v3I=")</f>
        <v>#VALUE!</v>
      </c>
      <c r="DL44" t="e">
        <f>AND('SPR BARRANQUILLA'!EL49,"AAAAACZ/v3M=")</f>
        <v>#VALUE!</v>
      </c>
      <c r="DM44" t="e">
        <f>AND('SPR BARRANQUILLA'!EM49,"AAAAACZ/v3Q=")</f>
        <v>#VALUE!</v>
      </c>
      <c r="DN44" t="e">
        <f>AND('SPR BARRANQUILLA'!EN49,"AAAAACZ/v3U=")</f>
        <v>#VALUE!</v>
      </c>
      <c r="DO44" t="e">
        <f>AND('SPR BARRANQUILLA'!EO49,"AAAAACZ/v3Y=")</f>
        <v>#VALUE!</v>
      </c>
      <c r="DP44" t="e">
        <f>AND('SPR BARRANQUILLA'!EP49,"AAAAACZ/v3c=")</f>
        <v>#VALUE!</v>
      </c>
      <c r="DQ44" t="e">
        <f>AND('SPR BARRANQUILLA'!EQ49,"AAAAACZ/v3g=")</f>
        <v>#VALUE!</v>
      </c>
      <c r="DR44" t="e">
        <f>AND('SPR BARRANQUILLA'!ER49,"AAAAACZ/v3k=")</f>
        <v>#VALUE!</v>
      </c>
      <c r="DS44" t="e">
        <f>AND('SPR BARRANQUILLA'!ES49,"AAAAACZ/v3o=")</f>
        <v>#VALUE!</v>
      </c>
      <c r="DT44" t="e">
        <f>AND('SPR BARRANQUILLA'!ET49,"AAAAACZ/v3s=")</f>
        <v>#VALUE!</v>
      </c>
      <c r="DU44" t="e">
        <f>AND('SPR BARRANQUILLA'!EU49,"AAAAACZ/v3w=")</f>
        <v>#VALUE!</v>
      </c>
      <c r="DV44" t="e">
        <f>AND('SPR BARRANQUILLA'!EV49,"AAAAACZ/v30=")</f>
        <v>#VALUE!</v>
      </c>
      <c r="DW44" t="e">
        <f>AND('SPR BARRANQUILLA'!EW49,"AAAAACZ/v34=")</f>
        <v>#VALUE!</v>
      </c>
      <c r="DX44" t="e">
        <f>AND('SPR BARRANQUILLA'!EX49,"AAAAACZ/v38=")</f>
        <v>#VALUE!</v>
      </c>
      <c r="DY44" t="e">
        <f>AND('SPR BARRANQUILLA'!EY49,"AAAAACZ/v4A=")</f>
        <v>#VALUE!</v>
      </c>
      <c r="DZ44" t="e">
        <f>AND('SPR BARRANQUILLA'!EZ49,"AAAAACZ/v4E=")</f>
        <v>#VALUE!</v>
      </c>
      <c r="EA44" t="e">
        <f>AND('SPR BARRANQUILLA'!FA49,"AAAAACZ/v4I=")</f>
        <v>#VALUE!</v>
      </c>
      <c r="EB44" t="e">
        <f>AND('SPR BARRANQUILLA'!FB49,"AAAAACZ/v4M=")</f>
        <v>#VALUE!</v>
      </c>
      <c r="EC44" t="e">
        <f>AND('SPR BARRANQUILLA'!FC49,"AAAAACZ/v4Q=")</f>
        <v>#VALUE!</v>
      </c>
      <c r="ED44" t="e">
        <f>AND('SPR BARRANQUILLA'!FD49,"AAAAACZ/v4U=")</f>
        <v>#VALUE!</v>
      </c>
      <c r="EE44" t="e">
        <f>AND('SPR BARRANQUILLA'!FE49,"AAAAACZ/v4Y=")</f>
        <v>#VALUE!</v>
      </c>
      <c r="EF44" t="e">
        <f>AND('SPR BARRANQUILLA'!FF49,"AAAAACZ/v4c=")</f>
        <v>#VALUE!</v>
      </c>
      <c r="EG44" t="e">
        <f>AND('SPR BARRANQUILLA'!FG49,"AAAAACZ/v4g=")</f>
        <v>#VALUE!</v>
      </c>
      <c r="EH44" t="e">
        <f>AND('SPR BARRANQUILLA'!FH49,"AAAAACZ/v4k=")</f>
        <v>#VALUE!</v>
      </c>
      <c r="EI44" t="e">
        <f>AND('SPR BARRANQUILLA'!FI49,"AAAAACZ/v4o=")</f>
        <v>#VALUE!</v>
      </c>
      <c r="EJ44" t="e">
        <f>AND('SPR BARRANQUILLA'!FJ49,"AAAAACZ/v4s=")</f>
        <v>#VALUE!</v>
      </c>
      <c r="EK44" t="e">
        <f>AND('SPR BARRANQUILLA'!FK49,"AAAAACZ/v4w=")</f>
        <v>#VALUE!</v>
      </c>
      <c r="EL44" t="e">
        <f>AND('SPR BARRANQUILLA'!FL49,"AAAAACZ/v40=")</f>
        <v>#VALUE!</v>
      </c>
      <c r="EM44" t="e">
        <f>AND('SPR BARRANQUILLA'!FM49,"AAAAACZ/v44=")</f>
        <v>#VALUE!</v>
      </c>
      <c r="EN44" t="e">
        <f>AND('SPR BARRANQUILLA'!FN49,"AAAAACZ/v48=")</f>
        <v>#VALUE!</v>
      </c>
      <c r="EO44" t="e">
        <f>AND('SPR BARRANQUILLA'!FO49,"AAAAACZ/v5A=")</f>
        <v>#VALUE!</v>
      </c>
      <c r="EP44" t="e">
        <f>AND('SPR BARRANQUILLA'!FP49,"AAAAACZ/v5E=")</f>
        <v>#VALUE!</v>
      </c>
      <c r="EQ44" t="e">
        <f>AND('SPR BARRANQUILLA'!FQ49,"AAAAACZ/v5I=")</f>
        <v>#VALUE!</v>
      </c>
      <c r="ER44" t="e">
        <f>AND('SPR BARRANQUILLA'!FR49,"AAAAACZ/v5M=")</f>
        <v>#VALUE!</v>
      </c>
      <c r="ES44" t="e">
        <f>AND('SPR BARRANQUILLA'!FS49,"AAAAACZ/v5Q=")</f>
        <v>#VALUE!</v>
      </c>
      <c r="ET44" t="e">
        <f>AND('SPR BARRANQUILLA'!FT49,"AAAAACZ/v5U=")</f>
        <v>#VALUE!</v>
      </c>
      <c r="EU44" t="e">
        <f>AND('SPR BARRANQUILLA'!FU49,"AAAAACZ/v5Y=")</f>
        <v>#VALUE!</v>
      </c>
      <c r="EV44" t="e">
        <f>AND('SPR BARRANQUILLA'!FV49,"AAAAACZ/v5c=")</f>
        <v>#VALUE!</v>
      </c>
      <c r="EW44" t="e">
        <f>AND('SPR BARRANQUILLA'!FW49,"AAAAACZ/v5g=")</f>
        <v>#VALUE!</v>
      </c>
      <c r="EX44" t="e">
        <f>AND('SPR BARRANQUILLA'!FX49,"AAAAACZ/v5k=")</f>
        <v>#VALUE!</v>
      </c>
      <c r="EY44" t="e">
        <f>AND('SPR BARRANQUILLA'!FY49,"AAAAACZ/v5o=")</f>
        <v>#VALUE!</v>
      </c>
      <c r="EZ44" t="e">
        <f>AND('SPR BARRANQUILLA'!FZ49,"AAAAACZ/v5s=")</f>
        <v>#VALUE!</v>
      </c>
      <c r="FA44" t="e">
        <f>AND('SPR BARRANQUILLA'!GA49,"AAAAACZ/v5w=")</f>
        <v>#VALUE!</v>
      </c>
      <c r="FB44" t="e">
        <f>AND('SPR BARRANQUILLA'!GB49,"AAAAACZ/v50=")</f>
        <v>#VALUE!</v>
      </c>
      <c r="FC44" t="e">
        <f>AND('SPR BARRANQUILLA'!GC49,"AAAAACZ/v54=")</f>
        <v>#VALUE!</v>
      </c>
      <c r="FD44" t="e">
        <f>AND('SPR BARRANQUILLA'!GD49,"AAAAACZ/v58=")</f>
        <v>#VALUE!</v>
      </c>
      <c r="FE44" t="e">
        <f>AND('SPR BARRANQUILLA'!GE49,"AAAAACZ/v6A=")</f>
        <v>#VALUE!</v>
      </c>
      <c r="FF44" t="e">
        <f>AND('SPR BARRANQUILLA'!GF49,"AAAAACZ/v6E=")</f>
        <v>#VALUE!</v>
      </c>
      <c r="FG44" t="e">
        <f>AND('SPR BARRANQUILLA'!GG49,"AAAAACZ/v6I=")</f>
        <v>#VALUE!</v>
      </c>
      <c r="FH44" t="e">
        <f>AND('SPR BARRANQUILLA'!GH49,"AAAAACZ/v6M=")</f>
        <v>#VALUE!</v>
      </c>
      <c r="FI44" t="e">
        <f>AND('SPR BARRANQUILLA'!GI49,"AAAAACZ/v6Q=")</f>
        <v>#VALUE!</v>
      </c>
      <c r="FJ44" t="e">
        <f>AND('SPR BARRANQUILLA'!GJ49,"AAAAACZ/v6U=")</f>
        <v>#VALUE!</v>
      </c>
      <c r="FK44" t="e">
        <f>AND('SPR BARRANQUILLA'!GK49,"AAAAACZ/v6Y=")</f>
        <v>#VALUE!</v>
      </c>
      <c r="FL44" t="e">
        <f>AND('SPR BARRANQUILLA'!GL49,"AAAAACZ/v6c=")</f>
        <v>#VALUE!</v>
      </c>
      <c r="FM44" t="e">
        <f>AND('SPR BARRANQUILLA'!GM49,"AAAAACZ/v6g=")</f>
        <v>#VALUE!</v>
      </c>
      <c r="FN44" t="e">
        <f>AND('SPR BARRANQUILLA'!GN49,"AAAAACZ/v6k=")</f>
        <v>#VALUE!</v>
      </c>
      <c r="FO44" t="e">
        <f>AND('SPR BARRANQUILLA'!GO49,"AAAAACZ/v6o=")</f>
        <v>#VALUE!</v>
      </c>
      <c r="FP44" t="e">
        <f>AND('SPR BARRANQUILLA'!GP49,"AAAAACZ/v6s=")</f>
        <v>#VALUE!</v>
      </c>
      <c r="FQ44" t="e">
        <f>AND('SPR BARRANQUILLA'!GQ49,"AAAAACZ/v6w=")</f>
        <v>#VALUE!</v>
      </c>
      <c r="FR44" t="e">
        <f>AND('SPR BARRANQUILLA'!GR49,"AAAAACZ/v60=")</f>
        <v>#VALUE!</v>
      </c>
      <c r="FS44" t="e">
        <f>AND('SPR BARRANQUILLA'!GS49,"AAAAACZ/v64=")</f>
        <v>#VALUE!</v>
      </c>
      <c r="FT44" t="e">
        <f>AND('SPR BARRANQUILLA'!GT49,"AAAAACZ/v68=")</f>
        <v>#VALUE!</v>
      </c>
      <c r="FU44" t="e">
        <f>AND('SPR BARRANQUILLA'!GU49,"AAAAACZ/v7A=")</f>
        <v>#VALUE!</v>
      </c>
      <c r="FV44" t="e">
        <f>AND('SPR BARRANQUILLA'!GV49,"AAAAACZ/v7E=")</f>
        <v>#VALUE!</v>
      </c>
      <c r="FW44" t="e">
        <f>AND('SPR BARRANQUILLA'!GW49,"AAAAACZ/v7I=")</f>
        <v>#VALUE!</v>
      </c>
      <c r="FX44" t="e">
        <f>AND('SPR BARRANQUILLA'!GX49,"AAAAACZ/v7M=")</f>
        <v>#VALUE!</v>
      </c>
      <c r="FY44" t="e">
        <f>AND('SPR BARRANQUILLA'!GY49,"AAAAACZ/v7Q=")</f>
        <v>#VALUE!</v>
      </c>
      <c r="FZ44">
        <f>IF('SPR BARRANQUILLA'!50:50,"AAAAACZ/v7U=",0)</f>
        <v>0</v>
      </c>
      <c r="GA44" t="e">
        <f>AND('SPR BARRANQUILLA'!A50,"AAAAACZ/v7Y=")</f>
        <v>#VALUE!</v>
      </c>
      <c r="GB44" t="e">
        <f>AND('SPR BARRANQUILLA'!B50,"AAAAACZ/v7c=")</f>
        <v>#VALUE!</v>
      </c>
      <c r="GC44" t="e">
        <f>AND('SPR BARRANQUILLA'!C50,"AAAAACZ/v7g=")</f>
        <v>#VALUE!</v>
      </c>
      <c r="GD44" t="e">
        <f>AND('SPR BARRANQUILLA'!D50,"AAAAACZ/v7k=")</f>
        <v>#VALUE!</v>
      </c>
      <c r="GE44" t="e">
        <f>AND('SPR BARRANQUILLA'!E50,"AAAAACZ/v7o=")</f>
        <v>#VALUE!</v>
      </c>
      <c r="GF44" t="e">
        <f>AND('SPR BARRANQUILLA'!F50,"AAAAACZ/v7s=")</f>
        <v>#VALUE!</v>
      </c>
      <c r="GG44" t="e">
        <f>AND('SPR BARRANQUILLA'!G50,"AAAAACZ/v7w=")</f>
        <v>#VALUE!</v>
      </c>
      <c r="GH44" t="e">
        <f>AND('SPR BARRANQUILLA'!H50,"AAAAACZ/v70=")</f>
        <v>#VALUE!</v>
      </c>
      <c r="GI44" t="e">
        <f>AND('SPR BARRANQUILLA'!I50,"AAAAACZ/v74=")</f>
        <v>#VALUE!</v>
      </c>
      <c r="GJ44" t="e">
        <f>AND('SPR BARRANQUILLA'!J50,"AAAAACZ/v78=")</f>
        <v>#VALUE!</v>
      </c>
      <c r="GK44" t="e">
        <f>AND('SPR BARRANQUILLA'!K50,"AAAAACZ/v8A=")</f>
        <v>#VALUE!</v>
      </c>
      <c r="GL44" t="e">
        <f>AND('SPR BARRANQUILLA'!L50,"AAAAACZ/v8E=")</f>
        <v>#VALUE!</v>
      </c>
      <c r="GM44" t="e">
        <f>AND('SPR BARRANQUILLA'!M50,"AAAAACZ/v8I=")</f>
        <v>#VALUE!</v>
      </c>
      <c r="GN44" t="e">
        <f>AND('SPR BARRANQUILLA'!N50,"AAAAACZ/v8M=")</f>
        <v>#VALUE!</v>
      </c>
      <c r="GO44" t="e">
        <f>AND('SPR BARRANQUILLA'!O50,"AAAAACZ/v8Q=")</f>
        <v>#VALUE!</v>
      </c>
      <c r="GP44" t="e">
        <f>AND('SPR BARRANQUILLA'!P50,"AAAAACZ/v8U=")</f>
        <v>#VALUE!</v>
      </c>
      <c r="GQ44" t="e">
        <f>AND('SPR BARRANQUILLA'!Q50,"AAAAACZ/v8Y=")</f>
        <v>#VALUE!</v>
      </c>
      <c r="GR44" t="e">
        <f>AND('SPR BARRANQUILLA'!R50,"AAAAACZ/v8c=")</f>
        <v>#VALUE!</v>
      </c>
      <c r="GS44" t="e">
        <f>AND('SPR BARRANQUILLA'!S50,"AAAAACZ/v8g=")</f>
        <v>#VALUE!</v>
      </c>
      <c r="GT44" t="e">
        <f>AND('SPR BARRANQUILLA'!T50,"AAAAACZ/v8k=")</f>
        <v>#VALUE!</v>
      </c>
      <c r="GU44" t="e">
        <f>AND('SPR BARRANQUILLA'!U50,"AAAAACZ/v8o=")</f>
        <v>#VALUE!</v>
      </c>
      <c r="GV44" t="e">
        <f>AND('SPR BARRANQUILLA'!V50,"AAAAACZ/v8s=")</f>
        <v>#VALUE!</v>
      </c>
      <c r="GW44" t="e">
        <f>AND('SPR BARRANQUILLA'!W50,"AAAAACZ/v8w=")</f>
        <v>#VALUE!</v>
      </c>
      <c r="GX44" t="e">
        <f>AND('SPR BARRANQUILLA'!X50,"AAAAACZ/v80=")</f>
        <v>#VALUE!</v>
      </c>
      <c r="GY44" t="e">
        <f>AND('SPR BARRANQUILLA'!Y50,"AAAAACZ/v84=")</f>
        <v>#VALUE!</v>
      </c>
      <c r="GZ44" t="e">
        <f>AND('SPR BARRANQUILLA'!Z50,"AAAAACZ/v88=")</f>
        <v>#VALUE!</v>
      </c>
      <c r="HA44" t="e">
        <f>AND('SPR BARRANQUILLA'!AA50,"AAAAACZ/v9A=")</f>
        <v>#VALUE!</v>
      </c>
      <c r="HB44" t="e">
        <f>AND('SPR BARRANQUILLA'!AB50,"AAAAACZ/v9E=")</f>
        <v>#VALUE!</v>
      </c>
      <c r="HC44" t="e">
        <f>AND('SPR BARRANQUILLA'!AC50,"AAAAACZ/v9I=")</f>
        <v>#VALUE!</v>
      </c>
      <c r="HD44" t="e">
        <f>AND('SPR BARRANQUILLA'!AD50,"AAAAACZ/v9M=")</f>
        <v>#VALUE!</v>
      </c>
      <c r="HE44" t="e">
        <f>AND('SPR BARRANQUILLA'!AE50,"AAAAACZ/v9Q=")</f>
        <v>#VALUE!</v>
      </c>
      <c r="HF44" t="e">
        <f>AND('SPR BARRANQUILLA'!AF50,"AAAAACZ/v9U=")</f>
        <v>#VALUE!</v>
      </c>
      <c r="HG44" t="e">
        <f>AND('SPR BARRANQUILLA'!AG50,"AAAAACZ/v9Y=")</f>
        <v>#VALUE!</v>
      </c>
      <c r="HH44" t="e">
        <f>AND('SPR BARRANQUILLA'!AH50,"AAAAACZ/v9c=")</f>
        <v>#VALUE!</v>
      </c>
      <c r="HI44" t="e">
        <f>AND('SPR BARRANQUILLA'!AI50,"AAAAACZ/v9g=")</f>
        <v>#VALUE!</v>
      </c>
      <c r="HJ44" t="e">
        <f>AND('SPR BARRANQUILLA'!AJ50,"AAAAACZ/v9k=")</f>
        <v>#VALUE!</v>
      </c>
      <c r="HK44" t="e">
        <f>AND('SPR BARRANQUILLA'!AK50,"AAAAACZ/v9o=")</f>
        <v>#VALUE!</v>
      </c>
      <c r="HL44" t="e">
        <f>AND('SPR BARRANQUILLA'!AL50,"AAAAACZ/v9s=")</f>
        <v>#VALUE!</v>
      </c>
      <c r="HM44" t="e">
        <f>AND('SPR BARRANQUILLA'!AM50,"AAAAACZ/v9w=")</f>
        <v>#VALUE!</v>
      </c>
      <c r="HN44" t="e">
        <f>AND('SPR BARRANQUILLA'!AN50,"AAAAACZ/v90=")</f>
        <v>#VALUE!</v>
      </c>
      <c r="HO44" t="e">
        <f>AND('SPR BARRANQUILLA'!AO50,"AAAAACZ/v94=")</f>
        <v>#VALUE!</v>
      </c>
      <c r="HP44" t="e">
        <f>AND('SPR BARRANQUILLA'!AP50,"AAAAACZ/v98=")</f>
        <v>#VALUE!</v>
      </c>
      <c r="HQ44" t="e">
        <f>AND('SPR BARRANQUILLA'!AQ50,"AAAAACZ/v+A=")</f>
        <v>#VALUE!</v>
      </c>
      <c r="HR44" t="e">
        <f>AND('SPR BARRANQUILLA'!AR50,"AAAAACZ/v+E=")</f>
        <v>#VALUE!</v>
      </c>
      <c r="HS44" t="e">
        <f>AND('SPR BARRANQUILLA'!AS50,"AAAAACZ/v+I=")</f>
        <v>#VALUE!</v>
      </c>
      <c r="HT44" t="e">
        <f>AND('SPR BARRANQUILLA'!AT50,"AAAAACZ/v+M=")</f>
        <v>#VALUE!</v>
      </c>
      <c r="HU44" t="e">
        <f>AND('SPR BARRANQUILLA'!AU50,"AAAAACZ/v+Q=")</f>
        <v>#VALUE!</v>
      </c>
      <c r="HV44" t="e">
        <f>AND('SPR BARRANQUILLA'!AV50,"AAAAACZ/v+U=")</f>
        <v>#VALUE!</v>
      </c>
      <c r="HW44" t="e">
        <f>AND('SPR BARRANQUILLA'!AW50,"AAAAACZ/v+Y=")</f>
        <v>#VALUE!</v>
      </c>
      <c r="HX44" t="e">
        <f>AND('SPR BARRANQUILLA'!AX50,"AAAAACZ/v+c=")</f>
        <v>#VALUE!</v>
      </c>
      <c r="HY44" t="e">
        <f>AND('SPR BARRANQUILLA'!AY50,"AAAAACZ/v+g=")</f>
        <v>#VALUE!</v>
      </c>
      <c r="HZ44" t="e">
        <f>AND('SPR BARRANQUILLA'!AZ50,"AAAAACZ/v+k=")</f>
        <v>#VALUE!</v>
      </c>
      <c r="IA44" t="e">
        <f>AND('SPR BARRANQUILLA'!BA50,"AAAAACZ/v+o=")</f>
        <v>#VALUE!</v>
      </c>
      <c r="IB44" t="e">
        <f>AND('SPR BARRANQUILLA'!BB50,"AAAAACZ/v+s=")</f>
        <v>#VALUE!</v>
      </c>
      <c r="IC44" t="e">
        <f>AND('SPR BARRANQUILLA'!BC50,"AAAAACZ/v+w=")</f>
        <v>#VALUE!</v>
      </c>
      <c r="ID44" t="e">
        <f>AND('SPR BARRANQUILLA'!BD50,"AAAAACZ/v+0=")</f>
        <v>#VALUE!</v>
      </c>
      <c r="IE44" t="e">
        <f>AND('SPR BARRANQUILLA'!BE50,"AAAAACZ/v+4=")</f>
        <v>#VALUE!</v>
      </c>
      <c r="IF44" t="e">
        <f>AND('SPR BARRANQUILLA'!BF50,"AAAAACZ/v+8=")</f>
        <v>#VALUE!</v>
      </c>
      <c r="IG44" t="e">
        <f>AND('SPR BARRANQUILLA'!BG50,"AAAAACZ/v/A=")</f>
        <v>#VALUE!</v>
      </c>
      <c r="IH44" t="e">
        <f>AND('SPR BARRANQUILLA'!BH50,"AAAAACZ/v/E=")</f>
        <v>#VALUE!</v>
      </c>
      <c r="II44" t="e">
        <f>AND('SPR BARRANQUILLA'!BI50,"AAAAACZ/v/I=")</f>
        <v>#VALUE!</v>
      </c>
      <c r="IJ44" t="e">
        <f>AND('SPR BARRANQUILLA'!BJ50,"AAAAACZ/v/M=")</f>
        <v>#VALUE!</v>
      </c>
      <c r="IK44" t="e">
        <f>AND('SPR BARRANQUILLA'!BK50,"AAAAACZ/v/Q=")</f>
        <v>#VALUE!</v>
      </c>
      <c r="IL44" t="e">
        <f>AND('SPR BARRANQUILLA'!BL50,"AAAAACZ/v/U=")</f>
        <v>#VALUE!</v>
      </c>
      <c r="IM44" t="e">
        <f>AND('SPR BARRANQUILLA'!BM50,"AAAAACZ/v/Y=")</f>
        <v>#VALUE!</v>
      </c>
      <c r="IN44" t="e">
        <f>AND('SPR BARRANQUILLA'!BN50,"AAAAACZ/v/c=")</f>
        <v>#VALUE!</v>
      </c>
      <c r="IO44" t="e">
        <f>AND('SPR BARRANQUILLA'!BO50,"AAAAACZ/v/g=")</f>
        <v>#VALUE!</v>
      </c>
      <c r="IP44" t="e">
        <f>AND('SPR BARRANQUILLA'!BP50,"AAAAACZ/v/k=")</f>
        <v>#VALUE!</v>
      </c>
      <c r="IQ44" t="e">
        <f>AND('SPR BARRANQUILLA'!BQ50,"AAAAACZ/v/o=")</f>
        <v>#VALUE!</v>
      </c>
      <c r="IR44" t="e">
        <f>AND('SPR BARRANQUILLA'!BR50,"AAAAACZ/v/s=")</f>
        <v>#VALUE!</v>
      </c>
      <c r="IS44" t="e">
        <f>AND('SPR BARRANQUILLA'!BS50,"AAAAACZ/v/w=")</f>
        <v>#VALUE!</v>
      </c>
      <c r="IT44" t="e">
        <f>AND('SPR BARRANQUILLA'!BT50,"AAAAACZ/v/0=")</f>
        <v>#VALUE!</v>
      </c>
      <c r="IU44" t="e">
        <f>AND('SPR BARRANQUILLA'!BU50,"AAAAACZ/v/4=")</f>
        <v>#VALUE!</v>
      </c>
      <c r="IV44" t="e">
        <f>AND('SPR BARRANQUILLA'!BV50,"AAAAACZ/v/8=")</f>
        <v>#VALUE!</v>
      </c>
    </row>
    <row r="45" spans="1:256">
      <c r="A45" t="e">
        <f>AND('SPR BARRANQUILLA'!BW50,"AAAAAH9f/wA=")</f>
        <v>#VALUE!</v>
      </c>
      <c r="B45" t="e">
        <f>AND('SPR BARRANQUILLA'!BX50,"AAAAAH9f/wE=")</f>
        <v>#VALUE!</v>
      </c>
      <c r="C45" t="e">
        <f>AND('SPR BARRANQUILLA'!BY50,"AAAAAH9f/wI=")</f>
        <v>#VALUE!</v>
      </c>
      <c r="D45" t="e">
        <f>AND('SPR BARRANQUILLA'!BZ50,"AAAAAH9f/wM=")</f>
        <v>#VALUE!</v>
      </c>
      <c r="E45" t="e">
        <f>AND('SPR BARRANQUILLA'!CA50,"AAAAAH9f/wQ=")</f>
        <v>#VALUE!</v>
      </c>
      <c r="F45" t="e">
        <f>AND('SPR BARRANQUILLA'!CB50,"AAAAAH9f/wU=")</f>
        <v>#VALUE!</v>
      </c>
      <c r="G45" t="e">
        <f>AND('SPR BARRANQUILLA'!CC50,"AAAAAH9f/wY=")</f>
        <v>#VALUE!</v>
      </c>
      <c r="H45" t="e">
        <f>AND('SPR BARRANQUILLA'!CD50,"AAAAAH9f/wc=")</f>
        <v>#VALUE!</v>
      </c>
      <c r="I45" t="e">
        <f>AND('SPR BARRANQUILLA'!CE50,"AAAAAH9f/wg=")</f>
        <v>#VALUE!</v>
      </c>
      <c r="J45" t="e">
        <f>AND('SPR BARRANQUILLA'!CF50,"AAAAAH9f/wk=")</f>
        <v>#VALUE!</v>
      </c>
      <c r="K45" t="e">
        <f>AND('SPR BARRANQUILLA'!CG50,"AAAAAH9f/wo=")</f>
        <v>#VALUE!</v>
      </c>
      <c r="L45" t="e">
        <f>AND('SPR BARRANQUILLA'!CH50,"AAAAAH9f/ws=")</f>
        <v>#VALUE!</v>
      </c>
      <c r="M45" t="e">
        <f>AND('SPR BARRANQUILLA'!CI50,"AAAAAH9f/ww=")</f>
        <v>#VALUE!</v>
      </c>
      <c r="N45" t="e">
        <f>AND('SPR BARRANQUILLA'!CJ50,"AAAAAH9f/w0=")</f>
        <v>#VALUE!</v>
      </c>
      <c r="O45" t="e">
        <f>AND('SPR BARRANQUILLA'!CK50,"AAAAAH9f/w4=")</f>
        <v>#VALUE!</v>
      </c>
      <c r="P45" t="e">
        <f>AND('SPR BARRANQUILLA'!CL50,"AAAAAH9f/w8=")</f>
        <v>#VALUE!</v>
      </c>
      <c r="Q45" t="e">
        <f>AND('SPR BARRANQUILLA'!CM50,"AAAAAH9f/xA=")</f>
        <v>#VALUE!</v>
      </c>
      <c r="R45" t="e">
        <f>AND('SPR BARRANQUILLA'!CN50,"AAAAAH9f/xE=")</f>
        <v>#VALUE!</v>
      </c>
      <c r="S45" t="e">
        <f>AND('SPR BARRANQUILLA'!CO50,"AAAAAH9f/xI=")</f>
        <v>#VALUE!</v>
      </c>
      <c r="T45" t="e">
        <f>AND('SPR BARRANQUILLA'!CP50,"AAAAAH9f/xM=")</f>
        <v>#VALUE!</v>
      </c>
      <c r="U45" t="e">
        <f>AND('SPR BARRANQUILLA'!CQ50,"AAAAAH9f/xQ=")</f>
        <v>#VALUE!</v>
      </c>
      <c r="V45" t="e">
        <f>AND('SPR BARRANQUILLA'!CR50,"AAAAAH9f/xU=")</f>
        <v>#VALUE!</v>
      </c>
      <c r="W45" t="e">
        <f>AND('SPR BARRANQUILLA'!CS50,"AAAAAH9f/xY=")</f>
        <v>#VALUE!</v>
      </c>
      <c r="X45" t="e">
        <f>AND('SPR BARRANQUILLA'!CT50,"AAAAAH9f/xc=")</f>
        <v>#VALUE!</v>
      </c>
      <c r="Y45" t="e">
        <f>AND('SPR BARRANQUILLA'!CU50,"AAAAAH9f/xg=")</f>
        <v>#VALUE!</v>
      </c>
      <c r="Z45" t="e">
        <f>AND('SPR BARRANQUILLA'!CV50,"AAAAAH9f/xk=")</f>
        <v>#VALUE!</v>
      </c>
      <c r="AA45" t="e">
        <f>AND('SPR BARRANQUILLA'!CW50,"AAAAAH9f/xo=")</f>
        <v>#VALUE!</v>
      </c>
      <c r="AB45" t="e">
        <f>AND('SPR BARRANQUILLA'!CX50,"AAAAAH9f/xs=")</f>
        <v>#VALUE!</v>
      </c>
      <c r="AC45" t="e">
        <f>AND('SPR BARRANQUILLA'!CY50,"AAAAAH9f/xw=")</f>
        <v>#VALUE!</v>
      </c>
      <c r="AD45" t="e">
        <f>AND('SPR BARRANQUILLA'!CZ50,"AAAAAH9f/x0=")</f>
        <v>#VALUE!</v>
      </c>
      <c r="AE45" t="e">
        <f>AND('SPR BARRANQUILLA'!DA50,"AAAAAH9f/x4=")</f>
        <v>#VALUE!</v>
      </c>
      <c r="AF45" t="e">
        <f>AND('SPR BARRANQUILLA'!DB50,"AAAAAH9f/x8=")</f>
        <v>#VALUE!</v>
      </c>
      <c r="AG45" t="e">
        <f>AND('SPR BARRANQUILLA'!DC50,"AAAAAH9f/yA=")</f>
        <v>#VALUE!</v>
      </c>
      <c r="AH45" t="e">
        <f>AND('SPR BARRANQUILLA'!DD50,"AAAAAH9f/yE=")</f>
        <v>#VALUE!</v>
      </c>
      <c r="AI45" t="e">
        <f>AND('SPR BARRANQUILLA'!DE50,"AAAAAH9f/yI=")</f>
        <v>#VALUE!</v>
      </c>
      <c r="AJ45" t="e">
        <f>AND('SPR BARRANQUILLA'!DF50,"AAAAAH9f/yM=")</f>
        <v>#VALUE!</v>
      </c>
      <c r="AK45" t="e">
        <f>AND('SPR BARRANQUILLA'!DG50,"AAAAAH9f/yQ=")</f>
        <v>#VALUE!</v>
      </c>
      <c r="AL45" t="e">
        <f>AND('SPR BARRANQUILLA'!DH50,"AAAAAH9f/yU=")</f>
        <v>#VALUE!</v>
      </c>
      <c r="AM45" t="e">
        <f>AND('SPR BARRANQUILLA'!DI50,"AAAAAH9f/yY=")</f>
        <v>#VALUE!</v>
      </c>
      <c r="AN45" t="e">
        <f>AND('SPR BARRANQUILLA'!DJ50,"AAAAAH9f/yc=")</f>
        <v>#VALUE!</v>
      </c>
      <c r="AO45" t="e">
        <f>AND('SPR BARRANQUILLA'!DK50,"AAAAAH9f/yg=")</f>
        <v>#VALUE!</v>
      </c>
      <c r="AP45" t="e">
        <f>AND('SPR BARRANQUILLA'!DL50,"AAAAAH9f/yk=")</f>
        <v>#VALUE!</v>
      </c>
      <c r="AQ45" t="e">
        <f>AND('SPR BARRANQUILLA'!DM50,"AAAAAH9f/yo=")</f>
        <v>#VALUE!</v>
      </c>
      <c r="AR45" t="e">
        <f>AND('SPR BARRANQUILLA'!DN50,"AAAAAH9f/ys=")</f>
        <v>#VALUE!</v>
      </c>
      <c r="AS45" t="e">
        <f>AND('SPR BARRANQUILLA'!DO50,"AAAAAH9f/yw=")</f>
        <v>#VALUE!</v>
      </c>
      <c r="AT45" t="e">
        <f>AND('SPR BARRANQUILLA'!DP50,"AAAAAH9f/y0=")</f>
        <v>#VALUE!</v>
      </c>
      <c r="AU45" t="e">
        <f>AND('SPR BARRANQUILLA'!DQ50,"AAAAAH9f/y4=")</f>
        <v>#VALUE!</v>
      </c>
      <c r="AV45" t="e">
        <f>AND('SPR BARRANQUILLA'!DR50,"AAAAAH9f/y8=")</f>
        <v>#VALUE!</v>
      </c>
      <c r="AW45" t="e">
        <f>AND('SPR BARRANQUILLA'!DS50,"AAAAAH9f/zA=")</f>
        <v>#VALUE!</v>
      </c>
      <c r="AX45" t="e">
        <f>AND('SPR BARRANQUILLA'!DT50,"AAAAAH9f/zE=")</f>
        <v>#VALUE!</v>
      </c>
      <c r="AY45" t="e">
        <f>AND('SPR BARRANQUILLA'!DU50,"AAAAAH9f/zI=")</f>
        <v>#VALUE!</v>
      </c>
      <c r="AZ45" t="e">
        <f>AND('SPR BARRANQUILLA'!DV50,"AAAAAH9f/zM=")</f>
        <v>#VALUE!</v>
      </c>
      <c r="BA45" t="e">
        <f>AND('SPR BARRANQUILLA'!DW50,"AAAAAH9f/zQ=")</f>
        <v>#VALUE!</v>
      </c>
      <c r="BB45" t="e">
        <f>AND('SPR BARRANQUILLA'!DX50,"AAAAAH9f/zU=")</f>
        <v>#VALUE!</v>
      </c>
      <c r="BC45" t="e">
        <f>AND('SPR BARRANQUILLA'!DY50,"AAAAAH9f/zY=")</f>
        <v>#VALUE!</v>
      </c>
      <c r="BD45" t="e">
        <f>AND('SPR BARRANQUILLA'!DZ50,"AAAAAH9f/zc=")</f>
        <v>#VALUE!</v>
      </c>
      <c r="BE45" t="e">
        <f>AND('SPR BARRANQUILLA'!EA50,"AAAAAH9f/zg=")</f>
        <v>#VALUE!</v>
      </c>
      <c r="BF45" t="e">
        <f>AND('SPR BARRANQUILLA'!EB50,"AAAAAH9f/zk=")</f>
        <v>#VALUE!</v>
      </c>
      <c r="BG45" t="e">
        <f>AND('SPR BARRANQUILLA'!EC50,"AAAAAH9f/zo=")</f>
        <v>#VALUE!</v>
      </c>
      <c r="BH45" t="e">
        <f>AND('SPR BARRANQUILLA'!ED50,"AAAAAH9f/zs=")</f>
        <v>#VALUE!</v>
      </c>
      <c r="BI45" t="e">
        <f>AND('SPR BARRANQUILLA'!EE50,"AAAAAH9f/zw=")</f>
        <v>#VALUE!</v>
      </c>
      <c r="BJ45" t="e">
        <f>AND('SPR BARRANQUILLA'!EF50,"AAAAAH9f/z0=")</f>
        <v>#VALUE!</v>
      </c>
      <c r="BK45" t="e">
        <f>AND('SPR BARRANQUILLA'!EG50,"AAAAAH9f/z4=")</f>
        <v>#VALUE!</v>
      </c>
      <c r="BL45" t="e">
        <f>AND('SPR BARRANQUILLA'!EH50,"AAAAAH9f/z8=")</f>
        <v>#VALUE!</v>
      </c>
      <c r="BM45" t="e">
        <f>AND('SPR BARRANQUILLA'!EI50,"AAAAAH9f/0A=")</f>
        <v>#VALUE!</v>
      </c>
      <c r="BN45" t="e">
        <f>AND('SPR BARRANQUILLA'!EJ50,"AAAAAH9f/0E=")</f>
        <v>#VALUE!</v>
      </c>
      <c r="BO45" t="e">
        <f>AND('SPR BARRANQUILLA'!EK50,"AAAAAH9f/0I=")</f>
        <v>#VALUE!</v>
      </c>
      <c r="BP45" t="e">
        <f>AND('SPR BARRANQUILLA'!EL50,"AAAAAH9f/0M=")</f>
        <v>#VALUE!</v>
      </c>
      <c r="BQ45" t="e">
        <f>AND('SPR BARRANQUILLA'!EM50,"AAAAAH9f/0Q=")</f>
        <v>#VALUE!</v>
      </c>
      <c r="BR45" t="e">
        <f>AND('SPR BARRANQUILLA'!EN50,"AAAAAH9f/0U=")</f>
        <v>#VALUE!</v>
      </c>
      <c r="BS45" t="e">
        <f>AND('SPR BARRANQUILLA'!EO50,"AAAAAH9f/0Y=")</f>
        <v>#VALUE!</v>
      </c>
      <c r="BT45" t="e">
        <f>AND('SPR BARRANQUILLA'!EP50,"AAAAAH9f/0c=")</f>
        <v>#VALUE!</v>
      </c>
      <c r="BU45" t="e">
        <f>AND('SPR BARRANQUILLA'!EQ50,"AAAAAH9f/0g=")</f>
        <v>#VALUE!</v>
      </c>
      <c r="BV45" t="e">
        <f>AND('SPR BARRANQUILLA'!ER50,"AAAAAH9f/0k=")</f>
        <v>#VALUE!</v>
      </c>
      <c r="BW45" t="e">
        <f>AND('SPR BARRANQUILLA'!ES50,"AAAAAH9f/0o=")</f>
        <v>#VALUE!</v>
      </c>
      <c r="BX45" t="e">
        <f>AND('SPR BARRANQUILLA'!ET50,"AAAAAH9f/0s=")</f>
        <v>#VALUE!</v>
      </c>
      <c r="BY45" t="e">
        <f>AND('SPR BARRANQUILLA'!EU50,"AAAAAH9f/0w=")</f>
        <v>#VALUE!</v>
      </c>
      <c r="BZ45" t="e">
        <f>AND('SPR BARRANQUILLA'!EV50,"AAAAAH9f/00=")</f>
        <v>#VALUE!</v>
      </c>
      <c r="CA45" t="e">
        <f>AND('SPR BARRANQUILLA'!EW50,"AAAAAH9f/04=")</f>
        <v>#VALUE!</v>
      </c>
      <c r="CB45" t="e">
        <f>AND('SPR BARRANQUILLA'!EX50,"AAAAAH9f/08=")</f>
        <v>#VALUE!</v>
      </c>
      <c r="CC45" t="e">
        <f>AND('SPR BARRANQUILLA'!EY50,"AAAAAH9f/1A=")</f>
        <v>#VALUE!</v>
      </c>
      <c r="CD45" t="e">
        <f>AND('SPR BARRANQUILLA'!EZ50,"AAAAAH9f/1E=")</f>
        <v>#VALUE!</v>
      </c>
      <c r="CE45" t="e">
        <f>AND('SPR BARRANQUILLA'!FA50,"AAAAAH9f/1I=")</f>
        <v>#VALUE!</v>
      </c>
      <c r="CF45" t="e">
        <f>AND('SPR BARRANQUILLA'!FB50,"AAAAAH9f/1M=")</f>
        <v>#VALUE!</v>
      </c>
      <c r="CG45" t="e">
        <f>AND('SPR BARRANQUILLA'!FC50,"AAAAAH9f/1Q=")</f>
        <v>#VALUE!</v>
      </c>
      <c r="CH45" t="e">
        <f>AND('SPR BARRANQUILLA'!FD50,"AAAAAH9f/1U=")</f>
        <v>#VALUE!</v>
      </c>
      <c r="CI45" t="e">
        <f>AND('SPR BARRANQUILLA'!FE50,"AAAAAH9f/1Y=")</f>
        <v>#VALUE!</v>
      </c>
      <c r="CJ45" t="e">
        <f>AND('SPR BARRANQUILLA'!FF50,"AAAAAH9f/1c=")</f>
        <v>#VALUE!</v>
      </c>
      <c r="CK45" t="e">
        <f>AND('SPR BARRANQUILLA'!FG50,"AAAAAH9f/1g=")</f>
        <v>#VALUE!</v>
      </c>
      <c r="CL45" t="e">
        <f>AND('SPR BARRANQUILLA'!FH50,"AAAAAH9f/1k=")</f>
        <v>#VALUE!</v>
      </c>
      <c r="CM45" t="e">
        <f>AND('SPR BARRANQUILLA'!FI50,"AAAAAH9f/1o=")</f>
        <v>#VALUE!</v>
      </c>
      <c r="CN45" t="e">
        <f>AND('SPR BARRANQUILLA'!FJ50,"AAAAAH9f/1s=")</f>
        <v>#VALUE!</v>
      </c>
      <c r="CO45" t="e">
        <f>AND('SPR BARRANQUILLA'!FK50,"AAAAAH9f/1w=")</f>
        <v>#VALUE!</v>
      </c>
      <c r="CP45" t="e">
        <f>AND('SPR BARRANQUILLA'!FL50,"AAAAAH9f/10=")</f>
        <v>#VALUE!</v>
      </c>
      <c r="CQ45" t="e">
        <f>AND('SPR BARRANQUILLA'!FM50,"AAAAAH9f/14=")</f>
        <v>#VALUE!</v>
      </c>
      <c r="CR45" t="e">
        <f>AND('SPR BARRANQUILLA'!FN50,"AAAAAH9f/18=")</f>
        <v>#VALUE!</v>
      </c>
      <c r="CS45" t="e">
        <f>AND('SPR BARRANQUILLA'!FO50,"AAAAAH9f/2A=")</f>
        <v>#VALUE!</v>
      </c>
      <c r="CT45" t="e">
        <f>AND('SPR BARRANQUILLA'!FP50,"AAAAAH9f/2E=")</f>
        <v>#VALUE!</v>
      </c>
      <c r="CU45" t="e">
        <f>AND('SPR BARRANQUILLA'!FQ50,"AAAAAH9f/2I=")</f>
        <v>#VALUE!</v>
      </c>
      <c r="CV45" t="e">
        <f>AND('SPR BARRANQUILLA'!FR50,"AAAAAH9f/2M=")</f>
        <v>#VALUE!</v>
      </c>
      <c r="CW45" t="e">
        <f>AND('SPR BARRANQUILLA'!FS50,"AAAAAH9f/2Q=")</f>
        <v>#VALUE!</v>
      </c>
      <c r="CX45" t="e">
        <f>AND('SPR BARRANQUILLA'!FT50,"AAAAAH9f/2U=")</f>
        <v>#VALUE!</v>
      </c>
      <c r="CY45" t="e">
        <f>AND('SPR BARRANQUILLA'!FU50,"AAAAAH9f/2Y=")</f>
        <v>#VALUE!</v>
      </c>
      <c r="CZ45" t="e">
        <f>AND('SPR BARRANQUILLA'!FV50,"AAAAAH9f/2c=")</f>
        <v>#VALUE!</v>
      </c>
      <c r="DA45" t="e">
        <f>AND('SPR BARRANQUILLA'!FW50,"AAAAAH9f/2g=")</f>
        <v>#VALUE!</v>
      </c>
      <c r="DB45" t="e">
        <f>AND('SPR BARRANQUILLA'!FX50,"AAAAAH9f/2k=")</f>
        <v>#VALUE!</v>
      </c>
      <c r="DC45" t="e">
        <f>AND('SPR BARRANQUILLA'!FY50,"AAAAAH9f/2o=")</f>
        <v>#VALUE!</v>
      </c>
      <c r="DD45" t="e">
        <f>AND('SPR BARRANQUILLA'!FZ50,"AAAAAH9f/2s=")</f>
        <v>#VALUE!</v>
      </c>
      <c r="DE45" t="e">
        <f>AND('SPR BARRANQUILLA'!GA50,"AAAAAH9f/2w=")</f>
        <v>#VALUE!</v>
      </c>
      <c r="DF45" t="e">
        <f>AND('SPR BARRANQUILLA'!GB50,"AAAAAH9f/20=")</f>
        <v>#VALUE!</v>
      </c>
      <c r="DG45" t="e">
        <f>AND('SPR BARRANQUILLA'!GC50,"AAAAAH9f/24=")</f>
        <v>#VALUE!</v>
      </c>
      <c r="DH45" t="e">
        <f>AND('SPR BARRANQUILLA'!GD50,"AAAAAH9f/28=")</f>
        <v>#VALUE!</v>
      </c>
      <c r="DI45" t="e">
        <f>AND('SPR BARRANQUILLA'!GE50,"AAAAAH9f/3A=")</f>
        <v>#VALUE!</v>
      </c>
      <c r="DJ45" t="e">
        <f>AND('SPR BARRANQUILLA'!GF50,"AAAAAH9f/3E=")</f>
        <v>#VALUE!</v>
      </c>
      <c r="DK45" t="e">
        <f>AND('SPR BARRANQUILLA'!GG50,"AAAAAH9f/3I=")</f>
        <v>#VALUE!</v>
      </c>
      <c r="DL45" t="e">
        <f>AND('SPR BARRANQUILLA'!GH50,"AAAAAH9f/3M=")</f>
        <v>#VALUE!</v>
      </c>
      <c r="DM45" t="e">
        <f>AND('SPR BARRANQUILLA'!GI50,"AAAAAH9f/3Q=")</f>
        <v>#VALUE!</v>
      </c>
      <c r="DN45" t="e">
        <f>AND('SPR BARRANQUILLA'!GJ50,"AAAAAH9f/3U=")</f>
        <v>#VALUE!</v>
      </c>
      <c r="DO45" t="e">
        <f>AND('SPR BARRANQUILLA'!GK50,"AAAAAH9f/3Y=")</f>
        <v>#VALUE!</v>
      </c>
      <c r="DP45" t="e">
        <f>AND('SPR BARRANQUILLA'!GL50,"AAAAAH9f/3c=")</f>
        <v>#VALUE!</v>
      </c>
      <c r="DQ45" t="e">
        <f>AND('SPR BARRANQUILLA'!GM50,"AAAAAH9f/3g=")</f>
        <v>#VALUE!</v>
      </c>
      <c r="DR45" t="e">
        <f>AND('SPR BARRANQUILLA'!GN50,"AAAAAH9f/3k=")</f>
        <v>#VALUE!</v>
      </c>
      <c r="DS45" t="e">
        <f>AND('SPR BARRANQUILLA'!GO50,"AAAAAH9f/3o=")</f>
        <v>#VALUE!</v>
      </c>
      <c r="DT45" t="e">
        <f>AND('SPR BARRANQUILLA'!GP50,"AAAAAH9f/3s=")</f>
        <v>#VALUE!</v>
      </c>
      <c r="DU45" t="e">
        <f>AND('SPR BARRANQUILLA'!GQ50,"AAAAAH9f/3w=")</f>
        <v>#VALUE!</v>
      </c>
      <c r="DV45" t="e">
        <f>AND('SPR BARRANQUILLA'!GR50,"AAAAAH9f/30=")</f>
        <v>#VALUE!</v>
      </c>
      <c r="DW45" t="e">
        <f>AND('SPR BARRANQUILLA'!GS50,"AAAAAH9f/34=")</f>
        <v>#VALUE!</v>
      </c>
      <c r="DX45" t="e">
        <f>AND('SPR BARRANQUILLA'!GT50,"AAAAAH9f/38=")</f>
        <v>#VALUE!</v>
      </c>
      <c r="DY45" t="e">
        <f>AND('SPR BARRANQUILLA'!GU50,"AAAAAH9f/4A=")</f>
        <v>#VALUE!</v>
      </c>
      <c r="DZ45" t="e">
        <f>AND('SPR BARRANQUILLA'!GV50,"AAAAAH9f/4E=")</f>
        <v>#VALUE!</v>
      </c>
      <c r="EA45" t="e">
        <f>AND('SPR BARRANQUILLA'!GW50,"AAAAAH9f/4I=")</f>
        <v>#VALUE!</v>
      </c>
      <c r="EB45" t="e">
        <f>AND('SPR BARRANQUILLA'!GX50,"AAAAAH9f/4M=")</f>
        <v>#VALUE!</v>
      </c>
      <c r="EC45" t="e">
        <f>AND('SPR BARRANQUILLA'!GY50,"AAAAAH9f/4Q=")</f>
        <v>#VALUE!</v>
      </c>
      <c r="ED45">
        <f>IF('SPR BARRANQUILLA'!51:51,"AAAAAH9f/4U=",0)</f>
        <v>0</v>
      </c>
      <c r="EE45" t="e">
        <f>AND('SPR BARRANQUILLA'!A51,"AAAAAH9f/4Y=")</f>
        <v>#VALUE!</v>
      </c>
      <c r="EF45" t="e">
        <f>AND('SPR BARRANQUILLA'!B51,"AAAAAH9f/4c=")</f>
        <v>#VALUE!</v>
      </c>
      <c r="EG45" t="e">
        <f>AND('SPR BARRANQUILLA'!C51,"AAAAAH9f/4g=")</f>
        <v>#VALUE!</v>
      </c>
      <c r="EH45" t="e">
        <f>AND('SPR BARRANQUILLA'!D51,"AAAAAH9f/4k=")</f>
        <v>#VALUE!</v>
      </c>
      <c r="EI45" t="e">
        <f>AND('SPR BARRANQUILLA'!E51,"AAAAAH9f/4o=")</f>
        <v>#VALUE!</v>
      </c>
      <c r="EJ45" t="e">
        <f>AND('SPR BARRANQUILLA'!F51,"AAAAAH9f/4s=")</f>
        <v>#VALUE!</v>
      </c>
      <c r="EK45" t="e">
        <f>AND('SPR BARRANQUILLA'!G51,"AAAAAH9f/4w=")</f>
        <v>#VALUE!</v>
      </c>
      <c r="EL45" t="e">
        <f>AND('SPR BARRANQUILLA'!H51,"AAAAAH9f/40=")</f>
        <v>#VALUE!</v>
      </c>
      <c r="EM45" t="e">
        <f>AND('SPR BARRANQUILLA'!I51,"AAAAAH9f/44=")</f>
        <v>#VALUE!</v>
      </c>
      <c r="EN45" t="e">
        <f>AND('SPR BARRANQUILLA'!J51,"AAAAAH9f/48=")</f>
        <v>#VALUE!</v>
      </c>
      <c r="EO45" t="e">
        <f>AND('SPR BARRANQUILLA'!K51,"AAAAAH9f/5A=")</f>
        <v>#VALUE!</v>
      </c>
      <c r="EP45" t="e">
        <f>AND('SPR BARRANQUILLA'!L51,"AAAAAH9f/5E=")</f>
        <v>#VALUE!</v>
      </c>
      <c r="EQ45" t="e">
        <f>AND('SPR BARRANQUILLA'!M51,"AAAAAH9f/5I=")</f>
        <v>#VALUE!</v>
      </c>
      <c r="ER45" t="e">
        <f>AND('SPR BARRANQUILLA'!N51,"AAAAAH9f/5M=")</f>
        <v>#VALUE!</v>
      </c>
      <c r="ES45" t="e">
        <f>AND('SPR BARRANQUILLA'!O51,"AAAAAH9f/5Q=")</f>
        <v>#VALUE!</v>
      </c>
      <c r="ET45" t="e">
        <f>AND('SPR BARRANQUILLA'!P51,"AAAAAH9f/5U=")</f>
        <v>#VALUE!</v>
      </c>
      <c r="EU45" t="e">
        <f>AND('SPR BARRANQUILLA'!Q51,"AAAAAH9f/5Y=")</f>
        <v>#VALUE!</v>
      </c>
      <c r="EV45" t="e">
        <f>AND('SPR BARRANQUILLA'!R51,"AAAAAH9f/5c=")</f>
        <v>#VALUE!</v>
      </c>
      <c r="EW45" t="e">
        <f>AND('SPR BARRANQUILLA'!S51,"AAAAAH9f/5g=")</f>
        <v>#VALUE!</v>
      </c>
      <c r="EX45" t="e">
        <f>AND('SPR BARRANQUILLA'!T51,"AAAAAH9f/5k=")</f>
        <v>#VALUE!</v>
      </c>
      <c r="EY45" t="e">
        <f>AND('SPR BARRANQUILLA'!U51,"AAAAAH9f/5o=")</f>
        <v>#VALUE!</v>
      </c>
      <c r="EZ45" t="e">
        <f>AND('SPR BARRANQUILLA'!V51,"AAAAAH9f/5s=")</f>
        <v>#VALUE!</v>
      </c>
      <c r="FA45" t="e">
        <f>AND('SPR BARRANQUILLA'!W51,"AAAAAH9f/5w=")</f>
        <v>#VALUE!</v>
      </c>
      <c r="FB45" t="e">
        <f>AND('SPR BARRANQUILLA'!X51,"AAAAAH9f/50=")</f>
        <v>#VALUE!</v>
      </c>
      <c r="FC45" t="e">
        <f>AND('SPR BARRANQUILLA'!Y51,"AAAAAH9f/54=")</f>
        <v>#VALUE!</v>
      </c>
      <c r="FD45" t="e">
        <f>AND('SPR BARRANQUILLA'!Z51,"AAAAAH9f/58=")</f>
        <v>#VALUE!</v>
      </c>
      <c r="FE45" t="e">
        <f>AND('SPR BARRANQUILLA'!AA51,"AAAAAH9f/6A=")</f>
        <v>#VALUE!</v>
      </c>
      <c r="FF45" t="e">
        <f>AND('SPR BARRANQUILLA'!AB51,"AAAAAH9f/6E=")</f>
        <v>#VALUE!</v>
      </c>
      <c r="FG45" t="e">
        <f>AND('SPR BARRANQUILLA'!AC51,"AAAAAH9f/6I=")</f>
        <v>#VALUE!</v>
      </c>
      <c r="FH45" t="e">
        <f>AND('SPR BARRANQUILLA'!AD51,"AAAAAH9f/6M=")</f>
        <v>#VALUE!</v>
      </c>
      <c r="FI45" t="e">
        <f>AND('SPR BARRANQUILLA'!AE51,"AAAAAH9f/6Q=")</f>
        <v>#VALUE!</v>
      </c>
      <c r="FJ45" t="e">
        <f>AND('SPR BARRANQUILLA'!AF51,"AAAAAH9f/6U=")</f>
        <v>#VALUE!</v>
      </c>
      <c r="FK45" t="e">
        <f>AND('SPR BARRANQUILLA'!AG51,"AAAAAH9f/6Y=")</f>
        <v>#VALUE!</v>
      </c>
      <c r="FL45" t="e">
        <f>AND('SPR BARRANQUILLA'!AH51,"AAAAAH9f/6c=")</f>
        <v>#VALUE!</v>
      </c>
      <c r="FM45" t="e">
        <f>AND('SPR BARRANQUILLA'!AI51,"AAAAAH9f/6g=")</f>
        <v>#VALUE!</v>
      </c>
      <c r="FN45" t="e">
        <f>AND('SPR BARRANQUILLA'!AJ51,"AAAAAH9f/6k=")</f>
        <v>#VALUE!</v>
      </c>
      <c r="FO45" t="e">
        <f>AND('SPR BARRANQUILLA'!AK51,"AAAAAH9f/6o=")</f>
        <v>#VALUE!</v>
      </c>
      <c r="FP45" t="e">
        <f>AND('SPR BARRANQUILLA'!AL51,"AAAAAH9f/6s=")</f>
        <v>#VALUE!</v>
      </c>
      <c r="FQ45" t="e">
        <f>AND('SPR BARRANQUILLA'!AM51,"AAAAAH9f/6w=")</f>
        <v>#VALUE!</v>
      </c>
      <c r="FR45" t="e">
        <f>AND('SPR BARRANQUILLA'!AN51,"AAAAAH9f/60=")</f>
        <v>#VALUE!</v>
      </c>
      <c r="FS45" t="e">
        <f>AND('SPR BARRANQUILLA'!AO51,"AAAAAH9f/64=")</f>
        <v>#VALUE!</v>
      </c>
      <c r="FT45" t="e">
        <f>AND('SPR BARRANQUILLA'!AP51,"AAAAAH9f/68=")</f>
        <v>#VALUE!</v>
      </c>
      <c r="FU45" t="e">
        <f>AND('SPR BARRANQUILLA'!AQ51,"AAAAAH9f/7A=")</f>
        <v>#VALUE!</v>
      </c>
      <c r="FV45" t="e">
        <f>AND('SPR BARRANQUILLA'!AR51,"AAAAAH9f/7E=")</f>
        <v>#VALUE!</v>
      </c>
      <c r="FW45" t="e">
        <f>AND('SPR BARRANQUILLA'!AS51,"AAAAAH9f/7I=")</f>
        <v>#VALUE!</v>
      </c>
      <c r="FX45" t="e">
        <f>AND('SPR BARRANQUILLA'!AT51,"AAAAAH9f/7M=")</f>
        <v>#VALUE!</v>
      </c>
      <c r="FY45" t="e">
        <f>AND('SPR BARRANQUILLA'!AU51,"AAAAAH9f/7Q=")</f>
        <v>#VALUE!</v>
      </c>
      <c r="FZ45" t="e">
        <f>AND('SPR BARRANQUILLA'!AV51,"AAAAAH9f/7U=")</f>
        <v>#VALUE!</v>
      </c>
      <c r="GA45" t="e">
        <f>AND('SPR BARRANQUILLA'!AW51,"AAAAAH9f/7Y=")</f>
        <v>#VALUE!</v>
      </c>
      <c r="GB45" t="e">
        <f>AND('SPR BARRANQUILLA'!AX51,"AAAAAH9f/7c=")</f>
        <v>#VALUE!</v>
      </c>
      <c r="GC45" t="e">
        <f>AND('SPR BARRANQUILLA'!AY51,"AAAAAH9f/7g=")</f>
        <v>#VALUE!</v>
      </c>
      <c r="GD45" t="e">
        <f>AND('SPR BARRANQUILLA'!AZ51,"AAAAAH9f/7k=")</f>
        <v>#VALUE!</v>
      </c>
      <c r="GE45" t="e">
        <f>AND('SPR BARRANQUILLA'!BA51,"AAAAAH9f/7o=")</f>
        <v>#VALUE!</v>
      </c>
      <c r="GF45" t="e">
        <f>AND('SPR BARRANQUILLA'!BB51,"AAAAAH9f/7s=")</f>
        <v>#VALUE!</v>
      </c>
      <c r="GG45" t="e">
        <f>AND('SPR BARRANQUILLA'!BC51,"AAAAAH9f/7w=")</f>
        <v>#VALUE!</v>
      </c>
      <c r="GH45" t="e">
        <f>AND('SPR BARRANQUILLA'!BD51,"AAAAAH9f/70=")</f>
        <v>#VALUE!</v>
      </c>
      <c r="GI45" t="e">
        <f>AND('SPR BARRANQUILLA'!BE51,"AAAAAH9f/74=")</f>
        <v>#VALUE!</v>
      </c>
      <c r="GJ45" t="e">
        <f>AND('SPR BARRANQUILLA'!BF51,"AAAAAH9f/78=")</f>
        <v>#VALUE!</v>
      </c>
      <c r="GK45" t="e">
        <f>AND('SPR BARRANQUILLA'!BG51,"AAAAAH9f/8A=")</f>
        <v>#VALUE!</v>
      </c>
      <c r="GL45" t="e">
        <f>AND('SPR BARRANQUILLA'!BH51,"AAAAAH9f/8E=")</f>
        <v>#VALUE!</v>
      </c>
      <c r="GM45" t="e">
        <f>AND('SPR BARRANQUILLA'!BI51,"AAAAAH9f/8I=")</f>
        <v>#VALUE!</v>
      </c>
      <c r="GN45" t="e">
        <f>AND('SPR BARRANQUILLA'!BJ51,"AAAAAH9f/8M=")</f>
        <v>#VALUE!</v>
      </c>
      <c r="GO45" t="e">
        <f>AND('SPR BARRANQUILLA'!BK51,"AAAAAH9f/8Q=")</f>
        <v>#VALUE!</v>
      </c>
      <c r="GP45" t="e">
        <f>AND('SPR BARRANQUILLA'!BL51,"AAAAAH9f/8U=")</f>
        <v>#VALUE!</v>
      </c>
      <c r="GQ45" t="e">
        <f>AND('SPR BARRANQUILLA'!BM51,"AAAAAH9f/8Y=")</f>
        <v>#VALUE!</v>
      </c>
      <c r="GR45" t="e">
        <f>AND('SPR BARRANQUILLA'!BN51,"AAAAAH9f/8c=")</f>
        <v>#VALUE!</v>
      </c>
      <c r="GS45" t="e">
        <f>AND('SPR BARRANQUILLA'!BO51,"AAAAAH9f/8g=")</f>
        <v>#VALUE!</v>
      </c>
      <c r="GT45" t="e">
        <f>AND('SPR BARRANQUILLA'!BP51,"AAAAAH9f/8k=")</f>
        <v>#VALUE!</v>
      </c>
      <c r="GU45" t="e">
        <f>AND('SPR BARRANQUILLA'!BQ51,"AAAAAH9f/8o=")</f>
        <v>#VALUE!</v>
      </c>
      <c r="GV45" t="e">
        <f>AND('SPR BARRANQUILLA'!BR51,"AAAAAH9f/8s=")</f>
        <v>#VALUE!</v>
      </c>
      <c r="GW45" t="e">
        <f>AND('SPR BARRANQUILLA'!BS51,"AAAAAH9f/8w=")</f>
        <v>#VALUE!</v>
      </c>
      <c r="GX45" t="e">
        <f>AND('SPR BARRANQUILLA'!BT51,"AAAAAH9f/80=")</f>
        <v>#VALUE!</v>
      </c>
      <c r="GY45" t="e">
        <f>AND('SPR BARRANQUILLA'!BU51,"AAAAAH9f/84=")</f>
        <v>#VALUE!</v>
      </c>
      <c r="GZ45" t="e">
        <f>AND('SPR BARRANQUILLA'!BV51,"AAAAAH9f/88=")</f>
        <v>#VALUE!</v>
      </c>
      <c r="HA45" t="e">
        <f>AND('SPR BARRANQUILLA'!BW51,"AAAAAH9f/9A=")</f>
        <v>#VALUE!</v>
      </c>
      <c r="HB45" t="e">
        <f>AND('SPR BARRANQUILLA'!BX51,"AAAAAH9f/9E=")</f>
        <v>#VALUE!</v>
      </c>
      <c r="HC45" t="e">
        <f>AND('SPR BARRANQUILLA'!BY51,"AAAAAH9f/9I=")</f>
        <v>#VALUE!</v>
      </c>
      <c r="HD45" t="e">
        <f>AND('SPR BARRANQUILLA'!BZ51,"AAAAAH9f/9M=")</f>
        <v>#VALUE!</v>
      </c>
      <c r="HE45" t="e">
        <f>AND('SPR BARRANQUILLA'!CA51,"AAAAAH9f/9Q=")</f>
        <v>#VALUE!</v>
      </c>
      <c r="HF45" t="e">
        <f>AND('SPR BARRANQUILLA'!CB51,"AAAAAH9f/9U=")</f>
        <v>#VALUE!</v>
      </c>
      <c r="HG45" t="e">
        <f>AND('SPR BARRANQUILLA'!CC51,"AAAAAH9f/9Y=")</f>
        <v>#VALUE!</v>
      </c>
      <c r="HH45" t="e">
        <f>AND('SPR BARRANQUILLA'!CD51,"AAAAAH9f/9c=")</f>
        <v>#VALUE!</v>
      </c>
      <c r="HI45" t="e">
        <f>AND('SPR BARRANQUILLA'!CE51,"AAAAAH9f/9g=")</f>
        <v>#VALUE!</v>
      </c>
      <c r="HJ45" t="e">
        <f>AND('SPR BARRANQUILLA'!CF51,"AAAAAH9f/9k=")</f>
        <v>#VALUE!</v>
      </c>
      <c r="HK45" t="e">
        <f>AND('SPR BARRANQUILLA'!CG51,"AAAAAH9f/9o=")</f>
        <v>#VALUE!</v>
      </c>
      <c r="HL45" t="e">
        <f>AND('SPR BARRANQUILLA'!CH51,"AAAAAH9f/9s=")</f>
        <v>#VALUE!</v>
      </c>
      <c r="HM45" t="e">
        <f>AND('SPR BARRANQUILLA'!CI51,"AAAAAH9f/9w=")</f>
        <v>#VALUE!</v>
      </c>
      <c r="HN45" t="e">
        <f>AND('SPR BARRANQUILLA'!CJ51,"AAAAAH9f/90=")</f>
        <v>#VALUE!</v>
      </c>
      <c r="HO45" t="e">
        <f>AND('SPR BARRANQUILLA'!CK51,"AAAAAH9f/94=")</f>
        <v>#VALUE!</v>
      </c>
      <c r="HP45" t="e">
        <f>AND('SPR BARRANQUILLA'!CL51,"AAAAAH9f/98=")</f>
        <v>#VALUE!</v>
      </c>
      <c r="HQ45" t="e">
        <f>AND('SPR BARRANQUILLA'!CM51,"AAAAAH9f/+A=")</f>
        <v>#VALUE!</v>
      </c>
      <c r="HR45" t="e">
        <f>AND('SPR BARRANQUILLA'!CN51,"AAAAAH9f/+E=")</f>
        <v>#VALUE!</v>
      </c>
      <c r="HS45" t="e">
        <f>AND('SPR BARRANQUILLA'!CO51,"AAAAAH9f/+I=")</f>
        <v>#VALUE!</v>
      </c>
      <c r="HT45" t="e">
        <f>AND('SPR BARRANQUILLA'!CP51,"AAAAAH9f/+M=")</f>
        <v>#VALUE!</v>
      </c>
      <c r="HU45" t="e">
        <f>AND('SPR BARRANQUILLA'!CQ51,"AAAAAH9f/+Q=")</f>
        <v>#VALUE!</v>
      </c>
      <c r="HV45" t="e">
        <f>AND('SPR BARRANQUILLA'!CR51,"AAAAAH9f/+U=")</f>
        <v>#VALUE!</v>
      </c>
      <c r="HW45" t="e">
        <f>AND('SPR BARRANQUILLA'!CS51,"AAAAAH9f/+Y=")</f>
        <v>#VALUE!</v>
      </c>
      <c r="HX45" t="e">
        <f>AND('SPR BARRANQUILLA'!CT51,"AAAAAH9f/+c=")</f>
        <v>#VALUE!</v>
      </c>
      <c r="HY45" t="e">
        <f>AND('SPR BARRANQUILLA'!CU51,"AAAAAH9f/+g=")</f>
        <v>#VALUE!</v>
      </c>
      <c r="HZ45" t="e">
        <f>AND('SPR BARRANQUILLA'!CV51,"AAAAAH9f/+k=")</f>
        <v>#VALUE!</v>
      </c>
      <c r="IA45" t="e">
        <f>AND('SPR BARRANQUILLA'!CW51,"AAAAAH9f/+o=")</f>
        <v>#VALUE!</v>
      </c>
      <c r="IB45" t="e">
        <f>AND('SPR BARRANQUILLA'!CX51,"AAAAAH9f/+s=")</f>
        <v>#VALUE!</v>
      </c>
      <c r="IC45" t="e">
        <f>AND('SPR BARRANQUILLA'!CY51,"AAAAAH9f/+w=")</f>
        <v>#VALUE!</v>
      </c>
      <c r="ID45" t="e">
        <f>AND('SPR BARRANQUILLA'!CZ51,"AAAAAH9f/+0=")</f>
        <v>#VALUE!</v>
      </c>
      <c r="IE45" t="e">
        <f>AND('SPR BARRANQUILLA'!DA51,"AAAAAH9f/+4=")</f>
        <v>#VALUE!</v>
      </c>
      <c r="IF45" t="e">
        <f>AND('SPR BARRANQUILLA'!DB51,"AAAAAH9f/+8=")</f>
        <v>#VALUE!</v>
      </c>
      <c r="IG45" t="e">
        <f>AND('SPR BARRANQUILLA'!DC51,"AAAAAH9f//A=")</f>
        <v>#VALUE!</v>
      </c>
      <c r="IH45" t="e">
        <f>AND('SPR BARRANQUILLA'!DD51,"AAAAAH9f//E=")</f>
        <v>#VALUE!</v>
      </c>
      <c r="II45" t="e">
        <f>AND('SPR BARRANQUILLA'!DE51,"AAAAAH9f//I=")</f>
        <v>#VALUE!</v>
      </c>
      <c r="IJ45" t="e">
        <f>AND('SPR BARRANQUILLA'!DF51,"AAAAAH9f//M=")</f>
        <v>#VALUE!</v>
      </c>
      <c r="IK45" t="e">
        <f>AND('SPR BARRANQUILLA'!DG51,"AAAAAH9f//Q=")</f>
        <v>#VALUE!</v>
      </c>
      <c r="IL45" t="e">
        <f>AND('SPR BARRANQUILLA'!DH51,"AAAAAH9f//U=")</f>
        <v>#VALUE!</v>
      </c>
      <c r="IM45" t="e">
        <f>AND('SPR BARRANQUILLA'!DI51,"AAAAAH9f//Y=")</f>
        <v>#VALUE!</v>
      </c>
      <c r="IN45" t="e">
        <f>AND('SPR BARRANQUILLA'!DJ51,"AAAAAH9f//c=")</f>
        <v>#VALUE!</v>
      </c>
      <c r="IO45" t="e">
        <f>AND('SPR BARRANQUILLA'!DK51,"AAAAAH9f//g=")</f>
        <v>#VALUE!</v>
      </c>
      <c r="IP45" t="e">
        <f>AND('SPR BARRANQUILLA'!DL51,"AAAAAH9f//k=")</f>
        <v>#VALUE!</v>
      </c>
      <c r="IQ45" t="e">
        <f>AND('SPR BARRANQUILLA'!DM51,"AAAAAH9f//o=")</f>
        <v>#VALUE!</v>
      </c>
      <c r="IR45" t="e">
        <f>AND('SPR BARRANQUILLA'!DN51,"AAAAAH9f//s=")</f>
        <v>#VALUE!</v>
      </c>
      <c r="IS45" t="e">
        <f>AND('SPR BARRANQUILLA'!DO51,"AAAAAH9f//w=")</f>
        <v>#VALUE!</v>
      </c>
      <c r="IT45" t="e">
        <f>AND('SPR BARRANQUILLA'!DP51,"AAAAAH9f//0=")</f>
        <v>#VALUE!</v>
      </c>
      <c r="IU45" t="e">
        <f>AND('SPR BARRANQUILLA'!DQ51,"AAAAAH9f//4=")</f>
        <v>#VALUE!</v>
      </c>
      <c r="IV45" t="e">
        <f>AND('SPR BARRANQUILLA'!DR51,"AAAAAH9f//8=")</f>
        <v>#VALUE!</v>
      </c>
    </row>
    <row r="46" spans="1:256">
      <c r="A46" t="e">
        <f>AND('SPR BARRANQUILLA'!DS51,"AAAAAHq7ewA=")</f>
        <v>#VALUE!</v>
      </c>
      <c r="B46" t="e">
        <f>AND('SPR BARRANQUILLA'!DT51,"AAAAAHq7ewE=")</f>
        <v>#VALUE!</v>
      </c>
      <c r="C46" t="e">
        <f>AND('SPR BARRANQUILLA'!DU51,"AAAAAHq7ewI=")</f>
        <v>#VALUE!</v>
      </c>
      <c r="D46" t="e">
        <f>AND('SPR BARRANQUILLA'!DV51,"AAAAAHq7ewM=")</f>
        <v>#VALUE!</v>
      </c>
      <c r="E46" t="e">
        <f>AND('SPR BARRANQUILLA'!DW51,"AAAAAHq7ewQ=")</f>
        <v>#VALUE!</v>
      </c>
      <c r="F46" t="e">
        <f>AND('SPR BARRANQUILLA'!DX51,"AAAAAHq7ewU=")</f>
        <v>#VALUE!</v>
      </c>
      <c r="G46" t="e">
        <f>AND('SPR BARRANQUILLA'!DY51,"AAAAAHq7ewY=")</f>
        <v>#VALUE!</v>
      </c>
      <c r="H46" t="e">
        <f>AND('SPR BARRANQUILLA'!DZ51,"AAAAAHq7ewc=")</f>
        <v>#VALUE!</v>
      </c>
      <c r="I46" t="e">
        <f>AND('SPR BARRANQUILLA'!EA51,"AAAAAHq7ewg=")</f>
        <v>#VALUE!</v>
      </c>
      <c r="J46" t="e">
        <f>AND('SPR BARRANQUILLA'!EB51,"AAAAAHq7ewk=")</f>
        <v>#VALUE!</v>
      </c>
      <c r="K46" t="e">
        <f>AND('SPR BARRANQUILLA'!EC51,"AAAAAHq7ewo=")</f>
        <v>#VALUE!</v>
      </c>
      <c r="L46" t="e">
        <f>AND('SPR BARRANQUILLA'!ED51,"AAAAAHq7ews=")</f>
        <v>#VALUE!</v>
      </c>
      <c r="M46" t="e">
        <f>AND('SPR BARRANQUILLA'!EE51,"AAAAAHq7eww=")</f>
        <v>#VALUE!</v>
      </c>
      <c r="N46" t="e">
        <f>AND('SPR BARRANQUILLA'!EF51,"AAAAAHq7ew0=")</f>
        <v>#VALUE!</v>
      </c>
      <c r="O46" t="e">
        <f>AND('SPR BARRANQUILLA'!EG51,"AAAAAHq7ew4=")</f>
        <v>#VALUE!</v>
      </c>
      <c r="P46" t="e">
        <f>AND('SPR BARRANQUILLA'!EH51,"AAAAAHq7ew8=")</f>
        <v>#VALUE!</v>
      </c>
      <c r="Q46" t="e">
        <f>AND('SPR BARRANQUILLA'!EI51,"AAAAAHq7exA=")</f>
        <v>#VALUE!</v>
      </c>
      <c r="R46" t="e">
        <f>AND('SPR BARRANQUILLA'!EJ51,"AAAAAHq7exE=")</f>
        <v>#VALUE!</v>
      </c>
      <c r="S46" t="e">
        <f>AND('SPR BARRANQUILLA'!EK51,"AAAAAHq7exI=")</f>
        <v>#VALUE!</v>
      </c>
      <c r="T46" t="e">
        <f>AND('SPR BARRANQUILLA'!EL51,"AAAAAHq7exM=")</f>
        <v>#VALUE!</v>
      </c>
      <c r="U46" t="e">
        <f>AND('SPR BARRANQUILLA'!EM51,"AAAAAHq7exQ=")</f>
        <v>#VALUE!</v>
      </c>
      <c r="V46" t="e">
        <f>AND('SPR BARRANQUILLA'!EN51,"AAAAAHq7exU=")</f>
        <v>#VALUE!</v>
      </c>
      <c r="W46" t="e">
        <f>AND('SPR BARRANQUILLA'!EO51,"AAAAAHq7exY=")</f>
        <v>#VALUE!</v>
      </c>
      <c r="X46" t="e">
        <f>AND('SPR BARRANQUILLA'!EP51,"AAAAAHq7exc=")</f>
        <v>#VALUE!</v>
      </c>
      <c r="Y46" t="e">
        <f>AND('SPR BARRANQUILLA'!EQ51,"AAAAAHq7exg=")</f>
        <v>#VALUE!</v>
      </c>
      <c r="Z46" t="e">
        <f>AND('SPR BARRANQUILLA'!ER51,"AAAAAHq7exk=")</f>
        <v>#VALUE!</v>
      </c>
      <c r="AA46" t="e">
        <f>AND('SPR BARRANQUILLA'!ES51,"AAAAAHq7exo=")</f>
        <v>#VALUE!</v>
      </c>
      <c r="AB46" t="e">
        <f>AND('SPR BARRANQUILLA'!ET51,"AAAAAHq7exs=")</f>
        <v>#VALUE!</v>
      </c>
      <c r="AC46" t="e">
        <f>AND('SPR BARRANQUILLA'!EU51,"AAAAAHq7exw=")</f>
        <v>#VALUE!</v>
      </c>
      <c r="AD46" t="e">
        <f>AND('SPR BARRANQUILLA'!EV51,"AAAAAHq7ex0=")</f>
        <v>#VALUE!</v>
      </c>
      <c r="AE46" t="e">
        <f>AND('SPR BARRANQUILLA'!EW51,"AAAAAHq7ex4=")</f>
        <v>#VALUE!</v>
      </c>
      <c r="AF46" t="e">
        <f>AND('SPR BARRANQUILLA'!EX51,"AAAAAHq7ex8=")</f>
        <v>#VALUE!</v>
      </c>
      <c r="AG46" t="e">
        <f>AND('SPR BARRANQUILLA'!EY51,"AAAAAHq7eyA=")</f>
        <v>#VALUE!</v>
      </c>
      <c r="AH46" t="e">
        <f>AND('SPR BARRANQUILLA'!EZ51,"AAAAAHq7eyE=")</f>
        <v>#VALUE!</v>
      </c>
      <c r="AI46" t="e">
        <f>AND('SPR BARRANQUILLA'!FA51,"AAAAAHq7eyI=")</f>
        <v>#VALUE!</v>
      </c>
      <c r="AJ46" t="e">
        <f>AND('SPR BARRANQUILLA'!FB51,"AAAAAHq7eyM=")</f>
        <v>#VALUE!</v>
      </c>
      <c r="AK46" t="e">
        <f>AND('SPR BARRANQUILLA'!FC51,"AAAAAHq7eyQ=")</f>
        <v>#VALUE!</v>
      </c>
      <c r="AL46" t="e">
        <f>AND('SPR BARRANQUILLA'!FD51,"AAAAAHq7eyU=")</f>
        <v>#VALUE!</v>
      </c>
      <c r="AM46" t="e">
        <f>AND('SPR BARRANQUILLA'!FE51,"AAAAAHq7eyY=")</f>
        <v>#VALUE!</v>
      </c>
      <c r="AN46" t="e">
        <f>AND('SPR BARRANQUILLA'!FF51,"AAAAAHq7eyc=")</f>
        <v>#VALUE!</v>
      </c>
      <c r="AO46" t="e">
        <f>AND('SPR BARRANQUILLA'!FG51,"AAAAAHq7eyg=")</f>
        <v>#VALUE!</v>
      </c>
      <c r="AP46" t="e">
        <f>AND('SPR BARRANQUILLA'!FH51,"AAAAAHq7eyk=")</f>
        <v>#VALUE!</v>
      </c>
      <c r="AQ46" t="e">
        <f>AND('SPR BARRANQUILLA'!FI51,"AAAAAHq7eyo=")</f>
        <v>#VALUE!</v>
      </c>
      <c r="AR46" t="e">
        <f>AND('SPR BARRANQUILLA'!FJ51,"AAAAAHq7eys=")</f>
        <v>#VALUE!</v>
      </c>
      <c r="AS46" t="e">
        <f>AND('SPR BARRANQUILLA'!FK51,"AAAAAHq7eyw=")</f>
        <v>#VALUE!</v>
      </c>
      <c r="AT46" t="e">
        <f>AND('SPR BARRANQUILLA'!FL51,"AAAAAHq7ey0=")</f>
        <v>#VALUE!</v>
      </c>
      <c r="AU46" t="e">
        <f>AND('SPR BARRANQUILLA'!FM51,"AAAAAHq7ey4=")</f>
        <v>#VALUE!</v>
      </c>
      <c r="AV46" t="e">
        <f>AND('SPR BARRANQUILLA'!FN51,"AAAAAHq7ey8=")</f>
        <v>#VALUE!</v>
      </c>
      <c r="AW46" t="e">
        <f>AND('SPR BARRANQUILLA'!FO51,"AAAAAHq7ezA=")</f>
        <v>#VALUE!</v>
      </c>
      <c r="AX46" t="e">
        <f>AND('SPR BARRANQUILLA'!FP51,"AAAAAHq7ezE=")</f>
        <v>#VALUE!</v>
      </c>
      <c r="AY46" t="e">
        <f>AND('SPR BARRANQUILLA'!FQ51,"AAAAAHq7ezI=")</f>
        <v>#VALUE!</v>
      </c>
      <c r="AZ46" t="e">
        <f>AND('SPR BARRANQUILLA'!FR51,"AAAAAHq7ezM=")</f>
        <v>#VALUE!</v>
      </c>
      <c r="BA46" t="e">
        <f>AND('SPR BARRANQUILLA'!FS51,"AAAAAHq7ezQ=")</f>
        <v>#VALUE!</v>
      </c>
      <c r="BB46" t="e">
        <f>AND('SPR BARRANQUILLA'!FT51,"AAAAAHq7ezU=")</f>
        <v>#VALUE!</v>
      </c>
      <c r="BC46" t="e">
        <f>AND('SPR BARRANQUILLA'!FU51,"AAAAAHq7ezY=")</f>
        <v>#VALUE!</v>
      </c>
      <c r="BD46" t="e">
        <f>AND('SPR BARRANQUILLA'!FV51,"AAAAAHq7ezc=")</f>
        <v>#VALUE!</v>
      </c>
      <c r="BE46" t="e">
        <f>AND('SPR BARRANQUILLA'!FW51,"AAAAAHq7ezg=")</f>
        <v>#VALUE!</v>
      </c>
      <c r="BF46" t="e">
        <f>AND('SPR BARRANQUILLA'!FX51,"AAAAAHq7ezk=")</f>
        <v>#VALUE!</v>
      </c>
      <c r="BG46" t="e">
        <f>AND('SPR BARRANQUILLA'!FY51,"AAAAAHq7ezo=")</f>
        <v>#VALUE!</v>
      </c>
      <c r="BH46" t="e">
        <f>AND('SPR BARRANQUILLA'!FZ51,"AAAAAHq7ezs=")</f>
        <v>#VALUE!</v>
      </c>
      <c r="BI46" t="e">
        <f>AND('SPR BARRANQUILLA'!GA51,"AAAAAHq7ezw=")</f>
        <v>#VALUE!</v>
      </c>
      <c r="BJ46" t="e">
        <f>AND('SPR BARRANQUILLA'!GB51,"AAAAAHq7ez0=")</f>
        <v>#VALUE!</v>
      </c>
      <c r="BK46" t="e">
        <f>AND('SPR BARRANQUILLA'!GC51,"AAAAAHq7ez4=")</f>
        <v>#VALUE!</v>
      </c>
      <c r="BL46" t="e">
        <f>AND('SPR BARRANQUILLA'!GD51,"AAAAAHq7ez8=")</f>
        <v>#VALUE!</v>
      </c>
      <c r="BM46" t="e">
        <f>AND('SPR BARRANQUILLA'!GE51,"AAAAAHq7e0A=")</f>
        <v>#VALUE!</v>
      </c>
      <c r="BN46" t="e">
        <f>AND('SPR BARRANQUILLA'!GF51,"AAAAAHq7e0E=")</f>
        <v>#VALUE!</v>
      </c>
      <c r="BO46" t="e">
        <f>AND('SPR BARRANQUILLA'!GG51,"AAAAAHq7e0I=")</f>
        <v>#VALUE!</v>
      </c>
      <c r="BP46" t="e">
        <f>AND('SPR BARRANQUILLA'!GH51,"AAAAAHq7e0M=")</f>
        <v>#VALUE!</v>
      </c>
      <c r="BQ46" t="e">
        <f>AND('SPR BARRANQUILLA'!GI51,"AAAAAHq7e0Q=")</f>
        <v>#VALUE!</v>
      </c>
      <c r="BR46" t="e">
        <f>AND('SPR BARRANQUILLA'!GJ51,"AAAAAHq7e0U=")</f>
        <v>#VALUE!</v>
      </c>
      <c r="BS46" t="e">
        <f>AND('SPR BARRANQUILLA'!GK51,"AAAAAHq7e0Y=")</f>
        <v>#VALUE!</v>
      </c>
      <c r="BT46" t="e">
        <f>AND('SPR BARRANQUILLA'!GL51,"AAAAAHq7e0c=")</f>
        <v>#VALUE!</v>
      </c>
      <c r="BU46" t="e">
        <f>AND('SPR BARRANQUILLA'!GM51,"AAAAAHq7e0g=")</f>
        <v>#VALUE!</v>
      </c>
      <c r="BV46" t="e">
        <f>AND('SPR BARRANQUILLA'!GN51,"AAAAAHq7e0k=")</f>
        <v>#VALUE!</v>
      </c>
      <c r="BW46" t="e">
        <f>AND('SPR BARRANQUILLA'!GO51,"AAAAAHq7e0o=")</f>
        <v>#VALUE!</v>
      </c>
      <c r="BX46" t="e">
        <f>AND('SPR BARRANQUILLA'!GP51,"AAAAAHq7e0s=")</f>
        <v>#VALUE!</v>
      </c>
      <c r="BY46" t="e">
        <f>AND('SPR BARRANQUILLA'!GQ51,"AAAAAHq7e0w=")</f>
        <v>#VALUE!</v>
      </c>
      <c r="BZ46" t="e">
        <f>AND('SPR BARRANQUILLA'!GR51,"AAAAAHq7e00=")</f>
        <v>#VALUE!</v>
      </c>
      <c r="CA46" t="e">
        <f>AND('SPR BARRANQUILLA'!GS51,"AAAAAHq7e04=")</f>
        <v>#VALUE!</v>
      </c>
      <c r="CB46" t="e">
        <f>AND('SPR BARRANQUILLA'!GT51,"AAAAAHq7e08=")</f>
        <v>#VALUE!</v>
      </c>
      <c r="CC46" t="e">
        <f>AND('SPR BARRANQUILLA'!GU51,"AAAAAHq7e1A=")</f>
        <v>#VALUE!</v>
      </c>
      <c r="CD46" t="e">
        <f>AND('SPR BARRANQUILLA'!GV51,"AAAAAHq7e1E=")</f>
        <v>#VALUE!</v>
      </c>
      <c r="CE46" t="e">
        <f>AND('SPR BARRANQUILLA'!GW51,"AAAAAHq7e1I=")</f>
        <v>#VALUE!</v>
      </c>
      <c r="CF46" t="e">
        <f>AND('SPR BARRANQUILLA'!GX51,"AAAAAHq7e1M=")</f>
        <v>#VALUE!</v>
      </c>
      <c r="CG46" t="e">
        <f>AND('SPR BARRANQUILLA'!GY51,"AAAAAHq7e1Q=")</f>
        <v>#VALUE!</v>
      </c>
      <c r="CH46">
        <f>IF('SPR BARRANQUILLA'!52:52,"AAAAAHq7e1U=",0)</f>
        <v>0</v>
      </c>
      <c r="CI46" t="e">
        <f>AND('SPR BARRANQUILLA'!A52,"AAAAAHq7e1Y=")</f>
        <v>#VALUE!</v>
      </c>
      <c r="CJ46" t="e">
        <f>AND('SPR BARRANQUILLA'!B52,"AAAAAHq7e1c=")</f>
        <v>#VALUE!</v>
      </c>
      <c r="CK46" t="e">
        <f>AND('SPR BARRANQUILLA'!C52,"AAAAAHq7e1g=")</f>
        <v>#VALUE!</v>
      </c>
      <c r="CL46" t="e">
        <f>AND('SPR BARRANQUILLA'!D52,"AAAAAHq7e1k=")</f>
        <v>#VALUE!</v>
      </c>
      <c r="CM46" t="e">
        <f>AND('SPR BARRANQUILLA'!E52,"AAAAAHq7e1o=")</f>
        <v>#VALUE!</v>
      </c>
      <c r="CN46" t="e">
        <f>AND('SPR BARRANQUILLA'!F52,"AAAAAHq7e1s=")</f>
        <v>#VALUE!</v>
      </c>
      <c r="CO46" t="e">
        <f>AND('SPR BARRANQUILLA'!G52,"AAAAAHq7e1w=")</f>
        <v>#VALUE!</v>
      </c>
      <c r="CP46" t="e">
        <f>AND('SPR BARRANQUILLA'!H52,"AAAAAHq7e10=")</f>
        <v>#VALUE!</v>
      </c>
      <c r="CQ46" t="e">
        <f>AND('SPR BARRANQUILLA'!I52,"AAAAAHq7e14=")</f>
        <v>#VALUE!</v>
      </c>
      <c r="CR46" t="e">
        <f>AND('SPR BARRANQUILLA'!J52,"AAAAAHq7e18=")</f>
        <v>#VALUE!</v>
      </c>
      <c r="CS46" t="e">
        <f>AND('SPR BARRANQUILLA'!K52,"AAAAAHq7e2A=")</f>
        <v>#VALUE!</v>
      </c>
      <c r="CT46" t="e">
        <f>AND('SPR BARRANQUILLA'!L52,"AAAAAHq7e2E=")</f>
        <v>#VALUE!</v>
      </c>
      <c r="CU46" t="e">
        <f>AND('SPR BARRANQUILLA'!M52,"AAAAAHq7e2I=")</f>
        <v>#VALUE!</v>
      </c>
      <c r="CV46" t="e">
        <f>AND('SPR BARRANQUILLA'!N52,"AAAAAHq7e2M=")</f>
        <v>#VALUE!</v>
      </c>
      <c r="CW46" t="e">
        <f>AND('SPR BARRANQUILLA'!O52,"AAAAAHq7e2Q=")</f>
        <v>#VALUE!</v>
      </c>
      <c r="CX46" t="e">
        <f>AND('SPR BARRANQUILLA'!P52,"AAAAAHq7e2U=")</f>
        <v>#VALUE!</v>
      </c>
      <c r="CY46" t="e">
        <f>AND('SPR BARRANQUILLA'!Q52,"AAAAAHq7e2Y=")</f>
        <v>#VALUE!</v>
      </c>
      <c r="CZ46" t="e">
        <f>AND('SPR BARRANQUILLA'!R52,"AAAAAHq7e2c=")</f>
        <v>#VALUE!</v>
      </c>
      <c r="DA46" t="e">
        <f>AND('SPR BARRANQUILLA'!S52,"AAAAAHq7e2g=")</f>
        <v>#VALUE!</v>
      </c>
      <c r="DB46" t="e">
        <f>AND('SPR BARRANQUILLA'!T52,"AAAAAHq7e2k=")</f>
        <v>#VALUE!</v>
      </c>
      <c r="DC46" t="e">
        <f>AND('SPR BARRANQUILLA'!U52,"AAAAAHq7e2o=")</f>
        <v>#VALUE!</v>
      </c>
      <c r="DD46" t="e">
        <f>AND('SPR BARRANQUILLA'!V52,"AAAAAHq7e2s=")</f>
        <v>#VALUE!</v>
      </c>
      <c r="DE46" t="e">
        <f>AND('SPR BARRANQUILLA'!W52,"AAAAAHq7e2w=")</f>
        <v>#VALUE!</v>
      </c>
      <c r="DF46" t="e">
        <f>AND('SPR BARRANQUILLA'!X52,"AAAAAHq7e20=")</f>
        <v>#VALUE!</v>
      </c>
      <c r="DG46" t="e">
        <f>AND('SPR BARRANQUILLA'!Y52,"AAAAAHq7e24=")</f>
        <v>#VALUE!</v>
      </c>
      <c r="DH46" t="e">
        <f>AND('SPR BARRANQUILLA'!Z52,"AAAAAHq7e28=")</f>
        <v>#VALUE!</v>
      </c>
      <c r="DI46" t="e">
        <f>AND('SPR BARRANQUILLA'!AA52,"AAAAAHq7e3A=")</f>
        <v>#VALUE!</v>
      </c>
      <c r="DJ46" t="e">
        <f>AND('SPR BARRANQUILLA'!AB52,"AAAAAHq7e3E=")</f>
        <v>#VALUE!</v>
      </c>
      <c r="DK46" t="e">
        <f>AND('SPR BARRANQUILLA'!AC52,"AAAAAHq7e3I=")</f>
        <v>#VALUE!</v>
      </c>
      <c r="DL46" t="e">
        <f>AND('SPR BARRANQUILLA'!AD52,"AAAAAHq7e3M=")</f>
        <v>#VALUE!</v>
      </c>
      <c r="DM46" t="e">
        <f>AND('SPR BARRANQUILLA'!AE52,"AAAAAHq7e3Q=")</f>
        <v>#VALUE!</v>
      </c>
      <c r="DN46" t="e">
        <f>AND('SPR BARRANQUILLA'!AF52,"AAAAAHq7e3U=")</f>
        <v>#VALUE!</v>
      </c>
      <c r="DO46" t="e">
        <f>AND('SPR BARRANQUILLA'!AG52,"AAAAAHq7e3Y=")</f>
        <v>#VALUE!</v>
      </c>
      <c r="DP46" t="e">
        <f>AND('SPR BARRANQUILLA'!AH52,"AAAAAHq7e3c=")</f>
        <v>#VALUE!</v>
      </c>
      <c r="DQ46" t="e">
        <f>AND('SPR BARRANQUILLA'!AI52,"AAAAAHq7e3g=")</f>
        <v>#VALUE!</v>
      </c>
      <c r="DR46" t="e">
        <f>AND('SPR BARRANQUILLA'!AJ52,"AAAAAHq7e3k=")</f>
        <v>#VALUE!</v>
      </c>
      <c r="DS46" t="e">
        <f>AND('SPR BARRANQUILLA'!AK52,"AAAAAHq7e3o=")</f>
        <v>#VALUE!</v>
      </c>
      <c r="DT46" t="e">
        <f>AND('SPR BARRANQUILLA'!AL52,"AAAAAHq7e3s=")</f>
        <v>#VALUE!</v>
      </c>
      <c r="DU46" t="e">
        <f>AND('SPR BARRANQUILLA'!AM52,"AAAAAHq7e3w=")</f>
        <v>#VALUE!</v>
      </c>
      <c r="DV46" t="e">
        <f>AND('SPR BARRANQUILLA'!AN52,"AAAAAHq7e30=")</f>
        <v>#VALUE!</v>
      </c>
      <c r="DW46" t="e">
        <f>AND('SPR BARRANQUILLA'!AO52,"AAAAAHq7e34=")</f>
        <v>#VALUE!</v>
      </c>
      <c r="DX46" t="e">
        <f>AND('SPR BARRANQUILLA'!AP52,"AAAAAHq7e38=")</f>
        <v>#VALUE!</v>
      </c>
      <c r="DY46" t="e">
        <f>AND('SPR BARRANQUILLA'!AQ52,"AAAAAHq7e4A=")</f>
        <v>#VALUE!</v>
      </c>
      <c r="DZ46" t="e">
        <f>AND('SPR BARRANQUILLA'!AR52,"AAAAAHq7e4E=")</f>
        <v>#VALUE!</v>
      </c>
      <c r="EA46" t="e">
        <f>AND('SPR BARRANQUILLA'!AS52,"AAAAAHq7e4I=")</f>
        <v>#VALUE!</v>
      </c>
      <c r="EB46" t="e">
        <f>AND('SPR BARRANQUILLA'!AT52,"AAAAAHq7e4M=")</f>
        <v>#VALUE!</v>
      </c>
      <c r="EC46" t="e">
        <f>AND('SPR BARRANQUILLA'!AU52,"AAAAAHq7e4Q=")</f>
        <v>#VALUE!</v>
      </c>
      <c r="ED46" t="e">
        <f>AND('SPR BARRANQUILLA'!AV52,"AAAAAHq7e4U=")</f>
        <v>#VALUE!</v>
      </c>
      <c r="EE46" t="e">
        <f>AND('SPR BARRANQUILLA'!AW52,"AAAAAHq7e4Y=")</f>
        <v>#VALUE!</v>
      </c>
      <c r="EF46" t="e">
        <f>AND('SPR BARRANQUILLA'!AX52,"AAAAAHq7e4c=")</f>
        <v>#VALUE!</v>
      </c>
      <c r="EG46" t="e">
        <f>AND('SPR BARRANQUILLA'!AY52,"AAAAAHq7e4g=")</f>
        <v>#VALUE!</v>
      </c>
      <c r="EH46" t="e">
        <f>AND('SPR BARRANQUILLA'!AZ52,"AAAAAHq7e4k=")</f>
        <v>#VALUE!</v>
      </c>
      <c r="EI46" t="e">
        <f>AND('SPR BARRANQUILLA'!BA52,"AAAAAHq7e4o=")</f>
        <v>#VALUE!</v>
      </c>
      <c r="EJ46" t="e">
        <f>AND('SPR BARRANQUILLA'!BB52,"AAAAAHq7e4s=")</f>
        <v>#VALUE!</v>
      </c>
      <c r="EK46" t="e">
        <f>AND('SPR BARRANQUILLA'!BC52,"AAAAAHq7e4w=")</f>
        <v>#VALUE!</v>
      </c>
      <c r="EL46" t="e">
        <f>AND('SPR BARRANQUILLA'!BD52,"AAAAAHq7e40=")</f>
        <v>#VALUE!</v>
      </c>
      <c r="EM46" t="e">
        <f>AND('SPR BARRANQUILLA'!BE52,"AAAAAHq7e44=")</f>
        <v>#VALUE!</v>
      </c>
      <c r="EN46" t="e">
        <f>AND('SPR BARRANQUILLA'!BF52,"AAAAAHq7e48=")</f>
        <v>#VALUE!</v>
      </c>
      <c r="EO46" t="e">
        <f>AND('SPR BARRANQUILLA'!BG52,"AAAAAHq7e5A=")</f>
        <v>#VALUE!</v>
      </c>
      <c r="EP46" t="e">
        <f>AND('SPR BARRANQUILLA'!BH52,"AAAAAHq7e5E=")</f>
        <v>#VALUE!</v>
      </c>
      <c r="EQ46" t="e">
        <f>AND('SPR BARRANQUILLA'!BI52,"AAAAAHq7e5I=")</f>
        <v>#VALUE!</v>
      </c>
      <c r="ER46" t="e">
        <f>AND('SPR BARRANQUILLA'!BJ52,"AAAAAHq7e5M=")</f>
        <v>#VALUE!</v>
      </c>
      <c r="ES46" t="e">
        <f>AND('SPR BARRANQUILLA'!BK52,"AAAAAHq7e5Q=")</f>
        <v>#VALUE!</v>
      </c>
      <c r="ET46" t="e">
        <f>AND('SPR BARRANQUILLA'!BL52,"AAAAAHq7e5U=")</f>
        <v>#VALUE!</v>
      </c>
      <c r="EU46" t="e">
        <f>AND('SPR BARRANQUILLA'!BM52,"AAAAAHq7e5Y=")</f>
        <v>#VALUE!</v>
      </c>
      <c r="EV46" t="e">
        <f>AND('SPR BARRANQUILLA'!BN52,"AAAAAHq7e5c=")</f>
        <v>#VALUE!</v>
      </c>
      <c r="EW46" t="e">
        <f>AND('SPR BARRANQUILLA'!BO52,"AAAAAHq7e5g=")</f>
        <v>#VALUE!</v>
      </c>
      <c r="EX46" t="e">
        <f>AND('SPR BARRANQUILLA'!BP52,"AAAAAHq7e5k=")</f>
        <v>#VALUE!</v>
      </c>
      <c r="EY46" t="e">
        <f>AND('SPR BARRANQUILLA'!BQ52,"AAAAAHq7e5o=")</f>
        <v>#VALUE!</v>
      </c>
      <c r="EZ46" t="e">
        <f>AND('SPR BARRANQUILLA'!BR52,"AAAAAHq7e5s=")</f>
        <v>#VALUE!</v>
      </c>
      <c r="FA46" t="e">
        <f>AND('SPR BARRANQUILLA'!BS52,"AAAAAHq7e5w=")</f>
        <v>#VALUE!</v>
      </c>
      <c r="FB46" t="e">
        <f>AND('SPR BARRANQUILLA'!BT52,"AAAAAHq7e50=")</f>
        <v>#VALUE!</v>
      </c>
      <c r="FC46" t="e">
        <f>AND('SPR BARRANQUILLA'!BU52,"AAAAAHq7e54=")</f>
        <v>#VALUE!</v>
      </c>
      <c r="FD46" t="e">
        <f>AND('SPR BARRANQUILLA'!BV52,"AAAAAHq7e58=")</f>
        <v>#VALUE!</v>
      </c>
      <c r="FE46" t="e">
        <f>AND('SPR BARRANQUILLA'!BW52,"AAAAAHq7e6A=")</f>
        <v>#VALUE!</v>
      </c>
      <c r="FF46" t="e">
        <f>AND('SPR BARRANQUILLA'!BX52,"AAAAAHq7e6E=")</f>
        <v>#VALUE!</v>
      </c>
      <c r="FG46" t="e">
        <f>AND('SPR BARRANQUILLA'!BY52,"AAAAAHq7e6I=")</f>
        <v>#VALUE!</v>
      </c>
      <c r="FH46" t="e">
        <f>AND('SPR BARRANQUILLA'!BZ52,"AAAAAHq7e6M=")</f>
        <v>#VALUE!</v>
      </c>
      <c r="FI46" t="e">
        <f>AND('SPR BARRANQUILLA'!CA52,"AAAAAHq7e6Q=")</f>
        <v>#VALUE!</v>
      </c>
      <c r="FJ46" t="e">
        <f>AND('SPR BARRANQUILLA'!CB52,"AAAAAHq7e6U=")</f>
        <v>#VALUE!</v>
      </c>
      <c r="FK46" t="e">
        <f>AND('SPR BARRANQUILLA'!CC52,"AAAAAHq7e6Y=")</f>
        <v>#VALUE!</v>
      </c>
      <c r="FL46" t="e">
        <f>AND('SPR BARRANQUILLA'!CD52,"AAAAAHq7e6c=")</f>
        <v>#VALUE!</v>
      </c>
      <c r="FM46" t="e">
        <f>AND('SPR BARRANQUILLA'!CE52,"AAAAAHq7e6g=")</f>
        <v>#VALUE!</v>
      </c>
      <c r="FN46" t="e">
        <f>AND('SPR BARRANQUILLA'!CF52,"AAAAAHq7e6k=")</f>
        <v>#VALUE!</v>
      </c>
      <c r="FO46" t="e">
        <f>AND('SPR BARRANQUILLA'!CG52,"AAAAAHq7e6o=")</f>
        <v>#VALUE!</v>
      </c>
      <c r="FP46" t="e">
        <f>AND('SPR BARRANQUILLA'!CH52,"AAAAAHq7e6s=")</f>
        <v>#VALUE!</v>
      </c>
      <c r="FQ46" t="e">
        <f>AND('SPR BARRANQUILLA'!CI52,"AAAAAHq7e6w=")</f>
        <v>#VALUE!</v>
      </c>
      <c r="FR46" t="e">
        <f>AND('SPR BARRANQUILLA'!CJ52,"AAAAAHq7e60=")</f>
        <v>#VALUE!</v>
      </c>
      <c r="FS46" t="e">
        <f>AND('SPR BARRANQUILLA'!CK52,"AAAAAHq7e64=")</f>
        <v>#VALUE!</v>
      </c>
      <c r="FT46" t="e">
        <f>AND('SPR BARRANQUILLA'!CL52,"AAAAAHq7e68=")</f>
        <v>#VALUE!</v>
      </c>
      <c r="FU46" t="e">
        <f>AND('SPR BARRANQUILLA'!CM52,"AAAAAHq7e7A=")</f>
        <v>#VALUE!</v>
      </c>
      <c r="FV46" t="e">
        <f>AND('SPR BARRANQUILLA'!CN52,"AAAAAHq7e7E=")</f>
        <v>#VALUE!</v>
      </c>
      <c r="FW46" t="e">
        <f>AND('SPR BARRANQUILLA'!CO52,"AAAAAHq7e7I=")</f>
        <v>#VALUE!</v>
      </c>
      <c r="FX46" t="e">
        <f>AND('SPR BARRANQUILLA'!CP52,"AAAAAHq7e7M=")</f>
        <v>#VALUE!</v>
      </c>
      <c r="FY46" t="e">
        <f>AND('SPR BARRANQUILLA'!CQ52,"AAAAAHq7e7Q=")</f>
        <v>#VALUE!</v>
      </c>
      <c r="FZ46" t="e">
        <f>AND('SPR BARRANQUILLA'!CR52,"AAAAAHq7e7U=")</f>
        <v>#VALUE!</v>
      </c>
      <c r="GA46" t="e">
        <f>AND('SPR BARRANQUILLA'!CS52,"AAAAAHq7e7Y=")</f>
        <v>#VALUE!</v>
      </c>
      <c r="GB46" t="e">
        <f>AND('SPR BARRANQUILLA'!CT52,"AAAAAHq7e7c=")</f>
        <v>#VALUE!</v>
      </c>
      <c r="GC46" t="e">
        <f>AND('SPR BARRANQUILLA'!CU52,"AAAAAHq7e7g=")</f>
        <v>#VALUE!</v>
      </c>
      <c r="GD46" t="e">
        <f>AND('SPR BARRANQUILLA'!CV52,"AAAAAHq7e7k=")</f>
        <v>#VALUE!</v>
      </c>
      <c r="GE46" t="e">
        <f>AND('SPR BARRANQUILLA'!CW52,"AAAAAHq7e7o=")</f>
        <v>#VALUE!</v>
      </c>
      <c r="GF46" t="e">
        <f>AND('SPR BARRANQUILLA'!CX52,"AAAAAHq7e7s=")</f>
        <v>#VALUE!</v>
      </c>
      <c r="GG46" t="e">
        <f>AND('SPR BARRANQUILLA'!CY52,"AAAAAHq7e7w=")</f>
        <v>#VALUE!</v>
      </c>
      <c r="GH46" t="e">
        <f>AND('SPR BARRANQUILLA'!CZ52,"AAAAAHq7e70=")</f>
        <v>#VALUE!</v>
      </c>
      <c r="GI46" t="e">
        <f>AND('SPR BARRANQUILLA'!DA52,"AAAAAHq7e74=")</f>
        <v>#VALUE!</v>
      </c>
      <c r="GJ46" t="e">
        <f>AND('SPR BARRANQUILLA'!DB52,"AAAAAHq7e78=")</f>
        <v>#VALUE!</v>
      </c>
      <c r="GK46" t="e">
        <f>AND('SPR BARRANQUILLA'!DC52,"AAAAAHq7e8A=")</f>
        <v>#VALUE!</v>
      </c>
      <c r="GL46" t="e">
        <f>AND('SPR BARRANQUILLA'!DD52,"AAAAAHq7e8E=")</f>
        <v>#VALUE!</v>
      </c>
      <c r="GM46" t="e">
        <f>AND('SPR BARRANQUILLA'!DE52,"AAAAAHq7e8I=")</f>
        <v>#VALUE!</v>
      </c>
      <c r="GN46" t="e">
        <f>AND('SPR BARRANQUILLA'!DF52,"AAAAAHq7e8M=")</f>
        <v>#VALUE!</v>
      </c>
      <c r="GO46" t="e">
        <f>AND('SPR BARRANQUILLA'!DG52,"AAAAAHq7e8Q=")</f>
        <v>#VALUE!</v>
      </c>
      <c r="GP46" t="e">
        <f>AND('SPR BARRANQUILLA'!DH52,"AAAAAHq7e8U=")</f>
        <v>#VALUE!</v>
      </c>
      <c r="GQ46" t="e">
        <f>AND('SPR BARRANQUILLA'!DI52,"AAAAAHq7e8Y=")</f>
        <v>#VALUE!</v>
      </c>
      <c r="GR46" t="e">
        <f>AND('SPR BARRANQUILLA'!DJ52,"AAAAAHq7e8c=")</f>
        <v>#VALUE!</v>
      </c>
      <c r="GS46" t="e">
        <f>AND('SPR BARRANQUILLA'!DK52,"AAAAAHq7e8g=")</f>
        <v>#VALUE!</v>
      </c>
      <c r="GT46" t="e">
        <f>AND('SPR BARRANQUILLA'!DL52,"AAAAAHq7e8k=")</f>
        <v>#VALUE!</v>
      </c>
      <c r="GU46" t="e">
        <f>AND('SPR BARRANQUILLA'!DM52,"AAAAAHq7e8o=")</f>
        <v>#VALUE!</v>
      </c>
      <c r="GV46" t="e">
        <f>AND('SPR BARRANQUILLA'!DN52,"AAAAAHq7e8s=")</f>
        <v>#VALUE!</v>
      </c>
      <c r="GW46" t="e">
        <f>AND('SPR BARRANQUILLA'!DO52,"AAAAAHq7e8w=")</f>
        <v>#VALUE!</v>
      </c>
      <c r="GX46" t="e">
        <f>AND('SPR BARRANQUILLA'!DP52,"AAAAAHq7e80=")</f>
        <v>#VALUE!</v>
      </c>
      <c r="GY46" t="e">
        <f>AND('SPR BARRANQUILLA'!DQ52,"AAAAAHq7e84=")</f>
        <v>#VALUE!</v>
      </c>
      <c r="GZ46" t="e">
        <f>AND('SPR BARRANQUILLA'!DR52,"AAAAAHq7e88=")</f>
        <v>#VALUE!</v>
      </c>
      <c r="HA46" t="e">
        <f>AND('SPR BARRANQUILLA'!DS52,"AAAAAHq7e9A=")</f>
        <v>#VALUE!</v>
      </c>
      <c r="HB46" t="e">
        <f>AND('SPR BARRANQUILLA'!DT52,"AAAAAHq7e9E=")</f>
        <v>#VALUE!</v>
      </c>
      <c r="HC46" t="e">
        <f>AND('SPR BARRANQUILLA'!DU52,"AAAAAHq7e9I=")</f>
        <v>#VALUE!</v>
      </c>
      <c r="HD46" t="e">
        <f>AND('SPR BARRANQUILLA'!DV52,"AAAAAHq7e9M=")</f>
        <v>#VALUE!</v>
      </c>
      <c r="HE46" t="e">
        <f>AND('SPR BARRANQUILLA'!DW52,"AAAAAHq7e9Q=")</f>
        <v>#VALUE!</v>
      </c>
      <c r="HF46" t="e">
        <f>AND('SPR BARRANQUILLA'!DX52,"AAAAAHq7e9U=")</f>
        <v>#VALUE!</v>
      </c>
      <c r="HG46" t="e">
        <f>AND('SPR BARRANQUILLA'!DY52,"AAAAAHq7e9Y=")</f>
        <v>#VALUE!</v>
      </c>
      <c r="HH46" t="e">
        <f>AND('SPR BARRANQUILLA'!DZ52,"AAAAAHq7e9c=")</f>
        <v>#VALUE!</v>
      </c>
      <c r="HI46" t="e">
        <f>AND('SPR BARRANQUILLA'!EA52,"AAAAAHq7e9g=")</f>
        <v>#VALUE!</v>
      </c>
      <c r="HJ46" t="e">
        <f>AND('SPR BARRANQUILLA'!EB52,"AAAAAHq7e9k=")</f>
        <v>#VALUE!</v>
      </c>
      <c r="HK46" t="e">
        <f>AND('SPR BARRANQUILLA'!EC52,"AAAAAHq7e9o=")</f>
        <v>#VALUE!</v>
      </c>
      <c r="HL46" t="e">
        <f>AND('SPR BARRANQUILLA'!ED52,"AAAAAHq7e9s=")</f>
        <v>#VALUE!</v>
      </c>
      <c r="HM46" t="e">
        <f>AND('SPR BARRANQUILLA'!EE52,"AAAAAHq7e9w=")</f>
        <v>#VALUE!</v>
      </c>
      <c r="HN46" t="e">
        <f>AND('SPR BARRANQUILLA'!EF52,"AAAAAHq7e90=")</f>
        <v>#VALUE!</v>
      </c>
      <c r="HO46" t="e">
        <f>AND('SPR BARRANQUILLA'!EG52,"AAAAAHq7e94=")</f>
        <v>#VALUE!</v>
      </c>
      <c r="HP46" t="e">
        <f>AND('SPR BARRANQUILLA'!EH52,"AAAAAHq7e98=")</f>
        <v>#VALUE!</v>
      </c>
      <c r="HQ46" t="e">
        <f>AND('SPR BARRANQUILLA'!EI52,"AAAAAHq7e+A=")</f>
        <v>#VALUE!</v>
      </c>
      <c r="HR46" t="e">
        <f>AND('SPR BARRANQUILLA'!EJ52,"AAAAAHq7e+E=")</f>
        <v>#VALUE!</v>
      </c>
      <c r="HS46" t="e">
        <f>AND('SPR BARRANQUILLA'!EK52,"AAAAAHq7e+I=")</f>
        <v>#VALUE!</v>
      </c>
      <c r="HT46" t="e">
        <f>AND('SPR BARRANQUILLA'!EL52,"AAAAAHq7e+M=")</f>
        <v>#VALUE!</v>
      </c>
      <c r="HU46" t="e">
        <f>AND('SPR BARRANQUILLA'!EM52,"AAAAAHq7e+Q=")</f>
        <v>#VALUE!</v>
      </c>
      <c r="HV46" t="e">
        <f>AND('SPR BARRANQUILLA'!EN52,"AAAAAHq7e+U=")</f>
        <v>#VALUE!</v>
      </c>
      <c r="HW46" t="e">
        <f>AND('SPR BARRANQUILLA'!EO52,"AAAAAHq7e+Y=")</f>
        <v>#VALUE!</v>
      </c>
      <c r="HX46" t="e">
        <f>AND('SPR BARRANQUILLA'!EP52,"AAAAAHq7e+c=")</f>
        <v>#VALUE!</v>
      </c>
      <c r="HY46" t="e">
        <f>AND('SPR BARRANQUILLA'!EQ52,"AAAAAHq7e+g=")</f>
        <v>#VALUE!</v>
      </c>
      <c r="HZ46" t="e">
        <f>AND('SPR BARRANQUILLA'!ER52,"AAAAAHq7e+k=")</f>
        <v>#VALUE!</v>
      </c>
      <c r="IA46" t="e">
        <f>AND('SPR BARRANQUILLA'!ES52,"AAAAAHq7e+o=")</f>
        <v>#VALUE!</v>
      </c>
      <c r="IB46" t="e">
        <f>AND('SPR BARRANQUILLA'!ET52,"AAAAAHq7e+s=")</f>
        <v>#VALUE!</v>
      </c>
      <c r="IC46" t="e">
        <f>AND('SPR BARRANQUILLA'!EU52,"AAAAAHq7e+w=")</f>
        <v>#VALUE!</v>
      </c>
      <c r="ID46" t="e">
        <f>AND('SPR BARRANQUILLA'!EV52,"AAAAAHq7e+0=")</f>
        <v>#VALUE!</v>
      </c>
      <c r="IE46" t="e">
        <f>AND('SPR BARRANQUILLA'!EW52,"AAAAAHq7e+4=")</f>
        <v>#VALUE!</v>
      </c>
      <c r="IF46" t="e">
        <f>AND('SPR BARRANQUILLA'!EX52,"AAAAAHq7e+8=")</f>
        <v>#VALUE!</v>
      </c>
      <c r="IG46" t="e">
        <f>AND('SPR BARRANQUILLA'!EY52,"AAAAAHq7e/A=")</f>
        <v>#VALUE!</v>
      </c>
      <c r="IH46" t="e">
        <f>AND('SPR BARRANQUILLA'!EZ52,"AAAAAHq7e/E=")</f>
        <v>#VALUE!</v>
      </c>
      <c r="II46" t="e">
        <f>AND('SPR BARRANQUILLA'!FA52,"AAAAAHq7e/I=")</f>
        <v>#VALUE!</v>
      </c>
      <c r="IJ46" t="e">
        <f>AND('SPR BARRANQUILLA'!FB52,"AAAAAHq7e/M=")</f>
        <v>#VALUE!</v>
      </c>
      <c r="IK46" t="e">
        <f>AND('SPR BARRANQUILLA'!FC52,"AAAAAHq7e/Q=")</f>
        <v>#VALUE!</v>
      </c>
      <c r="IL46" t="e">
        <f>AND('SPR BARRANQUILLA'!FD52,"AAAAAHq7e/U=")</f>
        <v>#VALUE!</v>
      </c>
      <c r="IM46" t="e">
        <f>AND('SPR BARRANQUILLA'!FE52,"AAAAAHq7e/Y=")</f>
        <v>#VALUE!</v>
      </c>
      <c r="IN46" t="e">
        <f>AND('SPR BARRANQUILLA'!FF52,"AAAAAHq7e/c=")</f>
        <v>#VALUE!</v>
      </c>
      <c r="IO46" t="e">
        <f>AND('SPR BARRANQUILLA'!FG52,"AAAAAHq7e/g=")</f>
        <v>#VALUE!</v>
      </c>
      <c r="IP46" t="e">
        <f>AND('SPR BARRANQUILLA'!FH52,"AAAAAHq7e/k=")</f>
        <v>#VALUE!</v>
      </c>
      <c r="IQ46" t="e">
        <f>AND('SPR BARRANQUILLA'!FI52,"AAAAAHq7e/o=")</f>
        <v>#VALUE!</v>
      </c>
      <c r="IR46" t="e">
        <f>AND('SPR BARRANQUILLA'!FJ52,"AAAAAHq7e/s=")</f>
        <v>#VALUE!</v>
      </c>
      <c r="IS46" t="e">
        <f>AND('SPR BARRANQUILLA'!FK52,"AAAAAHq7e/w=")</f>
        <v>#VALUE!</v>
      </c>
      <c r="IT46" t="e">
        <f>AND('SPR BARRANQUILLA'!FL52,"AAAAAHq7e/0=")</f>
        <v>#VALUE!</v>
      </c>
      <c r="IU46" t="e">
        <f>AND('SPR BARRANQUILLA'!FM52,"AAAAAHq7e/4=")</f>
        <v>#VALUE!</v>
      </c>
      <c r="IV46" t="e">
        <f>AND('SPR BARRANQUILLA'!FN52,"AAAAAHq7e/8=")</f>
        <v>#VALUE!</v>
      </c>
    </row>
    <row r="47" spans="1:256">
      <c r="A47" t="e">
        <f>AND('SPR BARRANQUILLA'!FO52,"AAAAAHr+/wA=")</f>
        <v>#VALUE!</v>
      </c>
      <c r="B47" t="e">
        <f>AND('SPR BARRANQUILLA'!FP52,"AAAAAHr+/wE=")</f>
        <v>#VALUE!</v>
      </c>
      <c r="C47" t="e">
        <f>AND('SPR BARRANQUILLA'!FQ52,"AAAAAHr+/wI=")</f>
        <v>#VALUE!</v>
      </c>
      <c r="D47" t="e">
        <f>AND('SPR BARRANQUILLA'!FR52,"AAAAAHr+/wM=")</f>
        <v>#VALUE!</v>
      </c>
      <c r="E47" t="e">
        <f>AND('SPR BARRANQUILLA'!FS52,"AAAAAHr+/wQ=")</f>
        <v>#VALUE!</v>
      </c>
      <c r="F47" t="e">
        <f>AND('SPR BARRANQUILLA'!FT52,"AAAAAHr+/wU=")</f>
        <v>#VALUE!</v>
      </c>
      <c r="G47" t="e">
        <f>AND('SPR BARRANQUILLA'!FU52,"AAAAAHr+/wY=")</f>
        <v>#VALUE!</v>
      </c>
      <c r="H47" t="e">
        <f>AND('SPR BARRANQUILLA'!FV52,"AAAAAHr+/wc=")</f>
        <v>#VALUE!</v>
      </c>
      <c r="I47" t="e">
        <f>AND('SPR BARRANQUILLA'!FW52,"AAAAAHr+/wg=")</f>
        <v>#VALUE!</v>
      </c>
      <c r="J47" t="e">
        <f>AND('SPR BARRANQUILLA'!FX52,"AAAAAHr+/wk=")</f>
        <v>#VALUE!</v>
      </c>
      <c r="K47" t="e">
        <f>AND('SPR BARRANQUILLA'!FY52,"AAAAAHr+/wo=")</f>
        <v>#VALUE!</v>
      </c>
      <c r="L47" t="e">
        <f>AND('SPR BARRANQUILLA'!FZ52,"AAAAAHr+/ws=")</f>
        <v>#VALUE!</v>
      </c>
      <c r="M47" t="e">
        <f>AND('SPR BARRANQUILLA'!GA52,"AAAAAHr+/ww=")</f>
        <v>#VALUE!</v>
      </c>
      <c r="N47" t="e">
        <f>AND('SPR BARRANQUILLA'!GB52,"AAAAAHr+/w0=")</f>
        <v>#VALUE!</v>
      </c>
      <c r="O47" t="e">
        <f>AND('SPR BARRANQUILLA'!GC52,"AAAAAHr+/w4=")</f>
        <v>#VALUE!</v>
      </c>
      <c r="P47" t="e">
        <f>AND('SPR BARRANQUILLA'!GD52,"AAAAAHr+/w8=")</f>
        <v>#VALUE!</v>
      </c>
      <c r="Q47" t="e">
        <f>AND('SPR BARRANQUILLA'!GE52,"AAAAAHr+/xA=")</f>
        <v>#VALUE!</v>
      </c>
      <c r="R47" t="e">
        <f>AND('SPR BARRANQUILLA'!GF52,"AAAAAHr+/xE=")</f>
        <v>#VALUE!</v>
      </c>
      <c r="S47" t="e">
        <f>AND('SPR BARRANQUILLA'!GG52,"AAAAAHr+/xI=")</f>
        <v>#VALUE!</v>
      </c>
      <c r="T47" t="e">
        <f>AND('SPR BARRANQUILLA'!GH52,"AAAAAHr+/xM=")</f>
        <v>#VALUE!</v>
      </c>
      <c r="U47" t="e">
        <f>AND('SPR BARRANQUILLA'!GI52,"AAAAAHr+/xQ=")</f>
        <v>#VALUE!</v>
      </c>
      <c r="V47" t="e">
        <f>AND('SPR BARRANQUILLA'!GJ52,"AAAAAHr+/xU=")</f>
        <v>#VALUE!</v>
      </c>
      <c r="W47" t="e">
        <f>AND('SPR BARRANQUILLA'!GK52,"AAAAAHr+/xY=")</f>
        <v>#VALUE!</v>
      </c>
      <c r="X47" t="e">
        <f>AND('SPR BARRANQUILLA'!GL52,"AAAAAHr+/xc=")</f>
        <v>#VALUE!</v>
      </c>
      <c r="Y47" t="e">
        <f>AND('SPR BARRANQUILLA'!GM52,"AAAAAHr+/xg=")</f>
        <v>#VALUE!</v>
      </c>
      <c r="Z47" t="e">
        <f>AND('SPR BARRANQUILLA'!GN52,"AAAAAHr+/xk=")</f>
        <v>#VALUE!</v>
      </c>
      <c r="AA47" t="e">
        <f>AND('SPR BARRANQUILLA'!GO52,"AAAAAHr+/xo=")</f>
        <v>#VALUE!</v>
      </c>
      <c r="AB47" t="e">
        <f>AND('SPR BARRANQUILLA'!GP52,"AAAAAHr+/xs=")</f>
        <v>#VALUE!</v>
      </c>
      <c r="AC47" t="e">
        <f>AND('SPR BARRANQUILLA'!GQ52,"AAAAAHr+/xw=")</f>
        <v>#VALUE!</v>
      </c>
      <c r="AD47" t="e">
        <f>AND('SPR BARRANQUILLA'!GR52,"AAAAAHr+/x0=")</f>
        <v>#VALUE!</v>
      </c>
      <c r="AE47" t="e">
        <f>AND('SPR BARRANQUILLA'!GS52,"AAAAAHr+/x4=")</f>
        <v>#VALUE!</v>
      </c>
      <c r="AF47" t="e">
        <f>AND('SPR BARRANQUILLA'!GT52,"AAAAAHr+/x8=")</f>
        <v>#VALUE!</v>
      </c>
      <c r="AG47" t="e">
        <f>AND('SPR BARRANQUILLA'!GU52,"AAAAAHr+/yA=")</f>
        <v>#VALUE!</v>
      </c>
      <c r="AH47" t="e">
        <f>AND('SPR BARRANQUILLA'!GV52,"AAAAAHr+/yE=")</f>
        <v>#VALUE!</v>
      </c>
      <c r="AI47" t="e">
        <f>AND('SPR BARRANQUILLA'!GW52,"AAAAAHr+/yI=")</f>
        <v>#VALUE!</v>
      </c>
      <c r="AJ47" t="e">
        <f>AND('SPR BARRANQUILLA'!GX52,"AAAAAHr+/yM=")</f>
        <v>#VALUE!</v>
      </c>
      <c r="AK47" t="e">
        <f>AND('SPR BARRANQUILLA'!GY52,"AAAAAHr+/yQ=")</f>
        <v>#VALUE!</v>
      </c>
      <c r="AL47">
        <f>IF('SPR BARRANQUILLA'!53:53,"AAAAAHr+/yU=",0)</f>
        <v>0</v>
      </c>
      <c r="AM47" t="e">
        <f>AND('SPR BARRANQUILLA'!A53,"AAAAAHr+/yY=")</f>
        <v>#VALUE!</v>
      </c>
      <c r="AN47" t="e">
        <f>AND('SPR BARRANQUILLA'!B53,"AAAAAHr+/yc=")</f>
        <v>#VALUE!</v>
      </c>
      <c r="AO47" t="e">
        <f>AND('SPR BARRANQUILLA'!C53,"AAAAAHr+/yg=")</f>
        <v>#VALUE!</v>
      </c>
      <c r="AP47" t="e">
        <f>AND('SPR BARRANQUILLA'!D53,"AAAAAHr+/yk=")</f>
        <v>#VALUE!</v>
      </c>
      <c r="AQ47" t="e">
        <f>AND('SPR BARRANQUILLA'!E53,"AAAAAHr+/yo=")</f>
        <v>#VALUE!</v>
      </c>
      <c r="AR47" t="e">
        <f>AND('SPR BARRANQUILLA'!F53,"AAAAAHr+/ys=")</f>
        <v>#VALUE!</v>
      </c>
      <c r="AS47" t="e">
        <f>AND('SPR BARRANQUILLA'!G53,"AAAAAHr+/yw=")</f>
        <v>#VALUE!</v>
      </c>
      <c r="AT47" t="e">
        <f>AND('SPR BARRANQUILLA'!H53,"AAAAAHr+/y0=")</f>
        <v>#VALUE!</v>
      </c>
      <c r="AU47" t="e">
        <f>AND('SPR BARRANQUILLA'!I53,"AAAAAHr+/y4=")</f>
        <v>#VALUE!</v>
      </c>
      <c r="AV47" t="e">
        <f>AND('SPR BARRANQUILLA'!J53,"AAAAAHr+/y8=")</f>
        <v>#VALUE!</v>
      </c>
      <c r="AW47" t="e">
        <f>AND('SPR BARRANQUILLA'!K53,"AAAAAHr+/zA=")</f>
        <v>#VALUE!</v>
      </c>
      <c r="AX47" t="e">
        <f>AND('SPR BARRANQUILLA'!L53,"AAAAAHr+/zE=")</f>
        <v>#VALUE!</v>
      </c>
      <c r="AY47" t="e">
        <f>AND('SPR BARRANQUILLA'!M53,"AAAAAHr+/zI=")</f>
        <v>#VALUE!</v>
      </c>
      <c r="AZ47" t="e">
        <f>AND('SPR BARRANQUILLA'!N53,"AAAAAHr+/zM=")</f>
        <v>#VALUE!</v>
      </c>
      <c r="BA47" t="e">
        <f>AND('SPR BARRANQUILLA'!O53,"AAAAAHr+/zQ=")</f>
        <v>#VALUE!</v>
      </c>
      <c r="BB47" t="e">
        <f>AND('SPR BARRANQUILLA'!P53,"AAAAAHr+/zU=")</f>
        <v>#VALUE!</v>
      </c>
      <c r="BC47" t="e">
        <f>AND('SPR BARRANQUILLA'!Q53,"AAAAAHr+/zY=")</f>
        <v>#VALUE!</v>
      </c>
      <c r="BD47" t="e">
        <f>AND('SPR BARRANQUILLA'!R53,"AAAAAHr+/zc=")</f>
        <v>#VALUE!</v>
      </c>
      <c r="BE47" t="e">
        <f>AND('SPR BARRANQUILLA'!S53,"AAAAAHr+/zg=")</f>
        <v>#VALUE!</v>
      </c>
      <c r="BF47" t="e">
        <f>AND('SPR BARRANQUILLA'!T53,"AAAAAHr+/zk=")</f>
        <v>#VALUE!</v>
      </c>
      <c r="BG47" t="e">
        <f>AND('SPR BARRANQUILLA'!U53,"AAAAAHr+/zo=")</f>
        <v>#VALUE!</v>
      </c>
      <c r="BH47" t="e">
        <f>AND('SPR BARRANQUILLA'!V53,"AAAAAHr+/zs=")</f>
        <v>#VALUE!</v>
      </c>
      <c r="BI47" t="e">
        <f>AND('SPR BARRANQUILLA'!W53,"AAAAAHr+/zw=")</f>
        <v>#VALUE!</v>
      </c>
      <c r="BJ47" t="e">
        <f>AND('SPR BARRANQUILLA'!X53,"AAAAAHr+/z0=")</f>
        <v>#VALUE!</v>
      </c>
      <c r="BK47" t="e">
        <f>AND('SPR BARRANQUILLA'!Y53,"AAAAAHr+/z4=")</f>
        <v>#VALUE!</v>
      </c>
      <c r="BL47" t="e">
        <f>AND('SPR BARRANQUILLA'!Z53,"AAAAAHr+/z8=")</f>
        <v>#VALUE!</v>
      </c>
      <c r="BM47" t="e">
        <f>AND('SPR BARRANQUILLA'!AA53,"AAAAAHr+/0A=")</f>
        <v>#VALUE!</v>
      </c>
      <c r="BN47" t="e">
        <f>AND('SPR BARRANQUILLA'!AB53,"AAAAAHr+/0E=")</f>
        <v>#VALUE!</v>
      </c>
      <c r="BO47" t="e">
        <f>AND('SPR BARRANQUILLA'!AC53,"AAAAAHr+/0I=")</f>
        <v>#VALUE!</v>
      </c>
      <c r="BP47" t="e">
        <f>AND('SPR BARRANQUILLA'!AD53,"AAAAAHr+/0M=")</f>
        <v>#VALUE!</v>
      </c>
      <c r="BQ47" t="e">
        <f>AND('SPR BARRANQUILLA'!AE53,"AAAAAHr+/0Q=")</f>
        <v>#VALUE!</v>
      </c>
      <c r="BR47" t="e">
        <f>AND('SPR BARRANQUILLA'!AF53,"AAAAAHr+/0U=")</f>
        <v>#VALUE!</v>
      </c>
      <c r="BS47" t="e">
        <f>AND('SPR BARRANQUILLA'!AG53,"AAAAAHr+/0Y=")</f>
        <v>#VALUE!</v>
      </c>
      <c r="BT47" t="e">
        <f>AND('SPR BARRANQUILLA'!AH53,"AAAAAHr+/0c=")</f>
        <v>#VALUE!</v>
      </c>
      <c r="BU47" t="e">
        <f>AND('SPR BARRANQUILLA'!AI53,"AAAAAHr+/0g=")</f>
        <v>#VALUE!</v>
      </c>
      <c r="BV47" t="e">
        <f>AND('SPR BARRANQUILLA'!AJ53,"AAAAAHr+/0k=")</f>
        <v>#VALUE!</v>
      </c>
      <c r="BW47" t="e">
        <f>AND('SPR BARRANQUILLA'!AK53,"AAAAAHr+/0o=")</f>
        <v>#VALUE!</v>
      </c>
      <c r="BX47" t="e">
        <f>AND('SPR BARRANQUILLA'!AL53,"AAAAAHr+/0s=")</f>
        <v>#VALUE!</v>
      </c>
      <c r="BY47" t="e">
        <f>AND('SPR BARRANQUILLA'!AM53,"AAAAAHr+/0w=")</f>
        <v>#VALUE!</v>
      </c>
      <c r="BZ47" t="e">
        <f>AND('SPR BARRANQUILLA'!AN53,"AAAAAHr+/00=")</f>
        <v>#VALUE!</v>
      </c>
      <c r="CA47" t="e">
        <f>AND('SPR BARRANQUILLA'!AO53,"AAAAAHr+/04=")</f>
        <v>#VALUE!</v>
      </c>
      <c r="CB47" t="e">
        <f>AND('SPR BARRANQUILLA'!AP53,"AAAAAHr+/08=")</f>
        <v>#VALUE!</v>
      </c>
      <c r="CC47" t="e">
        <f>AND('SPR BARRANQUILLA'!AQ53,"AAAAAHr+/1A=")</f>
        <v>#VALUE!</v>
      </c>
      <c r="CD47" t="e">
        <f>AND('SPR BARRANQUILLA'!AR53,"AAAAAHr+/1E=")</f>
        <v>#VALUE!</v>
      </c>
      <c r="CE47" t="e">
        <f>AND('SPR BARRANQUILLA'!AS53,"AAAAAHr+/1I=")</f>
        <v>#VALUE!</v>
      </c>
      <c r="CF47" t="e">
        <f>AND('SPR BARRANQUILLA'!AT53,"AAAAAHr+/1M=")</f>
        <v>#VALUE!</v>
      </c>
      <c r="CG47" t="e">
        <f>AND('SPR BARRANQUILLA'!AU53,"AAAAAHr+/1Q=")</f>
        <v>#VALUE!</v>
      </c>
      <c r="CH47" t="e">
        <f>AND('SPR BARRANQUILLA'!AV53,"AAAAAHr+/1U=")</f>
        <v>#VALUE!</v>
      </c>
      <c r="CI47" t="e">
        <f>AND('SPR BARRANQUILLA'!AW53,"AAAAAHr+/1Y=")</f>
        <v>#VALUE!</v>
      </c>
      <c r="CJ47" t="e">
        <f>AND('SPR BARRANQUILLA'!AX53,"AAAAAHr+/1c=")</f>
        <v>#VALUE!</v>
      </c>
      <c r="CK47" t="e">
        <f>AND('SPR BARRANQUILLA'!AY53,"AAAAAHr+/1g=")</f>
        <v>#VALUE!</v>
      </c>
      <c r="CL47" t="e">
        <f>AND('SPR BARRANQUILLA'!AZ53,"AAAAAHr+/1k=")</f>
        <v>#VALUE!</v>
      </c>
      <c r="CM47" t="e">
        <f>AND('SPR BARRANQUILLA'!BA53,"AAAAAHr+/1o=")</f>
        <v>#VALUE!</v>
      </c>
      <c r="CN47" t="e">
        <f>AND('SPR BARRANQUILLA'!BB53,"AAAAAHr+/1s=")</f>
        <v>#VALUE!</v>
      </c>
      <c r="CO47" t="e">
        <f>AND('SPR BARRANQUILLA'!BC53,"AAAAAHr+/1w=")</f>
        <v>#VALUE!</v>
      </c>
      <c r="CP47" t="e">
        <f>AND('SPR BARRANQUILLA'!BD53,"AAAAAHr+/10=")</f>
        <v>#VALUE!</v>
      </c>
      <c r="CQ47" t="e">
        <f>AND('SPR BARRANQUILLA'!BE53,"AAAAAHr+/14=")</f>
        <v>#VALUE!</v>
      </c>
      <c r="CR47" t="e">
        <f>AND('SPR BARRANQUILLA'!BF53,"AAAAAHr+/18=")</f>
        <v>#VALUE!</v>
      </c>
      <c r="CS47" t="e">
        <f>AND('SPR BARRANQUILLA'!BG53,"AAAAAHr+/2A=")</f>
        <v>#VALUE!</v>
      </c>
      <c r="CT47" t="e">
        <f>AND('SPR BARRANQUILLA'!BH53,"AAAAAHr+/2E=")</f>
        <v>#VALUE!</v>
      </c>
      <c r="CU47" t="e">
        <f>AND('SPR BARRANQUILLA'!BI53,"AAAAAHr+/2I=")</f>
        <v>#VALUE!</v>
      </c>
      <c r="CV47" t="e">
        <f>AND('SPR BARRANQUILLA'!BJ53,"AAAAAHr+/2M=")</f>
        <v>#VALUE!</v>
      </c>
      <c r="CW47" t="e">
        <f>AND('SPR BARRANQUILLA'!BK53,"AAAAAHr+/2Q=")</f>
        <v>#VALUE!</v>
      </c>
      <c r="CX47" t="e">
        <f>AND('SPR BARRANQUILLA'!BL53,"AAAAAHr+/2U=")</f>
        <v>#VALUE!</v>
      </c>
      <c r="CY47" t="e">
        <f>AND('SPR BARRANQUILLA'!BM53,"AAAAAHr+/2Y=")</f>
        <v>#VALUE!</v>
      </c>
      <c r="CZ47" t="e">
        <f>AND('SPR BARRANQUILLA'!BN53,"AAAAAHr+/2c=")</f>
        <v>#VALUE!</v>
      </c>
      <c r="DA47" t="e">
        <f>AND('SPR BARRANQUILLA'!BO53,"AAAAAHr+/2g=")</f>
        <v>#VALUE!</v>
      </c>
      <c r="DB47" t="e">
        <f>AND('SPR BARRANQUILLA'!BP53,"AAAAAHr+/2k=")</f>
        <v>#VALUE!</v>
      </c>
      <c r="DC47" t="e">
        <f>AND('SPR BARRANQUILLA'!BQ53,"AAAAAHr+/2o=")</f>
        <v>#VALUE!</v>
      </c>
      <c r="DD47" t="e">
        <f>AND('SPR BARRANQUILLA'!BR53,"AAAAAHr+/2s=")</f>
        <v>#VALUE!</v>
      </c>
      <c r="DE47" t="e">
        <f>AND('SPR BARRANQUILLA'!BS53,"AAAAAHr+/2w=")</f>
        <v>#VALUE!</v>
      </c>
      <c r="DF47" t="e">
        <f>AND('SPR BARRANQUILLA'!BT53,"AAAAAHr+/20=")</f>
        <v>#VALUE!</v>
      </c>
      <c r="DG47" t="e">
        <f>AND('SPR BARRANQUILLA'!BU53,"AAAAAHr+/24=")</f>
        <v>#VALUE!</v>
      </c>
      <c r="DH47" t="e">
        <f>AND('SPR BARRANQUILLA'!BV53,"AAAAAHr+/28=")</f>
        <v>#VALUE!</v>
      </c>
      <c r="DI47" t="e">
        <f>AND('SPR BARRANQUILLA'!BW53,"AAAAAHr+/3A=")</f>
        <v>#VALUE!</v>
      </c>
      <c r="DJ47" t="e">
        <f>AND('SPR BARRANQUILLA'!BX53,"AAAAAHr+/3E=")</f>
        <v>#VALUE!</v>
      </c>
      <c r="DK47" t="e">
        <f>AND('SPR BARRANQUILLA'!BY53,"AAAAAHr+/3I=")</f>
        <v>#VALUE!</v>
      </c>
      <c r="DL47" t="e">
        <f>AND('SPR BARRANQUILLA'!BZ53,"AAAAAHr+/3M=")</f>
        <v>#VALUE!</v>
      </c>
      <c r="DM47" t="e">
        <f>AND('SPR BARRANQUILLA'!CA53,"AAAAAHr+/3Q=")</f>
        <v>#VALUE!</v>
      </c>
      <c r="DN47" t="e">
        <f>AND('SPR BARRANQUILLA'!CB53,"AAAAAHr+/3U=")</f>
        <v>#VALUE!</v>
      </c>
      <c r="DO47" t="e">
        <f>AND('SPR BARRANQUILLA'!CC53,"AAAAAHr+/3Y=")</f>
        <v>#VALUE!</v>
      </c>
      <c r="DP47" t="e">
        <f>AND('SPR BARRANQUILLA'!CD53,"AAAAAHr+/3c=")</f>
        <v>#VALUE!</v>
      </c>
      <c r="DQ47" t="e">
        <f>AND('SPR BARRANQUILLA'!CE53,"AAAAAHr+/3g=")</f>
        <v>#VALUE!</v>
      </c>
      <c r="DR47" t="e">
        <f>AND('SPR BARRANQUILLA'!CF53,"AAAAAHr+/3k=")</f>
        <v>#VALUE!</v>
      </c>
      <c r="DS47" t="e">
        <f>AND('SPR BARRANQUILLA'!CG53,"AAAAAHr+/3o=")</f>
        <v>#VALUE!</v>
      </c>
      <c r="DT47" t="e">
        <f>AND('SPR BARRANQUILLA'!CH53,"AAAAAHr+/3s=")</f>
        <v>#VALUE!</v>
      </c>
      <c r="DU47" t="e">
        <f>AND('SPR BARRANQUILLA'!CI53,"AAAAAHr+/3w=")</f>
        <v>#VALUE!</v>
      </c>
      <c r="DV47" t="e">
        <f>AND('SPR BARRANQUILLA'!CJ53,"AAAAAHr+/30=")</f>
        <v>#VALUE!</v>
      </c>
      <c r="DW47" t="e">
        <f>AND('SPR BARRANQUILLA'!CK53,"AAAAAHr+/34=")</f>
        <v>#VALUE!</v>
      </c>
      <c r="DX47" t="e">
        <f>AND('SPR BARRANQUILLA'!CL53,"AAAAAHr+/38=")</f>
        <v>#VALUE!</v>
      </c>
      <c r="DY47" t="e">
        <f>AND('SPR BARRANQUILLA'!CM53,"AAAAAHr+/4A=")</f>
        <v>#VALUE!</v>
      </c>
      <c r="DZ47" t="e">
        <f>AND('SPR BARRANQUILLA'!CN53,"AAAAAHr+/4E=")</f>
        <v>#VALUE!</v>
      </c>
      <c r="EA47" t="e">
        <f>AND('SPR BARRANQUILLA'!CO53,"AAAAAHr+/4I=")</f>
        <v>#VALUE!</v>
      </c>
      <c r="EB47" t="e">
        <f>AND('SPR BARRANQUILLA'!CP53,"AAAAAHr+/4M=")</f>
        <v>#VALUE!</v>
      </c>
      <c r="EC47" t="e">
        <f>AND('SPR BARRANQUILLA'!CQ53,"AAAAAHr+/4Q=")</f>
        <v>#VALUE!</v>
      </c>
      <c r="ED47" t="e">
        <f>AND('SPR BARRANQUILLA'!CR53,"AAAAAHr+/4U=")</f>
        <v>#VALUE!</v>
      </c>
      <c r="EE47" t="e">
        <f>AND('SPR BARRANQUILLA'!CS53,"AAAAAHr+/4Y=")</f>
        <v>#VALUE!</v>
      </c>
      <c r="EF47" t="e">
        <f>AND('SPR BARRANQUILLA'!CT53,"AAAAAHr+/4c=")</f>
        <v>#VALUE!</v>
      </c>
      <c r="EG47" t="e">
        <f>AND('SPR BARRANQUILLA'!CU53,"AAAAAHr+/4g=")</f>
        <v>#VALUE!</v>
      </c>
      <c r="EH47" t="e">
        <f>AND('SPR BARRANQUILLA'!CV53,"AAAAAHr+/4k=")</f>
        <v>#VALUE!</v>
      </c>
      <c r="EI47" t="e">
        <f>AND('SPR BARRANQUILLA'!CW53,"AAAAAHr+/4o=")</f>
        <v>#VALUE!</v>
      </c>
      <c r="EJ47" t="e">
        <f>AND('SPR BARRANQUILLA'!CX53,"AAAAAHr+/4s=")</f>
        <v>#VALUE!</v>
      </c>
      <c r="EK47" t="e">
        <f>AND('SPR BARRANQUILLA'!CY53,"AAAAAHr+/4w=")</f>
        <v>#VALUE!</v>
      </c>
      <c r="EL47" t="e">
        <f>AND('SPR BARRANQUILLA'!CZ53,"AAAAAHr+/40=")</f>
        <v>#VALUE!</v>
      </c>
      <c r="EM47" t="e">
        <f>AND('SPR BARRANQUILLA'!DA53,"AAAAAHr+/44=")</f>
        <v>#VALUE!</v>
      </c>
      <c r="EN47" t="e">
        <f>AND('SPR BARRANQUILLA'!DB53,"AAAAAHr+/48=")</f>
        <v>#VALUE!</v>
      </c>
      <c r="EO47" t="e">
        <f>AND('SPR BARRANQUILLA'!DC53,"AAAAAHr+/5A=")</f>
        <v>#VALUE!</v>
      </c>
      <c r="EP47" t="e">
        <f>AND('SPR BARRANQUILLA'!DD53,"AAAAAHr+/5E=")</f>
        <v>#VALUE!</v>
      </c>
      <c r="EQ47" t="e">
        <f>AND('SPR BARRANQUILLA'!DE53,"AAAAAHr+/5I=")</f>
        <v>#VALUE!</v>
      </c>
      <c r="ER47" t="e">
        <f>AND('SPR BARRANQUILLA'!DF53,"AAAAAHr+/5M=")</f>
        <v>#VALUE!</v>
      </c>
      <c r="ES47" t="e">
        <f>AND('SPR BARRANQUILLA'!DG53,"AAAAAHr+/5Q=")</f>
        <v>#VALUE!</v>
      </c>
      <c r="ET47" t="e">
        <f>AND('SPR BARRANQUILLA'!DH53,"AAAAAHr+/5U=")</f>
        <v>#VALUE!</v>
      </c>
      <c r="EU47" t="e">
        <f>AND('SPR BARRANQUILLA'!DI53,"AAAAAHr+/5Y=")</f>
        <v>#VALUE!</v>
      </c>
      <c r="EV47" t="e">
        <f>AND('SPR BARRANQUILLA'!DJ53,"AAAAAHr+/5c=")</f>
        <v>#VALUE!</v>
      </c>
      <c r="EW47" t="e">
        <f>AND('SPR BARRANQUILLA'!DK53,"AAAAAHr+/5g=")</f>
        <v>#VALUE!</v>
      </c>
      <c r="EX47" t="e">
        <f>AND('SPR BARRANQUILLA'!DL53,"AAAAAHr+/5k=")</f>
        <v>#VALUE!</v>
      </c>
      <c r="EY47" t="e">
        <f>AND('SPR BARRANQUILLA'!DM53,"AAAAAHr+/5o=")</f>
        <v>#VALUE!</v>
      </c>
      <c r="EZ47" t="e">
        <f>AND('SPR BARRANQUILLA'!DN53,"AAAAAHr+/5s=")</f>
        <v>#VALUE!</v>
      </c>
      <c r="FA47" t="e">
        <f>AND('SPR BARRANQUILLA'!DO53,"AAAAAHr+/5w=")</f>
        <v>#VALUE!</v>
      </c>
      <c r="FB47" t="e">
        <f>AND('SPR BARRANQUILLA'!DP53,"AAAAAHr+/50=")</f>
        <v>#VALUE!</v>
      </c>
      <c r="FC47" t="e">
        <f>AND('SPR BARRANQUILLA'!DQ53,"AAAAAHr+/54=")</f>
        <v>#VALUE!</v>
      </c>
      <c r="FD47" t="e">
        <f>AND('SPR BARRANQUILLA'!DR53,"AAAAAHr+/58=")</f>
        <v>#VALUE!</v>
      </c>
      <c r="FE47" t="e">
        <f>AND('SPR BARRANQUILLA'!DS53,"AAAAAHr+/6A=")</f>
        <v>#VALUE!</v>
      </c>
      <c r="FF47" t="e">
        <f>AND('SPR BARRANQUILLA'!DT53,"AAAAAHr+/6E=")</f>
        <v>#VALUE!</v>
      </c>
      <c r="FG47" t="e">
        <f>AND('SPR BARRANQUILLA'!DU53,"AAAAAHr+/6I=")</f>
        <v>#VALUE!</v>
      </c>
      <c r="FH47" t="e">
        <f>AND('SPR BARRANQUILLA'!DV53,"AAAAAHr+/6M=")</f>
        <v>#VALUE!</v>
      </c>
      <c r="FI47" t="e">
        <f>AND('SPR BARRANQUILLA'!DW53,"AAAAAHr+/6Q=")</f>
        <v>#VALUE!</v>
      </c>
      <c r="FJ47" t="e">
        <f>AND('SPR BARRANQUILLA'!DX53,"AAAAAHr+/6U=")</f>
        <v>#VALUE!</v>
      </c>
      <c r="FK47" t="e">
        <f>AND('SPR BARRANQUILLA'!DY53,"AAAAAHr+/6Y=")</f>
        <v>#VALUE!</v>
      </c>
      <c r="FL47" t="e">
        <f>AND('SPR BARRANQUILLA'!DZ53,"AAAAAHr+/6c=")</f>
        <v>#VALUE!</v>
      </c>
      <c r="FM47" t="e">
        <f>AND('SPR BARRANQUILLA'!EA53,"AAAAAHr+/6g=")</f>
        <v>#VALUE!</v>
      </c>
      <c r="FN47" t="e">
        <f>AND('SPR BARRANQUILLA'!EB53,"AAAAAHr+/6k=")</f>
        <v>#VALUE!</v>
      </c>
      <c r="FO47" t="e">
        <f>AND('SPR BARRANQUILLA'!EC53,"AAAAAHr+/6o=")</f>
        <v>#VALUE!</v>
      </c>
      <c r="FP47" t="e">
        <f>AND('SPR BARRANQUILLA'!ED53,"AAAAAHr+/6s=")</f>
        <v>#VALUE!</v>
      </c>
      <c r="FQ47" t="e">
        <f>AND('SPR BARRANQUILLA'!EE53,"AAAAAHr+/6w=")</f>
        <v>#VALUE!</v>
      </c>
      <c r="FR47" t="e">
        <f>AND('SPR BARRANQUILLA'!EF53,"AAAAAHr+/60=")</f>
        <v>#VALUE!</v>
      </c>
      <c r="FS47" t="e">
        <f>AND('SPR BARRANQUILLA'!EG53,"AAAAAHr+/64=")</f>
        <v>#VALUE!</v>
      </c>
      <c r="FT47" t="e">
        <f>AND('SPR BARRANQUILLA'!EH53,"AAAAAHr+/68=")</f>
        <v>#VALUE!</v>
      </c>
      <c r="FU47" t="e">
        <f>AND('SPR BARRANQUILLA'!EI53,"AAAAAHr+/7A=")</f>
        <v>#VALUE!</v>
      </c>
      <c r="FV47" t="e">
        <f>AND('SPR BARRANQUILLA'!EJ53,"AAAAAHr+/7E=")</f>
        <v>#VALUE!</v>
      </c>
      <c r="FW47" t="e">
        <f>AND('SPR BARRANQUILLA'!EK53,"AAAAAHr+/7I=")</f>
        <v>#VALUE!</v>
      </c>
      <c r="FX47" t="e">
        <f>AND('SPR BARRANQUILLA'!EL53,"AAAAAHr+/7M=")</f>
        <v>#VALUE!</v>
      </c>
      <c r="FY47" t="e">
        <f>AND('SPR BARRANQUILLA'!EM53,"AAAAAHr+/7Q=")</f>
        <v>#VALUE!</v>
      </c>
      <c r="FZ47" t="e">
        <f>AND('SPR BARRANQUILLA'!EN53,"AAAAAHr+/7U=")</f>
        <v>#VALUE!</v>
      </c>
      <c r="GA47" t="e">
        <f>AND('SPR BARRANQUILLA'!EO53,"AAAAAHr+/7Y=")</f>
        <v>#VALUE!</v>
      </c>
      <c r="GB47" t="e">
        <f>AND('SPR BARRANQUILLA'!EP53,"AAAAAHr+/7c=")</f>
        <v>#VALUE!</v>
      </c>
      <c r="GC47" t="e">
        <f>AND('SPR BARRANQUILLA'!EQ53,"AAAAAHr+/7g=")</f>
        <v>#VALUE!</v>
      </c>
      <c r="GD47" t="e">
        <f>AND('SPR BARRANQUILLA'!ER53,"AAAAAHr+/7k=")</f>
        <v>#VALUE!</v>
      </c>
      <c r="GE47" t="e">
        <f>AND('SPR BARRANQUILLA'!ES53,"AAAAAHr+/7o=")</f>
        <v>#VALUE!</v>
      </c>
      <c r="GF47" t="e">
        <f>AND('SPR BARRANQUILLA'!ET53,"AAAAAHr+/7s=")</f>
        <v>#VALUE!</v>
      </c>
      <c r="GG47" t="e">
        <f>AND('SPR BARRANQUILLA'!EU53,"AAAAAHr+/7w=")</f>
        <v>#VALUE!</v>
      </c>
      <c r="GH47" t="e">
        <f>AND('SPR BARRANQUILLA'!EV53,"AAAAAHr+/70=")</f>
        <v>#VALUE!</v>
      </c>
      <c r="GI47" t="e">
        <f>AND('SPR BARRANQUILLA'!EW53,"AAAAAHr+/74=")</f>
        <v>#VALUE!</v>
      </c>
      <c r="GJ47" t="e">
        <f>AND('SPR BARRANQUILLA'!EX53,"AAAAAHr+/78=")</f>
        <v>#VALUE!</v>
      </c>
      <c r="GK47" t="e">
        <f>AND('SPR BARRANQUILLA'!EY53,"AAAAAHr+/8A=")</f>
        <v>#VALUE!</v>
      </c>
      <c r="GL47" t="e">
        <f>AND('SPR BARRANQUILLA'!EZ53,"AAAAAHr+/8E=")</f>
        <v>#VALUE!</v>
      </c>
      <c r="GM47" t="e">
        <f>AND('SPR BARRANQUILLA'!FA53,"AAAAAHr+/8I=")</f>
        <v>#VALUE!</v>
      </c>
      <c r="GN47" t="e">
        <f>AND('SPR BARRANQUILLA'!FB53,"AAAAAHr+/8M=")</f>
        <v>#VALUE!</v>
      </c>
      <c r="GO47" t="e">
        <f>AND('SPR BARRANQUILLA'!FC53,"AAAAAHr+/8Q=")</f>
        <v>#VALUE!</v>
      </c>
      <c r="GP47" t="e">
        <f>AND('SPR BARRANQUILLA'!FD53,"AAAAAHr+/8U=")</f>
        <v>#VALUE!</v>
      </c>
      <c r="GQ47" t="e">
        <f>AND('SPR BARRANQUILLA'!FE53,"AAAAAHr+/8Y=")</f>
        <v>#VALUE!</v>
      </c>
      <c r="GR47" t="e">
        <f>AND('SPR BARRANQUILLA'!FF53,"AAAAAHr+/8c=")</f>
        <v>#VALUE!</v>
      </c>
      <c r="GS47" t="e">
        <f>AND('SPR BARRANQUILLA'!FG53,"AAAAAHr+/8g=")</f>
        <v>#VALUE!</v>
      </c>
      <c r="GT47" t="e">
        <f>AND('SPR BARRANQUILLA'!FH53,"AAAAAHr+/8k=")</f>
        <v>#VALUE!</v>
      </c>
      <c r="GU47" t="e">
        <f>AND('SPR BARRANQUILLA'!FI53,"AAAAAHr+/8o=")</f>
        <v>#VALUE!</v>
      </c>
      <c r="GV47" t="e">
        <f>AND('SPR BARRANQUILLA'!FJ53,"AAAAAHr+/8s=")</f>
        <v>#VALUE!</v>
      </c>
      <c r="GW47" t="e">
        <f>AND('SPR BARRANQUILLA'!FK53,"AAAAAHr+/8w=")</f>
        <v>#VALUE!</v>
      </c>
      <c r="GX47" t="e">
        <f>AND('SPR BARRANQUILLA'!FL53,"AAAAAHr+/80=")</f>
        <v>#VALUE!</v>
      </c>
      <c r="GY47" t="e">
        <f>AND('SPR BARRANQUILLA'!FM53,"AAAAAHr+/84=")</f>
        <v>#VALUE!</v>
      </c>
      <c r="GZ47" t="e">
        <f>AND('SPR BARRANQUILLA'!FN53,"AAAAAHr+/88=")</f>
        <v>#VALUE!</v>
      </c>
      <c r="HA47" t="e">
        <f>AND('SPR BARRANQUILLA'!FO53,"AAAAAHr+/9A=")</f>
        <v>#VALUE!</v>
      </c>
      <c r="HB47" t="e">
        <f>AND('SPR BARRANQUILLA'!FP53,"AAAAAHr+/9E=")</f>
        <v>#VALUE!</v>
      </c>
      <c r="HC47" t="e">
        <f>AND('SPR BARRANQUILLA'!FQ53,"AAAAAHr+/9I=")</f>
        <v>#VALUE!</v>
      </c>
      <c r="HD47" t="e">
        <f>AND('SPR BARRANQUILLA'!FR53,"AAAAAHr+/9M=")</f>
        <v>#VALUE!</v>
      </c>
      <c r="HE47" t="e">
        <f>AND('SPR BARRANQUILLA'!FS53,"AAAAAHr+/9Q=")</f>
        <v>#VALUE!</v>
      </c>
      <c r="HF47" t="e">
        <f>AND('SPR BARRANQUILLA'!FT53,"AAAAAHr+/9U=")</f>
        <v>#VALUE!</v>
      </c>
      <c r="HG47" t="e">
        <f>AND('SPR BARRANQUILLA'!FU53,"AAAAAHr+/9Y=")</f>
        <v>#VALUE!</v>
      </c>
      <c r="HH47" t="e">
        <f>AND('SPR BARRANQUILLA'!FV53,"AAAAAHr+/9c=")</f>
        <v>#VALUE!</v>
      </c>
      <c r="HI47" t="e">
        <f>AND('SPR BARRANQUILLA'!FW53,"AAAAAHr+/9g=")</f>
        <v>#VALUE!</v>
      </c>
      <c r="HJ47" t="e">
        <f>AND('SPR BARRANQUILLA'!FX53,"AAAAAHr+/9k=")</f>
        <v>#VALUE!</v>
      </c>
      <c r="HK47" t="e">
        <f>AND('SPR BARRANQUILLA'!FY53,"AAAAAHr+/9o=")</f>
        <v>#VALUE!</v>
      </c>
      <c r="HL47" t="e">
        <f>AND('SPR BARRANQUILLA'!FZ53,"AAAAAHr+/9s=")</f>
        <v>#VALUE!</v>
      </c>
      <c r="HM47" t="e">
        <f>AND('SPR BARRANQUILLA'!GA53,"AAAAAHr+/9w=")</f>
        <v>#VALUE!</v>
      </c>
      <c r="HN47" t="e">
        <f>AND('SPR BARRANQUILLA'!GB53,"AAAAAHr+/90=")</f>
        <v>#VALUE!</v>
      </c>
      <c r="HO47" t="e">
        <f>AND('SPR BARRANQUILLA'!GC53,"AAAAAHr+/94=")</f>
        <v>#VALUE!</v>
      </c>
      <c r="HP47" t="e">
        <f>AND('SPR BARRANQUILLA'!GD53,"AAAAAHr+/98=")</f>
        <v>#VALUE!</v>
      </c>
      <c r="HQ47" t="e">
        <f>AND('SPR BARRANQUILLA'!GE53,"AAAAAHr+/+A=")</f>
        <v>#VALUE!</v>
      </c>
      <c r="HR47" t="e">
        <f>AND('SPR BARRANQUILLA'!GF53,"AAAAAHr+/+E=")</f>
        <v>#VALUE!</v>
      </c>
      <c r="HS47" t="e">
        <f>AND('SPR BARRANQUILLA'!GG53,"AAAAAHr+/+I=")</f>
        <v>#VALUE!</v>
      </c>
      <c r="HT47" t="e">
        <f>AND('SPR BARRANQUILLA'!GH53,"AAAAAHr+/+M=")</f>
        <v>#VALUE!</v>
      </c>
      <c r="HU47" t="e">
        <f>AND('SPR BARRANQUILLA'!GI53,"AAAAAHr+/+Q=")</f>
        <v>#VALUE!</v>
      </c>
      <c r="HV47" t="e">
        <f>AND('SPR BARRANQUILLA'!GJ53,"AAAAAHr+/+U=")</f>
        <v>#VALUE!</v>
      </c>
      <c r="HW47" t="e">
        <f>AND('SPR BARRANQUILLA'!GK53,"AAAAAHr+/+Y=")</f>
        <v>#VALUE!</v>
      </c>
      <c r="HX47" t="e">
        <f>AND('SPR BARRANQUILLA'!GL53,"AAAAAHr+/+c=")</f>
        <v>#VALUE!</v>
      </c>
      <c r="HY47" t="e">
        <f>AND('SPR BARRANQUILLA'!GM53,"AAAAAHr+/+g=")</f>
        <v>#VALUE!</v>
      </c>
      <c r="HZ47" t="e">
        <f>AND('SPR BARRANQUILLA'!GN53,"AAAAAHr+/+k=")</f>
        <v>#VALUE!</v>
      </c>
      <c r="IA47" t="e">
        <f>AND('SPR BARRANQUILLA'!GO53,"AAAAAHr+/+o=")</f>
        <v>#VALUE!</v>
      </c>
      <c r="IB47" t="e">
        <f>AND('SPR BARRANQUILLA'!GP53,"AAAAAHr+/+s=")</f>
        <v>#VALUE!</v>
      </c>
      <c r="IC47" t="e">
        <f>AND('SPR BARRANQUILLA'!GQ53,"AAAAAHr+/+w=")</f>
        <v>#VALUE!</v>
      </c>
      <c r="ID47" t="e">
        <f>AND('SPR BARRANQUILLA'!GR53,"AAAAAHr+/+0=")</f>
        <v>#VALUE!</v>
      </c>
      <c r="IE47" t="e">
        <f>AND('SPR BARRANQUILLA'!GS53,"AAAAAHr+/+4=")</f>
        <v>#VALUE!</v>
      </c>
      <c r="IF47" t="e">
        <f>AND('SPR BARRANQUILLA'!GT53,"AAAAAHr+/+8=")</f>
        <v>#VALUE!</v>
      </c>
      <c r="IG47" t="e">
        <f>AND('SPR BARRANQUILLA'!GU53,"AAAAAHr+//A=")</f>
        <v>#VALUE!</v>
      </c>
      <c r="IH47" t="e">
        <f>AND('SPR BARRANQUILLA'!GV53,"AAAAAHr+//E=")</f>
        <v>#VALUE!</v>
      </c>
      <c r="II47" t="e">
        <f>AND('SPR BARRANQUILLA'!GW53,"AAAAAHr+//I=")</f>
        <v>#VALUE!</v>
      </c>
      <c r="IJ47" t="e">
        <f>AND('SPR BARRANQUILLA'!GX53,"AAAAAHr+//M=")</f>
        <v>#VALUE!</v>
      </c>
      <c r="IK47" t="e">
        <f>AND('SPR BARRANQUILLA'!GY53,"AAAAAHr+//Q=")</f>
        <v>#VALUE!</v>
      </c>
      <c r="IL47">
        <f>IF('SPR BARRANQUILLA'!54:54,"AAAAAHr+//U=",0)</f>
        <v>0</v>
      </c>
      <c r="IM47" t="e">
        <f>AND('SPR BARRANQUILLA'!A54,"AAAAAHr+//Y=")</f>
        <v>#VALUE!</v>
      </c>
      <c r="IN47" t="e">
        <f>AND('SPR BARRANQUILLA'!B54,"AAAAAHr+//c=")</f>
        <v>#VALUE!</v>
      </c>
      <c r="IO47" t="e">
        <f>AND('SPR BARRANQUILLA'!C54,"AAAAAHr+//g=")</f>
        <v>#VALUE!</v>
      </c>
      <c r="IP47" t="e">
        <f>AND('SPR BARRANQUILLA'!D54,"AAAAAHr+//k=")</f>
        <v>#VALUE!</v>
      </c>
      <c r="IQ47" t="e">
        <f>AND('SPR BARRANQUILLA'!E54,"AAAAAHr+//o=")</f>
        <v>#VALUE!</v>
      </c>
      <c r="IR47" t="e">
        <f>AND('SPR BARRANQUILLA'!F54,"AAAAAHr+//s=")</f>
        <v>#VALUE!</v>
      </c>
      <c r="IS47" t="e">
        <f>AND('SPR BARRANQUILLA'!G54,"AAAAAHr+//w=")</f>
        <v>#VALUE!</v>
      </c>
      <c r="IT47" t="e">
        <f>AND('SPR BARRANQUILLA'!H54,"AAAAAHr+//0=")</f>
        <v>#VALUE!</v>
      </c>
      <c r="IU47" t="e">
        <f>AND('SPR BARRANQUILLA'!I54,"AAAAAHr+//4=")</f>
        <v>#VALUE!</v>
      </c>
      <c r="IV47" t="e">
        <f>AND('SPR BARRANQUILLA'!J54,"AAAAAHr+//8=")</f>
        <v>#VALUE!</v>
      </c>
    </row>
    <row r="48" spans="1:256">
      <c r="A48" t="e">
        <f>AND('SPR BARRANQUILLA'!K54,"AAAAAF9/ugA=")</f>
        <v>#VALUE!</v>
      </c>
      <c r="B48" t="e">
        <f>AND('SPR BARRANQUILLA'!L54,"AAAAAF9/ugE=")</f>
        <v>#VALUE!</v>
      </c>
      <c r="C48" t="e">
        <f>AND('SPR BARRANQUILLA'!M54,"AAAAAF9/ugI=")</f>
        <v>#VALUE!</v>
      </c>
      <c r="D48" t="e">
        <f>AND('SPR BARRANQUILLA'!N54,"AAAAAF9/ugM=")</f>
        <v>#VALUE!</v>
      </c>
      <c r="E48" t="e">
        <f>AND('SPR BARRANQUILLA'!O54,"AAAAAF9/ugQ=")</f>
        <v>#VALUE!</v>
      </c>
      <c r="F48" t="e">
        <f>AND('SPR BARRANQUILLA'!P54,"AAAAAF9/ugU=")</f>
        <v>#VALUE!</v>
      </c>
      <c r="G48" t="e">
        <f>AND('SPR BARRANQUILLA'!Q54,"AAAAAF9/ugY=")</f>
        <v>#VALUE!</v>
      </c>
      <c r="H48" t="e">
        <f>AND('SPR BARRANQUILLA'!R54,"AAAAAF9/ugc=")</f>
        <v>#VALUE!</v>
      </c>
      <c r="I48" t="e">
        <f>AND('SPR BARRANQUILLA'!S54,"AAAAAF9/ugg=")</f>
        <v>#VALUE!</v>
      </c>
      <c r="J48" t="e">
        <f>AND('SPR BARRANQUILLA'!T54,"AAAAAF9/ugk=")</f>
        <v>#VALUE!</v>
      </c>
      <c r="K48" t="e">
        <f>AND('SPR BARRANQUILLA'!U54,"AAAAAF9/ugo=")</f>
        <v>#VALUE!</v>
      </c>
      <c r="L48" t="e">
        <f>AND('SPR BARRANQUILLA'!V54,"AAAAAF9/ugs=")</f>
        <v>#VALUE!</v>
      </c>
      <c r="M48" t="e">
        <f>AND('SPR BARRANQUILLA'!W54,"AAAAAF9/ugw=")</f>
        <v>#VALUE!</v>
      </c>
      <c r="N48" t="e">
        <f>AND('SPR BARRANQUILLA'!X54,"AAAAAF9/ug0=")</f>
        <v>#VALUE!</v>
      </c>
      <c r="O48" t="e">
        <f>AND('SPR BARRANQUILLA'!Y54,"AAAAAF9/ug4=")</f>
        <v>#VALUE!</v>
      </c>
      <c r="P48" t="e">
        <f>AND('SPR BARRANQUILLA'!Z54,"AAAAAF9/ug8=")</f>
        <v>#VALUE!</v>
      </c>
      <c r="Q48" t="e">
        <f>AND('SPR BARRANQUILLA'!AA54,"AAAAAF9/uhA=")</f>
        <v>#VALUE!</v>
      </c>
      <c r="R48" t="e">
        <f>AND('SPR BARRANQUILLA'!AB54,"AAAAAF9/uhE=")</f>
        <v>#VALUE!</v>
      </c>
      <c r="S48" t="e">
        <f>AND('SPR BARRANQUILLA'!AC54,"AAAAAF9/uhI=")</f>
        <v>#VALUE!</v>
      </c>
      <c r="T48" t="e">
        <f>AND('SPR BARRANQUILLA'!AD54,"AAAAAF9/uhM=")</f>
        <v>#VALUE!</v>
      </c>
      <c r="U48" t="e">
        <f>AND('SPR BARRANQUILLA'!AE54,"AAAAAF9/uhQ=")</f>
        <v>#VALUE!</v>
      </c>
      <c r="V48" t="e">
        <f>AND('SPR BARRANQUILLA'!AF54,"AAAAAF9/uhU=")</f>
        <v>#VALUE!</v>
      </c>
      <c r="W48" t="e">
        <f>AND('SPR BARRANQUILLA'!AG54,"AAAAAF9/uhY=")</f>
        <v>#VALUE!</v>
      </c>
      <c r="X48" t="e">
        <f>AND('SPR BARRANQUILLA'!AH54,"AAAAAF9/uhc=")</f>
        <v>#VALUE!</v>
      </c>
      <c r="Y48" t="e">
        <f>AND('SPR BARRANQUILLA'!AI54,"AAAAAF9/uhg=")</f>
        <v>#VALUE!</v>
      </c>
      <c r="Z48" t="e">
        <f>AND('SPR BARRANQUILLA'!AJ54,"AAAAAF9/uhk=")</f>
        <v>#VALUE!</v>
      </c>
      <c r="AA48" t="e">
        <f>AND('SPR BARRANQUILLA'!AK54,"AAAAAF9/uho=")</f>
        <v>#VALUE!</v>
      </c>
      <c r="AB48" t="e">
        <f>AND('SPR BARRANQUILLA'!AL54,"AAAAAF9/uhs=")</f>
        <v>#VALUE!</v>
      </c>
      <c r="AC48" t="e">
        <f>AND('SPR BARRANQUILLA'!AM54,"AAAAAF9/uhw=")</f>
        <v>#VALUE!</v>
      </c>
      <c r="AD48" t="e">
        <f>AND('SPR BARRANQUILLA'!AN54,"AAAAAF9/uh0=")</f>
        <v>#VALUE!</v>
      </c>
      <c r="AE48" t="e">
        <f>AND('SPR BARRANQUILLA'!AO54,"AAAAAF9/uh4=")</f>
        <v>#VALUE!</v>
      </c>
      <c r="AF48" t="e">
        <f>AND('SPR BARRANQUILLA'!AP54,"AAAAAF9/uh8=")</f>
        <v>#VALUE!</v>
      </c>
      <c r="AG48" t="e">
        <f>AND('SPR BARRANQUILLA'!AQ54,"AAAAAF9/uiA=")</f>
        <v>#VALUE!</v>
      </c>
      <c r="AH48" t="e">
        <f>AND('SPR BARRANQUILLA'!AR54,"AAAAAF9/uiE=")</f>
        <v>#VALUE!</v>
      </c>
      <c r="AI48" t="e">
        <f>AND('SPR BARRANQUILLA'!AS54,"AAAAAF9/uiI=")</f>
        <v>#VALUE!</v>
      </c>
      <c r="AJ48" t="e">
        <f>AND('SPR BARRANQUILLA'!AT54,"AAAAAF9/uiM=")</f>
        <v>#VALUE!</v>
      </c>
      <c r="AK48" t="e">
        <f>AND('SPR BARRANQUILLA'!AU54,"AAAAAF9/uiQ=")</f>
        <v>#VALUE!</v>
      </c>
      <c r="AL48" t="e">
        <f>AND('SPR BARRANQUILLA'!AV54,"AAAAAF9/uiU=")</f>
        <v>#VALUE!</v>
      </c>
      <c r="AM48" t="e">
        <f>AND('SPR BARRANQUILLA'!AW54,"AAAAAF9/uiY=")</f>
        <v>#VALUE!</v>
      </c>
      <c r="AN48" t="e">
        <f>AND('SPR BARRANQUILLA'!AX54,"AAAAAF9/uic=")</f>
        <v>#VALUE!</v>
      </c>
      <c r="AO48" t="e">
        <f>AND('SPR BARRANQUILLA'!AY54,"AAAAAF9/uig=")</f>
        <v>#VALUE!</v>
      </c>
      <c r="AP48" t="e">
        <f>AND('SPR BARRANQUILLA'!AZ54,"AAAAAF9/uik=")</f>
        <v>#VALUE!</v>
      </c>
      <c r="AQ48" t="e">
        <f>AND('SPR BARRANQUILLA'!BA54,"AAAAAF9/uio=")</f>
        <v>#VALUE!</v>
      </c>
      <c r="AR48" t="e">
        <f>AND('SPR BARRANQUILLA'!BB54,"AAAAAF9/uis=")</f>
        <v>#VALUE!</v>
      </c>
      <c r="AS48" t="e">
        <f>AND('SPR BARRANQUILLA'!BC54,"AAAAAF9/uiw=")</f>
        <v>#VALUE!</v>
      </c>
      <c r="AT48" t="e">
        <f>AND('SPR BARRANQUILLA'!BD54,"AAAAAF9/ui0=")</f>
        <v>#VALUE!</v>
      </c>
      <c r="AU48" t="e">
        <f>AND('SPR BARRANQUILLA'!BE54,"AAAAAF9/ui4=")</f>
        <v>#VALUE!</v>
      </c>
      <c r="AV48" t="e">
        <f>AND('SPR BARRANQUILLA'!BF54,"AAAAAF9/ui8=")</f>
        <v>#VALUE!</v>
      </c>
      <c r="AW48" t="e">
        <f>AND('SPR BARRANQUILLA'!BG54,"AAAAAF9/ujA=")</f>
        <v>#VALUE!</v>
      </c>
      <c r="AX48" t="e">
        <f>AND('SPR BARRANQUILLA'!BH54,"AAAAAF9/ujE=")</f>
        <v>#VALUE!</v>
      </c>
      <c r="AY48" t="e">
        <f>AND('SPR BARRANQUILLA'!BI54,"AAAAAF9/ujI=")</f>
        <v>#VALUE!</v>
      </c>
      <c r="AZ48" t="e">
        <f>AND('SPR BARRANQUILLA'!BJ54,"AAAAAF9/ujM=")</f>
        <v>#VALUE!</v>
      </c>
      <c r="BA48" t="e">
        <f>AND('SPR BARRANQUILLA'!BK54,"AAAAAF9/ujQ=")</f>
        <v>#VALUE!</v>
      </c>
      <c r="BB48" t="e">
        <f>AND('SPR BARRANQUILLA'!BL54,"AAAAAF9/ujU=")</f>
        <v>#VALUE!</v>
      </c>
      <c r="BC48" t="e">
        <f>AND('SPR BARRANQUILLA'!BM54,"AAAAAF9/ujY=")</f>
        <v>#VALUE!</v>
      </c>
      <c r="BD48" t="e">
        <f>AND('SPR BARRANQUILLA'!BN54,"AAAAAF9/ujc=")</f>
        <v>#VALUE!</v>
      </c>
      <c r="BE48" t="e">
        <f>AND('SPR BARRANQUILLA'!BO54,"AAAAAF9/ujg=")</f>
        <v>#VALUE!</v>
      </c>
      <c r="BF48" t="e">
        <f>AND('SPR BARRANQUILLA'!BP54,"AAAAAF9/ujk=")</f>
        <v>#VALUE!</v>
      </c>
      <c r="BG48" t="e">
        <f>AND('SPR BARRANQUILLA'!BQ54,"AAAAAF9/ujo=")</f>
        <v>#VALUE!</v>
      </c>
      <c r="BH48" t="e">
        <f>AND('SPR BARRANQUILLA'!BR54,"AAAAAF9/ujs=")</f>
        <v>#VALUE!</v>
      </c>
      <c r="BI48" t="e">
        <f>AND('SPR BARRANQUILLA'!BS54,"AAAAAF9/ujw=")</f>
        <v>#VALUE!</v>
      </c>
      <c r="BJ48" t="e">
        <f>AND('SPR BARRANQUILLA'!BT54,"AAAAAF9/uj0=")</f>
        <v>#VALUE!</v>
      </c>
      <c r="BK48" t="e">
        <f>AND('SPR BARRANQUILLA'!BU54,"AAAAAF9/uj4=")</f>
        <v>#VALUE!</v>
      </c>
      <c r="BL48" t="e">
        <f>AND('SPR BARRANQUILLA'!BV54,"AAAAAF9/uj8=")</f>
        <v>#VALUE!</v>
      </c>
      <c r="BM48" t="e">
        <f>AND('SPR BARRANQUILLA'!BW54,"AAAAAF9/ukA=")</f>
        <v>#VALUE!</v>
      </c>
      <c r="BN48" t="e">
        <f>AND('SPR BARRANQUILLA'!BX54,"AAAAAF9/ukE=")</f>
        <v>#VALUE!</v>
      </c>
      <c r="BO48" t="e">
        <f>AND('SPR BARRANQUILLA'!BY54,"AAAAAF9/ukI=")</f>
        <v>#VALUE!</v>
      </c>
      <c r="BP48" t="e">
        <f>AND('SPR BARRANQUILLA'!BZ54,"AAAAAF9/ukM=")</f>
        <v>#VALUE!</v>
      </c>
      <c r="BQ48" t="e">
        <f>AND('SPR BARRANQUILLA'!CA54,"AAAAAF9/ukQ=")</f>
        <v>#VALUE!</v>
      </c>
      <c r="BR48" t="e">
        <f>AND('SPR BARRANQUILLA'!CB54,"AAAAAF9/ukU=")</f>
        <v>#VALUE!</v>
      </c>
      <c r="BS48" t="e">
        <f>AND('SPR BARRANQUILLA'!CC54,"AAAAAF9/ukY=")</f>
        <v>#VALUE!</v>
      </c>
      <c r="BT48" t="e">
        <f>AND('SPR BARRANQUILLA'!CD54,"AAAAAF9/ukc=")</f>
        <v>#VALUE!</v>
      </c>
      <c r="BU48" t="e">
        <f>AND('SPR BARRANQUILLA'!CE54,"AAAAAF9/ukg=")</f>
        <v>#VALUE!</v>
      </c>
      <c r="BV48" t="e">
        <f>AND('SPR BARRANQUILLA'!CF54,"AAAAAF9/ukk=")</f>
        <v>#VALUE!</v>
      </c>
      <c r="BW48" t="e">
        <f>AND('SPR BARRANQUILLA'!CG54,"AAAAAF9/uko=")</f>
        <v>#VALUE!</v>
      </c>
      <c r="BX48" t="e">
        <f>AND('SPR BARRANQUILLA'!CH54,"AAAAAF9/uks=")</f>
        <v>#VALUE!</v>
      </c>
      <c r="BY48" t="e">
        <f>AND('SPR BARRANQUILLA'!CI54,"AAAAAF9/ukw=")</f>
        <v>#VALUE!</v>
      </c>
      <c r="BZ48" t="e">
        <f>AND('SPR BARRANQUILLA'!CJ54,"AAAAAF9/uk0=")</f>
        <v>#VALUE!</v>
      </c>
      <c r="CA48" t="e">
        <f>AND('SPR BARRANQUILLA'!CK54,"AAAAAF9/uk4=")</f>
        <v>#VALUE!</v>
      </c>
      <c r="CB48" t="e">
        <f>AND('SPR BARRANQUILLA'!CL54,"AAAAAF9/uk8=")</f>
        <v>#VALUE!</v>
      </c>
      <c r="CC48" t="e">
        <f>AND('SPR BARRANQUILLA'!CM54,"AAAAAF9/ulA=")</f>
        <v>#VALUE!</v>
      </c>
      <c r="CD48" t="e">
        <f>AND('SPR BARRANQUILLA'!CN54,"AAAAAF9/ulE=")</f>
        <v>#VALUE!</v>
      </c>
      <c r="CE48" t="e">
        <f>AND('SPR BARRANQUILLA'!CO54,"AAAAAF9/ulI=")</f>
        <v>#VALUE!</v>
      </c>
      <c r="CF48" t="e">
        <f>AND('SPR BARRANQUILLA'!CP54,"AAAAAF9/ulM=")</f>
        <v>#VALUE!</v>
      </c>
      <c r="CG48" t="e">
        <f>AND('SPR BARRANQUILLA'!CQ54,"AAAAAF9/ulQ=")</f>
        <v>#VALUE!</v>
      </c>
      <c r="CH48" t="e">
        <f>AND('SPR BARRANQUILLA'!CR54,"AAAAAF9/ulU=")</f>
        <v>#VALUE!</v>
      </c>
      <c r="CI48" t="e">
        <f>AND('SPR BARRANQUILLA'!CS54,"AAAAAF9/ulY=")</f>
        <v>#VALUE!</v>
      </c>
      <c r="CJ48" t="e">
        <f>AND('SPR BARRANQUILLA'!CT54,"AAAAAF9/ulc=")</f>
        <v>#VALUE!</v>
      </c>
      <c r="CK48" t="e">
        <f>AND('SPR BARRANQUILLA'!CU54,"AAAAAF9/ulg=")</f>
        <v>#VALUE!</v>
      </c>
      <c r="CL48" t="e">
        <f>AND('SPR BARRANQUILLA'!CV54,"AAAAAF9/ulk=")</f>
        <v>#VALUE!</v>
      </c>
      <c r="CM48" t="e">
        <f>AND('SPR BARRANQUILLA'!CW54,"AAAAAF9/ulo=")</f>
        <v>#VALUE!</v>
      </c>
      <c r="CN48" t="e">
        <f>AND('SPR BARRANQUILLA'!CX54,"AAAAAF9/uls=")</f>
        <v>#VALUE!</v>
      </c>
      <c r="CO48" t="e">
        <f>AND('SPR BARRANQUILLA'!CY54,"AAAAAF9/ulw=")</f>
        <v>#VALUE!</v>
      </c>
      <c r="CP48" t="e">
        <f>AND('SPR BARRANQUILLA'!CZ54,"AAAAAF9/ul0=")</f>
        <v>#VALUE!</v>
      </c>
      <c r="CQ48" t="e">
        <f>AND('SPR BARRANQUILLA'!DA54,"AAAAAF9/ul4=")</f>
        <v>#VALUE!</v>
      </c>
      <c r="CR48" t="e">
        <f>AND('SPR BARRANQUILLA'!DB54,"AAAAAF9/ul8=")</f>
        <v>#VALUE!</v>
      </c>
      <c r="CS48" t="e">
        <f>AND('SPR BARRANQUILLA'!DC54,"AAAAAF9/umA=")</f>
        <v>#VALUE!</v>
      </c>
      <c r="CT48" t="e">
        <f>AND('SPR BARRANQUILLA'!DD54,"AAAAAF9/umE=")</f>
        <v>#VALUE!</v>
      </c>
      <c r="CU48" t="e">
        <f>AND('SPR BARRANQUILLA'!DE54,"AAAAAF9/umI=")</f>
        <v>#VALUE!</v>
      </c>
      <c r="CV48" t="e">
        <f>AND('SPR BARRANQUILLA'!DF54,"AAAAAF9/umM=")</f>
        <v>#VALUE!</v>
      </c>
      <c r="CW48" t="e">
        <f>AND('SPR BARRANQUILLA'!DG54,"AAAAAF9/umQ=")</f>
        <v>#VALUE!</v>
      </c>
      <c r="CX48" t="e">
        <f>AND('SPR BARRANQUILLA'!DH54,"AAAAAF9/umU=")</f>
        <v>#VALUE!</v>
      </c>
      <c r="CY48" t="e">
        <f>AND('SPR BARRANQUILLA'!DI54,"AAAAAF9/umY=")</f>
        <v>#VALUE!</v>
      </c>
      <c r="CZ48" t="e">
        <f>AND('SPR BARRANQUILLA'!DJ54,"AAAAAF9/umc=")</f>
        <v>#VALUE!</v>
      </c>
      <c r="DA48" t="e">
        <f>AND('SPR BARRANQUILLA'!DK54,"AAAAAF9/umg=")</f>
        <v>#VALUE!</v>
      </c>
      <c r="DB48" t="e">
        <f>AND('SPR BARRANQUILLA'!DL54,"AAAAAF9/umk=")</f>
        <v>#VALUE!</v>
      </c>
      <c r="DC48" t="e">
        <f>AND('SPR BARRANQUILLA'!DM54,"AAAAAF9/umo=")</f>
        <v>#VALUE!</v>
      </c>
      <c r="DD48" t="e">
        <f>AND('SPR BARRANQUILLA'!DN54,"AAAAAF9/ums=")</f>
        <v>#VALUE!</v>
      </c>
      <c r="DE48" t="e">
        <f>AND('SPR BARRANQUILLA'!DO54,"AAAAAF9/umw=")</f>
        <v>#VALUE!</v>
      </c>
      <c r="DF48" t="e">
        <f>AND('SPR BARRANQUILLA'!DP54,"AAAAAF9/um0=")</f>
        <v>#VALUE!</v>
      </c>
      <c r="DG48" t="e">
        <f>AND('SPR BARRANQUILLA'!DQ54,"AAAAAF9/um4=")</f>
        <v>#VALUE!</v>
      </c>
      <c r="DH48" t="e">
        <f>AND('SPR BARRANQUILLA'!DR54,"AAAAAF9/um8=")</f>
        <v>#VALUE!</v>
      </c>
      <c r="DI48" t="e">
        <f>AND('SPR BARRANQUILLA'!DS54,"AAAAAF9/unA=")</f>
        <v>#VALUE!</v>
      </c>
      <c r="DJ48" t="e">
        <f>AND('SPR BARRANQUILLA'!DT54,"AAAAAF9/unE=")</f>
        <v>#VALUE!</v>
      </c>
      <c r="DK48" t="e">
        <f>AND('SPR BARRANQUILLA'!DU54,"AAAAAF9/unI=")</f>
        <v>#VALUE!</v>
      </c>
      <c r="DL48" t="e">
        <f>AND('SPR BARRANQUILLA'!DV54,"AAAAAF9/unM=")</f>
        <v>#VALUE!</v>
      </c>
      <c r="DM48" t="e">
        <f>AND('SPR BARRANQUILLA'!DW54,"AAAAAF9/unQ=")</f>
        <v>#VALUE!</v>
      </c>
      <c r="DN48" t="e">
        <f>AND('SPR BARRANQUILLA'!DX54,"AAAAAF9/unU=")</f>
        <v>#VALUE!</v>
      </c>
      <c r="DO48" t="e">
        <f>AND('SPR BARRANQUILLA'!DY54,"AAAAAF9/unY=")</f>
        <v>#VALUE!</v>
      </c>
      <c r="DP48" t="e">
        <f>AND('SPR BARRANQUILLA'!DZ54,"AAAAAF9/unc=")</f>
        <v>#VALUE!</v>
      </c>
      <c r="DQ48" t="e">
        <f>AND('SPR BARRANQUILLA'!EA54,"AAAAAF9/ung=")</f>
        <v>#VALUE!</v>
      </c>
      <c r="DR48" t="e">
        <f>AND('SPR BARRANQUILLA'!EB54,"AAAAAF9/unk=")</f>
        <v>#VALUE!</v>
      </c>
      <c r="DS48" t="e">
        <f>AND('SPR BARRANQUILLA'!EC54,"AAAAAF9/uno=")</f>
        <v>#VALUE!</v>
      </c>
      <c r="DT48" t="e">
        <f>AND('SPR BARRANQUILLA'!ED54,"AAAAAF9/uns=")</f>
        <v>#VALUE!</v>
      </c>
      <c r="DU48" t="e">
        <f>AND('SPR BARRANQUILLA'!EE54,"AAAAAF9/unw=")</f>
        <v>#VALUE!</v>
      </c>
      <c r="DV48" t="e">
        <f>AND('SPR BARRANQUILLA'!EF54,"AAAAAF9/un0=")</f>
        <v>#VALUE!</v>
      </c>
      <c r="DW48" t="e">
        <f>AND('SPR BARRANQUILLA'!EG54,"AAAAAF9/un4=")</f>
        <v>#VALUE!</v>
      </c>
      <c r="DX48" t="e">
        <f>AND('SPR BARRANQUILLA'!EH54,"AAAAAF9/un8=")</f>
        <v>#VALUE!</v>
      </c>
      <c r="DY48" t="e">
        <f>AND('SPR BARRANQUILLA'!EI54,"AAAAAF9/uoA=")</f>
        <v>#VALUE!</v>
      </c>
      <c r="DZ48" t="e">
        <f>AND('SPR BARRANQUILLA'!EJ54,"AAAAAF9/uoE=")</f>
        <v>#VALUE!</v>
      </c>
      <c r="EA48" t="e">
        <f>AND('SPR BARRANQUILLA'!EK54,"AAAAAF9/uoI=")</f>
        <v>#VALUE!</v>
      </c>
      <c r="EB48" t="e">
        <f>AND('SPR BARRANQUILLA'!EL54,"AAAAAF9/uoM=")</f>
        <v>#VALUE!</v>
      </c>
      <c r="EC48" t="e">
        <f>AND('SPR BARRANQUILLA'!EM54,"AAAAAF9/uoQ=")</f>
        <v>#VALUE!</v>
      </c>
      <c r="ED48" t="e">
        <f>AND('SPR BARRANQUILLA'!EN54,"AAAAAF9/uoU=")</f>
        <v>#VALUE!</v>
      </c>
      <c r="EE48" t="e">
        <f>AND('SPR BARRANQUILLA'!EO54,"AAAAAF9/uoY=")</f>
        <v>#VALUE!</v>
      </c>
      <c r="EF48" t="e">
        <f>AND('SPR BARRANQUILLA'!EP54,"AAAAAF9/uoc=")</f>
        <v>#VALUE!</v>
      </c>
      <c r="EG48" t="e">
        <f>AND('SPR BARRANQUILLA'!EQ54,"AAAAAF9/uog=")</f>
        <v>#VALUE!</v>
      </c>
      <c r="EH48" t="e">
        <f>AND('SPR BARRANQUILLA'!ER54,"AAAAAF9/uok=")</f>
        <v>#VALUE!</v>
      </c>
      <c r="EI48" t="e">
        <f>AND('SPR BARRANQUILLA'!ES54,"AAAAAF9/uoo=")</f>
        <v>#VALUE!</v>
      </c>
      <c r="EJ48" t="e">
        <f>AND('SPR BARRANQUILLA'!ET54,"AAAAAF9/uos=")</f>
        <v>#VALUE!</v>
      </c>
      <c r="EK48" t="e">
        <f>AND('SPR BARRANQUILLA'!EU54,"AAAAAF9/uow=")</f>
        <v>#VALUE!</v>
      </c>
      <c r="EL48" t="e">
        <f>AND('SPR BARRANQUILLA'!EV54,"AAAAAF9/uo0=")</f>
        <v>#VALUE!</v>
      </c>
      <c r="EM48" t="e">
        <f>AND('SPR BARRANQUILLA'!EW54,"AAAAAF9/uo4=")</f>
        <v>#VALUE!</v>
      </c>
      <c r="EN48" t="e">
        <f>AND('SPR BARRANQUILLA'!EX54,"AAAAAF9/uo8=")</f>
        <v>#VALUE!</v>
      </c>
      <c r="EO48" t="e">
        <f>AND('SPR BARRANQUILLA'!EY54,"AAAAAF9/upA=")</f>
        <v>#VALUE!</v>
      </c>
      <c r="EP48" t="e">
        <f>AND('SPR BARRANQUILLA'!EZ54,"AAAAAF9/upE=")</f>
        <v>#VALUE!</v>
      </c>
      <c r="EQ48" t="e">
        <f>AND('SPR BARRANQUILLA'!FA54,"AAAAAF9/upI=")</f>
        <v>#VALUE!</v>
      </c>
      <c r="ER48" t="e">
        <f>AND('SPR BARRANQUILLA'!FB54,"AAAAAF9/upM=")</f>
        <v>#VALUE!</v>
      </c>
      <c r="ES48" t="e">
        <f>AND('SPR BARRANQUILLA'!FC54,"AAAAAF9/upQ=")</f>
        <v>#VALUE!</v>
      </c>
      <c r="ET48" t="e">
        <f>AND('SPR BARRANQUILLA'!FD54,"AAAAAF9/upU=")</f>
        <v>#VALUE!</v>
      </c>
      <c r="EU48" t="e">
        <f>AND('SPR BARRANQUILLA'!FE54,"AAAAAF9/upY=")</f>
        <v>#VALUE!</v>
      </c>
      <c r="EV48" t="e">
        <f>AND('SPR BARRANQUILLA'!FF54,"AAAAAF9/upc=")</f>
        <v>#VALUE!</v>
      </c>
      <c r="EW48" t="e">
        <f>AND('SPR BARRANQUILLA'!FG54,"AAAAAF9/upg=")</f>
        <v>#VALUE!</v>
      </c>
      <c r="EX48" t="e">
        <f>AND('SPR BARRANQUILLA'!FH54,"AAAAAF9/upk=")</f>
        <v>#VALUE!</v>
      </c>
      <c r="EY48" t="e">
        <f>AND('SPR BARRANQUILLA'!FI54,"AAAAAF9/upo=")</f>
        <v>#VALUE!</v>
      </c>
      <c r="EZ48" t="e">
        <f>AND('SPR BARRANQUILLA'!FJ54,"AAAAAF9/ups=")</f>
        <v>#VALUE!</v>
      </c>
      <c r="FA48" t="e">
        <f>AND('SPR BARRANQUILLA'!FK54,"AAAAAF9/upw=")</f>
        <v>#VALUE!</v>
      </c>
      <c r="FB48" t="e">
        <f>AND('SPR BARRANQUILLA'!FL54,"AAAAAF9/up0=")</f>
        <v>#VALUE!</v>
      </c>
      <c r="FC48" t="e">
        <f>AND('SPR BARRANQUILLA'!FM54,"AAAAAF9/up4=")</f>
        <v>#VALUE!</v>
      </c>
      <c r="FD48" t="e">
        <f>AND('SPR BARRANQUILLA'!FN54,"AAAAAF9/up8=")</f>
        <v>#VALUE!</v>
      </c>
      <c r="FE48" t="e">
        <f>AND('SPR BARRANQUILLA'!FO54,"AAAAAF9/uqA=")</f>
        <v>#VALUE!</v>
      </c>
      <c r="FF48" t="e">
        <f>AND('SPR BARRANQUILLA'!FP54,"AAAAAF9/uqE=")</f>
        <v>#VALUE!</v>
      </c>
      <c r="FG48" t="e">
        <f>AND('SPR BARRANQUILLA'!FQ54,"AAAAAF9/uqI=")</f>
        <v>#VALUE!</v>
      </c>
      <c r="FH48" t="e">
        <f>AND('SPR BARRANQUILLA'!FR54,"AAAAAF9/uqM=")</f>
        <v>#VALUE!</v>
      </c>
      <c r="FI48" t="e">
        <f>AND('SPR BARRANQUILLA'!FS54,"AAAAAF9/uqQ=")</f>
        <v>#VALUE!</v>
      </c>
      <c r="FJ48" t="e">
        <f>AND('SPR BARRANQUILLA'!FT54,"AAAAAF9/uqU=")</f>
        <v>#VALUE!</v>
      </c>
      <c r="FK48" t="e">
        <f>AND('SPR BARRANQUILLA'!FU54,"AAAAAF9/uqY=")</f>
        <v>#VALUE!</v>
      </c>
      <c r="FL48" t="e">
        <f>AND('SPR BARRANQUILLA'!FV54,"AAAAAF9/uqc=")</f>
        <v>#VALUE!</v>
      </c>
      <c r="FM48" t="e">
        <f>AND('SPR BARRANQUILLA'!FW54,"AAAAAF9/uqg=")</f>
        <v>#VALUE!</v>
      </c>
      <c r="FN48" t="e">
        <f>AND('SPR BARRANQUILLA'!FX54,"AAAAAF9/uqk=")</f>
        <v>#VALUE!</v>
      </c>
      <c r="FO48" t="e">
        <f>AND('SPR BARRANQUILLA'!FY54,"AAAAAF9/uqo=")</f>
        <v>#VALUE!</v>
      </c>
      <c r="FP48" t="e">
        <f>AND('SPR BARRANQUILLA'!FZ54,"AAAAAF9/uqs=")</f>
        <v>#VALUE!</v>
      </c>
      <c r="FQ48" t="e">
        <f>AND('SPR BARRANQUILLA'!GA54,"AAAAAF9/uqw=")</f>
        <v>#VALUE!</v>
      </c>
      <c r="FR48" t="e">
        <f>AND('SPR BARRANQUILLA'!GB54,"AAAAAF9/uq0=")</f>
        <v>#VALUE!</v>
      </c>
      <c r="FS48" t="e">
        <f>AND('SPR BARRANQUILLA'!GC54,"AAAAAF9/uq4=")</f>
        <v>#VALUE!</v>
      </c>
      <c r="FT48" t="e">
        <f>AND('SPR BARRANQUILLA'!GD54,"AAAAAF9/uq8=")</f>
        <v>#VALUE!</v>
      </c>
      <c r="FU48" t="e">
        <f>AND('SPR BARRANQUILLA'!GE54,"AAAAAF9/urA=")</f>
        <v>#VALUE!</v>
      </c>
      <c r="FV48" t="e">
        <f>AND('SPR BARRANQUILLA'!GF54,"AAAAAF9/urE=")</f>
        <v>#VALUE!</v>
      </c>
      <c r="FW48" t="e">
        <f>AND('SPR BARRANQUILLA'!GG54,"AAAAAF9/urI=")</f>
        <v>#VALUE!</v>
      </c>
      <c r="FX48" t="e">
        <f>AND('SPR BARRANQUILLA'!GH54,"AAAAAF9/urM=")</f>
        <v>#VALUE!</v>
      </c>
      <c r="FY48" t="e">
        <f>AND('SPR BARRANQUILLA'!GI54,"AAAAAF9/urQ=")</f>
        <v>#VALUE!</v>
      </c>
      <c r="FZ48" t="e">
        <f>AND('SPR BARRANQUILLA'!GJ54,"AAAAAF9/urU=")</f>
        <v>#VALUE!</v>
      </c>
      <c r="GA48" t="e">
        <f>AND('SPR BARRANQUILLA'!GK54,"AAAAAF9/urY=")</f>
        <v>#VALUE!</v>
      </c>
      <c r="GB48" t="e">
        <f>AND('SPR BARRANQUILLA'!GL54,"AAAAAF9/urc=")</f>
        <v>#VALUE!</v>
      </c>
      <c r="GC48" t="e">
        <f>AND('SPR BARRANQUILLA'!GM54,"AAAAAF9/urg=")</f>
        <v>#VALUE!</v>
      </c>
      <c r="GD48" t="e">
        <f>AND('SPR BARRANQUILLA'!GN54,"AAAAAF9/urk=")</f>
        <v>#VALUE!</v>
      </c>
      <c r="GE48" t="e">
        <f>AND('SPR BARRANQUILLA'!GO54,"AAAAAF9/uro=")</f>
        <v>#VALUE!</v>
      </c>
      <c r="GF48" t="e">
        <f>AND('SPR BARRANQUILLA'!GP54,"AAAAAF9/urs=")</f>
        <v>#VALUE!</v>
      </c>
      <c r="GG48" t="e">
        <f>AND('SPR BARRANQUILLA'!GQ54,"AAAAAF9/urw=")</f>
        <v>#VALUE!</v>
      </c>
      <c r="GH48" t="e">
        <f>AND('SPR BARRANQUILLA'!GR54,"AAAAAF9/ur0=")</f>
        <v>#VALUE!</v>
      </c>
      <c r="GI48" t="e">
        <f>AND('SPR BARRANQUILLA'!GS54,"AAAAAF9/ur4=")</f>
        <v>#VALUE!</v>
      </c>
      <c r="GJ48" t="e">
        <f>AND('SPR BARRANQUILLA'!GT54,"AAAAAF9/ur8=")</f>
        <v>#VALUE!</v>
      </c>
      <c r="GK48" t="e">
        <f>AND('SPR BARRANQUILLA'!GU54,"AAAAAF9/usA=")</f>
        <v>#VALUE!</v>
      </c>
      <c r="GL48" t="e">
        <f>AND('SPR BARRANQUILLA'!GV54,"AAAAAF9/usE=")</f>
        <v>#VALUE!</v>
      </c>
      <c r="GM48" t="e">
        <f>AND('SPR BARRANQUILLA'!GW54,"AAAAAF9/usI=")</f>
        <v>#VALUE!</v>
      </c>
      <c r="GN48" t="e">
        <f>AND('SPR BARRANQUILLA'!GX54,"AAAAAF9/usM=")</f>
        <v>#VALUE!</v>
      </c>
      <c r="GO48" t="e">
        <f>AND('SPR BARRANQUILLA'!GY54,"AAAAAF9/usQ=")</f>
        <v>#VALUE!</v>
      </c>
      <c r="GP48">
        <f>IF('SPR BARRANQUILLA'!55:55,"AAAAAF9/usU=",0)</f>
        <v>0</v>
      </c>
      <c r="GQ48" t="e">
        <f>AND('SPR BARRANQUILLA'!A55,"AAAAAF9/usY=")</f>
        <v>#VALUE!</v>
      </c>
      <c r="GR48" t="e">
        <f>AND('SPR BARRANQUILLA'!B55,"AAAAAF9/usc=")</f>
        <v>#VALUE!</v>
      </c>
      <c r="GS48" t="e">
        <f>AND('SPR BARRANQUILLA'!C55,"AAAAAF9/usg=")</f>
        <v>#VALUE!</v>
      </c>
      <c r="GT48" t="e">
        <f>AND('SPR BARRANQUILLA'!D55,"AAAAAF9/usk=")</f>
        <v>#VALUE!</v>
      </c>
      <c r="GU48" t="e">
        <f>AND('SPR BARRANQUILLA'!E55,"AAAAAF9/uso=")</f>
        <v>#VALUE!</v>
      </c>
      <c r="GV48" t="e">
        <f>AND('SPR BARRANQUILLA'!F55,"AAAAAF9/uss=")</f>
        <v>#VALUE!</v>
      </c>
      <c r="GW48" t="e">
        <f>AND('SPR BARRANQUILLA'!G55,"AAAAAF9/usw=")</f>
        <v>#VALUE!</v>
      </c>
      <c r="GX48" t="e">
        <f>AND('SPR BARRANQUILLA'!H55,"AAAAAF9/us0=")</f>
        <v>#VALUE!</v>
      </c>
      <c r="GY48" t="e">
        <f>AND('SPR BARRANQUILLA'!I55,"AAAAAF9/us4=")</f>
        <v>#VALUE!</v>
      </c>
      <c r="GZ48" t="e">
        <f>AND('SPR BARRANQUILLA'!J55,"AAAAAF9/us8=")</f>
        <v>#VALUE!</v>
      </c>
      <c r="HA48" t="e">
        <f>AND('SPR BARRANQUILLA'!K55,"AAAAAF9/utA=")</f>
        <v>#VALUE!</v>
      </c>
      <c r="HB48" t="e">
        <f>AND('SPR BARRANQUILLA'!L55,"AAAAAF9/utE=")</f>
        <v>#VALUE!</v>
      </c>
      <c r="HC48" t="e">
        <f>AND('SPR BARRANQUILLA'!M55,"AAAAAF9/utI=")</f>
        <v>#VALUE!</v>
      </c>
      <c r="HD48" t="e">
        <f>AND('SPR BARRANQUILLA'!N55,"AAAAAF9/utM=")</f>
        <v>#VALUE!</v>
      </c>
      <c r="HE48" t="e">
        <f>AND('SPR BARRANQUILLA'!O55,"AAAAAF9/utQ=")</f>
        <v>#VALUE!</v>
      </c>
      <c r="HF48" t="e">
        <f>AND('SPR BARRANQUILLA'!P55,"AAAAAF9/utU=")</f>
        <v>#VALUE!</v>
      </c>
      <c r="HG48" t="e">
        <f>AND('SPR BARRANQUILLA'!Q55,"AAAAAF9/utY=")</f>
        <v>#VALUE!</v>
      </c>
      <c r="HH48" t="e">
        <f>AND('SPR BARRANQUILLA'!R55,"AAAAAF9/utc=")</f>
        <v>#VALUE!</v>
      </c>
      <c r="HI48" t="e">
        <f>AND('SPR BARRANQUILLA'!S55,"AAAAAF9/utg=")</f>
        <v>#VALUE!</v>
      </c>
      <c r="HJ48" t="e">
        <f>AND('SPR BARRANQUILLA'!T55,"AAAAAF9/utk=")</f>
        <v>#VALUE!</v>
      </c>
      <c r="HK48" t="e">
        <f>AND('SPR BARRANQUILLA'!U55,"AAAAAF9/uto=")</f>
        <v>#VALUE!</v>
      </c>
      <c r="HL48" t="e">
        <f>AND('SPR BARRANQUILLA'!V55,"AAAAAF9/uts=")</f>
        <v>#VALUE!</v>
      </c>
      <c r="HM48" t="e">
        <f>AND('SPR BARRANQUILLA'!W55,"AAAAAF9/utw=")</f>
        <v>#VALUE!</v>
      </c>
      <c r="HN48" t="e">
        <f>AND('SPR BARRANQUILLA'!X55,"AAAAAF9/ut0=")</f>
        <v>#VALUE!</v>
      </c>
      <c r="HO48" t="e">
        <f>AND('SPR BARRANQUILLA'!Y55,"AAAAAF9/ut4=")</f>
        <v>#VALUE!</v>
      </c>
      <c r="HP48" t="e">
        <f>AND('SPR BARRANQUILLA'!Z55,"AAAAAF9/ut8=")</f>
        <v>#VALUE!</v>
      </c>
      <c r="HQ48" t="e">
        <f>AND('SPR BARRANQUILLA'!AA55,"AAAAAF9/uuA=")</f>
        <v>#VALUE!</v>
      </c>
      <c r="HR48" t="e">
        <f>AND('SPR BARRANQUILLA'!AB55,"AAAAAF9/uuE=")</f>
        <v>#VALUE!</v>
      </c>
      <c r="HS48" t="e">
        <f>AND('SPR BARRANQUILLA'!AC55,"AAAAAF9/uuI=")</f>
        <v>#VALUE!</v>
      </c>
      <c r="HT48" t="e">
        <f>AND('SPR BARRANQUILLA'!AD55,"AAAAAF9/uuM=")</f>
        <v>#VALUE!</v>
      </c>
      <c r="HU48" t="e">
        <f>AND('SPR BARRANQUILLA'!AE55,"AAAAAF9/uuQ=")</f>
        <v>#VALUE!</v>
      </c>
      <c r="HV48" t="e">
        <f>AND('SPR BARRANQUILLA'!AF55,"AAAAAF9/uuU=")</f>
        <v>#VALUE!</v>
      </c>
      <c r="HW48" t="e">
        <f>AND('SPR BARRANQUILLA'!AG55,"AAAAAF9/uuY=")</f>
        <v>#VALUE!</v>
      </c>
      <c r="HX48" t="e">
        <f>AND('SPR BARRANQUILLA'!AH55,"AAAAAF9/uuc=")</f>
        <v>#VALUE!</v>
      </c>
      <c r="HY48" t="e">
        <f>AND('SPR BARRANQUILLA'!AI55,"AAAAAF9/uug=")</f>
        <v>#VALUE!</v>
      </c>
      <c r="HZ48" t="e">
        <f>AND('SPR BARRANQUILLA'!AJ55,"AAAAAF9/uuk=")</f>
        <v>#VALUE!</v>
      </c>
      <c r="IA48" t="e">
        <f>AND('SPR BARRANQUILLA'!AK55,"AAAAAF9/uuo=")</f>
        <v>#VALUE!</v>
      </c>
      <c r="IB48" t="e">
        <f>AND('SPR BARRANQUILLA'!AL55,"AAAAAF9/uus=")</f>
        <v>#VALUE!</v>
      </c>
      <c r="IC48" t="e">
        <f>AND('SPR BARRANQUILLA'!AM55,"AAAAAF9/uuw=")</f>
        <v>#VALUE!</v>
      </c>
      <c r="ID48" t="e">
        <f>AND('SPR BARRANQUILLA'!AN55,"AAAAAF9/uu0=")</f>
        <v>#VALUE!</v>
      </c>
      <c r="IE48" t="e">
        <f>AND('SPR BARRANQUILLA'!AO55,"AAAAAF9/uu4=")</f>
        <v>#VALUE!</v>
      </c>
      <c r="IF48" t="e">
        <f>AND('SPR BARRANQUILLA'!AP55,"AAAAAF9/uu8=")</f>
        <v>#VALUE!</v>
      </c>
      <c r="IG48" t="e">
        <f>AND('SPR BARRANQUILLA'!AQ55,"AAAAAF9/uvA=")</f>
        <v>#VALUE!</v>
      </c>
      <c r="IH48" t="e">
        <f>AND('SPR BARRANQUILLA'!AR55,"AAAAAF9/uvE=")</f>
        <v>#VALUE!</v>
      </c>
      <c r="II48" t="e">
        <f>AND('SPR BARRANQUILLA'!AS55,"AAAAAF9/uvI=")</f>
        <v>#VALUE!</v>
      </c>
      <c r="IJ48" t="e">
        <f>AND('SPR BARRANQUILLA'!AT55,"AAAAAF9/uvM=")</f>
        <v>#VALUE!</v>
      </c>
      <c r="IK48" t="e">
        <f>AND('SPR BARRANQUILLA'!AU55,"AAAAAF9/uvQ=")</f>
        <v>#VALUE!</v>
      </c>
      <c r="IL48" t="e">
        <f>AND('SPR BARRANQUILLA'!AV55,"AAAAAF9/uvU=")</f>
        <v>#VALUE!</v>
      </c>
      <c r="IM48" t="e">
        <f>AND('SPR BARRANQUILLA'!AW55,"AAAAAF9/uvY=")</f>
        <v>#VALUE!</v>
      </c>
      <c r="IN48" t="e">
        <f>AND('SPR BARRANQUILLA'!AX55,"AAAAAF9/uvc=")</f>
        <v>#VALUE!</v>
      </c>
      <c r="IO48" t="e">
        <f>AND('SPR BARRANQUILLA'!AY55,"AAAAAF9/uvg=")</f>
        <v>#VALUE!</v>
      </c>
      <c r="IP48" t="e">
        <f>AND('SPR BARRANQUILLA'!AZ55,"AAAAAF9/uvk=")</f>
        <v>#VALUE!</v>
      </c>
      <c r="IQ48" t="e">
        <f>AND('SPR BARRANQUILLA'!BA55,"AAAAAF9/uvo=")</f>
        <v>#VALUE!</v>
      </c>
      <c r="IR48" t="e">
        <f>AND('SPR BARRANQUILLA'!BB55,"AAAAAF9/uvs=")</f>
        <v>#VALUE!</v>
      </c>
      <c r="IS48" t="e">
        <f>AND('SPR BARRANQUILLA'!BC55,"AAAAAF9/uvw=")</f>
        <v>#VALUE!</v>
      </c>
      <c r="IT48" t="e">
        <f>AND('SPR BARRANQUILLA'!BD55,"AAAAAF9/uv0=")</f>
        <v>#VALUE!</v>
      </c>
      <c r="IU48" t="e">
        <f>AND('SPR BARRANQUILLA'!BE55,"AAAAAF9/uv4=")</f>
        <v>#VALUE!</v>
      </c>
      <c r="IV48" t="e">
        <f>AND('SPR BARRANQUILLA'!BF55,"AAAAAF9/uv8=")</f>
        <v>#VALUE!</v>
      </c>
    </row>
    <row r="49" spans="1:256">
      <c r="A49" t="e">
        <f>AND('SPR BARRANQUILLA'!BG55,"AAAAAFdu6gA=")</f>
        <v>#VALUE!</v>
      </c>
      <c r="B49" t="e">
        <f>AND('SPR BARRANQUILLA'!BH55,"AAAAAFdu6gE=")</f>
        <v>#VALUE!</v>
      </c>
      <c r="C49" t="e">
        <f>AND('SPR BARRANQUILLA'!BI55,"AAAAAFdu6gI=")</f>
        <v>#VALUE!</v>
      </c>
      <c r="D49" t="e">
        <f>AND('SPR BARRANQUILLA'!BJ55,"AAAAAFdu6gM=")</f>
        <v>#VALUE!</v>
      </c>
      <c r="E49" t="e">
        <f>AND('SPR BARRANQUILLA'!BK55,"AAAAAFdu6gQ=")</f>
        <v>#VALUE!</v>
      </c>
      <c r="F49" t="e">
        <f>AND('SPR BARRANQUILLA'!BL55,"AAAAAFdu6gU=")</f>
        <v>#VALUE!</v>
      </c>
      <c r="G49" t="e">
        <f>AND('SPR BARRANQUILLA'!BM55,"AAAAAFdu6gY=")</f>
        <v>#VALUE!</v>
      </c>
      <c r="H49" t="e">
        <f>AND('SPR BARRANQUILLA'!BN55,"AAAAAFdu6gc=")</f>
        <v>#VALUE!</v>
      </c>
      <c r="I49" t="e">
        <f>AND('SPR BARRANQUILLA'!BO55,"AAAAAFdu6gg=")</f>
        <v>#VALUE!</v>
      </c>
      <c r="J49" t="e">
        <f>AND('SPR BARRANQUILLA'!BP55,"AAAAAFdu6gk=")</f>
        <v>#VALUE!</v>
      </c>
      <c r="K49" t="e">
        <f>AND('SPR BARRANQUILLA'!BQ55,"AAAAAFdu6go=")</f>
        <v>#VALUE!</v>
      </c>
      <c r="L49" t="e">
        <f>AND('SPR BARRANQUILLA'!BR55,"AAAAAFdu6gs=")</f>
        <v>#VALUE!</v>
      </c>
      <c r="M49" t="e">
        <f>AND('SPR BARRANQUILLA'!BS55,"AAAAAFdu6gw=")</f>
        <v>#VALUE!</v>
      </c>
      <c r="N49" t="e">
        <f>AND('SPR BARRANQUILLA'!BT55,"AAAAAFdu6g0=")</f>
        <v>#VALUE!</v>
      </c>
      <c r="O49" t="e">
        <f>AND('SPR BARRANQUILLA'!BU55,"AAAAAFdu6g4=")</f>
        <v>#VALUE!</v>
      </c>
      <c r="P49" t="e">
        <f>AND('SPR BARRANQUILLA'!BV55,"AAAAAFdu6g8=")</f>
        <v>#VALUE!</v>
      </c>
      <c r="Q49" t="e">
        <f>AND('SPR BARRANQUILLA'!BW55,"AAAAAFdu6hA=")</f>
        <v>#VALUE!</v>
      </c>
      <c r="R49" t="e">
        <f>AND('SPR BARRANQUILLA'!BX55,"AAAAAFdu6hE=")</f>
        <v>#VALUE!</v>
      </c>
      <c r="S49" t="e">
        <f>AND('SPR BARRANQUILLA'!BY55,"AAAAAFdu6hI=")</f>
        <v>#VALUE!</v>
      </c>
      <c r="T49" t="e">
        <f>AND('SPR BARRANQUILLA'!BZ55,"AAAAAFdu6hM=")</f>
        <v>#VALUE!</v>
      </c>
      <c r="U49" t="e">
        <f>AND('SPR BARRANQUILLA'!CA55,"AAAAAFdu6hQ=")</f>
        <v>#VALUE!</v>
      </c>
      <c r="V49" t="e">
        <f>AND('SPR BARRANQUILLA'!CB55,"AAAAAFdu6hU=")</f>
        <v>#VALUE!</v>
      </c>
      <c r="W49" t="e">
        <f>AND('SPR BARRANQUILLA'!CC55,"AAAAAFdu6hY=")</f>
        <v>#VALUE!</v>
      </c>
      <c r="X49" t="e">
        <f>AND('SPR BARRANQUILLA'!CD55,"AAAAAFdu6hc=")</f>
        <v>#VALUE!</v>
      </c>
      <c r="Y49" t="e">
        <f>AND('SPR BARRANQUILLA'!CE55,"AAAAAFdu6hg=")</f>
        <v>#VALUE!</v>
      </c>
      <c r="Z49" t="e">
        <f>AND('SPR BARRANQUILLA'!CF55,"AAAAAFdu6hk=")</f>
        <v>#VALUE!</v>
      </c>
      <c r="AA49" t="e">
        <f>AND('SPR BARRANQUILLA'!CG55,"AAAAAFdu6ho=")</f>
        <v>#VALUE!</v>
      </c>
      <c r="AB49" t="e">
        <f>AND('SPR BARRANQUILLA'!CH55,"AAAAAFdu6hs=")</f>
        <v>#VALUE!</v>
      </c>
      <c r="AC49" t="e">
        <f>AND('SPR BARRANQUILLA'!CI55,"AAAAAFdu6hw=")</f>
        <v>#VALUE!</v>
      </c>
      <c r="AD49" t="e">
        <f>AND('SPR BARRANQUILLA'!CJ55,"AAAAAFdu6h0=")</f>
        <v>#VALUE!</v>
      </c>
      <c r="AE49" t="e">
        <f>AND('SPR BARRANQUILLA'!CK55,"AAAAAFdu6h4=")</f>
        <v>#VALUE!</v>
      </c>
      <c r="AF49" t="e">
        <f>AND('SPR BARRANQUILLA'!CL55,"AAAAAFdu6h8=")</f>
        <v>#VALUE!</v>
      </c>
      <c r="AG49" t="e">
        <f>AND('SPR BARRANQUILLA'!CM55,"AAAAAFdu6iA=")</f>
        <v>#VALUE!</v>
      </c>
      <c r="AH49" t="e">
        <f>AND('SPR BARRANQUILLA'!CN55,"AAAAAFdu6iE=")</f>
        <v>#VALUE!</v>
      </c>
      <c r="AI49" t="e">
        <f>AND('SPR BARRANQUILLA'!CO55,"AAAAAFdu6iI=")</f>
        <v>#VALUE!</v>
      </c>
      <c r="AJ49" t="e">
        <f>AND('SPR BARRANQUILLA'!CP55,"AAAAAFdu6iM=")</f>
        <v>#VALUE!</v>
      </c>
      <c r="AK49" t="e">
        <f>AND('SPR BARRANQUILLA'!CQ55,"AAAAAFdu6iQ=")</f>
        <v>#VALUE!</v>
      </c>
      <c r="AL49" t="e">
        <f>AND('SPR BARRANQUILLA'!CR55,"AAAAAFdu6iU=")</f>
        <v>#VALUE!</v>
      </c>
      <c r="AM49" t="e">
        <f>AND('SPR BARRANQUILLA'!CS55,"AAAAAFdu6iY=")</f>
        <v>#VALUE!</v>
      </c>
      <c r="AN49" t="e">
        <f>AND('SPR BARRANQUILLA'!CT55,"AAAAAFdu6ic=")</f>
        <v>#VALUE!</v>
      </c>
      <c r="AO49" t="e">
        <f>AND('SPR BARRANQUILLA'!CU55,"AAAAAFdu6ig=")</f>
        <v>#VALUE!</v>
      </c>
      <c r="AP49" t="e">
        <f>AND('SPR BARRANQUILLA'!CV55,"AAAAAFdu6ik=")</f>
        <v>#VALUE!</v>
      </c>
      <c r="AQ49" t="e">
        <f>AND('SPR BARRANQUILLA'!CW55,"AAAAAFdu6io=")</f>
        <v>#VALUE!</v>
      </c>
      <c r="AR49" t="e">
        <f>AND('SPR BARRANQUILLA'!CX55,"AAAAAFdu6is=")</f>
        <v>#VALUE!</v>
      </c>
      <c r="AS49" t="e">
        <f>AND('SPR BARRANQUILLA'!CY55,"AAAAAFdu6iw=")</f>
        <v>#VALUE!</v>
      </c>
      <c r="AT49" t="e">
        <f>AND('SPR BARRANQUILLA'!CZ55,"AAAAAFdu6i0=")</f>
        <v>#VALUE!</v>
      </c>
      <c r="AU49" t="e">
        <f>AND('SPR BARRANQUILLA'!DA55,"AAAAAFdu6i4=")</f>
        <v>#VALUE!</v>
      </c>
      <c r="AV49" t="e">
        <f>AND('SPR BARRANQUILLA'!DB55,"AAAAAFdu6i8=")</f>
        <v>#VALUE!</v>
      </c>
      <c r="AW49" t="e">
        <f>AND('SPR BARRANQUILLA'!DC55,"AAAAAFdu6jA=")</f>
        <v>#VALUE!</v>
      </c>
      <c r="AX49" t="e">
        <f>AND('SPR BARRANQUILLA'!DD55,"AAAAAFdu6jE=")</f>
        <v>#VALUE!</v>
      </c>
      <c r="AY49" t="e">
        <f>AND('SPR BARRANQUILLA'!DE55,"AAAAAFdu6jI=")</f>
        <v>#VALUE!</v>
      </c>
      <c r="AZ49" t="e">
        <f>AND('SPR BARRANQUILLA'!DF55,"AAAAAFdu6jM=")</f>
        <v>#VALUE!</v>
      </c>
      <c r="BA49" t="e">
        <f>AND('SPR BARRANQUILLA'!DG55,"AAAAAFdu6jQ=")</f>
        <v>#VALUE!</v>
      </c>
      <c r="BB49" t="e">
        <f>AND('SPR BARRANQUILLA'!DH55,"AAAAAFdu6jU=")</f>
        <v>#VALUE!</v>
      </c>
      <c r="BC49" t="e">
        <f>AND('SPR BARRANQUILLA'!DI55,"AAAAAFdu6jY=")</f>
        <v>#VALUE!</v>
      </c>
      <c r="BD49" t="e">
        <f>AND('SPR BARRANQUILLA'!DJ55,"AAAAAFdu6jc=")</f>
        <v>#VALUE!</v>
      </c>
      <c r="BE49" t="e">
        <f>AND('SPR BARRANQUILLA'!DK55,"AAAAAFdu6jg=")</f>
        <v>#VALUE!</v>
      </c>
      <c r="BF49" t="e">
        <f>AND('SPR BARRANQUILLA'!DL55,"AAAAAFdu6jk=")</f>
        <v>#VALUE!</v>
      </c>
      <c r="BG49" t="e">
        <f>AND('SPR BARRANQUILLA'!DM55,"AAAAAFdu6jo=")</f>
        <v>#VALUE!</v>
      </c>
      <c r="BH49" t="e">
        <f>AND('SPR BARRANQUILLA'!DN55,"AAAAAFdu6js=")</f>
        <v>#VALUE!</v>
      </c>
      <c r="BI49" t="e">
        <f>AND('SPR BARRANQUILLA'!DO55,"AAAAAFdu6jw=")</f>
        <v>#VALUE!</v>
      </c>
      <c r="BJ49" t="e">
        <f>AND('SPR BARRANQUILLA'!DP55,"AAAAAFdu6j0=")</f>
        <v>#VALUE!</v>
      </c>
      <c r="BK49" t="e">
        <f>AND('SPR BARRANQUILLA'!DQ55,"AAAAAFdu6j4=")</f>
        <v>#VALUE!</v>
      </c>
      <c r="BL49" t="e">
        <f>AND('SPR BARRANQUILLA'!DR55,"AAAAAFdu6j8=")</f>
        <v>#VALUE!</v>
      </c>
      <c r="BM49" t="e">
        <f>AND('SPR BARRANQUILLA'!DS55,"AAAAAFdu6kA=")</f>
        <v>#VALUE!</v>
      </c>
      <c r="BN49" t="e">
        <f>AND('SPR BARRANQUILLA'!DT55,"AAAAAFdu6kE=")</f>
        <v>#VALUE!</v>
      </c>
      <c r="BO49" t="e">
        <f>AND('SPR BARRANQUILLA'!DU55,"AAAAAFdu6kI=")</f>
        <v>#VALUE!</v>
      </c>
      <c r="BP49" t="e">
        <f>AND('SPR BARRANQUILLA'!DV55,"AAAAAFdu6kM=")</f>
        <v>#VALUE!</v>
      </c>
      <c r="BQ49" t="e">
        <f>AND('SPR BARRANQUILLA'!DW55,"AAAAAFdu6kQ=")</f>
        <v>#VALUE!</v>
      </c>
      <c r="BR49" t="e">
        <f>AND('SPR BARRANQUILLA'!DX55,"AAAAAFdu6kU=")</f>
        <v>#VALUE!</v>
      </c>
      <c r="BS49" t="e">
        <f>AND('SPR BARRANQUILLA'!DY55,"AAAAAFdu6kY=")</f>
        <v>#VALUE!</v>
      </c>
      <c r="BT49" t="e">
        <f>AND('SPR BARRANQUILLA'!DZ55,"AAAAAFdu6kc=")</f>
        <v>#VALUE!</v>
      </c>
      <c r="BU49" t="e">
        <f>AND('SPR BARRANQUILLA'!EA55,"AAAAAFdu6kg=")</f>
        <v>#VALUE!</v>
      </c>
      <c r="BV49" t="e">
        <f>AND('SPR BARRANQUILLA'!EB55,"AAAAAFdu6kk=")</f>
        <v>#VALUE!</v>
      </c>
      <c r="BW49" t="e">
        <f>AND('SPR BARRANQUILLA'!EC55,"AAAAAFdu6ko=")</f>
        <v>#VALUE!</v>
      </c>
      <c r="BX49" t="e">
        <f>AND('SPR BARRANQUILLA'!ED55,"AAAAAFdu6ks=")</f>
        <v>#VALUE!</v>
      </c>
      <c r="BY49" t="e">
        <f>AND('SPR BARRANQUILLA'!EE55,"AAAAAFdu6kw=")</f>
        <v>#VALUE!</v>
      </c>
      <c r="BZ49" t="e">
        <f>AND('SPR BARRANQUILLA'!EF55,"AAAAAFdu6k0=")</f>
        <v>#VALUE!</v>
      </c>
      <c r="CA49" t="e">
        <f>AND('SPR BARRANQUILLA'!EG55,"AAAAAFdu6k4=")</f>
        <v>#VALUE!</v>
      </c>
      <c r="CB49" t="e">
        <f>AND('SPR BARRANQUILLA'!EH55,"AAAAAFdu6k8=")</f>
        <v>#VALUE!</v>
      </c>
      <c r="CC49" t="e">
        <f>AND('SPR BARRANQUILLA'!EI55,"AAAAAFdu6lA=")</f>
        <v>#VALUE!</v>
      </c>
      <c r="CD49" t="e">
        <f>AND('SPR BARRANQUILLA'!EJ55,"AAAAAFdu6lE=")</f>
        <v>#VALUE!</v>
      </c>
      <c r="CE49" t="e">
        <f>AND('SPR BARRANQUILLA'!EK55,"AAAAAFdu6lI=")</f>
        <v>#VALUE!</v>
      </c>
      <c r="CF49" t="e">
        <f>AND('SPR BARRANQUILLA'!EL55,"AAAAAFdu6lM=")</f>
        <v>#VALUE!</v>
      </c>
      <c r="CG49" t="e">
        <f>AND('SPR BARRANQUILLA'!EM55,"AAAAAFdu6lQ=")</f>
        <v>#VALUE!</v>
      </c>
      <c r="CH49" t="e">
        <f>AND('SPR BARRANQUILLA'!EN55,"AAAAAFdu6lU=")</f>
        <v>#VALUE!</v>
      </c>
      <c r="CI49" t="e">
        <f>AND('SPR BARRANQUILLA'!EO55,"AAAAAFdu6lY=")</f>
        <v>#VALUE!</v>
      </c>
      <c r="CJ49" t="e">
        <f>AND('SPR BARRANQUILLA'!EP55,"AAAAAFdu6lc=")</f>
        <v>#VALUE!</v>
      </c>
      <c r="CK49" t="e">
        <f>AND('SPR BARRANQUILLA'!EQ55,"AAAAAFdu6lg=")</f>
        <v>#VALUE!</v>
      </c>
      <c r="CL49" t="e">
        <f>AND('SPR BARRANQUILLA'!ER55,"AAAAAFdu6lk=")</f>
        <v>#VALUE!</v>
      </c>
      <c r="CM49" t="e">
        <f>AND('SPR BARRANQUILLA'!ES55,"AAAAAFdu6lo=")</f>
        <v>#VALUE!</v>
      </c>
      <c r="CN49" t="e">
        <f>AND('SPR BARRANQUILLA'!ET55,"AAAAAFdu6ls=")</f>
        <v>#VALUE!</v>
      </c>
      <c r="CO49" t="e">
        <f>AND('SPR BARRANQUILLA'!EU55,"AAAAAFdu6lw=")</f>
        <v>#VALUE!</v>
      </c>
      <c r="CP49" t="e">
        <f>AND('SPR BARRANQUILLA'!EV55,"AAAAAFdu6l0=")</f>
        <v>#VALUE!</v>
      </c>
      <c r="CQ49" t="e">
        <f>AND('SPR BARRANQUILLA'!EW55,"AAAAAFdu6l4=")</f>
        <v>#VALUE!</v>
      </c>
      <c r="CR49" t="e">
        <f>AND('SPR BARRANQUILLA'!EX55,"AAAAAFdu6l8=")</f>
        <v>#VALUE!</v>
      </c>
      <c r="CS49" t="e">
        <f>AND('SPR BARRANQUILLA'!EY55,"AAAAAFdu6mA=")</f>
        <v>#VALUE!</v>
      </c>
      <c r="CT49" t="e">
        <f>AND('SPR BARRANQUILLA'!EZ55,"AAAAAFdu6mE=")</f>
        <v>#VALUE!</v>
      </c>
      <c r="CU49" t="e">
        <f>AND('SPR BARRANQUILLA'!FA55,"AAAAAFdu6mI=")</f>
        <v>#VALUE!</v>
      </c>
      <c r="CV49" t="e">
        <f>AND('SPR BARRANQUILLA'!FB55,"AAAAAFdu6mM=")</f>
        <v>#VALUE!</v>
      </c>
      <c r="CW49" t="e">
        <f>AND('SPR BARRANQUILLA'!FC55,"AAAAAFdu6mQ=")</f>
        <v>#VALUE!</v>
      </c>
      <c r="CX49" t="e">
        <f>AND('SPR BARRANQUILLA'!FD55,"AAAAAFdu6mU=")</f>
        <v>#VALUE!</v>
      </c>
      <c r="CY49" t="e">
        <f>AND('SPR BARRANQUILLA'!FE55,"AAAAAFdu6mY=")</f>
        <v>#VALUE!</v>
      </c>
      <c r="CZ49" t="e">
        <f>AND('SPR BARRANQUILLA'!FF55,"AAAAAFdu6mc=")</f>
        <v>#VALUE!</v>
      </c>
      <c r="DA49" t="e">
        <f>AND('SPR BARRANQUILLA'!FG55,"AAAAAFdu6mg=")</f>
        <v>#VALUE!</v>
      </c>
      <c r="DB49" t="e">
        <f>AND('SPR BARRANQUILLA'!FH55,"AAAAAFdu6mk=")</f>
        <v>#VALUE!</v>
      </c>
      <c r="DC49" t="e">
        <f>AND('SPR BARRANQUILLA'!FI55,"AAAAAFdu6mo=")</f>
        <v>#VALUE!</v>
      </c>
      <c r="DD49" t="e">
        <f>AND('SPR BARRANQUILLA'!FJ55,"AAAAAFdu6ms=")</f>
        <v>#VALUE!</v>
      </c>
      <c r="DE49" t="e">
        <f>AND('SPR BARRANQUILLA'!FK55,"AAAAAFdu6mw=")</f>
        <v>#VALUE!</v>
      </c>
      <c r="DF49" t="e">
        <f>AND('SPR BARRANQUILLA'!FL55,"AAAAAFdu6m0=")</f>
        <v>#VALUE!</v>
      </c>
      <c r="DG49" t="e">
        <f>AND('SPR BARRANQUILLA'!FM55,"AAAAAFdu6m4=")</f>
        <v>#VALUE!</v>
      </c>
      <c r="DH49" t="e">
        <f>AND('SPR BARRANQUILLA'!FN55,"AAAAAFdu6m8=")</f>
        <v>#VALUE!</v>
      </c>
      <c r="DI49" t="e">
        <f>AND('SPR BARRANQUILLA'!FO55,"AAAAAFdu6nA=")</f>
        <v>#VALUE!</v>
      </c>
      <c r="DJ49" t="e">
        <f>AND('SPR BARRANQUILLA'!FP55,"AAAAAFdu6nE=")</f>
        <v>#VALUE!</v>
      </c>
      <c r="DK49" t="e">
        <f>AND('SPR BARRANQUILLA'!FQ55,"AAAAAFdu6nI=")</f>
        <v>#VALUE!</v>
      </c>
      <c r="DL49" t="e">
        <f>AND('SPR BARRANQUILLA'!FR55,"AAAAAFdu6nM=")</f>
        <v>#VALUE!</v>
      </c>
      <c r="DM49" t="e">
        <f>AND('SPR BARRANQUILLA'!FS55,"AAAAAFdu6nQ=")</f>
        <v>#VALUE!</v>
      </c>
      <c r="DN49" t="e">
        <f>AND('SPR BARRANQUILLA'!FT55,"AAAAAFdu6nU=")</f>
        <v>#VALUE!</v>
      </c>
      <c r="DO49" t="e">
        <f>AND('SPR BARRANQUILLA'!FU55,"AAAAAFdu6nY=")</f>
        <v>#VALUE!</v>
      </c>
      <c r="DP49" t="e">
        <f>AND('SPR BARRANQUILLA'!FV55,"AAAAAFdu6nc=")</f>
        <v>#VALUE!</v>
      </c>
      <c r="DQ49" t="e">
        <f>AND('SPR BARRANQUILLA'!FW55,"AAAAAFdu6ng=")</f>
        <v>#VALUE!</v>
      </c>
      <c r="DR49" t="e">
        <f>AND('SPR BARRANQUILLA'!FX55,"AAAAAFdu6nk=")</f>
        <v>#VALUE!</v>
      </c>
      <c r="DS49" t="e">
        <f>AND('SPR BARRANQUILLA'!FY55,"AAAAAFdu6no=")</f>
        <v>#VALUE!</v>
      </c>
      <c r="DT49" t="e">
        <f>AND('SPR BARRANQUILLA'!FZ55,"AAAAAFdu6ns=")</f>
        <v>#VALUE!</v>
      </c>
      <c r="DU49" t="e">
        <f>AND('SPR BARRANQUILLA'!GA55,"AAAAAFdu6nw=")</f>
        <v>#VALUE!</v>
      </c>
      <c r="DV49" t="e">
        <f>AND('SPR BARRANQUILLA'!GB55,"AAAAAFdu6n0=")</f>
        <v>#VALUE!</v>
      </c>
      <c r="DW49" t="e">
        <f>AND('SPR BARRANQUILLA'!GC55,"AAAAAFdu6n4=")</f>
        <v>#VALUE!</v>
      </c>
      <c r="DX49" t="e">
        <f>AND('SPR BARRANQUILLA'!GD55,"AAAAAFdu6n8=")</f>
        <v>#VALUE!</v>
      </c>
      <c r="DY49" t="e">
        <f>AND('SPR BARRANQUILLA'!GE55,"AAAAAFdu6oA=")</f>
        <v>#VALUE!</v>
      </c>
      <c r="DZ49" t="e">
        <f>AND('SPR BARRANQUILLA'!GF55,"AAAAAFdu6oE=")</f>
        <v>#VALUE!</v>
      </c>
      <c r="EA49" t="e">
        <f>AND('SPR BARRANQUILLA'!GG55,"AAAAAFdu6oI=")</f>
        <v>#VALUE!</v>
      </c>
      <c r="EB49" t="e">
        <f>AND('SPR BARRANQUILLA'!GH55,"AAAAAFdu6oM=")</f>
        <v>#VALUE!</v>
      </c>
      <c r="EC49" t="e">
        <f>AND('SPR BARRANQUILLA'!GI55,"AAAAAFdu6oQ=")</f>
        <v>#VALUE!</v>
      </c>
      <c r="ED49" t="e">
        <f>AND('SPR BARRANQUILLA'!GJ55,"AAAAAFdu6oU=")</f>
        <v>#VALUE!</v>
      </c>
      <c r="EE49" t="e">
        <f>AND('SPR BARRANQUILLA'!GK55,"AAAAAFdu6oY=")</f>
        <v>#VALUE!</v>
      </c>
      <c r="EF49" t="e">
        <f>AND('SPR BARRANQUILLA'!GL55,"AAAAAFdu6oc=")</f>
        <v>#VALUE!</v>
      </c>
      <c r="EG49" t="e">
        <f>AND('SPR BARRANQUILLA'!GM55,"AAAAAFdu6og=")</f>
        <v>#VALUE!</v>
      </c>
      <c r="EH49" t="e">
        <f>AND('SPR BARRANQUILLA'!GN55,"AAAAAFdu6ok=")</f>
        <v>#VALUE!</v>
      </c>
      <c r="EI49" t="e">
        <f>AND('SPR BARRANQUILLA'!GO55,"AAAAAFdu6oo=")</f>
        <v>#VALUE!</v>
      </c>
      <c r="EJ49" t="e">
        <f>AND('SPR BARRANQUILLA'!GP55,"AAAAAFdu6os=")</f>
        <v>#VALUE!</v>
      </c>
      <c r="EK49" t="e">
        <f>AND('SPR BARRANQUILLA'!GQ55,"AAAAAFdu6ow=")</f>
        <v>#VALUE!</v>
      </c>
      <c r="EL49" t="e">
        <f>AND('SPR BARRANQUILLA'!GR55,"AAAAAFdu6o0=")</f>
        <v>#VALUE!</v>
      </c>
      <c r="EM49" t="e">
        <f>AND('SPR BARRANQUILLA'!GS55,"AAAAAFdu6o4=")</f>
        <v>#VALUE!</v>
      </c>
      <c r="EN49" t="e">
        <f>AND('SPR BARRANQUILLA'!GT55,"AAAAAFdu6o8=")</f>
        <v>#VALUE!</v>
      </c>
      <c r="EO49" t="e">
        <f>AND('SPR BARRANQUILLA'!GU55,"AAAAAFdu6pA=")</f>
        <v>#VALUE!</v>
      </c>
      <c r="EP49" t="e">
        <f>AND('SPR BARRANQUILLA'!GV55,"AAAAAFdu6pE=")</f>
        <v>#VALUE!</v>
      </c>
      <c r="EQ49" t="e">
        <f>AND('SPR BARRANQUILLA'!GW55,"AAAAAFdu6pI=")</f>
        <v>#VALUE!</v>
      </c>
      <c r="ER49" t="e">
        <f>AND('SPR BARRANQUILLA'!GX55,"AAAAAFdu6pM=")</f>
        <v>#VALUE!</v>
      </c>
      <c r="ES49" t="e">
        <f>AND('SPR BARRANQUILLA'!GY55,"AAAAAFdu6pQ=")</f>
        <v>#VALUE!</v>
      </c>
      <c r="ET49">
        <f>IF('SPR BARRANQUILLA'!56:56,"AAAAAFdu6pU=",0)</f>
        <v>0</v>
      </c>
      <c r="EU49" t="e">
        <f>AND('SPR BARRANQUILLA'!A56,"AAAAAFdu6pY=")</f>
        <v>#VALUE!</v>
      </c>
      <c r="EV49" t="e">
        <f>AND('SPR BARRANQUILLA'!B56,"AAAAAFdu6pc=")</f>
        <v>#VALUE!</v>
      </c>
      <c r="EW49" t="e">
        <f>AND('SPR BARRANQUILLA'!C56,"AAAAAFdu6pg=")</f>
        <v>#VALUE!</v>
      </c>
      <c r="EX49" t="e">
        <f>AND('SPR BARRANQUILLA'!D56,"AAAAAFdu6pk=")</f>
        <v>#VALUE!</v>
      </c>
      <c r="EY49" t="e">
        <f>AND('SPR BARRANQUILLA'!E56,"AAAAAFdu6po=")</f>
        <v>#VALUE!</v>
      </c>
      <c r="EZ49" t="e">
        <f>AND('SPR BARRANQUILLA'!F56,"AAAAAFdu6ps=")</f>
        <v>#VALUE!</v>
      </c>
      <c r="FA49" t="e">
        <f>AND('SPR BARRANQUILLA'!G56,"AAAAAFdu6pw=")</f>
        <v>#VALUE!</v>
      </c>
      <c r="FB49" t="e">
        <f>AND('SPR BARRANQUILLA'!H56,"AAAAAFdu6p0=")</f>
        <v>#VALUE!</v>
      </c>
      <c r="FC49" t="e">
        <f>AND('SPR BARRANQUILLA'!I56,"AAAAAFdu6p4=")</f>
        <v>#VALUE!</v>
      </c>
      <c r="FD49" t="e">
        <f>AND('SPR BARRANQUILLA'!J56,"AAAAAFdu6p8=")</f>
        <v>#VALUE!</v>
      </c>
      <c r="FE49" t="e">
        <f>AND('SPR BARRANQUILLA'!K56,"AAAAAFdu6qA=")</f>
        <v>#VALUE!</v>
      </c>
      <c r="FF49" t="e">
        <f>AND('SPR BARRANQUILLA'!L56,"AAAAAFdu6qE=")</f>
        <v>#VALUE!</v>
      </c>
      <c r="FG49" t="e">
        <f>AND('SPR BARRANQUILLA'!M56,"AAAAAFdu6qI=")</f>
        <v>#VALUE!</v>
      </c>
      <c r="FH49" t="e">
        <f>AND('SPR BARRANQUILLA'!N56,"AAAAAFdu6qM=")</f>
        <v>#VALUE!</v>
      </c>
      <c r="FI49" t="e">
        <f>AND('SPR BARRANQUILLA'!O56,"AAAAAFdu6qQ=")</f>
        <v>#VALUE!</v>
      </c>
      <c r="FJ49" t="e">
        <f>AND('SPR BARRANQUILLA'!P56,"AAAAAFdu6qU=")</f>
        <v>#VALUE!</v>
      </c>
      <c r="FK49" t="e">
        <f>AND('SPR BARRANQUILLA'!Q56,"AAAAAFdu6qY=")</f>
        <v>#VALUE!</v>
      </c>
      <c r="FL49" t="e">
        <f>AND('SPR BARRANQUILLA'!R56,"AAAAAFdu6qc=")</f>
        <v>#VALUE!</v>
      </c>
      <c r="FM49" t="e">
        <f>AND('SPR BARRANQUILLA'!S56,"AAAAAFdu6qg=")</f>
        <v>#VALUE!</v>
      </c>
      <c r="FN49" t="e">
        <f>AND('SPR BARRANQUILLA'!T56,"AAAAAFdu6qk=")</f>
        <v>#VALUE!</v>
      </c>
      <c r="FO49" t="e">
        <f>AND('SPR BARRANQUILLA'!U56,"AAAAAFdu6qo=")</f>
        <v>#VALUE!</v>
      </c>
      <c r="FP49" t="e">
        <f>AND('SPR BARRANQUILLA'!V56,"AAAAAFdu6qs=")</f>
        <v>#VALUE!</v>
      </c>
      <c r="FQ49" t="e">
        <f>AND('SPR BARRANQUILLA'!W56,"AAAAAFdu6qw=")</f>
        <v>#VALUE!</v>
      </c>
      <c r="FR49" t="e">
        <f>AND('SPR BARRANQUILLA'!X56,"AAAAAFdu6q0=")</f>
        <v>#VALUE!</v>
      </c>
      <c r="FS49" t="e">
        <f>AND('SPR BARRANQUILLA'!Y56,"AAAAAFdu6q4=")</f>
        <v>#VALUE!</v>
      </c>
      <c r="FT49" t="e">
        <f>AND('SPR BARRANQUILLA'!Z56,"AAAAAFdu6q8=")</f>
        <v>#VALUE!</v>
      </c>
      <c r="FU49" t="e">
        <f>AND('SPR BARRANQUILLA'!AA56,"AAAAAFdu6rA=")</f>
        <v>#VALUE!</v>
      </c>
      <c r="FV49" t="e">
        <f>AND('SPR BARRANQUILLA'!AB56,"AAAAAFdu6rE=")</f>
        <v>#VALUE!</v>
      </c>
      <c r="FW49" t="e">
        <f>AND('SPR BARRANQUILLA'!AC56,"AAAAAFdu6rI=")</f>
        <v>#VALUE!</v>
      </c>
      <c r="FX49" t="e">
        <f>AND('SPR BARRANQUILLA'!AD56,"AAAAAFdu6rM=")</f>
        <v>#VALUE!</v>
      </c>
      <c r="FY49" t="e">
        <f>AND('SPR BARRANQUILLA'!AE56,"AAAAAFdu6rQ=")</f>
        <v>#VALUE!</v>
      </c>
      <c r="FZ49" t="e">
        <f>AND('SPR BARRANQUILLA'!AF56,"AAAAAFdu6rU=")</f>
        <v>#VALUE!</v>
      </c>
      <c r="GA49" t="e">
        <f>AND('SPR BARRANQUILLA'!AG56,"AAAAAFdu6rY=")</f>
        <v>#VALUE!</v>
      </c>
      <c r="GB49" t="e">
        <f>AND('SPR BARRANQUILLA'!AH56,"AAAAAFdu6rc=")</f>
        <v>#VALUE!</v>
      </c>
      <c r="GC49" t="e">
        <f>AND('SPR BARRANQUILLA'!AI56,"AAAAAFdu6rg=")</f>
        <v>#VALUE!</v>
      </c>
      <c r="GD49" t="e">
        <f>AND('SPR BARRANQUILLA'!AJ56,"AAAAAFdu6rk=")</f>
        <v>#VALUE!</v>
      </c>
      <c r="GE49" t="e">
        <f>AND('SPR BARRANQUILLA'!AK56,"AAAAAFdu6ro=")</f>
        <v>#VALUE!</v>
      </c>
      <c r="GF49" t="e">
        <f>AND('SPR BARRANQUILLA'!AL56,"AAAAAFdu6rs=")</f>
        <v>#VALUE!</v>
      </c>
      <c r="GG49" t="e">
        <f>AND('SPR BARRANQUILLA'!AM56,"AAAAAFdu6rw=")</f>
        <v>#VALUE!</v>
      </c>
      <c r="GH49" t="e">
        <f>AND('SPR BARRANQUILLA'!AN56,"AAAAAFdu6r0=")</f>
        <v>#VALUE!</v>
      </c>
      <c r="GI49" t="e">
        <f>AND('SPR BARRANQUILLA'!AO56,"AAAAAFdu6r4=")</f>
        <v>#VALUE!</v>
      </c>
      <c r="GJ49" t="e">
        <f>AND('SPR BARRANQUILLA'!AP56,"AAAAAFdu6r8=")</f>
        <v>#VALUE!</v>
      </c>
      <c r="GK49" t="e">
        <f>AND('SPR BARRANQUILLA'!AQ56,"AAAAAFdu6sA=")</f>
        <v>#VALUE!</v>
      </c>
      <c r="GL49" t="e">
        <f>AND('SPR BARRANQUILLA'!AR56,"AAAAAFdu6sE=")</f>
        <v>#VALUE!</v>
      </c>
      <c r="GM49" t="e">
        <f>AND('SPR BARRANQUILLA'!AS56,"AAAAAFdu6sI=")</f>
        <v>#VALUE!</v>
      </c>
      <c r="GN49" t="e">
        <f>AND('SPR BARRANQUILLA'!AT56,"AAAAAFdu6sM=")</f>
        <v>#VALUE!</v>
      </c>
      <c r="GO49" t="e">
        <f>AND('SPR BARRANQUILLA'!AU56,"AAAAAFdu6sQ=")</f>
        <v>#VALUE!</v>
      </c>
      <c r="GP49" t="e">
        <f>AND('SPR BARRANQUILLA'!AV56,"AAAAAFdu6sU=")</f>
        <v>#VALUE!</v>
      </c>
      <c r="GQ49" t="e">
        <f>AND('SPR BARRANQUILLA'!AW56,"AAAAAFdu6sY=")</f>
        <v>#VALUE!</v>
      </c>
      <c r="GR49" t="e">
        <f>AND('SPR BARRANQUILLA'!AX56,"AAAAAFdu6sc=")</f>
        <v>#VALUE!</v>
      </c>
      <c r="GS49" t="e">
        <f>AND('SPR BARRANQUILLA'!AY56,"AAAAAFdu6sg=")</f>
        <v>#VALUE!</v>
      </c>
      <c r="GT49" t="e">
        <f>AND('SPR BARRANQUILLA'!AZ56,"AAAAAFdu6sk=")</f>
        <v>#VALUE!</v>
      </c>
      <c r="GU49" t="e">
        <f>AND('SPR BARRANQUILLA'!BA56,"AAAAAFdu6so=")</f>
        <v>#VALUE!</v>
      </c>
      <c r="GV49" t="e">
        <f>AND('SPR BARRANQUILLA'!BB56,"AAAAAFdu6ss=")</f>
        <v>#VALUE!</v>
      </c>
      <c r="GW49" t="e">
        <f>AND('SPR BARRANQUILLA'!BC56,"AAAAAFdu6sw=")</f>
        <v>#VALUE!</v>
      </c>
      <c r="GX49" t="e">
        <f>AND('SPR BARRANQUILLA'!BD56,"AAAAAFdu6s0=")</f>
        <v>#VALUE!</v>
      </c>
      <c r="GY49" t="e">
        <f>AND('SPR BARRANQUILLA'!BE56,"AAAAAFdu6s4=")</f>
        <v>#VALUE!</v>
      </c>
      <c r="GZ49" t="e">
        <f>AND('SPR BARRANQUILLA'!BF56,"AAAAAFdu6s8=")</f>
        <v>#VALUE!</v>
      </c>
      <c r="HA49" t="e">
        <f>AND('SPR BARRANQUILLA'!BG56,"AAAAAFdu6tA=")</f>
        <v>#VALUE!</v>
      </c>
      <c r="HB49" t="e">
        <f>AND('SPR BARRANQUILLA'!BH56,"AAAAAFdu6tE=")</f>
        <v>#VALUE!</v>
      </c>
      <c r="HC49" t="e">
        <f>AND('SPR BARRANQUILLA'!BI56,"AAAAAFdu6tI=")</f>
        <v>#VALUE!</v>
      </c>
      <c r="HD49" t="e">
        <f>AND('SPR BARRANQUILLA'!BJ56,"AAAAAFdu6tM=")</f>
        <v>#VALUE!</v>
      </c>
      <c r="HE49" t="e">
        <f>AND('SPR BARRANQUILLA'!BK56,"AAAAAFdu6tQ=")</f>
        <v>#VALUE!</v>
      </c>
      <c r="HF49" t="e">
        <f>AND('SPR BARRANQUILLA'!BL56,"AAAAAFdu6tU=")</f>
        <v>#VALUE!</v>
      </c>
      <c r="HG49" t="e">
        <f>AND('SPR BARRANQUILLA'!BM56,"AAAAAFdu6tY=")</f>
        <v>#VALUE!</v>
      </c>
      <c r="HH49" t="e">
        <f>AND('SPR BARRANQUILLA'!BN56,"AAAAAFdu6tc=")</f>
        <v>#VALUE!</v>
      </c>
      <c r="HI49" t="e">
        <f>AND('SPR BARRANQUILLA'!BO56,"AAAAAFdu6tg=")</f>
        <v>#VALUE!</v>
      </c>
      <c r="HJ49" t="e">
        <f>AND('SPR BARRANQUILLA'!BP56,"AAAAAFdu6tk=")</f>
        <v>#VALUE!</v>
      </c>
      <c r="HK49" t="e">
        <f>AND('SPR BARRANQUILLA'!BQ56,"AAAAAFdu6to=")</f>
        <v>#VALUE!</v>
      </c>
      <c r="HL49" t="e">
        <f>AND('SPR BARRANQUILLA'!BR56,"AAAAAFdu6ts=")</f>
        <v>#VALUE!</v>
      </c>
      <c r="HM49" t="e">
        <f>AND('SPR BARRANQUILLA'!BS56,"AAAAAFdu6tw=")</f>
        <v>#VALUE!</v>
      </c>
      <c r="HN49" t="e">
        <f>AND('SPR BARRANQUILLA'!BT56,"AAAAAFdu6t0=")</f>
        <v>#VALUE!</v>
      </c>
      <c r="HO49" t="e">
        <f>AND('SPR BARRANQUILLA'!BU56,"AAAAAFdu6t4=")</f>
        <v>#VALUE!</v>
      </c>
      <c r="HP49" t="e">
        <f>AND('SPR BARRANQUILLA'!BV56,"AAAAAFdu6t8=")</f>
        <v>#VALUE!</v>
      </c>
      <c r="HQ49" t="e">
        <f>AND('SPR BARRANQUILLA'!BW56,"AAAAAFdu6uA=")</f>
        <v>#VALUE!</v>
      </c>
      <c r="HR49" t="e">
        <f>AND('SPR BARRANQUILLA'!BX56,"AAAAAFdu6uE=")</f>
        <v>#VALUE!</v>
      </c>
      <c r="HS49" t="e">
        <f>AND('SPR BARRANQUILLA'!BY56,"AAAAAFdu6uI=")</f>
        <v>#VALUE!</v>
      </c>
      <c r="HT49" t="e">
        <f>AND('SPR BARRANQUILLA'!BZ56,"AAAAAFdu6uM=")</f>
        <v>#VALUE!</v>
      </c>
      <c r="HU49" t="e">
        <f>AND('SPR BARRANQUILLA'!CA56,"AAAAAFdu6uQ=")</f>
        <v>#VALUE!</v>
      </c>
      <c r="HV49" t="e">
        <f>AND('SPR BARRANQUILLA'!CB56,"AAAAAFdu6uU=")</f>
        <v>#VALUE!</v>
      </c>
      <c r="HW49" t="e">
        <f>AND('SPR BARRANQUILLA'!CC56,"AAAAAFdu6uY=")</f>
        <v>#VALUE!</v>
      </c>
      <c r="HX49" t="e">
        <f>AND('SPR BARRANQUILLA'!CD56,"AAAAAFdu6uc=")</f>
        <v>#VALUE!</v>
      </c>
      <c r="HY49" t="e">
        <f>AND('SPR BARRANQUILLA'!CE56,"AAAAAFdu6ug=")</f>
        <v>#VALUE!</v>
      </c>
      <c r="HZ49" t="e">
        <f>AND('SPR BARRANQUILLA'!CF56,"AAAAAFdu6uk=")</f>
        <v>#VALUE!</v>
      </c>
      <c r="IA49" t="e">
        <f>AND('SPR BARRANQUILLA'!CG56,"AAAAAFdu6uo=")</f>
        <v>#VALUE!</v>
      </c>
      <c r="IB49" t="e">
        <f>AND('SPR BARRANQUILLA'!CH56,"AAAAAFdu6us=")</f>
        <v>#VALUE!</v>
      </c>
      <c r="IC49" t="e">
        <f>AND('SPR BARRANQUILLA'!CI56,"AAAAAFdu6uw=")</f>
        <v>#VALUE!</v>
      </c>
      <c r="ID49" t="e">
        <f>AND('SPR BARRANQUILLA'!CJ56,"AAAAAFdu6u0=")</f>
        <v>#VALUE!</v>
      </c>
      <c r="IE49" t="e">
        <f>AND('SPR BARRANQUILLA'!CK56,"AAAAAFdu6u4=")</f>
        <v>#VALUE!</v>
      </c>
      <c r="IF49" t="e">
        <f>AND('SPR BARRANQUILLA'!CL56,"AAAAAFdu6u8=")</f>
        <v>#VALUE!</v>
      </c>
      <c r="IG49" t="e">
        <f>AND('SPR BARRANQUILLA'!CM56,"AAAAAFdu6vA=")</f>
        <v>#VALUE!</v>
      </c>
      <c r="IH49" t="e">
        <f>AND('SPR BARRANQUILLA'!CN56,"AAAAAFdu6vE=")</f>
        <v>#VALUE!</v>
      </c>
      <c r="II49" t="e">
        <f>AND('SPR BARRANQUILLA'!CO56,"AAAAAFdu6vI=")</f>
        <v>#VALUE!</v>
      </c>
      <c r="IJ49" t="e">
        <f>AND('SPR BARRANQUILLA'!CP56,"AAAAAFdu6vM=")</f>
        <v>#VALUE!</v>
      </c>
      <c r="IK49" t="e">
        <f>AND('SPR BARRANQUILLA'!CQ56,"AAAAAFdu6vQ=")</f>
        <v>#VALUE!</v>
      </c>
      <c r="IL49" t="e">
        <f>AND('SPR BARRANQUILLA'!CR56,"AAAAAFdu6vU=")</f>
        <v>#VALUE!</v>
      </c>
      <c r="IM49" t="e">
        <f>AND('SPR BARRANQUILLA'!CS56,"AAAAAFdu6vY=")</f>
        <v>#VALUE!</v>
      </c>
      <c r="IN49" t="e">
        <f>AND('SPR BARRANQUILLA'!CT56,"AAAAAFdu6vc=")</f>
        <v>#VALUE!</v>
      </c>
      <c r="IO49" t="e">
        <f>AND('SPR BARRANQUILLA'!CU56,"AAAAAFdu6vg=")</f>
        <v>#VALUE!</v>
      </c>
      <c r="IP49" t="e">
        <f>AND('SPR BARRANQUILLA'!CV56,"AAAAAFdu6vk=")</f>
        <v>#VALUE!</v>
      </c>
      <c r="IQ49" t="e">
        <f>AND('SPR BARRANQUILLA'!CW56,"AAAAAFdu6vo=")</f>
        <v>#VALUE!</v>
      </c>
      <c r="IR49" t="e">
        <f>AND('SPR BARRANQUILLA'!CX56,"AAAAAFdu6vs=")</f>
        <v>#VALUE!</v>
      </c>
      <c r="IS49" t="e">
        <f>AND('SPR BARRANQUILLA'!CY56,"AAAAAFdu6vw=")</f>
        <v>#VALUE!</v>
      </c>
      <c r="IT49" t="e">
        <f>AND('SPR BARRANQUILLA'!CZ56,"AAAAAFdu6v0=")</f>
        <v>#VALUE!</v>
      </c>
      <c r="IU49" t="e">
        <f>AND('SPR BARRANQUILLA'!DA56,"AAAAAFdu6v4=")</f>
        <v>#VALUE!</v>
      </c>
      <c r="IV49" t="e">
        <f>AND('SPR BARRANQUILLA'!DB56,"AAAAAFdu6v8=")</f>
        <v>#VALUE!</v>
      </c>
    </row>
    <row r="50" spans="1:256">
      <c r="A50" t="e">
        <f>AND('SPR BARRANQUILLA'!DC56,"AAAAAF/79wA=")</f>
        <v>#VALUE!</v>
      </c>
      <c r="B50" t="e">
        <f>AND('SPR BARRANQUILLA'!DD56,"AAAAAF/79wE=")</f>
        <v>#VALUE!</v>
      </c>
      <c r="C50" t="e">
        <f>AND('SPR BARRANQUILLA'!DE56,"AAAAAF/79wI=")</f>
        <v>#VALUE!</v>
      </c>
      <c r="D50" t="e">
        <f>AND('SPR BARRANQUILLA'!DF56,"AAAAAF/79wM=")</f>
        <v>#VALUE!</v>
      </c>
      <c r="E50" t="e">
        <f>AND('SPR BARRANQUILLA'!DG56,"AAAAAF/79wQ=")</f>
        <v>#VALUE!</v>
      </c>
      <c r="F50" t="e">
        <f>AND('SPR BARRANQUILLA'!DH56,"AAAAAF/79wU=")</f>
        <v>#VALUE!</v>
      </c>
      <c r="G50" t="e">
        <f>AND('SPR BARRANQUILLA'!DI56,"AAAAAF/79wY=")</f>
        <v>#VALUE!</v>
      </c>
      <c r="H50" t="e">
        <f>AND('SPR BARRANQUILLA'!DJ56,"AAAAAF/79wc=")</f>
        <v>#VALUE!</v>
      </c>
      <c r="I50" t="e">
        <f>AND('SPR BARRANQUILLA'!DK56,"AAAAAF/79wg=")</f>
        <v>#VALUE!</v>
      </c>
      <c r="J50" t="e">
        <f>AND('SPR BARRANQUILLA'!DL56,"AAAAAF/79wk=")</f>
        <v>#VALUE!</v>
      </c>
      <c r="K50" t="e">
        <f>AND('SPR BARRANQUILLA'!DM56,"AAAAAF/79wo=")</f>
        <v>#VALUE!</v>
      </c>
      <c r="L50" t="e">
        <f>AND('SPR BARRANQUILLA'!DN56,"AAAAAF/79ws=")</f>
        <v>#VALUE!</v>
      </c>
      <c r="M50" t="e">
        <f>AND('SPR BARRANQUILLA'!DO56,"AAAAAF/79ww=")</f>
        <v>#VALUE!</v>
      </c>
      <c r="N50" t="e">
        <f>AND('SPR BARRANQUILLA'!DP56,"AAAAAF/79w0=")</f>
        <v>#VALUE!</v>
      </c>
      <c r="O50" t="e">
        <f>AND('SPR BARRANQUILLA'!DQ56,"AAAAAF/79w4=")</f>
        <v>#VALUE!</v>
      </c>
      <c r="P50" t="e">
        <f>AND('SPR BARRANQUILLA'!DR56,"AAAAAF/79w8=")</f>
        <v>#VALUE!</v>
      </c>
      <c r="Q50" t="e">
        <f>AND('SPR BARRANQUILLA'!DS56,"AAAAAF/79xA=")</f>
        <v>#VALUE!</v>
      </c>
      <c r="R50" t="e">
        <f>AND('SPR BARRANQUILLA'!DT56,"AAAAAF/79xE=")</f>
        <v>#VALUE!</v>
      </c>
      <c r="S50" t="e">
        <f>AND('SPR BARRANQUILLA'!DU56,"AAAAAF/79xI=")</f>
        <v>#VALUE!</v>
      </c>
      <c r="T50" t="e">
        <f>AND('SPR BARRANQUILLA'!DV56,"AAAAAF/79xM=")</f>
        <v>#VALUE!</v>
      </c>
      <c r="U50" t="e">
        <f>AND('SPR BARRANQUILLA'!DW56,"AAAAAF/79xQ=")</f>
        <v>#VALUE!</v>
      </c>
      <c r="V50" t="e">
        <f>AND('SPR BARRANQUILLA'!DX56,"AAAAAF/79xU=")</f>
        <v>#VALUE!</v>
      </c>
      <c r="W50" t="e">
        <f>AND('SPR BARRANQUILLA'!DY56,"AAAAAF/79xY=")</f>
        <v>#VALUE!</v>
      </c>
      <c r="X50" t="e">
        <f>AND('SPR BARRANQUILLA'!DZ56,"AAAAAF/79xc=")</f>
        <v>#VALUE!</v>
      </c>
      <c r="Y50" t="e">
        <f>AND('SPR BARRANQUILLA'!EA56,"AAAAAF/79xg=")</f>
        <v>#VALUE!</v>
      </c>
      <c r="Z50" t="e">
        <f>AND('SPR BARRANQUILLA'!EB56,"AAAAAF/79xk=")</f>
        <v>#VALUE!</v>
      </c>
      <c r="AA50" t="e">
        <f>AND('SPR BARRANQUILLA'!EC56,"AAAAAF/79xo=")</f>
        <v>#VALUE!</v>
      </c>
      <c r="AB50" t="e">
        <f>AND('SPR BARRANQUILLA'!ED56,"AAAAAF/79xs=")</f>
        <v>#VALUE!</v>
      </c>
      <c r="AC50" t="e">
        <f>AND('SPR BARRANQUILLA'!EE56,"AAAAAF/79xw=")</f>
        <v>#VALUE!</v>
      </c>
      <c r="AD50" t="e">
        <f>AND('SPR BARRANQUILLA'!EF56,"AAAAAF/79x0=")</f>
        <v>#VALUE!</v>
      </c>
      <c r="AE50" t="e">
        <f>AND('SPR BARRANQUILLA'!EG56,"AAAAAF/79x4=")</f>
        <v>#VALUE!</v>
      </c>
      <c r="AF50" t="e">
        <f>AND('SPR BARRANQUILLA'!EH56,"AAAAAF/79x8=")</f>
        <v>#VALUE!</v>
      </c>
      <c r="AG50" t="e">
        <f>AND('SPR BARRANQUILLA'!EI56,"AAAAAF/79yA=")</f>
        <v>#VALUE!</v>
      </c>
      <c r="AH50" t="e">
        <f>AND('SPR BARRANQUILLA'!EJ56,"AAAAAF/79yE=")</f>
        <v>#VALUE!</v>
      </c>
      <c r="AI50" t="e">
        <f>AND('SPR BARRANQUILLA'!EK56,"AAAAAF/79yI=")</f>
        <v>#VALUE!</v>
      </c>
      <c r="AJ50" t="e">
        <f>AND('SPR BARRANQUILLA'!EL56,"AAAAAF/79yM=")</f>
        <v>#VALUE!</v>
      </c>
      <c r="AK50" t="e">
        <f>AND('SPR BARRANQUILLA'!EM56,"AAAAAF/79yQ=")</f>
        <v>#VALUE!</v>
      </c>
      <c r="AL50" t="e">
        <f>AND('SPR BARRANQUILLA'!EN56,"AAAAAF/79yU=")</f>
        <v>#VALUE!</v>
      </c>
      <c r="AM50" t="e">
        <f>AND('SPR BARRANQUILLA'!EO56,"AAAAAF/79yY=")</f>
        <v>#VALUE!</v>
      </c>
      <c r="AN50" t="e">
        <f>AND('SPR BARRANQUILLA'!EP56,"AAAAAF/79yc=")</f>
        <v>#VALUE!</v>
      </c>
      <c r="AO50" t="e">
        <f>AND('SPR BARRANQUILLA'!EQ56,"AAAAAF/79yg=")</f>
        <v>#VALUE!</v>
      </c>
      <c r="AP50" t="e">
        <f>AND('SPR BARRANQUILLA'!ER56,"AAAAAF/79yk=")</f>
        <v>#VALUE!</v>
      </c>
      <c r="AQ50" t="e">
        <f>AND('SPR BARRANQUILLA'!ES56,"AAAAAF/79yo=")</f>
        <v>#VALUE!</v>
      </c>
      <c r="AR50" t="e">
        <f>AND('SPR BARRANQUILLA'!ET56,"AAAAAF/79ys=")</f>
        <v>#VALUE!</v>
      </c>
      <c r="AS50" t="e">
        <f>AND('SPR BARRANQUILLA'!EU56,"AAAAAF/79yw=")</f>
        <v>#VALUE!</v>
      </c>
      <c r="AT50" t="e">
        <f>AND('SPR BARRANQUILLA'!EV56,"AAAAAF/79y0=")</f>
        <v>#VALUE!</v>
      </c>
      <c r="AU50" t="e">
        <f>AND('SPR BARRANQUILLA'!EW56,"AAAAAF/79y4=")</f>
        <v>#VALUE!</v>
      </c>
      <c r="AV50" t="e">
        <f>AND('SPR BARRANQUILLA'!EX56,"AAAAAF/79y8=")</f>
        <v>#VALUE!</v>
      </c>
      <c r="AW50" t="e">
        <f>AND('SPR BARRANQUILLA'!EY56,"AAAAAF/79zA=")</f>
        <v>#VALUE!</v>
      </c>
      <c r="AX50" t="e">
        <f>AND('SPR BARRANQUILLA'!EZ56,"AAAAAF/79zE=")</f>
        <v>#VALUE!</v>
      </c>
      <c r="AY50" t="e">
        <f>AND('SPR BARRANQUILLA'!FA56,"AAAAAF/79zI=")</f>
        <v>#VALUE!</v>
      </c>
      <c r="AZ50" t="e">
        <f>AND('SPR BARRANQUILLA'!FB56,"AAAAAF/79zM=")</f>
        <v>#VALUE!</v>
      </c>
      <c r="BA50" t="e">
        <f>AND('SPR BARRANQUILLA'!FC56,"AAAAAF/79zQ=")</f>
        <v>#VALUE!</v>
      </c>
      <c r="BB50" t="e">
        <f>AND('SPR BARRANQUILLA'!FD56,"AAAAAF/79zU=")</f>
        <v>#VALUE!</v>
      </c>
      <c r="BC50" t="e">
        <f>AND('SPR BARRANQUILLA'!FE56,"AAAAAF/79zY=")</f>
        <v>#VALUE!</v>
      </c>
      <c r="BD50" t="e">
        <f>AND('SPR BARRANQUILLA'!FF56,"AAAAAF/79zc=")</f>
        <v>#VALUE!</v>
      </c>
      <c r="BE50" t="e">
        <f>AND('SPR BARRANQUILLA'!FG56,"AAAAAF/79zg=")</f>
        <v>#VALUE!</v>
      </c>
      <c r="BF50" t="e">
        <f>AND('SPR BARRANQUILLA'!FH56,"AAAAAF/79zk=")</f>
        <v>#VALUE!</v>
      </c>
      <c r="BG50" t="e">
        <f>AND('SPR BARRANQUILLA'!FI56,"AAAAAF/79zo=")</f>
        <v>#VALUE!</v>
      </c>
      <c r="BH50" t="e">
        <f>AND('SPR BARRANQUILLA'!FJ56,"AAAAAF/79zs=")</f>
        <v>#VALUE!</v>
      </c>
      <c r="BI50" t="e">
        <f>AND('SPR BARRANQUILLA'!FK56,"AAAAAF/79zw=")</f>
        <v>#VALUE!</v>
      </c>
      <c r="BJ50" t="e">
        <f>AND('SPR BARRANQUILLA'!FL56,"AAAAAF/79z0=")</f>
        <v>#VALUE!</v>
      </c>
      <c r="BK50" t="e">
        <f>AND('SPR BARRANQUILLA'!FM56,"AAAAAF/79z4=")</f>
        <v>#VALUE!</v>
      </c>
      <c r="BL50" t="e">
        <f>AND('SPR BARRANQUILLA'!FN56,"AAAAAF/79z8=")</f>
        <v>#VALUE!</v>
      </c>
      <c r="BM50" t="e">
        <f>AND('SPR BARRANQUILLA'!FO56,"AAAAAF/790A=")</f>
        <v>#VALUE!</v>
      </c>
      <c r="BN50" t="e">
        <f>AND('SPR BARRANQUILLA'!FP56,"AAAAAF/790E=")</f>
        <v>#VALUE!</v>
      </c>
      <c r="BO50" t="e">
        <f>AND('SPR BARRANQUILLA'!FQ56,"AAAAAF/790I=")</f>
        <v>#VALUE!</v>
      </c>
      <c r="BP50" t="e">
        <f>AND('SPR BARRANQUILLA'!FR56,"AAAAAF/790M=")</f>
        <v>#VALUE!</v>
      </c>
      <c r="BQ50" t="e">
        <f>AND('SPR BARRANQUILLA'!FS56,"AAAAAF/790Q=")</f>
        <v>#VALUE!</v>
      </c>
      <c r="BR50" t="e">
        <f>AND('SPR BARRANQUILLA'!FT56,"AAAAAF/790U=")</f>
        <v>#VALUE!</v>
      </c>
      <c r="BS50" t="e">
        <f>AND('SPR BARRANQUILLA'!FU56,"AAAAAF/790Y=")</f>
        <v>#VALUE!</v>
      </c>
      <c r="BT50" t="e">
        <f>AND('SPR BARRANQUILLA'!FV56,"AAAAAF/790c=")</f>
        <v>#VALUE!</v>
      </c>
      <c r="BU50" t="e">
        <f>AND('SPR BARRANQUILLA'!FW56,"AAAAAF/790g=")</f>
        <v>#VALUE!</v>
      </c>
      <c r="BV50" t="e">
        <f>AND('SPR BARRANQUILLA'!FX56,"AAAAAF/790k=")</f>
        <v>#VALUE!</v>
      </c>
      <c r="BW50" t="e">
        <f>AND('SPR BARRANQUILLA'!FY56,"AAAAAF/790o=")</f>
        <v>#VALUE!</v>
      </c>
      <c r="BX50" t="e">
        <f>AND('SPR BARRANQUILLA'!FZ56,"AAAAAF/790s=")</f>
        <v>#VALUE!</v>
      </c>
      <c r="BY50" t="e">
        <f>AND('SPR BARRANQUILLA'!GA56,"AAAAAF/790w=")</f>
        <v>#VALUE!</v>
      </c>
      <c r="BZ50" t="e">
        <f>AND('SPR BARRANQUILLA'!GB56,"AAAAAF/7900=")</f>
        <v>#VALUE!</v>
      </c>
      <c r="CA50" t="e">
        <f>AND('SPR BARRANQUILLA'!GC56,"AAAAAF/7904=")</f>
        <v>#VALUE!</v>
      </c>
      <c r="CB50" t="e">
        <f>AND('SPR BARRANQUILLA'!GD56,"AAAAAF/7908=")</f>
        <v>#VALUE!</v>
      </c>
      <c r="CC50" t="e">
        <f>AND('SPR BARRANQUILLA'!GE56,"AAAAAF/791A=")</f>
        <v>#VALUE!</v>
      </c>
      <c r="CD50" t="e">
        <f>AND('SPR BARRANQUILLA'!GF56,"AAAAAF/791E=")</f>
        <v>#VALUE!</v>
      </c>
      <c r="CE50" t="e">
        <f>AND('SPR BARRANQUILLA'!GG56,"AAAAAF/791I=")</f>
        <v>#VALUE!</v>
      </c>
      <c r="CF50" t="e">
        <f>AND('SPR BARRANQUILLA'!GH56,"AAAAAF/791M=")</f>
        <v>#VALUE!</v>
      </c>
      <c r="CG50" t="e">
        <f>AND('SPR BARRANQUILLA'!GI56,"AAAAAF/791Q=")</f>
        <v>#VALUE!</v>
      </c>
      <c r="CH50" t="e">
        <f>AND('SPR BARRANQUILLA'!GJ56,"AAAAAF/791U=")</f>
        <v>#VALUE!</v>
      </c>
      <c r="CI50" t="e">
        <f>AND('SPR BARRANQUILLA'!GK56,"AAAAAF/791Y=")</f>
        <v>#VALUE!</v>
      </c>
      <c r="CJ50" t="e">
        <f>AND('SPR BARRANQUILLA'!GL56,"AAAAAF/791c=")</f>
        <v>#VALUE!</v>
      </c>
      <c r="CK50" t="e">
        <f>AND('SPR BARRANQUILLA'!GM56,"AAAAAF/791g=")</f>
        <v>#VALUE!</v>
      </c>
      <c r="CL50" t="e">
        <f>AND('SPR BARRANQUILLA'!GN56,"AAAAAF/791k=")</f>
        <v>#VALUE!</v>
      </c>
      <c r="CM50" t="e">
        <f>AND('SPR BARRANQUILLA'!GO56,"AAAAAF/791o=")</f>
        <v>#VALUE!</v>
      </c>
      <c r="CN50" t="e">
        <f>AND('SPR BARRANQUILLA'!GP56,"AAAAAF/791s=")</f>
        <v>#VALUE!</v>
      </c>
      <c r="CO50" t="e">
        <f>AND('SPR BARRANQUILLA'!GQ56,"AAAAAF/791w=")</f>
        <v>#VALUE!</v>
      </c>
      <c r="CP50" t="e">
        <f>AND('SPR BARRANQUILLA'!GR56,"AAAAAF/7910=")</f>
        <v>#VALUE!</v>
      </c>
      <c r="CQ50" t="e">
        <f>AND('SPR BARRANQUILLA'!GS56,"AAAAAF/7914=")</f>
        <v>#VALUE!</v>
      </c>
      <c r="CR50" t="e">
        <f>AND('SPR BARRANQUILLA'!GT56,"AAAAAF/7918=")</f>
        <v>#VALUE!</v>
      </c>
      <c r="CS50" t="e">
        <f>AND('SPR BARRANQUILLA'!GU56,"AAAAAF/792A=")</f>
        <v>#VALUE!</v>
      </c>
      <c r="CT50" t="e">
        <f>AND('SPR BARRANQUILLA'!GV56,"AAAAAF/792E=")</f>
        <v>#VALUE!</v>
      </c>
      <c r="CU50" t="e">
        <f>AND('SPR BARRANQUILLA'!GW56,"AAAAAF/792I=")</f>
        <v>#VALUE!</v>
      </c>
      <c r="CV50" t="e">
        <f>AND('SPR BARRANQUILLA'!GX56,"AAAAAF/792M=")</f>
        <v>#VALUE!</v>
      </c>
      <c r="CW50" t="e">
        <f>AND('SPR BARRANQUILLA'!GY56,"AAAAAF/792Q=")</f>
        <v>#VALUE!</v>
      </c>
      <c r="CX50">
        <f>IF('SPR BARRANQUILLA'!57:57,"AAAAAF/792U=",0)</f>
        <v>0</v>
      </c>
      <c r="CY50" t="e">
        <f>AND('SPR BARRANQUILLA'!A57,"AAAAAF/792Y=")</f>
        <v>#VALUE!</v>
      </c>
      <c r="CZ50" t="e">
        <f>AND('SPR BARRANQUILLA'!B57,"AAAAAF/792c=")</f>
        <v>#VALUE!</v>
      </c>
      <c r="DA50" t="e">
        <f>AND('SPR BARRANQUILLA'!C57,"AAAAAF/792g=")</f>
        <v>#VALUE!</v>
      </c>
      <c r="DB50" t="e">
        <f>AND('SPR BARRANQUILLA'!D57,"AAAAAF/792k=")</f>
        <v>#VALUE!</v>
      </c>
      <c r="DC50" t="e">
        <f>AND('SPR BARRANQUILLA'!E57,"AAAAAF/792o=")</f>
        <v>#VALUE!</v>
      </c>
      <c r="DD50" t="e">
        <f>AND('SPR BARRANQUILLA'!F57,"AAAAAF/792s=")</f>
        <v>#VALUE!</v>
      </c>
      <c r="DE50" t="e">
        <f>AND('SPR BARRANQUILLA'!G57,"AAAAAF/792w=")</f>
        <v>#VALUE!</v>
      </c>
      <c r="DF50" t="e">
        <f>AND('SPR BARRANQUILLA'!H57,"AAAAAF/7920=")</f>
        <v>#VALUE!</v>
      </c>
      <c r="DG50" t="e">
        <f>AND('SPR BARRANQUILLA'!I57,"AAAAAF/7924=")</f>
        <v>#VALUE!</v>
      </c>
      <c r="DH50" t="e">
        <f>AND('SPR BARRANQUILLA'!J57,"AAAAAF/7928=")</f>
        <v>#VALUE!</v>
      </c>
      <c r="DI50" t="e">
        <f>AND('SPR BARRANQUILLA'!K57,"AAAAAF/793A=")</f>
        <v>#VALUE!</v>
      </c>
      <c r="DJ50" t="e">
        <f>AND('SPR BARRANQUILLA'!L57,"AAAAAF/793E=")</f>
        <v>#VALUE!</v>
      </c>
      <c r="DK50" t="e">
        <f>AND('SPR BARRANQUILLA'!M57,"AAAAAF/793I=")</f>
        <v>#VALUE!</v>
      </c>
      <c r="DL50" t="e">
        <f>AND('SPR BARRANQUILLA'!N57,"AAAAAF/793M=")</f>
        <v>#VALUE!</v>
      </c>
      <c r="DM50" t="e">
        <f>AND('SPR BARRANQUILLA'!O57,"AAAAAF/793Q=")</f>
        <v>#VALUE!</v>
      </c>
      <c r="DN50" t="e">
        <f>AND('SPR BARRANQUILLA'!P57,"AAAAAF/793U=")</f>
        <v>#VALUE!</v>
      </c>
      <c r="DO50" t="e">
        <f>AND('SPR BARRANQUILLA'!Q57,"AAAAAF/793Y=")</f>
        <v>#VALUE!</v>
      </c>
      <c r="DP50" t="e">
        <f>AND('SPR BARRANQUILLA'!R57,"AAAAAF/793c=")</f>
        <v>#VALUE!</v>
      </c>
      <c r="DQ50" t="e">
        <f>AND('SPR BARRANQUILLA'!S57,"AAAAAF/793g=")</f>
        <v>#VALUE!</v>
      </c>
      <c r="DR50" t="e">
        <f>AND('SPR BARRANQUILLA'!T57,"AAAAAF/793k=")</f>
        <v>#VALUE!</v>
      </c>
      <c r="DS50" t="e">
        <f>AND('SPR BARRANQUILLA'!U57,"AAAAAF/793o=")</f>
        <v>#VALUE!</v>
      </c>
      <c r="DT50" t="e">
        <f>AND('SPR BARRANQUILLA'!V57,"AAAAAF/793s=")</f>
        <v>#VALUE!</v>
      </c>
      <c r="DU50" t="e">
        <f>AND('SPR BARRANQUILLA'!W57,"AAAAAF/793w=")</f>
        <v>#VALUE!</v>
      </c>
      <c r="DV50" t="e">
        <f>AND('SPR BARRANQUILLA'!X57,"AAAAAF/7930=")</f>
        <v>#VALUE!</v>
      </c>
      <c r="DW50" t="e">
        <f>AND('SPR BARRANQUILLA'!Y57,"AAAAAF/7934=")</f>
        <v>#VALUE!</v>
      </c>
      <c r="DX50" t="e">
        <f>AND('SPR BARRANQUILLA'!Z57,"AAAAAF/7938=")</f>
        <v>#VALUE!</v>
      </c>
      <c r="DY50" t="e">
        <f>AND('SPR BARRANQUILLA'!AA57,"AAAAAF/794A=")</f>
        <v>#VALUE!</v>
      </c>
      <c r="DZ50" t="e">
        <f>AND('SPR BARRANQUILLA'!AB57,"AAAAAF/794E=")</f>
        <v>#VALUE!</v>
      </c>
      <c r="EA50" t="e">
        <f>AND('SPR BARRANQUILLA'!AC57,"AAAAAF/794I=")</f>
        <v>#VALUE!</v>
      </c>
      <c r="EB50" t="e">
        <f>AND('SPR BARRANQUILLA'!AD57,"AAAAAF/794M=")</f>
        <v>#VALUE!</v>
      </c>
      <c r="EC50" t="e">
        <f>AND('SPR BARRANQUILLA'!AE57,"AAAAAF/794Q=")</f>
        <v>#VALUE!</v>
      </c>
      <c r="ED50" t="e">
        <f>AND('SPR BARRANQUILLA'!AF57,"AAAAAF/794U=")</f>
        <v>#VALUE!</v>
      </c>
      <c r="EE50" t="e">
        <f>AND('SPR BARRANQUILLA'!AG57,"AAAAAF/794Y=")</f>
        <v>#VALUE!</v>
      </c>
      <c r="EF50" t="e">
        <f>AND('SPR BARRANQUILLA'!AH57,"AAAAAF/794c=")</f>
        <v>#VALUE!</v>
      </c>
      <c r="EG50" t="e">
        <f>AND('SPR BARRANQUILLA'!AI57,"AAAAAF/794g=")</f>
        <v>#VALUE!</v>
      </c>
      <c r="EH50" t="e">
        <f>AND('SPR BARRANQUILLA'!AJ57,"AAAAAF/794k=")</f>
        <v>#VALUE!</v>
      </c>
      <c r="EI50" t="e">
        <f>AND('SPR BARRANQUILLA'!AK57,"AAAAAF/794o=")</f>
        <v>#VALUE!</v>
      </c>
      <c r="EJ50" t="e">
        <f>AND('SPR BARRANQUILLA'!AL57,"AAAAAF/794s=")</f>
        <v>#VALUE!</v>
      </c>
      <c r="EK50" t="e">
        <f>AND('SPR BARRANQUILLA'!AM57,"AAAAAF/794w=")</f>
        <v>#VALUE!</v>
      </c>
      <c r="EL50" t="e">
        <f>AND('SPR BARRANQUILLA'!AN57,"AAAAAF/7940=")</f>
        <v>#VALUE!</v>
      </c>
      <c r="EM50" t="e">
        <f>AND('SPR BARRANQUILLA'!AO57,"AAAAAF/7944=")</f>
        <v>#VALUE!</v>
      </c>
      <c r="EN50" t="e">
        <f>AND('SPR BARRANQUILLA'!AP57,"AAAAAF/7948=")</f>
        <v>#VALUE!</v>
      </c>
      <c r="EO50" t="e">
        <f>AND('SPR BARRANQUILLA'!AQ57,"AAAAAF/795A=")</f>
        <v>#VALUE!</v>
      </c>
      <c r="EP50" t="e">
        <f>AND('SPR BARRANQUILLA'!AR57,"AAAAAF/795E=")</f>
        <v>#VALUE!</v>
      </c>
      <c r="EQ50" t="e">
        <f>AND('SPR BARRANQUILLA'!AS57,"AAAAAF/795I=")</f>
        <v>#VALUE!</v>
      </c>
      <c r="ER50" t="e">
        <f>AND('SPR BARRANQUILLA'!AT57,"AAAAAF/795M=")</f>
        <v>#VALUE!</v>
      </c>
      <c r="ES50" t="e">
        <f>AND('SPR BARRANQUILLA'!AU57,"AAAAAF/795Q=")</f>
        <v>#VALUE!</v>
      </c>
      <c r="ET50" t="e">
        <f>AND('SPR BARRANQUILLA'!AV57,"AAAAAF/795U=")</f>
        <v>#VALUE!</v>
      </c>
      <c r="EU50" t="e">
        <f>AND('SPR BARRANQUILLA'!AW57,"AAAAAF/795Y=")</f>
        <v>#VALUE!</v>
      </c>
      <c r="EV50" t="e">
        <f>AND('SPR BARRANQUILLA'!AX57,"AAAAAF/795c=")</f>
        <v>#VALUE!</v>
      </c>
      <c r="EW50" t="e">
        <f>AND('SPR BARRANQUILLA'!AY57,"AAAAAF/795g=")</f>
        <v>#VALUE!</v>
      </c>
      <c r="EX50" t="e">
        <f>AND('SPR BARRANQUILLA'!AZ57,"AAAAAF/795k=")</f>
        <v>#VALUE!</v>
      </c>
      <c r="EY50" t="e">
        <f>AND('SPR BARRANQUILLA'!BA57,"AAAAAF/795o=")</f>
        <v>#VALUE!</v>
      </c>
      <c r="EZ50" t="e">
        <f>AND('SPR BARRANQUILLA'!BB57,"AAAAAF/795s=")</f>
        <v>#VALUE!</v>
      </c>
      <c r="FA50" t="e">
        <f>AND('SPR BARRANQUILLA'!BC57,"AAAAAF/795w=")</f>
        <v>#VALUE!</v>
      </c>
      <c r="FB50" t="e">
        <f>AND('SPR BARRANQUILLA'!BD57,"AAAAAF/7950=")</f>
        <v>#VALUE!</v>
      </c>
      <c r="FC50" t="e">
        <f>AND('SPR BARRANQUILLA'!BE57,"AAAAAF/7954=")</f>
        <v>#VALUE!</v>
      </c>
      <c r="FD50" t="e">
        <f>AND('SPR BARRANQUILLA'!BF57,"AAAAAF/7958=")</f>
        <v>#VALUE!</v>
      </c>
      <c r="FE50" t="e">
        <f>AND('SPR BARRANQUILLA'!BG57,"AAAAAF/796A=")</f>
        <v>#VALUE!</v>
      </c>
      <c r="FF50" t="e">
        <f>AND('SPR BARRANQUILLA'!BH57,"AAAAAF/796E=")</f>
        <v>#VALUE!</v>
      </c>
      <c r="FG50" t="e">
        <f>AND('SPR BARRANQUILLA'!BI57,"AAAAAF/796I=")</f>
        <v>#VALUE!</v>
      </c>
      <c r="FH50" t="e">
        <f>AND('SPR BARRANQUILLA'!BJ57,"AAAAAF/796M=")</f>
        <v>#VALUE!</v>
      </c>
      <c r="FI50" t="e">
        <f>AND('SPR BARRANQUILLA'!BK57,"AAAAAF/796Q=")</f>
        <v>#VALUE!</v>
      </c>
      <c r="FJ50" t="e">
        <f>AND('SPR BARRANQUILLA'!BL57,"AAAAAF/796U=")</f>
        <v>#VALUE!</v>
      </c>
      <c r="FK50" t="e">
        <f>AND('SPR BARRANQUILLA'!BM57,"AAAAAF/796Y=")</f>
        <v>#VALUE!</v>
      </c>
      <c r="FL50" t="e">
        <f>AND('SPR BARRANQUILLA'!BN57,"AAAAAF/796c=")</f>
        <v>#VALUE!</v>
      </c>
      <c r="FM50" t="e">
        <f>AND('SPR BARRANQUILLA'!BO57,"AAAAAF/796g=")</f>
        <v>#VALUE!</v>
      </c>
      <c r="FN50" t="e">
        <f>AND('SPR BARRANQUILLA'!BP57,"AAAAAF/796k=")</f>
        <v>#VALUE!</v>
      </c>
      <c r="FO50" t="e">
        <f>AND('SPR BARRANQUILLA'!BQ57,"AAAAAF/796o=")</f>
        <v>#VALUE!</v>
      </c>
      <c r="FP50" t="e">
        <f>AND('SPR BARRANQUILLA'!BR57,"AAAAAF/796s=")</f>
        <v>#VALUE!</v>
      </c>
      <c r="FQ50" t="e">
        <f>AND('SPR BARRANQUILLA'!BS57,"AAAAAF/796w=")</f>
        <v>#VALUE!</v>
      </c>
      <c r="FR50" t="e">
        <f>AND('SPR BARRANQUILLA'!BT57,"AAAAAF/7960=")</f>
        <v>#VALUE!</v>
      </c>
      <c r="FS50" t="e">
        <f>AND('SPR BARRANQUILLA'!BU57,"AAAAAF/7964=")</f>
        <v>#VALUE!</v>
      </c>
      <c r="FT50" t="e">
        <f>AND('SPR BARRANQUILLA'!BV57,"AAAAAF/7968=")</f>
        <v>#VALUE!</v>
      </c>
      <c r="FU50" t="e">
        <f>AND('SPR BARRANQUILLA'!BW57,"AAAAAF/797A=")</f>
        <v>#VALUE!</v>
      </c>
      <c r="FV50" t="e">
        <f>AND('SPR BARRANQUILLA'!BX57,"AAAAAF/797E=")</f>
        <v>#VALUE!</v>
      </c>
      <c r="FW50" t="e">
        <f>AND('SPR BARRANQUILLA'!BY57,"AAAAAF/797I=")</f>
        <v>#VALUE!</v>
      </c>
      <c r="FX50" t="e">
        <f>AND('SPR BARRANQUILLA'!BZ57,"AAAAAF/797M=")</f>
        <v>#VALUE!</v>
      </c>
      <c r="FY50" t="e">
        <f>AND('SPR BARRANQUILLA'!CA57,"AAAAAF/797Q=")</f>
        <v>#VALUE!</v>
      </c>
      <c r="FZ50" t="e">
        <f>AND('SPR BARRANQUILLA'!CB57,"AAAAAF/797U=")</f>
        <v>#VALUE!</v>
      </c>
      <c r="GA50" t="e">
        <f>AND('SPR BARRANQUILLA'!CC57,"AAAAAF/797Y=")</f>
        <v>#VALUE!</v>
      </c>
      <c r="GB50" t="e">
        <f>AND('SPR BARRANQUILLA'!CD57,"AAAAAF/797c=")</f>
        <v>#VALUE!</v>
      </c>
      <c r="GC50" t="e">
        <f>AND('SPR BARRANQUILLA'!CE57,"AAAAAF/797g=")</f>
        <v>#VALUE!</v>
      </c>
      <c r="GD50" t="e">
        <f>AND('SPR BARRANQUILLA'!CF57,"AAAAAF/797k=")</f>
        <v>#VALUE!</v>
      </c>
      <c r="GE50" t="e">
        <f>AND('SPR BARRANQUILLA'!CG57,"AAAAAF/797o=")</f>
        <v>#VALUE!</v>
      </c>
      <c r="GF50" t="e">
        <f>AND('SPR BARRANQUILLA'!CH57,"AAAAAF/797s=")</f>
        <v>#VALUE!</v>
      </c>
      <c r="GG50" t="e">
        <f>AND('SPR BARRANQUILLA'!CI57,"AAAAAF/797w=")</f>
        <v>#VALUE!</v>
      </c>
      <c r="GH50" t="e">
        <f>AND('SPR BARRANQUILLA'!CJ57,"AAAAAF/7970=")</f>
        <v>#VALUE!</v>
      </c>
      <c r="GI50" t="e">
        <f>AND('SPR BARRANQUILLA'!CK57,"AAAAAF/7974=")</f>
        <v>#VALUE!</v>
      </c>
      <c r="GJ50" t="e">
        <f>AND('SPR BARRANQUILLA'!CL57,"AAAAAF/7978=")</f>
        <v>#VALUE!</v>
      </c>
      <c r="GK50" t="e">
        <f>AND('SPR BARRANQUILLA'!CM57,"AAAAAF/798A=")</f>
        <v>#VALUE!</v>
      </c>
      <c r="GL50" t="e">
        <f>AND('SPR BARRANQUILLA'!CN57,"AAAAAF/798E=")</f>
        <v>#VALUE!</v>
      </c>
      <c r="GM50" t="e">
        <f>AND('SPR BARRANQUILLA'!CO57,"AAAAAF/798I=")</f>
        <v>#VALUE!</v>
      </c>
      <c r="GN50" t="e">
        <f>AND('SPR BARRANQUILLA'!CP57,"AAAAAF/798M=")</f>
        <v>#VALUE!</v>
      </c>
      <c r="GO50" t="e">
        <f>AND('SPR BARRANQUILLA'!CQ57,"AAAAAF/798Q=")</f>
        <v>#VALUE!</v>
      </c>
      <c r="GP50" t="e">
        <f>AND('SPR BARRANQUILLA'!CR57,"AAAAAF/798U=")</f>
        <v>#VALUE!</v>
      </c>
      <c r="GQ50" t="e">
        <f>AND('SPR BARRANQUILLA'!CS57,"AAAAAF/798Y=")</f>
        <v>#VALUE!</v>
      </c>
      <c r="GR50" t="e">
        <f>AND('SPR BARRANQUILLA'!CT57,"AAAAAF/798c=")</f>
        <v>#VALUE!</v>
      </c>
      <c r="GS50" t="e">
        <f>AND('SPR BARRANQUILLA'!CU57,"AAAAAF/798g=")</f>
        <v>#VALUE!</v>
      </c>
      <c r="GT50" t="e">
        <f>AND('SPR BARRANQUILLA'!CV57,"AAAAAF/798k=")</f>
        <v>#VALUE!</v>
      </c>
      <c r="GU50" t="e">
        <f>AND('SPR BARRANQUILLA'!CW57,"AAAAAF/798o=")</f>
        <v>#VALUE!</v>
      </c>
      <c r="GV50" t="e">
        <f>AND('SPR BARRANQUILLA'!CX57,"AAAAAF/798s=")</f>
        <v>#VALUE!</v>
      </c>
      <c r="GW50" t="e">
        <f>AND('SPR BARRANQUILLA'!CY57,"AAAAAF/798w=")</f>
        <v>#VALUE!</v>
      </c>
      <c r="GX50" t="e">
        <f>AND('SPR BARRANQUILLA'!CZ57,"AAAAAF/7980=")</f>
        <v>#VALUE!</v>
      </c>
      <c r="GY50" t="e">
        <f>AND('SPR BARRANQUILLA'!DA57,"AAAAAF/7984=")</f>
        <v>#VALUE!</v>
      </c>
      <c r="GZ50" t="e">
        <f>AND('SPR BARRANQUILLA'!DB57,"AAAAAF/7988=")</f>
        <v>#VALUE!</v>
      </c>
      <c r="HA50" t="e">
        <f>AND('SPR BARRANQUILLA'!DC57,"AAAAAF/799A=")</f>
        <v>#VALUE!</v>
      </c>
      <c r="HB50" t="e">
        <f>AND('SPR BARRANQUILLA'!DD57,"AAAAAF/799E=")</f>
        <v>#VALUE!</v>
      </c>
      <c r="HC50" t="e">
        <f>AND('SPR BARRANQUILLA'!DE57,"AAAAAF/799I=")</f>
        <v>#VALUE!</v>
      </c>
      <c r="HD50" t="e">
        <f>AND('SPR BARRANQUILLA'!DF57,"AAAAAF/799M=")</f>
        <v>#VALUE!</v>
      </c>
      <c r="HE50" t="e">
        <f>AND('SPR BARRANQUILLA'!DG57,"AAAAAF/799Q=")</f>
        <v>#VALUE!</v>
      </c>
      <c r="HF50" t="e">
        <f>AND('SPR BARRANQUILLA'!DH57,"AAAAAF/799U=")</f>
        <v>#VALUE!</v>
      </c>
      <c r="HG50" t="e">
        <f>AND('SPR BARRANQUILLA'!DI57,"AAAAAF/799Y=")</f>
        <v>#VALUE!</v>
      </c>
      <c r="HH50" t="e">
        <f>AND('SPR BARRANQUILLA'!DJ57,"AAAAAF/799c=")</f>
        <v>#VALUE!</v>
      </c>
      <c r="HI50" t="e">
        <f>AND('SPR BARRANQUILLA'!DK57,"AAAAAF/799g=")</f>
        <v>#VALUE!</v>
      </c>
      <c r="HJ50" t="e">
        <f>AND('SPR BARRANQUILLA'!DL57,"AAAAAF/799k=")</f>
        <v>#VALUE!</v>
      </c>
      <c r="HK50" t="e">
        <f>AND('SPR BARRANQUILLA'!DM57,"AAAAAF/799o=")</f>
        <v>#VALUE!</v>
      </c>
      <c r="HL50" t="e">
        <f>AND('SPR BARRANQUILLA'!DN57,"AAAAAF/799s=")</f>
        <v>#VALUE!</v>
      </c>
      <c r="HM50" t="e">
        <f>AND('SPR BARRANQUILLA'!DO57,"AAAAAF/799w=")</f>
        <v>#VALUE!</v>
      </c>
      <c r="HN50" t="e">
        <f>AND('SPR BARRANQUILLA'!DP57,"AAAAAF/7990=")</f>
        <v>#VALUE!</v>
      </c>
      <c r="HO50" t="e">
        <f>AND('SPR BARRANQUILLA'!DQ57,"AAAAAF/7994=")</f>
        <v>#VALUE!</v>
      </c>
      <c r="HP50" t="e">
        <f>AND('SPR BARRANQUILLA'!DR57,"AAAAAF/7998=")</f>
        <v>#VALUE!</v>
      </c>
      <c r="HQ50" t="e">
        <f>AND('SPR BARRANQUILLA'!DS57,"AAAAAF/79+A=")</f>
        <v>#VALUE!</v>
      </c>
      <c r="HR50" t="e">
        <f>AND('SPR BARRANQUILLA'!DT57,"AAAAAF/79+E=")</f>
        <v>#VALUE!</v>
      </c>
      <c r="HS50" t="e">
        <f>AND('SPR BARRANQUILLA'!DU57,"AAAAAF/79+I=")</f>
        <v>#VALUE!</v>
      </c>
      <c r="HT50" t="e">
        <f>AND('SPR BARRANQUILLA'!DV57,"AAAAAF/79+M=")</f>
        <v>#VALUE!</v>
      </c>
      <c r="HU50" t="e">
        <f>AND('SPR BARRANQUILLA'!DW57,"AAAAAF/79+Q=")</f>
        <v>#VALUE!</v>
      </c>
      <c r="HV50" t="e">
        <f>AND('SPR BARRANQUILLA'!DX57,"AAAAAF/79+U=")</f>
        <v>#VALUE!</v>
      </c>
      <c r="HW50" t="e">
        <f>AND('SPR BARRANQUILLA'!DY57,"AAAAAF/79+Y=")</f>
        <v>#VALUE!</v>
      </c>
      <c r="HX50" t="e">
        <f>AND('SPR BARRANQUILLA'!DZ57,"AAAAAF/79+c=")</f>
        <v>#VALUE!</v>
      </c>
      <c r="HY50" t="e">
        <f>AND('SPR BARRANQUILLA'!EA57,"AAAAAF/79+g=")</f>
        <v>#VALUE!</v>
      </c>
      <c r="HZ50" t="e">
        <f>AND('SPR BARRANQUILLA'!EB57,"AAAAAF/79+k=")</f>
        <v>#VALUE!</v>
      </c>
      <c r="IA50" t="e">
        <f>AND('SPR BARRANQUILLA'!EC57,"AAAAAF/79+o=")</f>
        <v>#VALUE!</v>
      </c>
      <c r="IB50" t="e">
        <f>AND('SPR BARRANQUILLA'!ED57,"AAAAAF/79+s=")</f>
        <v>#VALUE!</v>
      </c>
      <c r="IC50" t="e">
        <f>AND('SPR BARRANQUILLA'!EE57,"AAAAAF/79+w=")</f>
        <v>#VALUE!</v>
      </c>
      <c r="ID50" t="e">
        <f>AND('SPR BARRANQUILLA'!EF57,"AAAAAF/79+0=")</f>
        <v>#VALUE!</v>
      </c>
      <c r="IE50" t="e">
        <f>AND('SPR BARRANQUILLA'!EG57,"AAAAAF/79+4=")</f>
        <v>#VALUE!</v>
      </c>
      <c r="IF50" t="e">
        <f>AND('SPR BARRANQUILLA'!EH57,"AAAAAF/79+8=")</f>
        <v>#VALUE!</v>
      </c>
      <c r="IG50" t="e">
        <f>AND('SPR BARRANQUILLA'!EI57,"AAAAAF/79/A=")</f>
        <v>#VALUE!</v>
      </c>
      <c r="IH50" t="e">
        <f>AND('SPR BARRANQUILLA'!EJ57,"AAAAAF/79/E=")</f>
        <v>#VALUE!</v>
      </c>
      <c r="II50" t="e">
        <f>AND('SPR BARRANQUILLA'!EK57,"AAAAAF/79/I=")</f>
        <v>#VALUE!</v>
      </c>
      <c r="IJ50" t="e">
        <f>AND('SPR BARRANQUILLA'!EL57,"AAAAAF/79/M=")</f>
        <v>#VALUE!</v>
      </c>
      <c r="IK50" t="e">
        <f>AND('SPR BARRANQUILLA'!EM57,"AAAAAF/79/Q=")</f>
        <v>#VALUE!</v>
      </c>
      <c r="IL50" t="e">
        <f>AND('SPR BARRANQUILLA'!EN57,"AAAAAF/79/U=")</f>
        <v>#VALUE!</v>
      </c>
      <c r="IM50" t="e">
        <f>AND('SPR BARRANQUILLA'!EO57,"AAAAAF/79/Y=")</f>
        <v>#VALUE!</v>
      </c>
      <c r="IN50" t="e">
        <f>AND('SPR BARRANQUILLA'!EP57,"AAAAAF/79/c=")</f>
        <v>#VALUE!</v>
      </c>
      <c r="IO50" t="e">
        <f>AND('SPR BARRANQUILLA'!EQ57,"AAAAAF/79/g=")</f>
        <v>#VALUE!</v>
      </c>
      <c r="IP50" t="e">
        <f>AND('SPR BARRANQUILLA'!ER57,"AAAAAF/79/k=")</f>
        <v>#VALUE!</v>
      </c>
      <c r="IQ50" t="e">
        <f>AND('SPR BARRANQUILLA'!ES57,"AAAAAF/79/o=")</f>
        <v>#VALUE!</v>
      </c>
      <c r="IR50" t="e">
        <f>AND('SPR BARRANQUILLA'!ET57,"AAAAAF/79/s=")</f>
        <v>#VALUE!</v>
      </c>
      <c r="IS50" t="e">
        <f>AND('SPR BARRANQUILLA'!EU57,"AAAAAF/79/w=")</f>
        <v>#VALUE!</v>
      </c>
      <c r="IT50" t="e">
        <f>AND('SPR BARRANQUILLA'!EV57,"AAAAAF/79/0=")</f>
        <v>#VALUE!</v>
      </c>
      <c r="IU50" t="e">
        <f>AND('SPR BARRANQUILLA'!EW57,"AAAAAF/79/4=")</f>
        <v>#VALUE!</v>
      </c>
      <c r="IV50" t="e">
        <f>AND('SPR BARRANQUILLA'!EX57,"AAAAAF/79/8=")</f>
        <v>#VALUE!</v>
      </c>
    </row>
    <row r="51" spans="1:256">
      <c r="A51" t="e">
        <f>AND('SPR BARRANQUILLA'!EY57,"AAAAADsWNQA=")</f>
        <v>#VALUE!</v>
      </c>
      <c r="B51" t="e">
        <f>AND('SPR BARRANQUILLA'!EZ57,"AAAAADsWNQE=")</f>
        <v>#VALUE!</v>
      </c>
      <c r="C51" t="e">
        <f>AND('SPR BARRANQUILLA'!FA57,"AAAAADsWNQI=")</f>
        <v>#VALUE!</v>
      </c>
      <c r="D51" t="e">
        <f>AND('SPR BARRANQUILLA'!FB57,"AAAAADsWNQM=")</f>
        <v>#VALUE!</v>
      </c>
      <c r="E51" t="e">
        <f>AND('SPR BARRANQUILLA'!FC57,"AAAAADsWNQQ=")</f>
        <v>#VALUE!</v>
      </c>
      <c r="F51" t="e">
        <f>AND('SPR BARRANQUILLA'!FD57,"AAAAADsWNQU=")</f>
        <v>#VALUE!</v>
      </c>
      <c r="G51" t="e">
        <f>AND('SPR BARRANQUILLA'!FE57,"AAAAADsWNQY=")</f>
        <v>#VALUE!</v>
      </c>
      <c r="H51" t="e">
        <f>AND('SPR BARRANQUILLA'!FF57,"AAAAADsWNQc=")</f>
        <v>#VALUE!</v>
      </c>
      <c r="I51" t="e">
        <f>AND('SPR BARRANQUILLA'!FG57,"AAAAADsWNQg=")</f>
        <v>#VALUE!</v>
      </c>
      <c r="J51" t="e">
        <f>AND('SPR BARRANQUILLA'!FH57,"AAAAADsWNQk=")</f>
        <v>#VALUE!</v>
      </c>
      <c r="K51" t="e">
        <f>AND('SPR BARRANQUILLA'!FI57,"AAAAADsWNQo=")</f>
        <v>#VALUE!</v>
      </c>
      <c r="L51" t="e">
        <f>AND('SPR BARRANQUILLA'!FJ57,"AAAAADsWNQs=")</f>
        <v>#VALUE!</v>
      </c>
      <c r="M51" t="e">
        <f>AND('SPR BARRANQUILLA'!FK57,"AAAAADsWNQw=")</f>
        <v>#VALUE!</v>
      </c>
      <c r="N51" t="e">
        <f>AND('SPR BARRANQUILLA'!FL57,"AAAAADsWNQ0=")</f>
        <v>#VALUE!</v>
      </c>
      <c r="O51" t="e">
        <f>AND('SPR BARRANQUILLA'!FM57,"AAAAADsWNQ4=")</f>
        <v>#VALUE!</v>
      </c>
      <c r="P51" t="e">
        <f>AND('SPR BARRANQUILLA'!FN57,"AAAAADsWNQ8=")</f>
        <v>#VALUE!</v>
      </c>
      <c r="Q51" t="e">
        <f>AND('SPR BARRANQUILLA'!FO57,"AAAAADsWNRA=")</f>
        <v>#VALUE!</v>
      </c>
      <c r="R51" t="e">
        <f>AND('SPR BARRANQUILLA'!FP57,"AAAAADsWNRE=")</f>
        <v>#VALUE!</v>
      </c>
      <c r="S51" t="e">
        <f>AND('SPR BARRANQUILLA'!FQ57,"AAAAADsWNRI=")</f>
        <v>#VALUE!</v>
      </c>
      <c r="T51" t="e">
        <f>AND('SPR BARRANQUILLA'!FR57,"AAAAADsWNRM=")</f>
        <v>#VALUE!</v>
      </c>
      <c r="U51" t="e">
        <f>AND('SPR BARRANQUILLA'!FS57,"AAAAADsWNRQ=")</f>
        <v>#VALUE!</v>
      </c>
      <c r="V51" t="e">
        <f>AND('SPR BARRANQUILLA'!FT57,"AAAAADsWNRU=")</f>
        <v>#VALUE!</v>
      </c>
      <c r="W51" t="e">
        <f>AND('SPR BARRANQUILLA'!FU57,"AAAAADsWNRY=")</f>
        <v>#VALUE!</v>
      </c>
      <c r="X51" t="e">
        <f>AND('SPR BARRANQUILLA'!FV57,"AAAAADsWNRc=")</f>
        <v>#VALUE!</v>
      </c>
      <c r="Y51" t="e">
        <f>AND('SPR BARRANQUILLA'!FW57,"AAAAADsWNRg=")</f>
        <v>#VALUE!</v>
      </c>
      <c r="Z51" t="e">
        <f>AND('SPR BARRANQUILLA'!FX57,"AAAAADsWNRk=")</f>
        <v>#VALUE!</v>
      </c>
      <c r="AA51" t="e">
        <f>AND('SPR BARRANQUILLA'!FY57,"AAAAADsWNRo=")</f>
        <v>#VALUE!</v>
      </c>
      <c r="AB51" t="e">
        <f>AND('SPR BARRANQUILLA'!FZ57,"AAAAADsWNRs=")</f>
        <v>#VALUE!</v>
      </c>
      <c r="AC51" t="e">
        <f>AND('SPR BARRANQUILLA'!GA57,"AAAAADsWNRw=")</f>
        <v>#VALUE!</v>
      </c>
      <c r="AD51" t="e">
        <f>AND('SPR BARRANQUILLA'!GB57,"AAAAADsWNR0=")</f>
        <v>#VALUE!</v>
      </c>
      <c r="AE51" t="e">
        <f>AND('SPR BARRANQUILLA'!GC57,"AAAAADsWNR4=")</f>
        <v>#VALUE!</v>
      </c>
      <c r="AF51" t="e">
        <f>AND('SPR BARRANQUILLA'!GD57,"AAAAADsWNR8=")</f>
        <v>#VALUE!</v>
      </c>
      <c r="AG51" t="e">
        <f>AND('SPR BARRANQUILLA'!GE57,"AAAAADsWNSA=")</f>
        <v>#VALUE!</v>
      </c>
      <c r="AH51" t="e">
        <f>AND('SPR BARRANQUILLA'!GF57,"AAAAADsWNSE=")</f>
        <v>#VALUE!</v>
      </c>
      <c r="AI51" t="e">
        <f>AND('SPR BARRANQUILLA'!GG57,"AAAAADsWNSI=")</f>
        <v>#VALUE!</v>
      </c>
      <c r="AJ51" t="e">
        <f>AND('SPR BARRANQUILLA'!GH57,"AAAAADsWNSM=")</f>
        <v>#VALUE!</v>
      </c>
      <c r="AK51" t="e">
        <f>AND('SPR BARRANQUILLA'!GI57,"AAAAADsWNSQ=")</f>
        <v>#VALUE!</v>
      </c>
      <c r="AL51" t="e">
        <f>AND('SPR BARRANQUILLA'!GJ57,"AAAAADsWNSU=")</f>
        <v>#VALUE!</v>
      </c>
      <c r="AM51" t="e">
        <f>AND('SPR BARRANQUILLA'!GK57,"AAAAADsWNSY=")</f>
        <v>#VALUE!</v>
      </c>
      <c r="AN51" t="e">
        <f>AND('SPR BARRANQUILLA'!GL57,"AAAAADsWNSc=")</f>
        <v>#VALUE!</v>
      </c>
      <c r="AO51" t="e">
        <f>AND('SPR BARRANQUILLA'!GM57,"AAAAADsWNSg=")</f>
        <v>#VALUE!</v>
      </c>
      <c r="AP51" t="e">
        <f>AND('SPR BARRANQUILLA'!GN57,"AAAAADsWNSk=")</f>
        <v>#VALUE!</v>
      </c>
      <c r="AQ51" t="e">
        <f>AND('SPR BARRANQUILLA'!GO57,"AAAAADsWNSo=")</f>
        <v>#VALUE!</v>
      </c>
      <c r="AR51" t="e">
        <f>AND('SPR BARRANQUILLA'!GP57,"AAAAADsWNSs=")</f>
        <v>#VALUE!</v>
      </c>
      <c r="AS51" t="e">
        <f>AND('SPR BARRANQUILLA'!GQ57,"AAAAADsWNSw=")</f>
        <v>#VALUE!</v>
      </c>
      <c r="AT51" t="e">
        <f>AND('SPR BARRANQUILLA'!GR57,"AAAAADsWNS0=")</f>
        <v>#VALUE!</v>
      </c>
      <c r="AU51" t="e">
        <f>AND('SPR BARRANQUILLA'!GS57,"AAAAADsWNS4=")</f>
        <v>#VALUE!</v>
      </c>
      <c r="AV51" t="e">
        <f>AND('SPR BARRANQUILLA'!GT57,"AAAAADsWNS8=")</f>
        <v>#VALUE!</v>
      </c>
      <c r="AW51" t="e">
        <f>AND('SPR BARRANQUILLA'!GU57,"AAAAADsWNTA=")</f>
        <v>#VALUE!</v>
      </c>
      <c r="AX51" t="e">
        <f>AND('SPR BARRANQUILLA'!GV57,"AAAAADsWNTE=")</f>
        <v>#VALUE!</v>
      </c>
      <c r="AY51" t="e">
        <f>AND('SPR BARRANQUILLA'!GW57,"AAAAADsWNTI=")</f>
        <v>#VALUE!</v>
      </c>
      <c r="AZ51" t="e">
        <f>AND('SPR BARRANQUILLA'!GX57,"AAAAADsWNTM=")</f>
        <v>#VALUE!</v>
      </c>
      <c r="BA51" t="e">
        <f>AND('SPR BARRANQUILLA'!GY57,"AAAAADsWNTQ=")</f>
        <v>#VALUE!</v>
      </c>
      <c r="BB51">
        <f>IF('SPR BARRANQUILLA'!58:58,"AAAAADsWNTU=",0)</f>
        <v>0</v>
      </c>
      <c r="BC51" t="e">
        <f>AND('SPR BARRANQUILLA'!A58,"AAAAADsWNTY=")</f>
        <v>#VALUE!</v>
      </c>
      <c r="BD51" t="e">
        <f>AND('SPR BARRANQUILLA'!B58,"AAAAADsWNTc=")</f>
        <v>#VALUE!</v>
      </c>
      <c r="BE51" t="e">
        <f>AND('SPR BARRANQUILLA'!C58,"AAAAADsWNTg=")</f>
        <v>#VALUE!</v>
      </c>
      <c r="BF51" t="e">
        <f>AND('SPR BARRANQUILLA'!D58,"AAAAADsWNTk=")</f>
        <v>#VALUE!</v>
      </c>
      <c r="BG51" t="e">
        <f>AND('SPR BARRANQUILLA'!E58,"AAAAADsWNTo=")</f>
        <v>#VALUE!</v>
      </c>
      <c r="BH51" t="e">
        <f>AND('SPR BARRANQUILLA'!F58,"AAAAADsWNTs=")</f>
        <v>#VALUE!</v>
      </c>
      <c r="BI51" t="e">
        <f>AND('SPR BARRANQUILLA'!G58,"AAAAADsWNTw=")</f>
        <v>#VALUE!</v>
      </c>
      <c r="BJ51" t="e">
        <f>AND('SPR BARRANQUILLA'!H58,"AAAAADsWNT0=")</f>
        <v>#VALUE!</v>
      </c>
      <c r="BK51" t="e">
        <f>AND('SPR BARRANQUILLA'!I58,"AAAAADsWNT4=")</f>
        <v>#VALUE!</v>
      </c>
      <c r="BL51" t="e">
        <f>AND('SPR BARRANQUILLA'!J58,"AAAAADsWNT8=")</f>
        <v>#VALUE!</v>
      </c>
      <c r="BM51" t="e">
        <f>AND('SPR BARRANQUILLA'!K58,"AAAAADsWNUA=")</f>
        <v>#VALUE!</v>
      </c>
      <c r="BN51" t="e">
        <f>AND('SPR BARRANQUILLA'!L58,"AAAAADsWNUE=")</f>
        <v>#VALUE!</v>
      </c>
      <c r="BO51" t="e">
        <f>AND('SPR BARRANQUILLA'!M58,"AAAAADsWNUI=")</f>
        <v>#VALUE!</v>
      </c>
      <c r="BP51" t="e">
        <f>AND('SPR BARRANQUILLA'!N58,"AAAAADsWNUM=")</f>
        <v>#VALUE!</v>
      </c>
      <c r="BQ51" t="e">
        <f>AND('SPR BARRANQUILLA'!O58,"AAAAADsWNUQ=")</f>
        <v>#VALUE!</v>
      </c>
      <c r="BR51" t="e">
        <f>AND('SPR BARRANQUILLA'!P58,"AAAAADsWNUU=")</f>
        <v>#VALUE!</v>
      </c>
      <c r="BS51" t="e">
        <f>AND('SPR BARRANQUILLA'!Q58,"AAAAADsWNUY=")</f>
        <v>#VALUE!</v>
      </c>
      <c r="BT51" t="e">
        <f>AND('SPR BARRANQUILLA'!R58,"AAAAADsWNUc=")</f>
        <v>#VALUE!</v>
      </c>
      <c r="BU51" t="e">
        <f>AND('SPR BARRANQUILLA'!S58,"AAAAADsWNUg=")</f>
        <v>#VALUE!</v>
      </c>
      <c r="BV51" t="e">
        <f>AND('SPR BARRANQUILLA'!T58,"AAAAADsWNUk=")</f>
        <v>#VALUE!</v>
      </c>
      <c r="BW51" t="e">
        <f>AND('SPR BARRANQUILLA'!U58,"AAAAADsWNUo=")</f>
        <v>#VALUE!</v>
      </c>
      <c r="BX51" t="e">
        <f>AND('SPR BARRANQUILLA'!V58,"AAAAADsWNUs=")</f>
        <v>#VALUE!</v>
      </c>
      <c r="BY51" t="e">
        <f>AND('SPR BARRANQUILLA'!W58,"AAAAADsWNUw=")</f>
        <v>#VALUE!</v>
      </c>
      <c r="BZ51" t="e">
        <f>AND('SPR BARRANQUILLA'!X58,"AAAAADsWNU0=")</f>
        <v>#VALUE!</v>
      </c>
      <c r="CA51" t="e">
        <f>AND('SPR BARRANQUILLA'!Y58,"AAAAADsWNU4=")</f>
        <v>#VALUE!</v>
      </c>
      <c r="CB51" t="e">
        <f>AND('SPR BARRANQUILLA'!Z58,"AAAAADsWNU8=")</f>
        <v>#VALUE!</v>
      </c>
      <c r="CC51" t="e">
        <f>AND('SPR BARRANQUILLA'!AA58,"AAAAADsWNVA=")</f>
        <v>#VALUE!</v>
      </c>
      <c r="CD51" t="e">
        <f>AND('SPR BARRANQUILLA'!AB58,"AAAAADsWNVE=")</f>
        <v>#VALUE!</v>
      </c>
      <c r="CE51" t="e">
        <f>AND('SPR BARRANQUILLA'!AC58,"AAAAADsWNVI=")</f>
        <v>#VALUE!</v>
      </c>
      <c r="CF51" t="e">
        <f>AND('SPR BARRANQUILLA'!AD58,"AAAAADsWNVM=")</f>
        <v>#VALUE!</v>
      </c>
      <c r="CG51" t="e">
        <f>AND('SPR BARRANQUILLA'!AE58,"AAAAADsWNVQ=")</f>
        <v>#VALUE!</v>
      </c>
      <c r="CH51" t="e">
        <f>AND('SPR BARRANQUILLA'!AF58,"AAAAADsWNVU=")</f>
        <v>#VALUE!</v>
      </c>
      <c r="CI51" t="e">
        <f>AND('SPR BARRANQUILLA'!AG58,"AAAAADsWNVY=")</f>
        <v>#VALUE!</v>
      </c>
      <c r="CJ51" t="e">
        <f>AND('SPR BARRANQUILLA'!AH58,"AAAAADsWNVc=")</f>
        <v>#VALUE!</v>
      </c>
      <c r="CK51" t="e">
        <f>AND('SPR BARRANQUILLA'!AI58,"AAAAADsWNVg=")</f>
        <v>#VALUE!</v>
      </c>
      <c r="CL51" t="e">
        <f>AND('SPR BARRANQUILLA'!AJ58,"AAAAADsWNVk=")</f>
        <v>#VALUE!</v>
      </c>
      <c r="CM51" t="e">
        <f>AND('SPR BARRANQUILLA'!AK58,"AAAAADsWNVo=")</f>
        <v>#VALUE!</v>
      </c>
      <c r="CN51" t="e">
        <f>AND('SPR BARRANQUILLA'!AL58,"AAAAADsWNVs=")</f>
        <v>#VALUE!</v>
      </c>
      <c r="CO51" t="e">
        <f>AND('SPR BARRANQUILLA'!AM58,"AAAAADsWNVw=")</f>
        <v>#VALUE!</v>
      </c>
      <c r="CP51" t="e">
        <f>AND('SPR BARRANQUILLA'!AN58,"AAAAADsWNV0=")</f>
        <v>#VALUE!</v>
      </c>
      <c r="CQ51" t="e">
        <f>AND('SPR BARRANQUILLA'!AO58,"AAAAADsWNV4=")</f>
        <v>#VALUE!</v>
      </c>
      <c r="CR51" t="e">
        <f>AND('SPR BARRANQUILLA'!AP58,"AAAAADsWNV8=")</f>
        <v>#VALUE!</v>
      </c>
      <c r="CS51" t="e">
        <f>AND('SPR BARRANQUILLA'!AQ58,"AAAAADsWNWA=")</f>
        <v>#VALUE!</v>
      </c>
      <c r="CT51" t="e">
        <f>AND('SPR BARRANQUILLA'!AR58,"AAAAADsWNWE=")</f>
        <v>#VALUE!</v>
      </c>
      <c r="CU51" t="e">
        <f>AND('SPR BARRANQUILLA'!AS58,"AAAAADsWNWI=")</f>
        <v>#VALUE!</v>
      </c>
      <c r="CV51" t="e">
        <f>AND('SPR BARRANQUILLA'!AT58,"AAAAADsWNWM=")</f>
        <v>#VALUE!</v>
      </c>
      <c r="CW51" t="e">
        <f>AND('SPR BARRANQUILLA'!AU58,"AAAAADsWNWQ=")</f>
        <v>#VALUE!</v>
      </c>
      <c r="CX51" t="e">
        <f>AND('SPR BARRANQUILLA'!AV58,"AAAAADsWNWU=")</f>
        <v>#VALUE!</v>
      </c>
      <c r="CY51" t="e">
        <f>AND('SPR BARRANQUILLA'!AW58,"AAAAADsWNWY=")</f>
        <v>#VALUE!</v>
      </c>
      <c r="CZ51" t="e">
        <f>AND('SPR BARRANQUILLA'!AX58,"AAAAADsWNWc=")</f>
        <v>#VALUE!</v>
      </c>
      <c r="DA51" t="e">
        <f>AND('SPR BARRANQUILLA'!AY58,"AAAAADsWNWg=")</f>
        <v>#VALUE!</v>
      </c>
      <c r="DB51" t="e">
        <f>AND('SPR BARRANQUILLA'!AZ58,"AAAAADsWNWk=")</f>
        <v>#VALUE!</v>
      </c>
      <c r="DC51" t="e">
        <f>AND('SPR BARRANQUILLA'!BA58,"AAAAADsWNWo=")</f>
        <v>#VALUE!</v>
      </c>
      <c r="DD51" t="e">
        <f>AND('SPR BARRANQUILLA'!BB58,"AAAAADsWNWs=")</f>
        <v>#VALUE!</v>
      </c>
      <c r="DE51" t="e">
        <f>AND('SPR BARRANQUILLA'!BC58,"AAAAADsWNWw=")</f>
        <v>#VALUE!</v>
      </c>
      <c r="DF51" t="e">
        <f>AND('SPR BARRANQUILLA'!BD58,"AAAAADsWNW0=")</f>
        <v>#VALUE!</v>
      </c>
      <c r="DG51" t="e">
        <f>AND('SPR BARRANQUILLA'!BE58,"AAAAADsWNW4=")</f>
        <v>#VALUE!</v>
      </c>
      <c r="DH51" t="e">
        <f>AND('SPR BARRANQUILLA'!BF58,"AAAAADsWNW8=")</f>
        <v>#VALUE!</v>
      </c>
      <c r="DI51" t="e">
        <f>AND('SPR BARRANQUILLA'!BG58,"AAAAADsWNXA=")</f>
        <v>#VALUE!</v>
      </c>
      <c r="DJ51" t="e">
        <f>AND('SPR BARRANQUILLA'!BH58,"AAAAADsWNXE=")</f>
        <v>#VALUE!</v>
      </c>
      <c r="DK51" t="e">
        <f>AND('SPR BARRANQUILLA'!BI58,"AAAAADsWNXI=")</f>
        <v>#VALUE!</v>
      </c>
      <c r="DL51" t="e">
        <f>AND('SPR BARRANQUILLA'!BJ58,"AAAAADsWNXM=")</f>
        <v>#VALUE!</v>
      </c>
      <c r="DM51" t="e">
        <f>AND('SPR BARRANQUILLA'!BK58,"AAAAADsWNXQ=")</f>
        <v>#VALUE!</v>
      </c>
      <c r="DN51" t="e">
        <f>AND('SPR BARRANQUILLA'!BL58,"AAAAADsWNXU=")</f>
        <v>#VALUE!</v>
      </c>
      <c r="DO51" t="e">
        <f>AND('SPR BARRANQUILLA'!BM58,"AAAAADsWNXY=")</f>
        <v>#VALUE!</v>
      </c>
      <c r="DP51" t="e">
        <f>AND('SPR BARRANQUILLA'!BN58,"AAAAADsWNXc=")</f>
        <v>#VALUE!</v>
      </c>
      <c r="DQ51" t="e">
        <f>AND('SPR BARRANQUILLA'!BO58,"AAAAADsWNXg=")</f>
        <v>#VALUE!</v>
      </c>
      <c r="DR51" t="e">
        <f>AND('SPR BARRANQUILLA'!BP58,"AAAAADsWNXk=")</f>
        <v>#VALUE!</v>
      </c>
      <c r="DS51" t="e">
        <f>AND('SPR BARRANQUILLA'!BQ58,"AAAAADsWNXo=")</f>
        <v>#VALUE!</v>
      </c>
      <c r="DT51" t="e">
        <f>AND('SPR BARRANQUILLA'!BR58,"AAAAADsWNXs=")</f>
        <v>#VALUE!</v>
      </c>
      <c r="DU51" t="e">
        <f>AND('SPR BARRANQUILLA'!BS58,"AAAAADsWNXw=")</f>
        <v>#VALUE!</v>
      </c>
      <c r="DV51" t="e">
        <f>AND('SPR BARRANQUILLA'!BT58,"AAAAADsWNX0=")</f>
        <v>#VALUE!</v>
      </c>
      <c r="DW51" t="e">
        <f>AND('SPR BARRANQUILLA'!BU58,"AAAAADsWNX4=")</f>
        <v>#VALUE!</v>
      </c>
      <c r="DX51" t="e">
        <f>AND('SPR BARRANQUILLA'!BV58,"AAAAADsWNX8=")</f>
        <v>#VALUE!</v>
      </c>
      <c r="DY51" t="e">
        <f>AND('SPR BARRANQUILLA'!BW58,"AAAAADsWNYA=")</f>
        <v>#VALUE!</v>
      </c>
      <c r="DZ51" t="e">
        <f>AND('SPR BARRANQUILLA'!BX58,"AAAAADsWNYE=")</f>
        <v>#VALUE!</v>
      </c>
      <c r="EA51" t="e">
        <f>AND('SPR BARRANQUILLA'!BY58,"AAAAADsWNYI=")</f>
        <v>#VALUE!</v>
      </c>
      <c r="EB51" t="e">
        <f>AND('SPR BARRANQUILLA'!BZ58,"AAAAADsWNYM=")</f>
        <v>#VALUE!</v>
      </c>
      <c r="EC51" t="e">
        <f>AND('SPR BARRANQUILLA'!CA58,"AAAAADsWNYQ=")</f>
        <v>#VALUE!</v>
      </c>
      <c r="ED51" t="e">
        <f>AND('SPR BARRANQUILLA'!CB58,"AAAAADsWNYU=")</f>
        <v>#VALUE!</v>
      </c>
      <c r="EE51" t="e">
        <f>AND('SPR BARRANQUILLA'!CC58,"AAAAADsWNYY=")</f>
        <v>#VALUE!</v>
      </c>
      <c r="EF51" t="e">
        <f>AND('SPR BARRANQUILLA'!CD58,"AAAAADsWNYc=")</f>
        <v>#VALUE!</v>
      </c>
      <c r="EG51" t="e">
        <f>AND('SPR BARRANQUILLA'!CE58,"AAAAADsWNYg=")</f>
        <v>#VALUE!</v>
      </c>
      <c r="EH51" t="e">
        <f>AND('SPR BARRANQUILLA'!CF58,"AAAAADsWNYk=")</f>
        <v>#VALUE!</v>
      </c>
      <c r="EI51" t="e">
        <f>AND('SPR BARRANQUILLA'!CG58,"AAAAADsWNYo=")</f>
        <v>#VALUE!</v>
      </c>
      <c r="EJ51" t="e">
        <f>AND('SPR BARRANQUILLA'!CH58,"AAAAADsWNYs=")</f>
        <v>#VALUE!</v>
      </c>
      <c r="EK51" t="e">
        <f>AND('SPR BARRANQUILLA'!CI58,"AAAAADsWNYw=")</f>
        <v>#VALUE!</v>
      </c>
      <c r="EL51" t="e">
        <f>AND('SPR BARRANQUILLA'!CJ58,"AAAAADsWNY0=")</f>
        <v>#VALUE!</v>
      </c>
      <c r="EM51" t="e">
        <f>AND('SPR BARRANQUILLA'!CK58,"AAAAADsWNY4=")</f>
        <v>#VALUE!</v>
      </c>
      <c r="EN51" t="e">
        <f>AND('SPR BARRANQUILLA'!CL58,"AAAAADsWNY8=")</f>
        <v>#VALUE!</v>
      </c>
      <c r="EO51" t="e">
        <f>AND('SPR BARRANQUILLA'!CM58,"AAAAADsWNZA=")</f>
        <v>#VALUE!</v>
      </c>
      <c r="EP51" t="e">
        <f>AND('SPR BARRANQUILLA'!CN58,"AAAAADsWNZE=")</f>
        <v>#VALUE!</v>
      </c>
      <c r="EQ51" t="e">
        <f>AND('SPR BARRANQUILLA'!CO58,"AAAAADsWNZI=")</f>
        <v>#VALUE!</v>
      </c>
      <c r="ER51" t="e">
        <f>AND('SPR BARRANQUILLA'!CP58,"AAAAADsWNZM=")</f>
        <v>#VALUE!</v>
      </c>
      <c r="ES51" t="e">
        <f>AND('SPR BARRANQUILLA'!CQ58,"AAAAADsWNZQ=")</f>
        <v>#VALUE!</v>
      </c>
      <c r="ET51" t="e">
        <f>AND('SPR BARRANQUILLA'!CR58,"AAAAADsWNZU=")</f>
        <v>#VALUE!</v>
      </c>
      <c r="EU51" t="e">
        <f>AND('SPR BARRANQUILLA'!CS58,"AAAAADsWNZY=")</f>
        <v>#VALUE!</v>
      </c>
      <c r="EV51" t="e">
        <f>AND('SPR BARRANQUILLA'!CT58,"AAAAADsWNZc=")</f>
        <v>#VALUE!</v>
      </c>
      <c r="EW51" t="e">
        <f>AND('SPR BARRANQUILLA'!CU58,"AAAAADsWNZg=")</f>
        <v>#VALUE!</v>
      </c>
      <c r="EX51" t="e">
        <f>AND('SPR BARRANQUILLA'!CV58,"AAAAADsWNZk=")</f>
        <v>#VALUE!</v>
      </c>
      <c r="EY51" t="e">
        <f>AND('SPR BARRANQUILLA'!CW58,"AAAAADsWNZo=")</f>
        <v>#VALUE!</v>
      </c>
      <c r="EZ51" t="e">
        <f>AND('SPR BARRANQUILLA'!CX58,"AAAAADsWNZs=")</f>
        <v>#VALUE!</v>
      </c>
      <c r="FA51" t="e">
        <f>AND('SPR BARRANQUILLA'!CY58,"AAAAADsWNZw=")</f>
        <v>#VALUE!</v>
      </c>
      <c r="FB51" t="e">
        <f>AND('SPR BARRANQUILLA'!CZ58,"AAAAADsWNZ0=")</f>
        <v>#VALUE!</v>
      </c>
      <c r="FC51" t="e">
        <f>AND('SPR BARRANQUILLA'!DA58,"AAAAADsWNZ4=")</f>
        <v>#VALUE!</v>
      </c>
      <c r="FD51" t="e">
        <f>AND('SPR BARRANQUILLA'!DB58,"AAAAADsWNZ8=")</f>
        <v>#VALUE!</v>
      </c>
      <c r="FE51" t="e">
        <f>AND('SPR BARRANQUILLA'!DC58,"AAAAADsWNaA=")</f>
        <v>#VALUE!</v>
      </c>
      <c r="FF51" t="e">
        <f>AND('SPR BARRANQUILLA'!DD58,"AAAAADsWNaE=")</f>
        <v>#VALUE!</v>
      </c>
      <c r="FG51" t="e">
        <f>AND('SPR BARRANQUILLA'!DE58,"AAAAADsWNaI=")</f>
        <v>#VALUE!</v>
      </c>
      <c r="FH51" t="e">
        <f>AND('SPR BARRANQUILLA'!DF58,"AAAAADsWNaM=")</f>
        <v>#VALUE!</v>
      </c>
      <c r="FI51" t="e">
        <f>AND('SPR BARRANQUILLA'!DG58,"AAAAADsWNaQ=")</f>
        <v>#VALUE!</v>
      </c>
      <c r="FJ51" t="e">
        <f>AND('SPR BARRANQUILLA'!DH58,"AAAAADsWNaU=")</f>
        <v>#VALUE!</v>
      </c>
      <c r="FK51" t="e">
        <f>AND('SPR BARRANQUILLA'!DI58,"AAAAADsWNaY=")</f>
        <v>#VALUE!</v>
      </c>
      <c r="FL51" t="e">
        <f>AND('SPR BARRANQUILLA'!DJ58,"AAAAADsWNac=")</f>
        <v>#VALUE!</v>
      </c>
      <c r="FM51" t="e">
        <f>AND('SPR BARRANQUILLA'!DK58,"AAAAADsWNag=")</f>
        <v>#VALUE!</v>
      </c>
      <c r="FN51" t="e">
        <f>AND('SPR BARRANQUILLA'!DL58,"AAAAADsWNak=")</f>
        <v>#VALUE!</v>
      </c>
      <c r="FO51" t="e">
        <f>AND('SPR BARRANQUILLA'!DM58,"AAAAADsWNao=")</f>
        <v>#VALUE!</v>
      </c>
      <c r="FP51" t="e">
        <f>AND('SPR BARRANQUILLA'!DN58,"AAAAADsWNas=")</f>
        <v>#VALUE!</v>
      </c>
      <c r="FQ51" t="e">
        <f>AND('SPR BARRANQUILLA'!DO58,"AAAAADsWNaw=")</f>
        <v>#VALUE!</v>
      </c>
      <c r="FR51" t="e">
        <f>AND('SPR BARRANQUILLA'!DP58,"AAAAADsWNa0=")</f>
        <v>#VALUE!</v>
      </c>
      <c r="FS51" t="e">
        <f>AND('SPR BARRANQUILLA'!DQ58,"AAAAADsWNa4=")</f>
        <v>#VALUE!</v>
      </c>
      <c r="FT51" t="e">
        <f>AND('SPR BARRANQUILLA'!DR58,"AAAAADsWNa8=")</f>
        <v>#VALUE!</v>
      </c>
      <c r="FU51" t="e">
        <f>AND('SPR BARRANQUILLA'!DS58,"AAAAADsWNbA=")</f>
        <v>#VALUE!</v>
      </c>
      <c r="FV51" t="e">
        <f>AND('SPR BARRANQUILLA'!DT58,"AAAAADsWNbE=")</f>
        <v>#VALUE!</v>
      </c>
      <c r="FW51" t="e">
        <f>AND('SPR BARRANQUILLA'!DU58,"AAAAADsWNbI=")</f>
        <v>#VALUE!</v>
      </c>
      <c r="FX51" t="e">
        <f>AND('SPR BARRANQUILLA'!DV58,"AAAAADsWNbM=")</f>
        <v>#VALUE!</v>
      </c>
      <c r="FY51" t="e">
        <f>AND('SPR BARRANQUILLA'!DW58,"AAAAADsWNbQ=")</f>
        <v>#VALUE!</v>
      </c>
      <c r="FZ51" t="e">
        <f>AND('SPR BARRANQUILLA'!DX58,"AAAAADsWNbU=")</f>
        <v>#VALUE!</v>
      </c>
      <c r="GA51" t="e">
        <f>AND('SPR BARRANQUILLA'!DY58,"AAAAADsWNbY=")</f>
        <v>#VALUE!</v>
      </c>
      <c r="GB51" t="e">
        <f>AND('SPR BARRANQUILLA'!DZ58,"AAAAADsWNbc=")</f>
        <v>#VALUE!</v>
      </c>
      <c r="GC51" t="e">
        <f>AND('SPR BARRANQUILLA'!EA58,"AAAAADsWNbg=")</f>
        <v>#VALUE!</v>
      </c>
      <c r="GD51" t="e">
        <f>AND('SPR BARRANQUILLA'!EB58,"AAAAADsWNbk=")</f>
        <v>#VALUE!</v>
      </c>
      <c r="GE51" t="e">
        <f>AND('SPR BARRANQUILLA'!EC58,"AAAAADsWNbo=")</f>
        <v>#VALUE!</v>
      </c>
      <c r="GF51" t="e">
        <f>AND('SPR BARRANQUILLA'!ED58,"AAAAADsWNbs=")</f>
        <v>#VALUE!</v>
      </c>
      <c r="GG51" t="e">
        <f>AND('SPR BARRANQUILLA'!EE58,"AAAAADsWNbw=")</f>
        <v>#VALUE!</v>
      </c>
      <c r="GH51" t="e">
        <f>AND('SPR BARRANQUILLA'!EF58,"AAAAADsWNb0=")</f>
        <v>#VALUE!</v>
      </c>
      <c r="GI51" t="e">
        <f>AND('SPR BARRANQUILLA'!EG58,"AAAAADsWNb4=")</f>
        <v>#VALUE!</v>
      </c>
      <c r="GJ51" t="e">
        <f>AND('SPR BARRANQUILLA'!EH58,"AAAAADsWNb8=")</f>
        <v>#VALUE!</v>
      </c>
      <c r="GK51" t="e">
        <f>AND('SPR BARRANQUILLA'!EI58,"AAAAADsWNcA=")</f>
        <v>#VALUE!</v>
      </c>
      <c r="GL51" t="e">
        <f>AND('SPR BARRANQUILLA'!EJ58,"AAAAADsWNcE=")</f>
        <v>#VALUE!</v>
      </c>
      <c r="GM51" t="e">
        <f>AND('SPR BARRANQUILLA'!EK58,"AAAAADsWNcI=")</f>
        <v>#VALUE!</v>
      </c>
      <c r="GN51" t="e">
        <f>AND('SPR BARRANQUILLA'!EL58,"AAAAADsWNcM=")</f>
        <v>#VALUE!</v>
      </c>
      <c r="GO51" t="e">
        <f>AND('SPR BARRANQUILLA'!EM58,"AAAAADsWNcQ=")</f>
        <v>#VALUE!</v>
      </c>
      <c r="GP51" t="e">
        <f>AND('SPR BARRANQUILLA'!EN58,"AAAAADsWNcU=")</f>
        <v>#VALUE!</v>
      </c>
      <c r="GQ51" t="e">
        <f>AND('SPR BARRANQUILLA'!EO58,"AAAAADsWNcY=")</f>
        <v>#VALUE!</v>
      </c>
      <c r="GR51" t="e">
        <f>AND('SPR BARRANQUILLA'!EP58,"AAAAADsWNcc=")</f>
        <v>#VALUE!</v>
      </c>
      <c r="GS51" t="e">
        <f>AND('SPR BARRANQUILLA'!EQ58,"AAAAADsWNcg=")</f>
        <v>#VALUE!</v>
      </c>
      <c r="GT51" t="e">
        <f>AND('SPR BARRANQUILLA'!ER58,"AAAAADsWNck=")</f>
        <v>#VALUE!</v>
      </c>
      <c r="GU51" t="e">
        <f>AND('SPR BARRANQUILLA'!ES58,"AAAAADsWNco=")</f>
        <v>#VALUE!</v>
      </c>
      <c r="GV51" t="e">
        <f>AND('SPR BARRANQUILLA'!ET58,"AAAAADsWNcs=")</f>
        <v>#VALUE!</v>
      </c>
      <c r="GW51" t="e">
        <f>AND('SPR BARRANQUILLA'!EU58,"AAAAADsWNcw=")</f>
        <v>#VALUE!</v>
      </c>
      <c r="GX51" t="e">
        <f>AND('SPR BARRANQUILLA'!EV58,"AAAAADsWNc0=")</f>
        <v>#VALUE!</v>
      </c>
      <c r="GY51" t="e">
        <f>AND('SPR BARRANQUILLA'!EW58,"AAAAADsWNc4=")</f>
        <v>#VALUE!</v>
      </c>
      <c r="GZ51" t="e">
        <f>AND('SPR BARRANQUILLA'!EX58,"AAAAADsWNc8=")</f>
        <v>#VALUE!</v>
      </c>
      <c r="HA51" t="e">
        <f>AND('SPR BARRANQUILLA'!EY58,"AAAAADsWNdA=")</f>
        <v>#VALUE!</v>
      </c>
      <c r="HB51" t="e">
        <f>AND('SPR BARRANQUILLA'!EZ58,"AAAAADsWNdE=")</f>
        <v>#VALUE!</v>
      </c>
      <c r="HC51" t="e">
        <f>AND('SPR BARRANQUILLA'!FA58,"AAAAADsWNdI=")</f>
        <v>#VALUE!</v>
      </c>
      <c r="HD51" t="e">
        <f>AND('SPR BARRANQUILLA'!FB58,"AAAAADsWNdM=")</f>
        <v>#VALUE!</v>
      </c>
      <c r="HE51" t="e">
        <f>AND('SPR BARRANQUILLA'!FC58,"AAAAADsWNdQ=")</f>
        <v>#VALUE!</v>
      </c>
      <c r="HF51" t="e">
        <f>AND('SPR BARRANQUILLA'!FD58,"AAAAADsWNdU=")</f>
        <v>#VALUE!</v>
      </c>
      <c r="HG51" t="e">
        <f>AND('SPR BARRANQUILLA'!FE58,"AAAAADsWNdY=")</f>
        <v>#VALUE!</v>
      </c>
      <c r="HH51" t="e">
        <f>AND('SPR BARRANQUILLA'!FF58,"AAAAADsWNdc=")</f>
        <v>#VALUE!</v>
      </c>
      <c r="HI51" t="e">
        <f>AND('SPR BARRANQUILLA'!FG58,"AAAAADsWNdg=")</f>
        <v>#VALUE!</v>
      </c>
      <c r="HJ51" t="e">
        <f>AND('SPR BARRANQUILLA'!FH58,"AAAAADsWNdk=")</f>
        <v>#VALUE!</v>
      </c>
      <c r="HK51" t="e">
        <f>AND('SPR BARRANQUILLA'!FI58,"AAAAADsWNdo=")</f>
        <v>#VALUE!</v>
      </c>
      <c r="HL51" t="e">
        <f>AND('SPR BARRANQUILLA'!FJ58,"AAAAADsWNds=")</f>
        <v>#VALUE!</v>
      </c>
      <c r="HM51" t="e">
        <f>AND('SPR BARRANQUILLA'!FK58,"AAAAADsWNdw=")</f>
        <v>#VALUE!</v>
      </c>
      <c r="HN51" t="e">
        <f>AND('SPR BARRANQUILLA'!FL58,"AAAAADsWNd0=")</f>
        <v>#VALUE!</v>
      </c>
      <c r="HO51" t="e">
        <f>AND('SPR BARRANQUILLA'!FM58,"AAAAADsWNd4=")</f>
        <v>#VALUE!</v>
      </c>
      <c r="HP51" t="e">
        <f>AND('SPR BARRANQUILLA'!FN58,"AAAAADsWNd8=")</f>
        <v>#VALUE!</v>
      </c>
      <c r="HQ51" t="e">
        <f>AND('SPR BARRANQUILLA'!FO58,"AAAAADsWNeA=")</f>
        <v>#VALUE!</v>
      </c>
      <c r="HR51" t="e">
        <f>AND('SPR BARRANQUILLA'!FP58,"AAAAADsWNeE=")</f>
        <v>#VALUE!</v>
      </c>
      <c r="HS51" t="e">
        <f>AND('SPR BARRANQUILLA'!FQ58,"AAAAADsWNeI=")</f>
        <v>#VALUE!</v>
      </c>
      <c r="HT51" t="e">
        <f>AND('SPR BARRANQUILLA'!FR58,"AAAAADsWNeM=")</f>
        <v>#VALUE!</v>
      </c>
      <c r="HU51" t="e">
        <f>AND('SPR BARRANQUILLA'!FS58,"AAAAADsWNeQ=")</f>
        <v>#VALUE!</v>
      </c>
      <c r="HV51" t="e">
        <f>AND('SPR BARRANQUILLA'!FT58,"AAAAADsWNeU=")</f>
        <v>#VALUE!</v>
      </c>
      <c r="HW51" t="e">
        <f>AND('SPR BARRANQUILLA'!FU58,"AAAAADsWNeY=")</f>
        <v>#VALUE!</v>
      </c>
      <c r="HX51" t="e">
        <f>AND('SPR BARRANQUILLA'!FV58,"AAAAADsWNec=")</f>
        <v>#VALUE!</v>
      </c>
      <c r="HY51" t="e">
        <f>AND('SPR BARRANQUILLA'!FW58,"AAAAADsWNeg=")</f>
        <v>#VALUE!</v>
      </c>
      <c r="HZ51" t="e">
        <f>AND('SPR BARRANQUILLA'!FX58,"AAAAADsWNek=")</f>
        <v>#VALUE!</v>
      </c>
      <c r="IA51" t="e">
        <f>AND('SPR BARRANQUILLA'!FY58,"AAAAADsWNeo=")</f>
        <v>#VALUE!</v>
      </c>
      <c r="IB51" t="e">
        <f>AND('SPR BARRANQUILLA'!FZ58,"AAAAADsWNes=")</f>
        <v>#VALUE!</v>
      </c>
      <c r="IC51" t="e">
        <f>AND('SPR BARRANQUILLA'!GA58,"AAAAADsWNew=")</f>
        <v>#VALUE!</v>
      </c>
      <c r="ID51" t="e">
        <f>AND('SPR BARRANQUILLA'!GB58,"AAAAADsWNe0=")</f>
        <v>#VALUE!</v>
      </c>
      <c r="IE51" t="e">
        <f>AND('SPR BARRANQUILLA'!GC58,"AAAAADsWNe4=")</f>
        <v>#VALUE!</v>
      </c>
      <c r="IF51" t="e">
        <f>AND('SPR BARRANQUILLA'!GD58,"AAAAADsWNe8=")</f>
        <v>#VALUE!</v>
      </c>
      <c r="IG51" t="e">
        <f>AND('SPR BARRANQUILLA'!GE58,"AAAAADsWNfA=")</f>
        <v>#VALUE!</v>
      </c>
      <c r="IH51" t="e">
        <f>AND('SPR BARRANQUILLA'!GF58,"AAAAADsWNfE=")</f>
        <v>#VALUE!</v>
      </c>
      <c r="II51" t="e">
        <f>AND('SPR BARRANQUILLA'!GG58,"AAAAADsWNfI=")</f>
        <v>#VALUE!</v>
      </c>
      <c r="IJ51" t="e">
        <f>AND('SPR BARRANQUILLA'!GH58,"AAAAADsWNfM=")</f>
        <v>#VALUE!</v>
      </c>
      <c r="IK51" t="e">
        <f>AND('SPR BARRANQUILLA'!GI58,"AAAAADsWNfQ=")</f>
        <v>#VALUE!</v>
      </c>
      <c r="IL51" t="e">
        <f>AND('SPR BARRANQUILLA'!GJ58,"AAAAADsWNfU=")</f>
        <v>#VALUE!</v>
      </c>
      <c r="IM51" t="e">
        <f>AND('SPR BARRANQUILLA'!GK58,"AAAAADsWNfY=")</f>
        <v>#VALUE!</v>
      </c>
      <c r="IN51" t="e">
        <f>AND('SPR BARRANQUILLA'!GL58,"AAAAADsWNfc=")</f>
        <v>#VALUE!</v>
      </c>
      <c r="IO51" t="e">
        <f>AND('SPR BARRANQUILLA'!GM58,"AAAAADsWNfg=")</f>
        <v>#VALUE!</v>
      </c>
      <c r="IP51" t="e">
        <f>AND('SPR BARRANQUILLA'!GN58,"AAAAADsWNfk=")</f>
        <v>#VALUE!</v>
      </c>
      <c r="IQ51" t="e">
        <f>AND('SPR BARRANQUILLA'!GO58,"AAAAADsWNfo=")</f>
        <v>#VALUE!</v>
      </c>
      <c r="IR51" t="e">
        <f>AND('SPR BARRANQUILLA'!GP58,"AAAAADsWNfs=")</f>
        <v>#VALUE!</v>
      </c>
      <c r="IS51" t="e">
        <f>AND('SPR BARRANQUILLA'!GQ58,"AAAAADsWNfw=")</f>
        <v>#VALUE!</v>
      </c>
      <c r="IT51" t="e">
        <f>AND('SPR BARRANQUILLA'!GR58,"AAAAADsWNf0=")</f>
        <v>#VALUE!</v>
      </c>
      <c r="IU51" t="e">
        <f>AND('SPR BARRANQUILLA'!GS58,"AAAAADsWNf4=")</f>
        <v>#VALUE!</v>
      </c>
      <c r="IV51" t="e">
        <f>AND('SPR BARRANQUILLA'!GT58,"AAAAADsWNf8=")</f>
        <v>#VALUE!</v>
      </c>
    </row>
    <row r="52" spans="1:256">
      <c r="A52" t="e">
        <f>AND('SPR BARRANQUILLA'!GU58,"AAAAAHJp/QA=")</f>
        <v>#VALUE!</v>
      </c>
      <c r="B52" t="e">
        <f>AND('SPR BARRANQUILLA'!GV58,"AAAAAHJp/QE=")</f>
        <v>#VALUE!</v>
      </c>
      <c r="C52" t="e">
        <f>AND('SPR BARRANQUILLA'!GW58,"AAAAAHJp/QI=")</f>
        <v>#VALUE!</v>
      </c>
      <c r="D52" t="e">
        <f>AND('SPR BARRANQUILLA'!GX58,"AAAAAHJp/QM=")</f>
        <v>#VALUE!</v>
      </c>
      <c r="E52" t="e">
        <f>AND('SPR BARRANQUILLA'!GY58,"AAAAAHJp/QQ=")</f>
        <v>#VALUE!</v>
      </c>
      <c r="F52">
        <f>IF('SPR BARRANQUILLA'!59:59,"AAAAAHJp/QU=",0)</f>
        <v>0</v>
      </c>
      <c r="G52" t="e">
        <f>AND('SPR BARRANQUILLA'!A59,"AAAAAHJp/QY=")</f>
        <v>#VALUE!</v>
      </c>
      <c r="H52" t="e">
        <f>AND('SPR BARRANQUILLA'!B59,"AAAAAHJp/Qc=")</f>
        <v>#VALUE!</v>
      </c>
      <c r="I52" t="e">
        <f>AND('SPR BARRANQUILLA'!C59,"AAAAAHJp/Qg=")</f>
        <v>#VALUE!</v>
      </c>
      <c r="J52" t="e">
        <f>AND('SPR BARRANQUILLA'!D59,"AAAAAHJp/Qk=")</f>
        <v>#VALUE!</v>
      </c>
      <c r="K52" t="e">
        <f>AND('SPR BARRANQUILLA'!E59,"AAAAAHJp/Qo=")</f>
        <v>#VALUE!</v>
      </c>
      <c r="L52" t="e">
        <f>AND('SPR BARRANQUILLA'!F59,"AAAAAHJp/Qs=")</f>
        <v>#VALUE!</v>
      </c>
      <c r="M52" t="e">
        <f>AND('SPR BARRANQUILLA'!G59,"AAAAAHJp/Qw=")</f>
        <v>#VALUE!</v>
      </c>
      <c r="N52" t="e">
        <f>AND('SPR BARRANQUILLA'!H59,"AAAAAHJp/Q0=")</f>
        <v>#VALUE!</v>
      </c>
      <c r="O52" t="e">
        <f>AND('SPR BARRANQUILLA'!I59,"AAAAAHJp/Q4=")</f>
        <v>#VALUE!</v>
      </c>
      <c r="P52" t="e">
        <f>AND('SPR BARRANQUILLA'!J59,"AAAAAHJp/Q8=")</f>
        <v>#VALUE!</v>
      </c>
      <c r="Q52" t="e">
        <f>AND('SPR BARRANQUILLA'!K59,"AAAAAHJp/RA=")</f>
        <v>#VALUE!</v>
      </c>
      <c r="R52" t="e">
        <f>AND('SPR BARRANQUILLA'!L59,"AAAAAHJp/RE=")</f>
        <v>#VALUE!</v>
      </c>
      <c r="S52" t="e">
        <f>AND('SPR BARRANQUILLA'!M59,"AAAAAHJp/RI=")</f>
        <v>#VALUE!</v>
      </c>
      <c r="T52" t="e">
        <f>AND('SPR BARRANQUILLA'!N59,"AAAAAHJp/RM=")</f>
        <v>#VALUE!</v>
      </c>
      <c r="U52" t="e">
        <f>AND('SPR BARRANQUILLA'!O59,"AAAAAHJp/RQ=")</f>
        <v>#VALUE!</v>
      </c>
      <c r="V52" t="e">
        <f>AND('SPR BARRANQUILLA'!P59,"AAAAAHJp/RU=")</f>
        <v>#VALUE!</v>
      </c>
      <c r="W52" t="e">
        <f>AND('SPR BARRANQUILLA'!Q59,"AAAAAHJp/RY=")</f>
        <v>#VALUE!</v>
      </c>
      <c r="X52" t="e">
        <f>AND('SPR BARRANQUILLA'!R59,"AAAAAHJp/Rc=")</f>
        <v>#VALUE!</v>
      </c>
      <c r="Y52" t="e">
        <f>AND('SPR BARRANQUILLA'!S59,"AAAAAHJp/Rg=")</f>
        <v>#VALUE!</v>
      </c>
      <c r="Z52" t="e">
        <f>AND('SPR BARRANQUILLA'!T59,"AAAAAHJp/Rk=")</f>
        <v>#VALUE!</v>
      </c>
      <c r="AA52" t="e">
        <f>AND('SPR BARRANQUILLA'!U59,"AAAAAHJp/Ro=")</f>
        <v>#VALUE!</v>
      </c>
      <c r="AB52" t="e">
        <f>AND('SPR BARRANQUILLA'!V59,"AAAAAHJp/Rs=")</f>
        <v>#VALUE!</v>
      </c>
      <c r="AC52" t="e">
        <f>AND('SPR BARRANQUILLA'!W59,"AAAAAHJp/Rw=")</f>
        <v>#VALUE!</v>
      </c>
      <c r="AD52" t="e">
        <f>AND('SPR BARRANQUILLA'!X59,"AAAAAHJp/R0=")</f>
        <v>#VALUE!</v>
      </c>
      <c r="AE52" t="e">
        <f>AND('SPR BARRANQUILLA'!Y59,"AAAAAHJp/R4=")</f>
        <v>#VALUE!</v>
      </c>
      <c r="AF52" t="e">
        <f>AND('SPR BARRANQUILLA'!Z59,"AAAAAHJp/R8=")</f>
        <v>#VALUE!</v>
      </c>
      <c r="AG52" t="e">
        <f>AND('SPR BARRANQUILLA'!AA59,"AAAAAHJp/SA=")</f>
        <v>#VALUE!</v>
      </c>
      <c r="AH52" t="e">
        <f>AND('SPR BARRANQUILLA'!AB59,"AAAAAHJp/SE=")</f>
        <v>#VALUE!</v>
      </c>
      <c r="AI52" t="e">
        <f>AND('SPR BARRANQUILLA'!AC59,"AAAAAHJp/SI=")</f>
        <v>#VALUE!</v>
      </c>
      <c r="AJ52" t="e">
        <f>AND('SPR BARRANQUILLA'!AD59,"AAAAAHJp/SM=")</f>
        <v>#VALUE!</v>
      </c>
      <c r="AK52" t="e">
        <f>AND('SPR BARRANQUILLA'!AE59,"AAAAAHJp/SQ=")</f>
        <v>#VALUE!</v>
      </c>
      <c r="AL52" t="e">
        <f>AND('SPR BARRANQUILLA'!AF59,"AAAAAHJp/SU=")</f>
        <v>#VALUE!</v>
      </c>
      <c r="AM52" t="e">
        <f>AND('SPR BARRANQUILLA'!AG59,"AAAAAHJp/SY=")</f>
        <v>#VALUE!</v>
      </c>
      <c r="AN52" t="e">
        <f>AND('SPR BARRANQUILLA'!AH59,"AAAAAHJp/Sc=")</f>
        <v>#VALUE!</v>
      </c>
      <c r="AO52" t="e">
        <f>AND('SPR BARRANQUILLA'!AI59,"AAAAAHJp/Sg=")</f>
        <v>#VALUE!</v>
      </c>
      <c r="AP52" t="e">
        <f>AND('SPR BARRANQUILLA'!AJ59,"AAAAAHJp/Sk=")</f>
        <v>#VALUE!</v>
      </c>
      <c r="AQ52" t="e">
        <f>AND('SPR BARRANQUILLA'!AK59,"AAAAAHJp/So=")</f>
        <v>#VALUE!</v>
      </c>
      <c r="AR52" t="e">
        <f>AND('SPR BARRANQUILLA'!AL59,"AAAAAHJp/Ss=")</f>
        <v>#VALUE!</v>
      </c>
      <c r="AS52" t="e">
        <f>AND('SPR BARRANQUILLA'!AM59,"AAAAAHJp/Sw=")</f>
        <v>#VALUE!</v>
      </c>
      <c r="AT52" t="e">
        <f>AND('SPR BARRANQUILLA'!AN59,"AAAAAHJp/S0=")</f>
        <v>#VALUE!</v>
      </c>
      <c r="AU52" t="e">
        <f>AND('SPR BARRANQUILLA'!AO59,"AAAAAHJp/S4=")</f>
        <v>#VALUE!</v>
      </c>
      <c r="AV52" t="e">
        <f>AND('SPR BARRANQUILLA'!AP59,"AAAAAHJp/S8=")</f>
        <v>#VALUE!</v>
      </c>
      <c r="AW52" t="e">
        <f>AND('SPR BARRANQUILLA'!AQ59,"AAAAAHJp/TA=")</f>
        <v>#VALUE!</v>
      </c>
      <c r="AX52" t="e">
        <f>AND('SPR BARRANQUILLA'!AR59,"AAAAAHJp/TE=")</f>
        <v>#VALUE!</v>
      </c>
      <c r="AY52" t="e">
        <f>AND('SPR BARRANQUILLA'!AS59,"AAAAAHJp/TI=")</f>
        <v>#VALUE!</v>
      </c>
      <c r="AZ52" t="e">
        <f>AND('SPR BARRANQUILLA'!AT59,"AAAAAHJp/TM=")</f>
        <v>#VALUE!</v>
      </c>
      <c r="BA52" t="e">
        <f>AND('SPR BARRANQUILLA'!AU59,"AAAAAHJp/TQ=")</f>
        <v>#VALUE!</v>
      </c>
      <c r="BB52" t="e">
        <f>AND('SPR BARRANQUILLA'!AV59,"AAAAAHJp/TU=")</f>
        <v>#VALUE!</v>
      </c>
      <c r="BC52" t="e">
        <f>AND('SPR BARRANQUILLA'!AW59,"AAAAAHJp/TY=")</f>
        <v>#VALUE!</v>
      </c>
      <c r="BD52" t="e">
        <f>AND('SPR BARRANQUILLA'!AX59,"AAAAAHJp/Tc=")</f>
        <v>#VALUE!</v>
      </c>
      <c r="BE52" t="e">
        <f>AND('SPR BARRANQUILLA'!AY59,"AAAAAHJp/Tg=")</f>
        <v>#VALUE!</v>
      </c>
      <c r="BF52" t="e">
        <f>AND('SPR BARRANQUILLA'!AZ59,"AAAAAHJp/Tk=")</f>
        <v>#VALUE!</v>
      </c>
      <c r="BG52" t="e">
        <f>AND('SPR BARRANQUILLA'!BA59,"AAAAAHJp/To=")</f>
        <v>#VALUE!</v>
      </c>
      <c r="BH52" t="e">
        <f>AND('SPR BARRANQUILLA'!BB59,"AAAAAHJp/Ts=")</f>
        <v>#VALUE!</v>
      </c>
      <c r="BI52" t="e">
        <f>AND('SPR BARRANQUILLA'!BC59,"AAAAAHJp/Tw=")</f>
        <v>#VALUE!</v>
      </c>
      <c r="BJ52" t="e">
        <f>AND('SPR BARRANQUILLA'!BD59,"AAAAAHJp/T0=")</f>
        <v>#VALUE!</v>
      </c>
      <c r="BK52" t="e">
        <f>AND('SPR BARRANQUILLA'!BE59,"AAAAAHJp/T4=")</f>
        <v>#VALUE!</v>
      </c>
      <c r="BL52" t="e">
        <f>AND('SPR BARRANQUILLA'!BF59,"AAAAAHJp/T8=")</f>
        <v>#VALUE!</v>
      </c>
      <c r="BM52" t="e">
        <f>AND('SPR BARRANQUILLA'!BG59,"AAAAAHJp/UA=")</f>
        <v>#VALUE!</v>
      </c>
      <c r="BN52" t="e">
        <f>AND('SPR BARRANQUILLA'!BH59,"AAAAAHJp/UE=")</f>
        <v>#VALUE!</v>
      </c>
      <c r="BO52" t="e">
        <f>AND('SPR BARRANQUILLA'!BI59,"AAAAAHJp/UI=")</f>
        <v>#VALUE!</v>
      </c>
      <c r="BP52" t="e">
        <f>AND('SPR BARRANQUILLA'!BJ59,"AAAAAHJp/UM=")</f>
        <v>#VALUE!</v>
      </c>
      <c r="BQ52" t="e">
        <f>AND('SPR BARRANQUILLA'!BK59,"AAAAAHJp/UQ=")</f>
        <v>#VALUE!</v>
      </c>
      <c r="BR52" t="e">
        <f>AND('SPR BARRANQUILLA'!BL59,"AAAAAHJp/UU=")</f>
        <v>#VALUE!</v>
      </c>
      <c r="BS52" t="e">
        <f>AND('SPR BARRANQUILLA'!BM59,"AAAAAHJp/UY=")</f>
        <v>#VALUE!</v>
      </c>
      <c r="BT52" t="e">
        <f>AND('SPR BARRANQUILLA'!BN59,"AAAAAHJp/Uc=")</f>
        <v>#VALUE!</v>
      </c>
      <c r="BU52" t="e">
        <f>AND('SPR BARRANQUILLA'!BO59,"AAAAAHJp/Ug=")</f>
        <v>#VALUE!</v>
      </c>
      <c r="BV52" t="e">
        <f>AND('SPR BARRANQUILLA'!BP59,"AAAAAHJp/Uk=")</f>
        <v>#VALUE!</v>
      </c>
      <c r="BW52" t="e">
        <f>AND('SPR BARRANQUILLA'!BQ59,"AAAAAHJp/Uo=")</f>
        <v>#VALUE!</v>
      </c>
      <c r="BX52" t="e">
        <f>AND('SPR BARRANQUILLA'!BR59,"AAAAAHJp/Us=")</f>
        <v>#VALUE!</v>
      </c>
      <c r="BY52" t="e">
        <f>AND('SPR BARRANQUILLA'!BS59,"AAAAAHJp/Uw=")</f>
        <v>#VALUE!</v>
      </c>
      <c r="BZ52" t="e">
        <f>AND('SPR BARRANQUILLA'!BT59,"AAAAAHJp/U0=")</f>
        <v>#VALUE!</v>
      </c>
      <c r="CA52" t="e">
        <f>AND('SPR BARRANQUILLA'!BU59,"AAAAAHJp/U4=")</f>
        <v>#VALUE!</v>
      </c>
      <c r="CB52" t="e">
        <f>AND('SPR BARRANQUILLA'!BV59,"AAAAAHJp/U8=")</f>
        <v>#VALUE!</v>
      </c>
      <c r="CC52" t="e">
        <f>AND('SPR BARRANQUILLA'!BW59,"AAAAAHJp/VA=")</f>
        <v>#VALUE!</v>
      </c>
      <c r="CD52" t="e">
        <f>AND('SPR BARRANQUILLA'!BX59,"AAAAAHJp/VE=")</f>
        <v>#VALUE!</v>
      </c>
      <c r="CE52" t="e">
        <f>AND('SPR BARRANQUILLA'!BY59,"AAAAAHJp/VI=")</f>
        <v>#VALUE!</v>
      </c>
      <c r="CF52" t="e">
        <f>AND('SPR BARRANQUILLA'!BZ59,"AAAAAHJp/VM=")</f>
        <v>#VALUE!</v>
      </c>
      <c r="CG52" t="e">
        <f>AND('SPR BARRANQUILLA'!CA59,"AAAAAHJp/VQ=")</f>
        <v>#VALUE!</v>
      </c>
      <c r="CH52" t="e">
        <f>AND('SPR BARRANQUILLA'!CB59,"AAAAAHJp/VU=")</f>
        <v>#VALUE!</v>
      </c>
      <c r="CI52" t="e">
        <f>AND('SPR BARRANQUILLA'!CC59,"AAAAAHJp/VY=")</f>
        <v>#VALUE!</v>
      </c>
      <c r="CJ52" t="e">
        <f>AND('SPR BARRANQUILLA'!CD59,"AAAAAHJp/Vc=")</f>
        <v>#VALUE!</v>
      </c>
      <c r="CK52" t="e">
        <f>AND('SPR BARRANQUILLA'!CE59,"AAAAAHJp/Vg=")</f>
        <v>#VALUE!</v>
      </c>
      <c r="CL52" t="e">
        <f>AND('SPR BARRANQUILLA'!CF59,"AAAAAHJp/Vk=")</f>
        <v>#VALUE!</v>
      </c>
      <c r="CM52" t="e">
        <f>AND('SPR BARRANQUILLA'!CG59,"AAAAAHJp/Vo=")</f>
        <v>#VALUE!</v>
      </c>
      <c r="CN52" t="e">
        <f>AND('SPR BARRANQUILLA'!CH59,"AAAAAHJp/Vs=")</f>
        <v>#VALUE!</v>
      </c>
      <c r="CO52" t="e">
        <f>AND('SPR BARRANQUILLA'!CI59,"AAAAAHJp/Vw=")</f>
        <v>#VALUE!</v>
      </c>
      <c r="CP52" t="e">
        <f>AND('SPR BARRANQUILLA'!CJ59,"AAAAAHJp/V0=")</f>
        <v>#VALUE!</v>
      </c>
      <c r="CQ52" t="e">
        <f>AND('SPR BARRANQUILLA'!CK59,"AAAAAHJp/V4=")</f>
        <v>#VALUE!</v>
      </c>
      <c r="CR52" t="e">
        <f>AND('SPR BARRANQUILLA'!CL59,"AAAAAHJp/V8=")</f>
        <v>#VALUE!</v>
      </c>
      <c r="CS52" t="e">
        <f>AND('SPR BARRANQUILLA'!CM59,"AAAAAHJp/WA=")</f>
        <v>#VALUE!</v>
      </c>
      <c r="CT52" t="e">
        <f>AND('SPR BARRANQUILLA'!CN59,"AAAAAHJp/WE=")</f>
        <v>#VALUE!</v>
      </c>
      <c r="CU52" t="e">
        <f>AND('SPR BARRANQUILLA'!CO59,"AAAAAHJp/WI=")</f>
        <v>#VALUE!</v>
      </c>
      <c r="CV52" t="e">
        <f>AND('SPR BARRANQUILLA'!CP59,"AAAAAHJp/WM=")</f>
        <v>#VALUE!</v>
      </c>
      <c r="CW52" t="e">
        <f>AND('SPR BARRANQUILLA'!CQ59,"AAAAAHJp/WQ=")</f>
        <v>#VALUE!</v>
      </c>
      <c r="CX52" t="e">
        <f>AND('SPR BARRANQUILLA'!CR59,"AAAAAHJp/WU=")</f>
        <v>#VALUE!</v>
      </c>
      <c r="CY52" t="e">
        <f>AND('SPR BARRANQUILLA'!CS59,"AAAAAHJp/WY=")</f>
        <v>#VALUE!</v>
      </c>
      <c r="CZ52" t="e">
        <f>AND('SPR BARRANQUILLA'!CT59,"AAAAAHJp/Wc=")</f>
        <v>#VALUE!</v>
      </c>
      <c r="DA52" t="e">
        <f>AND('SPR BARRANQUILLA'!CU59,"AAAAAHJp/Wg=")</f>
        <v>#VALUE!</v>
      </c>
      <c r="DB52" t="e">
        <f>AND('SPR BARRANQUILLA'!CV59,"AAAAAHJp/Wk=")</f>
        <v>#VALUE!</v>
      </c>
      <c r="DC52" t="e">
        <f>AND('SPR BARRANQUILLA'!CW59,"AAAAAHJp/Wo=")</f>
        <v>#VALUE!</v>
      </c>
      <c r="DD52" t="e">
        <f>AND('SPR BARRANQUILLA'!CX59,"AAAAAHJp/Ws=")</f>
        <v>#VALUE!</v>
      </c>
      <c r="DE52" t="e">
        <f>AND('SPR BARRANQUILLA'!CY59,"AAAAAHJp/Ww=")</f>
        <v>#VALUE!</v>
      </c>
      <c r="DF52" t="e">
        <f>AND('SPR BARRANQUILLA'!CZ59,"AAAAAHJp/W0=")</f>
        <v>#VALUE!</v>
      </c>
      <c r="DG52" t="e">
        <f>AND('SPR BARRANQUILLA'!DA59,"AAAAAHJp/W4=")</f>
        <v>#VALUE!</v>
      </c>
      <c r="DH52" t="e">
        <f>AND('SPR BARRANQUILLA'!DB59,"AAAAAHJp/W8=")</f>
        <v>#VALUE!</v>
      </c>
      <c r="DI52" t="e">
        <f>AND('SPR BARRANQUILLA'!DC59,"AAAAAHJp/XA=")</f>
        <v>#VALUE!</v>
      </c>
      <c r="DJ52" t="e">
        <f>AND('SPR BARRANQUILLA'!DD59,"AAAAAHJp/XE=")</f>
        <v>#VALUE!</v>
      </c>
      <c r="DK52" t="e">
        <f>AND('SPR BARRANQUILLA'!DE59,"AAAAAHJp/XI=")</f>
        <v>#VALUE!</v>
      </c>
      <c r="DL52" t="e">
        <f>AND('SPR BARRANQUILLA'!DF59,"AAAAAHJp/XM=")</f>
        <v>#VALUE!</v>
      </c>
      <c r="DM52" t="e">
        <f>AND('SPR BARRANQUILLA'!DG59,"AAAAAHJp/XQ=")</f>
        <v>#VALUE!</v>
      </c>
      <c r="DN52" t="e">
        <f>AND('SPR BARRANQUILLA'!DH59,"AAAAAHJp/XU=")</f>
        <v>#VALUE!</v>
      </c>
      <c r="DO52" t="e">
        <f>AND('SPR BARRANQUILLA'!DI59,"AAAAAHJp/XY=")</f>
        <v>#VALUE!</v>
      </c>
      <c r="DP52" t="e">
        <f>AND('SPR BARRANQUILLA'!DJ59,"AAAAAHJp/Xc=")</f>
        <v>#VALUE!</v>
      </c>
      <c r="DQ52" t="e">
        <f>AND('SPR BARRANQUILLA'!DK59,"AAAAAHJp/Xg=")</f>
        <v>#VALUE!</v>
      </c>
      <c r="DR52" t="e">
        <f>AND('SPR BARRANQUILLA'!DL59,"AAAAAHJp/Xk=")</f>
        <v>#VALUE!</v>
      </c>
      <c r="DS52" t="e">
        <f>AND('SPR BARRANQUILLA'!DM59,"AAAAAHJp/Xo=")</f>
        <v>#VALUE!</v>
      </c>
      <c r="DT52" t="e">
        <f>AND('SPR BARRANQUILLA'!DN59,"AAAAAHJp/Xs=")</f>
        <v>#VALUE!</v>
      </c>
      <c r="DU52" t="e">
        <f>AND('SPR BARRANQUILLA'!DO59,"AAAAAHJp/Xw=")</f>
        <v>#VALUE!</v>
      </c>
      <c r="DV52" t="e">
        <f>AND('SPR BARRANQUILLA'!DP59,"AAAAAHJp/X0=")</f>
        <v>#VALUE!</v>
      </c>
      <c r="DW52" t="e">
        <f>AND('SPR BARRANQUILLA'!DQ59,"AAAAAHJp/X4=")</f>
        <v>#VALUE!</v>
      </c>
      <c r="DX52" t="e">
        <f>AND('SPR BARRANQUILLA'!DR59,"AAAAAHJp/X8=")</f>
        <v>#VALUE!</v>
      </c>
      <c r="DY52" t="e">
        <f>AND('SPR BARRANQUILLA'!DS59,"AAAAAHJp/YA=")</f>
        <v>#VALUE!</v>
      </c>
      <c r="DZ52" t="e">
        <f>AND('SPR BARRANQUILLA'!DT59,"AAAAAHJp/YE=")</f>
        <v>#VALUE!</v>
      </c>
      <c r="EA52" t="e">
        <f>AND('SPR BARRANQUILLA'!DU59,"AAAAAHJp/YI=")</f>
        <v>#VALUE!</v>
      </c>
      <c r="EB52" t="e">
        <f>AND('SPR BARRANQUILLA'!DV59,"AAAAAHJp/YM=")</f>
        <v>#VALUE!</v>
      </c>
      <c r="EC52" t="e">
        <f>AND('SPR BARRANQUILLA'!DW59,"AAAAAHJp/YQ=")</f>
        <v>#VALUE!</v>
      </c>
      <c r="ED52" t="e">
        <f>AND('SPR BARRANQUILLA'!DX59,"AAAAAHJp/YU=")</f>
        <v>#VALUE!</v>
      </c>
      <c r="EE52" t="e">
        <f>AND('SPR BARRANQUILLA'!DY59,"AAAAAHJp/YY=")</f>
        <v>#VALUE!</v>
      </c>
      <c r="EF52" t="e">
        <f>AND('SPR BARRANQUILLA'!DZ59,"AAAAAHJp/Yc=")</f>
        <v>#VALUE!</v>
      </c>
      <c r="EG52" t="e">
        <f>AND('SPR BARRANQUILLA'!EA59,"AAAAAHJp/Yg=")</f>
        <v>#VALUE!</v>
      </c>
      <c r="EH52" t="e">
        <f>AND('SPR BARRANQUILLA'!EB59,"AAAAAHJp/Yk=")</f>
        <v>#VALUE!</v>
      </c>
      <c r="EI52" t="e">
        <f>AND('SPR BARRANQUILLA'!EC59,"AAAAAHJp/Yo=")</f>
        <v>#VALUE!</v>
      </c>
      <c r="EJ52" t="e">
        <f>AND('SPR BARRANQUILLA'!ED59,"AAAAAHJp/Ys=")</f>
        <v>#VALUE!</v>
      </c>
      <c r="EK52" t="e">
        <f>AND('SPR BARRANQUILLA'!EE59,"AAAAAHJp/Yw=")</f>
        <v>#VALUE!</v>
      </c>
      <c r="EL52" t="e">
        <f>AND('SPR BARRANQUILLA'!EF59,"AAAAAHJp/Y0=")</f>
        <v>#VALUE!</v>
      </c>
      <c r="EM52" t="e">
        <f>AND('SPR BARRANQUILLA'!EG59,"AAAAAHJp/Y4=")</f>
        <v>#VALUE!</v>
      </c>
      <c r="EN52" t="e">
        <f>AND('SPR BARRANQUILLA'!EH59,"AAAAAHJp/Y8=")</f>
        <v>#VALUE!</v>
      </c>
      <c r="EO52" t="e">
        <f>AND('SPR BARRANQUILLA'!EI59,"AAAAAHJp/ZA=")</f>
        <v>#VALUE!</v>
      </c>
      <c r="EP52" t="e">
        <f>AND('SPR BARRANQUILLA'!EJ59,"AAAAAHJp/ZE=")</f>
        <v>#VALUE!</v>
      </c>
      <c r="EQ52" t="e">
        <f>AND('SPR BARRANQUILLA'!EK59,"AAAAAHJp/ZI=")</f>
        <v>#VALUE!</v>
      </c>
      <c r="ER52" t="e">
        <f>AND('SPR BARRANQUILLA'!EL59,"AAAAAHJp/ZM=")</f>
        <v>#VALUE!</v>
      </c>
      <c r="ES52" t="e">
        <f>AND('SPR BARRANQUILLA'!EM59,"AAAAAHJp/ZQ=")</f>
        <v>#VALUE!</v>
      </c>
      <c r="ET52" t="e">
        <f>AND('SPR BARRANQUILLA'!EN59,"AAAAAHJp/ZU=")</f>
        <v>#VALUE!</v>
      </c>
      <c r="EU52" t="e">
        <f>AND('SPR BARRANQUILLA'!EO59,"AAAAAHJp/ZY=")</f>
        <v>#VALUE!</v>
      </c>
      <c r="EV52" t="e">
        <f>AND('SPR BARRANQUILLA'!EP59,"AAAAAHJp/Zc=")</f>
        <v>#VALUE!</v>
      </c>
      <c r="EW52" t="e">
        <f>AND('SPR BARRANQUILLA'!EQ59,"AAAAAHJp/Zg=")</f>
        <v>#VALUE!</v>
      </c>
      <c r="EX52" t="e">
        <f>AND('SPR BARRANQUILLA'!ER59,"AAAAAHJp/Zk=")</f>
        <v>#VALUE!</v>
      </c>
      <c r="EY52" t="e">
        <f>AND('SPR BARRANQUILLA'!ES59,"AAAAAHJp/Zo=")</f>
        <v>#VALUE!</v>
      </c>
      <c r="EZ52" t="e">
        <f>AND('SPR BARRANQUILLA'!ET59,"AAAAAHJp/Zs=")</f>
        <v>#VALUE!</v>
      </c>
      <c r="FA52" t="e">
        <f>AND('SPR BARRANQUILLA'!EU59,"AAAAAHJp/Zw=")</f>
        <v>#VALUE!</v>
      </c>
      <c r="FB52" t="e">
        <f>AND('SPR BARRANQUILLA'!EV59,"AAAAAHJp/Z0=")</f>
        <v>#VALUE!</v>
      </c>
      <c r="FC52" t="e">
        <f>AND('SPR BARRANQUILLA'!EW59,"AAAAAHJp/Z4=")</f>
        <v>#VALUE!</v>
      </c>
      <c r="FD52" t="e">
        <f>AND('SPR BARRANQUILLA'!EX59,"AAAAAHJp/Z8=")</f>
        <v>#VALUE!</v>
      </c>
      <c r="FE52" t="e">
        <f>AND('SPR BARRANQUILLA'!EY59,"AAAAAHJp/aA=")</f>
        <v>#VALUE!</v>
      </c>
      <c r="FF52" t="e">
        <f>AND('SPR BARRANQUILLA'!EZ59,"AAAAAHJp/aE=")</f>
        <v>#VALUE!</v>
      </c>
      <c r="FG52" t="e">
        <f>AND('SPR BARRANQUILLA'!FA59,"AAAAAHJp/aI=")</f>
        <v>#VALUE!</v>
      </c>
      <c r="FH52" t="e">
        <f>AND('SPR BARRANQUILLA'!FB59,"AAAAAHJp/aM=")</f>
        <v>#VALUE!</v>
      </c>
      <c r="FI52" t="e">
        <f>AND('SPR BARRANQUILLA'!FC59,"AAAAAHJp/aQ=")</f>
        <v>#VALUE!</v>
      </c>
      <c r="FJ52" t="e">
        <f>AND('SPR BARRANQUILLA'!FD59,"AAAAAHJp/aU=")</f>
        <v>#VALUE!</v>
      </c>
      <c r="FK52" t="e">
        <f>AND('SPR BARRANQUILLA'!FE59,"AAAAAHJp/aY=")</f>
        <v>#VALUE!</v>
      </c>
      <c r="FL52" t="e">
        <f>AND('SPR BARRANQUILLA'!FF59,"AAAAAHJp/ac=")</f>
        <v>#VALUE!</v>
      </c>
      <c r="FM52" t="e">
        <f>AND('SPR BARRANQUILLA'!FG59,"AAAAAHJp/ag=")</f>
        <v>#VALUE!</v>
      </c>
      <c r="FN52" t="e">
        <f>AND('SPR BARRANQUILLA'!FH59,"AAAAAHJp/ak=")</f>
        <v>#VALUE!</v>
      </c>
      <c r="FO52" t="e">
        <f>AND('SPR BARRANQUILLA'!FI59,"AAAAAHJp/ao=")</f>
        <v>#VALUE!</v>
      </c>
      <c r="FP52" t="e">
        <f>AND('SPR BARRANQUILLA'!FJ59,"AAAAAHJp/as=")</f>
        <v>#VALUE!</v>
      </c>
      <c r="FQ52" t="e">
        <f>AND('SPR BARRANQUILLA'!FK59,"AAAAAHJp/aw=")</f>
        <v>#VALUE!</v>
      </c>
      <c r="FR52" t="e">
        <f>AND('SPR BARRANQUILLA'!FL59,"AAAAAHJp/a0=")</f>
        <v>#VALUE!</v>
      </c>
      <c r="FS52" t="e">
        <f>AND('SPR BARRANQUILLA'!FM59,"AAAAAHJp/a4=")</f>
        <v>#VALUE!</v>
      </c>
      <c r="FT52" t="e">
        <f>AND('SPR BARRANQUILLA'!FN59,"AAAAAHJp/a8=")</f>
        <v>#VALUE!</v>
      </c>
      <c r="FU52" t="e">
        <f>AND('SPR BARRANQUILLA'!FO59,"AAAAAHJp/bA=")</f>
        <v>#VALUE!</v>
      </c>
      <c r="FV52" t="e">
        <f>AND('SPR BARRANQUILLA'!FP59,"AAAAAHJp/bE=")</f>
        <v>#VALUE!</v>
      </c>
      <c r="FW52" t="e">
        <f>AND('SPR BARRANQUILLA'!FQ59,"AAAAAHJp/bI=")</f>
        <v>#VALUE!</v>
      </c>
      <c r="FX52" t="e">
        <f>AND('SPR BARRANQUILLA'!FR59,"AAAAAHJp/bM=")</f>
        <v>#VALUE!</v>
      </c>
      <c r="FY52" t="e">
        <f>AND('SPR BARRANQUILLA'!FS59,"AAAAAHJp/bQ=")</f>
        <v>#VALUE!</v>
      </c>
      <c r="FZ52" t="e">
        <f>AND('SPR BARRANQUILLA'!FT59,"AAAAAHJp/bU=")</f>
        <v>#VALUE!</v>
      </c>
      <c r="GA52" t="e">
        <f>AND('SPR BARRANQUILLA'!FU59,"AAAAAHJp/bY=")</f>
        <v>#VALUE!</v>
      </c>
      <c r="GB52" t="e">
        <f>AND('SPR BARRANQUILLA'!FV59,"AAAAAHJp/bc=")</f>
        <v>#VALUE!</v>
      </c>
      <c r="GC52" t="e">
        <f>AND('SPR BARRANQUILLA'!FW59,"AAAAAHJp/bg=")</f>
        <v>#VALUE!</v>
      </c>
      <c r="GD52" t="e">
        <f>AND('SPR BARRANQUILLA'!FX59,"AAAAAHJp/bk=")</f>
        <v>#VALUE!</v>
      </c>
      <c r="GE52" t="e">
        <f>AND('SPR BARRANQUILLA'!FY59,"AAAAAHJp/bo=")</f>
        <v>#VALUE!</v>
      </c>
      <c r="GF52" t="e">
        <f>AND('SPR BARRANQUILLA'!FZ59,"AAAAAHJp/bs=")</f>
        <v>#VALUE!</v>
      </c>
      <c r="GG52" t="e">
        <f>AND('SPR BARRANQUILLA'!GA59,"AAAAAHJp/bw=")</f>
        <v>#VALUE!</v>
      </c>
      <c r="GH52" t="e">
        <f>AND('SPR BARRANQUILLA'!GB59,"AAAAAHJp/b0=")</f>
        <v>#VALUE!</v>
      </c>
      <c r="GI52" t="e">
        <f>AND('SPR BARRANQUILLA'!GC59,"AAAAAHJp/b4=")</f>
        <v>#VALUE!</v>
      </c>
      <c r="GJ52" t="e">
        <f>AND('SPR BARRANQUILLA'!GD59,"AAAAAHJp/b8=")</f>
        <v>#VALUE!</v>
      </c>
      <c r="GK52" t="e">
        <f>AND('SPR BARRANQUILLA'!GE59,"AAAAAHJp/cA=")</f>
        <v>#VALUE!</v>
      </c>
      <c r="GL52" t="e">
        <f>AND('SPR BARRANQUILLA'!GF59,"AAAAAHJp/cE=")</f>
        <v>#VALUE!</v>
      </c>
      <c r="GM52" t="e">
        <f>AND('SPR BARRANQUILLA'!GG59,"AAAAAHJp/cI=")</f>
        <v>#VALUE!</v>
      </c>
      <c r="GN52" t="e">
        <f>AND('SPR BARRANQUILLA'!GH59,"AAAAAHJp/cM=")</f>
        <v>#VALUE!</v>
      </c>
      <c r="GO52" t="e">
        <f>AND('SPR BARRANQUILLA'!GI59,"AAAAAHJp/cQ=")</f>
        <v>#VALUE!</v>
      </c>
      <c r="GP52" t="e">
        <f>AND('SPR BARRANQUILLA'!GJ59,"AAAAAHJp/cU=")</f>
        <v>#VALUE!</v>
      </c>
      <c r="GQ52" t="e">
        <f>AND('SPR BARRANQUILLA'!GK59,"AAAAAHJp/cY=")</f>
        <v>#VALUE!</v>
      </c>
      <c r="GR52" t="e">
        <f>AND('SPR BARRANQUILLA'!GL59,"AAAAAHJp/cc=")</f>
        <v>#VALUE!</v>
      </c>
      <c r="GS52" t="e">
        <f>AND('SPR BARRANQUILLA'!GM59,"AAAAAHJp/cg=")</f>
        <v>#VALUE!</v>
      </c>
      <c r="GT52" t="e">
        <f>AND('SPR BARRANQUILLA'!GN59,"AAAAAHJp/ck=")</f>
        <v>#VALUE!</v>
      </c>
      <c r="GU52" t="e">
        <f>AND('SPR BARRANQUILLA'!GO59,"AAAAAHJp/co=")</f>
        <v>#VALUE!</v>
      </c>
      <c r="GV52" t="e">
        <f>AND('SPR BARRANQUILLA'!GP59,"AAAAAHJp/cs=")</f>
        <v>#VALUE!</v>
      </c>
      <c r="GW52" t="e">
        <f>AND('SPR BARRANQUILLA'!GQ59,"AAAAAHJp/cw=")</f>
        <v>#VALUE!</v>
      </c>
      <c r="GX52" t="e">
        <f>AND('SPR BARRANQUILLA'!GR59,"AAAAAHJp/c0=")</f>
        <v>#VALUE!</v>
      </c>
      <c r="GY52" t="e">
        <f>AND('SPR BARRANQUILLA'!GS59,"AAAAAHJp/c4=")</f>
        <v>#VALUE!</v>
      </c>
      <c r="GZ52" t="e">
        <f>AND('SPR BARRANQUILLA'!GT59,"AAAAAHJp/c8=")</f>
        <v>#VALUE!</v>
      </c>
      <c r="HA52" t="e">
        <f>AND('SPR BARRANQUILLA'!GU59,"AAAAAHJp/dA=")</f>
        <v>#VALUE!</v>
      </c>
      <c r="HB52" t="e">
        <f>AND('SPR BARRANQUILLA'!GV59,"AAAAAHJp/dE=")</f>
        <v>#VALUE!</v>
      </c>
      <c r="HC52" t="e">
        <f>AND('SPR BARRANQUILLA'!GW59,"AAAAAHJp/dI=")</f>
        <v>#VALUE!</v>
      </c>
      <c r="HD52" t="e">
        <f>AND('SPR BARRANQUILLA'!GX59,"AAAAAHJp/dM=")</f>
        <v>#VALUE!</v>
      </c>
      <c r="HE52" t="e">
        <f>AND('SPR BARRANQUILLA'!GY59,"AAAAAHJp/dQ=")</f>
        <v>#VALUE!</v>
      </c>
      <c r="HF52">
        <f>IF('SPR BARRANQUILLA'!60:60,"AAAAAHJp/dU=",0)</f>
        <v>0</v>
      </c>
      <c r="HG52" t="e">
        <f>AND('SPR BARRANQUILLA'!A60,"AAAAAHJp/dY=")</f>
        <v>#VALUE!</v>
      </c>
      <c r="HH52" t="e">
        <f>AND('SPR BARRANQUILLA'!B60,"AAAAAHJp/dc=")</f>
        <v>#VALUE!</v>
      </c>
      <c r="HI52" t="e">
        <f>AND('SPR BARRANQUILLA'!C60,"AAAAAHJp/dg=")</f>
        <v>#VALUE!</v>
      </c>
      <c r="HJ52" t="e">
        <f>AND('SPR BARRANQUILLA'!D60,"AAAAAHJp/dk=")</f>
        <v>#VALUE!</v>
      </c>
      <c r="HK52" t="e">
        <f>AND('SPR BARRANQUILLA'!E60,"AAAAAHJp/do=")</f>
        <v>#VALUE!</v>
      </c>
      <c r="HL52" t="e">
        <f>AND('SPR BARRANQUILLA'!F60,"AAAAAHJp/ds=")</f>
        <v>#VALUE!</v>
      </c>
      <c r="HM52" t="e">
        <f>AND('SPR BARRANQUILLA'!G60,"AAAAAHJp/dw=")</f>
        <v>#VALUE!</v>
      </c>
      <c r="HN52" t="e">
        <f>AND('SPR BARRANQUILLA'!H60,"AAAAAHJp/d0=")</f>
        <v>#VALUE!</v>
      </c>
      <c r="HO52" t="e">
        <f>AND('SPR BARRANQUILLA'!I60,"AAAAAHJp/d4=")</f>
        <v>#VALUE!</v>
      </c>
      <c r="HP52" t="e">
        <f>AND('SPR BARRANQUILLA'!J60,"AAAAAHJp/d8=")</f>
        <v>#VALUE!</v>
      </c>
      <c r="HQ52" t="e">
        <f>AND('SPR BARRANQUILLA'!K60,"AAAAAHJp/eA=")</f>
        <v>#VALUE!</v>
      </c>
      <c r="HR52" t="e">
        <f>AND('SPR BARRANQUILLA'!L60,"AAAAAHJp/eE=")</f>
        <v>#VALUE!</v>
      </c>
      <c r="HS52" t="e">
        <f>AND('SPR BARRANQUILLA'!M60,"AAAAAHJp/eI=")</f>
        <v>#VALUE!</v>
      </c>
      <c r="HT52" t="e">
        <f>AND('SPR BARRANQUILLA'!N60,"AAAAAHJp/eM=")</f>
        <v>#VALUE!</v>
      </c>
      <c r="HU52" t="e">
        <f>AND('SPR BARRANQUILLA'!O60,"AAAAAHJp/eQ=")</f>
        <v>#VALUE!</v>
      </c>
      <c r="HV52" t="e">
        <f>AND('SPR BARRANQUILLA'!P60,"AAAAAHJp/eU=")</f>
        <v>#VALUE!</v>
      </c>
      <c r="HW52" t="e">
        <f>AND('SPR BARRANQUILLA'!Q60,"AAAAAHJp/eY=")</f>
        <v>#VALUE!</v>
      </c>
      <c r="HX52" t="e">
        <f>AND('SPR BARRANQUILLA'!R60,"AAAAAHJp/ec=")</f>
        <v>#VALUE!</v>
      </c>
      <c r="HY52" t="e">
        <f>AND('SPR BARRANQUILLA'!S60,"AAAAAHJp/eg=")</f>
        <v>#VALUE!</v>
      </c>
      <c r="HZ52" t="e">
        <f>AND('SPR BARRANQUILLA'!T60,"AAAAAHJp/ek=")</f>
        <v>#VALUE!</v>
      </c>
      <c r="IA52" t="e">
        <f>AND('SPR BARRANQUILLA'!U60,"AAAAAHJp/eo=")</f>
        <v>#VALUE!</v>
      </c>
      <c r="IB52" t="e">
        <f>AND('SPR BARRANQUILLA'!V60,"AAAAAHJp/es=")</f>
        <v>#VALUE!</v>
      </c>
      <c r="IC52" t="e">
        <f>AND('SPR BARRANQUILLA'!W60,"AAAAAHJp/ew=")</f>
        <v>#VALUE!</v>
      </c>
      <c r="ID52" t="e">
        <f>AND('SPR BARRANQUILLA'!X60,"AAAAAHJp/e0=")</f>
        <v>#VALUE!</v>
      </c>
      <c r="IE52" t="e">
        <f>AND('SPR BARRANQUILLA'!Y60,"AAAAAHJp/e4=")</f>
        <v>#VALUE!</v>
      </c>
      <c r="IF52" t="e">
        <f>AND('SPR BARRANQUILLA'!Z60,"AAAAAHJp/e8=")</f>
        <v>#VALUE!</v>
      </c>
      <c r="IG52" t="e">
        <f>AND('SPR BARRANQUILLA'!AA60,"AAAAAHJp/fA=")</f>
        <v>#VALUE!</v>
      </c>
      <c r="IH52" t="e">
        <f>AND('SPR BARRANQUILLA'!AB60,"AAAAAHJp/fE=")</f>
        <v>#VALUE!</v>
      </c>
      <c r="II52" t="e">
        <f>AND('SPR BARRANQUILLA'!AC60,"AAAAAHJp/fI=")</f>
        <v>#VALUE!</v>
      </c>
      <c r="IJ52" t="e">
        <f>AND('SPR BARRANQUILLA'!AD60,"AAAAAHJp/fM=")</f>
        <v>#VALUE!</v>
      </c>
      <c r="IK52" t="e">
        <f>AND('SPR BARRANQUILLA'!AE60,"AAAAAHJp/fQ=")</f>
        <v>#VALUE!</v>
      </c>
      <c r="IL52" t="e">
        <f>AND('SPR BARRANQUILLA'!AF60,"AAAAAHJp/fU=")</f>
        <v>#VALUE!</v>
      </c>
      <c r="IM52" t="e">
        <f>AND('SPR BARRANQUILLA'!AG60,"AAAAAHJp/fY=")</f>
        <v>#VALUE!</v>
      </c>
      <c r="IN52" t="e">
        <f>AND('SPR BARRANQUILLA'!AH60,"AAAAAHJp/fc=")</f>
        <v>#VALUE!</v>
      </c>
      <c r="IO52" t="e">
        <f>AND('SPR BARRANQUILLA'!AI60,"AAAAAHJp/fg=")</f>
        <v>#VALUE!</v>
      </c>
      <c r="IP52" t="e">
        <f>AND('SPR BARRANQUILLA'!AJ60,"AAAAAHJp/fk=")</f>
        <v>#VALUE!</v>
      </c>
      <c r="IQ52" t="e">
        <f>AND('SPR BARRANQUILLA'!AK60,"AAAAAHJp/fo=")</f>
        <v>#VALUE!</v>
      </c>
      <c r="IR52" t="e">
        <f>AND('SPR BARRANQUILLA'!AL60,"AAAAAHJp/fs=")</f>
        <v>#VALUE!</v>
      </c>
      <c r="IS52" t="e">
        <f>AND('SPR BARRANQUILLA'!AM60,"AAAAAHJp/fw=")</f>
        <v>#VALUE!</v>
      </c>
      <c r="IT52" t="e">
        <f>AND('SPR BARRANQUILLA'!AN60,"AAAAAHJp/f0=")</f>
        <v>#VALUE!</v>
      </c>
      <c r="IU52" t="e">
        <f>AND('SPR BARRANQUILLA'!AO60,"AAAAAHJp/f4=")</f>
        <v>#VALUE!</v>
      </c>
      <c r="IV52" t="e">
        <f>AND('SPR BARRANQUILLA'!AP60,"AAAAAHJp/f8=")</f>
        <v>#VALUE!</v>
      </c>
    </row>
    <row r="53" spans="1:256">
      <c r="A53" t="e">
        <f>AND('SPR BARRANQUILLA'!AQ60,"AAAAAEdf9wA=")</f>
        <v>#VALUE!</v>
      </c>
      <c r="B53" t="e">
        <f>AND('SPR BARRANQUILLA'!AR60,"AAAAAEdf9wE=")</f>
        <v>#VALUE!</v>
      </c>
      <c r="C53" t="e">
        <f>AND('SPR BARRANQUILLA'!AS60,"AAAAAEdf9wI=")</f>
        <v>#VALUE!</v>
      </c>
      <c r="D53" t="e">
        <f>AND('SPR BARRANQUILLA'!AT60,"AAAAAEdf9wM=")</f>
        <v>#VALUE!</v>
      </c>
      <c r="E53" t="e">
        <f>AND('SPR BARRANQUILLA'!AU60,"AAAAAEdf9wQ=")</f>
        <v>#VALUE!</v>
      </c>
      <c r="F53" t="e">
        <f>AND('SPR BARRANQUILLA'!AV60,"AAAAAEdf9wU=")</f>
        <v>#VALUE!</v>
      </c>
      <c r="G53" t="e">
        <f>AND('SPR BARRANQUILLA'!AW60,"AAAAAEdf9wY=")</f>
        <v>#VALUE!</v>
      </c>
      <c r="H53" t="e">
        <f>AND('SPR BARRANQUILLA'!AX60,"AAAAAEdf9wc=")</f>
        <v>#VALUE!</v>
      </c>
      <c r="I53" t="e">
        <f>AND('SPR BARRANQUILLA'!AY60,"AAAAAEdf9wg=")</f>
        <v>#VALUE!</v>
      </c>
      <c r="J53" t="e">
        <f>AND('SPR BARRANQUILLA'!AZ60,"AAAAAEdf9wk=")</f>
        <v>#VALUE!</v>
      </c>
      <c r="K53" t="e">
        <f>AND('SPR BARRANQUILLA'!BA60,"AAAAAEdf9wo=")</f>
        <v>#VALUE!</v>
      </c>
      <c r="L53" t="e">
        <f>AND('SPR BARRANQUILLA'!BB60,"AAAAAEdf9ws=")</f>
        <v>#VALUE!</v>
      </c>
      <c r="M53" t="e">
        <f>AND('SPR BARRANQUILLA'!BC60,"AAAAAEdf9ww=")</f>
        <v>#VALUE!</v>
      </c>
      <c r="N53" t="e">
        <f>AND('SPR BARRANQUILLA'!BD60,"AAAAAEdf9w0=")</f>
        <v>#VALUE!</v>
      </c>
      <c r="O53" t="e">
        <f>AND('SPR BARRANQUILLA'!BE60,"AAAAAEdf9w4=")</f>
        <v>#VALUE!</v>
      </c>
      <c r="P53" t="e">
        <f>AND('SPR BARRANQUILLA'!BF60,"AAAAAEdf9w8=")</f>
        <v>#VALUE!</v>
      </c>
      <c r="Q53" t="e">
        <f>AND('SPR BARRANQUILLA'!BG60,"AAAAAEdf9xA=")</f>
        <v>#VALUE!</v>
      </c>
      <c r="R53" t="e">
        <f>AND('SPR BARRANQUILLA'!BH60,"AAAAAEdf9xE=")</f>
        <v>#VALUE!</v>
      </c>
      <c r="S53" t="e">
        <f>AND('SPR BARRANQUILLA'!BI60,"AAAAAEdf9xI=")</f>
        <v>#VALUE!</v>
      </c>
      <c r="T53" t="e">
        <f>AND('SPR BARRANQUILLA'!BJ60,"AAAAAEdf9xM=")</f>
        <v>#VALUE!</v>
      </c>
      <c r="U53" t="e">
        <f>AND('SPR BARRANQUILLA'!BK60,"AAAAAEdf9xQ=")</f>
        <v>#VALUE!</v>
      </c>
      <c r="V53" t="e">
        <f>AND('SPR BARRANQUILLA'!BL60,"AAAAAEdf9xU=")</f>
        <v>#VALUE!</v>
      </c>
      <c r="W53" t="e">
        <f>AND('SPR BARRANQUILLA'!BM60,"AAAAAEdf9xY=")</f>
        <v>#VALUE!</v>
      </c>
      <c r="X53" t="e">
        <f>AND('SPR BARRANQUILLA'!BN60,"AAAAAEdf9xc=")</f>
        <v>#VALUE!</v>
      </c>
      <c r="Y53" t="e">
        <f>AND('SPR BARRANQUILLA'!BO60,"AAAAAEdf9xg=")</f>
        <v>#VALUE!</v>
      </c>
      <c r="Z53" t="e">
        <f>AND('SPR BARRANQUILLA'!BP60,"AAAAAEdf9xk=")</f>
        <v>#VALUE!</v>
      </c>
      <c r="AA53" t="e">
        <f>AND('SPR BARRANQUILLA'!BQ60,"AAAAAEdf9xo=")</f>
        <v>#VALUE!</v>
      </c>
      <c r="AB53" t="e">
        <f>AND('SPR BARRANQUILLA'!BR60,"AAAAAEdf9xs=")</f>
        <v>#VALUE!</v>
      </c>
      <c r="AC53" t="e">
        <f>AND('SPR BARRANQUILLA'!BS60,"AAAAAEdf9xw=")</f>
        <v>#VALUE!</v>
      </c>
      <c r="AD53" t="e">
        <f>AND('SPR BARRANQUILLA'!BT60,"AAAAAEdf9x0=")</f>
        <v>#VALUE!</v>
      </c>
      <c r="AE53" t="e">
        <f>AND('SPR BARRANQUILLA'!BU60,"AAAAAEdf9x4=")</f>
        <v>#VALUE!</v>
      </c>
      <c r="AF53" t="e">
        <f>AND('SPR BARRANQUILLA'!BV60,"AAAAAEdf9x8=")</f>
        <v>#VALUE!</v>
      </c>
      <c r="AG53" t="e">
        <f>AND('SPR BARRANQUILLA'!BW60,"AAAAAEdf9yA=")</f>
        <v>#VALUE!</v>
      </c>
      <c r="AH53" t="e">
        <f>AND('SPR BARRANQUILLA'!BX60,"AAAAAEdf9yE=")</f>
        <v>#VALUE!</v>
      </c>
      <c r="AI53" t="e">
        <f>AND('SPR BARRANQUILLA'!BY60,"AAAAAEdf9yI=")</f>
        <v>#VALUE!</v>
      </c>
      <c r="AJ53" t="e">
        <f>AND('SPR BARRANQUILLA'!BZ60,"AAAAAEdf9yM=")</f>
        <v>#VALUE!</v>
      </c>
      <c r="AK53" t="e">
        <f>AND('SPR BARRANQUILLA'!CA60,"AAAAAEdf9yQ=")</f>
        <v>#VALUE!</v>
      </c>
      <c r="AL53" t="e">
        <f>AND('SPR BARRANQUILLA'!CB60,"AAAAAEdf9yU=")</f>
        <v>#VALUE!</v>
      </c>
      <c r="AM53" t="e">
        <f>AND('SPR BARRANQUILLA'!CC60,"AAAAAEdf9yY=")</f>
        <v>#VALUE!</v>
      </c>
      <c r="AN53" t="e">
        <f>AND('SPR BARRANQUILLA'!CD60,"AAAAAEdf9yc=")</f>
        <v>#VALUE!</v>
      </c>
      <c r="AO53" t="e">
        <f>AND('SPR BARRANQUILLA'!CE60,"AAAAAEdf9yg=")</f>
        <v>#VALUE!</v>
      </c>
      <c r="AP53" t="e">
        <f>AND('SPR BARRANQUILLA'!CF60,"AAAAAEdf9yk=")</f>
        <v>#VALUE!</v>
      </c>
      <c r="AQ53" t="e">
        <f>AND('SPR BARRANQUILLA'!CG60,"AAAAAEdf9yo=")</f>
        <v>#VALUE!</v>
      </c>
      <c r="AR53" t="e">
        <f>AND('SPR BARRANQUILLA'!CH60,"AAAAAEdf9ys=")</f>
        <v>#VALUE!</v>
      </c>
      <c r="AS53" t="e">
        <f>AND('SPR BARRANQUILLA'!CI60,"AAAAAEdf9yw=")</f>
        <v>#VALUE!</v>
      </c>
      <c r="AT53" t="e">
        <f>AND('SPR BARRANQUILLA'!CJ60,"AAAAAEdf9y0=")</f>
        <v>#VALUE!</v>
      </c>
      <c r="AU53" t="e">
        <f>AND('SPR BARRANQUILLA'!CK60,"AAAAAEdf9y4=")</f>
        <v>#VALUE!</v>
      </c>
      <c r="AV53" t="e">
        <f>AND('SPR BARRANQUILLA'!CL60,"AAAAAEdf9y8=")</f>
        <v>#VALUE!</v>
      </c>
      <c r="AW53" t="e">
        <f>AND('SPR BARRANQUILLA'!CM60,"AAAAAEdf9zA=")</f>
        <v>#VALUE!</v>
      </c>
      <c r="AX53" t="e">
        <f>AND('SPR BARRANQUILLA'!CN60,"AAAAAEdf9zE=")</f>
        <v>#VALUE!</v>
      </c>
      <c r="AY53" t="e">
        <f>AND('SPR BARRANQUILLA'!CO60,"AAAAAEdf9zI=")</f>
        <v>#VALUE!</v>
      </c>
      <c r="AZ53" t="e">
        <f>AND('SPR BARRANQUILLA'!CP60,"AAAAAEdf9zM=")</f>
        <v>#VALUE!</v>
      </c>
      <c r="BA53" t="e">
        <f>AND('SPR BARRANQUILLA'!CQ60,"AAAAAEdf9zQ=")</f>
        <v>#VALUE!</v>
      </c>
      <c r="BB53" t="e">
        <f>AND('SPR BARRANQUILLA'!CR60,"AAAAAEdf9zU=")</f>
        <v>#VALUE!</v>
      </c>
      <c r="BC53" t="e">
        <f>AND('SPR BARRANQUILLA'!CS60,"AAAAAEdf9zY=")</f>
        <v>#VALUE!</v>
      </c>
      <c r="BD53" t="e">
        <f>AND('SPR BARRANQUILLA'!CT60,"AAAAAEdf9zc=")</f>
        <v>#VALUE!</v>
      </c>
      <c r="BE53" t="e">
        <f>AND('SPR BARRANQUILLA'!CU60,"AAAAAEdf9zg=")</f>
        <v>#VALUE!</v>
      </c>
      <c r="BF53" t="e">
        <f>AND('SPR BARRANQUILLA'!CV60,"AAAAAEdf9zk=")</f>
        <v>#VALUE!</v>
      </c>
      <c r="BG53" t="e">
        <f>AND('SPR BARRANQUILLA'!CW60,"AAAAAEdf9zo=")</f>
        <v>#VALUE!</v>
      </c>
      <c r="BH53" t="e">
        <f>AND('SPR BARRANQUILLA'!CX60,"AAAAAEdf9zs=")</f>
        <v>#VALUE!</v>
      </c>
      <c r="BI53" t="e">
        <f>AND('SPR BARRANQUILLA'!CY60,"AAAAAEdf9zw=")</f>
        <v>#VALUE!</v>
      </c>
      <c r="BJ53" t="e">
        <f>AND('SPR BARRANQUILLA'!CZ60,"AAAAAEdf9z0=")</f>
        <v>#VALUE!</v>
      </c>
      <c r="BK53" t="e">
        <f>AND('SPR BARRANQUILLA'!DA60,"AAAAAEdf9z4=")</f>
        <v>#VALUE!</v>
      </c>
      <c r="BL53" t="e">
        <f>AND('SPR BARRANQUILLA'!DB60,"AAAAAEdf9z8=")</f>
        <v>#VALUE!</v>
      </c>
      <c r="BM53" t="e">
        <f>AND('SPR BARRANQUILLA'!DC60,"AAAAAEdf90A=")</f>
        <v>#VALUE!</v>
      </c>
      <c r="BN53" t="e">
        <f>AND('SPR BARRANQUILLA'!DD60,"AAAAAEdf90E=")</f>
        <v>#VALUE!</v>
      </c>
      <c r="BO53" t="e">
        <f>AND('SPR BARRANQUILLA'!DE60,"AAAAAEdf90I=")</f>
        <v>#VALUE!</v>
      </c>
      <c r="BP53" t="e">
        <f>AND('SPR BARRANQUILLA'!DF60,"AAAAAEdf90M=")</f>
        <v>#VALUE!</v>
      </c>
      <c r="BQ53" t="e">
        <f>AND('SPR BARRANQUILLA'!DG60,"AAAAAEdf90Q=")</f>
        <v>#VALUE!</v>
      </c>
      <c r="BR53" t="e">
        <f>AND('SPR BARRANQUILLA'!DH60,"AAAAAEdf90U=")</f>
        <v>#VALUE!</v>
      </c>
      <c r="BS53" t="e">
        <f>AND('SPR BARRANQUILLA'!DI60,"AAAAAEdf90Y=")</f>
        <v>#VALUE!</v>
      </c>
      <c r="BT53" t="e">
        <f>AND('SPR BARRANQUILLA'!DJ60,"AAAAAEdf90c=")</f>
        <v>#VALUE!</v>
      </c>
      <c r="BU53" t="e">
        <f>AND('SPR BARRANQUILLA'!DK60,"AAAAAEdf90g=")</f>
        <v>#VALUE!</v>
      </c>
      <c r="BV53" t="e">
        <f>AND('SPR BARRANQUILLA'!DL60,"AAAAAEdf90k=")</f>
        <v>#VALUE!</v>
      </c>
      <c r="BW53" t="e">
        <f>AND('SPR BARRANQUILLA'!DM60,"AAAAAEdf90o=")</f>
        <v>#VALUE!</v>
      </c>
      <c r="BX53" t="e">
        <f>AND('SPR BARRANQUILLA'!DN60,"AAAAAEdf90s=")</f>
        <v>#VALUE!</v>
      </c>
      <c r="BY53" t="e">
        <f>AND('SPR BARRANQUILLA'!DO60,"AAAAAEdf90w=")</f>
        <v>#VALUE!</v>
      </c>
      <c r="BZ53" t="e">
        <f>AND('SPR BARRANQUILLA'!DP60,"AAAAAEdf900=")</f>
        <v>#VALUE!</v>
      </c>
      <c r="CA53" t="e">
        <f>AND('SPR BARRANQUILLA'!DQ60,"AAAAAEdf904=")</f>
        <v>#VALUE!</v>
      </c>
      <c r="CB53" t="e">
        <f>AND('SPR BARRANQUILLA'!DR60,"AAAAAEdf908=")</f>
        <v>#VALUE!</v>
      </c>
      <c r="CC53" t="e">
        <f>AND('SPR BARRANQUILLA'!DS60,"AAAAAEdf91A=")</f>
        <v>#VALUE!</v>
      </c>
      <c r="CD53" t="e">
        <f>AND('SPR BARRANQUILLA'!DT60,"AAAAAEdf91E=")</f>
        <v>#VALUE!</v>
      </c>
      <c r="CE53" t="e">
        <f>AND('SPR BARRANQUILLA'!DU60,"AAAAAEdf91I=")</f>
        <v>#VALUE!</v>
      </c>
      <c r="CF53" t="e">
        <f>AND('SPR BARRANQUILLA'!DV60,"AAAAAEdf91M=")</f>
        <v>#VALUE!</v>
      </c>
      <c r="CG53" t="e">
        <f>AND('SPR BARRANQUILLA'!DW60,"AAAAAEdf91Q=")</f>
        <v>#VALUE!</v>
      </c>
      <c r="CH53" t="e">
        <f>AND('SPR BARRANQUILLA'!DX60,"AAAAAEdf91U=")</f>
        <v>#VALUE!</v>
      </c>
      <c r="CI53" t="e">
        <f>AND('SPR BARRANQUILLA'!DY60,"AAAAAEdf91Y=")</f>
        <v>#VALUE!</v>
      </c>
      <c r="CJ53" t="e">
        <f>AND('SPR BARRANQUILLA'!DZ60,"AAAAAEdf91c=")</f>
        <v>#VALUE!</v>
      </c>
      <c r="CK53" t="e">
        <f>AND('SPR BARRANQUILLA'!EA60,"AAAAAEdf91g=")</f>
        <v>#VALUE!</v>
      </c>
      <c r="CL53" t="e">
        <f>AND('SPR BARRANQUILLA'!EB60,"AAAAAEdf91k=")</f>
        <v>#VALUE!</v>
      </c>
      <c r="CM53" t="e">
        <f>AND('SPR BARRANQUILLA'!EC60,"AAAAAEdf91o=")</f>
        <v>#VALUE!</v>
      </c>
      <c r="CN53" t="e">
        <f>AND('SPR BARRANQUILLA'!ED60,"AAAAAEdf91s=")</f>
        <v>#VALUE!</v>
      </c>
      <c r="CO53" t="e">
        <f>AND('SPR BARRANQUILLA'!EE60,"AAAAAEdf91w=")</f>
        <v>#VALUE!</v>
      </c>
      <c r="CP53" t="e">
        <f>AND('SPR BARRANQUILLA'!EF60,"AAAAAEdf910=")</f>
        <v>#VALUE!</v>
      </c>
      <c r="CQ53" t="e">
        <f>AND('SPR BARRANQUILLA'!EG60,"AAAAAEdf914=")</f>
        <v>#VALUE!</v>
      </c>
      <c r="CR53" t="e">
        <f>AND('SPR BARRANQUILLA'!EH60,"AAAAAEdf918=")</f>
        <v>#VALUE!</v>
      </c>
      <c r="CS53" t="e">
        <f>AND('SPR BARRANQUILLA'!EI60,"AAAAAEdf92A=")</f>
        <v>#VALUE!</v>
      </c>
      <c r="CT53" t="e">
        <f>AND('SPR BARRANQUILLA'!EJ60,"AAAAAEdf92E=")</f>
        <v>#VALUE!</v>
      </c>
      <c r="CU53" t="e">
        <f>AND('SPR BARRANQUILLA'!EK60,"AAAAAEdf92I=")</f>
        <v>#VALUE!</v>
      </c>
      <c r="CV53" t="e">
        <f>AND('SPR BARRANQUILLA'!EL60,"AAAAAEdf92M=")</f>
        <v>#VALUE!</v>
      </c>
      <c r="CW53" t="e">
        <f>AND('SPR BARRANQUILLA'!EM60,"AAAAAEdf92Q=")</f>
        <v>#VALUE!</v>
      </c>
      <c r="CX53" t="e">
        <f>AND('SPR BARRANQUILLA'!EN60,"AAAAAEdf92U=")</f>
        <v>#VALUE!</v>
      </c>
      <c r="CY53" t="e">
        <f>AND('SPR BARRANQUILLA'!EO60,"AAAAAEdf92Y=")</f>
        <v>#VALUE!</v>
      </c>
      <c r="CZ53" t="e">
        <f>AND('SPR BARRANQUILLA'!EP60,"AAAAAEdf92c=")</f>
        <v>#VALUE!</v>
      </c>
      <c r="DA53" t="e">
        <f>AND('SPR BARRANQUILLA'!EQ60,"AAAAAEdf92g=")</f>
        <v>#VALUE!</v>
      </c>
      <c r="DB53" t="e">
        <f>AND('SPR BARRANQUILLA'!ER60,"AAAAAEdf92k=")</f>
        <v>#VALUE!</v>
      </c>
      <c r="DC53" t="e">
        <f>AND('SPR BARRANQUILLA'!ES60,"AAAAAEdf92o=")</f>
        <v>#VALUE!</v>
      </c>
      <c r="DD53" t="e">
        <f>AND('SPR BARRANQUILLA'!ET60,"AAAAAEdf92s=")</f>
        <v>#VALUE!</v>
      </c>
      <c r="DE53" t="e">
        <f>AND('SPR BARRANQUILLA'!EU60,"AAAAAEdf92w=")</f>
        <v>#VALUE!</v>
      </c>
      <c r="DF53" t="e">
        <f>AND('SPR BARRANQUILLA'!EV60,"AAAAAEdf920=")</f>
        <v>#VALUE!</v>
      </c>
      <c r="DG53" t="e">
        <f>AND('SPR BARRANQUILLA'!EW60,"AAAAAEdf924=")</f>
        <v>#VALUE!</v>
      </c>
      <c r="DH53" t="e">
        <f>AND('SPR BARRANQUILLA'!EX60,"AAAAAEdf928=")</f>
        <v>#VALUE!</v>
      </c>
      <c r="DI53" t="e">
        <f>AND('SPR BARRANQUILLA'!EY60,"AAAAAEdf93A=")</f>
        <v>#VALUE!</v>
      </c>
      <c r="DJ53" t="e">
        <f>AND('SPR BARRANQUILLA'!EZ60,"AAAAAEdf93E=")</f>
        <v>#VALUE!</v>
      </c>
      <c r="DK53" t="e">
        <f>AND('SPR BARRANQUILLA'!FA60,"AAAAAEdf93I=")</f>
        <v>#VALUE!</v>
      </c>
      <c r="DL53" t="e">
        <f>AND('SPR BARRANQUILLA'!FB60,"AAAAAEdf93M=")</f>
        <v>#VALUE!</v>
      </c>
      <c r="DM53" t="e">
        <f>AND('SPR BARRANQUILLA'!FC60,"AAAAAEdf93Q=")</f>
        <v>#VALUE!</v>
      </c>
      <c r="DN53" t="e">
        <f>AND('SPR BARRANQUILLA'!FD60,"AAAAAEdf93U=")</f>
        <v>#VALUE!</v>
      </c>
      <c r="DO53" t="e">
        <f>AND('SPR BARRANQUILLA'!FE60,"AAAAAEdf93Y=")</f>
        <v>#VALUE!</v>
      </c>
      <c r="DP53" t="e">
        <f>AND('SPR BARRANQUILLA'!FF60,"AAAAAEdf93c=")</f>
        <v>#VALUE!</v>
      </c>
      <c r="DQ53" t="e">
        <f>AND('SPR BARRANQUILLA'!FG60,"AAAAAEdf93g=")</f>
        <v>#VALUE!</v>
      </c>
      <c r="DR53" t="e">
        <f>AND('SPR BARRANQUILLA'!FH60,"AAAAAEdf93k=")</f>
        <v>#VALUE!</v>
      </c>
      <c r="DS53" t="e">
        <f>AND('SPR BARRANQUILLA'!FI60,"AAAAAEdf93o=")</f>
        <v>#VALUE!</v>
      </c>
      <c r="DT53" t="e">
        <f>AND('SPR BARRANQUILLA'!FJ60,"AAAAAEdf93s=")</f>
        <v>#VALUE!</v>
      </c>
      <c r="DU53" t="e">
        <f>AND('SPR BARRANQUILLA'!FK60,"AAAAAEdf93w=")</f>
        <v>#VALUE!</v>
      </c>
      <c r="DV53" t="e">
        <f>AND('SPR BARRANQUILLA'!FL60,"AAAAAEdf930=")</f>
        <v>#VALUE!</v>
      </c>
      <c r="DW53" t="e">
        <f>AND('SPR BARRANQUILLA'!FM60,"AAAAAEdf934=")</f>
        <v>#VALUE!</v>
      </c>
      <c r="DX53" t="e">
        <f>AND('SPR BARRANQUILLA'!FN60,"AAAAAEdf938=")</f>
        <v>#VALUE!</v>
      </c>
      <c r="DY53" t="e">
        <f>AND('SPR BARRANQUILLA'!FO60,"AAAAAEdf94A=")</f>
        <v>#VALUE!</v>
      </c>
      <c r="DZ53" t="e">
        <f>AND('SPR BARRANQUILLA'!FP60,"AAAAAEdf94E=")</f>
        <v>#VALUE!</v>
      </c>
      <c r="EA53" t="e">
        <f>AND('SPR BARRANQUILLA'!FQ60,"AAAAAEdf94I=")</f>
        <v>#VALUE!</v>
      </c>
      <c r="EB53" t="e">
        <f>AND('SPR BARRANQUILLA'!FR60,"AAAAAEdf94M=")</f>
        <v>#VALUE!</v>
      </c>
      <c r="EC53" t="e">
        <f>AND('SPR BARRANQUILLA'!FS60,"AAAAAEdf94Q=")</f>
        <v>#VALUE!</v>
      </c>
      <c r="ED53" t="e">
        <f>AND('SPR BARRANQUILLA'!FT60,"AAAAAEdf94U=")</f>
        <v>#VALUE!</v>
      </c>
      <c r="EE53" t="e">
        <f>AND('SPR BARRANQUILLA'!FU60,"AAAAAEdf94Y=")</f>
        <v>#VALUE!</v>
      </c>
      <c r="EF53" t="e">
        <f>AND('SPR BARRANQUILLA'!FV60,"AAAAAEdf94c=")</f>
        <v>#VALUE!</v>
      </c>
      <c r="EG53" t="e">
        <f>AND('SPR BARRANQUILLA'!FW60,"AAAAAEdf94g=")</f>
        <v>#VALUE!</v>
      </c>
      <c r="EH53" t="e">
        <f>AND('SPR BARRANQUILLA'!FX60,"AAAAAEdf94k=")</f>
        <v>#VALUE!</v>
      </c>
      <c r="EI53" t="e">
        <f>AND('SPR BARRANQUILLA'!FY60,"AAAAAEdf94o=")</f>
        <v>#VALUE!</v>
      </c>
      <c r="EJ53" t="e">
        <f>AND('SPR BARRANQUILLA'!FZ60,"AAAAAEdf94s=")</f>
        <v>#VALUE!</v>
      </c>
      <c r="EK53" t="e">
        <f>AND('SPR BARRANQUILLA'!GA60,"AAAAAEdf94w=")</f>
        <v>#VALUE!</v>
      </c>
      <c r="EL53" t="e">
        <f>AND('SPR BARRANQUILLA'!GB60,"AAAAAEdf940=")</f>
        <v>#VALUE!</v>
      </c>
      <c r="EM53" t="e">
        <f>AND('SPR BARRANQUILLA'!GC60,"AAAAAEdf944=")</f>
        <v>#VALUE!</v>
      </c>
      <c r="EN53" t="e">
        <f>AND('SPR BARRANQUILLA'!GD60,"AAAAAEdf948=")</f>
        <v>#VALUE!</v>
      </c>
      <c r="EO53" t="e">
        <f>AND('SPR BARRANQUILLA'!GE60,"AAAAAEdf95A=")</f>
        <v>#VALUE!</v>
      </c>
      <c r="EP53" t="e">
        <f>AND('SPR BARRANQUILLA'!GF60,"AAAAAEdf95E=")</f>
        <v>#VALUE!</v>
      </c>
      <c r="EQ53" t="e">
        <f>AND('SPR BARRANQUILLA'!GG60,"AAAAAEdf95I=")</f>
        <v>#VALUE!</v>
      </c>
      <c r="ER53" t="e">
        <f>AND('SPR BARRANQUILLA'!GH60,"AAAAAEdf95M=")</f>
        <v>#VALUE!</v>
      </c>
      <c r="ES53" t="e">
        <f>AND('SPR BARRANQUILLA'!GI60,"AAAAAEdf95Q=")</f>
        <v>#VALUE!</v>
      </c>
      <c r="ET53" t="e">
        <f>AND('SPR BARRANQUILLA'!GJ60,"AAAAAEdf95U=")</f>
        <v>#VALUE!</v>
      </c>
      <c r="EU53" t="e">
        <f>AND('SPR BARRANQUILLA'!GK60,"AAAAAEdf95Y=")</f>
        <v>#VALUE!</v>
      </c>
      <c r="EV53" t="e">
        <f>AND('SPR BARRANQUILLA'!GL60,"AAAAAEdf95c=")</f>
        <v>#VALUE!</v>
      </c>
      <c r="EW53" t="e">
        <f>AND('SPR BARRANQUILLA'!GM60,"AAAAAEdf95g=")</f>
        <v>#VALUE!</v>
      </c>
      <c r="EX53" t="e">
        <f>AND('SPR BARRANQUILLA'!GN60,"AAAAAEdf95k=")</f>
        <v>#VALUE!</v>
      </c>
      <c r="EY53" t="e">
        <f>AND('SPR BARRANQUILLA'!GO60,"AAAAAEdf95o=")</f>
        <v>#VALUE!</v>
      </c>
      <c r="EZ53" t="e">
        <f>AND('SPR BARRANQUILLA'!GP60,"AAAAAEdf95s=")</f>
        <v>#VALUE!</v>
      </c>
      <c r="FA53" t="e">
        <f>AND('SPR BARRANQUILLA'!GQ60,"AAAAAEdf95w=")</f>
        <v>#VALUE!</v>
      </c>
      <c r="FB53" t="e">
        <f>AND('SPR BARRANQUILLA'!GR60,"AAAAAEdf950=")</f>
        <v>#VALUE!</v>
      </c>
      <c r="FC53" t="e">
        <f>AND('SPR BARRANQUILLA'!GS60,"AAAAAEdf954=")</f>
        <v>#VALUE!</v>
      </c>
      <c r="FD53" t="e">
        <f>AND('SPR BARRANQUILLA'!GT60,"AAAAAEdf958=")</f>
        <v>#VALUE!</v>
      </c>
      <c r="FE53" t="e">
        <f>AND('SPR BARRANQUILLA'!GU60,"AAAAAEdf96A=")</f>
        <v>#VALUE!</v>
      </c>
      <c r="FF53" t="e">
        <f>AND('SPR BARRANQUILLA'!GV60,"AAAAAEdf96E=")</f>
        <v>#VALUE!</v>
      </c>
      <c r="FG53" t="e">
        <f>AND('SPR BARRANQUILLA'!GW60,"AAAAAEdf96I=")</f>
        <v>#VALUE!</v>
      </c>
      <c r="FH53" t="e">
        <f>AND('SPR BARRANQUILLA'!GX60,"AAAAAEdf96M=")</f>
        <v>#VALUE!</v>
      </c>
      <c r="FI53" t="e">
        <f>AND('SPR BARRANQUILLA'!GY60,"AAAAAEdf96Q=")</f>
        <v>#VALUE!</v>
      </c>
      <c r="FJ53">
        <f>IF('SPR BARRANQUILLA'!61:61,"AAAAAEdf96U=",0)</f>
        <v>0</v>
      </c>
      <c r="FK53" t="e">
        <f>AND('SPR BARRANQUILLA'!A61,"AAAAAEdf96Y=")</f>
        <v>#VALUE!</v>
      </c>
      <c r="FL53" t="e">
        <f>AND('SPR BARRANQUILLA'!B61,"AAAAAEdf96c=")</f>
        <v>#VALUE!</v>
      </c>
      <c r="FM53" t="e">
        <f>AND('SPR BARRANQUILLA'!C61,"AAAAAEdf96g=")</f>
        <v>#VALUE!</v>
      </c>
      <c r="FN53" t="e">
        <f>AND('SPR BARRANQUILLA'!D61,"AAAAAEdf96k=")</f>
        <v>#VALUE!</v>
      </c>
      <c r="FO53" t="e">
        <f>AND('SPR BARRANQUILLA'!E61,"AAAAAEdf96o=")</f>
        <v>#VALUE!</v>
      </c>
      <c r="FP53" t="e">
        <f>AND('SPR BARRANQUILLA'!F61,"AAAAAEdf96s=")</f>
        <v>#VALUE!</v>
      </c>
      <c r="FQ53" t="e">
        <f>AND('SPR BARRANQUILLA'!G61,"AAAAAEdf96w=")</f>
        <v>#VALUE!</v>
      </c>
      <c r="FR53" t="e">
        <f>AND('SPR BARRANQUILLA'!H61,"AAAAAEdf960=")</f>
        <v>#VALUE!</v>
      </c>
      <c r="FS53" t="e">
        <f>AND('SPR BARRANQUILLA'!I61,"AAAAAEdf964=")</f>
        <v>#VALUE!</v>
      </c>
      <c r="FT53" t="e">
        <f>AND('SPR BARRANQUILLA'!J61,"AAAAAEdf968=")</f>
        <v>#VALUE!</v>
      </c>
      <c r="FU53" t="e">
        <f>AND('SPR BARRANQUILLA'!K61,"AAAAAEdf97A=")</f>
        <v>#VALUE!</v>
      </c>
      <c r="FV53" t="e">
        <f>AND('SPR BARRANQUILLA'!L61,"AAAAAEdf97E=")</f>
        <v>#VALUE!</v>
      </c>
      <c r="FW53" t="e">
        <f>AND('SPR BARRANQUILLA'!M61,"AAAAAEdf97I=")</f>
        <v>#VALUE!</v>
      </c>
      <c r="FX53" t="e">
        <f>AND('SPR BARRANQUILLA'!N61,"AAAAAEdf97M=")</f>
        <v>#VALUE!</v>
      </c>
      <c r="FY53" t="e">
        <f>AND('SPR BARRANQUILLA'!O61,"AAAAAEdf97Q=")</f>
        <v>#VALUE!</v>
      </c>
      <c r="FZ53" t="e">
        <f>AND('SPR BARRANQUILLA'!P61,"AAAAAEdf97U=")</f>
        <v>#VALUE!</v>
      </c>
      <c r="GA53" t="e">
        <f>AND('SPR BARRANQUILLA'!Q61,"AAAAAEdf97Y=")</f>
        <v>#VALUE!</v>
      </c>
      <c r="GB53" t="e">
        <f>AND('SPR BARRANQUILLA'!R61,"AAAAAEdf97c=")</f>
        <v>#VALUE!</v>
      </c>
      <c r="GC53" t="e">
        <f>AND('SPR BARRANQUILLA'!S61,"AAAAAEdf97g=")</f>
        <v>#VALUE!</v>
      </c>
      <c r="GD53" t="e">
        <f>AND('SPR BARRANQUILLA'!T61,"AAAAAEdf97k=")</f>
        <v>#VALUE!</v>
      </c>
      <c r="GE53" t="e">
        <f>AND('SPR BARRANQUILLA'!U61,"AAAAAEdf97o=")</f>
        <v>#VALUE!</v>
      </c>
      <c r="GF53" t="e">
        <f>AND('SPR BARRANQUILLA'!V61,"AAAAAEdf97s=")</f>
        <v>#VALUE!</v>
      </c>
      <c r="GG53" t="e">
        <f>AND('SPR BARRANQUILLA'!W61,"AAAAAEdf97w=")</f>
        <v>#VALUE!</v>
      </c>
      <c r="GH53" t="e">
        <f>AND('SPR BARRANQUILLA'!X61,"AAAAAEdf970=")</f>
        <v>#VALUE!</v>
      </c>
      <c r="GI53" t="e">
        <f>AND('SPR BARRANQUILLA'!Y61,"AAAAAEdf974=")</f>
        <v>#VALUE!</v>
      </c>
      <c r="GJ53" t="e">
        <f>AND('SPR BARRANQUILLA'!Z61,"AAAAAEdf978=")</f>
        <v>#VALUE!</v>
      </c>
      <c r="GK53" t="e">
        <f>AND('SPR BARRANQUILLA'!AA61,"AAAAAEdf98A=")</f>
        <v>#VALUE!</v>
      </c>
      <c r="GL53" t="e">
        <f>AND('SPR BARRANQUILLA'!AB61,"AAAAAEdf98E=")</f>
        <v>#VALUE!</v>
      </c>
      <c r="GM53" t="e">
        <f>AND('SPR BARRANQUILLA'!AC61,"AAAAAEdf98I=")</f>
        <v>#VALUE!</v>
      </c>
      <c r="GN53" t="e">
        <f>AND('SPR BARRANQUILLA'!AD61,"AAAAAEdf98M=")</f>
        <v>#VALUE!</v>
      </c>
      <c r="GO53" t="e">
        <f>AND('SPR BARRANQUILLA'!AE61,"AAAAAEdf98Q=")</f>
        <v>#VALUE!</v>
      </c>
      <c r="GP53" t="e">
        <f>AND('SPR BARRANQUILLA'!AF61,"AAAAAEdf98U=")</f>
        <v>#VALUE!</v>
      </c>
      <c r="GQ53" t="e">
        <f>AND('SPR BARRANQUILLA'!AG61,"AAAAAEdf98Y=")</f>
        <v>#VALUE!</v>
      </c>
      <c r="GR53" t="e">
        <f>AND('SPR BARRANQUILLA'!AH61,"AAAAAEdf98c=")</f>
        <v>#VALUE!</v>
      </c>
      <c r="GS53" t="e">
        <f>AND('SPR BARRANQUILLA'!AI61,"AAAAAEdf98g=")</f>
        <v>#VALUE!</v>
      </c>
      <c r="GT53" t="e">
        <f>AND('SPR BARRANQUILLA'!AJ61,"AAAAAEdf98k=")</f>
        <v>#VALUE!</v>
      </c>
      <c r="GU53" t="e">
        <f>AND('SPR BARRANQUILLA'!AK61,"AAAAAEdf98o=")</f>
        <v>#VALUE!</v>
      </c>
      <c r="GV53" t="e">
        <f>AND('SPR BARRANQUILLA'!AL61,"AAAAAEdf98s=")</f>
        <v>#VALUE!</v>
      </c>
      <c r="GW53" t="e">
        <f>AND('SPR BARRANQUILLA'!AM61,"AAAAAEdf98w=")</f>
        <v>#VALUE!</v>
      </c>
      <c r="GX53" t="e">
        <f>AND('SPR BARRANQUILLA'!AN61,"AAAAAEdf980=")</f>
        <v>#VALUE!</v>
      </c>
      <c r="GY53" t="e">
        <f>AND('SPR BARRANQUILLA'!AO61,"AAAAAEdf984=")</f>
        <v>#VALUE!</v>
      </c>
      <c r="GZ53" t="e">
        <f>AND('SPR BARRANQUILLA'!AP61,"AAAAAEdf988=")</f>
        <v>#VALUE!</v>
      </c>
      <c r="HA53" t="e">
        <f>AND('SPR BARRANQUILLA'!AQ61,"AAAAAEdf99A=")</f>
        <v>#VALUE!</v>
      </c>
      <c r="HB53" t="e">
        <f>AND('SPR BARRANQUILLA'!AR61,"AAAAAEdf99E=")</f>
        <v>#VALUE!</v>
      </c>
      <c r="HC53" t="e">
        <f>AND('SPR BARRANQUILLA'!AS61,"AAAAAEdf99I=")</f>
        <v>#VALUE!</v>
      </c>
      <c r="HD53" t="e">
        <f>AND('SPR BARRANQUILLA'!AT61,"AAAAAEdf99M=")</f>
        <v>#VALUE!</v>
      </c>
      <c r="HE53" t="e">
        <f>AND('SPR BARRANQUILLA'!AU61,"AAAAAEdf99Q=")</f>
        <v>#VALUE!</v>
      </c>
      <c r="HF53" t="e">
        <f>AND('SPR BARRANQUILLA'!AV61,"AAAAAEdf99U=")</f>
        <v>#VALUE!</v>
      </c>
      <c r="HG53" t="e">
        <f>AND('SPR BARRANQUILLA'!AW61,"AAAAAEdf99Y=")</f>
        <v>#VALUE!</v>
      </c>
      <c r="HH53" t="e">
        <f>AND('SPR BARRANQUILLA'!AX61,"AAAAAEdf99c=")</f>
        <v>#VALUE!</v>
      </c>
      <c r="HI53" t="e">
        <f>AND('SPR BARRANQUILLA'!AY61,"AAAAAEdf99g=")</f>
        <v>#VALUE!</v>
      </c>
      <c r="HJ53" t="e">
        <f>AND('SPR BARRANQUILLA'!AZ61,"AAAAAEdf99k=")</f>
        <v>#VALUE!</v>
      </c>
      <c r="HK53" t="e">
        <f>AND('SPR BARRANQUILLA'!BA61,"AAAAAEdf99o=")</f>
        <v>#VALUE!</v>
      </c>
      <c r="HL53" t="e">
        <f>AND('SPR BARRANQUILLA'!BB61,"AAAAAEdf99s=")</f>
        <v>#VALUE!</v>
      </c>
      <c r="HM53" t="e">
        <f>AND('SPR BARRANQUILLA'!BC61,"AAAAAEdf99w=")</f>
        <v>#VALUE!</v>
      </c>
      <c r="HN53" t="e">
        <f>AND('SPR BARRANQUILLA'!BD61,"AAAAAEdf990=")</f>
        <v>#VALUE!</v>
      </c>
      <c r="HO53" t="e">
        <f>AND('SPR BARRANQUILLA'!BE61,"AAAAAEdf994=")</f>
        <v>#VALUE!</v>
      </c>
      <c r="HP53" t="e">
        <f>AND('SPR BARRANQUILLA'!BF61,"AAAAAEdf998=")</f>
        <v>#VALUE!</v>
      </c>
      <c r="HQ53" t="e">
        <f>AND('SPR BARRANQUILLA'!BG61,"AAAAAEdf9+A=")</f>
        <v>#VALUE!</v>
      </c>
      <c r="HR53" t="e">
        <f>AND('SPR BARRANQUILLA'!BH61,"AAAAAEdf9+E=")</f>
        <v>#VALUE!</v>
      </c>
      <c r="HS53" t="e">
        <f>AND('SPR BARRANQUILLA'!BI61,"AAAAAEdf9+I=")</f>
        <v>#VALUE!</v>
      </c>
      <c r="HT53" t="e">
        <f>AND('SPR BARRANQUILLA'!BJ61,"AAAAAEdf9+M=")</f>
        <v>#VALUE!</v>
      </c>
      <c r="HU53" t="e">
        <f>AND('SPR BARRANQUILLA'!BK61,"AAAAAEdf9+Q=")</f>
        <v>#VALUE!</v>
      </c>
      <c r="HV53" t="e">
        <f>AND('SPR BARRANQUILLA'!BL61,"AAAAAEdf9+U=")</f>
        <v>#VALUE!</v>
      </c>
      <c r="HW53" t="e">
        <f>AND('SPR BARRANQUILLA'!BM61,"AAAAAEdf9+Y=")</f>
        <v>#VALUE!</v>
      </c>
      <c r="HX53" t="e">
        <f>AND('SPR BARRANQUILLA'!BN61,"AAAAAEdf9+c=")</f>
        <v>#VALUE!</v>
      </c>
      <c r="HY53" t="e">
        <f>AND('SPR BARRANQUILLA'!BO61,"AAAAAEdf9+g=")</f>
        <v>#VALUE!</v>
      </c>
      <c r="HZ53" t="e">
        <f>AND('SPR BARRANQUILLA'!BP61,"AAAAAEdf9+k=")</f>
        <v>#VALUE!</v>
      </c>
      <c r="IA53" t="e">
        <f>AND('SPR BARRANQUILLA'!BQ61,"AAAAAEdf9+o=")</f>
        <v>#VALUE!</v>
      </c>
      <c r="IB53" t="e">
        <f>AND('SPR BARRANQUILLA'!BR61,"AAAAAEdf9+s=")</f>
        <v>#VALUE!</v>
      </c>
      <c r="IC53" t="e">
        <f>AND('SPR BARRANQUILLA'!BS61,"AAAAAEdf9+w=")</f>
        <v>#VALUE!</v>
      </c>
      <c r="ID53" t="e">
        <f>AND('SPR BARRANQUILLA'!BT61,"AAAAAEdf9+0=")</f>
        <v>#VALUE!</v>
      </c>
      <c r="IE53" t="e">
        <f>AND('SPR BARRANQUILLA'!BU61,"AAAAAEdf9+4=")</f>
        <v>#VALUE!</v>
      </c>
      <c r="IF53" t="e">
        <f>AND('SPR BARRANQUILLA'!BV61,"AAAAAEdf9+8=")</f>
        <v>#VALUE!</v>
      </c>
      <c r="IG53" t="e">
        <f>AND('SPR BARRANQUILLA'!BW61,"AAAAAEdf9/A=")</f>
        <v>#VALUE!</v>
      </c>
      <c r="IH53" t="e">
        <f>AND('SPR BARRANQUILLA'!BX61,"AAAAAEdf9/E=")</f>
        <v>#VALUE!</v>
      </c>
      <c r="II53" t="e">
        <f>AND('SPR BARRANQUILLA'!BY61,"AAAAAEdf9/I=")</f>
        <v>#VALUE!</v>
      </c>
      <c r="IJ53" t="e">
        <f>AND('SPR BARRANQUILLA'!BZ61,"AAAAAEdf9/M=")</f>
        <v>#VALUE!</v>
      </c>
      <c r="IK53" t="e">
        <f>AND('SPR BARRANQUILLA'!CA61,"AAAAAEdf9/Q=")</f>
        <v>#VALUE!</v>
      </c>
      <c r="IL53" t="e">
        <f>AND('SPR BARRANQUILLA'!CB61,"AAAAAEdf9/U=")</f>
        <v>#VALUE!</v>
      </c>
      <c r="IM53" t="e">
        <f>AND('SPR BARRANQUILLA'!CC61,"AAAAAEdf9/Y=")</f>
        <v>#VALUE!</v>
      </c>
      <c r="IN53" t="e">
        <f>AND('SPR BARRANQUILLA'!CD61,"AAAAAEdf9/c=")</f>
        <v>#VALUE!</v>
      </c>
      <c r="IO53" t="e">
        <f>AND('SPR BARRANQUILLA'!CE61,"AAAAAEdf9/g=")</f>
        <v>#VALUE!</v>
      </c>
      <c r="IP53" t="e">
        <f>AND('SPR BARRANQUILLA'!CF61,"AAAAAEdf9/k=")</f>
        <v>#VALUE!</v>
      </c>
      <c r="IQ53" t="e">
        <f>AND('SPR BARRANQUILLA'!CG61,"AAAAAEdf9/o=")</f>
        <v>#VALUE!</v>
      </c>
      <c r="IR53" t="e">
        <f>AND('SPR BARRANQUILLA'!CH61,"AAAAAEdf9/s=")</f>
        <v>#VALUE!</v>
      </c>
      <c r="IS53" t="e">
        <f>AND('SPR BARRANQUILLA'!CI61,"AAAAAEdf9/w=")</f>
        <v>#VALUE!</v>
      </c>
      <c r="IT53" t="e">
        <f>AND('SPR BARRANQUILLA'!CJ61,"AAAAAEdf9/0=")</f>
        <v>#VALUE!</v>
      </c>
      <c r="IU53" t="e">
        <f>AND('SPR BARRANQUILLA'!CK61,"AAAAAEdf9/4=")</f>
        <v>#VALUE!</v>
      </c>
      <c r="IV53" t="e">
        <f>AND('SPR BARRANQUILLA'!CL61,"AAAAAEdf9/8=")</f>
        <v>#VALUE!</v>
      </c>
    </row>
    <row r="54" spans="1:256">
      <c r="A54" t="e">
        <f>AND('SPR BARRANQUILLA'!CM61,"AAAAAGe99wA=")</f>
        <v>#VALUE!</v>
      </c>
      <c r="B54" t="e">
        <f>AND('SPR BARRANQUILLA'!CN61,"AAAAAGe99wE=")</f>
        <v>#VALUE!</v>
      </c>
      <c r="C54" t="e">
        <f>AND('SPR BARRANQUILLA'!CO61,"AAAAAGe99wI=")</f>
        <v>#VALUE!</v>
      </c>
      <c r="D54" t="e">
        <f>AND('SPR BARRANQUILLA'!CP61,"AAAAAGe99wM=")</f>
        <v>#VALUE!</v>
      </c>
      <c r="E54" t="e">
        <f>AND('SPR BARRANQUILLA'!CQ61,"AAAAAGe99wQ=")</f>
        <v>#VALUE!</v>
      </c>
      <c r="F54" t="e">
        <f>AND('SPR BARRANQUILLA'!CR61,"AAAAAGe99wU=")</f>
        <v>#VALUE!</v>
      </c>
      <c r="G54" t="e">
        <f>AND('SPR BARRANQUILLA'!CS61,"AAAAAGe99wY=")</f>
        <v>#VALUE!</v>
      </c>
      <c r="H54" t="e">
        <f>AND('SPR BARRANQUILLA'!CT61,"AAAAAGe99wc=")</f>
        <v>#VALUE!</v>
      </c>
      <c r="I54" t="e">
        <f>AND('SPR BARRANQUILLA'!CU61,"AAAAAGe99wg=")</f>
        <v>#VALUE!</v>
      </c>
      <c r="J54" t="e">
        <f>AND('SPR BARRANQUILLA'!CV61,"AAAAAGe99wk=")</f>
        <v>#VALUE!</v>
      </c>
      <c r="K54" t="e">
        <f>AND('SPR BARRANQUILLA'!CW61,"AAAAAGe99wo=")</f>
        <v>#VALUE!</v>
      </c>
      <c r="L54" t="e">
        <f>AND('SPR BARRANQUILLA'!CX61,"AAAAAGe99ws=")</f>
        <v>#VALUE!</v>
      </c>
      <c r="M54" t="e">
        <f>AND('SPR BARRANQUILLA'!CY61,"AAAAAGe99ww=")</f>
        <v>#VALUE!</v>
      </c>
      <c r="N54" t="e">
        <f>AND('SPR BARRANQUILLA'!CZ61,"AAAAAGe99w0=")</f>
        <v>#VALUE!</v>
      </c>
      <c r="O54" t="e">
        <f>AND('SPR BARRANQUILLA'!DA61,"AAAAAGe99w4=")</f>
        <v>#VALUE!</v>
      </c>
      <c r="P54" t="e">
        <f>AND('SPR BARRANQUILLA'!DB61,"AAAAAGe99w8=")</f>
        <v>#VALUE!</v>
      </c>
      <c r="Q54" t="e">
        <f>AND('SPR BARRANQUILLA'!DC61,"AAAAAGe99xA=")</f>
        <v>#VALUE!</v>
      </c>
      <c r="R54" t="e">
        <f>AND('SPR BARRANQUILLA'!DD61,"AAAAAGe99xE=")</f>
        <v>#VALUE!</v>
      </c>
      <c r="S54" t="e">
        <f>AND('SPR BARRANQUILLA'!DE61,"AAAAAGe99xI=")</f>
        <v>#VALUE!</v>
      </c>
      <c r="T54" t="e">
        <f>AND('SPR BARRANQUILLA'!DF61,"AAAAAGe99xM=")</f>
        <v>#VALUE!</v>
      </c>
      <c r="U54" t="e">
        <f>AND('SPR BARRANQUILLA'!DG61,"AAAAAGe99xQ=")</f>
        <v>#VALUE!</v>
      </c>
      <c r="V54" t="e">
        <f>AND('SPR BARRANQUILLA'!DH61,"AAAAAGe99xU=")</f>
        <v>#VALUE!</v>
      </c>
      <c r="W54" t="e">
        <f>AND('SPR BARRANQUILLA'!DI61,"AAAAAGe99xY=")</f>
        <v>#VALUE!</v>
      </c>
      <c r="X54" t="e">
        <f>AND('SPR BARRANQUILLA'!DJ61,"AAAAAGe99xc=")</f>
        <v>#VALUE!</v>
      </c>
      <c r="Y54" t="e">
        <f>AND('SPR BARRANQUILLA'!DK61,"AAAAAGe99xg=")</f>
        <v>#VALUE!</v>
      </c>
      <c r="Z54" t="e">
        <f>AND('SPR BARRANQUILLA'!DL61,"AAAAAGe99xk=")</f>
        <v>#VALUE!</v>
      </c>
      <c r="AA54" t="e">
        <f>AND('SPR BARRANQUILLA'!DM61,"AAAAAGe99xo=")</f>
        <v>#VALUE!</v>
      </c>
      <c r="AB54" t="e">
        <f>AND('SPR BARRANQUILLA'!DN61,"AAAAAGe99xs=")</f>
        <v>#VALUE!</v>
      </c>
      <c r="AC54" t="e">
        <f>AND('SPR BARRANQUILLA'!DO61,"AAAAAGe99xw=")</f>
        <v>#VALUE!</v>
      </c>
      <c r="AD54" t="e">
        <f>AND('SPR BARRANQUILLA'!DP61,"AAAAAGe99x0=")</f>
        <v>#VALUE!</v>
      </c>
      <c r="AE54" t="e">
        <f>AND('SPR BARRANQUILLA'!DQ61,"AAAAAGe99x4=")</f>
        <v>#VALUE!</v>
      </c>
      <c r="AF54" t="e">
        <f>AND('SPR BARRANQUILLA'!DR61,"AAAAAGe99x8=")</f>
        <v>#VALUE!</v>
      </c>
      <c r="AG54" t="e">
        <f>AND('SPR BARRANQUILLA'!DS61,"AAAAAGe99yA=")</f>
        <v>#VALUE!</v>
      </c>
      <c r="AH54" t="e">
        <f>AND('SPR BARRANQUILLA'!DT61,"AAAAAGe99yE=")</f>
        <v>#VALUE!</v>
      </c>
      <c r="AI54" t="e">
        <f>AND('SPR BARRANQUILLA'!DU61,"AAAAAGe99yI=")</f>
        <v>#VALUE!</v>
      </c>
      <c r="AJ54" t="e">
        <f>AND('SPR BARRANQUILLA'!DV61,"AAAAAGe99yM=")</f>
        <v>#VALUE!</v>
      </c>
      <c r="AK54" t="e">
        <f>AND('SPR BARRANQUILLA'!DW61,"AAAAAGe99yQ=")</f>
        <v>#VALUE!</v>
      </c>
      <c r="AL54" t="e">
        <f>AND('SPR BARRANQUILLA'!DX61,"AAAAAGe99yU=")</f>
        <v>#VALUE!</v>
      </c>
      <c r="AM54" t="e">
        <f>AND('SPR BARRANQUILLA'!DY61,"AAAAAGe99yY=")</f>
        <v>#VALUE!</v>
      </c>
      <c r="AN54" t="e">
        <f>AND('SPR BARRANQUILLA'!DZ61,"AAAAAGe99yc=")</f>
        <v>#VALUE!</v>
      </c>
      <c r="AO54" t="e">
        <f>AND('SPR BARRANQUILLA'!EA61,"AAAAAGe99yg=")</f>
        <v>#VALUE!</v>
      </c>
      <c r="AP54" t="e">
        <f>AND('SPR BARRANQUILLA'!EB61,"AAAAAGe99yk=")</f>
        <v>#VALUE!</v>
      </c>
      <c r="AQ54" t="e">
        <f>AND('SPR BARRANQUILLA'!EC61,"AAAAAGe99yo=")</f>
        <v>#VALUE!</v>
      </c>
      <c r="AR54" t="e">
        <f>AND('SPR BARRANQUILLA'!ED61,"AAAAAGe99ys=")</f>
        <v>#VALUE!</v>
      </c>
      <c r="AS54" t="e">
        <f>AND('SPR BARRANQUILLA'!EE61,"AAAAAGe99yw=")</f>
        <v>#VALUE!</v>
      </c>
      <c r="AT54" t="e">
        <f>AND('SPR BARRANQUILLA'!EF61,"AAAAAGe99y0=")</f>
        <v>#VALUE!</v>
      </c>
      <c r="AU54" t="e">
        <f>AND('SPR BARRANQUILLA'!EG61,"AAAAAGe99y4=")</f>
        <v>#VALUE!</v>
      </c>
      <c r="AV54" t="e">
        <f>AND('SPR BARRANQUILLA'!EH61,"AAAAAGe99y8=")</f>
        <v>#VALUE!</v>
      </c>
      <c r="AW54" t="e">
        <f>AND('SPR BARRANQUILLA'!EI61,"AAAAAGe99zA=")</f>
        <v>#VALUE!</v>
      </c>
      <c r="AX54" t="e">
        <f>AND('SPR BARRANQUILLA'!EJ61,"AAAAAGe99zE=")</f>
        <v>#VALUE!</v>
      </c>
      <c r="AY54" t="e">
        <f>AND('SPR BARRANQUILLA'!EK61,"AAAAAGe99zI=")</f>
        <v>#VALUE!</v>
      </c>
      <c r="AZ54" t="e">
        <f>AND('SPR BARRANQUILLA'!EL61,"AAAAAGe99zM=")</f>
        <v>#VALUE!</v>
      </c>
      <c r="BA54" t="e">
        <f>AND('SPR BARRANQUILLA'!EM61,"AAAAAGe99zQ=")</f>
        <v>#VALUE!</v>
      </c>
      <c r="BB54" t="e">
        <f>AND('SPR BARRANQUILLA'!EN61,"AAAAAGe99zU=")</f>
        <v>#VALUE!</v>
      </c>
      <c r="BC54" t="e">
        <f>AND('SPR BARRANQUILLA'!EO61,"AAAAAGe99zY=")</f>
        <v>#VALUE!</v>
      </c>
      <c r="BD54" t="e">
        <f>AND('SPR BARRANQUILLA'!EP61,"AAAAAGe99zc=")</f>
        <v>#VALUE!</v>
      </c>
      <c r="BE54" t="e">
        <f>AND('SPR BARRANQUILLA'!EQ61,"AAAAAGe99zg=")</f>
        <v>#VALUE!</v>
      </c>
      <c r="BF54" t="e">
        <f>AND('SPR BARRANQUILLA'!ER61,"AAAAAGe99zk=")</f>
        <v>#VALUE!</v>
      </c>
      <c r="BG54" t="e">
        <f>AND('SPR BARRANQUILLA'!ES61,"AAAAAGe99zo=")</f>
        <v>#VALUE!</v>
      </c>
      <c r="BH54" t="e">
        <f>AND('SPR BARRANQUILLA'!ET61,"AAAAAGe99zs=")</f>
        <v>#VALUE!</v>
      </c>
      <c r="BI54" t="e">
        <f>AND('SPR BARRANQUILLA'!EU61,"AAAAAGe99zw=")</f>
        <v>#VALUE!</v>
      </c>
      <c r="BJ54" t="e">
        <f>AND('SPR BARRANQUILLA'!EV61,"AAAAAGe99z0=")</f>
        <v>#VALUE!</v>
      </c>
      <c r="BK54" t="e">
        <f>AND('SPR BARRANQUILLA'!EW61,"AAAAAGe99z4=")</f>
        <v>#VALUE!</v>
      </c>
      <c r="BL54" t="e">
        <f>AND('SPR BARRANQUILLA'!EX61,"AAAAAGe99z8=")</f>
        <v>#VALUE!</v>
      </c>
      <c r="BM54" t="e">
        <f>AND('SPR BARRANQUILLA'!EY61,"AAAAAGe990A=")</f>
        <v>#VALUE!</v>
      </c>
      <c r="BN54" t="e">
        <f>AND('SPR BARRANQUILLA'!EZ61,"AAAAAGe990E=")</f>
        <v>#VALUE!</v>
      </c>
      <c r="BO54" t="e">
        <f>AND('SPR BARRANQUILLA'!FA61,"AAAAAGe990I=")</f>
        <v>#VALUE!</v>
      </c>
      <c r="BP54" t="e">
        <f>AND('SPR BARRANQUILLA'!FB61,"AAAAAGe990M=")</f>
        <v>#VALUE!</v>
      </c>
      <c r="BQ54" t="e">
        <f>AND('SPR BARRANQUILLA'!FC61,"AAAAAGe990Q=")</f>
        <v>#VALUE!</v>
      </c>
      <c r="BR54" t="e">
        <f>AND('SPR BARRANQUILLA'!FD61,"AAAAAGe990U=")</f>
        <v>#VALUE!</v>
      </c>
      <c r="BS54" t="e">
        <f>AND('SPR BARRANQUILLA'!FE61,"AAAAAGe990Y=")</f>
        <v>#VALUE!</v>
      </c>
      <c r="BT54" t="e">
        <f>AND('SPR BARRANQUILLA'!FF61,"AAAAAGe990c=")</f>
        <v>#VALUE!</v>
      </c>
      <c r="BU54" t="e">
        <f>AND('SPR BARRANQUILLA'!FG61,"AAAAAGe990g=")</f>
        <v>#VALUE!</v>
      </c>
      <c r="BV54" t="e">
        <f>AND('SPR BARRANQUILLA'!FH61,"AAAAAGe990k=")</f>
        <v>#VALUE!</v>
      </c>
      <c r="BW54" t="e">
        <f>AND('SPR BARRANQUILLA'!FI61,"AAAAAGe990o=")</f>
        <v>#VALUE!</v>
      </c>
      <c r="BX54" t="e">
        <f>AND('SPR BARRANQUILLA'!FJ61,"AAAAAGe990s=")</f>
        <v>#VALUE!</v>
      </c>
      <c r="BY54" t="e">
        <f>AND('SPR BARRANQUILLA'!FK61,"AAAAAGe990w=")</f>
        <v>#VALUE!</v>
      </c>
      <c r="BZ54" t="e">
        <f>AND('SPR BARRANQUILLA'!FL61,"AAAAAGe9900=")</f>
        <v>#VALUE!</v>
      </c>
      <c r="CA54" t="e">
        <f>AND('SPR BARRANQUILLA'!FM61,"AAAAAGe9904=")</f>
        <v>#VALUE!</v>
      </c>
      <c r="CB54" t="e">
        <f>AND('SPR BARRANQUILLA'!FN61,"AAAAAGe9908=")</f>
        <v>#VALUE!</v>
      </c>
      <c r="CC54" t="e">
        <f>AND('SPR BARRANQUILLA'!FO61,"AAAAAGe991A=")</f>
        <v>#VALUE!</v>
      </c>
      <c r="CD54" t="e">
        <f>AND('SPR BARRANQUILLA'!FP61,"AAAAAGe991E=")</f>
        <v>#VALUE!</v>
      </c>
      <c r="CE54" t="e">
        <f>AND('SPR BARRANQUILLA'!FQ61,"AAAAAGe991I=")</f>
        <v>#VALUE!</v>
      </c>
      <c r="CF54" t="e">
        <f>AND('SPR BARRANQUILLA'!FR61,"AAAAAGe991M=")</f>
        <v>#VALUE!</v>
      </c>
      <c r="CG54" t="e">
        <f>AND('SPR BARRANQUILLA'!FS61,"AAAAAGe991Q=")</f>
        <v>#VALUE!</v>
      </c>
      <c r="CH54" t="e">
        <f>AND('SPR BARRANQUILLA'!FT61,"AAAAAGe991U=")</f>
        <v>#VALUE!</v>
      </c>
      <c r="CI54" t="e">
        <f>AND('SPR BARRANQUILLA'!FU61,"AAAAAGe991Y=")</f>
        <v>#VALUE!</v>
      </c>
      <c r="CJ54" t="e">
        <f>AND('SPR BARRANQUILLA'!FV61,"AAAAAGe991c=")</f>
        <v>#VALUE!</v>
      </c>
      <c r="CK54" t="e">
        <f>AND('SPR BARRANQUILLA'!FW61,"AAAAAGe991g=")</f>
        <v>#VALUE!</v>
      </c>
      <c r="CL54" t="e">
        <f>AND('SPR BARRANQUILLA'!FX61,"AAAAAGe991k=")</f>
        <v>#VALUE!</v>
      </c>
      <c r="CM54" t="e">
        <f>AND('SPR BARRANQUILLA'!FY61,"AAAAAGe991o=")</f>
        <v>#VALUE!</v>
      </c>
      <c r="CN54" t="e">
        <f>AND('SPR BARRANQUILLA'!FZ61,"AAAAAGe991s=")</f>
        <v>#VALUE!</v>
      </c>
      <c r="CO54" t="e">
        <f>AND('SPR BARRANQUILLA'!GA61,"AAAAAGe991w=")</f>
        <v>#VALUE!</v>
      </c>
      <c r="CP54" t="e">
        <f>AND('SPR BARRANQUILLA'!GB61,"AAAAAGe9910=")</f>
        <v>#VALUE!</v>
      </c>
      <c r="CQ54" t="e">
        <f>AND('SPR BARRANQUILLA'!GC61,"AAAAAGe9914=")</f>
        <v>#VALUE!</v>
      </c>
      <c r="CR54" t="e">
        <f>AND('SPR BARRANQUILLA'!GD61,"AAAAAGe9918=")</f>
        <v>#VALUE!</v>
      </c>
      <c r="CS54" t="e">
        <f>AND('SPR BARRANQUILLA'!GE61,"AAAAAGe992A=")</f>
        <v>#VALUE!</v>
      </c>
      <c r="CT54" t="e">
        <f>AND('SPR BARRANQUILLA'!GF61,"AAAAAGe992E=")</f>
        <v>#VALUE!</v>
      </c>
      <c r="CU54" t="e">
        <f>AND('SPR BARRANQUILLA'!GG61,"AAAAAGe992I=")</f>
        <v>#VALUE!</v>
      </c>
      <c r="CV54" t="e">
        <f>AND('SPR BARRANQUILLA'!GH61,"AAAAAGe992M=")</f>
        <v>#VALUE!</v>
      </c>
      <c r="CW54" t="e">
        <f>AND('SPR BARRANQUILLA'!GI61,"AAAAAGe992Q=")</f>
        <v>#VALUE!</v>
      </c>
      <c r="CX54" t="e">
        <f>AND('SPR BARRANQUILLA'!GJ61,"AAAAAGe992U=")</f>
        <v>#VALUE!</v>
      </c>
      <c r="CY54" t="e">
        <f>AND('SPR BARRANQUILLA'!GK61,"AAAAAGe992Y=")</f>
        <v>#VALUE!</v>
      </c>
      <c r="CZ54" t="e">
        <f>AND('SPR BARRANQUILLA'!GL61,"AAAAAGe992c=")</f>
        <v>#VALUE!</v>
      </c>
      <c r="DA54" t="e">
        <f>AND('SPR BARRANQUILLA'!GM61,"AAAAAGe992g=")</f>
        <v>#VALUE!</v>
      </c>
      <c r="DB54" t="e">
        <f>AND('SPR BARRANQUILLA'!GN61,"AAAAAGe992k=")</f>
        <v>#VALUE!</v>
      </c>
      <c r="DC54" t="e">
        <f>AND('SPR BARRANQUILLA'!GO61,"AAAAAGe992o=")</f>
        <v>#VALUE!</v>
      </c>
      <c r="DD54" t="e">
        <f>AND('SPR BARRANQUILLA'!GP61,"AAAAAGe992s=")</f>
        <v>#VALUE!</v>
      </c>
      <c r="DE54" t="e">
        <f>AND('SPR BARRANQUILLA'!GQ61,"AAAAAGe992w=")</f>
        <v>#VALUE!</v>
      </c>
      <c r="DF54" t="e">
        <f>AND('SPR BARRANQUILLA'!GR61,"AAAAAGe9920=")</f>
        <v>#VALUE!</v>
      </c>
      <c r="DG54" t="e">
        <f>AND('SPR BARRANQUILLA'!GS61,"AAAAAGe9924=")</f>
        <v>#VALUE!</v>
      </c>
      <c r="DH54" t="e">
        <f>AND('SPR BARRANQUILLA'!GT61,"AAAAAGe9928=")</f>
        <v>#VALUE!</v>
      </c>
      <c r="DI54" t="e">
        <f>AND('SPR BARRANQUILLA'!GU61,"AAAAAGe993A=")</f>
        <v>#VALUE!</v>
      </c>
      <c r="DJ54" t="e">
        <f>AND('SPR BARRANQUILLA'!GV61,"AAAAAGe993E=")</f>
        <v>#VALUE!</v>
      </c>
      <c r="DK54" t="e">
        <f>AND('SPR BARRANQUILLA'!GW61,"AAAAAGe993I=")</f>
        <v>#VALUE!</v>
      </c>
      <c r="DL54" t="e">
        <f>AND('SPR BARRANQUILLA'!GX61,"AAAAAGe993M=")</f>
        <v>#VALUE!</v>
      </c>
      <c r="DM54" t="e">
        <f>AND('SPR BARRANQUILLA'!GY61,"AAAAAGe993Q=")</f>
        <v>#VALUE!</v>
      </c>
      <c r="DN54">
        <f>IF('SPR BARRANQUILLA'!62:62,"AAAAAGe993U=",0)</f>
        <v>0</v>
      </c>
      <c r="DO54" t="e">
        <f>AND('SPR BARRANQUILLA'!A62,"AAAAAGe993Y=")</f>
        <v>#VALUE!</v>
      </c>
      <c r="DP54" t="e">
        <f>AND('SPR BARRANQUILLA'!B62,"AAAAAGe993c=")</f>
        <v>#VALUE!</v>
      </c>
      <c r="DQ54" t="e">
        <f>AND('SPR BARRANQUILLA'!C62,"AAAAAGe993g=")</f>
        <v>#VALUE!</v>
      </c>
      <c r="DR54" t="e">
        <f>AND('SPR BARRANQUILLA'!D62,"AAAAAGe993k=")</f>
        <v>#VALUE!</v>
      </c>
      <c r="DS54" t="e">
        <f>AND('SPR BARRANQUILLA'!E62,"AAAAAGe993o=")</f>
        <v>#VALUE!</v>
      </c>
      <c r="DT54" t="e">
        <f>AND('SPR BARRANQUILLA'!F62,"AAAAAGe993s=")</f>
        <v>#VALUE!</v>
      </c>
      <c r="DU54" t="e">
        <f>AND('SPR BARRANQUILLA'!G62,"AAAAAGe993w=")</f>
        <v>#VALUE!</v>
      </c>
      <c r="DV54" t="e">
        <f>AND('SPR BARRANQUILLA'!H62,"AAAAAGe9930=")</f>
        <v>#VALUE!</v>
      </c>
      <c r="DW54" t="e">
        <f>AND('SPR BARRANQUILLA'!I62,"AAAAAGe9934=")</f>
        <v>#VALUE!</v>
      </c>
      <c r="DX54" t="e">
        <f>AND('SPR BARRANQUILLA'!J62,"AAAAAGe9938=")</f>
        <v>#VALUE!</v>
      </c>
      <c r="DY54" t="e">
        <f>AND('SPR BARRANQUILLA'!K62,"AAAAAGe994A=")</f>
        <v>#VALUE!</v>
      </c>
      <c r="DZ54" t="e">
        <f>AND('SPR BARRANQUILLA'!L62,"AAAAAGe994E=")</f>
        <v>#VALUE!</v>
      </c>
      <c r="EA54" t="e">
        <f>AND('SPR BARRANQUILLA'!M62,"AAAAAGe994I=")</f>
        <v>#VALUE!</v>
      </c>
      <c r="EB54" t="e">
        <f>AND('SPR BARRANQUILLA'!N62,"AAAAAGe994M=")</f>
        <v>#VALUE!</v>
      </c>
      <c r="EC54" t="e">
        <f>AND('SPR BARRANQUILLA'!O62,"AAAAAGe994Q=")</f>
        <v>#VALUE!</v>
      </c>
      <c r="ED54" t="e">
        <f>AND('SPR BARRANQUILLA'!P62,"AAAAAGe994U=")</f>
        <v>#VALUE!</v>
      </c>
      <c r="EE54" t="e">
        <f>AND('SPR BARRANQUILLA'!Q62,"AAAAAGe994Y=")</f>
        <v>#VALUE!</v>
      </c>
      <c r="EF54" t="e">
        <f>AND('SPR BARRANQUILLA'!R62,"AAAAAGe994c=")</f>
        <v>#VALUE!</v>
      </c>
      <c r="EG54" t="e">
        <f>AND('SPR BARRANQUILLA'!S62,"AAAAAGe994g=")</f>
        <v>#VALUE!</v>
      </c>
      <c r="EH54" t="e">
        <f>AND('SPR BARRANQUILLA'!T62,"AAAAAGe994k=")</f>
        <v>#VALUE!</v>
      </c>
      <c r="EI54" t="e">
        <f>AND('SPR BARRANQUILLA'!U62,"AAAAAGe994o=")</f>
        <v>#VALUE!</v>
      </c>
      <c r="EJ54" t="e">
        <f>AND('SPR BARRANQUILLA'!V62,"AAAAAGe994s=")</f>
        <v>#VALUE!</v>
      </c>
      <c r="EK54" t="e">
        <f>AND('SPR BARRANQUILLA'!W62,"AAAAAGe994w=")</f>
        <v>#VALUE!</v>
      </c>
      <c r="EL54" t="e">
        <f>AND('SPR BARRANQUILLA'!X62,"AAAAAGe9940=")</f>
        <v>#VALUE!</v>
      </c>
      <c r="EM54" t="e">
        <f>AND('SPR BARRANQUILLA'!Y62,"AAAAAGe9944=")</f>
        <v>#VALUE!</v>
      </c>
      <c r="EN54" t="e">
        <f>AND('SPR BARRANQUILLA'!Z62,"AAAAAGe9948=")</f>
        <v>#VALUE!</v>
      </c>
      <c r="EO54" t="e">
        <f>AND('SPR BARRANQUILLA'!AA62,"AAAAAGe995A=")</f>
        <v>#VALUE!</v>
      </c>
      <c r="EP54" t="e">
        <f>AND('SPR BARRANQUILLA'!AB62,"AAAAAGe995E=")</f>
        <v>#VALUE!</v>
      </c>
      <c r="EQ54" t="e">
        <f>AND('SPR BARRANQUILLA'!AC62,"AAAAAGe995I=")</f>
        <v>#VALUE!</v>
      </c>
      <c r="ER54" t="e">
        <f>AND('SPR BARRANQUILLA'!AD62,"AAAAAGe995M=")</f>
        <v>#VALUE!</v>
      </c>
      <c r="ES54" t="e">
        <f>AND('SPR BARRANQUILLA'!AE62,"AAAAAGe995Q=")</f>
        <v>#VALUE!</v>
      </c>
      <c r="ET54" t="e">
        <f>AND('SPR BARRANQUILLA'!AF62,"AAAAAGe995U=")</f>
        <v>#VALUE!</v>
      </c>
      <c r="EU54" t="e">
        <f>AND('SPR BARRANQUILLA'!AG62,"AAAAAGe995Y=")</f>
        <v>#VALUE!</v>
      </c>
      <c r="EV54" t="e">
        <f>AND('SPR BARRANQUILLA'!AH62,"AAAAAGe995c=")</f>
        <v>#VALUE!</v>
      </c>
      <c r="EW54" t="e">
        <f>AND('SPR BARRANQUILLA'!AI62,"AAAAAGe995g=")</f>
        <v>#VALUE!</v>
      </c>
      <c r="EX54" t="e">
        <f>AND('SPR BARRANQUILLA'!AJ62,"AAAAAGe995k=")</f>
        <v>#VALUE!</v>
      </c>
      <c r="EY54" t="e">
        <f>AND('SPR BARRANQUILLA'!AK62,"AAAAAGe995o=")</f>
        <v>#VALUE!</v>
      </c>
      <c r="EZ54" t="e">
        <f>AND('SPR BARRANQUILLA'!AL62,"AAAAAGe995s=")</f>
        <v>#VALUE!</v>
      </c>
      <c r="FA54" t="e">
        <f>AND('SPR BARRANQUILLA'!AM62,"AAAAAGe995w=")</f>
        <v>#VALUE!</v>
      </c>
      <c r="FB54" t="e">
        <f>AND('SPR BARRANQUILLA'!AN62,"AAAAAGe9950=")</f>
        <v>#VALUE!</v>
      </c>
      <c r="FC54" t="e">
        <f>AND('SPR BARRANQUILLA'!AO62,"AAAAAGe9954=")</f>
        <v>#VALUE!</v>
      </c>
      <c r="FD54" t="e">
        <f>AND('SPR BARRANQUILLA'!AP62,"AAAAAGe9958=")</f>
        <v>#VALUE!</v>
      </c>
      <c r="FE54" t="e">
        <f>AND('SPR BARRANQUILLA'!AQ62,"AAAAAGe996A=")</f>
        <v>#VALUE!</v>
      </c>
      <c r="FF54" t="e">
        <f>AND('SPR BARRANQUILLA'!AR62,"AAAAAGe996E=")</f>
        <v>#VALUE!</v>
      </c>
      <c r="FG54" t="e">
        <f>AND('SPR BARRANQUILLA'!AS62,"AAAAAGe996I=")</f>
        <v>#VALUE!</v>
      </c>
      <c r="FH54" t="e">
        <f>AND('SPR BARRANQUILLA'!AT62,"AAAAAGe996M=")</f>
        <v>#VALUE!</v>
      </c>
      <c r="FI54" t="e">
        <f>AND('SPR BARRANQUILLA'!AU62,"AAAAAGe996Q=")</f>
        <v>#VALUE!</v>
      </c>
      <c r="FJ54" t="e">
        <f>AND('SPR BARRANQUILLA'!AV62,"AAAAAGe996U=")</f>
        <v>#VALUE!</v>
      </c>
      <c r="FK54" t="e">
        <f>AND('SPR BARRANQUILLA'!AW62,"AAAAAGe996Y=")</f>
        <v>#VALUE!</v>
      </c>
      <c r="FL54" t="e">
        <f>AND('SPR BARRANQUILLA'!AX62,"AAAAAGe996c=")</f>
        <v>#VALUE!</v>
      </c>
      <c r="FM54" t="e">
        <f>AND('SPR BARRANQUILLA'!AY62,"AAAAAGe996g=")</f>
        <v>#VALUE!</v>
      </c>
      <c r="FN54" t="e">
        <f>AND('SPR BARRANQUILLA'!AZ62,"AAAAAGe996k=")</f>
        <v>#VALUE!</v>
      </c>
      <c r="FO54" t="e">
        <f>AND('SPR BARRANQUILLA'!BA62,"AAAAAGe996o=")</f>
        <v>#VALUE!</v>
      </c>
      <c r="FP54" t="e">
        <f>AND('SPR BARRANQUILLA'!BB62,"AAAAAGe996s=")</f>
        <v>#VALUE!</v>
      </c>
      <c r="FQ54" t="e">
        <f>AND('SPR BARRANQUILLA'!BC62,"AAAAAGe996w=")</f>
        <v>#VALUE!</v>
      </c>
      <c r="FR54" t="e">
        <f>AND('SPR BARRANQUILLA'!BD62,"AAAAAGe9960=")</f>
        <v>#VALUE!</v>
      </c>
      <c r="FS54" t="e">
        <f>AND('SPR BARRANQUILLA'!BE62,"AAAAAGe9964=")</f>
        <v>#VALUE!</v>
      </c>
      <c r="FT54" t="e">
        <f>AND('SPR BARRANQUILLA'!BF62,"AAAAAGe9968=")</f>
        <v>#VALUE!</v>
      </c>
      <c r="FU54" t="e">
        <f>AND('SPR BARRANQUILLA'!BG62,"AAAAAGe997A=")</f>
        <v>#VALUE!</v>
      </c>
      <c r="FV54" t="e">
        <f>AND('SPR BARRANQUILLA'!BH62,"AAAAAGe997E=")</f>
        <v>#VALUE!</v>
      </c>
      <c r="FW54" t="e">
        <f>AND('SPR BARRANQUILLA'!BI62,"AAAAAGe997I=")</f>
        <v>#VALUE!</v>
      </c>
      <c r="FX54" t="e">
        <f>AND('SPR BARRANQUILLA'!BJ62,"AAAAAGe997M=")</f>
        <v>#VALUE!</v>
      </c>
      <c r="FY54" t="e">
        <f>AND('SPR BARRANQUILLA'!BK62,"AAAAAGe997Q=")</f>
        <v>#VALUE!</v>
      </c>
      <c r="FZ54" t="e">
        <f>AND('SPR BARRANQUILLA'!BL62,"AAAAAGe997U=")</f>
        <v>#VALUE!</v>
      </c>
      <c r="GA54" t="e">
        <f>AND('SPR BARRANQUILLA'!BM62,"AAAAAGe997Y=")</f>
        <v>#VALUE!</v>
      </c>
      <c r="GB54" t="e">
        <f>AND('SPR BARRANQUILLA'!BN62,"AAAAAGe997c=")</f>
        <v>#VALUE!</v>
      </c>
      <c r="GC54" t="e">
        <f>AND('SPR BARRANQUILLA'!BO62,"AAAAAGe997g=")</f>
        <v>#VALUE!</v>
      </c>
      <c r="GD54" t="e">
        <f>AND('SPR BARRANQUILLA'!BP62,"AAAAAGe997k=")</f>
        <v>#VALUE!</v>
      </c>
      <c r="GE54" t="e">
        <f>AND('SPR BARRANQUILLA'!BQ62,"AAAAAGe997o=")</f>
        <v>#VALUE!</v>
      </c>
      <c r="GF54" t="e">
        <f>AND('SPR BARRANQUILLA'!BR62,"AAAAAGe997s=")</f>
        <v>#VALUE!</v>
      </c>
      <c r="GG54" t="e">
        <f>AND('SPR BARRANQUILLA'!BS62,"AAAAAGe997w=")</f>
        <v>#VALUE!</v>
      </c>
      <c r="GH54" t="e">
        <f>AND('SPR BARRANQUILLA'!BT62,"AAAAAGe9970=")</f>
        <v>#VALUE!</v>
      </c>
      <c r="GI54" t="e">
        <f>AND('SPR BARRANQUILLA'!BU62,"AAAAAGe9974=")</f>
        <v>#VALUE!</v>
      </c>
      <c r="GJ54" t="e">
        <f>AND('SPR BARRANQUILLA'!BV62,"AAAAAGe9978=")</f>
        <v>#VALUE!</v>
      </c>
      <c r="GK54" t="e">
        <f>AND('SPR BARRANQUILLA'!BW62,"AAAAAGe998A=")</f>
        <v>#VALUE!</v>
      </c>
      <c r="GL54" t="e">
        <f>AND('SPR BARRANQUILLA'!BX62,"AAAAAGe998E=")</f>
        <v>#VALUE!</v>
      </c>
      <c r="GM54" t="e">
        <f>AND('SPR BARRANQUILLA'!BY62,"AAAAAGe998I=")</f>
        <v>#VALUE!</v>
      </c>
      <c r="GN54" t="e">
        <f>AND('SPR BARRANQUILLA'!BZ62,"AAAAAGe998M=")</f>
        <v>#VALUE!</v>
      </c>
      <c r="GO54" t="e">
        <f>AND('SPR BARRANQUILLA'!CA62,"AAAAAGe998Q=")</f>
        <v>#VALUE!</v>
      </c>
      <c r="GP54" t="e">
        <f>AND('SPR BARRANQUILLA'!CB62,"AAAAAGe998U=")</f>
        <v>#VALUE!</v>
      </c>
      <c r="GQ54" t="e">
        <f>AND('SPR BARRANQUILLA'!CC62,"AAAAAGe998Y=")</f>
        <v>#VALUE!</v>
      </c>
      <c r="GR54" t="e">
        <f>AND('SPR BARRANQUILLA'!CD62,"AAAAAGe998c=")</f>
        <v>#VALUE!</v>
      </c>
      <c r="GS54" t="e">
        <f>AND('SPR BARRANQUILLA'!CE62,"AAAAAGe998g=")</f>
        <v>#VALUE!</v>
      </c>
      <c r="GT54" t="e">
        <f>AND('SPR BARRANQUILLA'!CF62,"AAAAAGe998k=")</f>
        <v>#VALUE!</v>
      </c>
      <c r="GU54" t="e">
        <f>AND('SPR BARRANQUILLA'!CG62,"AAAAAGe998o=")</f>
        <v>#VALUE!</v>
      </c>
      <c r="GV54" t="e">
        <f>AND('SPR BARRANQUILLA'!CH62,"AAAAAGe998s=")</f>
        <v>#VALUE!</v>
      </c>
      <c r="GW54" t="e">
        <f>AND('SPR BARRANQUILLA'!CI62,"AAAAAGe998w=")</f>
        <v>#VALUE!</v>
      </c>
      <c r="GX54" t="e">
        <f>AND('SPR BARRANQUILLA'!CJ62,"AAAAAGe9980=")</f>
        <v>#VALUE!</v>
      </c>
      <c r="GY54" t="e">
        <f>AND('SPR BARRANQUILLA'!CK62,"AAAAAGe9984=")</f>
        <v>#VALUE!</v>
      </c>
      <c r="GZ54" t="e">
        <f>AND('SPR BARRANQUILLA'!CL62,"AAAAAGe9988=")</f>
        <v>#VALUE!</v>
      </c>
      <c r="HA54" t="e">
        <f>AND('SPR BARRANQUILLA'!CM62,"AAAAAGe999A=")</f>
        <v>#VALUE!</v>
      </c>
      <c r="HB54" t="e">
        <f>AND('SPR BARRANQUILLA'!CN62,"AAAAAGe999E=")</f>
        <v>#VALUE!</v>
      </c>
      <c r="HC54" t="e">
        <f>AND('SPR BARRANQUILLA'!CO62,"AAAAAGe999I=")</f>
        <v>#VALUE!</v>
      </c>
      <c r="HD54" t="e">
        <f>AND('SPR BARRANQUILLA'!CP62,"AAAAAGe999M=")</f>
        <v>#VALUE!</v>
      </c>
      <c r="HE54" t="e">
        <f>AND('SPR BARRANQUILLA'!CQ62,"AAAAAGe999Q=")</f>
        <v>#VALUE!</v>
      </c>
      <c r="HF54" t="e">
        <f>AND('SPR BARRANQUILLA'!CR62,"AAAAAGe999U=")</f>
        <v>#VALUE!</v>
      </c>
      <c r="HG54" t="e">
        <f>AND('SPR BARRANQUILLA'!CS62,"AAAAAGe999Y=")</f>
        <v>#VALUE!</v>
      </c>
      <c r="HH54" t="e">
        <f>AND('SPR BARRANQUILLA'!CT62,"AAAAAGe999c=")</f>
        <v>#VALUE!</v>
      </c>
      <c r="HI54" t="e">
        <f>AND('SPR BARRANQUILLA'!CU62,"AAAAAGe999g=")</f>
        <v>#VALUE!</v>
      </c>
      <c r="HJ54" t="e">
        <f>AND('SPR BARRANQUILLA'!CV62,"AAAAAGe999k=")</f>
        <v>#VALUE!</v>
      </c>
      <c r="HK54" t="e">
        <f>AND('SPR BARRANQUILLA'!CW62,"AAAAAGe999o=")</f>
        <v>#VALUE!</v>
      </c>
      <c r="HL54" t="e">
        <f>AND('SPR BARRANQUILLA'!CX62,"AAAAAGe999s=")</f>
        <v>#VALUE!</v>
      </c>
      <c r="HM54" t="e">
        <f>AND('SPR BARRANQUILLA'!CY62,"AAAAAGe999w=")</f>
        <v>#VALUE!</v>
      </c>
      <c r="HN54" t="e">
        <f>AND('SPR BARRANQUILLA'!CZ62,"AAAAAGe9990=")</f>
        <v>#VALUE!</v>
      </c>
      <c r="HO54" t="e">
        <f>AND('SPR BARRANQUILLA'!DA62,"AAAAAGe9994=")</f>
        <v>#VALUE!</v>
      </c>
      <c r="HP54" t="e">
        <f>AND('SPR BARRANQUILLA'!DB62,"AAAAAGe9998=")</f>
        <v>#VALUE!</v>
      </c>
      <c r="HQ54" t="e">
        <f>AND('SPR BARRANQUILLA'!DC62,"AAAAAGe99+A=")</f>
        <v>#VALUE!</v>
      </c>
      <c r="HR54" t="e">
        <f>AND('SPR BARRANQUILLA'!DD62,"AAAAAGe99+E=")</f>
        <v>#VALUE!</v>
      </c>
      <c r="HS54" t="e">
        <f>AND('SPR BARRANQUILLA'!DE62,"AAAAAGe99+I=")</f>
        <v>#VALUE!</v>
      </c>
      <c r="HT54" t="e">
        <f>AND('SPR BARRANQUILLA'!DF62,"AAAAAGe99+M=")</f>
        <v>#VALUE!</v>
      </c>
      <c r="HU54" t="e">
        <f>AND('SPR BARRANQUILLA'!DG62,"AAAAAGe99+Q=")</f>
        <v>#VALUE!</v>
      </c>
      <c r="HV54" t="e">
        <f>AND('SPR BARRANQUILLA'!DH62,"AAAAAGe99+U=")</f>
        <v>#VALUE!</v>
      </c>
      <c r="HW54" t="e">
        <f>AND('SPR BARRANQUILLA'!DI62,"AAAAAGe99+Y=")</f>
        <v>#VALUE!</v>
      </c>
      <c r="HX54" t="e">
        <f>AND('SPR BARRANQUILLA'!DJ62,"AAAAAGe99+c=")</f>
        <v>#VALUE!</v>
      </c>
      <c r="HY54" t="e">
        <f>AND('SPR BARRANQUILLA'!DK62,"AAAAAGe99+g=")</f>
        <v>#VALUE!</v>
      </c>
      <c r="HZ54" t="e">
        <f>AND('SPR BARRANQUILLA'!DL62,"AAAAAGe99+k=")</f>
        <v>#VALUE!</v>
      </c>
      <c r="IA54" t="e">
        <f>AND('SPR BARRANQUILLA'!DM62,"AAAAAGe99+o=")</f>
        <v>#VALUE!</v>
      </c>
      <c r="IB54" t="e">
        <f>AND('SPR BARRANQUILLA'!DN62,"AAAAAGe99+s=")</f>
        <v>#VALUE!</v>
      </c>
      <c r="IC54" t="e">
        <f>AND('SPR BARRANQUILLA'!DO62,"AAAAAGe99+w=")</f>
        <v>#VALUE!</v>
      </c>
      <c r="ID54" t="e">
        <f>AND('SPR BARRANQUILLA'!DP62,"AAAAAGe99+0=")</f>
        <v>#VALUE!</v>
      </c>
      <c r="IE54" t="e">
        <f>AND('SPR BARRANQUILLA'!DQ62,"AAAAAGe99+4=")</f>
        <v>#VALUE!</v>
      </c>
      <c r="IF54" t="e">
        <f>AND('SPR BARRANQUILLA'!DR62,"AAAAAGe99+8=")</f>
        <v>#VALUE!</v>
      </c>
      <c r="IG54" t="e">
        <f>AND('SPR BARRANQUILLA'!DS62,"AAAAAGe99/A=")</f>
        <v>#VALUE!</v>
      </c>
      <c r="IH54" t="e">
        <f>AND('SPR BARRANQUILLA'!DT62,"AAAAAGe99/E=")</f>
        <v>#VALUE!</v>
      </c>
      <c r="II54" t="e">
        <f>AND('SPR BARRANQUILLA'!DU62,"AAAAAGe99/I=")</f>
        <v>#VALUE!</v>
      </c>
      <c r="IJ54" t="e">
        <f>AND('SPR BARRANQUILLA'!DV62,"AAAAAGe99/M=")</f>
        <v>#VALUE!</v>
      </c>
      <c r="IK54" t="e">
        <f>AND('SPR BARRANQUILLA'!DW62,"AAAAAGe99/Q=")</f>
        <v>#VALUE!</v>
      </c>
      <c r="IL54" t="e">
        <f>AND('SPR BARRANQUILLA'!DX62,"AAAAAGe99/U=")</f>
        <v>#VALUE!</v>
      </c>
      <c r="IM54" t="e">
        <f>AND('SPR BARRANQUILLA'!DY62,"AAAAAGe99/Y=")</f>
        <v>#VALUE!</v>
      </c>
      <c r="IN54" t="e">
        <f>AND('SPR BARRANQUILLA'!DZ62,"AAAAAGe99/c=")</f>
        <v>#VALUE!</v>
      </c>
      <c r="IO54" t="e">
        <f>AND('SPR BARRANQUILLA'!EA62,"AAAAAGe99/g=")</f>
        <v>#VALUE!</v>
      </c>
      <c r="IP54" t="e">
        <f>AND('SPR BARRANQUILLA'!EB62,"AAAAAGe99/k=")</f>
        <v>#VALUE!</v>
      </c>
      <c r="IQ54" t="e">
        <f>AND('SPR BARRANQUILLA'!EC62,"AAAAAGe99/o=")</f>
        <v>#VALUE!</v>
      </c>
      <c r="IR54" t="e">
        <f>AND('SPR BARRANQUILLA'!ED62,"AAAAAGe99/s=")</f>
        <v>#VALUE!</v>
      </c>
      <c r="IS54" t="e">
        <f>AND('SPR BARRANQUILLA'!EE62,"AAAAAGe99/w=")</f>
        <v>#VALUE!</v>
      </c>
      <c r="IT54" t="e">
        <f>AND('SPR BARRANQUILLA'!EF62,"AAAAAGe99/0=")</f>
        <v>#VALUE!</v>
      </c>
      <c r="IU54" t="e">
        <f>AND('SPR BARRANQUILLA'!EG62,"AAAAAGe99/4=")</f>
        <v>#VALUE!</v>
      </c>
      <c r="IV54" t="e">
        <f>AND('SPR BARRANQUILLA'!EH62,"AAAAAGe99/8=")</f>
        <v>#VALUE!</v>
      </c>
    </row>
    <row r="55" spans="1:256">
      <c r="A55" t="e">
        <f>AND('SPR BARRANQUILLA'!EI62,"AAAAAG3buwA=")</f>
        <v>#VALUE!</v>
      </c>
      <c r="B55" t="e">
        <f>AND('SPR BARRANQUILLA'!EJ62,"AAAAAG3buwE=")</f>
        <v>#VALUE!</v>
      </c>
      <c r="C55" t="e">
        <f>AND('SPR BARRANQUILLA'!EK62,"AAAAAG3buwI=")</f>
        <v>#VALUE!</v>
      </c>
      <c r="D55" t="e">
        <f>AND('SPR BARRANQUILLA'!EL62,"AAAAAG3buwM=")</f>
        <v>#VALUE!</v>
      </c>
      <c r="E55" t="e">
        <f>AND('SPR BARRANQUILLA'!EM62,"AAAAAG3buwQ=")</f>
        <v>#VALUE!</v>
      </c>
      <c r="F55" t="e">
        <f>AND('SPR BARRANQUILLA'!EN62,"AAAAAG3buwU=")</f>
        <v>#VALUE!</v>
      </c>
      <c r="G55" t="e">
        <f>AND('SPR BARRANQUILLA'!EO62,"AAAAAG3buwY=")</f>
        <v>#VALUE!</v>
      </c>
      <c r="H55" t="e">
        <f>AND('SPR BARRANQUILLA'!EP62,"AAAAAG3buwc=")</f>
        <v>#VALUE!</v>
      </c>
      <c r="I55" t="e">
        <f>AND('SPR BARRANQUILLA'!EQ62,"AAAAAG3buwg=")</f>
        <v>#VALUE!</v>
      </c>
      <c r="J55" t="e">
        <f>AND('SPR BARRANQUILLA'!ER62,"AAAAAG3buwk=")</f>
        <v>#VALUE!</v>
      </c>
      <c r="K55" t="e">
        <f>AND('SPR BARRANQUILLA'!ES62,"AAAAAG3buwo=")</f>
        <v>#VALUE!</v>
      </c>
      <c r="L55" t="e">
        <f>AND('SPR BARRANQUILLA'!ET62,"AAAAAG3buws=")</f>
        <v>#VALUE!</v>
      </c>
      <c r="M55" t="e">
        <f>AND('SPR BARRANQUILLA'!EU62,"AAAAAG3buww=")</f>
        <v>#VALUE!</v>
      </c>
      <c r="N55" t="e">
        <f>AND('SPR BARRANQUILLA'!EV62,"AAAAAG3buw0=")</f>
        <v>#VALUE!</v>
      </c>
      <c r="O55" t="e">
        <f>AND('SPR BARRANQUILLA'!EW62,"AAAAAG3buw4=")</f>
        <v>#VALUE!</v>
      </c>
      <c r="P55" t="e">
        <f>AND('SPR BARRANQUILLA'!EX62,"AAAAAG3buw8=")</f>
        <v>#VALUE!</v>
      </c>
      <c r="Q55" t="e">
        <f>AND('SPR BARRANQUILLA'!EY62,"AAAAAG3buxA=")</f>
        <v>#VALUE!</v>
      </c>
      <c r="R55" t="e">
        <f>AND('SPR BARRANQUILLA'!EZ62,"AAAAAG3buxE=")</f>
        <v>#VALUE!</v>
      </c>
      <c r="S55" t="e">
        <f>AND('SPR BARRANQUILLA'!FA62,"AAAAAG3buxI=")</f>
        <v>#VALUE!</v>
      </c>
      <c r="T55" t="e">
        <f>AND('SPR BARRANQUILLA'!FB62,"AAAAAG3buxM=")</f>
        <v>#VALUE!</v>
      </c>
      <c r="U55" t="e">
        <f>AND('SPR BARRANQUILLA'!FC62,"AAAAAG3buxQ=")</f>
        <v>#VALUE!</v>
      </c>
      <c r="V55" t="e">
        <f>AND('SPR BARRANQUILLA'!FD62,"AAAAAG3buxU=")</f>
        <v>#VALUE!</v>
      </c>
      <c r="W55" t="e">
        <f>AND('SPR BARRANQUILLA'!FE62,"AAAAAG3buxY=")</f>
        <v>#VALUE!</v>
      </c>
      <c r="X55" t="e">
        <f>AND('SPR BARRANQUILLA'!FF62,"AAAAAG3buxc=")</f>
        <v>#VALUE!</v>
      </c>
      <c r="Y55" t="e">
        <f>AND('SPR BARRANQUILLA'!FG62,"AAAAAG3buxg=")</f>
        <v>#VALUE!</v>
      </c>
      <c r="Z55" t="e">
        <f>AND('SPR BARRANQUILLA'!FH62,"AAAAAG3buxk=")</f>
        <v>#VALUE!</v>
      </c>
      <c r="AA55" t="e">
        <f>AND('SPR BARRANQUILLA'!FI62,"AAAAAG3buxo=")</f>
        <v>#VALUE!</v>
      </c>
      <c r="AB55" t="e">
        <f>AND('SPR BARRANQUILLA'!FJ62,"AAAAAG3buxs=")</f>
        <v>#VALUE!</v>
      </c>
      <c r="AC55" t="e">
        <f>AND('SPR BARRANQUILLA'!FK62,"AAAAAG3buxw=")</f>
        <v>#VALUE!</v>
      </c>
      <c r="AD55" t="e">
        <f>AND('SPR BARRANQUILLA'!FL62,"AAAAAG3bux0=")</f>
        <v>#VALUE!</v>
      </c>
      <c r="AE55" t="e">
        <f>AND('SPR BARRANQUILLA'!FM62,"AAAAAG3bux4=")</f>
        <v>#VALUE!</v>
      </c>
      <c r="AF55" t="e">
        <f>AND('SPR BARRANQUILLA'!FN62,"AAAAAG3bux8=")</f>
        <v>#VALUE!</v>
      </c>
      <c r="AG55" t="e">
        <f>AND('SPR BARRANQUILLA'!FO62,"AAAAAG3buyA=")</f>
        <v>#VALUE!</v>
      </c>
      <c r="AH55" t="e">
        <f>AND('SPR BARRANQUILLA'!FP62,"AAAAAG3buyE=")</f>
        <v>#VALUE!</v>
      </c>
      <c r="AI55" t="e">
        <f>AND('SPR BARRANQUILLA'!FQ62,"AAAAAG3buyI=")</f>
        <v>#VALUE!</v>
      </c>
      <c r="AJ55" t="e">
        <f>AND('SPR BARRANQUILLA'!FR62,"AAAAAG3buyM=")</f>
        <v>#VALUE!</v>
      </c>
      <c r="AK55" t="e">
        <f>AND('SPR BARRANQUILLA'!FS62,"AAAAAG3buyQ=")</f>
        <v>#VALUE!</v>
      </c>
      <c r="AL55" t="e">
        <f>AND('SPR BARRANQUILLA'!FT62,"AAAAAG3buyU=")</f>
        <v>#VALUE!</v>
      </c>
      <c r="AM55" t="e">
        <f>AND('SPR BARRANQUILLA'!FU62,"AAAAAG3buyY=")</f>
        <v>#VALUE!</v>
      </c>
      <c r="AN55" t="e">
        <f>AND('SPR BARRANQUILLA'!FV62,"AAAAAG3buyc=")</f>
        <v>#VALUE!</v>
      </c>
      <c r="AO55" t="e">
        <f>AND('SPR BARRANQUILLA'!FW62,"AAAAAG3buyg=")</f>
        <v>#VALUE!</v>
      </c>
      <c r="AP55" t="e">
        <f>AND('SPR BARRANQUILLA'!FX62,"AAAAAG3buyk=")</f>
        <v>#VALUE!</v>
      </c>
      <c r="AQ55" t="e">
        <f>AND('SPR BARRANQUILLA'!FY62,"AAAAAG3buyo=")</f>
        <v>#VALUE!</v>
      </c>
      <c r="AR55" t="e">
        <f>AND('SPR BARRANQUILLA'!FZ62,"AAAAAG3buys=")</f>
        <v>#VALUE!</v>
      </c>
      <c r="AS55" t="e">
        <f>AND('SPR BARRANQUILLA'!GA62,"AAAAAG3buyw=")</f>
        <v>#VALUE!</v>
      </c>
      <c r="AT55" t="e">
        <f>AND('SPR BARRANQUILLA'!GB62,"AAAAAG3buy0=")</f>
        <v>#VALUE!</v>
      </c>
      <c r="AU55" t="e">
        <f>AND('SPR BARRANQUILLA'!GC62,"AAAAAG3buy4=")</f>
        <v>#VALUE!</v>
      </c>
      <c r="AV55" t="e">
        <f>AND('SPR BARRANQUILLA'!GD62,"AAAAAG3buy8=")</f>
        <v>#VALUE!</v>
      </c>
      <c r="AW55" t="e">
        <f>AND('SPR BARRANQUILLA'!GE62,"AAAAAG3buzA=")</f>
        <v>#VALUE!</v>
      </c>
      <c r="AX55" t="e">
        <f>AND('SPR BARRANQUILLA'!GF62,"AAAAAG3buzE=")</f>
        <v>#VALUE!</v>
      </c>
      <c r="AY55" t="e">
        <f>AND('SPR BARRANQUILLA'!GG62,"AAAAAG3buzI=")</f>
        <v>#VALUE!</v>
      </c>
      <c r="AZ55" t="e">
        <f>AND('SPR BARRANQUILLA'!GH62,"AAAAAG3buzM=")</f>
        <v>#VALUE!</v>
      </c>
      <c r="BA55" t="e">
        <f>AND('SPR BARRANQUILLA'!GI62,"AAAAAG3buzQ=")</f>
        <v>#VALUE!</v>
      </c>
      <c r="BB55" t="e">
        <f>AND('SPR BARRANQUILLA'!GJ62,"AAAAAG3buzU=")</f>
        <v>#VALUE!</v>
      </c>
      <c r="BC55" t="e">
        <f>AND('SPR BARRANQUILLA'!GK62,"AAAAAG3buzY=")</f>
        <v>#VALUE!</v>
      </c>
      <c r="BD55" t="e">
        <f>AND('SPR BARRANQUILLA'!GL62,"AAAAAG3buzc=")</f>
        <v>#VALUE!</v>
      </c>
      <c r="BE55" t="e">
        <f>AND('SPR BARRANQUILLA'!GM62,"AAAAAG3buzg=")</f>
        <v>#VALUE!</v>
      </c>
      <c r="BF55" t="e">
        <f>AND('SPR BARRANQUILLA'!GN62,"AAAAAG3buzk=")</f>
        <v>#VALUE!</v>
      </c>
      <c r="BG55" t="e">
        <f>AND('SPR BARRANQUILLA'!GO62,"AAAAAG3buzo=")</f>
        <v>#VALUE!</v>
      </c>
      <c r="BH55" t="e">
        <f>AND('SPR BARRANQUILLA'!GP62,"AAAAAG3buzs=")</f>
        <v>#VALUE!</v>
      </c>
      <c r="BI55" t="e">
        <f>AND('SPR BARRANQUILLA'!GQ62,"AAAAAG3buzw=")</f>
        <v>#VALUE!</v>
      </c>
      <c r="BJ55" t="e">
        <f>AND('SPR BARRANQUILLA'!GR62,"AAAAAG3buz0=")</f>
        <v>#VALUE!</v>
      </c>
      <c r="BK55" t="e">
        <f>AND('SPR BARRANQUILLA'!GS62,"AAAAAG3buz4=")</f>
        <v>#VALUE!</v>
      </c>
      <c r="BL55" t="e">
        <f>AND('SPR BARRANQUILLA'!GT62,"AAAAAG3buz8=")</f>
        <v>#VALUE!</v>
      </c>
      <c r="BM55" t="e">
        <f>AND('SPR BARRANQUILLA'!GU62,"AAAAAG3bu0A=")</f>
        <v>#VALUE!</v>
      </c>
      <c r="BN55" t="e">
        <f>AND('SPR BARRANQUILLA'!GV62,"AAAAAG3bu0E=")</f>
        <v>#VALUE!</v>
      </c>
      <c r="BO55" t="e">
        <f>AND('SPR BARRANQUILLA'!GW62,"AAAAAG3bu0I=")</f>
        <v>#VALUE!</v>
      </c>
      <c r="BP55" t="e">
        <f>AND('SPR BARRANQUILLA'!GX62,"AAAAAG3bu0M=")</f>
        <v>#VALUE!</v>
      </c>
      <c r="BQ55" t="e">
        <f>AND('SPR BARRANQUILLA'!GY62,"AAAAAG3bu0Q=")</f>
        <v>#VALUE!</v>
      </c>
      <c r="BR55">
        <f>IF('SPR BARRANQUILLA'!63:63,"AAAAAG3bu0U=",0)</f>
        <v>0</v>
      </c>
      <c r="BS55" t="e">
        <f>AND('SPR BARRANQUILLA'!A63,"AAAAAG3bu0Y=")</f>
        <v>#VALUE!</v>
      </c>
      <c r="BT55" t="e">
        <f>AND('SPR BARRANQUILLA'!B63,"AAAAAG3bu0c=")</f>
        <v>#VALUE!</v>
      </c>
      <c r="BU55" t="e">
        <f>AND('SPR BARRANQUILLA'!C63,"AAAAAG3bu0g=")</f>
        <v>#VALUE!</v>
      </c>
      <c r="BV55" t="e">
        <f>AND('SPR BARRANQUILLA'!D63,"AAAAAG3bu0k=")</f>
        <v>#VALUE!</v>
      </c>
      <c r="BW55" t="e">
        <f>AND('SPR BARRANQUILLA'!E63,"AAAAAG3bu0o=")</f>
        <v>#VALUE!</v>
      </c>
      <c r="BX55" t="e">
        <f>AND('SPR BARRANQUILLA'!F63,"AAAAAG3bu0s=")</f>
        <v>#VALUE!</v>
      </c>
      <c r="BY55" t="e">
        <f>AND('SPR BARRANQUILLA'!G63,"AAAAAG3bu0w=")</f>
        <v>#VALUE!</v>
      </c>
      <c r="BZ55" t="e">
        <f>AND('SPR BARRANQUILLA'!H63,"AAAAAG3bu00=")</f>
        <v>#VALUE!</v>
      </c>
      <c r="CA55" t="e">
        <f>AND('SPR BARRANQUILLA'!I63,"AAAAAG3bu04=")</f>
        <v>#VALUE!</v>
      </c>
      <c r="CB55" t="e">
        <f>AND('SPR BARRANQUILLA'!J63,"AAAAAG3bu08=")</f>
        <v>#VALUE!</v>
      </c>
      <c r="CC55" t="e">
        <f>AND('SPR BARRANQUILLA'!K63,"AAAAAG3bu1A=")</f>
        <v>#VALUE!</v>
      </c>
      <c r="CD55" t="e">
        <f>AND('SPR BARRANQUILLA'!L63,"AAAAAG3bu1E=")</f>
        <v>#VALUE!</v>
      </c>
      <c r="CE55" t="e">
        <f>AND('SPR BARRANQUILLA'!M63,"AAAAAG3bu1I=")</f>
        <v>#VALUE!</v>
      </c>
      <c r="CF55" t="e">
        <f>AND('SPR BARRANQUILLA'!N63,"AAAAAG3bu1M=")</f>
        <v>#VALUE!</v>
      </c>
      <c r="CG55" t="e">
        <f>AND('SPR BARRANQUILLA'!O63,"AAAAAG3bu1Q=")</f>
        <v>#VALUE!</v>
      </c>
      <c r="CH55" t="e">
        <f>AND('SPR BARRANQUILLA'!P63,"AAAAAG3bu1U=")</f>
        <v>#VALUE!</v>
      </c>
      <c r="CI55" t="e">
        <f>AND('SPR BARRANQUILLA'!Q63,"AAAAAG3bu1Y=")</f>
        <v>#VALUE!</v>
      </c>
      <c r="CJ55" t="e">
        <f>AND('SPR BARRANQUILLA'!R63,"AAAAAG3bu1c=")</f>
        <v>#VALUE!</v>
      </c>
      <c r="CK55" t="e">
        <f>AND('SPR BARRANQUILLA'!S63,"AAAAAG3bu1g=")</f>
        <v>#VALUE!</v>
      </c>
      <c r="CL55" t="e">
        <f>AND('SPR BARRANQUILLA'!T63,"AAAAAG3bu1k=")</f>
        <v>#VALUE!</v>
      </c>
      <c r="CM55" t="e">
        <f>AND('SPR BARRANQUILLA'!U63,"AAAAAG3bu1o=")</f>
        <v>#VALUE!</v>
      </c>
      <c r="CN55" t="e">
        <f>AND('SPR BARRANQUILLA'!V63,"AAAAAG3bu1s=")</f>
        <v>#VALUE!</v>
      </c>
      <c r="CO55" t="e">
        <f>AND('SPR BARRANQUILLA'!W63,"AAAAAG3bu1w=")</f>
        <v>#VALUE!</v>
      </c>
      <c r="CP55" t="e">
        <f>AND('SPR BARRANQUILLA'!X63,"AAAAAG3bu10=")</f>
        <v>#VALUE!</v>
      </c>
      <c r="CQ55" t="e">
        <f>AND('SPR BARRANQUILLA'!Y63,"AAAAAG3bu14=")</f>
        <v>#VALUE!</v>
      </c>
      <c r="CR55" t="e">
        <f>AND('SPR BARRANQUILLA'!Z63,"AAAAAG3bu18=")</f>
        <v>#VALUE!</v>
      </c>
      <c r="CS55" t="e">
        <f>AND('SPR BARRANQUILLA'!AA63,"AAAAAG3bu2A=")</f>
        <v>#VALUE!</v>
      </c>
      <c r="CT55" t="e">
        <f>AND('SPR BARRANQUILLA'!AB63,"AAAAAG3bu2E=")</f>
        <v>#VALUE!</v>
      </c>
      <c r="CU55" t="e">
        <f>AND('SPR BARRANQUILLA'!AC63,"AAAAAG3bu2I=")</f>
        <v>#VALUE!</v>
      </c>
      <c r="CV55" t="e">
        <f>AND('SPR BARRANQUILLA'!AD63,"AAAAAG3bu2M=")</f>
        <v>#VALUE!</v>
      </c>
      <c r="CW55" t="e">
        <f>AND('SPR BARRANQUILLA'!AE63,"AAAAAG3bu2Q=")</f>
        <v>#VALUE!</v>
      </c>
      <c r="CX55" t="e">
        <f>AND('SPR BARRANQUILLA'!AF63,"AAAAAG3bu2U=")</f>
        <v>#VALUE!</v>
      </c>
      <c r="CY55" t="e">
        <f>AND('SPR BARRANQUILLA'!AG63,"AAAAAG3bu2Y=")</f>
        <v>#VALUE!</v>
      </c>
      <c r="CZ55" t="e">
        <f>AND('SPR BARRANQUILLA'!AH63,"AAAAAG3bu2c=")</f>
        <v>#VALUE!</v>
      </c>
      <c r="DA55" t="e">
        <f>AND('SPR BARRANQUILLA'!AI63,"AAAAAG3bu2g=")</f>
        <v>#VALUE!</v>
      </c>
      <c r="DB55" t="e">
        <f>AND('SPR BARRANQUILLA'!AJ63,"AAAAAG3bu2k=")</f>
        <v>#VALUE!</v>
      </c>
      <c r="DC55" t="e">
        <f>AND('SPR BARRANQUILLA'!AK63,"AAAAAG3bu2o=")</f>
        <v>#VALUE!</v>
      </c>
      <c r="DD55" t="e">
        <f>AND('SPR BARRANQUILLA'!AL63,"AAAAAG3bu2s=")</f>
        <v>#VALUE!</v>
      </c>
      <c r="DE55" t="e">
        <f>AND('SPR BARRANQUILLA'!AM63,"AAAAAG3bu2w=")</f>
        <v>#VALUE!</v>
      </c>
      <c r="DF55" t="e">
        <f>AND('SPR BARRANQUILLA'!AN63,"AAAAAG3bu20=")</f>
        <v>#VALUE!</v>
      </c>
      <c r="DG55" t="e">
        <f>AND('SPR BARRANQUILLA'!AO63,"AAAAAG3bu24=")</f>
        <v>#VALUE!</v>
      </c>
      <c r="DH55" t="e">
        <f>AND('SPR BARRANQUILLA'!AP63,"AAAAAG3bu28=")</f>
        <v>#VALUE!</v>
      </c>
      <c r="DI55" t="e">
        <f>AND('SPR BARRANQUILLA'!AQ63,"AAAAAG3bu3A=")</f>
        <v>#VALUE!</v>
      </c>
      <c r="DJ55" t="e">
        <f>AND('SPR BARRANQUILLA'!AR63,"AAAAAG3bu3E=")</f>
        <v>#VALUE!</v>
      </c>
      <c r="DK55" t="e">
        <f>AND('SPR BARRANQUILLA'!AS63,"AAAAAG3bu3I=")</f>
        <v>#VALUE!</v>
      </c>
      <c r="DL55" t="e">
        <f>AND('SPR BARRANQUILLA'!AT63,"AAAAAG3bu3M=")</f>
        <v>#VALUE!</v>
      </c>
      <c r="DM55" t="e">
        <f>AND('SPR BARRANQUILLA'!AU63,"AAAAAG3bu3Q=")</f>
        <v>#VALUE!</v>
      </c>
      <c r="DN55" t="e">
        <f>AND('SPR BARRANQUILLA'!AV63,"AAAAAG3bu3U=")</f>
        <v>#VALUE!</v>
      </c>
      <c r="DO55" t="e">
        <f>AND('SPR BARRANQUILLA'!AW63,"AAAAAG3bu3Y=")</f>
        <v>#VALUE!</v>
      </c>
      <c r="DP55" t="e">
        <f>AND('SPR BARRANQUILLA'!AX63,"AAAAAG3bu3c=")</f>
        <v>#VALUE!</v>
      </c>
      <c r="DQ55" t="e">
        <f>AND('SPR BARRANQUILLA'!AY63,"AAAAAG3bu3g=")</f>
        <v>#VALUE!</v>
      </c>
      <c r="DR55" t="e">
        <f>AND('SPR BARRANQUILLA'!AZ63,"AAAAAG3bu3k=")</f>
        <v>#VALUE!</v>
      </c>
      <c r="DS55" t="e">
        <f>AND('SPR BARRANQUILLA'!BA63,"AAAAAG3bu3o=")</f>
        <v>#VALUE!</v>
      </c>
      <c r="DT55" t="e">
        <f>AND('SPR BARRANQUILLA'!BB63,"AAAAAG3bu3s=")</f>
        <v>#VALUE!</v>
      </c>
      <c r="DU55" t="e">
        <f>AND('SPR BARRANQUILLA'!BC63,"AAAAAG3bu3w=")</f>
        <v>#VALUE!</v>
      </c>
      <c r="DV55" t="e">
        <f>AND('SPR BARRANQUILLA'!BD63,"AAAAAG3bu30=")</f>
        <v>#VALUE!</v>
      </c>
      <c r="DW55" t="e">
        <f>AND('SPR BARRANQUILLA'!BE63,"AAAAAG3bu34=")</f>
        <v>#VALUE!</v>
      </c>
      <c r="DX55" t="e">
        <f>AND('SPR BARRANQUILLA'!BF63,"AAAAAG3bu38=")</f>
        <v>#VALUE!</v>
      </c>
      <c r="DY55" t="e">
        <f>AND('SPR BARRANQUILLA'!BG63,"AAAAAG3bu4A=")</f>
        <v>#VALUE!</v>
      </c>
      <c r="DZ55" t="e">
        <f>AND('SPR BARRANQUILLA'!BH63,"AAAAAG3bu4E=")</f>
        <v>#VALUE!</v>
      </c>
      <c r="EA55" t="e">
        <f>AND('SPR BARRANQUILLA'!BI63,"AAAAAG3bu4I=")</f>
        <v>#VALUE!</v>
      </c>
      <c r="EB55" t="e">
        <f>AND('SPR BARRANQUILLA'!BJ63,"AAAAAG3bu4M=")</f>
        <v>#VALUE!</v>
      </c>
      <c r="EC55" t="e">
        <f>AND('SPR BARRANQUILLA'!BK63,"AAAAAG3bu4Q=")</f>
        <v>#VALUE!</v>
      </c>
      <c r="ED55" t="e">
        <f>AND('SPR BARRANQUILLA'!BL63,"AAAAAG3bu4U=")</f>
        <v>#VALUE!</v>
      </c>
      <c r="EE55" t="e">
        <f>AND('SPR BARRANQUILLA'!BM63,"AAAAAG3bu4Y=")</f>
        <v>#VALUE!</v>
      </c>
      <c r="EF55" t="e">
        <f>AND('SPR BARRANQUILLA'!BN63,"AAAAAG3bu4c=")</f>
        <v>#VALUE!</v>
      </c>
      <c r="EG55" t="e">
        <f>AND('SPR BARRANQUILLA'!BO63,"AAAAAG3bu4g=")</f>
        <v>#VALUE!</v>
      </c>
      <c r="EH55" t="e">
        <f>AND('SPR BARRANQUILLA'!BP63,"AAAAAG3bu4k=")</f>
        <v>#VALUE!</v>
      </c>
      <c r="EI55" t="e">
        <f>AND('SPR BARRANQUILLA'!BQ63,"AAAAAG3bu4o=")</f>
        <v>#VALUE!</v>
      </c>
      <c r="EJ55" t="e">
        <f>AND('SPR BARRANQUILLA'!BR63,"AAAAAG3bu4s=")</f>
        <v>#VALUE!</v>
      </c>
      <c r="EK55" t="e">
        <f>AND('SPR BARRANQUILLA'!BS63,"AAAAAG3bu4w=")</f>
        <v>#VALUE!</v>
      </c>
      <c r="EL55" t="e">
        <f>AND('SPR BARRANQUILLA'!BT63,"AAAAAG3bu40=")</f>
        <v>#VALUE!</v>
      </c>
      <c r="EM55" t="e">
        <f>AND('SPR BARRANQUILLA'!BU63,"AAAAAG3bu44=")</f>
        <v>#VALUE!</v>
      </c>
      <c r="EN55" t="e">
        <f>AND('SPR BARRANQUILLA'!BV63,"AAAAAG3bu48=")</f>
        <v>#VALUE!</v>
      </c>
      <c r="EO55" t="e">
        <f>AND('SPR BARRANQUILLA'!BW63,"AAAAAG3bu5A=")</f>
        <v>#VALUE!</v>
      </c>
      <c r="EP55" t="e">
        <f>AND('SPR BARRANQUILLA'!BX63,"AAAAAG3bu5E=")</f>
        <v>#VALUE!</v>
      </c>
      <c r="EQ55" t="e">
        <f>AND('SPR BARRANQUILLA'!BY63,"AAAAAG3bu5I=")</f>
        <v>#VALUE!</v>
      </c>
      <c r="ER55" t="e">
        <f>AND('SPR BARRANQUILLA'!BZ63,"AAAAAG3bu5M=")</f>
        <v>#VALUE!</v>
      </c>
      <c r="ES55" t="e">
        <f>AND('SPR BARRANQUILLA'!CA63,"AAAAAG3bu5Q=")</f>
        <v>#VALUE!</v>
      </c>
      <c r="ET55" t="e">
        <f>AND('SPR BARRANQUILLA'!CB63,"AAAAAG3bu5U=")</f>
        <v>#VALUE!</v>
      </c>
      <c r="EU55" t="e">
        <f>AND('SPR BARRANQUILLA'!CC63,"AAAAAG3bu5Y=")</f>
        <v>#VALUE!</v>
      </c>
      <c r="EV55" t="e">
        <f>AND('SPR BARRANQUILLA'!CD63,"AAAAAG3bu5c=")</f>
        <v>#VALUE!</v>
      </c>
      <c r="EW55" t="e">
        <f>AND('SPR BARRANQUILLA'!CE63,"AAAAAG3bu5g=")</f>
        <v>#VALUE!</v>
      </c>
      <c r="EX55" t="e">
        <f>AND('SPR BARRANQUILLA'!CF63,"AAAAAG3bu5k=")</f>
        <v>#VALUE!</v>
      </c>
      <c r="EY55" t="e">
        <f>AND('SPR BARRANQUILLA'!CG63,"AAAAAG3bu5o=")</f>
        <v>#VALUE!</v>
      </c>
      <c r="EZ55" t="e">
        <f>AND('SPR BARRANQUILLA'!CH63,"AAAAAG3bu5s=")</f>
        <v>#VALUE!</v>
      </c>
      <c r="FA55" t="e">
        <f>AND('SPR BARRANQUILLA'!CI63,"AAAAAG3bu5w=")</f>
        <v>#VALUE!</v>
      </c>
      <c r="FB55" t="e">
        <f>AND('SPR BARRANQUILLA'!CJ63,"AAAAAG3bu50=")</f>
        <v>#VALUE!</v>
      </c>
      <c r="FC55" t="e">
        <f>AND('SPR BARRANQUILLA'!CK63,"AAAAAG3bu54=")</f>
        <v>#VALUE!</v>
      </c>
      <c r="FD55" t="e">
        <f>AND('SPR BARRANQUILLA'!CL63,"AAAAAG3bu58=")</f>
        <v>#VALUE!</v>
      </c>
      <c r="FE55" t="e">
        <f>AND('SPR BARRANQUILLA'!CM63,"AAAAAG3bu6A=")</f>
        <v>#VALUE!</v>
      </c>
      <c r="FF55" t="e">
        <f>AND('SPR BARRANQUILLA'!CN63,"AAAAAG3bu6E=")</f>
        <v>#VALUE!</v>
      </c>
      <c r="FG55" t="e">
        <f>AND('SPR BARRANQUILLA'!CO63,"AAAAAG3bu6I=")</f>
        <v>#VALUE!</v>
      </c>
      <c r="FH55" t="e">
        <f>AND('SPR BARRANQUILLA'!CP63,"AAAAAG3bu6M=")</f>
        <v>#VALUE!</v>
      </c>
      <c r="FI55" t="e">
        <f>AND('SPR BARRANQUILLA'!CQ63,"AAAAAG3bu6Q=")</f>
        <v>#VALUE!</v>
      </c>
      <c r="FJ55" t="e">
        <f>AND('SPR BARRANQUILLA'!CR63,"AAAAAG3bu6U=")</f>
        <v>#VALUE!</v>
      </c>
      <c r="FK55" t="e">
        <f>AND('SPR BARRANQUILLA'!CS63,"AAAAAG3bu6Y=")</f>
        <v>#VALUE!</v>
      </c>
      <c r="FL55" t="e">
        <f>AND('SPR BARRANQUILLA'!CT63,"AAAAAG3bu6c=")</f>
        <v>#VALUE!</v>
      </c>
      <c r="FM55" t="e">
        <f>AND('SPR BARRANQUILLA'!CU63,"AAAAAG3bu6g=")</f>
        <v>#VALUE!</v>
      </c>
      <c r="FN55" t="e">
        <f>AND('SPR BARRANQUILLA'!CV63,"AAAAAG3bu6k=")</f>
        <v>#VALUE!</v>
      </c>
      <c r="FO55" t="e">
        <f>AND('SPR BARRANQUILLA'!CW63,"AAAAAG3bu6o=")</f>
        <v>#VALUE!</v>
      </c>
      <c r="FP55" t="e">
        <f>AND('SPR BARRANQUILLA'!CX63,"AAAAAG3bu6s=")</f>
        <v>#VALUE!</v>
      </c>
      <c r="FQ55" t="e">
        <f>AND('SPR BARRANQUILLA'!CY63,"AAAAAG3bu6w=")</f>
        <v>#VALUE!</v>
      </c>
      <c r="FR55" t="e">
        <f>AND('SPR BARRANQUILLA'!CZ63,"AAAAAG3bu60=")</f>
        <v>#VALUE!</v>
      </c>
      <c r="FS55" t="e">
        <f>AND('SPR BARRANQUILLA'!DA63,"AAAAAG3bu64=")</f>
        <v>#VALUE!</v>
      </c>
      <c r="FT55" t="e">
        <f>AND('SPR BARRANQUILLA'!DB63,"AAAAAG3bu68=")</f>
        <v>#VALUE!</v>
      </c>
      <c r="FU55" t="e">
        <f>AND('SPR BARRANQUILLA'!DC63,"AAAAAG3bu7A=")</f>
        <v>#VALUE!</v>
      </c>
      <c r="FV55" t="e">
        <f>AND('SPR BARRANQUILLA'!DD63,"AAAAAG3bu7E=")</f>
        <v>#VALUE!</v>
      </c>
      <c r="FW55" t="e">
        <f>AND('SPR BARRANQUILLA'!DE63,"AAAAAG3bu7I=")</f>
        <v>#VALUE!</v>
      </c>
      <c r="FX55" t="e">
        <f>AND('SPR BARRANQUILLA'!DF63,"AAAAAG3bu7M=")</f>
        <v>#VALUE!</v>
      </c>
      <c r="FY55" t="e">
        <f>AND('SPR BARRANQUILLA'!DG63,"AAAAAG3bu7Q=")</f>
        <v>#VALUE!</v>
      </c>
      <c r="FZ55" t="e">
        <f>AND('SPR BARRANQUILLA'!DH63,"AAAAAG3bu7U=")</f>
        <v>#VALUE!</v>
      </c>
      <c r="GA55" t="e">
        <f>AND('SPR BARRANQUILLA'!DI63,"AAAAAG3bu7Y=")</f>
        <v>#VALUE!</v>
      </c>
      <c r="GB55" t="e">
        <f>AND('SPR BARRANQUILLA'!DJ63,"AAAAAG3bu7c=")</f>
        <v>#VALUE!</v>
      </c>
      <c r="GC55" t="e">
        <f>AND('SPR BARRANQUILLA'!DK63,"AAAAAG3bu7g=")</f>
        <v>#VALUE!</v>
      </c>
      <c r="GD55" t="e">
        <f>AND('SPR BARRANQUILLA'!DL63,"AAAAAG3bu7k=")</f>
        <v>#VALUE!</v>
      </c>
      <c r="GE55" t="e">
        <f>AND('SPR BARRANQUILLA'!DM63,"AAAAAG3bu7o=")</f>
        <v>#VALUE!</v>
      </c>
      <c r="GF55" t="e">
        <f>AND('SPR BARRANQUILLA'!DN63,"AAAAAG3bu7s=")</f>
        <v>#VALUE!</v>
      </c>
      <c r="GG55" t="e">
        <f>AND('SPR BARRANQUILLA'!DO63,"AAAAAG3bu7w=")</f>
        <v>#VALUE!</v>
      </c>
      <c r="GH55" t="e">
        <f>AND('SPR BARRANQUILLA'!DP63,"AAAAAG3bu70=")</f>
        <v>#VALUE!</v>
      </c>
      <c r="GI55" t="e">
        <f>AND('SPR BARRANQUILLA'!DQ63,"AAAAAG3bu74=")</f>
        <v>#VALUE!</v>
      </c>
      <c r="GJ55" t="e">
        <f>AND('SPR BARRANQUILLA'!DR63,"AAAAAG3bu78=")</f>
        <v>#VALUE!</v>
      </c>
      <c r="GK55" t="e">
        <f>AND('SPR BARRANQUILLA'!DS63,"AAAAAG3bu8A=")</f>
        <v>#VALUE!</v>
      </c>
      <c r="GL55" t="e">
        <f>AND('SPR BARRANQUILLA'!DT63,"AAAAAG3bu8E=")</f>
        <v>#VALUE!</v>
      </c>
      <c r="GM55" t="e">
        <f>AND('SPR BARRANQUILLA'!DU63,"AAAAAG3bu8I=")</f>
        <v>#VALUE!</v>
      </c>
      <c r="GN55" t="e">
        <f>AND('SPR BARRANQUILLA'!DV63,"AAAAAG3bu8M=")</f>
        <v>#VALUE!</v>
      </c>
      <c r="GO55" t="e">
        <f>AND('SPR BARRANQUILLA'!DW63,"AAAAAG3bu8Q=")</f>
        <v>#VALUE!</v>
      </c>
      <c r="GP55" t="e">
        <f>AND('SPR BARRANQUILLA'!DX63,"AAAAAG3bu8U=")</f>
        <v>#VALUE!</v>
      </c>
      <c r="GQ55" t="e">
        <f>AND('SPR BARRANQUILLA'!DY63,"AAAAAG3bu8Y=")</f>
        <v>#VALUE!</v>
      </c>
      <c r="GR55" t="e">
        <f>AND('SPR BARRANQUILLA'!DZ63,"AAAAAG3bu8c=")</f>
        <v>#VALUE!</v>
      </c>
      <c r="GS55" t="e">
        <f>AND('SPR BARRANQUILLA'!EA63,"AAAAAG3bu8g=")</f>
        <v>#VALUE!</v>
      </c>
      <c r="GT55" t="e">
        <f>AND('SPR BARRANQUILLA'!EB63,"AAAAAG3bu8k=")</f>
        <v>#VALUE!</v>
      </c>
      <c r="GU55" t="e">
        <f>AND('SPR BARRANQUILLA'!EC63,"AAAAAG3bu8o=")</f>
        <v>#VALUE!</v>
      </c>
      <c r="GV55" t="e">
        <f>AND('SPR BARRANQUILLA'!ED63,"AAAAAG3bu8s=")</f>
        <v>#VALUE!</v>
      </c>
      <c r="GW55" t="e">
        <f>AND('SPR BARRANQUILLA'!EE63,"AAAAAG3bu8w=")</f>
        <v>#VALUE!</v>
      </c>
      <c r="GX55" t="e">
        <f>AND('SPR BARRANQUILLA'!EF63,"AAAAAG3bu80=")</f>
        <v>#VALUE!</v>
      </c>
      <c r="GY55" t="e">
        <f>AND('SPR BARRANQUILLA'!EG63,"AAAAAG3bu84=")</f>
        <v>#VALUE!</v>
      </c>
      <c r="GZ55" t="e">
        <f>AND('SPR BARRANQUILLA'!EH63,"AAAAAG3bu88=")</f>
        <v>#VALUE!</v>
      </c>
      <c r="HA55" t="e">
        <f>AND('SPR BARRANQUILLA'!EI63,"AAAAAG3bu9A=")</f>
        <v>#VALUE!</v>
      </c>
      <c r="HB55" t="e">
        <f>AND('SPR BARRANQUILLA'!EJ63,"AAAAAG3bu9E=")</f>
        <v>#VALUE!</v>
      </c>
      <c r="HC55" t="e">
        <f>AND('SPR BARRANQUILLA'!EK63,"AAAAAG3bu9I=")</f>
        <v>#VALUE!</v>
      </c>
      <c r="HD55" t="e">
        <f>AND('SPR BARRANQUILLA'!EL63,"AAAAAG3bu9M=")</f>
        <v>#VALUE!</v>
      </c>
      <c r="HE55" t="e">
        <f>AND('SPR BARRANQUILLA'!EM63,"AAAAAG3bu9Q=")</f>
        <v>#VALUE!</v>
      </c>
      <c r="HF55" t="e">
        <f>AND('SPR BARRANQUILLA'!EN63,"AAAAAG3bu9U=")</f>
        <v>#VALUE!</v>
      </c>
      <c r="HG55" t="e">
        <f>AND('SPR BARRANQUILLA'!EO63,"AAAAAG3bu9Y=")</f>
        <v>#VALUE!</v>
      </c>
      <c r="HH55" t="e">
        <f>AND('SPR BARRANQUILLA'!EP63,"AAAAAG3bu9c=")</f>
        <v>#VALUE!</v>
      </c>
      <c r="HI55" t="e">
        <f>AND('SPR BARRANQUILLA'!EQ63,"AAAAAG3bu9g=")</f>
        <v>#VALUE!</v>
      </c>
      <c r="HJ55" t="e">
        <f>AND('SPR BARRANQUILLA'!ER63,"AAAAAG3bu9k=")</f>
        <v>#VALUE!</v>
      </c>
      <c r="HK55" t="e">
        <f>AND('SPR BARRANQUILLA'!ES63,"AAAAAG3bu9o=")</f>
        <v>#VALUE!</v>
      </c>
      <c r="HL55" t="e">
        <f>AND('SPR BARRANQUILLA'!ET63,"AAAAAG3bu9s=")</f>
        <v>#VALUE!</v>
      </c>
      <c r="HM55" t="e">
        <f>AND('SPR BARRANQUILLA'!EU63,"AAAAAG3bu9w=")</f>
        <v>#VALUE!</v>
      </c>
      <c r="HN55" t="e">
        <f>AND('SPR BARRANQUILLA'!EV63,"AAAAAG3bu90=")</f>
        <v>#VALUE!</v>
      </c>
      <c r="HO55" t="e">
        <f>AND('SPR BARRANQUILLA'!EW63,"AAAAAG3bu94=")</f>
        <v>#VALUE!</v>
      </c>
      <c r="HP55" t="e">
        <f>AND('SPR BARRANQUILLA'!EX63,"AAAAAG3bu98=")</f>
        <v>#VALUE!</v>
      </c>
      <c r="HQ55" t="e">
        <f>AND('SPR BARRANQUILLA'!EY63,"AAAAAG3bu+A=")</f>
        <v>#VALUE!</v>
      </c>
      <c r="HR55" t="e">
        <f>AND('SPR BARRANQUILLA'!EZ63,"AAAAAG3bu+E=")</f>
        <v>#VALUE!</v>
      </c>
      <c r="HS55" t="e">
        <f>AND('SPR BARRANQUILLA'!FA63,"AAAAAG3bu+I=")</f>
        <v>#VALUE!</v>
      </c>
      <c r="HT55" t="e">
        <f>AND('SPR BARRANQUILLA'!FB63,"AAAAAG3bu+M=")</f>
        <v>#VALUE!</v>
      </c>
      <c r="HU55" t="e">
        <f>AND('SPR BARRANQUILLA'!FC63,"AAAAAG3bu+Q=")</f>
        <v>#VALUE!</v>
      </c>
      <c r="HV55" t="e">
        <f>AND('SPR BARRANQUILLA'!FD63,"AAAAAG3bu+U=")</f>
        <v>#VALUE!</v>
      </c>
      <c r="HW55" t="e">
        <f>AND('SPR BARRANQUILLA'!FE63,"AAAAAG3bu+Y=")</f>
        <v>#VALUE!</v>
      </c>
      <c r="HX55" t="e">
        <f>AND('SPR BARRANQUILLA'!FF63,"AAAAAG3bu+c=")</f>
        <v>#VALUE!</v>
      </c>
      <c r="HY55" t="e">
        <f>AND('SPR BARRANQUILLA'!FG63,"AAAAAG3bu+g=")</f>
        <v>#VALUE!</v>
      </c>
      <c r="HZ55" t="e">
        <f>AND('SPR BARRANQUILLA'!FH63,"AAAAAG3bu+k=")</f>
        <v>#VALUE!</v>
      </c>
      <c r="IA55" t="e">
        <f>AND('SPR BARRANQUILLA'!FI63,"AAAAAG3bu+o=")</f>
        <v>#VALUE!</v>
      </c>
      <c r="IB55" t="e">
        <f>AND('SPR BARRANQUILLA'!FJ63,"AAAAAG3bu+s=")</f>
        <v>#VALUE!</v>
      </c>
      <c r="IC55" t="e">
        <f>AND('SPR BARRANQUILLA'!FK63,"AAAAAG3bu+w=")</f>
        <v>#VALUE!</v>
      </c>
      <c r="ID55" t="e">
        <f>AND('SPR BARRANQUILLA'!FL63,"AAAAAG3bu+0=")</f>
        <v>#VALUE!</v>
      </c>
      <c r="IE55" t="e">
        <f>AND('SPR BARRANQUILLA'!FM63,"AAAAAG3bu+4=")</f>
        <v>#VALUE!</v>
      </c>
      <c r="IF55" t="e">
        <f>AND('SPR BARRANQUILLA'!FN63,"AAAAAG3bu+8=")</f>
        <v>#VALUE!</v>
      </c>
      <c r="IG55" t="e">
        <f>AND('SPR BARRANQUILLA'!FO63,"AAAAAG3bu/A=")</f>
        <v>#VALUE!</v>
      </c>
      <c r="IH55" t="e">
        <f>AND('SPR BARRANQUILLA'!FP63,"AAAAAG3bu/E=")</f>
        <v>#VALUE!</v>
      </c>
      <c r="II55" t="e">
        <f>AND('SPR BARRANQUILLA'!FQ63,"AAAAAG3bu/I=")</f>
        <v>#VALUE!</v>
      </c>
      <c r="IJ55" t="e">
        <f>AND('SPR BARRANQUILLA'!FR63,"AAAAAG3bu/M=")</f>
        <v>#VALUE!</v>
      </c>
      <c r="IK55" t="e">
        <f>AND('SPR BARRANQUILLA'!FS63,"AAAAAG3bu/Q=")</f>
        <v>#VALUE!</v>
      </c>
      <c r="IL55" t="e">
        <f>AND('SPR BARRANQUILLA'!FT63,"AAAAAG3bu/U=")</f>
        <v>#VALUE!</v>
      </c>
      <c r="IM55" t="e">
        <f>AND('SPR BARRANQUILLA'!FU63,"AAAAAG3bu/Y=")</f>
        <v>#VALUE!</v>
      </c>
      <c r="IN55" t="e">
        <f>AND('SPR BARRANQUILLA'!FV63,"AAAAAG3bu/c=")</f>
        <v>#VALUE!</v>
      </c>
      <c r="IO55" t="e">
        <f>AND('SPR BARRANQUILLA'!FW63,"AAAAAG3bu/g=")</f>
        <v>#VALUE!</v>
      </c>
      <c r="IP55" t="e">
        <f>AND('SPR BARRANQUILLA'!FX63,"AAAAAG3bu/k=")</f>
        <v>#VALUE!</v>
      </c>
      <c r="IQ55" t="e">
        <f>AND('SPR BARRANQUILLA'!FY63,"AAAAAG3bu/o=")</f>
        <v>#VALUE!</v>
      </c>
      <c r="IR55" t="e">
        <f>AND('SPR BARRANQUILLA'!FZ63,"AAAAAG3bu/s=")</f>
        <v>#VALUE!</v>
      </c>
      <c r="IS55" t="e">
        <f>AND('SPR BARRANQUILLA'!GA63,"AAAAAG3bu/w=")</f>
        <v>#VALUE!</v>
      </c>
      <c r="IT55" t="e">
        <f>AND('SPR BARRANQUILLA'!GB63,"AAAAAG3bu/0=")</f>
        <v>#VALUE!</v>
      </c>
      <c r="IU55" t="e">
        <f>AND('SPR BARRANQUILLA'!GC63,"AAAAAG3bu/4=")</f>
        <v>#VALUE!</v>
      </c>
      <c r="IV55" t="e">
        <f>AND('SPR BARRANQUILLA'!GD63,"AAAAAG3bu/8=")</f>
        <v>#VALUE!</v>
      </c>
    </row>
    <row r="56" spans="1:256">
      <c r="A56" t="e">
        <f>AND('SPR BARRANQUILLA'!GE63,"AAAAAHfLzAA=")</f>
        <v>#VALUE!</v>
      </c>
      <c r="B56" t="e">
        <f>AND('SPR BARRANQUILLA'!GF63,"AAAAAHfLzAE=")</f>
        <v>#VALUE!</v>
      </c>
      <c r="C56" t="e">
        <f>AND('SPR BARRANQUILLA'!GG63,"AAAAAHfLzAI=")</f>
        <v>#VALUE!</v>
      </c>
      <c r="D56" t="e">
        <f>AND('SPR BARRANQUILLA'!GH63,"AAAAAHfLzAM=")</f>
        <v>#VALUE!</v>
      </c>
      <c r="E56" t="e">
        <f>AND('SPR BARRANQUILLA'!GI63,"AAAAAHfLzAQ=")</f>
        <v>#VALUE!</v>
      </c>
      <c r="F56" t="e">
        <f>AND('SPR BARRANQUILLA'!GJ63,"AAAAAHfLzAU=")</f>
        <v>#VALUE!</v>
      </c>
      <c r="G56" t="e">
        <f>AND('SPR BARRANQUILLA'!GK63,"AAAAAHfLzAY=")</f>
        <v>#VALUE!</v>
      </c>
      <c r="H56" t="e">
        <f>AND('SPR BARRANQUILLA'!GL63,"AAAAAHfLzAc=")</f>
        <v>#VALUE!</v>
      </c>
      <c r="I56" t="e">
        <f>AND('SPR BARRANQUILLA'!GM63,"AAAAAHfLzAg=")</f>
        <v>#VALUE!</v>
      </c>
      <c r="J56" t="e">
        <f>AND('SPR BARRANQUILLA'!GN63,"AAAAAHfLzAk=")</f>
        <v>#VALUE!</v>
      </c>
      <c r="K56" t="e">
        <f>AND('SPR BARRANQUILLA'!GO63,"AAAAAHfLzAo=")</f>
        <v>#VALUE!</v>
      </c>
      <c r="L56" t="e">
        <f>AND('SPR BARRANQUILLA'!GP63,"AAAAAHfLzAs=")</f>
        <v>#VALUE!</v>
      </c>
      <c r="M56" t="e">
        <f>AND('SPR BARRANQUILLA'!GQ63,"AAAAAHfLzAw=")</f>
        <v>#VALUE!</v>
      </c>
      <c r="N56" t="e">
        <f>AND('SPR BARRANQUILLA'!GR63,"AAAAAHfLzA0=")</f>
        <v>#VALUE!</v>
      </c>
      <c r="O56" t="e">
        <f>AND('SPR BARRANQUILLA'!GS63,"AAAAAHfLzA4=")</f>
        <v>#VALUE!</v>
      </c>
      <c r="P56" t="e">
        <f>AND('SPR BARRANQUILLA'!GT63,"AAAAAHfLzA8=")</f>
        <v>#VALUE!</v>
      </c>
      <c r="Q56" t="e">
        <f>AND('SPR BARRANQUILLA'!GU63,"AAAAAHfLzBA=")</f>
        <v>#VALUE!</v>
      </c>
      <c r="R56" t="e">
        <f>AND('SPR BARRANQUILLA'!GV63,"AAAAAHfLzBE=")</f>
        <v>#VALUE!</v>
      </c>
      <c r="S56" t="e">
        <f>AND('SPR BARRANQUILLA'!GW63,"AAAAAHfLzBI=")</f>
        <v>#VALUE!</v>
      </c>
      <c r="T56" t="e">
        <f>AND('SPR BARRANQUILLA'!GX63,"AAAAAHfLzBM=")</f>
        <v>#VALUE!</v>
      </c>
      <c r="U56" t="e">
        <f>AND('SPR BARRANQUILLA'!GY63,"AAAAAHfLzBQ=")</f>
        <v>#VALUE!</v>
      </c>
      <c r="V56">
        <f>IF('SPR BARRANQUILLA'!64:64,"AAAAAHfLzBU=",0)</f>
        <v>0</v>
      </c>
      <c r="W56" t="e">
        <f>AND('SPR BARRANQUILLA'!A64,"AAAAAHfLzBY=")</f>
        <v>#VALUE!</v>
      </c>
      <c r="X56" t="e">
        <f>AND('SPR BARRANQUILLA'!B64,"AAAAAHfLzBc=")</f>
        <v>#VALUE!</v>
      </c>
      <c r="Y56" t="e">
        <f>AND('SPR BARRANQUILLA'!C64,"AAAAAHfLzBg=")</f>
        <v>#VALUE!</v>
      </c>
      <c r="Z56" t="e">
        <f>AND('SPR BARRANQUILLA'!D64,"AAAAAHfLzBk=")</f>
        <v>#VALUE!</v>
      </c>
      <c r="AA56" t="e">
        <f>AND('SPR BARRANQUILLA'!E64,"AAAAAHfLzBo=")</f>
        <v>#VALUE!</v>
      </c>
      <c r="AB56" t="e">
        <f>AND('SPR BARRANQUILLA'!F64,"AAAAAHfLzBs=")</f>
        <v>#VALUE!</v>
      </c>
      <c r="AC56" t="e">
        <f>AND('SPR BARRANQUILLA'!G64,"AAAAAHfLzBw=")</f>
        <v>#VALUE!</v>
      </c>
      <c r="AD56" t="e">
        <f>AND('SPR BARRANQUILLA'!H64,"AAAAAHfLzB0=")</f>
        <v>#VALUE!</v>
      </c>
      <c r="AE56" t="e">
        <f>AND('SPR BARRANQUILLA'!I64,"AAAAAHfLzB4=")</f>
        <v>#VALUE!</v>
      </c>
      <c r="AF56" t="e">
        <f>AND('SPR BARRANQUILLA'!J64,"AAAAAHfLzB8=")</f>
        <v>#VALUE!</v>
      </c>
      <c r="AG56" t="e">
        <f>AND('SPR BARRANQUILLA'!K64,"AAAAAHfLzCA=")</f>
        <v>#VALUE!</v>
      </c>
      <c r="AH56" t="e">
        <f>AND('SPR BARRANQUILLA'!L64,"AAAAAHfLzCE=")</f>
        <v>#VALUE!</v>
      </c>
      <c r="AI56" t="e">
        <f>AND('SPR BARRANQUILLA'!M64,"AAAAAHfLzCI=")</f>
        <v>#VALUE!</v>
      </c>
      <c r="AJ56" t="e">
        <f>AND('SPR BARRANQUILLA'!N64,"AAAAAHfLzCM=")</f>
        <v>#VALUE!</v>
      </c>
      <c r="AK56" t="e">
        <f>AND('SPR BARRANQUILLA'!O64,"AAAAAHfLzCQ=")</f>
        <v>#VALUE!</v>
      </c>
      <c r="AL56" t="e">
        <f>AND('SPR BARRANQUILLA'!P64,"AAAAAHfLzCU=")</f>
        <v>#VALUE!</v>
      </c>
      <c r="AM56" t="e">
        <f>AND('SPR BARRANQUILLA'!Q64,"AAAAAHfLzCY=")</f>
        <v>#VALUE!</v>
      </c>
      <c r="AN56" t="e">
        <f>AND('SPR BARRANQUILLA'!R64,"AAAAAHfLzCc=")</f>
        <v>#VALUE!</v>
      </c>
      <c r="AO56" t="e">
        <f>AND('SPR BARRANQUILLA'!S64,"AAAAAHfLzCg=")</f>
        <v>#VALUE!</v>
      </c>
      <c r="AP56" t="e">
        <f>AND('SPR BARRANQUILLA'!T64,"AAAAAHfLzCk=")</f>
        <v>#VALUE!</v>
      </c>
      <c r="AQ56" t="e">
        <f>AND('SPR BARRANQUILLA'!U64,"AAAAAHfLzCo=")</f>
        <v>#VALUE!</v>
      </c>
      <c r="AR56" t="e">
        <f>AND('SPR BARRANQUILLA'!V64,"AAAAAHfLzCs=")</f>
        <v>#VALUE!</v>
      </c>
      <c r="AS56" t="e">
        <f>AND('SPR BARRANQUILLA'!W64,"AAAAAHfLzCw=")</f>
        <v>#VALUE!</v>
      </c>
      <c r="AT56" t="e">
        <f>AND('SPR BARRANQUILLA'!X64,"AAAAAHfLzC0=")</f>
        <v>#VALUE!</v>
      </c>
      <c r="AU56" t="e">
        <f>AND('SPR BARRANQUILLA'!Y64,"AAAAAHfLzC4=")</f>
        <v>#VALUE!</v>
      </c>
      <c r="AV56" t="e">
        <f>AND('SPR BARRANQUILLA'!Z64,"AAAAAHfLzC8=")</f>
        <v>#VALUE!</v>
      </c>
      <c r="AW56" t="e">
        <f>AND('SPR BARRANQUILLA'!AA64,"AAAAAHfLzDA=")</f>
        <v>#VALUE!</v>
      </c>
      <c r="AX56" t="e">
        <f>AND('SPR BARRANQUILLA'!AB64,"AAAAAHfLzDE=")</f>
        <v>#VALUE!</v>
      </c>
      <c r="AY56" t="e">
        <f>AND('SPR BARRANQUILLA'!AC64,"AAAAAHfLzDI=")</f>
        <v>#VALUE!</v>
      </c>
      <c r="AZ56" t="e">
        <f>AND('SPR BARRANQUILLA'!AD64,"AAAAAHfLzDM=")</f>
        <v>#VALUE!</v>
      </c>
      <c r="BA56" t="e">
        <f>AND('SPR BARRANQUILLA'!AE64,"AAAAAHfLzDQ=")</f>
        <v>#VALUE!</v>
      </c>
      <c r="BB56" t="e">
        <f>AND('SPR BARRANQUILLA'!AF64,"AAAAAHfLzDU=")</f>
        <v>#VALUE!</v>
      </c>
      <c r="BC56" t="e">
        <f>AND('SPR BARRANQUILLA'!AG64,"AAAAAHfLzDY=")</f>
        <v>#VALUE!</v>
      </c>
      <c r="BD56" t="e">
        <f>AND('SPR BARRANQUILLA'!AH64,"AAAAAHfLzDc=")</f>
        <v>#VALUE!</v>
      </c>
      <c r="BE56" t="e">
        <f>AND('SPR BARRANQUILLA'!AI64,"AAAAAHfLzDg=")</f>
        <v>#VALUE!</v>
      </c>
      <c r="BF56" t="e">
        <f>AND('SPR BARRANQUILLA'!AJ64,"AAAAAHfLzDk=")</f>
        <v>#VALUE!</v>
      </c>
      <c r="BG56" t="e">
        <f>AND('SPR BARRANQUILLA'!AK64,"AAAAAHfLzDo=")</f>
        <v>#VALUE!</v>
      </c>
      <c r="BH56" t="e">
        <f>AND('SPR BARRANQUILLA'!AL64,"AAAAAHfLzDs=")</f>
        <v>#VALUE!</v>
      </c>
      <c r="BI56" t="e">
        <f>AND('SPR BARRANQUILLA'!AM64,"AAAAAHfLzDw=")</f>
        <v>#VALUE!</v>
      </c>
      <c r="BJ56" t="e">
        <f>AND('SPR BARRANQUILLA'!AN64,"AAAAAHfLzD0=")</f>
        <v>#VALUE!</v>
      </c>
      <c r="BK56" t="e">
        <f>AND('SPR BARRANQUILLA'!AO64,"AAAAAHfLzD4=")</f>
        <v>#VALUE!</v>
      </c>
      <c r="BL56" t="e">
        <f>AND('SPR BARRANQUILLA'!AP64,"AAAAAHfLzD8=")</f>
        <v>#VALUE!</v>
      </c>
      <c r="BM56" t="e">
        <f>AND('SPR BARRANQUILLA'!AQ64,"AAAAAHfLzEA=")</f>
        <v>#VALUE!</v>
      </c>
      <c r="BN56" t="e">
        <f>AND('SPR BARRANQUILLA'!AR64,"AAAAAHfLzEE=")</f>
        <v>#VALUE!</v>
      </c>
      <c r="BO56" t="e">
        <f>AND('SPR BARRANQUILLA'!AS64,"AAAAAHfLzEI=")</f>
        <v>#VALUE!</v>
      </c>
      <c r="BP56" t="e">
        <f>AND('SPR BARRANQUILLA'!AT64,"AAAAAHfLzEM=")</f>
        <v>#VALUE!</v>
      </c>
      <c r="BQ56" t="e">
        <f>AND('SPR BARRANQUILLA'!AU64,"AAAAAHfLzEQ=")</f>
        <v>#VALUE!</v>
      </c>
      <c r="BR56" t="e">
        <f>AND('SPR BARRANQUILLA'!AV64,"AAAAAHfLzEU=")</f>
        <v>#VALUE!</v>
      </c>
      <c r="BS56" t="e">
        <f>AND('SPR BARRANQUILLA'!AW64,"AAAAAHfLzEY=")</f>
        <v>#VALUE!</v>
      </c>
      <c r="BT56" t="e">
        <f>AND('SPR BARRANQUILLA'!AX64,"AAAAAHfLzEc=")</f>
        <v>#VALUE!</v>
      </c>
      <c r="BU56" t="e">
        <f>AND('SPR BARRANQUILLA'!AY64,"AAAAAHfLzEg=")</f>
        <v>#VALUE!</v>
      </c>
      <c r="BV56" t="e">
        <f>AND('SPR BARRANQUILLA'!AZ64,"AAAAAHfLzEk=")</f>
        <v>#VALUE!</v>
      </c>
      <c r="BW56" t="e">
        <f>AND('SPR BARRANQUILLA'!BA64,"AAAAAHfLzEo=")</f>
        <v>#VALUE!</v>
      </c>
      <c r="BX56" t="e">
        <f>AND('SPR BARRANQUILLA'!BB64,"AAAAAHfLzEs=")</f>
        <v>#VALUE!</v>
      </c>
      <c r="BY56" t="e">
        <f>AND('SPR BARRANQUILLA'!BC64,"AAAAAHfLzEw=")</f>
        <v>#VALUE!</v>
      </c>
      <c r="BZ56" t="e">
        <f>AND('SPR BARRANQUILLA'!BD64,"AAAAAHfLzE0=")</f>
        <v>#VALUE!</v>
      </c>
      <c r="CA56" t="e">
        <f>AND('SPR BARRANQUILLA'!BE64,"AAAAAHfLzE4=")</f>
        <v>#VALUE!</v>
      </c>
      <c r="CB56" t="e">
        <f>AND('SPR BARRANQUILLA'!BF64,"AAAAAHfLzE8=")</f>
        <v>#VALUE!</v>
      </c>
      <c r="CC56" t="e">
        <f>AND('SPR BARRANQUILLA'!BG64,"AAAAAHfLzFA=")</f>
        <v>#VALUE!</v>
      </c>
      <c r="CD56" t="e">
        <f>AND('SPR BARRANQUILLA'!BH64,"AAAAAHfLzFE=")</f>
        <v>#VALUE!</v>
      </c>
      <c r="CE56" t="e">
        <f>AND('SPR BARRANQUILLA'!BI64,"AAAAAHfLzFI=")</f>
        <v>#VALUE!</v>
      </c>
      <c r="CF56" t="e">
        <f>AND('SPR BARRANQUILLA'!BJ64,"AAAAAHfLzFM=")</f>
        <v>#VALUE!</v>
      </c>
      <c r="CG56" t="e">
        <f>AND('SPR BARRANQUILLA'!BK64,"AAAAAHfLzFQ=")</f>
        <v>#VALUE!</v>
      </c>
      <c r="CH56" t="e">
        <f>AND('SPR BARRANQUILLA'!BL64,"AAAAAHfLzFU=")</f>
        <v>#VALUE!</v>
      </c>
      <c r="CI56" t="e">
        <f>AND('SPR BARRANQUILLA'!BM64,"AAAAAHfLzFY=")</f>
        <v>#VALUE!</v>
      </c>
      <c r="CJ56" t="e">
        <f>AND('SPR BARRANQUILLA'!BN64,"AAAAAHfLzFc=")</f>
        <v>#VALUE!</v>
      </c>
      <c r="CK56" t="e">
        <f>AND('SPR BARRANQUILLA'!BO64,"AAAAAHfLzFg=")</f>
        <v>#VALUE!</v>
      </c>
      <c r="CL56" t="e">
        <f>AND('SPR BARRANQUILLA'!BP64,"AAAAAHfLzFk=")</f>
        <v>#VALUE!</v>
      </c>
      <c r="CM56" t="e">
        <f>AND('SPR BARRANQUILLA'!BQ64,"AAAAAHfLzFo=")</f>
        <v>#VALUE!</v>
      </c>
      <c r="CN56" t="e">
        <f>AND('SPR BARRANQUILLA'!BR64,"AAAAAHfLzFs=")</f>
        <v>#VALUE!</v>
      </c>
      <c r="CO56" t="e">
        <f>AND('SPR BARRANQUILLA'!BS64,"AAAAAHfLzFw=")</f>
        <v>#VALUE!</v>
      </c>
      <c r="CP56" t="e">
        <f>AND('SPR BARRANQUILLA'!BT64,"AAAAAHfLzF0=")</f>
        <v>#VALUE!</v>
      </c>
      <c r="CQ56" t="e">
        <f>AND('SPR BARRANQUILLA'!BU64,"AAAAAHfLzF4=")</f>
        <v>#VALUE!</v>
      </c>
      <c r="CR56" t="e">
        <f>AND('SPR BARRANQUILLA'!BV64,"AAAAAHfLzF8=")</f>
        <v>#VALUE!</v>
      </c>
      <c r="CS56" t="e">
        <f>AND('SPR BARRANQUILLA'!BW64,"AAAAAHfLzGA=")</f>
        <v>#VALUE!</v>
      </c>
      <c r="CT56" t="e">
        <f>AND('SPR BARRANQUILLA'!BX64,"AAAAAHfLzGE=")</f>
        <v>#VALUE!</v>
      </c>
      <c r="CU56" t="e">
        <f>AND('SPR BARRANQUILLA'!BY64,"AAAAAHfLzGI=")</f>
        <v>#VALUE!</v>
      </c>
      <c r="CV56" t="e">
        <f>AND('SPR BARRANQUILLA'!BZ64,"AAAAAHfLzGM=")</f>
        <v>#VALUE!</v>
      </c>
      <c r="CW56" t="e">
        <f>AND('SPR BARRANQUILLA'!CA64,"AAAAAHfLzGQ=")</f>
        <v>#VALUE!</v>
      </c>
      <c r="CX56" t="e">
        <f>AND('SPR BARRANQUILLA'!CB64,"AAAAAHfLzGU=")</f>
        <v>#VALUE!</v>
      </c>
      <c r="CY56" t="e">
        <f>AND('SPR BARRANQUILLA'!CC64,"AAAAAHfLzGY=")</f>
        <v>#VALUE!</v>
      </c>
      <c r="CZ56" t="e">
        <f>AND('SPR BARRANQUILLA'!CD64,"AAAAAHfLzGc=")</f>
        <v>#VALUE!</v>
      </c>
      <c r="DA56" t="e">
        <f>AND('SPR BARRANQUILLA'!CE64,"AAAAAHfLzGg=")</f>
        <v>#VALUE!</v>
      </c>
      <c r="DB56" t="e">
        <f>AND('SPR BARRANQUILLA'!CF64,"AAAAAHfLzGk=")</f>
        <v>#VALUE!</v>
      </c>
      <c r="DC56" t="e">
        <f>AND('SPR BARRANQUILLA'!CG64,"AAAAAHfLzGo=")</f>
        <v>#VALUE!</v>
      </c>
      <c r="DD56" t="e">
        <f>AND('SPR BARRANQUILLA'!CH64,"AAAAAHfLzGs=")</f>
        <v>#VALUE!</v>
      </c>
      <c r="DE56" t="e">
        <f>AND('SPR BARRANQUILLA'!CI64,"AAAAAHfLzGw=")</f>
        <v>#VALUE!</v>
      </c>
      <c r="DF56" t="e">
        <f>AND('SPR BARRANQUILLA'!CJ64,"AAAAAHfLzG0=")</f>
        <v>#VALUE!</v>
      </c>
      <c r="DG56" t="e">
        <f>AND('SPR BARRANQUILLA'!CK64,"AAAAAHfLzG4=")</f>
        <v>#VALUE!</v>
      </c>
      <c r="DH56" t="e">
        <f>AND('SPR BARRANQUILLA'!CL64,"AAAAAHfLzG8=")</f>
        <v>#VALUE!</v>
      </c>
      <c r="DI56" t="e">
        <f>AND('SPR BARRANQUILLA'!CM64,"AAAAAHfLzHA=")</f>
        <v>#VALUE!</v>
      </c>
      <c r="DJ56" t="e">
        <f>AND('SPR BARRANQUILLA'!CN64,"AAAAAHfLzHE=")</f>
        <v>#VALUE!</v>
      </c>
      <c r="DK56" t="e">
        <f>AND('SPR BARRANQUILLA'!CO64,"AAAAAHfLzHI=")</f>
        <v>#VALUE!</v>
      </c>
      <c r="DL56" t="e">
        <f>AND('SPR BARRANQUILLA'!CP64,"AAAAAHfLzHM=")</f>
        <v>#VALUE!</v>
      </c>
      <c r="DM56" t="e">
        <f>AND('SPR BARRANQUILLA'!CQ64,"AAAAAHfLzHQ=")</f>
        <v>#VALUE!</v>
      </c>
      <c r="DN56" t="e">
        <f>AND('SPR BARRANQUILLA'!CR64,"AAAAAHfLzHU=")</f>
        <v>#VALUE!</v>
      </c>
      <c r="DO56" t="e">
        <f>AND('SPR BARRANQUILLA'!CS64,"AAAAAHfLzHY=")</f>
        <v>#VALUE!</v>
      </c>
      <c r="DP56" t="e">
        <f>AND('SPR BARRANQUILLA'!CT64,"AAAAAHfLzHc=")</f>
        <v>#VALUE!</v>
      </c>
      <c r="DQ56" t="e">
        <f>AND('SPR BARRANQUILLA'!CU64,"AAAAAHfLzHg=")</f>
        <v>#VALUE!</v>
      </c>
      <c r="DR56" t="e">
        <f>AND('SPR BARRANQUILLA'!CV64,"AAAAAHfLzHk=")</f>
        <v>#VALUE!</v>
      </c>
      <c r="DS56" t="e">
        <f>AND('SPR BARRANQUILLA'!CW64,"AAAAAHfLzHo=")</f>
        <v>#VALUE!</v>
      </c>
      <c r="DT56" t="e">
        <f>AND('SPR BARRANQUILLA'!CX64,"AAAAAHfLzHs=")</f>
        <v>#VALUE!</v>
      </c>
      <c r="DU56" t="e">
        <f>AND('SPR BARRANQUILLA'!CY64,"AAAAAHfLzHw=")</f>
        <v>#VALUE!</v>
      </c>
      <c r="DV56" t="e">
        <f>AND('SPR BARRANQUILLA'!CZ64,"AAAAAHfLzH0=")</f>
        <v>#VALUE!</v>
      </c>
      <c r="DW56" t="e">
        <f>AND('SPR BARRANQUILLA'!DA64,"AAAAAHfLzH4=")</f>
        <v>#VALUE!</v>
      </c>
      <c r="DX56" t="e">
        <f>AND('SPR BARRANQUILLA'!DB64,"AAAAAHfLzH8=")</f>
        <v>#VALUE!</v>
      </c>
      <c r="DY56" t="e">
        <f>AND('SPR BARRANQUILLA'!DC64,"AAAAAHfLzIA=")</f>
        <v>#VALUE!</v>
      </c>
      <c r="DZ56" t="e">
        <f>AND('SPR BARRANQUILLA'!DD64,"AAAAAHfLzIE=")</f>
        <v>#VALUE!</v>
      </c>
      <c r="EA56" t="e">
        <f>AND('SPR BARRANQUILLA'!DE64,"AAAAAHfLzII=")</f>
        <v>#VALUE!</v>
      </c>
      <c r="EB56" t="e">
        <f>AND('SPR BARRANQUILLA'!DF64,"AAAAAHfLzIM=")</f>
        <v>#VALUE!</v>
      </c>
      <c r="EC56" t="e">
        <f>AND('SPR BARRANQUILLA'!DG64,"AAAAAHfLzIQ=")</f>
        <v>#VALUE!</v>
      </c>
      <c r="ED56" t="e">
        <f>AND('SPR BARRANQUILLA'!DH64,"AAAAAHfLzIU=")</f>
        <v>#VALUE!</v>
      </c>
      <c r="EE56" t="e">
        <f>AND('SPR BARRANQUILLA'!DI64,"AAAAAHfLzIY=")</f>
        <v>#VALUE!</v>
      </c>
      <c r="EF56" t="e">
        <f>AND('SPR BARRANQUILLA'!DJ64,"AAAAAHfLzIc=")</f>
        <v>#VALUE!</v>
      </c>
      <c r="EG56" t="e">
        <f>AND('SPR BARRANQUILLA'!DK64,"AAAAAHfLzIg=")</f>
        <v>#VALUE!</v>
      </c>
      <c r="EH56" t="e">
        <f>AND('SPR BARRANQUILLA'!DL64,"AAAAAHfLzIk=")</f>
        <v>#VALUE!</v>
      </c>
      <c r="EI56" t="e">
        <f>AND('SPR BARRANQUILLA'!DM64,"AAAAAHfLzIo=")</f>
        <v>#VALUE!</v>
      </c>
      <c r="EJ56" t="e">
        <f>AND('SPR BARRANQUILLA'!DN64,"AAAAAHfLzIs=")</f>
        <v>#VALUE!</v>
      </c>
      <c r="EK56" t="e">
        <f>AND('SPR BARRANQUILLA'!DO64,"AAAAAHfLzIw=")</f>
        <v>#VALUE!</v>
      </c>
      <c r="EL56" t="e">
        <f>AND('SPR BARRANQUILLA'!DP64,"AAAAAHfLzI0=")</f>
        <v>#VALUE!</v>
      </c>
      <c r="EM56" t="e">
        <f>AND('SPR BARRANQUILLA'!DQ64,"AAAAAHfLzI4=")</f>
        <v>#VALUE!</v>
      </c>
      <c r="EN56" t="e">
        <f>AND('SPR BARRANQUILLA'!DR64,"AAAAAHfLzI8=")</f>
        <v>#VALUE!</v>
      </c>
      <c r="EO56" t="e">
        <f>AND('SPR BARRANQUILLA'!DS64,"AAAAAHfLzJA=")</f>
        <v>#VALUE!</v>
      </c>
      <c r="EP56" t="e">
        <f>AND('SPR BARRANQUILLA'!DT64,"AAAAAHfLzJE=")</f>
        <v>#VALUE!</v>
      </c>
      <c r="EQ56" t="e">
        <f>AND('SPR BARRANQUILLA'!DU64,"AAAAAHfLzJI=")</f>
        <v>#VALUE!</v>
      </c>
      <c r="ER56" t="e">
        <f>AND('SPR BARRANQUILLA'!DV64,"AAAAAHfLzJM=")</f>
        <v>#VALUE!</v>
      </c>
      <c r="ES56" t="e">
        <f>AND('SPR BARRANQUILLA'!DW64,"AAAAAHfLzJQ=")</f>
        <v>#VALUE!</v>
      </c>
      <c r="ET56" t="e">
        <f>AND('SPR BARRANQUILLA'!DX64,"AAAAAHfLzJU=")</f>
        <v>#VALUE!</v>
      </c>
      <c r="EU56" t="e">
        <f>AND('SPR BARRANQUILLA'!DY64,"AAAAAHfLzJY=")</f>
        <v>#VALUE!</v>
      </c>
      <c r="EV56" t="e">
        <f>AND('SPR BARRANQUILLA'!DZ64,"AAAAAHfLzJc=")</f>
        <v>#VALUE!</v>
      </c>
      <c r="EW56" t="e">
        <f>AND('SPR BARRANQUILLA'!EA64,"AAAAAHfLzJg=")</f>
        <v>#VALUE!</v>
      </c>
      <c r="EX56" t="e">
        <f>AND('SPR BARRANQUILLA'!EB64,"AAAAAHfLzJk=")</f>
        <v>#VALUE!</v>
      </c>
      <c r="EY56" t="e">
        <f>AND('SPR BARRANQUILLA'!EC64,"AAAAAHfLzJo=")</f>
        <v>#VALUE!</v>
      </c>
      <c r="EZ56" t="e">
        <f>AND('SPR BARRANQUILLA'!ED64,"AAAAAHfLzJs=")</f>
        <v>#VALUE!</v>
      </c>
      <c r="FA56" t="e">
        <f>AND('SPR BARRANQUILLA'!EE64,"AAAAAHfLzJw=")</f>
        <v>#VALUE!</v>
      </c>
      <c r="FB56" t="e">
        <f>AND('SPR BARRANQUILLA'!EF64,"AAAAAHfLzJ0=")</f>
        <v>#VALUE!</v>
      </c>
      <c r="FC56" t="e">
        <f>AND('SPR BARRANQUILLA'!EG64,"AAAAAHfLzJ4=")</f>
        <v>#VALUE!</v>
      </c>
      <c r="FD56" t="e">
        <f>AND('SPR BARRANQUILLA'!EH64,"AAAAAHfLzJ8=")</f>
        <v>#VALUE!</v>
      </c>
      <c r="FE56" t="e">
        <f>AND('SPR BARRANQUILLA'!EI64,"AAAAAHfLzKA=")</f>
        <v>#VALUE!</v>
      </c>
      <c r="FF56" t="e">
        <f>AND('SPR BARRANQUILLA'!EJ64,"AAAAAHfLzKE=")</f>
        <v>#VALUE!</v>
      </c>
      <c r="FG56" t="e">
        <f>AND('SPR BARRANQUILLA'!EK64,"AAAAAHfLzKI=")</f>
        <v>#VALUE!</v>
      </c>
      <c r="FH56" t="e">
        <f>AND('SPR BARRANQUILLA'!EL64,"AAAAAHfLzKM=")</f>
        <v>#VALUE!</v>
      </c>
      <c r="FI56" t="e">
        <f>AND('SPR BARRANQUILLA'!EM64,"AAAAAHfLzKQ=")</f>
        <v>#VALUE!</v>
      </c>
      <c r="FJ56" t="e">
        <f>AND('SPR BARRANQUILLA'!EN64,"AAAAAHfLzKU=")</f>
        <v>#VALUE!</v>
      </c>
      <c r="FK56" t="e">
        <f>AND('SPR BARRANQUILLA'!EO64,"AAAAAHfLzKY=")</f>
        <v>#VALUE!</v>
      </c>
      <c r="FL56" t="e">
        <f>AND('SPR BARRANQUILLA'!EP64,"AAAAAHfLzKc=")</f>
        <v>#VALUE!</v>
      </c>
      <c r="FM56" t="e">
        <f>AND('SPR BARRANQUILLA'!EQ64,"AAAAAHfLzKg=")</f>
        <v>#VALUE!</v>
      </c>
      <c r="FN56" t="e">
        <f>AND('SPR BARRANQUILLA'!ER64,"AAAAAHfLzKk=")</f>
        <v>#VALUE!</v>
      </c>
      <c r="FO56" t="e">
        <f>AND('SPR BARRANQUILLA'!ES64,"AAAAAHfLzKo=")</f>
        <v>#VALUE!</v>
      </c>
      <c r="FP56" t="e">
        <f>AND('SPR BARRANQUILLA'!ET64,"AAAAAHfLzKs=")</f>
        <v>#VALUE!</v>
      </c>
      <c r="FQ56" t="e">
        <f>AND('SPR BARRANQUILLA'!EU64,"AAAAAHfLzKw=")</f>
        <v>#VALUE!</v>
      </c>
      <c r="FR56" t="e">
        <f>AND('SPR BARRANQUILLA'!EV64,"AAAAAHfLzK0=")</f>
        <v>#VALUE!</v>
      </c>
      <c r="FS56" t="e">
        <f>AND('SPR BARRANQUILLA'!EW64,"AAAAAHfLzK4=")</f>
        <v>#VALUE!</v>
      </c>
      <c r="FT56" t="e">
        <f>AND('SPR BARRANQUILLA'!EX64,"AAAAAHfLzK8=")</f>
        <v>#VALUE!</v>
      </c>
      <c r="FU56" t="e">
        <f>AND('SPR BARRANQUILLA'!EY64,"AAAAAHfLzLA=")</f>
        <v>#VALUE!</v>
      </c>
      <c r="FV56" t="e">
        <f>AND('SPR BARRANQUILLA'!EZ64,"AAAAAHfLzLE=")</f>
        <v>#VALUE!</v>
      </c>
      <c r="FW56" t="e">
        <f>AND('SPR BARRANQUILLA'!FA64,"AAAAAHfLzLI=")</f>
        <v>#VALUE!</v>
      </c>
      <c r="FX56" t="e">
        <f>AND('SPR BARRANQUILLA'!FB64,"AAAAAHfLzLM=")</f>
        <v>#VALUE!</v>
      </c>
      <c r="FY56" t="e">
        <f>AND('SPR BARRANQUILLA'!FC64,"AAAAAHfLzLQ=")</f>
        <v>#VALUE!</v>
      </c>
      <c r="FZ56" t="e">
        <f>AND('SPR BARRANQUILLA'!FD64,"AAAAAHfLzLU=")</f>
        <v>#VALUE!</v>
      </c>
      <c r="GA56" t="e">
        <f>AND('SPR BARRANQUILLA'!FE64,"AAAAAHfLzLY=")</f>
        <v>#VALUE!</v>
      </c>
      <c r="GB56" t="e">
        <f>AND('SPR BARRANQUILLA'!FF64,"AAAAAHfLzLc=")</f>
        <v>#VALUE!</v>
      </c>
      <c r="GC56" t="e">
        <f>AND('SPR BARRANQUILLA'!FG64,"AAAAAHfLzLg=")</f>
        <v>#VALUE!</v>
      </c>
      <c r="GD56" t="e">
        <f>AND('SPR BARRANQUILLA'!FH64,"AAAAAHfLzLk=")</f>
        <v>#VALUE!</v>
      </c>
      <c r="GE56" t="e">
        <f>AND('SPR BARRANQUILLA'!FI64,"AAAAAHfLzLo=")</f>
        <v>#VALUE!</v>
      </c>
      <c r="GF56" t="e">
        <f>AND('SPR BARRANQUILLA'!FJ64,"AAAAAHfLzLs=")</f>
        <v>#VALUE!</v>
      </c>
      <c r="GG56" t="e">
        <f>AND('SPR BARRANQUILLA'!FK64,"AAAAAHfLzLw=")</f>
        <v>#VALUE!</v>
      </c>
      <c r="GH56" t="e">
        <f>AND('SPR BARRANQUILLA'!FL64,"AAAAAHfLzL0=")</f>
        <v>#VALUE!</v>
      </c>
      <c r="GI56" t="e">
        <f>AND('SPR BARRANQUILLA'!FM64,"AAAAAHfLzL4=")</f>
        <v>#VALUE!</v>
      </c>
      <c r="GJ56" t="e">
        <f>AND('SPR BARRANQUILLA'!FN64,"AAAAAHfLzL8=")</f>
        <v>#VALUE!</v>
      </c>
      <c r="GK56" t="e">
        <f>AND('SPR BARRANQUILLA'!FO64,"AAAAAHfLzMA=")</f>
        <v>#VALUE!</v>
      </c>
      <c r="GL56" t="e">
        <f>AND('SPR BARRANQUILLA'!FP64,"AAAAAHfLzME=")</f>
        <v>#VALUE!</v>
      </c>
      <c r="GM56" t="e">
        <f>AND('SPR BARRANQUILLA'!FQ64,"AAAAAHfLzMI=")</f>
        <v>#VALUE!</v>
      </c>
      <c r="GN56" t="e">
        <f>AND('SPR BARRANQUILLA'!FR64,"AAAAAHfLzMM=")</f>
        <v>#VALUE!</v>
      </c>
      <c r="GO56" t="e">
        <f>AND('SPR BARRANQUILLA'!FS64,"AAAAAHfLzMQ=")</f>
        <v>#VALUE!</v>
      </c>
      <c r="GP56" t="e">
        <f>AND('SPR BARRANQUILLA'!FT64,"AAAAAHfLzMU=")</f>
        <v>#VALUE!</v>
      </c>
      <c r="GQ56" t="e">
        <f>AND('SPR BARRANQUILLA'!FU64,"AAAAAHfLzMY=")</f>
        <v>#VALUE!</v>
      </c>
      <c r="GR56" t="e">
        <f>AND('SPR BARRANQUILLA'!FV64,"AAAAAHfLzMc=")</f>
        <v>#VALUE!</v>
      </c>
      <c r="GS56" t="e">
        <f>AND('SPR BARRANQUILLA'!FW64,"AAAAAHfLzMg=")</f>
        <v>#VALUE!</v>
      </c>
      <c r="GT56" t="e">
        <f>AND('SPR BARRANQUILLA'!FX64,"AAAAAHfLzMk=")</f>
        <v>#VALUE!</v>
      </c>
      <c r="GU56" t="e">
        <f>AND('SPR BARRANQUILLA'!FY64,"AAAAAHfLzMo=")</f>
        <v>#VALUE!</v>
      </c>
      <c r="GV56" t="e">
        <f>AND('SPR BARRANQUILLA'!FZ64,"AAAAAHfLzMs=")</f>
        <v>#VALUE!</v>
      </c>
      <c r="GW56" t="e">
        <f>AND('SPR BARRANQUILLA'!GA64,"AAAAAHfLzMw=")</f>
        <v>#VALUE!</v>
      </c>
      <c r="GX56" t="e">
        <f>AND('SPR BARRANQUILLA'!GB64,"AAAAAHfLzM0=")</f>
        <v>#VALUE!</v>
      </c>
      <c r="GY56" t="e">
        <f>AND('SPR BARRANQUILLA'!GC64,"AAAAAHfLzM4=")</f>
        <v>#VALUE!</v>
      </c>
      <c r="GZ56" t="e">
        <f>AND('SPR BARRANQUILLA'!GD64,"AAAAAHfLzM8=")</f>
        <v>#VALUE!</v>
      </c>
      <c r="HA56" t="e">
        <f>AND('SPR BARRANQUILLA'!GE64,"AAAAAHfLzNA=")</f>
        <v>#VALUE!</v>
      </c>
      <c r="HB56" t="e">
        <f>AND('SPR BARRANQUILLA'!GF64,"AAAAAHfLzNE=")</f>
        <v>#VALUE!</v>
      </c>
      <c r="HC56" t="e">
        <f>AND('SPR BARRANQUILLA'!GG64,"AAAAAHfLzNI=")</f>
        <v>#VALUE!</v>
      </c>
      <c r="HD56" t="e">
        <f>AND('SPR BARRANQUILLA'!GH64,"AAAAAHfLzNM=")</f>
        <v>#VALUE!</v>
      </c>
      <c r="HE56" t="e">
        <f>AND('SPR BARRANQUILLA'!GI64,"AAAAAHfLzNQ=")</f>
        <v>#VALUE!</v>
      </c>
      <c r="HF56" t="e">
        <f>AND('SPR BARRANQUILLA'!GJ64,"AAAAAHfLzNU=")</f>
        <v>#VALUE!</v>
      </c>
      <c r="HG56" t="e">
        <f>AND('SPR BARRANQUILLA'!GK64,"AAAAAHfLzNY=")</f>
        <v>#VALUE!</v>
      </c>
      <c r="HH56" t="e">
        <f>AND('SPR BARRANQUILLA'!GL64,"AAAAAHfLzNc=")</f>
        <v>#VALUE!</v>
      </c>
      <c r="HI56" t="e">
        <f>AND('SPR BARRANQUILLA'!GM64,"AAAAAHfLzNg=")</f>
        <v>#VALUE!</v>
      </c>
      <c r="HJ56" t="e">
        <f>AND('SPR BARRANQUILLA'!GN64,"AAAAAHfLzNk=")</f>
        <v>#VALUE!</v>
      </c>
      <c r="HK56" t="e">
        <f>AND('SPR BARRANQUILLA'!GO64,"AAAAAHfLzNo=")</f>
        <v>#VALUE!</v>
      </c>
      <c r="HL56" t="e">
        <f>AND('SPR BARRANQUILLA'!GP64,"AAAAAHfLzNs=")</f>
        <v>#VALUE!</v>
      </c>
      <c r="HM56" t="e">
        <f>AND('SPR BARRANQUILLA'!GQ64,"AAAAAHfLzNw=")</f>
        <v>#VALUE!</v>
      </c>
      <c r="HN56" t="e">
        <f>AND('SPR BARRANQUILLA'!GR64,"AAAAAHfLzN0=")</f>
        <v>#VALUE!</v>
      </c>
      <c r="HO56" t="e">
        <f>AND('SPR BARRANQUILLA'!GS64,"AAAAAHfLzN4=")</f>
        <v>#VALUE!</v>
      </c>
      <c r="HP56" t="e">
        <f>AND('SPR BARRANQUILLA'!GT64,"AAAAAHfLzN8=")</f>
        <v>#VALUE!</v>
      </c>
      <c r="HQ56" t="e">
        <f>AND('SPR BARRANQUILLA'!GU64,"AAAAAHfLzOA=")</f>
        <v>#VALUE!</v>
      </c>
      <c r="HR56" t="e">
        <f>AND('SPR BARRANQUILLA'!GV64,"AAAAAHfLzOE=")</f>
        <v>#VALUE!</v>
      </c>
      <c r="HS56" t="e">
        <f>AND('SPR BARRANQUILLA'!GW64,"AAAAAHfLzOI=")</f>
        <v>#VALUE!</v>
      </c>
      <c r="HT56" t="e">
        <f>AND('SPR BARRANQUILLA'!GX64,"AAAAAHfLzOM=")</f>
        <v>#VALUE!</v>
      </c>
      <c r="HU56" t="e">
        <f>AND('SPR BARRANQUILLA'!GY64,"AAAAAHfLzOQ=")</f>
        <v>#VALUE!</v>
      </c>
      <c r="HV56">
        <f>IF('SPR BARRANQUILLA'!65:65,"AAAAAHfLzOU=",0)</f>
        <v>0</v>
      </c>
      <c r="HW56" t="e">
        <f>AND('SPR BARRANQUILLA'!A65,"AAAAAHfLzOY=")</f>
        <v>#VALUE!</v>
      </c>
      <c r="HX56" t="e">
        <f>AND('SPR BARRANQUILLA'!B65,"AAAAAHfLzOc=")</f>
        <v>#VALUE!</v>
      </c>
      <c r="HY56" t="e">
        <f>AND('SPR BARRANQUILLA'!C65,"AAAAAHfLzOg=")</f>
        <v>#VALUE!</v>
      </c>
      <c r="HZ56" t="e">
        <f>AND('SPR BARRANQUILLA'!D65,"AAAAAHfLzOk=")</f>
        <v>#VALUE!</v>
      </c>
      <c r="IA56" t="e">
        <f>AND('SPR BARRANQUILLA'!E65,"AAAAAHfLzOo=")</f>
        <v>#VALUE!</v>
      </c>
      <c r="IB56" t="e">
        <f>AND('SPR BARRANQUILLA'!F65,"AAAAAHfLzOs=")</f>
        <v>#VALUE!</v>
      </c>
      <c r="IC56" t="e">
        <f>AND('SPR BARRANQUILLA'!G65,"AAAAAHfLzOw=")</f>
        <v>#VALUE!</v>
      </c>
      <c r="ID56" t="e">
        <f>AND('SPR BARRANQUILLA'!H65,"AAAAAHfLzO0=")</f>
        <v>#VALUE!</v>
      </c>
      <c r="IE56" t="e">
        <f>AND('SPR BARRANQUILLA'!I65,"AAAAAHfLzO4=")</f>
        <v>#VALUE!</v>
      </c>
      <c r="IF56" t="e">
        <f>AND('SPR BARRANQUILLA'!J65,"AAAAAHfLzO8=")</f>
        <v>#VALUE!</v>
      </c>
      <c r="IG56" t="e">
        <f>AND('SPR BARRANQUILLA'!K65,"AAAAAHfLzPA=")</f>
        <v>#VALUE!</v>
      </c>
      <c r="IH56" t="e">
        <f>AND('SPR BARRANQUILLA'!L65,"AAAAAHfLzPE=")</f>
        <v>#VALUE!</v>
      </c>
      <c r="II56" t="e">
        <f>AND('SPR BARRANQUILLA'!M65,"AAAAAHfLzPI=")</f>
        <v>#VALUE!</v>
      </c>
      <c r="IJ56" t="e">
        <f>AND('SPR BARRANQUILLA'!N65,"AAAAAHfLzPM=")</f>
        <v>#VALUE!</v>
      </c>
      <c r="IK56" t="e">
        <f>AND('SPR BARRANQUILLA'!O65,"AAAAAHfLzPQ=")</f>
        <v>#VALUE!</v>
      </c>
      <c r="IL56" t="e">
        <f>AND('SPR BARRANQUILLA'!P65,"AAAAAHfLzPU=")</f>
        <v>#VALUE!</v>
      </c>
      <c r="IM56" t="e">
        <f>AND('SPR BARRANQUILLA'!Q65,"AAAAAHfLzPY=")</f>
        <v>#VALUE!</v>
      </c>
      <c r="IN56" t="e">
        <f>AND('SPR BARRANQUILLA'!R65,"AAAAAHfLzPc=")</f>
        <v>#VALUE!</v>
      </c>
      <c r="IO56" t="e">
        <f>AND('SPR BARRANQUILLA'!S65,"AAAAAHfLzPg=")</f>
        <v>#VALUE!</v>
      </c>
      <c r="IP56" t="e">
        <f>AND('SPR BARRANQUILLA'!T65,"AAAAAHfLzPk=")</f>
        <v>#VALUE!</v>
      </c>
      <c r="IQ56" t="e">
        <f>AND('SPR BARRANQUILLA'!U65,"AAAAAHfLzPo=")</f>
        <v>#VALUE!</v>
      </c>
      <c r="IR56" t="e">
        <f>AND('SPR BARRANQUILLA'!V65,"AAAAAHfLzPs=")</f>
        <v>#VALUE!</v>
      </c>
      <c r="IS56" t="e">
        <f>AND('SPR BARRANQUILLA'!W65,"AAAAAHfLzPw=")</f>
        <v>#VALUE!</v>
      </c>
      <c r="IT56" t="e">
        <f>AND('SPR BARRANQUILLA'!X65,"AAAAAHfLzP0=")</f>
        <v>#VALUE!</v>
      </c>
      <c r="IU56" t="e">
        <f>AND('SPR BARRANQUILLA'!Y65,"AAAAAHfLzP4=")</f>
        <v>#VALUE!</v>
      </c>
      <c r="IV56" t="e">
        <f>AND('SPR BARRANQUILLA'!Z65,"AAAAAHfLzP8=")</f>
        <v>#VALUE!</v>
      </c>
    </row>
    <row r="57" spans="1:256">
      <c r="A57" t="e">
        <f>AND('SPR BARRANQUILLA'!AA65,"AAAAAC9fcgA=")</f>
        <v>#VALUE!</v>
      </c>
      <c r="B57" t="e">
        <f>AND('SPR BARRANQUILLA'!AB65,"AAAAAC9fcgE=")</f>
        <v>#VALUE!</v>
      </c>
      <c r="C57" t="e">
        <f>AND('SPR BARRANQUILLA'!AC65,"AAAAAC9fcgI=")</f>
        <v>#VALUE!</v>
      </c>
      <c r="D57" t="e">
        <f>AND('SPR BARRANQUILLA'!AD65,"AAAAAC9fcgM=")</f>
        <v>#VALUE!</v>
      </c>
      <c r="E57" t="e">
        <f>AND('SPR BARRANQUILLA'!AE65,"AAAAAC9fcgQ=")</f>
        <v>#VALUE!</v>
      </c>
      <c r="F57" t="e">
        <f>AND('SPR BARRANQUILLA'!AF65,"AAAAAC9fcgU=")</f>
        <v>#VALUE!</v>
      </c>
      <c r="G57" t="e">
        <f>AND('SPR BARRANQUILLA'!AG65,"AAAAAC9fcgY=")</f>
        <v>#VALUE!</v>
      </c>
      <c r="H57" t="e">
        <f>AND('SPR BARRANQUILLA'!AH65,"AAAAAC9fcgc=")</f>
        <v>#VALUE!</v>
      </c>
      <c r="I57" t="e">
        <f>AND('SPR BARRANQUILLA'!AI65,"AAAAAC9fcgg=")</f>
        <v>#VALUE!</v>
      </c>
      <c r="J57" t="e">
        <f>AND('SPR BARRANQUILLA'!AJ65,"AAAAAC9fcgk=")</f>
        <v>#VALUE!</v>
      </c>
      <c r="K57" t="e">
        <f>AND('SPR BARRANQUILLA'!AK65,"AAAAAC9fcgo=")</f>
        <v>#VALUE!</v>
      </c>
      <c r="L57" t="e">
        <f>AND('SPR BARRANQUILLA'!AL65,"AAAAAC9fcgs=")</f>
        <v>#VALUE!</v>
      </c>
      <c r="M57" t="e">
        <f>AND('SPR BARRANQUILLA'!AM65,"AAAAAC9fcgw=")</f>
        <v>#VALUE!</v>
      </c>
      <c r="N57" t="e">
        <f>AND('SPR BARRANQUILLA'!AN65,"AAAAAC9fcg0=")</f>
        <v>#VALUE!</v>
      </c>
      <c r="O57" t="e">
        <f>AND('SPR BARRANQUILLA'!AO65,"AAAAAC9fcg4=")</f>
        <v>#VALUE!</v>
      </c>
      <c r="P57" t="e">
        <f>AND('SPR BARRANQUILLA'!AP65,"AAAAAC9fcg8=")</f>
        <v>#VALUE!</v>
      </c>
      <c r="Q57" t="e">
        <f>AND('SPR BARRANQUILLA'!AQ65,"AAAAAC9fchA=")</f>
        <v>#VALUE!</v>
      </c>
      <c r="R57" t="e">
        <f>AND('SPR BARRANQUILLA'!AR65,"AAAAAC9fchE=")</f>
        <v>#VALUE!</v>
      </c>
      <c r="S57" t="e">
        <f>AND('SPR BARRANQUILLA'!AS65,"AAAAAC9fchI=")</f>
        <v>#VALUE!</v>
      </c>
      <c r="T57" t="e">
        <f>AND('SPR BARRANQUILLA'!AT65,"AAAAAC9fchM=")</f>
        <v>#VALUE!</v>
      </c>
      <c r="U57" t="e">
        <f>AND('SPR BARRANQUILLA'!AU65,"AAAAAC9fchQ=")</f>
        <v>#VALUE!</v>
      </c>
      <c r="V57" t="e">
        <f>AND('SPR BARRANQUILLA'!AV65,"AAAAAC9fchU=")</f>
        <v>#VALUE!</v>
      </c>
      <c r="W57" t="e">
        <f>AND('SPR BARRANQUILLA'!AW65,"AAAAAC9fchY=")</f>
        <v>#VALUE!</v>
      </c>
      <c r="X57" t="e">
        <f>AND('SPR BARRANQUILLA'!AX65,"AAAAAC9fchc=")</f>
        <v>#VALUE!</v>
      </c>
      <c r="Y57" t="e">
        <f>AND('SPR BARRANQUILLA'!AY65,"AAAAAC9fchg=")</f>
        <v>#VALUE!</v>
      </c>
      <c r="Z57" t="e">
        <f>AND('SPR BARRANQUILLA'!AZ65,"AAAAAC9fchk=")</f>
        <v>#VALUE!</v>
      </c>
      <c r="AA57" t="e">
        <f>AND('SPR BARRANQUILLA'!BA65,"AAAAAC9fcho=")</f>
        <v>#VALUE!</v>
      </c>
      <c r="AB57" t="e">
        <f>AND('SPR BARRANQUILLA'!BB65,"AAAAAC9fchs=")</f>
        <v>#VALUE!</v>
      </c>
      <c r="AC57" t="e">
        <f>AND('SPR BARRANQUILLA'!BC65,"AAAAAC9fchw=")</f>
        <v>#VALUE!</v>
      </c>
      <c r="AD57" t="e">
        <f>AND('SPR BARRANQUILLA'!BD65,"AAAAAC9fch0=")</f>
        <v>#VALUE!</v>
      </c>
      <c r="AE57" t="e">
        <f>AND('SPR BARRANQUILLA'!BE65,"AAAAAC9fch4=")</f>
        <v>#VALUE!</v>
      </c>
      <c r="AF57" t="e">
        <f>AND('SPR BARRANQUILLA'!BF65,"AAAAAC9fch8=")</f>
        <v>#VALUE!</v>
      </c>
      <c r="AG57" t="e">
        <f>AND('SPR BARRANQUILLA'!BG65,"AAAAAC9fciA=")</f>
        <v>#VALUE!</v>
      </c>
      <c r="AH57" t="e">
        <f>AND('SPR BARRANQUILLA'!BH65,"AAAAAC9fciE=")</f>
        <v>#VALUE!</v>
      </c>
      <c r="AI57" t="e">
        <f>AND('SPR BARRANQUILLA'!BI65,"AAAAAC9fciI=")</f>
        <v>#VALUE!</v>
      </c>
      <c r="AJ57" t="e">
        <f>AND('SPR BARRANQUILLA'!BJ65,"AAAAAC9fciM=")</f>
        <v>#VALUE!</v>
      </c>
      <c r="AK57" t="e">
        <f>AND('SPR BARRANQUILLA'!BK65,"AAAAAC9fciQ=")</f>
        <v>#VALUE!</v>
      </c>
      <c r="AL57" t="e">
        <f>AND('SPR BARRANQUILLA'!BL65,"AAAAAC9fciU=")</f>
        <v>#VALUE!</v>
      </c>
      <c r="AM57" t="e">
        <f>AND('SPR BARRANQUILLA'!BM65,"AAAAAC9fciY=")</f>
        <v>#VALUE!</v>
      </c>
      <c r="AN57" t="e">
        <f>AND('SPR BARRANQUILLA'!BN65,"AAAAAC9fcic=")</f>
        <v>#VALUE!</v>
      </c>
      <c r="AO57" t="e">
        <f>AND('SPR BARRANQUILLA'!BO65,"AAAAAC9fcig=")</f>
        <v>#VALUE!</v>
      </c>
      <c r="AP57" t="e">
        <f>AND('SPR BARRANQUILLA'!BP65,"AAAAAC9fcik=")</f>
        <v>#VALUE!</v>
      </c>
      <c r="AQ57" t="e">
        <f>AND('SPR BARRANQUILLA'!BQ65,"AAAAAC9fcio=")</f>
        <v>#VALUE!</v>
      </c>
      <c r="AR57" t="e">
        <f>AND('SPR BARRANQUILLA'!BR65,"AAAAAC9fcis=")</f>
        <v>#VALUE!</v>
      </c>
      <c r="AS57" t="e">
        <f>AND('SPR BARRANQUILLA'!BS65,"AAAAAC9fciw=")</f>
        <v>#VALUE!</v>
      </c>
      <c r="AT57" t="e">
        <f>AND('SPR BARRANQUILLA'!BT65,"AAAAAC9fci0=")</f>
        <v>#VALUE!</v>
      </c>
      <c r="AU57" t="e">
        <f>AND('SPR BARRANQUILLA'!BU65,"AAAAAC9fci4=")</f>
        <v>#VALUE!</v>
      </c>
      <c r="AV57" t="e">
        <f>AND('SPR BARRANQUILLA'!BV65,"AAAAAC9fci8=")</f>
        <v>#VALUE!</v>
      </c>
      <c r="AW57" t="e">
        <f>AND('SPR BARRANQUILLA'!BW65,"AAAAAC9fcjA=")</f>
        <v>#VALUE!</v>
      </c>
      <c r="AX57" t="e">
        <f>AND('SPR BARRANQUILLA'!BX65,"AAAAAC9fcjE=")</f>
        <v>#VALUE!</v>
      </c>
      <c r="AY57" t="e">
        <f>AND('SPR BARRANQUILLA'!BY65,"AAAAAC9fcjI=")</f>
        <v>#VALUE!</v>
      </c>
      <c r="AZ57" t="e">
        <f>AND('SPR BARRANQUILLA'!BZ65,"AAAAAC9fcjM=")</f>
        <v>#VALUE!</v>
      </c>
      <c r="BA57" t="e">
        <f>AND('SPR BARRANQUILLA'!CA65,"AAAAAC9fcjQ=")</f>
        <v>#VALUE!</v>
      </c>
      <c r="BB57" t="e">
        <f>AND('SPR BARRANQUILLA'!CB65,"AAAAAC9fcjU=")</f>
        <v>#VALUE!</v>
      </c>
      <c r="BC57" t="e">
        <f>AND('SPR BARRANQUILLA'!CC65,"AAAAAC9fcjY=")</f>
        <v>#VALUE!</v>
      </c>
      <c r="BD57" t="e">
        <f>AND('SPR BARRANQUILLA'!CD65,"AAAAAC9fcjc=")</f>
        <v>#VALUE!</v>
      </c>
      <c r="BE57" t="e">
        <f>AND('SPR BARRANQUILLA'!CE65,"AAAAAC9fcjg=")</f>
        <v>#VALUE!</v>
      </c>
      <c r="BF57" t="e">
        <f>AND('SPR BARRANQUILLA'!CF65,"AAAAAC9fcjk=")</f>
        <v>#VALUE!</v>
      </c>
      <c r="BG57" t="e">
        <f>AND('SPR BARRANQUILLA'!CG65,"AAAAAC9fcjo=")</f>
        <v>#VALUE!</v>
      </c>
      <c r="BH57" t="e">
        <f>AND('SPR BARRANQUILLA'!CH65,"AAAAAC9fcjs=")</f>
        <v>#VALUE!</v>
      </c>
      <c r="BI57" t="e">
        <f>AND('SPR BARRANQUILLA'!CI65,"AAAAAC9fcjw=")</f>
        <v>#VALUE!</v>
      </c>
      <c r="BJ57" t="e">
        <f>AND('SPR BARRANQUILLA'!CJ65,"AAAAAC9fcj0=")</f>
        <v>#VALUE!</v>
      </c>
      <c r="BK57" t="e">
        <f>AND('SPR BARRANQUILLA'!CK65,"AAAAAC9fcj4=")</f>
        <v>#VALUE!</v>
      </c>
      <c r="BL57" t="e">
        <f>AND('SPR BARRANQUILLA'!CL65,"AAAAAC9fcj8=")</f>
        <v>#VALUE!</v>
      </c>
      <c r="BM57" t="e">
        <f>AND('SPR BARRANQUILLA'!CM65,"AAAAAC9fckA=")</f>
        <v>#VALUE!</v>
      </c>
      <c r="BN57" t="e">
        <f>AND('SPR BARRANQUILLA'!CN65,"AAAAAC9fckE=")</f>
        <v>#VALUE!</v>
      </c>
      <c r="BO57" t="e">
        <f>AND('SPR BARRANQUILLA'!CO65,"AAAAAC9fckI=")</f>
        <v>#VALUE!</v>
      </c>
      <c r="BP57" t="e">
        <f>AND('SPR BARRANQUILLA'!CP65,"AAAAAC9fckM=")</f>
        <v>#VALUE!</v>
      </c>
      <c r="BQ57" t="e">
        <f>AND('SPR BARRANQUILLA'!CQ65,"AAAAAC9fckQ=")</f>
        <v>#VALUE!</v>
      </c>
      <c r="BR57" t="e">
        <f>AND('SPR BARRANQUILLA'!CR65,"AAAAAC9fckU=")</f>
        <v>#VALUE!</v>
      </c>
      <c r="BS57" t="e">
        <f>AND('SPR BARRANQUILLA'!CS65,"AAAAAC9fckY=")</f>
        <v>#VALUE!</v>
      </c>
      <c r="BT57" t="e">
        <f>AND('SPR BARRANQUILLA'!CT65,"AAAAAC9fckc=")</f>
        <v>#VALUE!</v>
      </c>
      <c r="BU57" t="e">
        <f>AND('SPR BARRANQUILLA'!CU65,"AAAAAC9fckg=")</f>
        <v>#VALUE!</v>
      </c>
      <c r="BV57" t="e">
        <f>AND('SPR BARRANQUILLA'!CV65,"AAAAAC9fckk=")</f>
        <v>#VALUE!</v>
      </c>
      <c r="BW57" t="e">
        <f>AND('SPR BARRANQUILLA'!CW65,"AAAAAC9fcko=")</f>
        <v>#VALUE!</v>
      </c>
      <c r="BX57" t="e">
        <f>AND('SPR BARRANQUILLA'!CX65,"AAAAAC9fcks=")</f>
        <v>#VALUE!</v>
      </c>
      <c r="BY57" t="e">
        <f>AND('SPR BARRANQUILLA'!CY65,"AAAAAC9fckw=")</f>
        <v>#VALUE!</v>
      </c>
      <c r="BZ57" t="e">
        <f>AND('SPR BARRANQUILLA'!CZ65,"AAAAAC9fck0=")</f>
        <v>#VALUE!</v>
      </c>
      <c r="CA57" t="e">
        <f>AND('SPR BARRANQUILLA'!DA65,"AAAAAC9fck4=")</f>
        <v>#VALUE!</v>
      </c>
      <c r="CB57" t="e">
        <f>AND('SPR BARRANQUILLA'!DB65,"AAAAAC9fck8=")</f>
        <v>#VALUE!</v>
      </c>
      <c r="CC57" t="e">
        <f>AND('SPR BARRANQUILLA'!DC65,"AAAAAC9fclA=")</f>
        <v>#VALUE!</v>
      </c>
      <c r="CD57" t="e">
        <f>AND('SPR BARRANQUILLA'!DD65,"AAAAAC9fclE=")</f>
        <v>#VALUE!</v>
      </c>
      <c r="CE57" t="e">
        <f>AND('SPR BARRANQUILLA'!DE65,"AAAAAC9fclI=")</f>
        <v>#VALUE!</v>
      </c>
      <c r="CF57" t="e">
        <f>AND('SPR BARRANQUILLA'!DF65,"AAAAAC9fclM=")</f>
        <v>#VALUE!</v>
      </c>
      <c r="CG57" t="e">
        <f>AND('SPR BARRANQUILLA'!DG65,"AAAAAC9fclQ=")</f>
        <v>#VALUE!</v>
      </c>
      <c r="CH57" t="e">
        <f>AND('SPR BARRANQUILLA'!DH65,"AAAAAC9fclU=")</f>
        <v>#VALUE!</v>
      </c>
      <c r="CI57" t="e">
        <f>AND('SPR BARRANQUILLA'!DI65,"AAAAAC9fclY=")</f>
        <v>#VALUE!</v>
      </c>
      <c r="CJ57" t="e">
        <f>AND('SPR BARRANQUILLA'!DJ65,"AAAAAC9fclc=")</f>
        <v>#VALUE!</v>
      </c>
      <c r="CK57" t="e">
        <f>AND('SPR BARRANQUILLA'!DK65,"AAAAAC9fclg=")</f>
        <v>#VALUE!</v>
      </c>
      <c r="CL57" t="e">
        <f>AND('SPR BARRANQUILLA'!DL65,"AAAAAC9fclk=")</f>
        <v>#VALUE!</v>
      </c>
      <c r="CM57" t="e">
        <f>AND('SPR BARRANQUILLA'!DM65,"AAAAAC9fclo=")</f>
        <v>#VALUE!</v>
      </c>
      <c r="CN57" t="e">
        <f>AND('SPR BARRANQUILLA'!DN65,"AAAAAC9fcls=")</f>
        <v>#VALUE!</v>
      </c>
      <c r="CO57" t="e">
        <f>AND('SPR BARRANQUILLA'!DO65,"AAAAAC9fclw=")</f>
        <v>#VALUE!</v>
      </c>
      <c r="CP57" t="e">
        <f>AND('SPR BARRANQUILLA'!DP65,"AAAAAC9fcl0=")</f>
        <v>#VALUE!</v>
      </c>
      <c r="CQ57" t="e">
        <f>AND('SPR BARRANQUILLA'!DQ65,"AAAAAC9fcl4=")</f>
        <v>#VALUE!</v>
      </c>
      <c r="CR57" t="e">
        <f>AND('SPR BARRANQUILLA'!DR65,"AAAAAC9fcl8=")</f>
        <v>#VALUE!</v>
      </c>
      <c r="CS57" t="e">
        <f>AND('SPR BARRANQUILLA'!DS65,"AAAAAC9fcmA=")</f>
        <v>#VALUE!</v>
      </c>
      <c r="CT57" t="e">
        <f>AND('SPR BARRANQUILLA'!DT65,"AAAAAC9fcmE=")</f>
        <v>#VALUE!</v>
      </c>
      <c r="CU57" t="e">
        <f>AND('SPR BARRANQUILLA'!DU65,"AAAAAC9fcmI=")</f>
        <v>#VALUE!</v>
      </c>
      <c r="CV57" t="e">
        <f>AND('SPR BARRANQUILLA'!DV65,"AAAAAC9fcmM=")</f>
        <v>#VALUE!</v>
      </c>
      <c r="CW57" t="e">
        <f>AND('SPR BARRANQUILLA'!DW65,"AAAAAC9fcmQ=")</f>
        <v>#VALUE!</v>
      </c>
      <c r="CX57" t="e">
        <f>AND('SPR BARRANQUILLA'!DX65,"AAAAAC9fcmU=")</f>
        <v>#VALUE!</v>
      </c>
      <c r="CY57" t="e">
        <f>AND('SPR BARRANQUILLA'!DY65,"AAAAAC9fcmY=")</f>
        <v>#VALUE!</v>
      </c>
      <c r="CZ57" t="e">
        <f>AND('SPR BARRANQUILLA'!DZ65,"AAAAAC9fcmc=")</f>
        <v>#VALUE!</v>
      </c>
      <c r="DA57" t="e">
        <f>AND('SPR BARRANQUILLA'!EA65,"AAAAAC9fcmg=")</f>
        <v>#VALUE!</v>
      </c>
      <c r="DB57" t="e">
        <f>AND('SPR BARRANQUILLA'!EB65,"AAAAAC9fcmk=")</f>
        <v>#VALUE!</v>
      </c>
      <c r="DC57" t="e">
        <f>AND('SPR BARRANQUILLA'!EC65,"AAAAAC9fcmo=")</f>
        <v>#VALUE!</v>
      </c>
      <c r="DD57" t="e">
        <f>AND('SPR BARRANQUILLA'!ED65,"AAAAAC9fcms=")</f>
        <v>#VALUE!</v>
      </c>
      <c r="DE57" t="e">
        <f>AND('SPR BARRANQUILLA'!EE65,"AAAAAC9fcmw=")</f>
        <v>#VALUE!</v>
      </c>
      <c r="DF57" t="e">
        <f>AND('SPR BARRANQUILLA'!EF65,"AAAAAC9fcm0=")</f>
        <v>#VALUE!</v>
      </c>
      <c r="DG57" t="e">
        <f>AND('SPR BARRANQUILLA'!EG65,"AAAAAC9fcm4=")</f>
        <v>#VALUE!</v>
      </c>
      <c r="DH57" t="e">
        <f>AND('SPR BARRANQUILLA'!EH65,"AAAAAC9fcm8=")</f>
        <v>#VALUE!</v>
      </c>
      <c r="DI57" t="e">
        <f>AND('SPR BARRANQUILLA'!EI65,"AAAAAC9fcnA=")</f>
        <v>#VALUE!</v>
      </c>
      <c r="DJ57" t="e">
        <f>AND('SPR BARRANQUILLA'!EJ65,"AAAAAC9fcnE=")</f>
        <v>#VALUE!</v>
      </c>
      <c r="DK57" t="e">
        <f>AND('SPR BARRANQUILLA'!EK65,"AAAAAC9fcnI=")</f>
        <v>#VALUE!</v>
      </c>
      <c r="DL57" t="e">
        <f>AND('SPR BARRANQUILLA'!EL65,"AAAAAC9fcnM=")</f>
        <v>#VALUE!</v>
      </c>
      <c r="DM57" t="e">
        <f>AND('SPR BARRANQUILLA'!EM65,"AAAAAC9fcnQ=")</f>
        <v>#VALUE!</v>
      </c>
      <c r="DN57" t="e">
        <f>AND('SPR BARRANQUILLA'!EN65,"AAAAAC9fcnU=")</f>
        <v>#VALUE!</v>
      </c>
      <c r="DO57" t="e">
        <f>AND('SPR BARRANQUILLA'!EO65,"AAAAAC9fcnY=")</f>
        <v>#VALUE!</v>
      </c>
      <c r="DP57" t="e">
        <f>AND('SPR BARRANQUILLA'!EP65,"AAAAAC9fcnc=")</f>
        <v>#VALUE!</v>
      </c>
      <c r="DQ57" t="e">
        <f>AND('SPR BARRANQUILLA'!EQ65,"AAAAAC9fcng=")</f>
        <v>#VALUE!</v>
      </c>
      <c r="DR57" t="e">
        <f>AND('SPR BARRANQUILLA'!ER65,"AAAAAC9fcnk=")</f>
        <v>#VALUE!</v>
      </c>
      <c r="DS57" t="e">
        <f>AND('SPR BARRANQUILLA'!ES65,"AAAAAC9fcno=")</f>
        <v>#VALUE!</v>
      </c>
      <c r="DT57" t="e">
        <f>AND('SPR BARRANQUILLA'!ET65,"AAAAAC9fcns=")</f>
        <v>#VALUE!</v>
      </c>
      <c r="DU57" t="e">
        <f>AND('SPR BARRANQUILLA'!EU65,"AAAAAC9fcnw=")</f>
        <v>#VALUE!</v>
      </c>
      <c r="DV57" t="e">
        <f>AND('SPR BARRANQUILLA'!EV65,"AAAAAC9fcn0=")</f>
        <v>#VALUE!</v>
      </c>
      <c r="DW57" t="e">
        <f>AND('SPR BARRANQUILLA'!EW65,"AAAAAC9fcn4=")</f>
        <v>#VALUE!</v>
      </c>
      <c r="DX57" t="e">
        <f>AND('SPR BARRANQUILLA'!EX65,"AAAAAC9fcn8=")</f>
        <v>#VALUE!</v>
      </c>
      <c r="DY57" t="e">
        <f>AND('SPR BARRANQUILLA'!EY65,"AAAAAC9fcoA=")</f>
        <v>#VALUE!</v>
      </c>
      <c r="DZ57" t="e">
        <f>AND('SPR BARRANQUILLA'!EZ65,"AAAAAC9fcoE=")</f>
        <v>#VALUE!</v>
      </c>
      <c r="EA57" t="e">
        <f>AND('SPR BARRANQUILLA'!FA65,"AAAAAC9fcoI=")</f>
        <v>#VALUE!</v>
      </c>
      <c r="EB57" t="e">
        <f>AND('SPR BARRANQUILLA'!FB65,"AAAAAC9fcoM=")</f>
        <v>#VALUE!</v>
      </c>
      <c r="EC57" t="e">
        <f>AND('SPR BARRANQUILLA'!FC65,"AAAAAC9fcoQ=")</f>
        <v>#VALUE!</v>
      </c>
      <c r="ED57" t="e">
        <f>AND('SPR BARRANQUILLA'!FD65,"AAAAAC9fcoU=")</f>
        <v>#VALUE!</v>
      </c>
      <c r="EE57" t="e">
        <f>AND('SPR BARRANQUILLA'!FE65,"AAAAAC9fcoY=")</f>
        <v>#VALUE!</v>
      </c>
      <c r="EF57" t="e">
        <f>AND('SPR BARRANQUILLA'!FF65,"AAAAAC9fcoc=")</f>
        <v>#VALUE!</v>
      </c>
      <c r="EG57" t="e">
        <f>AND('SPR BARRANQUILLA'!FG65,"AAAAAC9fcog=")</f>
        <v>#VALUE!</v>
      </c>
      <c r="EH57" t="e">
        <f>AND('SPR BARRANQUILLA'!FH65,"AAAAAC9fcok=")</f>
        <v>#VALUE!</v>
      </c>
      <c r="EI57" t="e">
        <f>AND('SPR BARRANQUILLA'!FI65,"AAAAAC9fcoo=")</f>
        <v>#VALUE!</v>
      </c>
      <c r="EJ57" t="e">
        <f>AND('SPR BARRANQUILLA'!FJ65,"AAAAAC9fcos=")</f>
        <v>#VALUE!</v>
      </c>
      <c r="EK57" t="e">
        <f>AND('SPR BARRANQUILLA'!FK65,"AAAAAC9fcow=")</f>
        <v>#VALUE!</v>
      </c>
      <c r="EL57" t="e">
        <f>AND('SPR BARRANQUILLA'!FL65,"AAAAAC9fco0=")</f>
        <v>#VALUE!</v>
      </c>
      <c r="EM57" t="e">
        <f>AND('SPR BARRANQUILLA'!FM65,"AAAAAC9fco4=")</f>
        <v>#VALUE!</v>
      </c>
      <c r="EN57" t="e">
        <f>AND('SPR BARRANQUILLA'!FN65,"AAAAAC9fco8=")</f>
        <v>#VALUE!</v>
      </c>
      <c r="EO57" t="e">
        <f>AND('SPR BARRANQUILLA'!FO65,"AAAAAC9fcpA=")</f>
        <v>#VALUE!</v>
      </c>
      <c r="EP57" t="e">
        <f>AND('SPR BARRANQUILLA'!FP65,"AAAAAC9fcpE=")</f>
        <v>#VALUE!</v>
      </c>
      <c r="EQ57" t="e">
        <f>AND('SPR BARRANQUILLA'!FQ65,"AAAAAC9fcpI=")</f>
        <v>#VALUE!</v>
      </c>
      <c r="ER57" t="e">
        <f>AND('SPR BARRANQUILLA'!FR65,"AAAAAC9fcpM=")</f>
        <v>#VALUE!</v>
      </c>
      <c r="ES57" t="e">
        <f>AND('SPR BARRANQUILLA'!FS65,"AAAAAC9fcpQ=")</f>
        <v>#VALUE!</v>
      </c>
      <c r="ET57" t="e">
        <f>AND('SPR BARRANQUILLA'!FT65,"AAAAAC9fcpU=")</f>
        <v>#VALUE!</v>
      </c>
      <c r="EU57" t="e">
        <f>AND('SPR BARRANQUILLA'!FU65,"AAAAAC9fcpY=")</f>
        <v>#VALUE!</v>
      </c>
      <c r="EV57" t="e">
        <f>AND('SPR BARRANQUILLA'!FV65,"AAAAAC9fcpc=")</f>
        <v>#VALUE!</v>
      </c>
      <c r="EW57" t="e">
        <f>AND('SPR BARRANQUILLA'!FW65,"AAAAAC9fcpg=")</f>
        <v>#VALUE!</v>
      </c>
      <c r="EX57" t="e">
        <f>AND('SPR BARRANQUILLA'!FX65,"AAAAAC9fcpk=")</f>
        <v>#VALUE!</v>
      </c>
      <c r="EY57" t="e">
        <f>AND('SPR BARRANQUILLA'!FY65,"AAAAAC9fcpo=")</f>
        <v>#VALUE!</v>
      </c>
      <c r="EZ57" t="e">
        <f>AND('SPR BARRANQUILLA'!FZ65,"AAAAAC9fcps=")</f>
        <v>#VALUE!</v>
      </c>
      <c r="FA57" t="e">
        <f>AND('SPR BARRANQUILLA'!GA65,"AAAAAC9fcpw=")</f>
        <v>#VALUE!</v>
      </c>
      <c r="FB57" t="e">
        <f>AND('SPR BARRANQUILLA'!GB65,"AAAAAC9fcp0=")</f>
        <v>#VALUE!</v>
      </c>
      <c r="FC57" t="e">
        <f>AND('SPR BARRANQUILLA'!GC65,"AAAAAC9fcp4=")</f>
        <v>#VALUE!</v>
      </c>
      <c r="FD57" t="e">
        <f>AND('SPR BARRANQUILLA'!GD65,"AAAAAC9fcp8=")</f>
        <v>#VALUE!</v>
      </c>
      <c r="FE57" t="e">
        <f>AND('SPR BARRANQUILLA'!GE65,"AAAAAC9fcqA=")</f>
        <v>#VALUE!</v>
      </c>
      <c r="FF57" t="e">
        <f>AND('SPR BARRANQUILLA'!GF65,"AAAAAC9fcqE=")</f>
        <v>#VALUE!</v>
      </c>
      <c r="FG57" t="e">
        <f>AND('SPR BARRANQUILLA'!GG65,"AAAAAC9fcqI=")</f>
        <v>#VALUE!</v>
      </c>
      <c r="FH57" t="e">
        <f>AND('SPR BARRANQUILLA'!GH65,"AAAAAC9fcqM=")</f>
        <v>#VALUE!</v>
      </c>
      <c r="FI57" t="e">
        <f>AND('SPR BARRANQUILLA'!GI65,"AAAAAC9fcqQ=")</f>
        <v>#VALUE!</v>
      </c>
      <c r="FJ57" t="e">
        <f>AND('SPR BARRANQUILLA'!GJ65,"AAAAAC9fcqU=")</f>
        <v>#VALUE!</v>
      </c>
      <c r="FK57" t="e">
        <f>AND('SPR BARRANQUILLA'!GK65,"AAAAAC9fcqY=")</f>
        <v>#VALUE!</v>
      </c>
      <c r="FL57" t="e">
        <f>AND('SPR BARRANQUILLA'!GL65,"AAAAAC9fcqc=")</f>
        <v>#VALUE!</v>
      </c>
      <c r="FM57" t="e">
        <f>AND('SPR BARRANQUILLA'!GM65,"AAAAAC9fcqg=")</f>
        <v>#VALUE!</v>
      </c>
      <c r="FN57" t="e">
        <f>AND('SPR BARRANQUILLA'!GN65,"AAAAAC9fcqk=")</f>
        <v>#VALUE!</v>
      </c>
      <c r="FO57" t="e">
        <f>AND('SPR BARRANQUILLA'!GO65,"AAAAAC9fcqo=")</f>
        <v>#VALUE!</v>
      </c>
      <c r="FP57" t="e">
        <f>AND('SPR BARRANQUILLA'!GP65,"AAAAAC9fcqs=")</f>
        <v>#VALUE!</v>
      </c>
      <c r="FQ57" t="e">
        <f>AND('SPR BARRANQUILLA'!GQ65,"AAAAAC9fcqw=")</f>
        <v>#VALUE!</v>
      </c>
      <c r="FR57" t="e">
        <f>AND('SPR BARRANQUILLA'!GR65,"AAAAAC9fcq0=")</f>
        <v>#VALUE!</v>
      </c>
      <c r="FS57" t="e">
        <f>AND('SPR BARRANQUILLA'!GS65,"AAAAAC9fcq4=")</f>
        <v>#VALUE!</v>
      </c>
      <c r="FT57" t="e">
        <f>AND('SPR BARRANQUILLA'!GT65,"AAAAAC9fcq8=")</f>
        <v>#VALUE!</v>
      </c>
      <c r="FU57" t="e">
        <f>AND('SPR BARRANQUILLA'!GU65,"AAAAAC9fcrA=")</f>
        <v>#VALUE!</v>
      </c>
      <c r="FV57" t="e">
        <f>AND('SPR BARRANQUILLA'!GV65,"AAAAAC9fcrE=")</f>
        <v>#VALUE!</v>
      </c>
      <c r="FW57" t="e">
        <f>AND('SPR BARRANQUILLA'!GW65,"AAAAAC9fcrI=")</f>
        <v>#VALUE!</v>
      </c>
      <c r="FX57" t="e">
        <f>AND('SPR BARRANQUILLA'!GX65,"AAAAAC9fcrM=")</f>
        <v>#VALUE!</v>
      </c>
      <c r="FY57" t="e">
        <f>AND('SPR BARRANQUILLA'!GY65,"AAAAAC9fcrQ=")</f>
        <v>#VALUE!</v>
      </c>
      <c r="FZ57">
        <f>IF('SPR BARRANQUILLA'!66:66,"AAAAAC9fcrU=",0)</f>
        <v>0</v>
      </c>
      <c r="GA57" t="e">
        <f>AND('SPR BARRANQUILLA'!A66,"AAAAAC9fcrY=")</f>
        <v>#VALUE!</v>
      </c>
      <c r="GB57" t="e">
        <f>AND('SPR BARRANQUILLA'!B66,"AAAAAC9fcrc=")</f>
        <v>#VALUE!</v>
      </c>
      <c r="GC57" t="e">
        <f>AND('SPR BARRANQUILLA'!C66,"AAAAAC9fcrg=")</f>
        <v>#VALUE!</v>
      </c>
      <c r="GD57" t="e">
        <f>AND('SPR BARRANQUILLA'!D66,"AAAAAC9fcrk=")</f>
        <v>#VALUE!</v>
      </c>
      <c r="GE57" t="e">
        <f>AND('SPR BARRANQUILLA'!E66,"AAAAAC9fcro=")</f>
        <v>#VALUE!</v>
      </c>
      <c r="GF57" t="e">
        <f>AND('SPR BARRANQUILLA'!F66,"AAAAAC9fcrs=")</f>
        <v>#VALUE!</v>
      </c>
      <c r="GG57" t="e">
        <f>AND('SPR BARRANQUILLA'!G66,"AAAAAC9fcrw=")</f>
        <v>#VALUE!</v>
      </c>
      <c r="GH57" t="e">
        <f>AND('SPR BARRANQUILLA'!H66,"AAAAAC9fcr0=")</f>
        <v>#VALUE!</v>
      </c>
      <c r="GI57" t="e">
        <f>AND('SPR BARRANQUILLA'!I66,"AAAAAC9fcr4=")</f>
        <v>#VALUE!</v>
      </c>
      <c r="GJ57" t="e">
        <f>AND('SPR BARRANQUILLA'!J66,"AAAAAC9fcr8=")</f>
        <v>#VALUE!</v>
      </c>
      <c r="GK57" t="e">
        <f>AND('SPR BARRANQUILLA'!K66,"AAAAAC9fcsA=")</f>
        <v>#VALUE!</v>
      </c>
      <c r="GL57" t="e">
        <f>AND('SPR BARRANQUILLA'!L66,"AAAAAC9fcsE=")</f>
        <v>#VALUE!</v>
      </c>
      <c r="GM57" t="e">
        <f>AND('SPR BARRANQUILLA'!M66,"AAAAAC9fcsI=")</f>
        <v>#VALUE!</v>
      </c>
      <c r="GN57" t="e">
        <f>AND('SPR BARRANQUILLA'!N66,"AAAAAC9fcsM=")</f>
        <v>#VALUE!</v>
      </c>
      <c r="GO57" t="e">
        <f>AND('SPR BARRANQUILLA'!O66,"AAAAAC9fcsQ=")</f>
        <v>#VALUE!</v>
      </c>
      <c r="GP57" t="e">
        <f>AND('SPR BARRANQUILLA'!P66,"AAAAAC9fcsU=")</f>
        <v>#VALUE!</v>
      </c>
      <c r="GQ57" t="e">
        <f>AND('SPR BARRANQUILLA'!Q66,"AAAAAC9fcsY=")</f>
        <v>#VALUE!</v>
      </c>
      <c r="GR57" t="e">
        <f>AND('SPR BARRANQUILLA'!R66,"AAAAAC9fcsc=")</f>
        <v>#VALUE!</v>
      </c>
      <c r="GS57" t="e">
        <f>AND('SPR BARRANQUILLA'!S66,"AAAAAC9fcsg=")</f>
        <v>#VALUE!</v>
      </c>
      <c r="GT57" t="e">
        <f>AND('SPR BARRANQUILLA'!T66,"AAAAAC9fcsk=")</f>
        <v>#VALUE!</v>
      </c>
      <c r="GU57" t="e">
        <f>AND('SPR BARRANQUILLA'!U66,"AAAAAC9fcso=")</f>
        <v>#VALUE!</v>
      </c>
      <c r="GV57" t="e">
        <f>AND('SPR BARRANQUILLA'!V66,"AAAAAC9fcss=")</f>
        <v>#VALUE!</v>
      </c>
      <c r="GW57" t="e">
        <f>AND('SPR BARRANQUILLA'!W66,"AAAAAC9fcsw=")</f>
        <v>#VALUE!</v>
      </c>
      <c r="GX57" t="e">
        <f>AND('SPR BARRANQUILLA'!X66,"AAAAAC9fcs0=")</f>
        <v>#VALUE!</v>
      </c>
      <c r="GY57" t="e">
        <f>AND('SPR BARRANQUILLA'!Y66,"AAAAAC9fcs4=")</f>
        <v>#VALUE!</v>
      </c>
      <c r="GZ57" t="e">
        <f>AND('SPR BARRANQUILLA'!Z66,"AAAAAC9fcs8=")</f>
        <v>#VALUE!</v>
      </c>
      <c r="HA57" t="e">
        <f>AND('SPR BARRANQUILLA'!AA66,"AAAAAC9fctA=")</f>
        <v>#VALUE!</v>
      </c>
      <c r="HB57" t="e">
        <f>AND('SPR BARRANQUILLA'!AB66,"AAAAAC9fctE=")</f>
        <v>#VALUE!</v>
      </c>
      <c r="HC57" t="e">
        <f>AND('SPR BARRANQUILLA'!AC66,"AAAAAC9fctI=")</f>
        <v>#VALUE!</v>
      </c>
      <c r="HD57" t="e">
        <f>AND('SPR BARRANQUILLA'!AD66,"AAAAAC9fctM=")</f>
        <v>#VALUE!</v>
      </c>
      <c r="HE57" t="e">
        <f>AND('SPR BARRANQUILLA'!AE66,"AAAAAC9fctQ=")</f>
        <v>#VALUE!</v>
      </c>
      <c r="HF57" t="e">
        <f>AND('SPR BARRANQUILLA'!AF66,"AAAAAC9fctU=")</f>
        <v>#VALUE!</v>
      </c>
      <c r="HG57" t="e">
        <f>AND('SPR BARRANQUILLA'!AG66,"AAAAAC9fctY=")</f>
        <v>#VALUE!</v>
      </c>
      <c r="HH57" t="e">
        <f>AND('SPR BARRANQUILLA'!AH66,"AAAAAC9fctc=")</f>
        <v>#VALUE!</v>
      </c>
      <c r="HI57" t="e">
        <f>AND('SPR BARRANQUILLA'!AI66,"AAAAAC9fctg=")</f>
        <v>#VALUE!</v>
      </c>
      <c r="HJ57" t="e">
        <f>AND('SPR BARRANQUILLA'!AJ66,"AAAAAC9fctk=")</f>
        <v>#VALUE!</v>
      </c>
      <c r="HK57" t="e">
        <f>AND('SPR BARRANQUILLA'!AK66,"AAAAAC9fcto=")</f>
        <v>#VALUE!</v>
      </c>
      <c r="HL57" t="e">
        <f>AND('SPR BARRANQUILLA'!AL66,"AAAAAC9fcts=")</f>
        <v>#VALUE!</v>
      </c>
      <c r="HM57" t="e">
        <f>AND('SPR BARRANQUILLA'!AM66,"AAAAAC9fctw=")</f>
        <v>#VALUE!</v>
      </c>
      <c r="HN57" t="e">
        <f>AND('SPR BARRANQUILLA'!AN66,"AAAAAC9fct0=")</f>
        <v>#VALUE!</v>
      </c>
      <c r="HO57" t="e">
        <f>AND('SPR BARRANQUILLA'!AO66,"AAAAAC9fct4=")</f>
        <v>#VALUE!</v>
      </c>
      <c r="HP57" t="e">
        <f>AND('SPR BARRANQUILLA'!AP66,"AAAAAC9fct8=")</f>
        <v>#VALUE!</v>
      </c>
      <c r="HQ57" t="e">
        <f>AND('SPR BARRANQUILLA'!AQ66,"AAAAAC9fcuA=")</f>
        <v>#VALUE!</v>
      </c>
      <c r="HR57" t="e">
        <f>AND('SPR BARRANQUILLA'!AR66,"AAAAAC9fcuE=")</f>
        <v>#VALUE!</v>
      </c>
      <c r="HS57" t="e">
        <f>AND('SPR BARRANQUILLA'!AS66,"AAAAAC9fcuI=")</f>
        <v>#VALUE!</v>
      </c>
      <c r="HT57" t="e">
        <f>AND('SPR BARRANQUILLA'!AT66,"AAAAAC9fcuM=")</f>
        <v>#VALUE!</v>
      </c>
      <c r="HU57" t="e">
        <f>AND('SPR BARRANQUILLA'!AU66,"AAAAAC9fcuQ=")</f>
        <v>#VALUE!</v>
      </c>
      <c r="HV57" t="e">
        <f>AND('SPR BARRANQUILLA'!AV66,"AAAAAC9fcuU=")</f>
        <v>#VALUE!</v>
      </c>
      <c r="HW57" t="e">
        <f>AND('SPR BARRANQUILLA'!AW66,"AAAAAC9fcuY=")</f>
        <v>#VALUE!</v>
      </c>
      <c r="HX57" t="e">
        <f>AND('SPR BARRANQUILLA'!AX66,"AAAAAC9fcuc=")</f>
        <v>#VALUE!</v>
      </c>
      <c r="HY57" t="e">
        <f>AND('SPR BARRANQUILLA'!AY66,"AAAAAC9fcug=")</f>
        <v>#VALUE!</v>
      </c>
      <c r="HZ57" t="e">
        <f>AND('SPR BARRANQUILLA'!AZ66,"AAAAAC9fcuk=")</f>
        <v>#VALUE!</v>
      </c>
      <c r="IA57" t="e">
        <f>AND('SPR BARRANQUILLA'!BA66,"AAAAAC9fcuo=")</f>
        <v>#VALUE!</v>
      </c>
      <c r="IB57" t="e">
        <f>AND('SPR BARRANQUILLA'!BB66,"AAAAAC9fcus=")</f>
        <v>#VALUE!</v>
      </c>
      <c r="IC57" t="e">
        <f>AND('SPR BARRANQUILLA'!BC66,"AAAAAC9fcuw=")</f>
        <v>#VALUE!</v>
      </c>
      <c r="ID57" t="e">
        <f>AND('SPR BARRANQUILLA'!BD66,"AAAAAC9fcu0=")</f>
        <v>#VALUE!</v>
      </c>
      <c r="IE57" t="e">
        <f>AND('SPR BARRANQUILLA'!BE66,"AAAAAC9fcu4=")</f>
        <v>#VALUE!</v>
      </c>
      <c r="IF57" t="e">
        <f>AND('SPR BARRANQUILLA'!BF66,"AAAAAC9fcu8=")</f>
        <v>#VALUE!</v>
      </c>
      <c r="IG57" t="e">
        <f>AND('SPR BARRANQUILLA'!BG66,"AAAAAC9fcvA=")</f>
        <v>#VALUE!</v>
      </c>
      <c r="IH57" t="e">
        <f>AND('SPR BARRANQUILLA'!BH66,"AAAAAC9fcvE=")</f>
        <v>#VALUE!</v>
      </c>
      <c r="II57" t="e">
        <f>AND('SPR BARRANQUILLA'!BI66,"AAAAAC9fcvI=")</f>
        <v>#VALUE!</v>
      </c>
      <c r="IJ57" t="e">
        <f>AND('SPR BARRANQUILLA'!BJ66,"AAAAAC9fcvM=")</f>
        <v>#VALUE!</v>
      </c>
      <c r="IK57" t="e">
        <f>AND('SPR BARRANQUILLA'!BK66,"AAAAAC9fcvQ=")</f>
        <v>#VALUE!</v>
      </c>
      <c r="IL57" t="e">
        <f>AND('SPR BARRANQUILLA'!BL66,"AAAAAC9fcvU=")</f>
        <v>#VALUE!</v>
      </c>
      <c r="IM57" t="e">
        <f>AND('SPR BARRANQUILLA'!BM66,"AAAAAC9fcvY=")</f>
        <v>#VALUE!</v>
      </c>
      <c r="IN57" t="e">
        <f>AND('SPR BARRANQUILLA'!BN66,"AAAAAC9fcvc=")</f>
        <v>#VALUE!</v>
      </c>
      <c r="IO57" t="e">
        <f>AND('SPR BARRANQUILLA'!BO66,"AAAAAC9fcvg=")</f>
        <v>#VALUE!</v>
      </c>
      <c r="IP57" t="e">
        <f>AND('SPR BARRANQUILLA'!BP66,"AAAAAC9fcvk=")</f>
        <v>#VALUE!</v>
      </c>
      <c r="IQ57" t="e">
        <f>AND('SPR BARRANQUILLA'!BQ66,"AAAAAC9fcvo=")</f>
        <v>#VALUE!</v>
      </c>
      <c r="IR57" t="e">
        <f>AND('SPR BARRANQUILLA'!BR66,"AAAAAC9fcvs=")</f>
        <v>#VALUE!</v>
      </c>
      <c r="IS57" t="e">
        <f>AND('SPR BARRANQUILLA'!BS66,"AAAAAC9fcvw=")</f>
        <v>#VALUE!</v>
      </c>
      <c r="IT57" t="e">
        <f>AND('SPR BARRANQUILLA'!BT66,"AAAAAC9fcv0=")</f>
        <v>#VALUE!</v>
      </c>
      <c r="IU57" t="e">
        <f>AND('SPR BARRANQUILLA'!BU66,"AAAAAC9fcv4=")</f>
        <v>#VALUE!</v>
      </c>
      <c r="IV57" t="e">
        <f>AND('SPR BARRANQUILLA'!BV66,"AAAAAC9fcv8=")</f>
        <v>#VALUE!</v>
      </c>
    </row>
    <row r="58" spans="1:256">
      <c r="A58" t="e">
        <f>AND('SPR BARRANQUILLA'!BW66,"AAAAAErjbwA=")</f>
        <v>#VALUE!</v>
      </c>
      <c r="B58" t="e">
        <f>AND('SPR BARRANQUILLA'!BX66,"AAAAAErjbwE=")</f>
        <v>#VALUE!</v>
      </c>
      <c r="C58" t="e">
        <f>AND('SPR BARRANQUILLA'!BY66,"AAAAAErjbwI=")</f>
        <v>#VALUE!</v>
      </c>
      <c r="D58" t="e">
        <f>AND('SPR BARRANQUILLA'!BZ66,"AAAAAErjbwM=")</f>
        <v>#VALUE!</v>
      </c>
      <c r="E58" t="e">
        <f>AND('SPR BARRANQUILLA'!CA66,"AAAAAErjbwQ=")</f>
        <v>#VALUE!</v>
      </c>
      <c r="F58" t="e">
        <f>AND('SPR BARRANQUILLA'!CB66,"AAAAAErjbwU=")</f>
        <v>#VALUE!</v>
      </c>
      <c r="G58" t="e">
        <f>AND('SPR BARRANQUILLA'!CC66,"AAAAAErjbwY=")</f>
        <v>#VALUE!</v>
      </c>
      <c r="H58" t="e">
        <f>AND('SPR BARRANQUILLA'!CD66,"AAAAAErjbwc=")</f>
        <v>#VALUE!</v>
      </c>
      <c r="I58" t="e">
        <f>AND('SPR BARRANQUILLA'!CE66,"AAAAAErjbwg=")</f>
        <v>#VALUE!</v>
      </c>
      <c r="J58" t="e">
        <f>AND('SPR BARRANQUILLA'!CF66,"AAAAAErjbwk=")</f>
        <v>#VALUE!</v>
      </c>
      <c r="K58" t="e">
        <f>AND('SPR BARRANQUILLA'!CG66,"AAAAAErjbwo=")</f>
        <v>#VALUE!</v>
      </c>
      <c r="L58" t="e">
        <f>AND('SPR BARRANQUILLA'!CH66,"AAAAAErjbws=")</f>
        <v>#VALUE!</v>
      </c>
      <c r="M58" t="e">
        <f>AND('SPR BARRANQUILLA'!CI66,"AAAAAErjbww=")</f>
        <v>#VALUE!</v>
      </c>
      <c r="N58" t="e">
        <f>AND('SPR BARRANQUILLA'!CJ66,"AAAAAErjbw0=")</f>
        <v>#VALUE!</v>
      </c>
      <c r="O58" t="e">
        <f>AND('SPR BARRANQUILLA'!CK66,"AAAAAErjbw4=")</f>
        <v>#VALUE!</v>
      </c>
      <c r="P58" t="e">
        <f>AND('SPR BARRANQUILLA'!CL66,"AAAAAErjbw8=")</f>
        <v>#VALUE!</v>
      </c>
      <c r="Q58" t="e">
        <f>AND('SPR BARRANQUILLA'!CM66,"AAAAAErjbxA=")</f>
        <v>#VALUE!</v>
      </c>
      <c r="R58" t="e">
        <f>AND('SPR BARRANQUILLA'!CN66,"AAAAAErjbxE=")</f>
        <v>#VALUE!</v>
      </c>
      <c r="S58" t="e">
        <f>AND('SPR BARRANQUILLA'!CO66,"AAAAAErjbxI=")</f>
        <v>#VALUE!</v>
      </c>
      <c r="T58" t="e">
        <f>AND('SPR BARRANQUILLA'!CP66,"AAAAAErjbxM=")</f>
        <v>#VALUE!</v>
      </c>
      <c r="U58" t="e">
        <f>AND('SPR BARRANQUILLA'!CQ66,"AAAAAErjbxQ=")</f>
        <v>#VALUE!</v>
      </c>
      <c r="V58" t="e">
        <f>AND('SPR BARRANQUILLA'!CR66,"AAAAAErjbxU=")</f>
        <v>#VALUE!</v>
      </c>
      <c r="W58" t="e">
        <f>AND('SPR BARRANQUILLA'!CS66,"AAAAAErjbxY=")</f>
        <v>#VALUE!</v>
      </c>
      <c r="X58" t="e">
        <f>AND('SPR BARRANQUILLA'!CT66,"AAAAAErjbxc=")</f>
        <v>#VALUE!</v>
      </c>
      <c r="Y58" t="e">
        <f>AND('SPR BARRANQUILLA'!CU66,"AAAAAErjbxg=")</f>
        <v>#VALUE!</v>
      </c>
      <c r="Z58" t="e">
        <f>AND('SPR BARRANQUILLA'!CV66,"AAAAAErjbxk=")</f>
        <v>#VALUE!</v>
      </c>
      <c r="AA58" t="e">
        <f>AND('SPR BARRANQUILLA'!CW66,"AAAAAErjbxo=")</f>
        <v>#VALUE!</v>
      </c>
      <c r="AB58" t="e">
        <f>AND('SPR BARRANQUILLA'!CX66,"AAAAAErjbxs=")</f>
        <v>#VALUE!</v>
      </c>
      <c r="AC58" t="e">
        <f>AND('SPR BARRANQUILLA'!CY66,"AAAAAErjbxw=")</f>
        <v>#VALUE!</v>
      </c>
      <c r="AD58" t="e">
        <f>AND('SPR BARRANQUILLA'!CZ66,"AAAAAErjbx0=")</f>
        <v>#VALUE!</v>
      </c>
      <c r="AE58" t="e">
        <f>AND('SPR BARRANQUILLA'!DA66,"AAAAAErjbx4=")</f>
        <v>#VALUE!</v>
      </c>
      <c r="AF58" t="e">
        <f>AND('SPR BARRANQUILLA'!DB66,"AAAAAErjbx8=")</f>
        <v>#VALUE!</v>
      </c>
      <c r="AG58" t="e">
        <f>AND('SPR BARRANQUILLA'!DC66,"AAAAAErjbyA=")</f>
        <v>#VALUE!</v>
      </c>
      <c r="AH58" t="e">
        <f>AND('SPR BARRANQUILLA'!DD66,"AAAAAErjbyE=")</f>
        <v>#VALUE!</v>
      </c>
      <c r="AI58" t="e">
        <f>AND('SPR BARRANQUILLA'!DE66,"AAAAAErjbyI=")</f>
        <v>#VALUE!</v>
      </c>
      <c r="AJ58" t="e">
        <f>AND('SPR BARRANQUILLA'!DF66,"AAAAAErjbyM=")</f>
        <v>#VALUE!</v>
      </c>
      <c r="AK58" t="e">
        <f>AND('SPR BARRANQUILLA'!DG66,"AAAAAErjbyQ=")</f>
        <v>#VALUE!</v>
      </c>
      <c r="AL58" t="e">
        <f>AND('SPR BARRANQUILLA'!DH66,"AAAAAErjbyU=")</f>
        <v>#VALUE!</v>
      </c>
      <c r="AM58" t="e">
        <f>AND('SPR BARRANQUILLA'!DI66,"AAAAAErjbyY=")</f>
        <v>#VALUE!</v>
      </c>
      <c r="AN58" t="e">
        <f>AND('SPR BARRANQUILLA'!DJ66,"AAAAAErjbyc=")</f>
        <v>#VALUE!</v>
      </c>
      <c r="AO58" t="e">
        <f>AND('SPR BARRANQUILLA'!DK66,"AAAAAErjbyg=")</f>
        <v>#VALUE!</v>
      </c>
      <c r="AP58" t="e">
        <f>AND('SPR BARRANQUILLA'!DL66,"AAAAAErjbyk=")</f>
        <v>#VALUE!</v>
      </c>
      <c r="AQ58" t="e">
        <f>AND('SPR BARRANQUILLA'!DM66,"AAAAAErjbyo=")</f>
        <v>#VALUE!</v>
      </c>
      <c r="AR58" t="e">
        <f>AND('SPR BARRANQUILLA'!DN66,"AAAAAErjbys=")</f>
        <v>#VALUE!</v>
      </c>
      <c r="AS58" t="e">
        <f>AND('SPR BARRANQUILLA'!DO66,"AAAAAErjbyw=")</f>
        <v>#VALUE!</v>
      </c>
      <c r="AT58" t="e">
        <f>AND('SPR BARRANQUILLA'!DP66,"AAAAAErjby0=")</f>
        <v>#VALUE!</v>
      </c>
      <c r="AU58" t="e">
        <f>AND('SPR BARRANQUILLA'!DQ66,"AAAAAErjby4=")</f>
        <v>#VALUE!</v>
      </c>
      <c r="AV58" t="e">
        <f>AND('SPR BARRANQUILLA'!DR66,"AAAAAErjby8=")</f>
        <v>#VALUE!</v>
      </c>
      <c r="AW58" t="e">
        <f>AND('SPR BARRANQUILLA'!DS66,"AAAAAErjbzA=")</f>
        <v>#VALUE!</v>
      </c>
      <c r="AX58" t="e">
        <f>AND('SPR BARRANQUILLA'!DT66,"AAAAAErjbzE=")</f>
        <v>#VALUE!</v>
      </c>
      <c r="AY58" t="e">
        <f>AND('SPR BARRANQUILLA'!DU66,"AAAAAErjbzI=")</f>
        <v>#VALUE!</v>
      </c>
      <c r="AZ58" t="e">
        <f>AND('SPR BARRANQUILLA'!DV66,"AAAAAErjbzM=")</f>
        <v>#VALUE!</v>
      </c>
      <c r="BA58" t="e">
        <f>AND('SPR BARRANQUILLA'!DW66,"AAAAAErjbzQ=")</f>
        <v>#VALUE!</v>
      </c>
      <c r="BB58" t="e">
        <f>AND('SPR BARRANQUILLA'!DX66,"AAAAAErjbzU=")</f>
        <v>#VALUE!</v>
      </c>
      <c r="BC58" t="e">
        <f>AND('SPR BARRANQUILLA'!DY66,"AAAAAErjbzY=")</f>
        <v>#VALUE!</v>
      </c>
      <c r="BD58" t="e">
        <f>AND('SPR BARRANQUILLA'!DZ66,"AAAAAErjbzc=")</f>
        <v>#VALUE!</v>
      </c>
      <c r="BE58" t="e">
        <f>AND('SPR BARRANQUILLA'!EA66,"AAAAAErjbzg=")</f>
        <v>#VALUE!</v>
      </c>
      <c r="BF58" t="e">
        <f>AND('SPR BARRANQUILLA'!EB66,"AAAAAErjbzk=")</f>
        <v>#VALUE!</v>
      </c>
      <c r="BG58" t="e">
        <f>AND('SPR BARRANQUILLA'!EC66,"AAAAAErjbzo=")</f>
        <v>#VALUE!</v>
      </c>
      <c r="BH58" t="e">
        <f>AND('SPR BARRANQUILLA'!ED66,"AAAAAErjbzs=")</f>
        <v>#VALUE!</v>
      </c>
      <c r="BI58" t="e">
        <f>AND('SPR BARRANQUILLA'!EE66,"AAAAAErjbzw=")</f>
        <v>#VALUE!</v>
      </c>
      <c r="BJ58" t="e">
        <f>AND('SPR BARRANQUILLA'!EF66,"AAAAAErjbz0=")</f>
        <v>#VALUE!</v>
      </c>
      <c r="BK58" t="e">
        <f>AND('SPR BARRANQUILLA'!EG66,"AAAAAErjbz4=")</f>
        <v>#VALUE!</v>
      </c>
      <c r="BL58" t="e">
        <f>AND('SPR BARRANQUILLA'!EH66,"AAAAAErjbz8=")</f>
        <v>#VALUE!</v>
      </c>
      <c r="BM58" t="e">
        <f>AND('SPR BARRANQUILLA'!EI66,"AAAAAErjb0A=")</f>
        <v>#VALUE!</v>
      </c>
      <c r="BN58" t="e">
        <f>AND('SPR BARRANQUILLA'!EJ66,"AAAAAErjb0E=")</f>
        <v>#VALUE!</v>
      </c>
      <c r="BO58" t="e">
        <f>AND('SPR BARRANQUILLA'!EK66,"AAAAAErjb0I=")</f>
        <v>#VALUE!</v>
      </c>
      <c r="BP58" t="e">
        <f>AND('SPR BARRANQUILLA'!EL66,"AAAAAErjb0M=")</f>
        <v>#VALUE!</v>
      </c>
      <c r="BQ58" t="e">
        <f>AND('SPR BARRANQUILLA'!EM66,"AAAAAErjb0Q=")</f>
        <v>#VALUE!</v>
      </c>
      <c r="BR58" t="e">
        <f>AND('SPR BARRANQUILLA'!EN66,"AAAAAErjb0U=")</f>
        <v>#VALUE!</v>
      </c>
      <c r="BS58" t="e">
        <f>AND('SPR BARRANQUILLA'!EO66,"AAAAAErjb0Y=")</f>
        <v>#VALUE!</v>
      </c>
      <c r="BT58" t="e">
        <f>AND('SPR BARRANQUILLA'!EP66,"AAAAAErjb0c=")</f>
        <v>#VALUE!</v>
      </c>
      <c r="BU58" t="e">
        <f>AND('SPR BARRANQUILLA'!EQ66,"AAAAAErjb0g=")</f>
        <v>#VALUE!</v>
      </c>
      <c r="BV58" t="e">
        <f>AND('SPR BARRANQUILLA'!ER66,"AAAAAErjb0k=")</f>
        <v>#VALUE!</v>
      </c>
      <c r="BW58" t="e">
        <f>AND('SPR BARRANQUILLA'!ES66,"AAAAAErjb0o=")</f>
        <v>#VALUE!</v>
      </c>
      <c r="BX58" t="e">
        <f>AND('SPR BARRANQUILLA'!ET66,"AAAAAErjb0s=")</f>
        <v>#VALUE!</v>
      </c>
      <c r="BY58" t="e">
        <f>AND('SPR BARRANQUILLA'!EU66,"AAAAAErjb0w=")</f>
        <v>#VALUE!</v>
      </c>
      <c r="BZ58" t="e">
        <f>AND('SPR BARRANQUILLA'!EV66,"AAAAAErjb00=")</f>
        <v>#VALUE!</v>
      </c>
      <c r="CA58" t="e">
        <f>AND('SPR BARRANQUILLA'!EW66,"AAAAAErjb04=")</f>
        <v>#VALUE!</v>
      </c>
      <c r="CB58" t="e">
        <f>AND('SPR BARRANQUILLA'!EX66,"AAAAAErjb08=")</f>
        <v>#VALUE!</v>
      </c>
      <c r="CC58" t="e">
        <f>AND('SPR BARRANQUILLA'!EY66,"AAAAAErjb1A=")</f>
        <v>#VALUE!</v>
      </c>
      <c r="CD58" t="e">
        <f>AND('SPR BARRANQUILLA'!EZ66,"AAAAAErjb1E=")</f>
        <v>#VALUE!</v>
      </c>
      <c r="CE58" t="e">
        <f>AND('SPR BARRANQUILLA'!FA66,"AAAAAErjb1I=")</f>
        <v>#VALUE!</v>
      </c>
      <c r="CF58" t="e">
        <f>AND('SPR BARRANQUILLA'!FB66,"AAAAAErjb1M=")</f>
        <v>#VALUE!</v>
      </c>
      <c r="CG58" t="e">
        <f>AND('SPR BARRANQUILLA'!FC66,"AAAAAErjb1Q=")</f>
        <v>#VALUE!</v>
      </c>
      <c r="CH58" t="e">
        <f>AND('SPR BARRANQUILLA'!FD66,"AAAAAErjb1U=")</f>
        <v>#VALUE!</v>
      </c>
      <c r="CI58" t="e">
        <f>AND('SPR BARRANQUILLA'!FE66,"AAAAAErjb1Y=")</f>
        <v>#VALUE!</v>
      </c>
      <c r="CJ58" t="e">
        <f>AND('SPR BARRANQUILLA'!FF66,"AAAAAErjb1c=")</f>
        <v>#VALUE!</v>
      </c>
      <c r="CK58" t="e">
        <f>AND('SPR BARRANQUILLA'!FG66,"AAAAAErjb1g=")</f>
        <v>#VALUE!</v>
      </c>
      <c r="CL58" t="e">
        <f>AND('SPR BARRANQUILLA'!FH66,"AAAAAErjb1k=")</f>
        <v>#VALUE!</v>
      </c>
      <c r="CM58" t="e">
        <f>AND('SPR BARRANQUILLA'!FI66,"AAAAAErjb1o=")</f>
        <v>#VALUE!</v>
      </c>
      <c r="CN58" t="e">
        <f>AND('SPR BARRANQUILLA'!FJ66,"AAAAAErjb1s=")</f>
        <v>#VALUE!</v>
      </c>
      <c r="CO58" t="e">
        <f>AND('SPR BARRANQUILLA'!FK66,"AAAAAErjb1w=")</f>
        <v>#VALUE!</v>
      </c>
      <c r="CP58" t="e">
        <f>AND('SPR BARRANQUILLA'!FL66,"AAAAAErjb10=")</f>
        <v>#VALUE!</v>
      </c>
      <c r="CQ58" t="e">
        <f>AND('SPR BARRANQUILLA'!FM66,"AAAAAErjb14=")</f>
        <v>#VALUE!</v>
      </c>
      <c r="CR58" t="e">
        <f>AND('SPR BARRANQUILLA'!FN66,"AAAAAErjb18=")</f>
        <v>#VALUE!</v>
      </c>
      <c r="CS58" t="e">
        <f>AND('SPR BARRANQUILLA'!FO66,"AAAAAErjb2A=")</f>
        <v>#VALUE!</v>
      </c>
      <c r="CT58" t="e">
        <f>AND('SPR BARRANQUILLA'!FP66,"AAAAAErjb2E=")</f>
        <v>#VALUE!</v>
      </c>
      <c r="CU58" t="e">
        <f>AND('SPR BARRANQUILLA'!FQ66,"AAAAAErjb2I=")</f>
        <v>#VALUE!</v>
      </c>
      <c r="CV58" t="e">
        <f>AND('SPR BARRANQUILLA'!FR66,"AAAAAErjb2M=")</f>
        <v>#VALUE!</v>
      </c>
      <c r="CW58" t="e">
        <f>AND('SPR BARRANQUILLA'!FS66,"AAAAAErjb2Q=")</f>
        <v>#VALUE!</v>
      </c>
      <c r="CX58" t="e">
        <f>AND('SPR BARRANQUILLA'!FT66,"AAAAAErjb2U=")</f>
        <v>#VALUE!</v>
      </c>
      <c r="CY58" t="e">
        <f>AND('SPR BARRANQUILLA'!FU66,"AAAAAErjb2Y=")</f>
        <v>#VALUE!</v>
      </c>
      <c r="CZ58" t="e">
        <f>AND('SPR BARRANQUILLA'!FV66,"AAAAAErjb2c=")</f>
        <v>#VALUE!</v>
      </c>
      <c r="DA58" t="e">
        <f>AND('SPR BARRANQUILLA'!FW66,"AAAAAErjb2g=")</f>
        <v>#VALUE!</v>
      </c>
      <c r="DB58" t="e">
        <f>AND('SPR BARRANQUILLA'!FX66,"AAAAAErjb2k=")</f>
        <v>#VALUE!</v>
      </c>
      <c r="DC58" t="e">
        <f>AND('SPR BARRANQUILLA'!FY66,"AAAAAErjb2o=")</f>
        <v>#VALUE!</v>
      </c>
      <c r="DD58" t="e">
        <f>AND('SPR BARRANQUILLA'!FZ66,"AAAAAErjb2s=")</f>
        <v>#VALUE!</v>
      </c>
      <c r="DE58" t="e">
        <f>AND('SPR BARRANQUILLA'!GA66,"AAAAAErjb2w=")</f>
        <v>#VALUE!</v>
      </c>
      <c r="DF58" t="e">
        <f>AND('SPR BARRANQUILLA'!GB66,"AAAAAErjb20=")</f>
        <v>#VALUE!</v>
      </c>
      <c r="DG58" t="e">
        <f>AND('SPR BARRANQUILLA'!GC66,"AAAAAErjb24=")</f>
        <v>#VALUE!</v>
      </c>
      <c r="DH58" t="e">
        <f>AND('SPR BARRANQUILLA'!GD66,"AAAAAErjb28=")</f>
        <v>#VALUE!</v>
      </c>
      <c r="DI58" t="e">
        <f>AND('SPR BARRANQUILLA'!GE66,"AAAAAErjb3A=")</f>
        <v>#VALUE!</v>
      </c>
      <c r="DJ58" t="e">
        <f>AND('SPR BARRANQUILLA'!GF66,"AAAAAErjb3E=")</f>
        <v>#VALUE!</v>
      </c>
      <c r="DK58" t="e">
        <f>AND('SPR BARRANQUILLA'!GG66,"AAAAAErjb3I=")</f>
        <v>#VALUE!</v>
      </c>
      <c r="DL58" t="e">
        <f>AND('SPR BARRANQUILLA'!GH66,"AAAAAErjb3M=")</f>
        <v>#VALUE!</v>
      </c>
      <c r="DM58" t="e">
        <f>AND('SPR BARRANQUILLA'!GI66,"AAAAAErjb3Q=")</f>
        <v>#VALUE!</v>
      </c>
      <c r="DN58" t="e">
        <f>AND('SPR BARRANQUILLA'!GJ66,"AAAAAErjb3U=")</f>
        <v>#VALUE!</v>
      </c>
      <c r="DO58" t="e">
        <f>AND('SPR BARRANQUILLA'!GK66,"AAAAAErjb3Y=")</f>
        <v>#VALUE!</v>
      </c>
      <c r="DP58" t="e">
        <f>AND('SPR BARRANQUILLA'!GL66,"AAAAAErjb3c=")</f>
        <v>#VALUE!</v>
      </c>
      <c r="DQ58" t="e">
        <f>AND('SPR BARRANQUILLA'!GM66,"AAAAAErjb3g=")</f>
        <v>#VALUE!</v>
      </c>
      <c r="DR58" t="e">
        <f>AND('SPR BARRANQUILLA'!GN66,"AAAAAErjb3k=")</f>
        <v>#VALUE!</v>
      </c>
      <c r="DS58" t="e">
        <f>AND('SPR BARRANQUILLA'!GO66,"AAAAAErjb3o=")</f>
        <v>#VALUE!</v>
      </c>
      <c r="DT58" t="e">
        <f>AND('SPR BARRANQUILLA'!GP66,"AAAAAErjb3s=")</f>
        <v>#VALUE!</v>
      </c>
      <c r="DU58" t="e">
        <f>AND('SPR BARRANQUILLA'!GQ66,"AAAAAErjb3w=")</f>
        <v>#VALUE!</v>
      </c>
      <c r="DV58" t="e">
        <f>AND('SPR BARRANQUILLA'!GR66,"AAAAAErjb30=")</f>
        <v>#VALUE!</v>
      </c>
      <c r="DW58" t="e">
        <f>AND('SPR BARRANQUILLA'!GS66,"AAAAAErjb34=")</f>
        <v>#VALUE!</v>
      </c>
      <c r="DX58" t="e">
        <f>AND('SPR BARRANQUILLA'!GT66,"AAAAAErjb38=")</f>
        <v>#VALUE!</v>
      </c>
      <c r="DY58" t="e">
        <f>AND('SPR BARRANQUILLA'!GU66,"AAAAAErjb4A=")</f>
        <v>#VALUE!</v>
      </c>
      <c r="DZ58" t="e">
        <f>AND('SPR BARRANQUILLA'!GV66,"AAAAAErjb4E=")</f>
        <v>#VALUE!</v>
      </c>
      <c r="EA58" t="e">
        <f>AND('SPR BARRANQUILLA'!GW66,"AAAAAErjb4I=")</f>
        <v>#VALUE!</v>
      </c>
      <c r="EB58" t="e">
        <f>AND('SPR BARRANQUILLA'!GX66,"AAAAAErjb4M=")</f>
        <v>#VALUE!</v>
      </c>
      <c r="EC58" t="e">
        <f>AND('SPR BARRANQUILLA'!GY66,"AAAAAErjb4Q=")</f>
        <v>#VALUE!</v>
      </c>
      <c r="ED58">
        <f>IF('SPR BARRANQUILLA'!67:67,"AAAAAErjb4U=",0)</f>
        <v>0</v>
      </c>
      <c r="EE58" t="e">
        <f>AND('SPR BARRANQUILLA'!A67,"AAAAAErjb4Y=")</f>
        <v>#VALUE!</v>
      </c>
      <c r="EF58" t="e">
        <f>AND('SPR BARRANQUILLA'!B67,"AAAAAErjb4c=")</f>
        <v>#VALUE!</v>
      </c>
      <c r="EG58" t="e">
        <f>AND('SPR BARRANQUILLA'!C67,"AAAAAErjb4g=")</f>
        <v>#VALUE!</v>
      </c>
      <c r="EH58" t="e">
        <f>AND('SPR BARRANQUILLA'!D67,"AAAAAErjb4k=")</f>
        <v>#VALUE!</v>
      </c>
      <c r="EI58" t="e">
        <f>AND('SPR BARRANQUILLA'!E67,"AAAAAErjb4o=")</f>
        <v>#VALUE!</v>
      </c>
      <c r="EJ58" t="e">
        <f>AND('SPR BARRANQUILLA'!F67,"AAAAAErjb4s=")</f>
        <v>#VALUE!</v>
      </c>
      <c r="EK58" t="e">
        <f>AND('SPR BARRANQUILLA'!G67,"AAAAAErjb4w=")</f>
        <v>#VALUE!</v>
      </c>
      <c r="EL58" t="e">
        <f>AND('SPR BARRANQUILLA'!H67,"AAAAAErjb40=")</f>
        <v>#VALUE!</v>
      </c>
      <c r="EM58" t="e">
        <f>AND('SPR BARRANQUILLA'!I67,"AAAAAErjb44=")</f>
        <v>#VALUE!</v>
      </c>
      <c r="EN58" t="e">
        <f>AND('SPR BARRANQUILLA'!J67,"AAAAAErjb48=")</f>
        <v>#VALUE!</v>
      </c>
      <c r="EO58" t="e">
        <f>AND('SPR BARRANQUILLA'!K67,"AAAAAErjb5A=")</f>
        <v>#VALUE!</v>
      </c>
      <c r="EP58" t="e">
        <f>AND('SPR BARRANQUILLA'!L67,"AAAAAErjb5E=")</f>
        <v>#VALUE!</v>
      </c>
      <c r="EQ58" t="e">
        <f>AND('SPR BARRANQUILLA'!M67,"AAAAAErjb5I=")</f>
        <v>#VALUE!</v>
      </c>
      <c r="ER58" t="e">
        <f>AND('SPR BARRANQUILLA'!N67,"AAAAAErjb5M=")</f>
        <v>#VALUE!</v>
      </c>
      <c r="ES58" t="e">
        <f>AND('SPR BARRANQUILLA'!O67,"AAAAAErjb5Q=")</f>
        <v>#VALUE!</v>
      </c>
      <c r="ET58" t="e">
        <f>AND('SPR BARRANQUILLA'!P67,"AAAAAErjb5U=")</f>
        <v>#VALUE!</v>
      </c>
      <c r="EU58" t="e">
        <f>AND('SPR BARRANQUILLA'!Q67,"AAAAAErjb5Y=")</f>
        <v>#VALUE!</v>
      </c>
      <c r="EV58" t="e">
        <f>AND('SPR BARRANQUILLA'!R67,"AAAAAErjb5c=")</f>
        <v>#VALUE!</v>
      </c>
      <c r="EW58" t="e">
        <f>AND('SPR BARRANQUILLA'!S67,"AAAAAErjb5g=")</f>
        <v>#VALUE!</v>
      </c>
      <c r="EX58" t="e">
        <f>AND('SPR BARRANQUILLA'!T67,"AAAAAErjb5k=")</f>
        <v>#VALUE!</v>
      </c>
      <c r="EY58" t="e">
        <f>AND('SPR BARRANQUILLA'!U67,"AAAAAErjb5o=")</f>
        <v>#VALUE!</v>
      </c>
      <c r="EZ58" t="e">
        <f>AND('SPR BARRANQUILLA'!V67,"AAAAAErjb5s=")</f>
        <v>#VALUE!</v>
      </c>
      <c r="FA58" t="e">
        <f>AND('SPR BARRANQUILLA'!W67,"AAAAAErjb5w=")</f>
        <v>#VALUE!</v>
      </c>
      <c r="FB58" t="e">
        <f>AND('SPR BARRANQUILLA'!X67,"AAAAAErjb50=")</f>
        <v>#VALUE!</v>
      </c>
      <c r="FC58" t="e">
        <f>AND('SPR BARRANQUILLA'!Y67,"AAAAAErjb54=")</f>
        <v>#VALUE!</v>
      </c>
      <c r="FD58" t="e">
        <f>AND('SPR BARRANQUILLA'!Z67,"AAAAAErjb58=")</f>
        <v>#VALUE!</v>
      </c>
      <c r="FE58" t="e">
        <f>AND('SPR BARRANQUILLA'!AA67,"AAAAAErjb6A=")</f>
        <v>#VALUE!</v>
      </c>
      <c r="FF58" t="e">
        <f>AND('SPR BARRANQUILLA'!AB67,"AAAAAErjb6E=")</f>
        <v>#VALUE!</v>
      </c>
      <c r="FG58" t="e">
        <f>AND('SPR BARRANQUILLA'!AC67,"AAAAAErjb6I=")</f>
        <v>#VALUE!</v>
      </c>
      <c r="FH58" t="e">
        <f>AND('SPR BARRANQUILLA'!AD67,"AAAAAErjb6M=")</f>
        <v>#VALUE!</v>
      </c>
      <c r="FI58" t="e">
        <f>AND('SPR BARRANQUILLA'!AE67,"AAAAAErjb6Q=")</f>
        <v>#VALUE!</v>
      </c>
      <c r="FJ58" t="e">
        <f>AND('SPR BARRANQUILLA'!AF67,"AAAAAErjb6U=")</f>
        <v>#VALUE!</v>
      </c>
      <c r="FK58" t="e">
        <f>AND('SPR BARRANQUILLA'!AG67,"AAAAAErjb6Y=")</f>
        <v>#VALUE!</v>
      </c>
      <c r="FL58" t="e">
        <f>AND('SPR BARRANQUILLA'!AH67,"AAAAAErjb6c=")</f>
        <v>#VALUE!</v>
      </c>
      <c r="FM58" t="e">
        <f>AND('SPR BARRANQUILLA'!AI67,"AAAAAErjb6g=")</f>
        <v>#VALUE!</v>
      </c>
      <c r="FN58" t="e">
        <f>AND('SPR BARRANQUILLA'!AJ67,"AAAAAErjb6k=")</f>
        <v>#VALUE!</v>
      </c>
      <c r="FO58" t="e">
        <f>AND('SPR BARRANQUILLA'!AK67,"AAAAAErjb6o=")</f>
        <v>#VALUE!</v>
      </c>
      <c r="FP58" t="e">
        <f>AND('SPR BARRANQUILLA'!AL67,"AAAAAErjb6s=")</f>
        <v>#VALUE!</v>
      </c>
      <c r="FQ58" t="e">
        <f>AND('SPR BARRANQUILLA'!AM67,"AAAAAErjb6w=")</f>
        <v>#VALUE!</v>
      </c>
      <c r="FR58" t="e">
        <f>AND('SPR BARRANQUILLA'!AN67,"AAAAAErjb60=")</f>
        <v>#VALUE!</v>
      </c>
      <c r="FS58" t="e">
        <f>AND('SPR BARRANQUILLA'!AO67,"AAAAAErjb64=")</f>
        <v>#VALUE!</v>
      </c>
      <c r="FT58" t="e">
        <f>AND('SPR BARRANQUILLA'!AP67,"AAAAAErjb68=")</f>
        <v>#VALUE!</v>
      </c>
      <c r="FU58" t="e">
        <f>AND('SPR BARRANQUILLA'!AQ67,"AAAAAErjb7A=")</f>
        <v>#VALUE!</v>
      </c>
      <c r="FV58" t="e">
        <f>AND('SPR BARRANQUILLA'!AR67,"AAAAAErjb7E=")</f>
        <v>#VALUE!</v>
      </c>
      <c r="FW58" t="e">
        <f>AND('SPR BARRANQUILLA'!AS67,"AAAAAErjb7I=")</f>
        <v>#VALUE!</v>
      </c>
      <c r="FX58" t="e">
        <f>AND('SPR BARRANQUILLA'!AT67,"AAAAAErjb7M=")</f>
        <v>#VALUE!</v>
      </c>
      <c r="FY58" t="e">
        <f>AND('SPR BARRANQUILLA'!AU67,"AAAAAErjb7Q=")</f>
        <v>#VALUE!</v>
      </c>
      <c r="FZ58" t="e">
        <f>AND('SPR BARRANQUILLA'!AV67,"AAAAAErjb7U=")</f>
        <v>#VALUE!</v>
      </c>
      <c r="GA58" t="e">
        <f>AND('SPR BARRANQUILLA'!AW67,"AAAAAErjb7Y=")</f>
        <v>#VALUE!</v>
      </c>
      <c r="GB58" t="e">
        <f>AND('SPR BARRANQUILLA'!AX67,"AAAAAErjb7c=")</f>
        <v>#VALUE!</v>
      </c>
      <c r="GC58" t="e">
        <f>AND('SPR BARRANQUILLA'!AY67,"AAAAAErjb7g=")</f>
        <v>#VALUE!</v>
      </c>
      <c r="GD58" t="e">
        <f>AND('SPR BARRANQUILLA'!AZ67,"AAAAAErjb7k=")</f>
        <v>#VALUE!</v>
      </c>
      <c r="GE58" t="e">
        <f>AND('SPR BARRANQUILLA'!BA67,"AAAAAErjb7o=")</f>
        <v>#VALUE!</v>
      </c>
      <c r="GF58" t="e">
        <f>AND('SPR BARRANQUILLA'!BB67,"AAAAAErjb7s=")</f>
        <v>#VALUE!</v>
      </c>
      <c r="GG58" t="e">
        <f>AND('SPR BARRANQUILLA'!BC67,"AAAAAErjb7w=")</f>
        <v>#VALUE!</v>
      </c>
      <c r="GH58" t="e">
        <f>AND('SPR BARRANQUILLA'!BD67,"AAAAAErjb70=")</f>
        <v>#VALUE!</v>
      </c>
      <c r="GI58" t="e">
        <f>AND('SPR BARRANQUILLA'!BE67,"AAAAAErjb74=")</f>
        <v>#VALUE!</v>
      </c>
      <c r="GJ58" t="e">
        <f>AND('SPR BARRANQUILLA'!BF67,"AAAAAErjb78=")</f>
        <v>#VALUE!</v>
      </c>
      <c r="GK58" t="e">
        <f>AND('SPR BARRANQUILLA'!BG67,"AAAAAErjb8A=")</f>
        <v>#VALUE!</v>
      </c>
      <c r="GL58" t="e">
        <f>AND('SPR BARRANQUILLA'!BH67,"AAAAAErjb8E=")</f>
        <v>#VALUE!</v>
      </c>
      <c r="GM58" t="e">
        <f>AND('SPR BARRANQUILLA'!BI67,"AAAAAErjb8I=")</f>
        <v>#VALUE!</v>
      </c>
      <c r="GN58" t="e">
        <f>AND('SPR BARRANQUILLA'!BJ67,"AAAAAErjb8M=")</f>
        <v>#VALUE!</v>
      </c>
      <c r="GO58" t="e">
        <f>AND('SPR BARRANQUILLA'!BK67,"AAAAAErjb8Q=")</f>
        <v>#VALUE!</v>
      </c>
      <c r="GP58" t="e">
        <f>AND('SPR BARRANQUILLA'!BL67,"AAAAAErjb8U=")</f>
        <v>#VALUE!</v>
      </c>
      <c r="GQ58" t="e">
        <f>AND('SPR BARRANQUILLA'!BM67,"AAAAAErjb8Y=")</f>
        <v>#VALUE!</v>
      </c>
      <c r="GR58" t="e">
        <f>AND('SPR BARRANQUILLA'!BN67,"AAAAAErjb8c=")</f>
        <v>#VALUE!</v>
      </c>
      <c r="GS58" t="e">
        <f>AND('SPR BARRANQUILLA'!BO67,"AAAAAErjb8g=")</f>
        <v>#VALUE!</v>
      </c>
      <c r="GT58" t="e">
        <f>AND('SPR BARRANQUILLA'!BP67,"AAAAAErjb8k=")</f>
        <v>#VALUE!</v>
      </c>
      <c r="GU58" t="e">
        <f>AND('SPR BARRANQUILLA'!BQ67,"AAAAAErjb8o=")</f>
        <v>#VALUE!</v>
      </c>
      <c r="GV58" t="e">
        <f>AND('SPR BARRANQUILLA'!BR67,"AAAAAErjb8s=")</f>
        <v>#VALUE!</v>
      </c>
      <c r="GW58" t="e">
        <f>AND('SPR BARRANQUILLA'!BS67,"AAAAAErjb8w=")</f>
        <v>#VALUE!</v>
      </c>
      <c r="GX58" t="e">
        <f>AND('SPR BARRANQUILLA'!BT67,"AAAAAErjb80=")</f>
        <v>#VALUE!</v>
      </c>
      <c r="GY58" t="e">
        <f>AND('SPR BARRANQUILLA'!BU67,"AAAAAErjb84=")</f>
        <v>#VALUE!</v>
      </c>
      <c r="GZ58" t="e">
        <f>AND('SPR BARRANQUILLA'!BV67,"AAAAAErjb88=")</f>
        <v>#VALUE!</v>
      </c>
      <c r="HA58" t="e">
        <f>AND('SPR BARRANQUILLA'!BW67,"AAAAAErjb9A=")</f>
        <v>#VALUE!</v>
      </c>
      <c r="HB58" t="e">
        <f>AND('SPR BARRANQUILLA'!BX67,"AAAAAErjb9E=")</f>
        <v>#VALUE!</v>
      </c>
      <c r="HC58" t="e">
        <f>AND('SPR BARRANQUILLA'!BY67,"AAAAAErjb9I=")</f>
        <v>#VALUE!</v>
      </c>
      <c r="HD58" t="e">
        <f>AND('SPR BARRANQUILLA'!BZ67,"AAAAAErjb9M=")</f>
        <v>#VALUE!</v>
      </c>
      <c r="HE58" t="e">
        <f>AND('SPR BARRANQUILLA'!CA67,"AAAAAErjb9Q=")</f>
        <v>#VALUE!</v>
      </c>
      <c r="HF58" t="e">
        <f>AND('SPR BARRANQUILLA'!CB67,"AAAAAErjb9U=")</f>
        <v>#VALUE!</v>
      </c>
      <c r="HG58" t="e">
        <f>AND('SPR BARRANQUILLA'!CC67,"AAAAAErjb9Y=")</f>
        <v>#VALUE!</v>
      </c>
      <c r="HH58" t="e">
        <f>AND('SPR BARRANQUILLA'!CD67,"AAAAAErjb9c=")</f>
        <v>#VALUE!</v>
      </c>
      <c r="HI58" t="e">
        <f>AND('SPR BARRANQUILLA'!CE67,"AAAAAErjb9g=")</f>
        <v>#VALUE!</v>
      </c>
      <c r="HJ58" t="e">
        <f>AND('SPR BARRANQUILLA'!CF67,"AAAAAErjb9k=")</f>
        <v>#VALUE!</v>
      </c>
      <c r="HK58" t="e">
        <f>AND('SPR BARRANQUILLA'!CG67,"AAAAAErjb9o=")</f>
        <v>#VALUE!</v>
      </c>
      <c r="HL58" t="e">
        <f>AND('SPR BARRANQUILLA'!CH67,"AAAAAErjb9s=")</f>
        <v>#VALUE!</v>
      </c>
      <c r="HM58" t="e">
        <f>AND('SPR BARRANQUILLA'!CI67,"AAAAAErjb9w=")</f>
        <v>#VALUE!</v>
      </c>
      <c r="HN58" t="e">
        <f>AND('SPR BARRANQUILLA'!CJ67,"AAAAAErjb90=")</f>
        <v>#VALUE!</v>
      </c>
      <c r="HO58" t="e">
        <f>AND('SPR BARRANQUILLA'!CK67,"AAAAAErjb94=")</f>
        <v>#VALUE!</v>
      </c>
      <c r="HP58" t="e">
        <f>AND('SPR BARRANQUILLA'!CL67,"AAAAAErjb98=")</f>
        <v>#VALUE!</v>
      </c>
      <c r="HQ58" t="e">
        <f>AND('SPR BARRANQUILLA'!CM67,"AAAAAErjb+A=")</f>
        <v>#VALUE!</v>
      </c>
      <c r="HR58" t="e">
        <f>AND('SPR BARRANQUILLA'!CN67,"AAAAAErjb+E=")</f>
        <v>#VALUE!</v>
      </c>
      <c r="HS58" t="e">
        <f>AND('SPR BARRANQUILLA'!CO67,"AAAAAErjb+I=")</f>
        <v>#VALUE!</v>
      </c>
      <c r="HT58" t="e">
        <f>AND('SPR BARRANQUILLA'!CP67,"AAAAAErjb+M=")</f>
        <v>#VALUE!</v>
      </c>
      <c r="HU58" t="e">
        <f>AND('SPR BARRANQUILLA'!CQ67,"AAAAAErjb+Q=")</f>
        <v>#VALUE!</v>
      </c>
      <c r="HV58" t="e">
        <f>AND('SPR BARRANQUILLA'!CR67,"AAAAAErjb+U=")</f>
        <v>#VALUE!</v>
      </c>
      <c r="HW58" t="e">
        <f>AND('SPR BARRANQUILLA'!CS67,"AAAAAErjb+Y=")</f>
        <v>#VALUE!</v>
      </c>
      <c r="HX58" t="e">
        <f>AND('SPR BARRANQUILLA'!CT67,"AAAAAErjb+c=")</f>
        <v>#VALUE!</v>
      </c>
      <c r="HY58" t="e">
        <f>AND('SPR BARRANQUILLA'!CU67,"AAAAAErjb+g=")</f>
        <v>#VALUE!</v>
      </c>
      <c r="HZ58" t="e">
        <f>AND('SPR BARRANQUILLA'!CV67,"AAAAAErjb+k=")</f>
        <v>#VALUE!</v>
      </c>
      <c r="IA58" t="e">
        <f>AND('SPR BARRANQUILLA'!CW67,"AAAAAErjb+o=")</f>
        <v>#VALUE!</v>
      </c>
      <c r="IB58" t="e">
        <f>AND('SPR BARRANQUILLA'!CX67,"AAAAAErjb+s=")</f>
        <v>#VALUE!</v>
      </c>
      <c r="IC58" t="e">
        <f>AND('SPR BARRANQUILLA'!CY67,"AAAAAErjb+w=")</f>
        <v>#VALUE!</v>
      </c>
      <c r="ID58" t="e">
        <f>AND('SPR BARRANQUILLA'!CZ67,"AAAAAErjb+0=")</f>
        <v>#VALUE!</v>
      </c>
      <c r="IE58" t="e">
        <f>AND('SPR BARRANQUILLA'!DA67,"AAAAAErjb+4=")</f>
        <v>#VALUE!</v>
      </c>
      <c r="IF58" t="e">
        <f>AND('SPR BARRANQUILLA'!DB67,"AAAAAErjb+8=")</f>
        <v>#VALUE!</v>
      </c>
      <c r="IG58" t="e">
        <f>AND('SPR BARRANQUILLA'!DC67,"AAAAAErjb/A=")</f>
        <v>#VALUE!</v>
      </c>
      <c r="IH58" t="e">
        <f>AND('SPR BARRANQUILLA'!DD67,"AAAAAErjb/E=")</f>
        <v>#VALUE!</v>
      </c>
      <c r="II58" t="e">
        <f>AND('SPR BARRANQUILLA'!DE67,"AAAAAErjb/I=")</f>
        <v>#VALUE!</v>
      </c>
      <c r="IJ58" t="e">
        <f>AND('SPR BARRANQUILLA'!DF67,"AAAAAErjb/M=")</f>
        <v>#VALUE!</v>
      </c>
      <c r="IK58" t="e">
        <f>AND('SPR BARRANQUILLA'!DG67,"AAAAAErjb/Q=")</f>
        <v>#VALUE!</v>
      </c>
      <c r="IL58" t="e">
        <f>AND('SPR BARRANQUILLA'!DH67,"AAAAAErjb/U=")</f>
        <v>#VALUE!</v>
      </c>
      <c r="IM58" t="e">
        <f>AND('SPR BARRANQUILLA'!DI67,"AAAAAErjb/Y=")</f>
        <v>#VALUE!</v>
      </c>
      <c r="IN58" t="e">
        <f>AND('SPR BARRANQUILLA'!DJ67,"AAAAAErjb/c=")</f>
        <v>#VALUE!</v>
      </c>
      <c r="IO58" t="e">
        <f>AND('SPR BARRANQUILLA'!DK67,"AAAAAErjb/g=")</f>
        <v>#VALUE!</v>
      </c>
      <c r="IP58" t="e">
        <f>AND('SPR BARRANQUILLA'!DL67,"AAAAAErjb/k=")</f>
        <v>#VALUE!</v>
      </c>
      <c r="IQ58" t="e">
        <f>AND('SPR BARRANQUILLA'!DM67,"AAAAAErjb/o=")</f>
        <v>#VALUE!</v>
      </c>
      <c r="IR58" t="e">
        <f>AND('SPR BARRANQUILLA'!DN67,"AAAAAErjb/s=")</f>
        <v>#VALUE!</v>
      </c>
      <c r="IS58" t="e">
        <f>AND('SPR BARRANQUILLA'!DO67,"AAAAAErjb/w=")</f>
        <v>#VALUE!</v>
      </c>
      <c r="IT58" t="e">
        <f>AND('SPR BARRANQUILLA'!DP67,"AAAAAErjb/0=")</f>
        <v>#VALUE!</v>
      </c>
      <c r="IU58" t="e">
        <f>AND('SPR BARRANQUILLA'!DQ67,"AAAAAErjb/4=")</f>
        <v>#VALUE!</v>
      </c>
      <c r="IV58" t="e">
        <f>AND('SPR BARRANQUILLA'!DR67,"AAAAAErjb/8=")</f>
        <v>#VALUE!</v>
      </c>
    </row>
    <row r="59" spans="1:256">
      <c r="A59" t="e">
        <f>AND('SPR BARRANQUILLA'!DS67,"AAAAAG+/OwA=")</f>
        <v>#VALUE!</v>
      </c>
      <c r="B59" t="e">
        <f>AND('SPR BARRANQUILLA'!DT67,"AAAAAG+/OwE=")</f>
        <v>#VALUE!</v>
      </c>
      <c r="C59" t="e">
        <f>AND('SPR BARRANQUILLA'!DU67,"AAAAAG+/OwI=")</f>
        <v>#VALUE!</v>
      </c>
      <c r="D59" t="e">
        <f>AND('SPR BARRANQUILLA'!DV67,"AAAAAG+/OwM=")</f>
        <v>#VALUE!</v>
      </c>
      <c r="E59" t="e">
        <f>AND('SPR BARRANQUILLA'!DW67,"AAAAAG+/OwQ=")</f>
        <v>#VALUE!</v>
      </c>
      <c r="F59" t="e">
        <f>AND('SPR BARRANQUILLA'!DX67,"AAAAAG+/OwU=")</f>
        <v>#VALUE!</v>
      </c>
      <c r="G59" t="e">
        <f>AND('SPR BARRANQUILLA'!DY67,"AAAAAG+/OwY=")</f>
        <v>#VALUE!</v>
      </c>
      <c r="H59" t="e">
        <f>AND('SPR BARRANQUILLA'!DZ67,"AAAAAG+/Owc=")</f>
        <v>#VALUE!</v>
      </c>
      <c r="I59" t="e">
        <f>AND('SPR BARRANQUILLA'!EA67,"AAAAAG+/Owg=")</f>
        <v>#VALUE!</v>
      </c>
      <c r="J59" t="e">
        <f>AND('SPR BARRANQUILLA'!EB67,"AAAAAG+/Owk=")</f>
        <v>#VALUE!</v>
      </c>
      <c r="K59" t="e">
        <f>AND('SPR BARRANQUILLA'!EC67,"AAAAAG+/Owo=")</f>
        <v>#VALUE!</v>
      </c>
      <c r="L59" t="e">
        <f>AND('SPR BARRANQUILLA'!ED67,"AAAAAG+/Ows=")</f>
        <v>#VALUE!</v>
      </c>
      <c r="M59" t="e">
        <f>AND('SPR BARRANQUILLA'!EE67,"AAAAAG+/Oww=")</f>
        <v>#VALUE!</v>
      </c>
      <c r="N59" t="e">
        <f>AND('SPR BARRANQUILLA'!EF67,"AAAAAG+/Ow0=")</f>
        <v>#VALUE!</v>
      </c>
      <c r="O59" t="e">
        <f>AND('SPR BARRANQUILLA'!EG67,"AAAAAG+/Ow4=")</f>
        <v>#VALUE!</v>
      </c>
      <c r="P59" t="e">
        <f>AND('SPR BARRANQUILLA'!EH67,"AAAAAG+/Ow8=")</f>
        <v>#VALUE!</v>
      </c>
      <c r="Q59" t="e">
        <f>AND('SPR BARRANQUILLA'!EI67,"AAAAAG+/OxA=")</f>
        <v>#VALUE!</v>
      </c>
      <c r="R59" t="e">
        <f>AND('SPR BARRANQUILLA'!EJ67,"AAAAAG+/OxE=")</f>
        <v>#VALUE!</v>
      </c>
      <c r="S59" t="e">
        <f>AND('SPR BARRANQUILLA'!EK67,"AAAAAG+/OxI=")</f>
        <v>#VALUE!</v>
      </c>
      <c r="T59" t="e">
        <f>AND('SPR BARRANQUILLA'!EL67,"AAAAAG+/OxM=")</f>
        <v>#VALUE!</v>
      </c>
      <c r="U59" t="e">
        <f>AND('SPR BARRANQUILLA'!EM67,"AAAAAG+/OxQ=")</f>
        <v>#VALUE!</v>
      </c>
      <c r="V59" t="e">
        <f>AND('SPR BARRANQUILLA'!EN67,"AAAAAG+/OxU=")</f>
        <v>#VALUE!</v>
      </c>
      <c r="W59" t="e">
        <f>AND('SPR BARRANQUILLA'!EO67,"AAAAAG+/OxY=")</f>
        <v>#VALUE!</v>
      </c>
      <c r="X59" t="e">
        <f>AND('SPR BARRANQUILLA'!EP67,"AAAAAG+/Oxc=")</f>
        <v>#VALUE!</v>
      </c>
      <c r="Y59" t="e">
        <f>AND('SPR BARRANQUILLA'!EQ67,"AAAAAG+/Oxg=")</f>
        <v>#VALUE!</v>
      </c>
      <c r="Z59" t="e">
        <f>AND('SPR BARRANQUILLA'!ER67,"AAAAAG+/Oxk=")</f>
        <v>#VALUE!</v>
      </c>
      <c r="AA59" t="e">
        <f>AND('SPR BARRANQUILLA'!ES67,"AAAAAG+/Oxo=")</f>
        <v>#VALUE!</v>
      </c>
      <c r="AB59" t="e">
        <f>AND('SPR BARRANQUILLA'!ET67,"AAAAAG+/Oxs=")</f>
        <v>#VALUE!</v>
      </c>
      <c r="AC59" t="e">
        <f>AND('SPR BARRANQUILLA'!EU67,"AAAAAG+/Oxw=")</f>
        <v>#VALUE!</v>
      </c>
      <c r="AD59" t="e">
        <f>AND('SPR BARRANQUILLA'!EV67,"AAAAAG+/Ox0=")</f>
        <v>#VALUE!</v>
      </c>
      <c r="AE59" t="e">
        <f>AND('SPR BARRANQUILLA'!EW67,"AAAAAG+/Ox4=")</f>
        <v>#VALUE!</v>
      </c>
      <c r="AF59" t="e">
        <f>AND('SPR BARRANQUILLA'!EX67,"AAAAAG+/Ox8=")</f>
        <v>#VALUE!</v>
      </c>
      <c r="AG59" t="e">
        <f>AND('SPR BARRANQUILLA'!EY67,"AAAAAG+/OyA=")</f>
        <v>#VALUE!</v>
      </c>
      <c r="AH59" t="e">
        <f>AND('SPR BARRANQUILLA'!EZ67,"AAAAAG+/OyE=")</f>
        <v>#VALUE!</v>
      </c>
      <c r="AI59" t="e">
        <f>AND('SPR BARRANQUILLA'!FA67,"AAAAAG+/OyI=")</f>
        <v>#VALUE!</v>
      </c>
      <c r="AJ59" t="e">
        <f>AND('SPR BARRANQUILLA'!FB67,"AAAAAG+/OyM=")</f>
        <v>#VALUE!</v>
      </c>
      <c r="AK59" t="e">
        <f>AND('SPR BARRANQUILLA'!FC67,"AAAAAG+/OyQ=")</f>
        <v>#VALUE!</v>
      </c>
      <c r="AL59" t="e">
        <f>AND('SPR BARRANQUILLA'!FD67,"AAAAAG+/OyU=")</f>
        <v>#VALUE!</v>
      </c>
      <c r="AM59" t="e">
        <f>AND('SPR BARRANQUILLA'!FE67,"AAAAAG+/OyY=")</f>
        <v>#VALUE!</v>
      </c>
      <c r="AN59" t="e">
        <f>AND('SPR BARRANQUILLA'!FF67,"AAAAAG+/Oyc=")</f>
        <v>#VALUE!</v>
      </c>
      <c r="AO59" t="e">
        <f>AND('SPR BARRANQUILLA'!FG67,"AAAAAG+/Oyg=")</f>
        <v>#VALUE!</v>
      </c>
      <c r="AP59" t="e">
        <f>AND('SPR BARRANQUILLA'!FH67,"AAAAAG+/Oyk=")</f>
        <v>#VALUE!</v>
      </c>
      <c r="AQ59" t="e">
        <f>AND('SPR BARRANQUILLA'!FI67,"AAAAAG+/Oyo=")</f>
        <v>#VALUE!</v>
      </c>
      <c r="AR59" t="e">
        <f>AND('SPR BARRANQUILLA'!FJ67,"AAAAAG+/Oys=")</f>
        <v>#VALUE!</v>
      </c>
      <c r="AS59" t="e">
        <f>AND('SPR BARRANQUILLA'!FK67,"AAAAAG+/Oyw=")</f>
        <v>#VALUE!</v>
      </c>
      <c r="AT59" t="e">
        <f>AND('SPR BARRANQUILLA'!FL67,"AAAAAG+/Oy0=")</f>
        <v>#VALUE!</v>
      </c>
      <c r="AU59" t="e">
        <f>AND('SPR BARRANQUILLA'!FM67,"AAAAAG+/Oy4=")</f>
        <v>#VALUE!</v>
      </c>
      <c r="AV59" t="e">
        <f>AND('SPR BARRANQUILLA'!FN67,"AAAAAG+/Oy8=")</f>
        <v>#VALUE!</v>
      </c>
      <c r="AW59" t="e">
        <f>AND('SPR BARRANQUILLA'!FO67,"AAAAAG+/OzA=")</f>
        <v>#VALUE!</v>
      </c>
      <c r="AX59" t="e">
        <f>AND('SPR BARRANQUILLA'!FP67,"AAAAAG+/OzE=")</f>
        <v>#VALUE!</v>
      </c>
      <c r="AY59" t="e">
        <f>AND('SPR BARRANQUILLA'!FQ67,"AAAAAG+/OzI=")</f>
        <v>#VALUE!</v>
      </c>
      <c r="AZ59" t="e">
        <f>AND('SPR BARRANQUILLA'!FR67,"AAAAAG+/OzM=")</f>
        <v>#VALUE!</v>
      </c>
      <c r="BA59" t="e">
        <f>AND('SPR BARRANQUILLA'!FS67,"AAAAAG+/OzQ=")</f>
        <v>#VALUE!</v>
      </c>
      <c r="BB59" t="e">
        <f>AND('SPR BARRANQUILLA'!FT67,"AAAAAG+/OzU=")</f>
        <v>#VALUE!</v>
      </c>
      <c r="BC59" t="e">
        <f>AND('SPR BARRANQUILLA'!FU67,"AAAAAG+/OzY=")</f>
        <v>#VALUE!</v>
      </c>
      <c r="BD59" t="e">
        <f>AND('SPR BARRANQUILLA'!FV67,"AAAAAG+/Ozc=")</f>
        <v>#VALUE!</v>
      </c>
      <c r="BE59" t="e">
        <f>AND('SPR BARRANQUILLA'!FW67,"AAAAAG+/Ozg=")</f>
        <v>#VALUE!</v>
      </c>
      <c r="BF59" t="e">
        <f>AND('SPR BARRANQUILLA'!FX67,"AAAAAG+/Ozk=")</f>
        <v>#VALUE!</v>
      </c>
      <c r="BG59" t="e">
        <f>AND('SPR BARRANQUILLA'!FY67,"AAAAAG+/Ozo=")</f>
        <v>#VALUE!</v>
      </c>
      <c r="BH59" t="e">
        <f>AND('SPR BARRANQUILLA'!FZ67,"AAAAAG+/Ozs=")</f>
        <v>#VALUE!</v>
      </c>
      <c r="BI59" t="e">
        <f>AND('SPR BARRANQUILLA'!GA67,"AAAAAG+/Ozw=")</f>
        <v>#VALUE!</v>
      </c>
      <c r="BJ59" t="e">
        <f>AND('SPR BARRANQUILLA'!GB67,"AAAAAG+/Oz0=")</f>
        <v>#VALUE!</v>
      </c>
      <c r="BK59" t="e">
        <f>AND('SPR BARRANQUILLA'!GC67,"AAAAAG+/Oz4=")</f>
        <v>#VALUE!</v>
      </c>
      <c r="BL59" t="e">
        <f>AND('SPR BARRANQUILLA'!GD67,"AAAAAG+/Oz8=")</f>
        <v>#VALUE!</v>
      </c>
      <c r="BM59" t="e">
        <f>AND('SPR BARRANQUILLA'!GE67,"AAAAAG+/O0A=")</f>
        <v>#VALUE!</v>
      </c>
      <c r="BN59" t="e">
        <f>AND('SPR BARRANQUILLA'!GF67,"AAAAAG+/O0E=")</f>
        <v>#VALUE!</v>
      </c>
      <c r="BO59" t="e">
        <f>AND('SPR BARRANQUILLA'!GG67,"AAAAAG+/O0I=")</f>
        <v>#VALUE!</v>
      </c>
      <c r="BP59" t="e">
        <f>AND('SPR BARRANQUILLA'!GH67,"AAAAAG+/O0M=")</f>
        <v>#VALUE!</v>
      </c>
      <c r="BQ59" t="e">
        <f>AND('SPR BARRANQUILLA'!GI67,"AAAAAG+/O0Q=")</f>
        <v>#VALUE!</v>
      </c>
      <c r="BR59" t="e">
        <f>AND('SPR BARRANQUILLA'!GJ67,"AAAAAG+/O0U=")</f>
        <v>#VALUE!</v>
      </c>
      <c r="BS59" t="e">
        <f>AND('SPR BARRANQUILLA'!GK67,"AAAAAG+/O0Y=")</f>
        <v>#VALUE!</v>
      </c>
      <c r="BT59" t="e">
        <f>AND('SPR BARRANQUILLA'!GL67,"AAAAAG+/O0c=")</f>
        <v>#VALUE!</v>
      </c>
      <c r="BU59" t="e">
        <f>AND('SPR BARRANQUILLA'!GM67,"AAAAAG+/O0g=")</f>
        <v>#VALUE!</v>
      </c>
      <c r="BV59" t="e">
        <f>AND('SPR BARRANQUILLA'!GN67,"AAAAAG+/O0k=")</f>
        <v>#VALUE!</v>
      </c>
      <c r="BW59" t="e">
        <f>AND('SPR BARRANQUILLA'!GO67,"AAAAAG+/O0o=")</f>
        <v>#VALUE!</v>
      </c>
      <c r="BX59" t="e">
        <f>AND('SPR BARRANQUILLA'!GP67,"AAAAAG+/O0s=")</f>
        <v>#VALUE!</v>
      </c>
      <c r="BY59" t="e">
        <f>AND('SPR BARRANQUILLA'!GQ67,"AAAAAG+/O0w=")</f>
        <v>#VALUE!</v>
      </c>
      <c r="BZ59" t="e">
        <f>AND('SPR BARRANQUILLA'!GR67,"AAAAAG+/O00=")</f>
        <v>#VALUE!</v>
      </c>
      <c r="CA59" t="e">
        <f>AND('SPR BARRANQUILLA'!GS67,"AAAAAG+/O04=")</f>
        <v>#VALUE!</v>
      </c>
      <c r="CB59" t="e">
        <f>AND('SPR BARRANQUILLA'!GT67,"AAAAAG+/O08=")</f>
        <v>#VALUE!</v>
      </c>
      <c r="CC59" t="e">
        <f>AND('SPR BARRANQUILLA'!GU67,"AAAAAG+/O1A=")</f>
        <v>#VALUE!</v>
      </c>
      <c r="CD59" t="e">
        <f>AND('SPR BARRANQUILLA'!GV67,"AAAAAG+/O1E=")</f>
        <v>#VALUE!</v>
      </c>
      <c r="CE59" t="e">
        <f>AND('SPR BARRANQUILLA'!GW67,"AAAAAG+/O1I=")</f>
        <v>#VALUE!</v>
      </c>
      <c r="CF59" t="e">
        <f>AND('SPR BARRANQUILLA'!GX67,"AAAAAG+/O1M=")</f>
        <v>#VALUE!</v>
      </c>
      <c r="CG59" t="e">
        <f>AND('SPR BARRANQUILLA'!GY67,"AAAAAG+/O1Q=")</f>
        <v>#VALUE!</v>
      </c>
      <c r="CH59">
        <f>IF('SPR BARRANQUILLA'!68:68,"AAAAAG+/O1U=",0)</f>
        <v>0</v>
      </c>
      <c r="CI59" t="e">
        <f>AND('SPR BARRANQUILLA'!A68,"AAAAAG+/O1Y=")</f>
        <v>#VALUE!</v>
      </c>
      <c r="CJ59" t="e">
        <f>AND('SPR BARRANQUILLA'!B68,"AAAAAG+/O1c=")</f>
        <v>#VALUE!</v>
      </c>
      <c r="CK59" t="e">
        <f>AND('SPR BARRANQUILLA'!C68,"AAAAAG+/O1g=")</f>
        <v>#VALUE!</v>
      </c>
      <c r="CL59" t="e">
        <f>AND('SPR BARRANQUILLA'!D68,"AAAAAG+/O1k=")</f>
        <v>#VALUE!</v>
      </c>
      <c r="CM59" t="e">
        <f>AND('SPR BARRANQUILLA'!E68,"AAAAAG+/O1o=")</f>
        <v>#VALUE!</v>
      </c>
      <c r="CN59" t="e">
        <f>AND('SPR BARRANQUILLA'!F68,"AAAAAG+/O1s=")</f>
        <v>#VALUE!</v>
      </c>
      <c r="CO59" t="e">
        <f>AND('SPR BARRANQUILLA'!G68,"AAAAAG+/O1w=")</f>
        <v>#VALUE!</v>
      </c>
      <c r="CP59" t="e">
        <f>AND('SPR BARRANQUILLA'!H68,"AAAAAG+/O10=")</f>
        <v>#VALUE!</v>
      </c>
      <c r="CQ59" t="e">
        <f>AND('SPR BARRANQUILLA'!I68,"AAAAAG+/O14=")</f>
        <v>#VALUE!</v>
      </c>
      <c r="CR59" t="e">
        <f>AND('SPR BARRANQUILLA'!J68,"AAAAAG+/O18=")</f>
        <v>#VALUE!</v>
      </c>
      <c r="CS59" t="e">
        <f>AND('SPR BARRANQUILLA'!K68,"AAAAAG+/O2A=")</f>
        <v>#VALUE!</v>
      </c>
      <c r="CT59" t="e">
        <f>AND('SPR BARRANQUILLA'!L68,"AAAAAG+/O2E=")</f>
        <v>#VALUE!</v>
      </c>
      <c r="CU59" t="e">
        <f>AND('SPR BARRANQUILLA'!M68,"AAAAAG+/O2I=")</f>
        <v>#VALUE!</v>
      </c>
      <c r="CV59" t="e">
        <f>AND('SPR BARRANQUILLA'!N68,"AAAAAG+/O2M=")</f>
        <v>#VALUE!</v>
      </c>
      <c r="CW59" t="e">
        <f>AND('SPR BARRANQUILLA'!O68,"AAAAAG+/O2Q=")</f>
        <v>#VALUE!</v>
      </c>
      <c r="CX59" t="e">
        <f>AND('SPR BARRANQUILLA'!P68,"AAAAAG+/O2U=")</f>
        <v>#VALUE!</v>
      </c>
      <c r="CY59" t="e">
        <f>AND('SPR BARRANQUILLA'!Q68,"AAAAAG+/O2Y=")</f>
        <v>#VALUE!</v>
      </c>
      <c r="CZ59" t="e">
        <f>AND('SPR BARRANQUILLA'!R68,"AAAAAG+/O2c=")</f>
        <v>#VALUE!</v>
      </c>
      <c r="DA59" t="e">
        <f>AND('SPR BARRANQUILLA'!S68,"AAAAAG+/O2g=")</f>
        <v>#VALUE!</v>
      </c>
      <c r="DB59" t="e">
        <f>AND('SPR BARRANQUILLA'!T68,"AAAAAG+/O2k=")</f>
        <v>#VALUE!</v>
      </c>
      <c r="DC59" t="e">
        <f>AND('SPR BARRANQUILLA'!U68,"AAAAAG+/O2o=")</f>
        <v>#VALUE!</v>
      </c>
      <c r="DD59" t="e">
        <f>AND('SPR BARRANQUILLA'!V68,"AAAAAG+/O2s=")</f>
        <v>#VALUE!</v>
      </c>
      <c r="DE59" t="e">
        <f>AND('SPR BARRANQUILLA'!W68,"AAAAAG+/O2w=")</f>
        <v>#VALUE!</v>
      </c>
      <c r="DF59" t="e">
        <f>AND('SPR BARRANQUILLA'!X68,"AAAAAG+/O20=")</f>
        <v>#VALUE!</v>
      </c>
      <c r="DG59" t="e">
        <f>AND('SPR BARRANQUILLA'!Y68,"AAAAAG+/O24=")</f>
        <v>#VALUE!</v>
      </c>
      <c r="DH59" t="e">
        <f>AND('SPR BARRANQUILLA'!Z68,"AAAAAG+/O28=")</f>
        <v>#VALUE!</v>
      </c>
      <c r="DI59" t="e">
        <f>AND('SPR BARRANQUILLA'!AA68,"AAAAAG+/O3A=")</f>
        <v>#VALUE!</v>
      </c>
      <c r="DJ59" t="e">
        <f>AND('SPR BARRANQUILLA'!AB68,"AAAAAG+/O3E=")</f>
        <v>#VALUE!</v>
      </c>
      <c r="DK59" t="e">
        <f>AND('SPR BARRANQUILLA'!AC68,"AAAAAG+/O3I=")</f>
        <v>#VALUE!</v>
      </c>
      <c r="DL59" t="e">
        <f>AND('SPR BARRANQUILLA'!AD68,"AAAAAG+/O3M=")</f>
        <v>#VALUE!</v>
      </c>
      <c r="DM59" t="e">
        <f>AND('SPR BARRANQUILLA'!AE68,"AAAAAG+/O3Q=")</f>
        <v>#VALUE!</v>
      </c>
      <c r="DN59" t="e">
        <f>AND('SPR BARRANQUILLA'!AF68,"AAAAAG+/O3U=")</f>
        <v>#VALUE!</v>
      </c>
      <c r="DO59" t="e">
        <f>AND('SPR BARRANQUILLA'!AG68,"AAAAAG+/O3Y=")</f>
        <v>#VALUE!</v>
      </c>
      <c r="DP59" t="e">
        <f>AND('SPR BARRANQUILLA'!AH68,"AAAAAG+/O3c=")</f>
        <v>#VALUE!</v>
      </c>
      <c r="DQ59" t="e">
        <f>AND('SPR BARRANQUILLA'!AI68,"AAAAAG+/O3g=")</f>
        <v>#VALUE!</v>
      </c>
      <c r="DR59" t="e">
        <f>AND('SPR BARRANQUILLA'!AJ68,"AAAAAG+/O3k=")</f>
        <v>#VALUE!</v>
      </c>
      <c r="DS59" t="e">
        <f>AND('SPR BARRANQUILLA'!AK68,"AAAAAG+/O3o=")</f>
        <v>#VALUE!</v>
      </c>
      <c r="DT59" t="e">
        <f>AND('SPR BARRANQUILLA'!AL68,"AAAAAG+/O3s=")</f>
        <v>#VALUE!</v>
      </c>
      <c r="DU59" t="e">
        <f>AND('SPR BARRANQUILLA'!AM68,"AAAAAG+/O3w=")</f>
        <v>#VALUE!</v>
      </c>
      <c r="DV59" t="e">
        <f>AND('SPR BARRANQUILLA'!AN68,"AAAAAG+/O30=")</f>
        <v>#VALUE!</v>
      </c>
      <c r="DW59" t="e">
        <f>AND('SPR BARRANQUILLA'!AO68,"AAAAAG+/O34=")</f>
        <v>#VALUE!</v>
      </c>
      <c r="DX59" t="e">
        <f>AND('SPR BARRANQUILLA'!AP68,"AAAAAG+/O38=")</f>
        <v>#VALUE!</v>
      </c>
      <c r="DY59" t="e">
        <f>AND('SPR BARRANQUILLA'!AQ68,"AAAAAG+/O4A=")</f>
        <v>#VALUE!</v>
      </c>
      <c r="DZ59" t="e">
        <f>AND('SPR BARRANQUILLA'!AR68,"AAAAAG+/O4E=")</f>
        <v>#VALUE!</v>
      </c>
      <c r="EA59" t="e">
        <f>AND('SPR BARRANQUILLA'!AS68,"AAAAAG+/O4I=")</f>
        <v>#VALUE!</v>
      </c>
      <c r="EB59" t="e">
        <f>AND('SPR BARRANQUILLA'!AT68,"AAAAAG+/O4M=")</f>
        <v>#VALUE!</v>
      </c>
      <c r="EC59" t="e">
        <f>AND('SPR BARRANQUILLA'!AU68,"AAAAAG+/O4Q=")</f>
        <v>#VALUE!</v>
      </c>
      <c r="ED59" t="e">
        <f>AND('SPR BARRANQUILLA'!AV68,"AAAAAG+/O4U=")</f>
        <v>#VALUE!</v>
      </c>
      <c r="EE59" t="e">
        <f>AND('SPR BARRANQUILLA'!AW68,"AAAAAG+/O4Y=")</f>
        <v>#VALUE!</v>
      </c>
      <c r="EF59" t="e">
        <f>AND('SPR BARRANQUILLA'!AX68,"AAAAAG+/O4c=")</f>
        <v>#VALUE!</v>
      </c>
      <c r="EG59" t="e">
        <f>AND('SPR BARRANQUILLA'!AY68,"AAAAAG+/O4g=")</f>
        <v>#VALUE!</v>
      </c>
      <c r="EH59" t="e">
        <f>AND('SPR BARRANQUILLA'!AZ68,"AAAAAG+/O4k=")</f>
        <v>#VALUE!</v>
      </c>
      <c r="EI59" t="e">
        <f>AND('SPR BARRANQUILLA'!BA68,"AAAAAG+/O4o=")</f>
        <v>#VALUE!</v>
      </c>
      <c r="EJ59" t="e">
        <f>AND('SPR BARRANQUILLA'!BB68,"AAAAAG+/O4s=")</f>
        <v>#VALUE!</v>
      </c>
      <c r="EK59" t="e">
        <f>AND('SPR BARRANQUILLA'!BC68,"AAAAAG+/O4w=")</f>
        <v>#VALUE!</v>
      </c>
      <c r="EL59" t="e">
        <f>AND('SPR BARRANQUILLA'!BD68,"AAAAAG+/O40=")</f>
        <v>#VALUE!</v>
      </c>
      <c r="EM59" t="e">
        <f>AND('SPR BARRANQUILLA'!BE68,"AAAAAG+/O44=")</f>
        <v>#VALUE!</v>
      </c>
      <c r="EN59" t="e">
        <f>AND('SPR BARRANQUILLA'!BF68,"AAAAAG+/O48=")</f>
        <v>#VALUE!</v>
      </c>
      <c r="EO59" t="e">
        <f>AND('SPR BARRANQUILLA'!BG68,"AAAAAG+/O5A=")</f>
        <v>#VALUE!</v>
      </c>
      <c r="EP59" t="e">
        <f>AND('SPR BARRANQUILLA'!BH68,"AAAAAG+/O5E=")</f>
        <v>#VALUE!</v>
      </c>
      <c r="EQ59" t="e">
        <f>AND('SPR BARRANQUILLA'!BI68,"AAAAAG+/O5I=")</f>
        <v>#VALUE!</v>
      </c>
      <c r="ER59" t="e">
        <f>AND('SPR BARRANQUILLA'!BJ68,"AAAAAG+/O5M=")</f>
        <v>#VALUE!</v>
      </c>
      <c r="ES59" t="e">
        <f>AND('SPR BARRANQUILLA'!BK68,"AAAAAG+/O5Q=")</f>
        <v>#VALUE!</v>
      </c>
      <c r="ET59" t="e">
        <f>AND('SPR BARRANQUILLA'!BL68,"AAAAAG+/O5U=")</f>
        <v>#VALUE!</v>
      </c>
      <c r="EU59" t="e">
        <f>AND('SPR BARRANQUILLA'!BM68,"AAAAAG+/O5Y=")</f>
        <v>#VALUE!</v>
      </c>
      <c r="EV59" t="e">
        <f>AND('SPR BARRANQUILLA'!BN68,"AAAAAG+/O5c=")</f>
        <v>#VALUE!</v>
      </c>
      <c r="EW59" t="e">
        <f>AND('SPR BARRANQUILLA'!BO68,"AAAAAG+/O5g=")</f>
        <v>#VALUE!</v>
      </c>
      <c r="EX59" t="e">
        <f>AND('SPR BARRANQUILLA'!BP68,"AAAAAG+/O5k=")</f>
        <v>#VALUE!</v>
      </c>
      <c r="EY59" t="e">
        <f>AND('SPR BARRANQUILLA'!BQ68,"AAAAAG+/O5o=")</f>
        <v>#VALUE!</v>
      </c>
      <c r="EZ59" t="e">
        <f>AND('SPR BARRANQUILLA'!BR68,"AAAAAG+/O5s=")</f>
        <v>#VALUE!</v>
      </c>
      <c r="FA59" t="e">
        <f>AND('SPR BARRANQUILLA'!BS68,"AAAAAG+/O5w=")</f>
        <v>#VALUE!</v>
      </c>
      <c r="FB59" t="e">
        <f>AND('SPR BARRANQUILLA'!BT68,"AAAAAG+/O50=")</f>
        <v>#VALUE!</v>
      </c>
      <c r="FC59" t="e">
        <f>AND('SPR BARRANQUILLA'!BU68,"AAAAAG+/O54=")</f>
        <v>#VALUE!</v>
      </c>
      <c r="FD59" t="e">
        <f>AND('SPR BARRANQUILLA'!BV68,"AAAAAG+/O58=")</f>
        <v>#VALUE!</v>
      </c>
      <c r="FE59" t="e">
        <f>AND('SPR BARRANQUILLA'!BW68,"AAAAAG+/O6A=")</f>
        <v>#VALUE!</v>
      </c>
      <c r="FF59" t="e">
        <f>AND('SPR BARRANQUILLA'!BX68,"AAAAAG+/O6E=")</f>
        <v>#VALUE!</v>
      </c>
      <c r="FG59" t="e">
        <f>AND('SPR BARRANQUILLA'!BY68,"AAAAAG+/O6I=")</f>
        <v>#VALUE!</v>
      </c>
      <c r="FH59" t="e">
        <f>AND('SPR BARRANQUILLA'!BZ68,"AAAAAG+/O6M=")</f>
        <v>#VALUE!</v>
      </c>
      <c r="FI59" t="e">
        <f>AND('SPR BARRANQUILLA'!CA68,"AAAAAG+/O6Q=")</f>
        <v>#VALUE!</v>
      </c>
      <c r="FJ59" t="e">
        <f>AND('SPR BARRANQUILLA'!CB68,"AAAAAG+/O6U=")</f>
        <v>#VALUE!</v>
      </c>
      <c r="FK59" t="e">
        <f>AND('SPR BARRANQUILLA'!CC68,"AAAAAG+/O6Y=")</f>
        <v>#VALUE!</v>
      </c>
      <c r="FL59" t="e">
        <f>AND('SPR BARRANQUILLA'!CD68,"AAAAAG+/O6c=")</f>
        <v>#VALUE!</v>
      </c>
      <c r="FM59" t="e">
        <f>AND('SPR BARRANQUILLA'!CE68,"AAAAAG+/O6g=")</f>
        <v>#VALUE!</v>
      </c>
      <c r="FN59" t="e">
        <f>AND('SPR BARRANQUILLA'!CF68,"AAAAAG+/O6k=")</f>
        <v>#VALUE!</v>
      </c>
      <c r="FO59" t="e">
        <f>AND('SPR BARRANQUILLA'!CG68,"AAAAAG+/O6o=")</f>
        <v>#VALUE!</v>
      </c>
      <c r="FP59" t="e">
        <f>AND('SPR BARRANQUILLA'!CH68,"AAAAAG+/O6s=")</f>
        <v>#VALUE!</v>
      </c>
      <c r="FQ59" t="e">
        <f>AND('SPR BARRANQUILLA'!CI68,"AAAAAG+/O6w=")</f>
        <v>#VALUE!</v>
      </c>
      <c r="FR59" t="e">
        <f>AND('SPR BARRANQUILLA'!CJ68,"AAAAAG+/O60=")</f>
        <v>#VALUE!</v>
      </c>
      <c r="FS59" t="e">
        <f>AND('SPR BARRANQUILLA'!CK68,"AAAAAG+/O64=")</f>
        <v>#VALUE!</v>
      </c>
      <c r="FT59" t="e">
        <f>AND('SPR BARRANQUILLA'!CL68,"AAAAAG+/O68=")</f>
        <v>#VALUE!</v>
      </c>
      <c r="FU59" t="e">
        <f>AND('SPR BARRANQUILLA'!CM68,"AAAAAG+/O7A=")</f>
        <v>#VALUE!</v>
      </c>
      <c r="FV59" t="e">
        <f>AND('SPR BARRANQUILLA'!CN68,"AAAAAG+/O7E=")</f>
        <v>#VALUE!</v>
      </c>
      <c r="FW59" t="e">
        <f>AND('SPR BARRANQUILLA'!CO68,"AAAAAG+/O7I=")</f>
        <v>#VALUE!</v>
      </c>
      <c r="FX59" t="e">
        <f>AND('SPR BARRANQUILLA'!CP68,"AAAAAG+/O7M=")</f>
        <v>#VALUE!</v>
      </c>
      <c r="FY59" t="e">
        <f>AND('SPR BARRANQUILLA'!CQ68,"AAAAAG+/O7Q=")</f>
        <v>#VALUE!</v>
      </c>
      <c r="FZ59" t="e">
        <f>AND('SPR BARRANQUILLA'!CR68,"AAAAAG+/O7U=")</f>
        <v>#VALUE!</v>
      </c>
      <c r="GA59" t="e">
        <f>AND('SPR BARRANQUILLA'!CS68,"AAAAAG+/O7Y=")</f>
        <v>#VALUE!</v>
      </c>
      <c r="GB59" t="e">
        <f>AND('SPR BARRANQUILLA'!CT68,"AAAAAG+/O7c=")</f>
        <v>#VALUE!</v>
      </c>
      <c r="GC59" t="e">
        <f>AND('SPR BARRANQUILLA'!CU68,"AAAAAG+/O7g=")</f>
        <v>#VALUE!</v>
      </c>
      <c r="GD59" t="e">
        <f>AND('SPR BARRANQUILLA'!CV68,"AAAAAG+/O7k=")</f>
        <v>#VALUE!</v>
      </c>
      <c r="GE59" t="e">
        <f>AND('SPR BARRANQUILLA'!CW68,"AAAAAG+/O7o=")</f>
        <v>#VALUE!</v>
      </c>
      <c r="GF59" t="e">
        <f>AND('SPR BARRANQUILLA'!CX68,"AAAAAG+/O7s=")</f>
        <v>#VALUE!</v>
      </c>
      <c r="GG59" t="e">
        <f>AND('SPR BARRANQUILLA'!CY68,"AAAAAG+/O7w=")</f>
        <v>#VALUE!</v>
      </c>
      <c r="GH59" t="e">
        <f>AND('SPR BARRANQUILLA'!CZ68,"AAAAAG+/O70=")</f>
        <v>#VALUE!</v>
      </c>
      <c r="GI59" t="e">
        <f>AND('SPR BARRANQUILLA'!DA68,"AAAAAG+/O74=")</f>
        <v>#VALUE!</v>
      </c>
      <c r="GJ59" t="e">
        <f>AND('SPR BARRANQUILLA'!DB68,"AAAAAG+/O78=")</f>
        <v>#VALUE!</v>
      </c>
      <c r="GK59" t="e">
        <f>AND('SPR BARRANQUILLA'!DC68,"AAAAAG+/O8A=")</f>
        <v>#VALUE!</v>
      </c>
      <c r="GL59" t="e">
        <f>AND('SPR BARRANQUILLA'!DD68,"AAAAAG+/O8E=")</f>
        <v>#VALUE!</v>
      </c>
      <c r="GM59" t="e">
        <f>AND('SPR BARRANQUILLA'!DE68,"AAAAAG+/O8I=")</f>
        <v>#VALUE!</v>
      </c>
      <c r="GN59" t="e">
        <f>AND('SPR BARRANQUILLA'!DF68,"AAAAAG+/O8M=")</f>
        <v>#VALUE!</v>
      </c>
      <c r="GO59" t="e">
        <f>AND('SPR BARRANQUILLA'!DG68,"AAAAAG+/O8Q=")</f>
        <v>#VALUE!</v>
      </c>
      <c r="GP59" t="e">
        <f>AND('SPR BARRANQUILLA'!DH68,"AAAAAG+/O8U=")</f>
        <v>#VALUE!</v>
      </c>
      <c r="GQ59" t="e">
        <f>AND('SPR BARRANQUILLA'!DI68,"AAAAAG+/O8Y=")</f>
        <v>#VALUE!</v>
      </c>
      <c r="GR59" t="e">
        <f>AND('SPR BARRANQUILLA'!DJ68,"AAAAAG+/O8c=")</f>
        <v>#VALUE!</v>
      </c>
      <c r="GS59" t="e">
        <f>AND('SPR BARRANQUILLA'!DK68,"AAAAAG+/O8g=")</f>
        <v>#VALUE!</v>
      </c>
      <c r="GT59" t="e">
        <f>AND('SPR BARRANQUILLA'!DL68,"AAAAAG+/O8k=")</f>
        <v>#VALUE!</v>
      </c>
      <c r="GU59" t="e">
        <f>AND('SPR BARRANQUILLA'!DM68,"AAAAAG+/O8o=")</f>
        <v>#VALUE!</v>
      </c>
      <c r="GV59" t="e">
        <f>AND('SPR BARRANQUILLA'!DN68,"AAAAAG+/O8s=")</f>
        <v>#VALUE!</v>
      </c>
      <c r="GW59" t="e">
        <f>AND('SPR BARRANQUILLA'!DO68,"AAAAAG+/O8w=")</f>
        <v>#VALUE!</v>
      </c>
      <c r="GX59" t="e">
        <f>AND('SPR BARRANQUILLA'!DP68,"AAAAAG+/O80=")</f>
        <v>#VALUE!</v>
      </c>
      <c r="GY59" t="e">
        <f>AND('SPR BARRANQUILLA'!DQ68,"AAAAAG+/O84=")</f>
        <v>#VALUE!</v>
      </c>
      <c r="GZ59" t="e">
        <f>AND('SPR BARRANQUILLA'!DR68,"AAAAAG+/O88=")</f>
        <v>#VALUE!</v>
      </c>
      <c r="HA59" t="e">
        <f>AND('SPR BARRANQUILLA'!DS68,"AAAAAG+/O9A=")</f>
        <v>#VALUE!</v>
      </c>
      <c r="HB59" t="e">
        <f>AND('SPR BARRANQUILLA'!DT68,"AAAAAG+/O9E=")</f>
        <v>#VALUE!</v>
      </c>
      <c r="HC59" t="e">
        <f>AND('SPR BARRANQUILLA'!DU68,"AAAAAG+/O9I=")</f>
        <v>#VALUE!</v>
      </c>
      <c r="HD59" t="e">
        <f>AND('SPR BARRANQUILLA'!DV68,"AAAAAG+/O9M=")</f>
        <v>#VALUE!</v>
      </c>
      <c r="HE59" t="e">
        <f>AND('SPR BARRANQUILLA'!DW68,"AAAAAG+/O9Q=")</f>
        <v>#VALUE!</v>
      </c>
      <c r="HF59" t="e">
        <f>AND('SPR BARRANQUILLA'!DX68,"AAAAAG+/O9U=")</f>
        <v>#VALUE!</v>
      </c>
      <c r="HG59" t="e">
        <f>AND('SPR BARRANQUILLA'!DY68,"AAAAAG+/O9Y=")</f>
        <v>#VALUE!</v>
      </c>
      <c r="HH59" t="e">
        <f>AND('SPR BARRANQUILLA'!DZ68,"AAAAAG+/O9c=")</f>
        <v>#VALUE!</v>
      </c>
      <c r="HI59" t="e">
        <f>AND('SPR BARRANQUILLA'!EA68,"AAAAAG+/O9g=")</f>
        <v>#VALUE!</v>
      </c>
      <c r="HJ59" t="e">
        <f>AND('SPR BARRANQUILLA'!EB68,"AAAAAG+/O9k=")</f>
        <v>#VALUE!</v>
      </c>
      <c r="HK59" t="e">
        <f>AND('SPR BARRANQUILLA'!EC68,"AAAAAG+/O9o=")</f>
        <v>#VALUE!</v>
      </c>
      <c r="HL59" t="e">
        <f>AND('SPR BARRANQUILLA'!ED68,"AAAAAG+/O9s=")</f>
        <v>#VALUE!</v>
      </c>
      <c r="HM59" t="e">
        <f>AND('SPR BARRANQUILLA'!EE68,"AAAAAG+/O9w=")</f>
        <v>#VALUE!</v>
      </c>
      <c r="HN59" t="e">
        <f>AND('SPR BARRANQUILLA'!EF68,"AAAAAG+/O90=")</f>
        <v>#VALUE!</v>
      </c>
      <c r="HO59" t="e">
        <f>AND('SPR BARRANQUILLA'!EG68,"AAAAAG+/O94=")</f>
        <v>#VALUE!</v>
      </c>
      <c r="HP59" t="e">
        <f>AND('SPR BARRANQUILLA'!EH68,"AAAAAG+/O98=")</f>
        <v>#VALUE!</v>
      </c>
      <c r="HQ59" t="e">
        <f>AND('SPR BARRANQUILLA'!EI68,"AAAAAG+/O+A=")</f>
        <v>#VALUE!</v>
      </c>
      <c r="HR59" t="e">
        <f>AND('SPR BARRANQUILLA'!EJ68,"AAAAAG+/O+E=")</f>
        <v>#VALUE!</v>
      </c>
      <c r="HS59" t="e">
        <f>AND('SPR BARRANQUILLA'!EK68,"AAAAAG+/O+I=")</f>
        <v>#VALUE!</v>
      </c>
      <c r="HT59" t="e">
        <f>AND('SPR BARRANQUILLA'!EL68,"AAAAAG+/O+M=")</f>
        <v>#VALUE!</v>
      </c>
      <c r="HU59" t="e">
        <f>AND('SPR BARRANQUILLA'!EM68,"AAAAAG+/O+Q=")</f>
        <v>#VALUE!</v>
      </c>
      <c r="HV59" t="e">
        <f>AND('SPR BARRANQUILLA'!EN68,"AAAAAG+/O+U=")</f>
        <v>#VALUE!</v>
      </c>
      <c r="HW59" t="e">
        <f>AND('SPR BARRANQUILLA'!EO68,"AAAAAG+/O+Y=")</f>
        <v>#VALUE!</v>
      </c>
      <c r="HX59" t="e">
        <f>AND('SPR BARRANQUILLA'!EP68,"AAAAAG+/O+c=")</f>
        <v>#VALUE!</v>
      </c>
      <c r="HY59" t="e">
        <f>AND('SPR BARRANQUILLA'!EQ68,"AAAAAG+/O+g=")</f>
        <v>#VALUE!</v>
      </c>
      <c r="HZ59" t="e">
        <f>AND('SPR BARRANQUILLA'!ER68,"AAAAAG+/O+k=")</f>
        <v>#VALUE!</v>
      </c>
      <c r="IA59" t="e">
        <f>AND('SPR BARRANQUILLA'!ES68,"AAAAAG+/O+o=")</f>
        <v>#VALUE!</v>
      </c>
      <c r="IB59" t="e">
        <f>AND('SPR BARRANQUILLA'!ET68,"AAAAAG+/O+s=")</f>
        <v>#VALUE!</v>
      </c>
      <c r="IC59" t="e">
        <f>AND('SPR BARRANQUILLA'!EU68,"AAAAAG+/O+w=")</f>
        <v>#VALUE!</v>
      </c>
      <c r="ID59" t="e">
        <f>AND('SPR BARRANQUILLA'!EV68,"AAAAAG+/O+0=")</f>
        <v>#VALUE!</v>
      </c>
      <c r="IE59" t="e">
        <f>AND('SPR BARRANQUILLA'!EW68,"AAAAAG+/O+4=")</f>
        <v>#VALUE!</v>
      </c>
      <c r="IF59" t="e">
        <f>AND('SPR BARRANQUILLA'!EX68,"AAAAAG+/O+8=")</f>
        <v>#VALUE!</v>
      </c>
      <c r="IG59" t="e">
        <f>AND('SPR BARRANQUILLA'!EY68,"AAAAAG+/O/A=")</f>
        <v>#VALUE!</v>
      </c>
      <c r="IH59" t="e">
        <f>AND('SPR BARRANQUILLA'!EZ68,"AAAAAG+/O/E=")</f>
        <v>#VALUE!</v>
      </c>
      <c r="II59" t="e">
        <f>AND('SPR BARRANQUILLA'!FA68,"AAAAAG+/O/I=")</f>
        <v>#VALUE!</v>
      </c>
      <c r="IJ59" t="e">
        <f>AND('SPR BARRANQUILLA'!FB68,"AAAAAG+/O/M=")</f>
        <v>#VALUE!</v>
      </c>
      <c r="IK59" t="e">
        <f>AND('SPR BARRANQUILLA'!FC68,"AAAAAG+/O/Q=")</f>
        <v>#VALUE!</v>
      </c>
      <c r="IL59" t="e">
        <f>AND('SPR BARRANQUILLA'!FD68,"AAAAAG+/O/U=")</f>
        <v>#VALUE!</v>
      </c>
      <c r="IM59" t="e">
        <f>AND('SPR BARRANQUILLA'!FE68,"AAAAAG+/O/Y=")</f>
        <v>#VALUE!</v>
      </c>
      <c r="IN59" t="e">
        <f>AND('SPR BARRANQUILLA'!FF68,"AAAAAG+/O/c=")</f>
        <v>#VALUE!</v>
      </c>
      <c r="IO59" t="e">
        <f>AND('SPR BARRANQUILLA'!FG68,"AAAAAG+/O/g=")</f>
        <v>#VALUE!</v>
      </c>
      <c r="IP59" t="e">
        <f>AND('SPR BARRANQUILLA'!FH68,"AAAAAG+/O/k=")</f>
        <v>#VALUE!</v>
      </c>
      <c r="IQ59" t="e">
        <f>AND('SPR BARRANQUILLA'!FI68,"AAAAAG+/O/o=")</f>
        <v>#VALUE!</v>
      </c>
      <c r="IR59" t="e">
        <f>AND('SPR BARRANQUILLA'!FJ68,"AAAAAG+/O/s=")</f>
        <v>#VALUE!</v>
      </c>
      <c r="IS59" t="e">
        <f>AND('SPR BARRANQUILLA'!FK68,"AAAAAG+/O/w=")</f>
        <v>#VALUE!</v>
      </c>
      <c r="IT59" t="e">
        <f>AND('SPR BARRANQUILLA'!FL68,"AAAAAG+/O/0=")</f>
        <v>#VALUE!</v>
      </c>
      <c r="IU59" t="e">
        <f>AND('SPR BARRANQUILLA'!FM68,"AAAAAG+/O/4=")</f>
        <v>#VALUE!</v>
      </c>
      <c r="IV59" t="e">
        <f>AND('SPR BARRANQUILLA'!FN68,"AAAAAG+/O/8=")</f>
        <v>#VALUE!</v>
      </c>
    </row>
    <row r="60" spans="1:256">
      <c r="A60" t="e">
        <f>AND('SPR BARRANQUILLA'!FO68,"AAAAAHr75gA=")</f>
        <v>#VALUE!</v>
      </c>
      <c r="B60" t="e">
        <f>AND('SPR BARRANQUILLA'!FP68,"AAAAAHr75gE=")</f>
        <v>#VALUE!</v>
      </c>
      <c r="C60" t="e">
        <f>AND('SPR BARRANQUILLA'!FQ68,"AAAAAHr75gI=")</f>
        <v>#VALUE!</v>
      </c>
      <c r="D60" t="e">
        <f>AND('SPR BARRANQUILLA'!FR68,"AAAAAHr75gM=")</f>
        <v>#VALUE!</v>
      </c>
      <c r="E60" t="e">
        <f>AND('SPR BARRANQUILLA'!FS68,"AAAAAHr75gQ=")</f>
        <v>#VALUE!</v>
      </c>
      <c r="F60" t="e">
        <f>AND('SPR BARRANQUILLA'!FT68,"AAAAAHr75gU=")</f>
        <v>#VALUE!</v>
      </c>
      <c r="G60" t="e">
        <f>AND('SPR BARRANQUILLA'!FU68,"AAAAAHr75gY=")</f>
        <v>#VALUE!</v>
      </c>
      <c r="H60" t="e">
        <f>AND('SPR BARRANQUILLA'!FV68,"AAAAAHr75gc=")</f>
        <v>#VALUE!</v>
      </c>
      <c r="I60" t="e">
        <f>AND('SPR BARRANQUILLA'!FW68,"AAAAAHr75gg=")</f>
        <v>#VALUE!</v>
      </c>
      <c r="J60" t="e">
        <f>AND('SPR BARRANQUILLA'!FX68,"AAAAAHr75gk=")</f>
        <v>#VALUE!</v>
      </c>
      <c r="K60" t="e">
        <f>AND('SPR BARRANQUILLA'!FY68,"AAAAAHr75go=")</f>
        <v>#VALUE!</v>
      </c>
      <c r="L60" t="e">
        <f>AND('SPR BARRANQUILLA'!FZ68,"AAAAAHr75gs=")</f>
        <v>#VALUE!</v>
      </c>
      <c r="M60" t="e">
        <f>AND('SPR BARRANQUILLA'!GA68,"AAAAAHr75gw=")</f>
        <v>#VALUE!</v>
      </c>
      <c r="N60" t="e">
        <f>AND('SPR BARRANQUILLA'!GB68,"AAAAAHr75g0=")</f>
        <v>#VALUE!</v>
      </c>
      <c r="O60" t="e">
        <f>AND('SPR BARRANQUILLA'!GC68,"AAAAAHr75g4=")</f>
        <v>#VALUE!</v>
      </c>
      <c r="P60" t="e">
        <f>AND('SPR BARRANQUILLA'!GD68,"AAAAAHr75g8=")</f>
        <v>#VALUE!</v>
      </c>
      <c r="Q60" t="e">
        <f>AND('SPR BARRANQUILLA'!GE68,"AAAAAHr75hA=")</f>
        <v>#VALUE!</v>
      </c>
      <c r="R60" t="e">
        <f>AND('SPR BARRANQUILLA'!GF68,"AAAAAHr75hE=")</f>
        <v>#VALUE!</v>
      </c>
      <c r="S60" t="e">
        <f>AND('SPR BARRANQUILLA'!GG68,"AAAAAHr75hI=")</f>
        <v>#VALUE!</v>
      </c>
      <c r="T60" t="e">
        <f>AND('SPR BARRANQUILLA'!GH68,"AAAAAHr75hM=")</f>
        <v>#VALUE!</v>
      </c>
      <c r="U60" t="e">
        <f>AND('SPR BARRANQUILLA'!GI68,"AAAAAHr75hQ=")</f>
        <v>#VALUE!</v>
      </c>
      <c r="V60" t="e">
        <f>AND('SPR BARRANQUILLA'!GJ68,"AAAAAHr75hU=")</f>
        <v>#VALUE!</v>
      </c>
      <c r="W60" t="e">
        <f>AND('SPR BARRANQUILLA'!GK68,"AAAAAHr75hY=")</f>
        <v>#VALUE!</v>
      </c>
      <c r="X60" t="e">
        <f>AND('SPR BARRANQUILLA'!GL68,"AAAAAHr75hc=")</f>
        <v>#VALUE!</v>
      </c>
      <c r="Y60" t="e">
        <f>AND('SPR BARRANQUILLA'!GM68,"AAAAAHr75hg=")</f>
        <v>#VALUE!</v>
      </c>
      <c r="Z60" t="e">
        <f>AND('SPR BARRANQUILLA'!GN68,"AAAAAHr75hk=")</f>
        <v>#VALUE!</v>
      </c>
      <c r="AA60" t="e">
        <f>AND('SPR BARRANQUILLA'!GO68,"AAAAAHr75ho=")</f>
        <v>#VALUE!</v>
      </c>
      <c r="AB60" t="e">
        <f>AND('SPR BARRANQUILLA'!GP68,"AAAAAHr75hs=")</f>
        <v>#VALUE!</v>
      </c>
      <c r="AC60" t="e">
        <f>AND('SPR BARRANQUILLA'!GQ68,"AAAAAHr75hw=")</f>
        <v>#VALUE!</v>
      </c>
      <c r="AD60" t="e">
        <f>AND('SPR BARRANQUILLA'!GR68,"AAAAAHr75h0=")</f>
        <v>#VALUE!</v>
      </c>
      <c r="AE60" t="e">
        <f>AND('SPR BARRANQUILLA'!GS68,"AAAAAHr75h4=")</f>
        <v>#VALUE!</v>
      </c>
      <c r="AF60" t="e">
        <f>AND('SPR BARRANQUILLA'!GT68,"AAAAAHr75h8=")</f>
        <v>#VALUE!</v>
      </c>
      <c r="AG60" t="e">
        <f>AND('SPR BARRANQUILLA'!GU68,"AAAAAHr75iA=")</f>
        <v>#VALUE!</v>
      </c>
      <c r="AH60" t="e">
        <f>AND('SPR BARRANQUILLA'!GV68,"AAAAAHr75iE=")</f>
        <v>#VALUE!</v>
      </c>
      <c r="AI60" t="e">
        <f>AND('SPR BARRANQUILLA'!GW68,"AAAAAHr75iI=")</f>
        <v>#VALUE!</v>
      </c>
      <c r="AJ60" t="e">
        <f>AND('SPR BARRANQUILLA'!GX68,"AAAAAHr75iM=")</f>
        <v>#VALUE!</v>
      </c>
      <c r="AK60" t="e">
        <f>AND('SPR BARRANQUILLA'!GY68,"AAAAAHr75iQ=")</f>
        <v>#VALUE!</v>
      </c>
      <c r="AL60">
        <f>IF('SPR BARRANQUILLA'!69:69,"AAAAAHr75iU=",0)</f>
        <v>0</v>
      </c>
      <c r="AM60" t="e">
        <f>AND('SPR BARRANQUILLA'!A69,"AAAAAHr75iY=")</f>
        <v>#VALUE!</v>
      </c>
      <c r="AN60" t="e">
        <f>AND('SPR BARRANQUILLA'!B69,"AAAAAHr75ic=")</f>
        <v>#VALUE!</v>
      </c>
      <c r="AO60" t="e">
        <f>AND('SPR BARRANQUILLA'!C69,"AAAAAHr75ig=")</f>
        <v>#VALUE!</v>
      </c>
      <c r="AP60" t="e">
        <f>AND('SPR BARRANQUILLA'!D69,"AAAAAHr75ik=")</f>
        <v>#VALUE!</v>
      </c>
      <c r="AQ60" t="e">
        <f>AND('SPR BARRANQUILLA'!E69,"AAAAAHr75io=")</f>
        <v>#VALUE!</v>
      </c>
      <c r="AR60" t="e">
        <f>AND('SPR BARRANQUILLA'!F69,"AAAAAHr75is=")</f>
        <v>#VALUE!</v>
      </c>
      <c r="AS60" t="e">
        <f>AND('SPR BARRANQUILLA'!G69,"AAAAAHr75iw=")</f>
        <v>#VALUE!</v>
      </c>
      <c r="AT60" t="e">
        <f>AND('SPR BARRANQUILLA'!H69,"AAAAAHr75i0=")</f>
        <v>#VALUE!</v>
      </c>
      <c r="AU60" t="e">
        <f>AND('SPR BARRANQUILLA'!I69,"AAAAAHr75i4=")</f>
        <v>#VALUE!</v>
      </c>
      <c r="AV60" t="e">
        <f>AND('SPR BARRANQUILLA'!J69,"AAAAAHr75i8=")</f>
        <v>#VALUE!</v>
      </c>
      <c r="AW60" t="e">
        <f>AND('SPR BARRANQUILLA'!K69,"AAAAAHr75jA=")</f>
        <v>#VALUE!</v>
      </c>
      <c r="AX60" t="e">
        <f>AND('SPR BARRANQUILLA'!L69,"AAAAAHr75jE=")</f>
        <v>#VALUE!</v>
      </c>
      <c r="AY60" t="e">
        <f>AND('SPR BARRANQUILLA'!M69,"AAAAAHr75jI=")</f>
        <v>#VALUE!</v>
      </c>
      <c r="AZ60" t="e">
        <f>AND('SPR BARRANQUILLA'!N69,"AAAAAHr75jM=")</f>
        <v>#VALUE!</v>
      </c>
      <c r="BA60" t="e">
        <f>AND('SPR BARRANQUILLA'!O69,"AAAAAHr75jQ=")</f>
        <v>#VALUE!</v>
      </c>
      <c r="BB60" t="e">
        <f>AND('SPR BARRANQUILLA'!P69,"AAAAAHr75jU=")</f>
        <v>#VALUE!</v>
      </c>
      <c r="BC60" t="e">
        <f>AND('SPR BARRANQUILLA'!Q69,"AAAAAHr75jY=")</f>
        <v>#VALUE!</v>
      </c>
      <c r="BD60" t="e">
        <f>AND('SPR BARRANQUILLA'!R69,"AAAAAHr75jc=")</f>
        <v>#VALUE!</v>
      </c>
      <c r="BE60" t="e">
        <f>AND('SPR BARRANQUILLA'!S69,"AAAAAHr75jg=")</f>
        <v>#VALUE!</v>
      </c>
      <c r="BF60" t="e">
        <f>AND('SPR BARRANQUILLA'!T69,"AAAAAHr75jk=")</f>
        <v>#VALUE!</v>
      </c>
      <c r="BG60" t="e">
        <f>AND('SPR BARRANQUILLA'!U69,"AAAAAHr75jo=")</f>
        <v>#VALUE!</v>
      </c>
      <c r="BH60" t="e">
        <f>AND('SPR BARRANQUILLA'!V69,"AAAAAHr75js=")</f>
        <v>#VALUE!</v>
      </c>
      <c r="BI60" t="e">
        <f>AND('SPR BARRANQUILLA'!W69,"AAAAAHr75jw=")</f>
        <v>#VALUE!</v>
      </c>
      <c r="BJ60" t="e">
        <f>AND('SPR BARRANQUILLA'!X69,"AAAAAHr75j0=")</f>
        <v>#VALUE!</v>
      </c>
      <c r="BK60" t="e">
        <f>AND('SPR BARRANQUILLA'!Y69,"AAAAAHr75j4=")</f>
        <v>#VALUE!</v>
      </c>
      <c r="BL60" t="e">
        <f>AND('SPR BARRANQUILLA'!Z69,"AAAAAHr75j8=")</f>
        <v>#VALUE!</v>
      </c>
      <c r="BM60" t="e">
        <f>AND('SPR BARRANQUILLA'!AA69,"AAAAAHr75kA=")</f>
        <v>#VALUE!</v>
      </c>
      <c r="BN60" t="e">
        <f>AND('SPR BARRANQUILLA'!AB69,"AAAAAHr75kE=")</f>
        <v>#VALUE!</v>
      </c>
      <c r="BO60" t="e">
        <f>AND('SPR BARRANQUILLA'!AC69,"AAAAAHr75kI=")</f>
        <v>#VALUE!</v>
      </c>
      <c r="BP60" t="e">
        <f>AND('SPR BARRANQUILLA'!AD69,"AAAAAHr75kM=")</f>
        <v>#VALUE!</v>
      </c>
      <c r="BQ60" t="e">
        <f>AND('SPR BARRANQUILLA'!AE69,"AAAAAHr75kQ=")</f>
        <v>#VALUE!</v>
      </c>
      <c r="BR60" t="e">
        <f>AND('SPR BARRANQUILLA'!AF69,"AAAAAHr75kU=")</f>
        <v>#VALUE!</v>
      </c>
      <c r="BS60" t="e">
        <f>AND('SPR BARRANQUILLA'!AG69,"AAAAAHr75kY=")</f>
        <v>#VALUE!</v>
      </c>
      <c r="BT60" t="e">
        <f>AND('SPR BARRANQUILLA'!AH69,"AAAAAHr75kc=")</f>
        <v>#VALUE!</v>
      </c>
      <c r="BU60" t="e">
        <f>AND('SPR BARRANQUILLA'!AI69,"AAAAAHr75kg=")</f>
        <v>#VALUE!</v>
      </c>
      <c r="BV60" t="e">
        <f>AND('SPR BARRANQUILLA'!AJ69,"AAAAAHr75kk=")</f>
        <v>#VALUE!</v>
      </c>
      <c r="BW60" t="e">
        <f>AND('SPR BARRANQUILLA'!AK69,"AAAAAHr75ko=")</f>
        <v>#VALUE!</v>
      </c>
      <c r="BX60" t="e">
        <f>AND('SPR BARRANQUILLA'!AL69,"AAAAAHr75ks=")</f>
        <v>#VALUE!</v>
      </c>
      <c r="BY60" t="e">
        <f>AND('SPR BARRANQUILLA'!AM69,"AAAAAHr75kw=")</f>
        <v>#VALUE!</v>
      </c>
      <c r="BZ60" t="e">
        <f>AND('SPR BARRANQUILLA'!AN69,"AAAAAHr75k0=")</f>
        <v>#VALUE!</v>
      </c>
      <c r="CA60" t="e">
        <f>AND('SPR BARRANQUILLA'!AO69,"AAAAAHr75k4=")</f>
        <v>#VALUE!</v>
      </c>
      <c r="CB60" t="e">
        <f>AND('SPR BARRANQUILLA'!AP69,"AAAAAHr75k8=")</f>
        <v>#VALUE!</v>
      </c>
      <c r="CC60" t="e">
        <f>AND('SPR BARRANQUILLA'!AQ69,"AAAAAHr75lA=")</f>
        <v>#VALUE!</v>
      </c>
      <c r="CD60" t="e">
        <f>AND('SPR BARRANQUILLA'!AR69,"AAAAAHr75lE=")</f>
        <v>#VALUE!</v>
      </c>
      <c r="CE60" t="e">
        <f>AND('SPR BARRANQUILLA'!AS69,"AAAAAHr75lI=")</f>
        <v>#VALUE!</v>
      </c>
      <c r="CF60" t="e">
        <f>AND('SPR BARRANQUILLA'!AT69,"AAAAAHr75lM=")</f>
        <v>#VALUE!</v>
      </c>
      <c r="CG60" t="e">
        <f>AND('SPR BARRANQUILLA'!AU69,"AAAAAHr75lQ=")</f>
        <v>#VALUE!</v>
      </c>
      <c r="CH60" t="e">
        <f>AND('SPR BARRANQUILLA'!AV69,"AAAAAHr75lU=")</f>
        <v>#VALUE!</v>
      </c>
      <c r="CI60" t="e">
        <f>AND('SPR BARRANQUILLA'!AW69,"AAAAAHr75lY=")</f>
        <v>#VALUE!</v>
      </c>
      <c r="CJ60" t="e">
        <f>AND('SPR BARRANQUILLA'!AX69,"AAAAAHr75lc=")</f>
        <v>#VALUE!</v>
      </c>
      <c r="CK60" t="e">
        <f>AND('SPR BARRANQUILLA'!AY69,"AAAAAHr75lg=")</f>
        <v>#VALUE!</v>
      </c>
      <c r="CL60" t="e">
        <f>AND('SPR BARRANQUILLA'!AZ69,"AAAAAHr75lk=")</f>
        <v>#VALUE!</v>
      </c>
      <c r="CM60" t="e">
        <f>AND('SPR BARRANQUILLA'!BA69,"AAAAAHr75lo=")</f>
        <v>#VALUE!</v>
      </c>
      <c r="CN60" t="e">
        <f>AND('SPR BARRANQUILLA'!BB69,"AAAAAHr75ls=")</f>
        <v>#VALUE!</v>
      </c>
      <c r="CO60" t="e">
        <f>AND('SPR BARRANQUILLA'!BC69,"AAAAAHr75lw=")</f>
        <v>#VALUE!</v>
      </c>
      <c r="CP60" t="e">
        <f>AND('SPR BARRANQUILLA'!BD69,"AAAAAHr75l0=")</f>
        <v>#VALUE!</v>
      </c>
      <c r="CQ60" t="e">
        <f>AND('SPR BARRANQUILLA'!BE69,"AAAAAHr75l4=")</f>
        <v>#VALUE!</v>
      </c>
      <c r="CR60" t="e">
        <f>AND('SPR BARRANQUILLA'!BF69,"AAAAAHr75l8=")</f>
        <v>#VALUE!</v>
      </c>
      <c r="CS60" t="e">
        <f>AND('SPR BARRANQUILLA'!BG69,"AAAAAHr75mA=")</f>
        <v>#VALUE!</v>
      </c>
      <c r="CT60" t="e">
        <f>AND('SPR BARRANQUILLA'!BH69,"AAAAAHr75mE=")</f>
        <v>#VALUE!</v>
      </c>
      <c r="CU60" t="e">
        <f>AND('SPR BARRANQUILLA'!BI69,"AAAAAHr75mI=")</f>
        <v>#VALUE!</v>
      </c>
      <c r="CV60" t="e">
        <f>AND('SPR BARRANQUILLA'!BJ69,"AAAAAHr75mM=")</f>
        <v>#VALUE!</v>
      </c>
      <c r="CW60" t="e">
        <f>AND('SPR BARRANQUILLA'!BK69,"AAAAAHr75mQ=")</f>
        <v>#VALUE!</v>
      </c>
      <c r="CX60" t="e">
        <f>AND('SPR BARRANQUILLA'!BL69,"AAAAAHr75mU=")</f>
        <v>#VALUE!</v>
      </c>
      <c r="CY60" t="e">
        <f>AND('SPR BARRANQUILLA'!BM69,"AAAAAHr75mY=")</f>
        <v>#VALUE!</v>
      </c>
      <c r="CZ60" t="e">
        <f>AND('SPR BARRANQUILLA'!BN69,"AAAAAHr75mc=")</f>
        <v>#VALUE!</v>
      </c>
      <c r="DA60" t="e">
        <f>AND('SPR BARRANQUILLA'!BO69,"AAAAAHr75mg=")</f>
        <v>#VALUE!</v>
      </c>
      <c r="DB60" t="e">
        <f>AND('SPR BARRANQUILLA'!BP69,"AAAAAHr75mk=")</f>
        <v>#VALUE!</v>
      </c>
      <c r="DC60" t="e">
        <f>AND('SPR BARRANQUILLA'!BQ69,"AAAAAHr75mo=")</f>
        <v>#VALUE!</v>
      </c>
      <c r="DD60" t="e">
        <f>AND('SPR BARRANQUILLA'!BR69,"AAAAAHr75ms=")</f>
        <v>#VALUE!</v>
      </c>
      <c r="DE60" t="e">
        <f>AND('SPR BARRANQUILLA'!BS69,"AAAAAHr75mw=")</f>
        <v>#VALUE!</v>
      </c>
      <c r="DF60" t="e">
        <f>AND('SPR BARRANQUILLA'!BT69,"AAAAAHr75m0=")</f>
        <v>#VALUE!</v>
      </c>
      <c r="DG60" t="e">
        <f>AND('SPR BARRANQUILLA'!BU69,"AAAAAHr75m4=")</f>
        <v>#VALUE!</v>
      </c>
      <c r="DH60" t="e">
        <f>AND('SPR BARRANQUILLA'!BV69,"AAAAAHr75m8=")</f>
        <v>#VALUE!</v>
      </c>
      <c r="DI60" t="e">
        <f>AND('SPR BARRANQUILLA'!BW69,"AAAAAHr75nA=")</f>
        <v>#VALUE!</v>
      </c>
      <c r="DJ60" t="e">
        <f>AND('SPR BARRANQUILLA'!BX69,"AAAAAHr75nE=")</f>
        <v>#VALUE!</v>
      </c>
      <c r="DK60" t="e">
        <f>AND('SPR BARRANQUILLA'!BY69,"AAAAAHr75nI=")</f>
        <v>#VALUE!</v>
      </c>
      <c r="DL60" t="e">
        <f>AND('SPR BARRANQUILLA'!BZ69,"AAAAAHr75nM=")</f>
        <v>#VALUE!</v>
      </c>
      <c r="DM60" t="e">
        <f>AND('SPR BARRANQUILLA'!CA69,"AAAAAHr75nQ=")</f>
        <v>#VALUE!</v>
      </c>
      <c r="DN60" t="e">
        <f>AND('SPR BARRANQUILLA'!CB69,"AAAAAHr75nU=")</f>
        <v>#VALUE!</v>
      </c>
      <c r="DO60" t="e">
        <f>AND('SPR BARRANQUILLA'!CC69,"AAAAAHr75nY=")</f>
        <v>#VALUE!</v>
      </c>
      <c r="DP60" t="e">
        <f>AND('SPR BARRANQUILLA'!CD69,"AAAAAHr75nc=")</f>
        <v>#VALUE!</v>
      </c>
      <c r="DQ60" t="e">
        <f>AND('SPR BARRANQUILLA'!CE69,"AAAAAHr75ng=")</f>
        <v>#VALUE!</v>
      </c>
      <c r="DR60" t="e">
        <f>AND('SPR BARRANQUILLA'!CF69,"AAAAAHr75nk=")</f>
        <v>#VALUE!</v>
      </c>
      <c r="DS60" t="e">
        <f>AND('SPR BARRANQUILLA'!CG69,"AAAAAHr75no=")</f>
        <v>#VALUE!</v>
      </c>
      <c r="DT60" t="e">
        <f>AND('SPR BARRANQUILLA'!CH69,"AAAAAHr75ns=")</f>
        <v>#VALUE!</v>
      </c>
      <c r="DU60" t="e">
        <f>AND('SPR BARRANQUILLA'!CI69,"AAAAAHr75nw=")</f>
        <v>#VALUE!</v>
      </c>
      <c r="DV60" t="e">
        <f>AND('SPR BARRANQUILLA'!CJ69,"AAAAAHr75n0=")</f>
        <v>#VALUE!</v>
      </c>
      <c r="DW60" t="e">
        <f>AND('SPR BARRANQUILLA'!CK69,"AAAAAHr75n4=")</f>
        <v>#VALUE!</v>
      </c>
      <c r="DX60" t="e">
        <f>AND('SPR BARRANQUILLA'!CL69,"AAAAAHr75n8=")</f>
        <v>#VALUE!</v>
      </c>
      <c r="DY60" t="e">
        <f>AND('SPR BARRANQUILLA'!CM69,"AAAAAHr75oA=")</f>
        <v>#VALUE!</v>
      </c>
      <c r="DZ60" t="e">
        <f>AND('SPR BARRANQUILLA'!CN69,"AAAAAHr75oE=")</f>
        <v>#VALUE!</v>
      </c>
      <c r="EA60" t="e">
        <f>AND('SPR BARRANQUILLA'!CO69,"AAAAAHr75oI=")</f>
        <v>#VALUE!</v>
      </c>
      <c r="EB60" t="e">
        <f>AND('SPR BARRANQUILLA'!CP69,"AAAAAHr75oM=")</f>
        <v>#VALUE!</v>
      </c>
      <c r="EC60" t="e">
        <f>AND('SPR BARRANQUILLA'!CQ69,"AAAAAHr75oQ=")</f>
        <v>#VALUE!</v>
      </c>
      <c r="ED60" t="e">
        <f>AND('SPR BARRANQUILLA'!CR69,"AAAAAHr75oU=")</f>
        <v>#VALUE!</v>
      </c>
      <c r="EE60" t="e">
        <f>AND('SPR BARRANQUILLA'!CS69,"AAAAAHr75oY=")</f>
        <v>#VALUE!</v>
      </c>
      <c r="EF60" t="e">
        <f>AND('SPR BARRANQUILLA'!CT69,"AAAAAHr75oc=")</f>
        <v>#VALUE!</v>
      </c>
      <c r="EG60" t="e">
        <f>AND('SPR BARRANQUILLA'!CU69,"AAAAAHr75og=")</f>
        <v>#VALUE!</v>
      </c>
      <c r="EH60" t="e">
        <f>AND('SPR BARRANQUILLA'!CV69,"AAAAAHr75ok=")</f>
        <v>#VALUE!</v>
      </c>
      <c r="EI60" t="e">
        <f>AND('SPR BARRANQUILLA'!CW69,"AAAAAHr75oo=")</f>
        <v>#VALUE!</v>
      </c>
      <c r="EJ60" t="e">
        <f>AND('SPR BARRANQUILLA'!CX69,"AAAAAHr75os=")</f>
        <v>#VALUE!</v>
      </c>
      <c r="EK60" t="e">
        <f>AND('SPR BARRANQUILLA'!CY69,"AAAAAHr75ow=")</f>
        <v>#VALUE!</v>
      </c>
      <c r="EL60" t="e">
        <f>AND('SPR BARRANQUILLA'!CZ69,"AAAAAHr75o0=")</f>
        <v>#VALUE!</v>
      </c>
      <c r="EM60" t="e">
        <f>AND('SPR BARRANQUILLA'!DA69,"AAAAAHr75o4=")</f>
        <v>#VALUE!</v>
      </c>
      <c r="EN60" t="e">
        <f>AND('SPR BARRANQUILLA'!DB69,"AAAAAHr75o8=")</f>
        <v>#VALUE!</v>
      </c>
      <c r="EO60" t="e">
        <f>AND('SPR BARRANQUILLA'!DC69,"AAAAAHr75pA=")</f>
        <v>#VALUE!</v>
      </c>
      <c r="EP60" t="e">
        <f>AND('SPR BARRANQUILLA'!DD69,"AAAAAHr75pE=")</f>
        <v>#VALUE!</v>
      </c>
      <c r="EQ60" t="e">
        <f>AND('SPR BARRANQUILLA'!DE69,"AAAAAHr75pI=")</f>
        <v>#VALUE!</v>
      </c>
      <c r="ER60" t="e">
        <f>AND('SPR BARRANQUILLA'!DF69,"AAAAAHr75pM=")</f>
        <v>#VALUE!</v>
      </c>
      <c r="ES60" t="e">
        <f>AND('SPR BARRANQUILLA'!DG69,"AAAAAHr75pQ=")</f>
        <v>#VALUE!</v>
      </c>
      <c r="ET60" t="e">
        <f>AND('SPR BARRANQUILLA'!DH69,"AAAAAHr75pU=")</f>
        <v>#VALUE!</v>
      </c>
      <c r="EU60" t="e">
        <f>AND('SPR BARRANQUILLA'!DI69,"AAAAAHr75pY=")</f>
        <v>#VALUE!</v>
      </c>
      <c r="EV60" t="e">
        <f>AND('SPR BARRANQUILLA'!DJ69,"AAAAAHr75pc=")</f>
        <v>#VALUE!</v>
      </c>
      <c r="EW60" t="e">
        <f>AND('SPR BARRANQUILLA'!DK69,"AAAAAHr75pg=")</f>
        <v>#VALUE!</v>
      </c>
      <c r="EX60" t="e">
        <f>AND('SPR BARRANQUILLA'!DL69,"AAAAAHr75pk=")</f>
        <v>#VALUE!</v>
      </c>
      <c r="EY60" t="e">
        <f>AND('SPR BARRANQUILLA'!DM69,"AAAAAHr75po=")</f>
        <v>#VALUE!</v>
      </c>
      <c r="EZ60" t="e">
        <f>AND('SPR BARRANQUILLA'!DN69,"AAAAAHr75ps=")</f>
        <v>#VALUE!</v>
      </c>
      <c r="FA60" t="e">
        <f>AND('SPR BARRANQUILLA'!DO69,"AAAAAHr75pw=")</f>
        <v>#VALUE!</v>
      </c>
      <c r="FB60" t="e">
        <f>AND('SPR BARRANQUILLA'!DP69,"AAAAAHr75p0=")</f>
        <v>#VALUE!</v>
      </c>
      <c r="FC60" t="e">
        <f>AND('SPR BARRANQUILLA'!DQ69,"AAAAAHr75p4=")</f>
        <v>#VALUE!</v>
      </c>
      <c r="FD60" t="e">
        <f>AND('SPR BARRANQUILLA'!DR69,"AAAAAHr75p8=")</f>
        <v>#VALUE!</v>
      </c>
      <c r="FE60" t="e">
        <f>AND('SPR BARRANQUILLA'!DS69,"AAAAAHr75qA=")</f>
        <v>#VALUE!</v>
      </c>
      <c r="FF60" t="e">
        <f>AND('SPR BARRANQUILLA'!DT69,"AAAAAHr75qE=")</f>
        <v>#VALUE!</v>
      </c>
      <c r="FG60" t="e">
        <f>AND('SPR BARRANQUILLA'!DU69,"AAAAAHr75qI=")</f>
        <v>#VALUE!</v>
      </c>
      <c r="FH60" t="e">
        <f>AND('SPR BARRANQUILLA'!DV69,"AAAAAHr75qM=")</f>
        <v>#VALUE!</v>
      </c>
      <c r="FI60" t="e">
        <f>AND('SPR BARRANQUILLA'!DW69,"AAAAAHr75qQ=")</f>
        <v>#VALUE!</v>
      </c>
      <c r="FJ60" t="e">
        <f>AND('SPR BARRANQUILLA'!DX69,"AAAAAHr75qU=")</f>
        <v>#VALUE!</v>
      </c>
      <c r="FK60" t="e">
        <f>AND('SPR BARRANQUILLA'!DY69,"AAAAAHr75qY=")</f>
        <v>#VALUE!</v>
      </c>
      <c r="FL60" t="e">
        <f>AND('SPR BARRANQUILLA'!DZ69,"AAAAAHr75qc=")</f>
        <v>#VALUE!</v>
      </c>
      <c r="FM60" t="e">
        <f>AND('SPR BARRANQUILLA'!EA69,"AAAAAHr75qg=")</f>
        <v>#VALUE!</v>
      </c>
      <c r="FN60" t="e">
        <f>AND('SPR BARRANQUILLA'!EB69,"AAAAAHr75qk=")</f>
        <v>#VALUE!</v>
      </c>
      <c r="FO60" t="e">
        <f>AND('SPR BARRANQUILLA'!EC69,"AAAAAHr75qo=")</f>
        <v>#VALUE!</v>
      </c>
      <c r="FP60" t="e">
        <f>AND('SPR BARRANQUILLA'!ED69,"AAAAAHr75qs=")</f>
        <v>#VALUE!</v>
      </c>
      <c r="FQ60" t="e">
        <f>AND('SPR BARRANQUILLA'!EE69,"AAAAAHr75qw=")</f>
        <v>#VALUE!</v>
      </c>
      <c r="FR60" t="e">
        <f>AND('SPR BARRANQUILLA'!EF69,"AAAAAHr75q0=")</f>
        <v>#VALUE!</v>
      </c>
      <c r="FS60" t="e">
        <f>AND('SPR BARRANQUILLA'!EG69,"AAAAAHr75q4=")</f>
        <v>#VALUE!</v>
      </c>
      <c r="FT60" t="e">
        <f>AND('SPR BARRANQUILLA'!EH69,"AAAAAHr75q8=")</f>
        <v>#VALUE!</v>
      </c>
      <c r="FU60" t="e">
        <f>AND('SPR BARRANQUILLA'!EI69,"AAAAAHr75rA=")</f>
        <v>#VALUE!</v>
      </c>
      <c r="FV60" t="e">
        <f>AND('SPR BARRANQUILLA'!EJ69,"AAAAAHr75rE=")</f>
        <v>#VALUE!</v>
      </c>
      <c r="FW60" t="e">
        <f>AND('SPR BARRANQUILLA'!EK69,"AAAAAHr75rI=")</f>
        <v>#VALUE!</v>
      </c>
      <c r="FX60" t="e">
        <f>AND('SPR BARRANQUILLA'!EL69,"AAAAAHr75rM=")</f>
        <v>#VALUE!</v>
      </c>
      <c r="FY60" t="e">
        <f>AND('SPR BARRANQUILLA'!EM69,"AAAAAHr75rQ=")</f>
        <v>#VALUE!</v>
      </c>
      <c r="FZ60" t="e">
        <f>AND('SPR BARRANQUILLA'!EN69,"AAAAAHr75rU=")</f>
        <v>#VALUE!</v>
      </c>
      <c r="GA60" t="e">
        <f>AND('SPR BARRANQUILLA'!EO69,"AAAAAHr75rY=")</f>
        <v>#VALUE!</v>
      </c>
      <c r="GB60" t="e">
        <f>AND('SPR BARRANQUILLA'!EP69,"AAAAAHr75rc=")</f>
        <v>#VALUE!</v>
      </c>
      <c r="GC60" t="e">
        <f>AND('SPR BARRANQUILLA'!EQ69,"AAAAAHr75rg=")</f>
        <v>#VALUE!</v>
      </c>
      <c r="GD60" t="e">
        <f>AND('SPR BARRANQUILLA'!ER69,"AAAAAHr75rk=")</f>
        <v>#VALUE!</v>
      </c>
      <c r="GE60" t="e">
        <f>AND('SPR BARRANQUILLA'!ES69,"AAAAAHr75ro=")</f>
        <v>#VALUE!</v>
      </c>
      <c r="GF60" t="e">
        <f>AND('SPR BARRANQUILLA'!ET69,"AAAAAHr75rs=")</f>
        <v>#VALUE!</v>
      </c>
      <c r="GG60" t="e">
        <f>AND('SPR BARRANQUILLA'!EU69,"AAAAAHr75rw=")</f>
        <v>#VALUE!</v>
      </c>
      <c r="GH60" t="e">
        <f>AND('SPR BARRANQUILLA'!EV69,"AAAAAHr75r0=")</f>
        <v>#VALUE!</v>
      </c>
      <c r="GI60" t="e">
        <f>AND('SPR BARRANQUILLA'!EW69,"AAAAAHr75r4=")</f>
        <v>#VALUE!</v>
      </c>
      <c r="GJ60" t="e">
        <f>AND('SPR BARRANQUILLA'!EX69,"AAAAAHr75r8=")</f>
        <v>#VALUE!</v>
      </c>
      <c r="GK60" t="e">
        <f>AND('SPR BARRANQUILLA'!EY69,"AAAAAHr75sA=")</f>
        <v>#VALUE!</v>
      </c>
      <c r="GL60" t="e">
        <f>AND('SPR BARRANQUILLA'!EZ69,"AAAAAHr75sE=")</f>
        <v>#VALUE!</v>
      </c>
      <c r="GM60" t="e">
        <f>AND('SPR BARRANQUILLA'!FA69,"AAAAAHr75sI=")</f>
        <v>#VALUE!</v>
      </c>
      <c r="GN60" t="e">
        <f>AND('SPR BARRANQUILLA'!FB69,"AAAAAHr75sM=")</f>
        <v>#VALUE!</v>
      </c>
      <c r="GO60" t="e">
        <f>AND('SPR BARRANQUILLA'!FC69,"AAAAAHr75sQ=")</f>
        <v>#VALUE!</v>
      </c>
      <c r="GP60" t="e">
        <f>AND('SPR BARRANQUILLA'!FD69,"AAAAAHr75sU=")</f>
        <v>#VALUE!</v>
      </c>
      <c r="GQ60" t="e">
        <f>AND('SPR BARRANQUILLA'!FE69,"AAAAAHr75sY=")</f>
        <v>#VALUE!</v>
      </c>
      <c r="GR60" t="e">
        <f>AND('SPR BARRANQUILLA'!FF69,"AAAAAHr75sc=")</f>
        <v>#VALUE!</v>
      </c>
      <c r="GS60" t="e">
        <f>AND('SPR BARRANQUILLA'!FG69,"AAAAAHr75sg=")</f>
        <v>#VALUE!</v>
      </c>
      <c r="GT60" t="e">
        <f>AND('SPR BARRANQUILLA'!FH69,"AAAAAHr75sk=")</f>
        <v>#VALUE!</v>
      </c>
      <c r="GU60" t="e">
        <f>AND('SPR BARRANQUILLA'!FI69,"AAAAAHr75so=")</f>
        <v>#VALUE!</v>
      </c>
      <c r="GV60" t="e">
        <f>AND('SPR BARRANQUILLA'!FJ69,"AAAAAHr75ss=")</f>
        <v>#VALUE!</v>
      </c>
      <c r="GW60" t="e">
        <f>AND('SPR BARRANQUILLA'!FK69,"AAAAAHr75sw=")</f>
        <v>#VALUE!</v>
      </c>
      <c r="GX60" t="e">
        <f>AND('SPR BARRANQUILLA'!FL69,"AAAAAHr75s0=")</f>
        <v>#VALUE!</v>
      </c>
      <c r="GY60" t="e">
        <f>AND('SPR BARRANQUILLA'!FM69,"AAAAAHr75s4=")</f>
        <v>#VALUE!</v>
      </c>
      <c r="GZ60" t="e">
        <f>AND('SPR BARRANQUILLA'!FN69,"AAAAAHr75s8=")</f>
        <v>#VALUE!</v>
      </c>
      <c r="HA60" t="e">
        <f>AND('SPR BARRANQUILLA'!FO69,"AAAAAHr75tA=")</f>
        <v>#VALUE!</v>
      </c>
      <c r="HB60" t="e">
        <f>AND('SPR BARRANQUILLA'!FP69,"AAAAAHr75tE=")</f>
        <v>#VALUE!</v>
      </c>
      <c r="HC60" t="e">
        <f>AND('SPR BARRANQUILLA'!FQ69,"AAAAAHr75tI=")</f>
        <v>#VALUE!</v>
      </c>
      <c r="HD60" t="e">
        <f>AND('SPR BARRANQUILLA'!FR69,"AAAAAHr75tM=")</f>
        <v>#VALUE!</v>
      </c>
      <c r="HE60" t="e">
        <f>AND('SPR BARRANQUILLA'!FS69,"AAAAAHr75tQ=")</f>
        <v>#VALUE!</v>
      </c>
      <c r="HF60" t="e">
        <f>AND('SPR BARRANQUILLA'!FT69,"AAAAAHr75tU=")</f>
        <v>#VALUE!</v>
      </c>
      <c r="HG60" t="e">
        <f>AND('SPR BARRANQUILLA'!FU69,"AAAAAHr75tY=")</f>
        <v>#VALUE!</v>
      </c>
      <c r="HH60" t="e">
        <f>AND('SPR BARRANQUILLA'!FV69,"AAAAAHr75tc=")</f>
        <v>#VALUE!</v>
      </c>
      <c r="HI60" t="e">
        <f>AND('SPR BARRANQUILLA'!FW69,"AAAAAHr75tg=")</f>
        <v>#VALUE!</v>
      </c>
      <c r="HJ60" t="e">
        <f>AND('SPR BARRANQUILLA'!FX69,"AAAAAHr75tk=")</f>
        <v>#VALUE!</v>
      </c>
      <c r="HK60" t="e">
        <f>AND('SPR BARRANQUILLA'!FY69,"AAAAAHr75to=")</f>
        <v>#VALUE!</v>
      </c>
      <c r="HL60" t="e">
        <f>AND('SPR BARRANQUILLA'!FZ69,"AAAAAHr75ts=")</f>
        <v>#VALUE!</v>
      </c>
      <c r="HM60" t="e">
        <f>AND('SPR BARRANQUILLA'!GA69,"AAAAAHr75tw=")</f>
        <v>#VALUE!</v>
      </c>
      <c r="HN60" t="e">
        <f>AND('SPR BARRANQUILLA'!GB69,"AAAAAHr75t0=")</f>
        <v>#VALUE!</v>
      </c>
      <c r="HO60" t="e">
        <f>AND('SPR BARRANQUILLA'!GC69,"AAAAAHr75t4=")</f>
        <v>#VALUE!</v>
      </c>
      <c r="HP60" t="e">
        <f>AND('SPR BARRANQUILLA'!GD69,"AAAAAHr75t8=")</f>
        <v>#VALUE!</v>
      </c>
      <c r="HQ60" t="e">
        <f>AND('SPR BARRANQUILLA'!GE69,"AAAAAHr75uA=")</f>
        <v>#VALUE!</v>
      </c>
      <c r="HR60" t="e">
        <f>AND('SPR BARRANQUILLA'!GF69,"AAAAAHr75uE=")</f>
        <v>#VALUE!</v>
      </c>
      <c r="HS60" t="e">
        <f>AND('SPR BARRANQUILLA'!GG69,"AAAAAHr75uI=")</f>
        <v>#VALUE!</v>
      </c>
      <c r="HT60" t="e">
        <f>AND('SPR BARRANQUILLA'!GH69,"AAAAAHr75uM=")</f>
        <v>#VALUE!</v>
      </c>
      <c r="HU60" t="e">
        <f>AND('SPR BARRANQUILLA'!GI69,"AAAAAHr75uQ=")</f>
        <v>#VALUE!</v>
      </c>
      <c r="HV60" t="e">
        <f>AND('SPR BARRANQUILLA'!GJ69,"AAAAAHr75uU=")</f>
        <v>#VALUE!</v>
      </c>
      <c r="HW60" t="e">
        <f>AND('SPR BARRANQUILLA'!GK69,"AAAAAHr75uY=")</f>
        <v>#VALUE!</v>
      </c>
      <c r="HX60" t="e">
        <f>AND('SPR BARRANQUILLA'!GL69,"AAAAAHr75uc=")</f>
        <v>#VALUE!</v>
      </c>
      <c r="HY60" t="e">
        <f>AND('SPR BARRANQUILLA'!GM69,"AAAAAHr75ug=")</f>
        <v>#VALUE!</v>
      </c>
      <c r="HZ60" t="e">
        <f>AND('SPR BARRANQUILLA'!GN69,"AAAAAHr75uk=")</f>
        <v>#VALUE!</v>
      </c>
      <c r="IA60" t="e">
        <f>AND('SPR BARRANQUILLA'!GO69,"AAAAAHr75uo=")</f>
        <v>#VALUE!</v>
      </c>
      <c r="IB60" t="e">
        <f>AND('SPR BARRANQUILLA'!GP69,"AAAAAHr75us=")</f>
        <v>#VALUE!</v>
      </c>
      <c r="IC60" t="e">
        <f>AND('SPR BARRANQUILLA'!GQ69,"AAAAAHr75uw=")</f>
        <v>#VALUE!</v>
      </c>
      <c r="ID60" t="e">
        <f>AND('SPR BARRANQUILLA'!GR69,"AAAAAHr75u0=")</f>
        <v>#VALUE!</v>
      </c>
      <c r="IE60" t="e">
        <f>AND('SPR BARRANQUILLA'!GS69,"AAAAAHr75u4=")</f>
        <v>#VALUE!</v>
      </c>
      <c r="IF60" t="e">
        <f>AND('SPR BARRANQUILLA'!GT69,"AAAAAHr75u8=")</f>
        <v>#VALUE!</v>
      </c>
      <c r="IG60" t="e">
        <f>AND('SPR BARRANQUILLA'!GU69,"AAAAAHr75vA=")</f>
        <v>#VALUE!</v>
      </c>
      <c r="IH60" t="e">
        <f>AND('SPR BARRANQUILLA'!GV69,"AAAAAHr75vE=")</f>
        <v>#VALUE!</v>
      </c>
      <c r="II60" t="e">
        <f>AND('SPR BARRANQUILLA'!GW69,"AAAAAHr75vI=")</f>
        <v>#VALUE!</v>
      </c>
      <c r="IJ60" t="e">
        <f>AND('SPR BARRANQUILLA'!GX69,"AAAAAHr75vM=")</f>
        <v>#VALUE!</v>
      </c>
      <c r="IK60" t="e">
        <f>AND('SPR BARRANQUILLA'!GY69,"AAAAAHr75vQ=")</f>
        <v>#VALUE!</v>
      </c>
      <c r="IL60">
        <f>IF('SPR BARRANQUILLA'!70:70,"AAAAAHr75vU=",0)</f>
        <v>0</v>
      </c>
      <c r="IM60" t="e">
        <f>AND('SPR BARRANQUILLA'!A70,"AAAAAHr75vY=")</f>
        <v>#VALUE!</v>
      </c>
      <c r="IN60" t="e">
        <f>AND('SPR BARRANQUILLA'!B70,"AAAAAHr75vc=")</f>
        <v>#VALUE!</v>
      </c>
      <c r="IO60" t="e">
        <f>AND('SPR BARRANQUILLA'!C70,"AAAAAHr75vg=")</f>
        <v>#VALUE!</v>
      </c>
      <c r="IP60" t="e">
        <f>AND('SPR BARRANQUILLA'!D70,"AAAAAHr75vk=")</f>
        <v>#VALUE!</v>
      </c>
      <c r="IQ60" t="e">
        <f>AND('SPR BARRANQUILLA'!E70,"AAAAAHr75vo=")</f>
        <v>#VALUE!</v>
      </c>
      <c r="IR60" t="e">
        <f>AND('SPR BARRANQUILLA'!F70,"AAAAAHr75vs=")</f>
        <v>#VALUE!</v>
      </c>
      <c r="IS60" t="e">
        <f>AND('SPR BARRANQUILLA'!G70,"AAAAAHr75vw=")</f>
        <v>#VALUE!</v>
      </c>
      <c r="IT60" t="e">
        <f>AND('SPR BARRANQUILLA'!H70,"AAAAAHr75v0=")</f>
        <v>#VALUE!</v>
      </c>
      <c r="IU60" t="e">
        <f>AND('SPR BARRANQUILLA'!I70,"AAAAAHr75v4=")</f>
        <v>#VALUE!</v>
      </c>
      <c r="IV60" t="e">
        <f>AND('SPR BARRANQUILLA'!J70,"AAAAAHr75v8=")</f>
        <v>#VALUE!</v>
      </c>
    </row>
    <row r="61" spans="1:256">
      <c r="A61" t="e">
        <f>AND('SPR BARRANQUILLA'!K70,"AAAAACX+1wA=")</f>
        <v>#VALUE!</v>
      </c>
      <c r="B61" t="e">
        <f>AND('SPR BARRANQUILLA'!L70,"AAAAACX+1wE=")</f>
        <v>#VALUE!</v>
      </c>
      <c r="C61" t="e">
        <f>AND('SPR BARRANQUILLA'!M70,"AAAAACX+1wI=")</f>
        <v>#VALUE!</v>
      </c>
      <c r="D61" t="e">
        <f>AND('SPR BARRANQUILLA'!N70,"AAAAACX+1wM=")</f>
        <v>#VALUE!</v>
      </c>
      <c r="E61" t="e">
        <f>AND('SPR BARRANQUILLA'!O70,"AAAAACX+1wQ=")</f>
        <v>#VALUE!</v>
      </c>
      <c r="F61" t="e">
        <f>AND('SPR BARRANQUILLA'!P70,"AAAAACX+1wU=")</f>
        <v>#VALUE!</v>
      </c>
      <c r="G61" t="e">
        <f>AND('SPR BARRANQUILLA'!Q70,"AAAAACX+1wY=")</f>
        <v>#VALUE!</v>
      </c>
      <c r="H61" t="e">
        <f>AND('SPR BARRANQUILLA'!R70,"AAAAACX+1wc=")</f>
        <v>#VALUE!</v>
      </c>
      <c r="I61" t="e">
        <f>AND('SPR BARRANQUILLA'!S70,"AAAAACX+1wg=")</f>
        <v>#VALUE!</v>
      </c>
      <c r="J61" t="e">
        <f>AND('SPR BARRANQUILLA'!T70,"AAAAACX+1wk=")</f>
        <v>#VALUE!</v>
      </c>
      <c r="K61" t="e">
        <f>AND('SPR BARRANQUILLA'!U70,"AAAAACX+1wo=")</f>
        <v>#VALUE!</v>
      </c>
      <c r="L61" t="e">
        <f>AND('SPR BARRANQUILLA'!V70,"AAAAACX+1ws=")</f>
        <v>#VALUE!</v>
      </c>
      <c r="M61" t="e">
        <f>AND('SPR BARRANQUILLA'!W70,"AAAAACX+1ww=")</f>
        <v>#VALUE!</v>
      </c>
      <c r="N61" t="e">
        <f>AND('SPR BARRANQUILLA'!X70,"AAAAACX+1w0=")</f>
        <v>#VALUE!</v>
      </c>
      <c r="O61" t="e">
        <f>AND('SPR BARRANQUILLA'!Y70,"AAAAACX+1w4=")</f>
        <v>#VALUE!</v>
      </c>
      <c r="P61" t="e">
        <f>AND('SPR BARRANQUILLA'!Z70,"AAAAACX+1w8=")</f>
        <v>#VALUE!</v>
      </c>
      <c r="Q61" t="e">
        <f>AND('SPR BARRANQUILLA'!AA70,"AAAAACX+1xA=")</f>
        <v>#VALUE!</v>
      </c>
      <c r="R61" t="e">
        <f>AND('SPR BARRANQUILLA'!AB70,"AAAAACX+1xE=")</f>
        <v>#VALUE!</v>
      </c>
      <c r="S61" t="e">
        <f>AND('SPR BARRANQUILLA'!AC70,"AAAAACX+1xI=")</f>
        <v>#VALUE!</v>
      </c>
      <c r="T61" t="e">
        <f>AND('SPR BARRANQUILLA'!AD70,"AAAAACX+1xM=")</f>
        <v>#VALUE!</v>
      </c>
      <c r="U61" t="e">
        <f>AND('SPR BARRANQUILLA'!AE70,"AAAAACX+1xQ=")</f>
        <v>#VALUE!</v>
      </c>
      <c r="V61" t="e">
        <f>AND('SPR BARRANQUILLA'!AF70,"AAAAACX+1xU=")</f>
        <v>#VALUE!</v>
      </c>
      <c r="W61" t="e">
        <f>AND('SPR BARRANQUILLA'!AG70,"AAAAACX+1xY=")</f>
        <v>#VALUE!</v>
      </c>
      <c r="X61" t="e">
        <f>AND('SPR BARRANQUILLA'!AH70,"AAAAACX+1xc=")</f>
        <v>#VALUE!</v>
      </c>
      <c r="Y61" t="e">
        <f>AND('SPR BARRANQUILLA'!AI70,"AAAAACX+1xg=")</f>
        <v>#VALUE!</v>
      </c>
      <c r="Z61" t="e">
        <f>AND('SPR BARRANQUILLA'!AJ70,"AAAAACX+1xk=")</f>
        <v>#VALUE!</v>
      </c>
      <c r="AA61" t="e">
        <f>AND('SPR BARRANQUILLA'!AK70,"AAAAACX+1xo=")</f>
        <v>#VALUE!</v>
      </c>
      <c r="AB61" t="e">
        <f>AND('SPR BARRANQUILLA'!AL70,"AAAAACX+1xs=")</f>
        <v>#VALUE!</v>
      </c>
      <c r="AC61" t="e">
        <f>AND('SPR BARRANQUILLA'!AM70,"AAAAACX+1xw=")</f>
        <v>#VALUE!</v>
      </c>
      <c r="AD61" t="e">
        <f>AND('SPR BARRANQUILLA'!AN70,"AAAAACX+1x0=")</f>
        <v>#VALUE!</v>
      </c>
      <c r="AE61" t="e">
        <f>AND('SPR BARRANQUILLA'!AO70,"AAAAACX+1x4=")</f>
        <v>#VALUE!</v>
      </c>
      <c r="AF61" t="e">
        <f>AND('SPR BARRANQUILLA'!AP70,"AAAAACX+1x8=")</f>
        <v>#VALUE!</v>
      </c>
      <c r="AG61" t="e">
        <f>AND('SPR BARRANQUILLA'!AQ70,"AAAAACX+1yA=")</f>
        <v>#VALUE!</v>
      </c>
      <c r="AH61" t="e">
        <f>AND('SPR BARRANQUILLA'!AR70,"AAAAACX+1yE=")</f>
        <v>#VALUE!</v>
      </c>
      <c r="AI61" t="e">
        <f>AND('SPR BARRANQUILLA'!AS70,"AAAAACX+1yI=")</f>
        <v>#VALUE!</v>
      </c>
      <c r="AJ61" t="e">
        <f>AND('SPR BARRANQUILLA'!AT70,"AAAAACX+1yM=")</f>
        <v>#VALUE!</v>
      </c>
      <c r="AK61" t="e">
        <f>AND('SPR BARRANQUILLA'!AU70,"AAAAACX+1yQ=")</f>
        <v>#VALUE!</v>
      </c>
      <c r="AL61" t="e">
        <f>AND('SPR BARRANQUILLA'!AV70,"AAAAACX+1yU=")</f>
        <v>#VALUE!</v>
      </c>
      <c r="AM61" t="e">
        <f>AND('SPR BARRANQUILLA'!AW70,"AAAAACX+1yY=")</f>
        <v>#VALUE!</v>
      </c>
      <c r="AN61" t="e">
        <f>AND('SPR BARRANQUILLA'!AX70,"AAAAACX+1yc=")</f>
        <v>#VALUE!</v>
      </c>
      <c r="AO61" t="e">
        <f>AND('SPR BARRANQUILLA'!AY70,"AAAAACX+1yg=")</f>
        <v>#VALUE!</v>
      </c>
      <c r="AP61" t="e">
        <f>AND('SPR BARRANQUILLA'!AZ70,"AAAAACX+1yk=")</f>
        <v>#VALUE!</v>
      </c>
      <c r="AQ61" t="e">
        <f>AND('SPR BARRANQUILLA'!BA70,"AAAAACX+1yo=")</f>
        <v>#VALUE!</v>
      </c>
      <c r="AR61" t="e">
        <f>AND('SPR BARRANQUILLA'!BB70,"AAAAACX+1ys=")</f>
        <v>#VALUE!</v>
      </c>
      <c r="AS61" t="e">
        <f>AND('SPR BARRANQUILLA'!BC70,"AAAAACX+1yw=")</f>
        <v>#VALUE!</v>
      </c>
      <c r="AT61" t="e">
        <f>AND('SPR BARRANQUILLA'!BD70,"AAAAACX+1y0=")</f>
        <v>#VALUE!</v>
      </c>
      <c r="AU61" t="e">
        <f>AND('SPR BARRANQUILLA'!BE70,"AAAAACX+1y4=")</f>
        <v>#VALUE!</v>
      </c>
      <c r="AV61" t="e">
        <f>AND('SPR BARRANQUILLA'!BF70,"AAAAACX+1y8=")</f>
        <v>#VALUE!</v>
      </c>
      <c r="AW61" t="e">
        <f>AND('SPR BARRANQUILLA'!BG70,"AAAAACX+1zA=")</f>
        <v>#VALUE!</v>
      </c>
      <c r="AX61" t="e">
        <f>AND('SPR BARRANQUILLA'!BH70,"AAAAACX+1zE=")</f>
        <v>#VALUE!</v>
      </c>
      <c r="AY61" t="e">
        <f>AND('SPR BARRANQUILLA'!BI70,"AAAAACX+1zI=")</f>
        <v>#VALUE!</v>
      </c>
      <c r="AZ61" t="e">
        <f>AND('SPR BARRANQUILLA'!BJ70,"AAAAACX+1zM=")</f>
        <v>#VALUE!</v>
      </c>
      <c r="BA61" t="e">
        <f>AND('SPR BARRANQUILLA'!BK70,"AAAAACX+1zQ=")</f>
        <v>#VALUE!</v>
      </c>
      <c r="BB61" t="e">
        <f>AND('SPR BARRANQUILLA'!BL70,"AAAAACX+1zU=")</f>
        <v>#VALUE!</v>
      </c>
      <c r="BC61" t="e">
        <f>AND('SPR BARRANQUILLA'!BM70,"AAAAACX+1zY=")</f>
        <v>#VALUE!</v>
      </c>
      <c r="BD61" t="e">
        <f>AND('SPR BARRANQUILLA'!BN70,"AAAAACX+1zc=")</f>
        <v>#VALUE!</v>
      </c>
      <c r="BE61" t="e">
        <f>AND('SPR BARRANQUILLA'!BO70,"AAAAACX+1zg=")</f>
        <v>#VALUE!</v>
      </c>
      <c r="BF61" t="e">
        <f>AND('SPR BARRANQUILLA'!BP70,"AAAAACX+1zk=")</f>
        <v>#VALUE!</v>
      </c>
      <c r="BG61" t="e">
        <f>AND('SPR BARRANQUILLA'!BQ70,"AAAAACX+1zo=")</f>
        <v>#VALUE!</v>
      </c>
      <c r="BH61" t="e">
        <f>AND('SPR BARRANQUILLA'!BR70,"AAAAACX+1zs=")</f>
        <v>#VALUE!</v>
      </c>
      <c r="BI61" t="e">
        <f>AND('SPR BARRANQUILLA'!BS70,"AAAAACX+1zw=")</f>
        <v>#VALUE!</v>
      </c>
      <c r="BJ61" t="e">
        <f>AND('SPR BARRANQUILLA'!BT70,"AAAAACX+1z0=")</f>
        <v>#VALUE!</v>
      </c>
      <c r="BK61" t="e">
        <f>AND('SPR BARRANQUILLA'!BU70,"AAAAACX+1z4=")</f>
        <v>#VALUE!</v>
      </c>
      <c r="BL61" t="e">
        <f>AND('SPR BARRANQUILLA'!BV70,"AAAAACX+1z8=")</f>
        <v>#VALUE!</v>
      </c>
      <c r="BM61" t="e">
        <f>AND('SPR BARRANQUILLA'!BW70,"AAAAACX+10A=")</f>
        <v>#VALUE!</v>
      </c>
      <c r="BN61" t="e">
        <f>AND('SPR BARRANQUILLA'!BX70,"AAAAACX+10E=")</f>
        <v>#VALUE!</v>
      </c>
      <c r="BO61" t="e">
        <f>AND('SPR BARRANQUILLA'!BY70,"AAAAACX+10I=")</f>
        <v>#VALUE!</v>
      </c>
      <c r="BP61" t="e">
        <f>AND('SPR BARRANQUILLA'!BZ70,"AAAAACX+10M=")</f>
        <v>#VALUE!</v>
      </c>
      <c r="BQ61" t="e">
        <f>AND('SPR BARRANQUILLA'!CA70,"AAAAACX+10Q=")</f>
        <v>#VALUE!</v>
      </c>
      <c r="BR61" t="e">
        <f>AND('SPR BARRANQUILLA'!CB70,"AAAAACX+10U=")</f>
        <v>#VALUE!</v>
      </c>
      <c r="BS61" t="e">
        <f>AND('SPR BARRANQUILLA'!CC70,"AAAAACX+10Y=")</f>
        <v>#VALUE!</v>
      </c>
      <c r="BT61" t="e">
        <f>AND('SPR BARRANQUILLA'!CD70,"AAAAACX+10c=")</f>
        <v>#VALUE!</v>
      </c>
      <c r="BU61" t="e">
        <f>AND('SPR BARRANQUILLA'!CE70,"AAAAACX+10g=")</f>
        <v>#VALUE!</v>
      </c>
      <c r="BV61" t="e">
        <f>AND('SPR BARRANQUILLA'!CF70,"AAAAACX+10k=")</f>
        <v>#VALUE!</v>
      </c>
      <c r="BW61" t="e">
        <f>AND('SPR BARRANQUILLA'!CG70,"AAAAACX+10o=")</f>
        <v>#VALUE!</v>
      </c>
      <c r="BX61" t="e">
        <f>AND('SPR BARRANQUILLA'!CH70,"AAAAACX+10s=")</f>
        <v>#VALUE!</v>
      </c>
      <c r="BY61" t="e">
        <f>AND('SPR BARRANQUILLA'!CI70,"AAAAACX+10w=")</f>
        <v>#VALUE!</v>
      </c>
      <c r="BZ61" t="e">
        <f>AND('SPR BARRANQUILLA'!CJ70,"AAAAACX+100=")</f>
        <v>#VALUE!</v>
      </c>
      <c r="CA61" t="e">
        <f>AND('SPR BARRANQUILLA'!CK70,"AAAAACX+104=")</f>
        <v>#VALUE!</v>
      </c>
      <c r="CB61" t="e">
        <f>AND('SPR BARRANQUILLA'!CL70,"AAAAACX+108=")</f>
        <v>#VALUE!</v>
      </c>
      <c r="CC61" t="e">
        <f>AND('SPR BARRANQUILLA'!CM70,"AAAAACX+11A=")</f>
        <v>#VALUE!</v>
      </c>
      <c r="CD61" t="e">
        <f>AND('SPR BARRANQUILLA'!CN70,"AAAAACX+11E=")</f>
        <v>#VALUE!</v>
      </c>
      <c r="CE61" t="e">
        <f>AND('SPR BARRANQUILLA'!CO70,"AAAAACX+11I=")</f>
        <v>#VALUE!</v>
      </c>
      <c r="CF61" t="e">
        <f>AND('SPR BARRANQUILLA'!CP70,"AAAAACX+11M=")</f>
        <v>#VALUE!</v>
      </c>
      <c r="CG61" t="e">
        <f>AND('SPR BARRANQUILLA'!CQ70,"AAAAACX+11Q=")</f>
        <v>#VALUE!</v>
      </c>
      <c r="CH61" t="e">
        <f>AND('SPR BARRANQUILLA'!CR70,"AAAAACX+11U=")</f>
        <v>#VALUE!</v>
      </c>
      <c r="CI61" t="e">
        <f>AND('SPR BARRANQUILLA'!CS70,"AAAAACX+11Y=")</f>
        <v>#VALUE!</v>
      </c>
      <c r="CJ61" t="e">
        <f>AND('SPR BARRANQUILLA'!CT70,"AAAAACX+11c=")</f>
        <v>#VALUE!</v>
      </c>
      <c r="CK61" t="e">
        <f>AND('SPR BARRANQUILLA'!CU70,"AAAAACX+11g=")</f>
        <v>#VALUE!</v>
      </c>
      <c r="CL61" t="e">
        <f>AND('SPR BARRANQUILLA'!CV70,"AAAAACX+11k=")</f>
        <v>#VALUE!</v>
      </c>
      <c r="CM61" t="e">
        <f>AND('SPR BARRANQUILLA'!CW70,"AAAAACX+11o=")</f>
        <v>#VALUE!</v>
      </c>
      <c r="CN61" t="e">
        <f>AND('SPR BARRANQUILLA'!CX70,"AAAAACX+11s=")</f>
        <v>#VALUE!</v>
      </c>
      <c r="CO61" t="e">
        <f>AND('SPR BARRANQUILLA'!CY70,"AAAAACX+11w=")</f>
        <v>#VALUE!</v>
      </c>
      <c r="CP61" t="e">
        <f>AND('SPR BARRANQUILLA'!CZ70,"AAAAACX+110=")</f>
        <v>#VALUE!</v>
      </c>
      <c r="CQ61" t="e">
        <f>AND('SPR BARRANQUILLA'!DA70,"AAAAACX+114=")</f>
        <v>#VALUE!</v>
      </c>
      <c r="CR61" t="e">
        <f>AND('SPR BARRANQUILLA'!DB70,"AAAAACX+118=")</f>
        <v>#VALUE!</v>
      </c>
      <c r="CS61" t="e">
        <f>AND('SPR BARRANQUILLA'!DC70,"AAAAACX+12A=")</f>
        <v>#VALUE!</v>
      </c>
      <c r="CT61" t="e">
        <f>AND('SPR BARRANQUILLA'!DD70,"AAAAACX+12E=")</f>
        <v>#VALUE!</v>
      </c>
      <c r="CU61" t="e">
        <f>AND('SPR BARRANQUILLA'!DE70,"AAAAACX+12I=")</f>
        <v>#VALUE!</v>
      </c>
      <c r="CV61" t="e">
        <f>AND('SPR BARRANQUILLA'!DF70,"AAAAACX+12M=")</f>
        <v>#VALUE!</v>
      </c>
      <c r="CW61" t="e">
        <f>AND('SPR BARRANQUILLA'!DG70,"AAAAACX+12Q=")</f>
        <v>#VALUE!</v>
      </c>
      <c r="CX61" t="e">
        <f>AND('SPR BARRANQUILLA'!DH70,"AAAAACX+12U=")</f>
        <v>#VALUE!</v>
      </c>
      <c r="CY61" t="e">
        <f>AND('SPR BARRANQUILLA'!DI70,"AAAAACX+12Y=")</f>
        <v>#VALUE!</v>
      </c>
      <c r="CZ61" t="e">
        <f>AND('SPR BARRANQUILLA'!DJ70,"AAAAACX+12c=")</f>
        <v>#VALUE!</v>
      </c>
      <c r="DA61" t="e">
        <f>AND('SPR BARRANQUILLA'!DK70,"AAAAACX+12g=")</f>
        <v>#VALUE!</v>
      </c>
      <c r="DB61" t="e">
        <f>AND('SPR BARRANQUILLA'!DL70,"AAAAACX+12k=")</f>
        <v>#VALUE!</v>
      </c>
      <c r="DC61" t="e">
        <f>AND('SPR BARRANQUILLA'!DM70,"AAAAACX+12o=")</f>
        <v>#VALUE!</v>
      </c>
      <c r="DD61" t="e">
        <f>AND('SPR BARRANQUILLA'!DN70,"AAAAACX+12s=")</f>
        <v>#VALUE!</v>
      </c>
      <c r="DE61" t="e">
        <f>AND('SPR BARRANQUILLA'!DO70,"AAAAACX+12w=")</f>
        <v>#VALUE!</v>
      </c>
      <c r="DF61" t="e">
        <f>AND('SPR BARRANQUILLA'!DP70,"AAAAACX+120=")</f>
        <v>#VALUE!</v>
      </c>
      <c r="DG61" t="e">
        <f>AND('SPR BARRANQUILLA'!DQ70,"AAAAACX+124=")</f>
        <v>#VALUE!</v>
      </c>
      <c r="DH61" t="e">
        <f>AND('SPR BARRANQUILLA'!DR70,"AAAAACX+128=")</f>
        <v>#VALUE!</v>
      </c>
      <c r="DI61" t="e">
        <f>AND('SPR BARRANQUILLA'!DS70,"AAAAACX+13A=")</f>
        <v>#VALUE!</v>
      </c>
      <c r="DJ61" t="e">
        <f>AND('SPR BARRANQUILLA'!DT70,"AAAAACX+13E=")</f>
        <v>#VALUE!</v>
      </c>
      <c r="DK61" t="e">
        <f>AND('SPR BARRANQUILLA'!DU70,"AAAAACX+13I=")</f>
        <v>#VALUE!</v>
      </c>
      <c r="DL61" t="e">
        <f>AND('SPR BARRANQUILLA'!DV70,"AAAAACX+13M=")</f>
        <v>#VALUE!</v>
      </c>
      <c r="DM61" t="e">
        <f>AND('SPR BARRANQUILLA'!DW70,"AAAAACX+13Q=")</f>
        <v>#VALUE!</v>
      </c>
      <c r="DN61" t="e">
        <f>AND('SPR BARRANQUILLA'!DX70,"AAAAACX+13U=")</f>
        <v>#VALUE!</v>
      </c>
      <c r="DO61" t="e">
        <f>AND('SPR BARRANQUILLA'!DY70,"AAAAACX+13Y=")</f>
        <v>#VALUE!</v>
      </c>
      <c r="DP61" t="e">
        <f>AND('SPR BARRANQUILLA'!DZ70,"AAAAACX+13c=")</f>
        <v>#VALUE!</v>
      </c>
      <c r="DQ61" t="e">
        <f>AND('SPR BARRANQUILLA'!EA70,"AAAAACX+13g=")</f>
        <v>#VALUE!</v>
      </c>
      <c r="DR61" t="e">
        <f>AND('SPR BARRANQUILLA'!EB70,"AAAAACX+13k=")</f>
        <v>#VALUE!</v>
      </c>
      <c r="DS61" t="e">
        <f>AND('SPR BARRANQUILLA'!EC70,"AAAAACX+13o=")</f>
        <v>#VALUE!</v>
      </c>
      <c r="DT61" t="e">
        <f>AND('SPR BARRANQUILLA'!ED70,"AAAAACX+13s=")</f>
        <v>#VALUE!</v>
      </c>
      <c r="DU61" t="e">
        <f>AND('SPR BARRANQUILLA'!EE70,"AAAAACX+13w=")</f>
        <v>#VALUE!</v>
      </c>
      <c r="DV61" t="e">
        <f>AND('SPR BARRANQUILLA'!EF70,"AAAAACX+130=")</f>
        <v>#VALUE!</v>
      </c>
      <c r="DW61" t="e">
        <f>AND('SPR BARRANQUILLA'!EG70,"AAAAACX+134=")</f>
        <v>#VALUE!</v>
      </c>
      <c r="DX61" t="e">
        <f>AND('SPR BARRANQUILLA'!EH70,"AAAAACX+138=")</f>
        <v>#VALUE!</v>
      </c>
      <c r="DY61" t="e">
        <f>AND('SPR BARRANQUILLA'!EI70,"AAAAACX+14A=")</f>
        <v>#VALUE!</v>
      </c>
      <c r="DZ61" t="e">
        <f>AND('SPR BARRANQUILLA'!EJ70,"AAAAACX+14E=")</f>
        <v>#VALUE!</v>
      </c>
      <c r="EA61" t="e">
        <f>AND('SPR BARRANQUILLA'!EK70,"AAAAACX+14I=")</f>
        <v>#VALUE!</v>
      </c>
      <c r="EB61" t="e">
        <f>AND('SPR BARRANQUILLA'!EL70,"AAAAACX+14M=")</f>
        <v>#VALUE!</v>
      </c>
      <c r="EC61" t="e">
        <f>AND('SPR BARRANQUILLA'!EM70,"AAAAACX+14Q=")</f>
        <v>#VALUE!</v>
      </c>
      <c r="ED61" t="e">
        <f>AND('SPR BARRANQUILLA'!EN70,"AAAAACX+14U=")</f>
        <v>#VALUE!</v>
      </c>
      <c r="EE61" t="e">
        <f>AND('SPR BARRANQUILLA'!EO70,"AAAAACX+14Y=")</f>
        <v>#VALUE!</v>
      </c>
      <c r="EF61" t="e">
        <f>AND('SPR BARRANQUILLA'!EP70,"AAAAACX+14c=")</f>
        <v>#VALUE!</v>
      </c>
      <c r="EG61" t="e">
        <f>AND('SPR BARRANQUILLA'!EQ70,"AAAAACX+14g=")</f>
        <v>#VALUE!</v>
      </c>
      <c r="EH61" t="e">
        <f>AND('SPR BARRANQUILLA'!ER70,"AAAAACX+14k=")</f>
        <v>#VALUE!</v>
      </c>
      <c r="EI61" t="e">
        <f>AND('SPR BARRANQUILLA'!ES70,"AAAAACX+14o=")</f>
        <v>#VALUE!</v>
      </c>
      <c r="EJ61" t="e">
        <f>AND('SPR BARRANQUILLA'!ET70,"AAAAACX+14s=")</f>
        <v>#VALUE!</v>
      </c>
      <c r="EK61" t="e">
        <f>AND('SPR BARRANQUILLA'!EU70,"AAAAACX+14w=")</f>
        <v>#VALUE!</v>
      </c>
      <c r="EL61" t="e">
        <f>AND('SPR BARRANQUILLA'!EV70,"AAAAACX+140=")</f>
        <v>#VALUE!</v>
      </c>
      <c r="EM61" t="e">
        <f>AND('SPR BARRANQUILLA'!EW70,"AAAAACX+144=")</f>
        <v>#VALUE!</v>
      </c>
      <c r="EN61" t="e">
        <f>AND('SPR BARRANQUILLA'!EX70,"AAAAACX+148=")</f>
        <v>#VALUE!</v>
      </c>
      <c r="EO61" t="e">
        <f>AND('SPR BARRANQUILLA'!EY70,"AAAAACX+15A=")</f>
        <v>#VALUE!</v>
      </c>
      <c r="EP61" t="e">
        <f>AND('SPR BARRANQUILLA'!EZ70,"AAAAACX+15E=")</f>
        <v>#VALUE!</v>
      </c>
      <c r="EQ61" t="e">
        <f>AND('SPR BARRANQUILLA'!FA70,"AAAAACX+15I=")</f>
        <v>#VALUE!</v>
      </c>
      <c r="ER61" t="e">
        <f>AND('SPR BARRANQUILLA'!FB70,"AAAAACX+15M=")</f>
        <v>#VALUE!</v>
      </c>
      <c r="ES61" t="e">
        <f>AND('SPR BARRANQUILLA'!FC70,"AAAAACX+15Q=")</f>
        <v>#VALUE!</v>
      </c>
      <c r="ET61" t="e">
        <f>AND('SPR BARRANQUILLA'!FD70,"AAAAACX+15U=")</f>
        <v>#VALUE!</v>
      </c>
      <c r="EU61" t="e">
        <f>AND('SPR BARRANQUILLA'!FE70,"AAAAACX+15Y=")</f>
        <v>#VALUE!</v>
      </c>
      <c r="EV61" t="e">
        <f>AND('SPR BARRANQUILLA'!FF70,"AAAAACX+15c=")</f>
        <v>#VALUE!</v>
      </c>
      <c r="EW61" t="e">
        <f>AND('SPR BARRANQUILLA'!FG70,"AAAAACX+15g=")</f>
        <v>#VALUE!</v>
      </c>
      <c r="EX61" t="e">
        <f>AND('SPR BARRANQUILLA'!FH70,"AAAAACX+15k=")</f>
        <v>#VALUE!</v>
      </c>
      <c r="EY61" t="e">
        <f>AND('SPR BARRANQUILLA'!FI70,"AAAAACX+15o=")</f>
        <v>#VALUE!</v>
      </c>
      <c r="EZ61" t="e">
        <f>AND('SPR BARRANQUILLA'!FJ70,"AAAAACX+15s=")</f>
        <v>#VALUE!</v>
      </c>
      <c r="FA61" t="e">
        <f>AND('SPR BARRANQUILLA'!FK70,"AAAAACX+15w=")</f>
        <v>#VALUE!</v>
      </c>
      <c r="FB61" t="e">
        <f>AND('SPR BARRANQUILLA'!FL70,"AAAAACX+150=")</f>
        <v>#VALUE!</v>
      </c>
      <c r="FC61" t="e">
        <f>AND('SPR BARRANQUILLA'!FM70,"AAAAACX+154=")</f>
        <v>#VALUE!</v>
      </c>
      <c r="FD61" t="e">
        <f>AND('SPR BARRANQUILLA'!FN70,"AAAAACX+158=")</f>
        <v>#VALUE!</v>
      </c>
      <c r="FE61" t="e">
        <f>AND('SPR BARRANQUILLA'!FO70,"AAAAACX+16A=")</f>
        <v>#VALUE!</v>
      </c>
      <c r="FF61" t="e">
        <f>AND('SPR BARRANQUILLA'!FP70,"AAAAACX+16E=")</f>
        <v>#VALUE!</v>
      </c>
      <c r="FG61" t="e">
        <f>AND('SPR BARRANQUILLA'!FQ70,"AAAAACX+16I=")</f>
        <v>#VALUE!</v>
      </c>
      <c r="FH61" t="e">
        <f>AND('SPR BARRANQUILLA'!FR70,"AAAAACX+16M=")</f>
        <v>#VALUE!</v>
      </c>
      <c r="FI61" t="e">
        <f>AND('SPR BARRANQUILLA'!FS70,"AAAAACX+16Q=")</f>
        <v>#VALUE!</v>
      </c>
      <c r="FJ61" t="e">
        <f>AND('SPR BARRANQUILLA'!FT70,"AAAAACX+16U=")</f>
        <v>#VALUE!</v>
      </c>
      <c r="FK61" t="e">
        <f>AND('SPR BARRANQUILLA'!FU70,"AAAAACX+16Y=")</f>
        <v>#VALUE!</v>
      </c>
      <c r="FL61" t="e">
        <f>AND('SPR BARRANQUILLA'!FV70,"AAAAACX+16c=")</f>
        <v>#VALUE!</v>
      </c>
      <c r="FM61" t="e">
        <f>AND('SPR BARRANQUILLA'!FW70,"AAAAACX+16g=")</f>
        <v>#VALUE!</v>
      </c>
      <c r="FN61" t="e">
        <f>AND('SPR BARRANQUILLA'!FX70,"AAAAACX+16k=")</f>
        <v>#VALUE!</v>
      </c>
      <c r="FO61" t="e">
        <f>AND('SPR BARRANQUILLA'!FY70,"AAAAACX+16o=")</f>
        <v>#VALUE!</v>
      </c>
      <c r="FP61" t="e">
        <f>AND('SPR BARRANQUILLA'!FZ70,"AAAAACX+16s=")</f>
        <v>#VALUE!</v>
      </c>
      <c r="FQ61" t="e">
        <f>AND('SPR BARRANQUILLA'!GA70,"AAAAACX+16w=")</f>
        <v>#VALUE!</v>
      </c>
      <c r="FR61" t="e">
        <f>AND('SPR BARRANQUILLA'!GB70,"AAAAACX+160=")</f>
        <v>#VALUE!</v>
      </c>
      <c r="FS61" t="e">
        <f>AND('SPR BARRANQUILLA'!GC70,"AAAAACX+164=")</f>
        <v>#VALUE!</v>
      </c>
      <c r="FT61" t="e">
        <f>AND('SPR BARRANQUILLA'!GD70,"AAAAACX+168=")</f>
        <v>#VALUE!</v>
      </c>
      <c r="FU61" t="e">
        <f>AND('SPR BARRANQUILLA'!GE70,"AAAAACX+17A=")</f>
        <v>#VALUE!</v>
      </c>
      <c r="FV61" t="e">
        <f>AND('SPR BARRANQUILLA'!GF70,"AAAAACX+17E=")</f>
        <v>#VALUE!</v>
      </c>
      <c r="FW61" t="e">
        <f>AND('SPR BARRANQUILLA'!GG70,"AAAAACX+17I=")</f>
        <v>#VALUE!</v>
      </c>
      <c r="FX61" t="e">
        <f>AND('SPR BARRANQUILLA'!GH70,"AAAAACX+17M=")</f>
        <v>#VALUE!</v>
      </c>
      <c r="FY61" t="e">
        <f>AND('SPR BARRANQUILLA'!GI70,"AAAAACX+17Q=")</f>
        <v>#VALUE!</v>
      </c>
      <c r="FZ61" t="e">
        <f>AND('SPR BARRANQUILLA'!GJ70,"AAAAACX+17U=")</f>
        <v>#VALUE!</v>
      </c>
      <c r="GA61" t="e">
        <f>AND('SPR BARRANQUILLA'!GK70,"AAAAACX+17Y=")</f>
        <v>#VALUE!</v>
      </c>
      <c r="GB61" t="e">
        <f>AND('SPR BARRANQUILLA'!GL70,"AAAAACX+17c=")</f>
        <v>#VALUE!</v>
      </c>
      <c r="GC61" t="e">
        <f>AND('SPR BARRANQUILLA'!GM70,"AAAAACX+17g=")</f>
        <v>#VALUE!</v>
      </c>
      <c r="GD61" t="e">
        <f>AND('SPR BARRANQUILLA'!GN70,"AAAAACX+17k=")</f>
        <v>#VALUE!</v>
      </c>
      <c r="GE61" t="e">
        <f>AND('SPR BARRANQUILLA'!GO70,"AAAAACX+17o=")</f>
        <v>#VALUE!</v>
      </c>
      <c r="GF61" t="e">
        <f>AND('SPR BARRANQUILLA'!GP70,"AAAAACX+17s=")</f>
        <v>#VALUE!</v>
      </c>
      <c r="GG61" t="e">
        <f>AND('SPR BARRANQUILLA'!GQ70,"AAAAACX+17w=")</f>
        <v>#VALUE!</v>
      </c>
      <c r="GH61" t="e">
        <f>AND('SPR BARRANQUILLA'!GR70,"AAAAACX+170=")</f>
        <v>#VALUE!</v>
      </c>
      <c r="GI61" t="e">
        <f>AND('SPR BARRANQUILLA'!GS70,"AAAAACX+174=")</f>
        <v>#VALUE!</v>
      </c>
      <c r="GJ61" t="e">
        <f>AND('SPR BARRANQUILLA'!GT70,"AAAAACX+178=")</f>
        <v>#VALUE!</v>
      </c>
      <c r="GK61" t="e">
        <f>AND('SPR BARRANQUILLA'!GU70,"AAAAACX+18A=")</f>
        <v>#VALUE!</v>
      </c>
      <c r="GL61" t="e">
        <f>AND('SPR BARRANQUILLA'!GV70,"AAAAACX+18E=")</f>
        <v>#VALUE!</v>
      </c>
      <c r="GM61" t="e">
        <f>AND('SPR BARRANQUILLA'!GW70,"AAAAACX+18I=")</f>
        <v>#VALUE!</v>
      </c>
      <c r="GN61" t="e">
        <f>AND('SPR BARRANQUILLA'!GX70,"AAAAACX+18M=")</f>
        <v>#VALUE!</v>
      </c>
      <c r="GO61" t="e">
        <f>AND('SPR BARRANQUILLA'!GY70,"AAAAACX+18Q=")</f>
        <v>#VALUE!</v>
      </c>
      <c r="GP61">
        <f>IF('SPR BARRANQUILLA'!71:71,"AAAAACX+18U=",0)</f>
        <v>0</v>
      </c>
      <c r="GQ61" t="e">
        <f>AND('SPR BARRANQUILLA'!A71,"AAAAACX+18Y=")</f>
        <v>#VALUE!</v>
      </c>
      <c r="GR61" t="e">
        <f>AND('SPR BARRANQUILLA'!B71,"AAAAACX+18c=")</f>
        <v>#VALUE!</v>
      </c>
      <c r="GS61" t="e">
        <f>AND('SPR BARRANQUILLA'!C71,"AAAAACX+18g=")</f>
        <v>#VALUE!</v>
      </c>
      <c r="GT61" t="e">
        <f>AND('SPR BARRANQUILLA'!D71,"AAAAACX+18k=")</f>
        <v>#VALUE!</v>
      </c>
      <c r="GU61" t="e">
        <f>AND('SPR BARRANQUILLA'!E71,"AAAAACX+18o=")</f>
        <v>#VALUE!</v>
      </c>
      <c r="GV61" t="e">
        <f>AND('SPR BARRANQUILLA'!F71,"AAAAACX+18s=")</f>
        <v>#VALUE!</v>
      </c>
      <c r="GW61" t="e">
        <f>AND('SPR BARRANQUILLA'!G71,"AAAAACX+18w=")</f>
        <v>#VALUE!</v>
      </c>
      <c r="GX61" t="e">
        <f>AND('SPR BARRANQUILLA'!H71,"AAAAACX+180=")</f>
        <v>#VALUE!</v>
      </c>
      <c r="GY61" t="e">
        <f>AND('SPR BARRANQUILLA'!I71,"AAAAACX+184=")</f>
        <v>#VALUE!</v>
      </c>
      <c r="GZ61" t="e">
        <f>AND('SPR BARRANQUILLA'!J71,"AAAAACX+188=")</f>
        <v>#VALUE!</v>
      </c>
      <c r="HA61" t="e">
        <f>AND('SPR BARRANQUILLA'!K71,"AAAAACX+19A=")</f>
        <v>#VALUE!</v>
      </c>
      <c r="HB61" t="e">
        <f>AND('SPR BARRANQUILLA'!L71,"AAAAACX+19E=")</f>
        <v>#VALUE!</v>
      </c>
      <c r="HC61" t="e">
        <f>AND('SPR BARRANQUILLA'!M71,"AAAAACX+19I=")</f>
        <v>#VALUE!</v>
      </c>
      <c r="HD61" t="e">
        <f>AND('SPR BARRANQUILLA'!N71,"AAAAACX+19M=")</f>
        <v>#VALUE!</v>
      </c>
      <c r="HE61" t="e">
        <f>AND('SPR BARRANQUILLA'!O71,"AAAAACX+19Q=")</f>
        <v>#VALUE!</v>
      </c>
      <c r="HF61" t="e">
        <f>AND('SPR BARRANQUILLA'!P71,"AAAAACX+19U=")</f>
        <v>#VALUE!</v>
      </c>
      <c r="HG61" t="e">
        <f>AND('SPR BARRANQUILLA'!Q71,"AAAAACX+19Y=")</f>
        <v>#VALUE!</v>
      </c>
      <c r="HH61" t="e">
        <f>AND('SPR BARRANQUILLA'!R71,"AAAAACX+19c=")</f>
        <v>#VALUE!</v>
      </c>
      <c r="HI61" t="e">
        <f>AND('SPR BARRANQUILLA'!S71,"AAAAACX+19g=")</f>
        <v>#VALUE!</v>
      </c>
      <c r="HJ61" t="e">
        <f>AND('SPR BARRANQUILLA'!T71,"AAAAACX+19k=")</f>
        <v>#VALUE!</v>
      </c>
      <c r="HK61" t="e">
        <f>AND('SPR BARRANQUILLA'!U71,"AAAAACX+19o=")</f>
        <v>#VALUE!</v>
      </c>
      <c r="HL61" t="e">
        <f>AND('SPR BARRANQUILLA'!V71,"AAAAACX+19s=")</f>
        <v>#VALUE!</v>
      </c>
      <c r="HM61" t="e">
        <f>AND('SPR BARRANQUILLA'!W71,"AAAAACX+19w=")</f>
        <v>#VALUE!</v>
      </c>
      <c r="HN61" t="e">
        <f>AND('SPR BARRANQUILLA'!X71,"AAAAACX+190=")</f>
        <v>#VALUE!</v>
      </c>
      <c r="HO61" t="e">
        <f>AND('SPR BARRANQUILLA'!Y71,"AAAAACX+194=")</f>
        <v>#VALUE!</v>
      </c>
      <c r="HP61" t="e">
        <f>AND('SPR BARRANQUILLA'!Z71,"AAAAACX+198=")</f>
        <v>#VALUE!</v>
      </c>
      <c r="HQ61" t="e">
        <f>AND('SPR BARRANQUILLA'!AA71,"AAAAACX+1+A=")</f>
        <v>#VALUE!</v>
      </c>
      <c r="HR61" t="e">
        <f>AND('SPR BARRANQUILLA'!AB71,"AAAAACX+1+E=")</f>
        <v>#VALUE!</v>
      </c>
      <c r="HS61" t="e">
        <f>AND('SPR BARRANQUILLA'!AC71,"AAAAACX+1+I=")</f>
        <v>#VALUE!</v>
      </c>
      <c r="HT61" t="e">
        <f>AND('SPR BARRANQUILLA'!AD71,"AAAAACX+1+M=")</f>
        <v>#VALUE!</v>
      </c>
      <c r="HU61" t="e">
        <f>AND('SPR BARRANQUILLA'!AE71,"AAAAACX+1+Q=")</f>
        <v>#VALUE!</v>
      </c>
      <c r="HV61" t="e">
        <f>AND('SPR BARRANQUILLA'!AF71,"AAAAACX+1+U=")</f>
        <v>#VALUE!</v>
      </c>
      <c r="HW61" t="e">
        <f>AND('SPR BARRANQUILLA'!AG71,"AAAAACX+1+Y=")</f>
        <v>#VALUE!</v>
      </c>
      <c r="HX61" t="e">
        <f>AND('SPR BARRANQUILLA'!AH71,"AAAAACX+1+c=")</f>
        <v>#VALUE!</v>
      </c>
      <c r="HY61" t="e">
        <f>AND('SPR BARRANQUILLA'!AI71,"AAAAACX+1+g=")</f>
        <v>#VALUE!</v>
      </c>
      <c r="HZ61" t="e">
        <f>AND('SPR BARRANQUILLA'!AJ71,"AAAAACX+1+k=")</f>
        <v>#VALUE!</v>
      </c>
      <c r="IA61" t="e">
        <f>AND('SPR BARRANQUILLA'!AK71,"AAAAACX+1+o=")</f>
        <v>#VALUE!</v>
      </c>
      <c r="IB61" t="e">
        <f>AND('SPR BARRANQUILLA'!AL71,"AAAAACX+1+s=")</f>
        <v>#VALUE!</v>
      </c>
      <c r="IC61" t="e">
        <f>AND('SPR BARRANQUILLA'!AM71,"AAAAACX+1+w=")</f>
        <v>#VALUE!</v>
      </c>
      <c r="ID61" t="e">
        <f>AND('SPR BARRANQUILLA'!AN71,"AAAAACX+1+0=")</f>
        <v>#VALUE!</v>
      </c>
      <c r="IE61" t="e">
        <f>AND('SPR BARRANQUILLA'!AO71,"AAAAACX+1+4=")</f>
        <v>#VALUE!</v>
      </c>
      <c r="IF61" t="e">
        <f>AND('SPR BARRANQUILLA'!AP71,"AAAAACX+1+8=")</f>
        <v>#VALUE!</v>
      </c>
      <c r="IG61" t="e">
        <f>AND('SPR BARRANQUILLA'!AQ71,"AAAAACX+1/A=")</f>
        <v>#VALUE!</v>
      </c>
      <c r="IH61" t="e">
        <f>AND('SPR BARRANQUILLA'!AR71,"AAAAACX+1/E=")</f>
        <v>#VALUE!</v>
      </c>
      <c r="II61" t="e">
        <f>AND('SPR BARRANQUILLA'!AS71,"AAAAACX+1/I=")</f>
        <v>#VALUE!</v>
      </c>
      <c r="IJ61" t="e">
        <f>AND('SPR BARRANQUILLA'!AT71,"AAAAACX+1/M=")</f>
        <v>#VALUE!</v>
      </c>
      <c r="IK61" t="e">
        <f>AND('SPR BARRANQUILLA'!AU71,"AAAAACX+1/Q=")</f>
        <v>#VALUE!</v>
      </c>
      <c r="IL61" t="e">
        <f>AND('SPR BARRANQUILLA'!AV71,"AAAAACX+1/U=")</f>
        <v>#VALUE!</v>
      </c>
      <c r="IM61" t="e">
        <f>AND('SPR BARRANQUILLA'!AW71,"AAAAACX+1/Y=")</f>
        <v>#VALUE!</v>
      </c>
      <c r="IN61" t="e">
        <f>AND('SPR BARRANQUILLA'!AX71,"AAAAACX+1/c=")</f>
        <v>#VALUE!</v>
      </c>
      <c r="IO61" t="e">
        <f>AND('SPR BARRANQUILLA'!AY71,"AAAAACX+1/g=")</f>
        <v>#VALUE!</v>
      </c>
      <c r="IP61" t="e">
        <f>AND('SPR BARRANQUILLA'!AZ71,"AAAAACX+1/k=")</f>
        <v>#VALUE!</v>
      </c>
      <c r="IQ61" t="e">
        <f>AND('SPR BARRANQUILLA'!BA71,"AAAAACX+1/o=")</f>
        <v>#VALUE!</v>
      </c>
      <c r="IR61" t="e">
        <f>AND('SPR BARRANQUILLA'!BB71,"AAAAACX+1/s=")</f>
        <v>#VALUE!</v>
      </c>
      <c r="IS61" t="e">
        <f>AND('SPR BARRANQUILLA'!BC71,"AAAAACX+1/w=")</f>
        <v>#VALUE!</v>
      </c>
      <c r="IT61" t="e">
        <f>AND('SPR BARRANQUILLA'!BD71,"AAAAACX+1/0=")</f>
        <v>#VALUE!</v>
      </c>
      <c r="IU61" t="e">
        <f>AND('SPR BARRANQUILLA'!BE71,"AAAAACX+1/4=")</f>
        <v>#VALUE!</v>
      </c>
      <c r="IV61" t="e">
        <f>AND('SPR BARRANQUILLA'!BF71,"AAAAACX+1/8=")</f>
        <v>#VALUE!</v>
      </c>
    </row>
    <row r="62" spans="1:256">
      <c r="A62" t="e">
        <f>AND('SPR BARRANQUILLA'!BG71,"AAAAAD9b/wA=")</f>
        <v>#VALUE!</v>
      </c>
      <c r="B62" t="e">
        <f>AND('SPR BARRANQUILLA'!BH71,"AAAAAD9b/wE=")</f>
        <v>#VALUE!</v>
      </c>
      <c r="C62" t="e">
        <f>AND('SPR BARRANQUILLA'!BI71,"AAAAAD9b/wI=")</f>
        <v>#VALUE!</v>
      </c>
      <c r="D62" t="e">
        <f>AND('SPR BARRANQUILLA'!BJ71,"AAAAAD9b/wM=")</f>
        <v>#VALUE!</v>
      </c>
      <c r="E62" t="e">
        <f>AND('SPR BARRANQUILLA'!BK71,"AAAAAD9b/wQ=")</f>
        <v>#VALUE!</v>
      </c>
      <c r="F62" t="e">
        <f>AND('SPR BARRANQUILLA'!BL71,"AAAAAD9b/wU=")</f>
        <v>#VALUE!</v>
      </c>
      <c r="G62" t="e">
        <f>AND('SPR BARRANQUILLA'!BM71,"AAAAAD9b/wY=")</f>
        <v>#VALUE!</v>
      </c>
      <c r="H62" t="e">
        <f>AND('SPR BARRANQUILLA'!BN71,"AAAAAD9b/wc=")</f>
        <v>#VALUE!</v>
      </c>
      <c r="I62" t="e">
        <f>AND('SPR BARRANQUILLA'!BO71,"AAAAAD9b/wg=")</f>
        <v>#VALUE!</v>
      </c>
      <c r="J62" t="e">
        <f>AND('SPR BARRANQUILLA'!BP71,"AAAAAD9b/wk=")</f>
        <v>#VALUE!</v>
      </c>
      <c r="K62" t="e">
        <f>AND('SPR BARRANQUILLA'!BQ71,"AAAAAD9b/wo=")</f>
        <v>#VALUE!</v>
      </c>
      <c r="L62" t="e">
        <f>AND('SPR BARRANQUILLA'!BR71,"AAAAAD9b/ws=")</f>
        <v>#VALUE!</v>
      </c>
      <c r="M62" t="e">
        <f>AND('SPR BARRANQUILLA'!BS71,"AAAAAD9b/ww=")</f>
        <v>#VALUE!</v>
      </c>
      <c r="N62" t="e">
        <f>AND('SPR BARRANQUILLA'!BT71,"AAAAAD9b/w0=")</f>
        <v>#VALUE!</v>
      </c>
      <c r="O62" t="e">
        <f>AND('SPR BARRANQUILLA'!BU71,"AAAAAD9b/w4=")</f>
        <v>#VALUE!</v>
      </c>
      <c r="P62" t="e">
        <f>AND('SPR BARRANQUILLA'!BV71,"AAAAAD9b/w8=")</f>
        <v>#VALUE!</v>
      </c>
      <c r="Q62" t="e">
        <f>AND('SPR BARRANQUILLA'!BW71,"AAAAAD9b/xA=")</f>
        <v>#VALUE!</v>
      </c>
      <c r="R62" t="e">
        <f>AND('SPR BARRANQUILLA'!BX71,"AAAAAD9b/xE=")</f>
        <v>#VALUE!</v>
      </c>
      <c r="S62" t="e">
        <f>AND('SPR BARRANQUILLA'!BY71,"AAAAAD9b/xI=")</f>
        <v>#VALUE!</v>
      </c>
      <c r="T62" t="e">
        <f>AND('SPR BARRANQUILLA'!BZ71,"AAAAAD9b/xM=")</f>
        <v>#VALUE!</v>
      </c>
      <c r="U62" t="e">
        <f>AND('SPR BARRANQUILLA'!CA71,"AAAAAD9b/xQ=")</f>
        <v>#VALUE!</v>
      </c>
      <c r="V62" t="e">
        <f>AND('SPR BARRANQUILLA'!CB71,"AAAAAD9b/xU=")</f>
        <v>#VALUE!</v>
      </c>
      <c r="W62" t="e">
        <f>AND('SPR BARRANQUILLA'!CC71,"AAAAAD9b/xY=")</f>
        <v>#VALUE!</v>
      </c>
      <c r="X62" t="e">
        <f>AND('SPR BARRANQUILLA'!CD71,"AAAAAD9b/xc=")</f>
        <v>#VALUE!</v>
      </c>
      <c r="Y62" t="e">
        <f>AND('SPR BARRANQUILLA'!CE71,"AAAAAD9b/xg=")</f>
        <v>#VALUE!</v>
      </c>
      <c r="Z62" t="e">
        <f>AND('SPR BARRANQUILLA'!CF71,"AAAAAD9b/xk=")</f>
        <v>#VALUE!</v>
      </c>
      <c r="AA62" t="e">
        <f>AND('SPR BARRANQUILLA'!CG71,"AAAAAD9b/xo=")</f>
        <v>#VALUE!</v>
      </c>
      <c r="AB62" t="e">
        <f>AND('SPR BARRANQUILLA'!CH71,"AAAAAD9b/xs=")</f>
        <v>#VALUE!</v>
      </c>
      <c r="AC62" t="e">
        <f>AND('SPR BARRANQUILLA'!CI71,"AAAAAD9b/xw=")</f>
        <v>#VALUE!</v>
      </c>
      <c r="AD62" t="e">
        <f>AND('SPR BARRANQUILLA'!CJ71,"AAAAAD9b/x0=")</f>
        <v>#VALUE!</v>
      </c>
      <c r="AE62" t="e">
        <f>AND('SPR BARRANQUILLA'!CK71,"AAAAAD9b/x4=")</f>
        <v>#VALUE!</v>
      </c>
      <c r="AF62" t="e">
        <f>AND('SPR BARRANQUILLA'!CL71,"AAAAAD9b/x8=")</f>
        <v>#VALUE!</v>
      </c>
      <c r="AG62" t="e">
        <f>AND('SPR BARRANQUILLA'!CM71,"AAAAAD9b/yA=")</f>
        <v>#VALUE!</v>
      </c>
      <c r="AH62" t="e">
        <f>AND('SPR BARRANQUILLA'!CN71,"AAAAAD9b/yE=")</f>
        <v>#VALUE!</v>
      </c>
      <c r="AI62" t="e">
        <f>AND('SPR BARRANQUILLA'!CO71,"AAAAAD9b/yI=")</f>
        <v>#VALUE!</v>
      </c>
      <c r="AJ62" t="e">
        <f>AND('SPR BARRANQUILLA'!CP71,"AAAAAD9b/yM=")</f>
        <v>#VALUE!</v>
      </c>
      <c r="AK62" t="e">
        <f>AND('SPR BARRANQUILLA'!CQ71,"AAAAAD9b/yQ=")</f>
        <v>#VALUE!</v>
      </c>
      <c r="AL62" t="e">
        <f>AND('SPR BARRANQUILLA'!CR71,"AAAAAD9b/yU=")</f>
        <v>#VALUE!</v>
      </c>
      <c r="AM62" t="e">
        <f>AND('SPR BARRANQUILLA'!CS71,"AAAAAD9b/yY=")</f>
        <v>#VALUE!</v>
      </c>
      <c r="AN62" t="e">
        <f>AND('SPR BARRANQUILLA'!CT71,"AAAAAD9b/yc=")</f>
        <v>#VALUE!</v>
      </c>
      <c r="AO62" t="e">
        <f>AND('SPR BARRANQUILLA'!CU71,"AAAAAD9b/yg=")</f>
        <v>#VALUE!</v>
      </c>
      <c r="AP62" t="e">
        <f>AND('SPR BARRANQUILLA'!CV71,"AAAAAD9b/yk=")</f>
        <v>#VALUE!</v>
      </c>
      <c r="AQ62" t="e">
        <f>AND('SPR BARRANQUILLA'!CW71,"AAAAAD9b/yo=")</f>
        <v>#VALUE!</v>
      </c>
      <c r="AR62" t="e">
        <f>AND('SPR BARRANQUILLA'!CX71,"AAAAAD9b/ys=")</f>
        <v>#VALUE!</v>
      </c>
      <c r="AS62" t="e">
        <f>AND('SPR BARRANQUILLA'!CY71,"AAAAAD9b/yw=")</f>
        <v>#VALUE!</v>
      </c>
      <c r="AT62" t="e">
        <f>AND('SPR BARRANQUILLA'!CZ71,"AAAAAD9b/y0=")</f>
        <v>#VALUE!</v>
      </c>
      <c r="AU62" t="e">
        <f>AND('SPR BARRANQUILLA'!DA71,"AAAAAD9b/y4=")</f>
        <v>#VALUE!</v>
      </c>
      <c r="AV62" t="e">
        <f>AND('SPR BARRANQUILLA'!DB71,"AAAAAD9b/y8=")</f>
        <v>#VALUE!</v>
      </c>
      <c r="AW62" t="e">
        <f>AND('SPR BARRANQUILLA'!DC71,"AAAAAD9b/zA=")</f>
        <v>#VALUE!</v>
      </c>
      <c r="AX62" t="e">
        <f>AND('SPR BARRANQUILLA'!DD71,"AAAAAD9b/zE=")</f>
        <v>#VALUE!</v>
      </c>
      <c r="AY62" t="e">
        <f>AND('SPR BARRANQUILLA'!DE71,"AAAAAD9b/zI=")</f>
        <v>#VALUE!</v>
      </c>
      <c r="AZ62" t="e">
        <f>AND('SPR BARRANQUILLA'!DF71,"AAAAAD9b/zM=")</f>
        <v>#VALUE!</v>
      </c>
      <c r="BA62" t="e">
        <f>AND('SPR BARRANQUILLA'!DG71,"AAAAAD9b/zQ=")</f>
        <v>#VALUE!</v>
      </c>
      <c r="BB62" t="e">
        <f>AND('SPR BARRANQUILLA'!DH71,"AAAAAD9b/zU=")</f>
        <v>#VALUE!</v>
      </c>
      <c r="BC62" t="e">
        <f>AND('SPR BARRANQUILLA'!DI71,"AAAAAD9b/zY=")</f>
        <v>#VALUE!</v>
      </c>
      <c r="BD62" t="e">
        <f>AND('SPR BARRANQUILLA'!DJ71,"AAAAAD9b/zc=")</f>
        <v>#VALUE!</v>
      </c>
      <c r="BE62" t="e">
        <f>AND('SPR BARRANQUILLA'!DK71,"AAAAAD9b/zg=")</f>
        <v>#VALUE!</v>
      </c>
      <c r="BF62" t="e">
        <f>AND('SPR BARRANQUILLA'!DL71,"AAAAAD9b/zk=")</f>
        <v>#VALUE!</v>
      </c>
      <c r="BG62" t="e">
        <f>AND('SPR BARRANQUILLA'!DM71,"AAAAAD9b/zo=")</f>
        <v>#VALUE!</v>
      </c>
      <c r="BH62" t="e">
        <f>AND('SPR BARRANQUILLA'!DN71,"AAAAAD9b/zs=")</f>
        <v>#VALUE!</v>
      </c>
      <c r="BI62" t="e">
        <f>AND('SPR BARRANQUILLA'!DO71,"AAAAAD9b/zw=")</f>
        <v>#VALUE!</v>
      </c>
      <c r="BJ62" t="e">
        <f>AND('SPR BARRANQUILLA'!DP71,"AAAAAD9b/z0=")</f>
        <v>#VALUE!</v>
      </c>
      <c r="BK62" t="e">
        <f>AND('SPR BARRANQUILLA'!DQ71,"AAAAAD9b/z4=")</f>
        <v>#VALUE!</v>
      </c>
      <c r="BL62" t="e">
        <f>AND('SPR BARRANQUILLA'!DR71,"AAAAAD9b/z8=")</f>
        <v>#VALUE!</v>
      </c>
      <c r="BM62" t="e">
        <f>AND('SPR BARRANQUILLA'!DS71,"AAAAAD9b/0A=")</f>
        <v>#VALUE!</v>
      </c>
      <c r="BN62" t="e">
        <f>AND('SPR BARRANQUILLA'!DT71,"AAAAAD9b/0E=")</f>
        <v>#VALUE!</v>
      </c>
      <c r="BO62" t="e">
        <f>AND('SPR BARRANQUILLA'!DU71,"AAAAAD9b/0I=")</f>
        <v>#VALUE!</v>
      </c>
      <c r="BP62" t="e">
        <f>AND('SPR BARRANQUILLA'!DV71,"AAAAAD9b/0M=")</f>
        <v>#VALUE!</v>
      </c>
      <c r="BQ62" t="e">
        <f>AND('SPR BARRANQUILLA'!DW71,"AAAAAD9b/0Q=")</f>
        <v>#VALUE!</v>
      </c>
      <c r="BR62" t="e">
        <f>AND('SPR BARRANQUILLA'!DX71,"AAAAAD9b/0U=")</f>
        <v>#VALUE!</v>
      </c>
      <c r="BS62" t="e">
        <f>AND('SPR BARRANQUILLA'!DY71,"AAAAAD9b/0Y=")</f>
        <v>#VALUE!</v>
      </c>
      <c r="BT62" t="e">
        <f>AND('SPR BARRANQUILLA'!DZ71,"AAAAAD9b/0c=")</f>
        <v>#VALUE!</v>
      </c>
      <c r="BU62" t="e">
        <f>AND('SPR BARRANQUILLA'!EA71,"AAAAAD9b/0g=")</f>
        <v>#VALUE!</v>
      </c>
      <c r="BV62" t="e">
        <f>AND('SPR BARRANQUILLA'!EB71,"AAAAAD9b/0k=")</f>
        <v>#VALUE!</v>
      </c>
      <c r="BW62" t="e">
        <f>AND('SPR BARRANQUILLA'!EC71,"AAAAAD9b/0o=")</f>
        <v>#VALUE!</v>
      </c>
      <c r="BX62" t="e">
        <f>AND('SPR BARRANQUILLA'!ED71,"AAAAAD9b/0s=")</f>
        <v>#VALUE!</v>
      </c>
      <c r="BY62" t="e">
        <f>AND('SPR BARRANQUILLA'!EE71,"AAAAAD9b/0w=")</f>
        <v>#VALUE!</v>
      </c>
      <c r="BZ62" t="e">
        <f>AND('SPR BARRANQUILLA'!EF71,"AAAAAD9b/00=")</f>
        <v>#VALUE!</v>
      </c>
      <c r="CA62" t="e">
        <f>AND('SPR BARRANQUILLA'!EG71,"AAAAAD9b/04=")</f>
        <v>#VALUE!</v>
      </c>
      <c r="CB62" t="e">
        <f>AND('SPR BARRANQUILLA'!EH71,"AAAAAD9b/08=")</f>
        <v>#VALUE!</v>
      </c>
      <c r="CC62" t="e">
        <f>AND('SPR BARRANQUILLA'!EI71,"AAAAAD9b/1A=")</f>
        <v>#VALUE!</v>
      </c>
      <c r="CD62" t="e">
        <f>AND('SPR BARRANQUILLA'!EJ71,"AAAAAD9b/1E=")</f>
        <v>#VALUE!</v>
      </c>
      <c r="CE62" t="e">
        <f>AND('SPR BARRANQUILLA'!EK71,"AAAAAD9b/1I=")</f>
        <v>#VALUE!</v>
      </c>
      <c r="CF62" t="e">
        <f>AND('SPR BARRANQUILLA'!EL71,"AAAAAD9b/1M=")</f>
        <v>#VALUE!</v>
      </c>
      <c r="CG62" t="e">
        <f>AND('SPR BARRANQUILLA'!EM71,"AAAAAD9b/1Q=")</f>
        <v>#VALUE!</v>
      </c>
      <c r="CH62" t="e">
        <f>AND('SPR BARRANQUILLA'!EN71,"AAAAAD9b/1U=")</f>
        <v>#VALUE!</v>
      </c>
      <c r="CI62" t="e">
        <f>AND('SPR BARRANQUILLA'!EO71,"AAAAAD9b/1Y=")</f>
        <v>#VALUE!</v>
      </c>
      <c r="CJ62" t="e">
        <f>AND('SPR BARRANQUILLA'!EP71,"AAAAAD9b/1c=")</f>
        <v>#VALUE!</v>
      </c>
      <c r="CK62" t="e">
        <f>AND('SPR BARRANQUILLA'!EQ71,"AAAAAD9b/1g=")</f>
        <v>#VALUE!</v>
      </c>
      <c r="CL62" t="e">
        <f>AND('SPR BARRANQUILLA'!ER71,"AAAAAD9b/1k=")</f>
        <v>#VALUE!</v>
      </c>
      <c r="CM62" t="e">
        <f>AND('SPR BARRANQUILLA'!ES71,"AAAAAD9b/1o=")</f>
        <v>#VALUE!</v>
      </c>
      <c r="CN62" t="e">
        <f>AND('SPR BARRANQUILLA'!ET71,"AAAAAD9b/1s=")</f>
        <v>#VALUE!</v>
      </c>
      <c r="CO62" t="e">
        <f>AND('SPR BARRANQUILLA'!EU71,"AAAAAD9b/1w=")</f>
        <v>#VALUE!</v>
      </c>
      <c r="CP62" t="e">
        <f>AND('SPR BARRANQUILLA'!EV71,"AAAAAD9b/10=")</f>
        <v>#VALUE!</v>
      </c>
      <c r="CQ62" t="e">
        <f>AND('SPR BARRANQUILLA'!EW71,"AAAAAD9b/14=")</f>
        <v>#VALUE!</v>
      </c>
      <c r="CR62" t="e">
        <f>AND('SPR BARRANQUILLA'!EX71,"AAAAAD9b/18=")</f>
        <v>#VALUE!</v>
      </c>
      <c r="CS62" t="e">
        <f>AND('SPR BARRANQUILLA'!EY71,"AAAAAD9b/2A=")</f>
        <v>#VALUE!</v>
      </c>
      <c r="CT62" t="e">
        <f>AND('SPR BARRANQUILLA'!EZ71,"AAAAAD9b/2E=")</f>
        <v>#VALUE!</v>
      </c>
      <c r="CU62" t="e">
        <f>AND('SPR BARRANQUILLA'!FA71,"AAAAAD9b/2I=")</f>
        <v>#VALUE!</v>
      </c>
      <c r="CV62" t="e">
        <f>AND('SPR BARRANQUILLA'!FB71,"AAAAAD9b/2M=")</f>
        <v>#VALUE!</v>
      </c>
      <c r="CW62" t="e">
        <f>AND('SPR BARRANQUILLA'!FC71,"AAAAAD9b/2Q=")</f>
        <v>#VALUE!</v>
      </c>
      <c r="CX62" t="e">
        <f>AND('SPR BARRANQUILLA'!FD71,"AAAAAD9b/2U=")</f>
        <v>#VALUE!</v>
      </c>
      <c r="CY62" t="e">
        <f>AND('SPR BARRANQUILLA'!FE71,"AAAAAD9b/2Y=")</f>
        <v>#VALUE!</v>
      </c>
      <c r="CZ62" t="e">
        <f>AND('SPR BARRANQUILLA'!FF71,"AAAAAD9b/2c=")</f>
        <v>#VALUE!</v>
      </c>
      <c r="DA62" t="e">
        <f>AND('SPR BARRANQUILLA'!FG71,"AAAAAD9b/2g=")</f>
        <v>#VALUE!</v>
      </c>
      <c r="DB62" t="e">
        <f>AND('SPR BARRANQUILLA'!FH71,"AAAAAD9b/2k=")</f>
        <v>#VALUE!</v>
      </c>
      <c r="DC62" t="e">
        <f>AND('SPR BARRANQUILLA'!FI71,"AAAAAD9b/2o=")</f>
        <v>#VALUE!</v>
      </c>
      <c r="DD62" t="e">
        <f>AND('SPR BARRANQUILLA'!FJ71,"AAAAAD9b/2s=")</f>
        <v>#VALUE!</v>
      </c>
      <c r="DE62" t="e">
        <f>AND('SPR BARRANQUILLA'!FK71,"AAAAAD9b/2w=")</f>
        <v>#VALUE!</v>
      </c>
      <c r="DF62" t="e">
        <f>AND('SPR BARRANQUILLA'!FL71,"AAAAAD9b/20=")</f>
        <v>#VALUE!</v>
      </c>
      <c r="DG62" t="e">
        <f>AND('SPR BARRANQUILLA'!FM71,"AAAAAD9b/24=")</f>
        <v>#VALUE!</v>
      </c>
      <c r="DH62" t="e">
        <f>AND('SPR BARRANQUILLA'!FN71,"AAAAAD9b/28=")</f>
        <v>#VALUE!</v>
      </c>
      <c r="DI62" t="e">
        <f>AND('SPR BARRANQUILLA'!FO71,"AAAAAD9b/3A=")</f>
        <v>#VALUE!</v>
      </c>
      <c r="DJ62" t="e">
        <f>AND('SPR BARRANQUILLA'!FP71,"AAAAAD9b/3E=")</f>
        <v>#VALUE!</v>
      </c>
      <c r="DK62" t="e">
        <f>AND('SPR BARRANQUILLA'!FQ71,"AAAAAD9b/3I=")</f>
        <v>#VALUE!</v>
      </c>
      <c r="DL62" t="e">
        <f>AND('SPR BARRANQUILLA'!FR71,"AAAAAD9b/3M=")</f>
        <v>#VALUE!</v>
      </c>
      <c r="DM62" t="e">
        <f>AND('SPR BARRANQUILLA'!FS71,"AAAAAD9b/3Q=")</f>
        <v>#VALUE!</v>
      </c>
      <c r="DN62" t="e">
        <f>AND('SPR BARRANQUILLA'!FT71,"AAAAAD9b/3U=")</f>
        <v>#VALUE!</v>
      </c>
      <c r="DO62" t="e">
        <f>AND('SPR BARRANQUILLA'!FU71,"AAAAAD9b/3Y=")</f>
        <v>#VALUE!</v>
      </c>
      <c r="DP62" t="e">
        <f>AND('SPR BARRANQUILLA'!FV71,"AAAAAD9b/3c=")</f>
        <v>#VALUE!</v>
      </c>
      <c r="DQ62" t="e">
        <f>AND('SPR BARRANQUILLA'!FW71,"AAAAAD9b/3g=")</f>
        <v>#VALUE!</v>
      </c>
      <c r="DR62" t="e">
        <f>AND('SPR BARRANQUILLA'!FX71,"AAAAAD9b/3k=")</f>
        <v>#VALUE!</v>
      </c>
      <c r="DS62" t="e">
        <f>AND('SPR BARRANQUILLA'!FY71,"AAAAAD9b/3o=")</f>
        <v>#VALUE!</v>
      </c>
      <c r="DT62" t="e">
        <f>AND('SPR BARRANQUILLA'!FZ71,"AAAAAD9b/3s=")</f>
        <v>#VALUE!</v>
      </c>
      <c r="DU62" t="e">
        <f>AND('SPR BARRANQUILLA'!GA71,"AAAAAD9b/3w=")</f>
        <v>#VALUE!</v>
      </c>
      <c r="DV62" t="e">
        <f>AND('SPR BARRANQUILLA'!GB71,"AAAAAD9b/30=")</f>
        <v>#VALUE!</v>
      </c>
      <c r="DW62" t="e">
        <f>AND('SPR BARRANQUILLA'!GC71,"AAAAAD9b/34=")</f>
        <v>#VALUE!</v>
      </c>
      <c r="DX62" t="e">
        <f>AND('SPR BARRANQUILLA'!GD71,"AAAAAD9b/38=")</f>
        <v>#VALUE!</v>
      </c>
      <c r="DY62" t="e">
        <f>AND('SPR BARRANQUILLA'!GE71,"AAAAAD9b/4A=")</f>
        <v>#VALUE!</v>
      </c>
      <c r="DZ62" t="e">
        <f>AND('SPR BARRANQUILLA'!GF71,"AAAAAD9b/4E=")</f>
        <v>#VALUE!</v>
      </c>
      <c r="EA62" t="e">
        <f>AND('SPR BARRANQUILLA'!GG71,"AAAAAD9b/4I=")</f>
        <v>#VALUE!</v>
      </c>
      <c r="EB62" t="e">
        <f>AND('SPR BARRANQUILLA'!GH71,"AAAAAD9b/4M=")</f>
        <v>#VALUE!</v>
      </c>
      <c r="EC62" t="e">
        <f>AND('SPR BARRANQUILLA'!GI71,"AAAAAD9b/4Q=")</f>
        <v>#VALUE!</v>
      </c>
      <c r="ED62" t="e">
        <f>AND('SPR BARRANQUILLA'!GJ71,"AAAAAD9b/4U=")</f>
        <v>#VALUE!</v>
      </c>
      <c r="EE62" t="e">
        <f>AND('SPR BARRANQUILLA'!GK71,"AAAAAD9b/4Y=")</f>
        <v>#VALUE!</v>
      </c>
      <c r="EF62" t="e">
        <f>AND('SPR BARRANQUILLA'!GL71,"AAAAAD9b/4c=")</f>
        <v>#VALUE!</v>
      </c>
      <c r="EG62" t="e">
        <f>AND('SPR BARRANQUILLA'!GM71,"AAAAAD9b/4g=")</f>
        <v>#VALUE!</v>
      </c>
      <c r="EH62" t="e">
        <f>AND('SPR BARRANQUILLA'!GN71,"AAAAAD9b/4k=")</f>
        <v>#VALUE!</v>
      </c>
      <c r="EI62" t="e">
        <f>AND('SPR BARRANQUILLA'!GO71,"AAAAAD9b/4o=")</f>
        <v>#VALUE!</v>
      </c>
      <c r="EJ62" t="e">
        <f>AND('SPR BARRANQUILLA'!GP71,"AAAAAD9b/4s=")</f>
        <v>#VALUE!</v>
      </c>
      <c r="EK62" t="e">
        <f>AND('SPR BARRANQUILLA'!GQ71,"AAAAAD9b/4w=")</f>
        <v>#VALUE!</v>
      </c>
      <c r="EL62" t="e">
        <f>AND('SPR BARRANQUILLA'!GR71,"AAAAAD9b/40=")</f>
        <v>#VALUE!</v>
      </c>
      <c r="EM62" t="e">
        <f>AND('SPR BARRANQUILLA'!GS71,"AAAAAD9b/44=")</f>
        <v>#VALUE!</v>
      </c>
      <c r="EN62" t="e">
        <f>AND('SPR BARRANQUILLA'!GT71,"AAAAAD9b/48=")</f>
        <v>#VALUE!</v>
      </c>
      <c r="EO62" t="e">
        <f>AND('SPR BARRANQUILLA'!GU71,"AAAAAD9b/5A=")</f>
        <v>#VALUE!</v>
      </c>
      <c r="EP62" t="e">
        <f>AND('SPR BARRANQUILLA'!GV71,"AAAAAD9b/5E=")</f>
        <v>#VALUE!</v>
      </c>
      <c r="EQ62" t="e">
        <f>AND('SPR BARRANQUILLA'!GW71,"AAAAAD9b/5I=")</f>
        <v>#VALUE!</v>
      </c>
      <c r="ER62" t="e">
        <f>AND('SPR BARRANQUILLA'!GX71,"AAAAAD9b/5M=")</f>
        <v>#VALUE!</v>
      </c>
      <c r="ES62" t="e">
        <f>AND('SPR BARRANQUILLA'!GY71,"AAAAAD9b/5Q=")</f>
        <v>#VALUE!</v>
      </c>
      <c r="ET62">
        <f>IF('SPR BARRANQUILLA'!72:72,"AAAAAD9b/5U=",0)</f>
        <v>0</v>
      </c>
      <c r="EU62" t="e">
        <f>AND('SPR BARRANQUILLA'!A72,"AAAAAD9b/5Y=")</f>
        <v>#VALUE!</v>
      </c>
      <c r="EV62" t="e">
        <f>AND('SPR BARRANQUILLA'!B72,"AAAAAD9b/5c=")</f>
        <v>#VALUE!</v>
      </c>
      <c r="EW62" t="e">
        <f>AND('SPR BARRANQUILLA'!C72,"AAAAAD9b/5g=")</f>
        <v>#VALUE!</v>
      </c>
      <c r="EX62" t="e">
        <f>AND('SPR BARRANQUILLA'!D72,"AAAAAD9b/5k=")</f>
        <v>#VALUE!</v>
      </c>
      <c r="EY62" t="e">
        <f>AND('SPR BARRANQUILLA'!E72,"AAAAAD9b/5o=")</f>
        <v>#VALUE!</v>
      </c>
      <c r="EZ62" t="e">
        <f>AND('SPR BARRANQUILLA'!F72,"AAAAAD9b/5s=")</f>
        <v>#VALUE!</v>
      </c>
      <c r="FA62" t="e">
        <f>AND('SPR BARRANQUILLA'!G72,"AAAAAD9b/5w=")</f>
        <v>#VALUE!</v>
      </c>
      <c r="FB62" t="e">
        <f>AND('SPR BARRANQUILLA'!H72,"AAAAAD9b/50=")</f>
        <v>#VALUE!</v>
      </c>
      <c r="FC62" t="e">
        <f>AND('SPR BARRANQUILLA'!I72,"AAAAAD9b/54=")</f>
        <v>#VALUE!</v>
      </c>
      <c r="FD62" t="e">
        <f>AND('SPR BARRANQUILLA'!J72,"AAAAAD9b/58=")</f>
        <v>#VALUE!</v>
      </c>
      <c r="FE62" t="e">
        <f>AND('SPR BARRANQUILLA'!K72,"AAAAAD9b/6A=")</f>
        <v>#VALUE!</v>
      </c>
      <c r="FF62" t="e">
        <f>AND('SPR BARRANQUILLA'!L72,"AAAAAD9b/6E=")</f>
        <v>#VALUE!</v>
      </c>
      <c r="FG62" t="e">
        <f>AND('SPR BARRANQUILLA'!M72,"AAAAAD9b/6I=")</f>
        <v>#VALUE!</v>
      </c>
      <c r="FH62" t="e">
        <f>AND('SPR BARRANQUILLA'!N72,"AAAAAD9b/6M=")</f>
        <v>#VALUE!</v>
      </c>
      <c r="FI62" t="e">
        <f>AND('SPR BARRANQUILLA'!O72,"AAAAAD9b/6Q=")</f>
        <v>#VALUE!</v>
      </c>
      <c r="FJ62" t="e">
        <f>AND('SPR BARRANQUILLA'!P72,"AAAAAD9b/6U=")</f>
        <v>#VALUE!</v>
      </c>
      <c r="FK62" t="e">
        <f>AND('SPR BARRANQUILLA'!Q72,"AAAAAD9b/6Y=")</f>
        <v>#VALUE!</v>
      </c>
      <c r="FL62" t="e">
        <f>AND('SPR BARRANQUILLA'!R72,"AAAAAD9b/6c=")</f>
        <v>#VALUE!</v>
      </c>
      <c r="FM62" t="e">
        <f>AND('SPR BARRANQUILLA'!S72,"AAAAAD9b/6g=")</f>
        <v>#VALUE!</v>
      </c>
      <c r="FN62" t="e">
        <f>AND('SPR BARRANQUILLA'!T72,"AAAAAD9b/6k=")</f>
        <v>#VALUE!</v>
      </c>
      <c r="FO62" t="e">
        <f>AND('SPR BARRANQUILLA'!U72,"AAAAAD9b/6o=")</f>
        <v>#VALUE!</v>
      </c>
      <c r="FP62" t="e">
        <f>AND('SPR BARRANQUILLA'!V72,"AAAAAD9b/6s=")</f>
        <v>#VALUE!</v>
      </c>
      <c r="FQ62" t="e">
        <f>AND('SPR BARRANQUILLA'!W72,"AAAAAD9b/6w=")</f>
        <v>#VALUE!</v>
      </c>
      <c r="FR62" t="e">
        <f>AND('SPR BARRANQUILLA'!X72,"AAAAAD9b/60=")</f>
        <v>#VALUE!</v>
      </c>
      <c r="FS62" t="e">
        <f>AND('SPR BARRANQUILLA'!Y72,"AAAAAD9b/64=")</f>
        <v>#VALUE!</v>
      </c>
      <c r="FT62" t="e">
        <f>AND('SPR BARRANQUILLA'!Z72,"AAAAAD9b/68=")</f>
        <v>#VALUE!</v>
      </c>
      <c r="FU62" t="e">
        <f>AND('SPR BARRANQUILLA'!AA72,"AAAAAD9b/7A=")</f>
        <v>#VALUE!</v>
      </c>
      <c r="FV62" t="e">
        <f>AND('SPR BARRANQUILLA'!AB72,"AAAAAD9b/7E=")</f>
        <v>#VALUE!</v>
      </c>
      <c r="FW62" t="e">
        <f>AND('SPR BARRANQUILLA'!AC72,"AAAAAD9b/7I=")</f>
        <v>#VALUE!</v>
      </c>
      <c r="FX62" t="e">
        <f>AND('SPR BARRANQUILLA'!AD72,"AAAAAD9b/7M=")</f>
        <v>#VALUE!</v>
      </c>
      <c r="FY62" t="e">
        <f>AND('SPR BARRANQUILLA'!AE72,"AAAAAD9b/7Q=")</f>
        <v>#VALUE!</v>
      </c>
      <c r="FZ62" t="e">
        <f>AND('SPR BARRANQUILLA'!AF72,"AAAAAD9b/7U=")</f>
        <v>#VALUE!</v>
      </c>
      <c r="GA62" t="e">
        <f>AND('SPR BARRANQUILLA'!AG72,"AAAAAD9b/7Y=")</f>
        <v>#VALUE!</v>
      </c>
      <c r="GB62" t="e">
        <f>AND('SPR BARRANQUILLA'!AH72,"AAAAAD9b/7c=")</f>
        <v>#VALUE!</v>
      </c>
      <c r="GC62" t="e">
        <f>AND('SPR BARRANQUILLA'!AI72,"AAAAAD9b/7g=")</f>
        <v>#VALUE!</v>
      </c>
      <c r="GD62" t="e">
        <f>AND('SPR BARRANQUILLA'!AJ72,"AAAAAD9b/7k=")</f>
        <v>#VALUE!</v>
      </c>
      <c r="GE62" t="e">
        <f>AND('SPR BARRANQUILLA'!AK72,"AAAAAD9b/7o=")</f>
        <v>#VALUE!</v>
      </c>
      <c r="GF62" t="e">
        <f>AND('SPR BARRANQUILLA'!AL72,"AAAAAD9b/7s=")</f>
        <v>#VALUE!</v>
      </c>
      <c r="GG62" t="e">
        <f>AND('SPR BARRANQUILLA'!AM72,"AAAAAD9b/7w=")</f>
        <v>#VALUE!</v>
      </c>
      <c r="GH62" t="e">
        <f>AND('SPR BARRANQUILLA'!AN72,"AAAAAD9b/70=")</f>
        <v>#VALUE!</v>
      </c>
      <c r="GI62" t="e">
        <f>AND('SPR BARRANQUILLA'!AO72,"AAAAAD9b/74=")</f>
        <v>#VALUE!</v>
      </c>
      <c r="GJ62" t="e">
        <f>AND('SPR BARRANQUILLA'!AP72,"AAAAAD9b/78=")</f>
        <v>#VALUE!</v>
      </c>
      <c r="GK62" t="e">
        <f>AND('SPR BARRANQUILLA'!AQ72,"AAAAAD9b/8A=")</f>
        <v>#VALUE!</v>
      </c>
      <c r="GL62" t="e">
        <f>AND('SPR BARRANQUILLA'!AR72,"AAAAAD9b/8E=")</f>
        <v>#VALUE!</v>
      </c>
      <c r="GM62" t="e">
        <f>AND('SPR BARRANQUILLA'!AS72,"AAAAAD9b/8I=")</f>
        <v>#VALUE!</v>
      </c>
      <c r="GN62" t="e">
        <f>AND('SPR BARRANQUILLA'!AT72,"AAAAAD9b/8M=")</f>
        <v>#VALUE!</v>
      </c>
      <c r="GO62" t="e">
        <f>AND('SPR BARRANQUILLA'!AU72,"AAAAAD9b/8Q=")</f>
        <v>#VALUE!</v>
      </c>
      <c r="GP62" t="e">
        <f>AND('SPR BARRANQUILLA'!AV72,"AAAAAD9b/8U=")</f>
        <v>#VALUE!</v>
      </c>
      <c r="GQ62" t="e">
        <f>AND('SPR BARRANQUILLA'!AW72,"AAAAAD9b/8Y=")</f>
        <v>#VALUE!</v>
      </c>
      <c r="GR62" t="e">
        <f>AND('SPR BARRANQUILLA'!AX72,"AAAAAD9b/8c=")</f>
        <v>#VALUE!</v>
      </c>
      <c r="GS62" t="e">
        <f>AND('SPR BARRANQUILLA'!AY72,"AAAAAD9b/8g=")</f>
        <v>#VALUE!</v>
      </c>
      <c r="GT62" t="e">
        <f>AND('SPR BARRANQUILLA'!AZ72,"AAAAAD9b/8k=")</f>
        <v>#VALUE!</v>
      </c>
      <c r="GU62" t="e">
        <f>AND('SPR BARRANQUILLA'!BA72,"AAAAAD9b/8o=")</f>
        <v>#VALUE!</v>
      </c>
      <c r="GV62" t="e">
        <f>AND('SPR BARRANQUILLA'!BB72,"AAAAAD9b/8s=")</f>
        <v>#VALUE!</v>
      </c>
      <c r="GW62" t="e">
        <f>AND('SPR BARRANQUILLA'!BC72,"AAAAAD9b/8w=")</f>
        <v>#VALUE!</v>
      </c>
      <c r="GX62" t="e">
        <f>AND('SPR BARRANQUILLA'!BD72,"AAAAAD9b/80=")</f>
        <v>#VALUE!</v>
      </c>
      <c r="GY62" t="e">
        <f>AND('SPR BARRANQUILLA'!BE72,"AAAAAD9b/84=")</f>
        <v>#VALUE!</v>
      </c>
      <c r="GZ62" t="e">
        <f>AND('SPR BARRANQUILLA'!BF72,"AAAAAD9b/88=")</f>
        <v>#VALUE!</v>
      </c>
      <c r="HA62" t="e">
        <f>AND('SPR BARRANQUILLA'!BG72,"AAAAAD9b/9A=")</f>
        <v>#VALUE!</v>
      </c>
      <c r="HB62" t="e">
        <f>AND('SPR BARRANQUILLA'!BH72,"AAAAAD9b/9E=")</f>
        <v>#VALUE!</v>
      </c>
      <c r="HC62" t="e">
        <f>AND('SPR BARRANQUILLA'!BI72,"AAAAAD9b/9I=")</f>
        <v>#VALUE!</v>
      </c>
      <c r="HD62" t="e">
        <f>AND('SPR BARRANQUILLA'!BJ72,"AAAAAD9b/9M=")</f>
        <v>#VALUE!</v>
      </c>
      <c r="HE62" t="e">
        <f>AND('SPR BARRANQUILLA'!BK72,"AAAAAD9b/9Q=")</f>
        <v>#VALUE!</v>
      </c>
      <c r="HF62" t="e">
        <f>AND('SPR BARRANQUILLA'!BL72,"AAAAAD9b/9U=")</f>
        <v>#VALUE!</v>
      </c>
      <c r="HG62" t="e">
        <f>AND('SPR BARRANQUILLA'!BM72,"AAAAAD9b/9Y=")</f>
        <v>#VALUE!</v>
      </c>
      <c r="HH62" t="e">
        <f>AND('SPR BARRANQUILLA'!BN72,"AAAAAD9b/9c=")</f>
        <v>#VALUE!</v>
      </c>
      <c r="HI62" t="e">
        <f>AND('SPR BARRANQUILLA'!BO72,"AAAAAD9b/9g=")</f>
        <v>#VALUE!</v>
      </c>
      <c r="HJ62" t="e">
        <f>AND('SPR BARRANQUILLA'!BP72,"AAAAAD9b/9k=")</f>
        <v>#VALUE!</v>
      </c>
      <c r="HK62" t="e">
        <f>AND('SPR BARRANQUILLA'!BQ72,"AAAAAD9b/9o=")</f>
        <v>#VALUE!</v>
      </c>
      <c r="HL62" t="e">
        <f>AND('SPR BARRANQUILLA'!BR72,"AAAAAD9b/9s=")</f>
        <v>#VALUE!</v>
      </c>
      <c r="HM62" t="e">
        <f>AND('SPR BARRANQUILLA'!BS72,"AAAAAD9b/9w=")</f>
        <v>#VALUE!</v>
      </c>
      <c r="HN62" t="e">
        <f>AND('SPR BARRANQUILLA'!BT72,"AAAAAD9b/90=")</f>
        <v>#VALUE!</v>
      </c>
      <c r="HO62" t="e">
        <f>AND('SPR BARRANQUILLA'!BU72,"AAAAAD9b/94=")</f>
        <v>#VALUE!</v>
      </c>
      <c r="HP62" t="e">
        <f>AND('SPR BARRANQUILLA'!BV72,"AAAAAD9b/98=")</f>
        <v>#VALUE!</v>
      </c>
      <c r="HQ62" t="e">
        <f>AND('SPR BARRANQUILLA'!BW72,"AAAAAD9b/+A=")</f>
        <v>#VALUE!</v>
      </c>
      <c r="HR62" t="e">
        <f>AND('SPR BARRANQUILLA'!BX72,"AAAAAD9b/+E=")</f>
        <v>#VALUE!</v>
      </c>
      <c r="HS62" t="e">
        <f>AND('SPR BARRANQUILLA'!BY72,"AAAAAD9b/+I=")</f>
        <v>#VALUE!</v>
      </c>
      <c r="HT62" t="e">
        <f>AND('SPR BARRANQUILLA'!BZ72,"AAAAAD9b/+M=")</f>
        <v>#VALUE!</v>
      </c>
      <c r="HU62" t="e">
        <f>AND('SPR BARRANQUILLA'!CA72,"AAAAAD9b/+Q=")</f>
        <v>#VALUE!</v>
      </c>
      <c r="HV62" t="e">
        <f>AND('SPR BARRANQUILLA'!CB72,"AAAAAD9b/+U=")</f>
        <v>#VALUE!</v>
      </c>
      <c r="HW62" t="e">
        <f>AND('SPR BARRANQUILLA'!CC72,"AAAAAD9b/+Y=")</f>
        <v>#VALUE!</v>
      </c>
      <c r="HX62" t="e">
        <f>AND('SPR BARRANQUILLA'!CD72,"AAAAAD9b/+c=")</f>
        <v>#VALUE!</v>
      </c>
      <c r="HY62" t="e">
        <f>AND('SPR BARRANQUILLA'!CE72,"AAAAAD9b/+g=")</f>
        <v>#VALUE!</v>
      </c>
      <c r="HZ62" t="e">
        <f>AND('SPR BARRANQUILLA'!CF72,"AAAAAD9b/+k=")</f>
        <v>#VALUE!</v>
      </c>
      <c r="IA62" t="e">
        <f>AND('SPR BARRANQUILLA'!CG72,"AAAAAD9b/+o=")</f>
        <v>#VALUE!</v>
      </c>
      <c r="IB62" t="e">
        <f>AND('SPR BARRANQUILLA'!CH72,"AAAAAD9b/+s=")</f>
        <v>#VALUE!</v>
      </c>
      <c r="IC62" t="e">
        <f>AND('SPR BARRANQUILLA'!CI72,"AAAAAD9b/+w=")</f>
        <v>#VALUE!</v>
      </c>
      <c r="ID62" t="e">
        <f>AND('SPR BARRANQUILLA'!CJ72,"AAAAAD9b/+0=")</f>
        <v>#VALUE!</v>
      </c>
      <c r="IE62" t="e">
        <f>AND('SPR BARRANQUILLA'!CK72,"AAAAAD9b/+4=")</f>
        <v>#VALUE!</v>
      </c>
      <c r="IF62" t="e">
        <f>AND('SPR BARRANQUILLA'!CL72,"AAAAAD9b/+8=")</f>
        <v>#VALUE!</v>
      </c>
      <c r="IG62" t="e">
        <f>AND('SPR BARRANQUILLA'!CM72,"AAAAAD9b//A=")</f>
        <v>#VALUE!</v>
      </c>
      <c r="IH62" t="e">
        <f>AND('SPR BARRANQUILLA'!CN72,"AAAAAD9b//E=")</f>
        <v>#VALUE!</v>
      </c>
      <c r="II62" t="e">
        <f>AND('SPR BARRANQUILLA'!CO72,"AAAAAD9b//I=")</f>
        <v>#VALUE!</v>
      </c>
      <c r="IJ62" t="e">
        <f>AND('SPR BARRANQUILLA'!CP72,"AAAAAD9b//M=")</f>
        <v>#VALUE!</v>
      </c>
      <c r="IK62" t="e">
        <f>AND('SPR BARRANQUILLA'!CQ72,"AAAAAD9b//Q=")</f>
        <v>#VALUE!</v>
      </c>
      <c r="IL62" t="e">
        <f>AND('SPR BARRANQUILLA'!CR72,"AAAAAD9b//U=")</f>
        <v>#VALUE!</v>
      </c>
      <c r="IM62" t="e">
        <f>AND('SPR BARRANQUILLA'!CS72,"AAAAAD9b//Y=")</f>
        <v>#VALUE!</v>
      </c>
      <c r="IN62" t="e">
        <f>AND('SPR BARRANQUILLA'!CT72,"AAAAAD9b//c=")</f>
        <v>#VALUE!</v>
      </c>
      <c r="IO62" t="e">
        <f>AND('SPR BARRANQUILLA'!CU72,"AAAAAD9b//g=")</f>
        <v>#VALUE!</v>
      </c>
      <c r="IP62" t="e">
        <f>AND('SPR BARRANQUILLA'!CV72,"AAAAAD9b//k=")</f>
        <v>#VALUE!</v>
      </c>
      <c r="IQ62" t="e">
        <f>AND('SPR BARRANQUILLA'!CW72,"AAAAAD9b//o=")</f>
        <v>#VALUE!</v>
      </c>
      <c r="IR62" t="e">
        <f>AND('SPR BARRANQUILLA'!CX72,"AAAAAD9b//s=")</f>
        <v>#VALUE!</v>
      </c>
      <c r="IS62" t="e">
        <f>AND('SPR BARRANQUILLA'!CY72,"AAAAAD9b//w=")</f>
        <v>#VALUE!</v>
      </c>
      <c r="IT62" t="e">
        <f>AND('SPR BARRANQUILLA'!CZ72,"AAAAAD9b//0=")</f>
        <v>#VALUE!</v>
      </c>
      <c r="IU62" t="e">
        <f>AND('SPR BARRANQUILLA'!DA72,"AAAAAD9b//4=")</f>
        <v>#VALUE!</v>
      </c>
      <c r="IV62" t="e">
        <f>AND('SPR BARRANQUILLA'!DB72,"AAAAAD9b//8=")</f>
        <v>#VALUE!</v>
      </c>
    </row>
    <row r="63" spans="1:256">
      <c r="A63" t="e">
        <f>AND('SPR BARRANQUILLA'!DC72,"AAAAAFr+vgA=")</f>
        <v>#VALUE!</v>
      </c>
      <c r="B63" t="e">
        <f>AND('SPR BARRANQUILLA'!DD72,"AAAAAFr+vgE=")</f>
        <v>#VALUE!</v>
      </c>
      <c r="C63" t="e">
        <f>AND('SPR BARRANQUILLA'!DE72,"AAAAAFr+vgI=")</f>
        <v>#VALUE!</v>
      </c>
      <c r="D63" t="e">
        <f>AND('SPR BARRANQUILLA'!DF72,"AAAAAFr+vgM=")</f>
        <v>#VALUE!</v>
      </c>
      <c r="E63" t="e">
        <f>AND('SPR BARRANQUILLA'!DG72,"AAAAAFr+vgQ=")</f>
        <v>#VALUE!</v>
      </c>
      <c r="F63" t="e">
        <f>AND('SPR BARRANQUILLA'!DH72,"AAAAAFr+vgU=")</f>
        <v>#VALUE!</v>
      </c>
      <c r="G63" t="e">
        <f>AND('SPR BARRANQUILLA'!DI72,"AAAAAFr+vgY=")</f>
        <v>#VALUE!</v>
      </c>
      <c r="H63" t="e">
        <f>AND('SPR BARRANQUILLA'!DJ72,"AAAAAFr+vgc=")</f>
        <v>#VALUE!</v>
      </c>
      <c r="I63" t="e">
        <f>AND('SPR BARRANQUILLA'!DK72,"AAAAAFr+vgg=")</f>
        <v>#VALUE!</v>
      </c>
      <c r="J63" t="e">
        <f>AND('SPR BARRANQUILLA'!DL72,"AAAAAFr+vgk=")</f>
        <v>#VALUE!</v>
      </c>
      <c r="K63" t="e">
        <f>AND('SPR BARRANQUILLA'!DM72,"AAAAAFr+vgo=")</f>
        <v>#VALUE!</v>
      </c>
      <c r="L63" t="e">
        <f>AND('SPR BARRANQUILLA'!DN72,"AAAAAFr+vgs=")</f>
        <v>#VALUE!</v>
      </c>
      <c r="M63" t="e">
        <f>AND('SPR BARRANQUILLA'!DO72,"AAAAAFr+vgw=")</f>
        <v>#VALUE!</v>
      </c>
      <c r="N63" t="e">
        <f>AND('SPR BARRANQUILLA'!DP72,"AAAAAFr+vg0=")</f>
        <v>#VALUE!</v>
      </c>
      <c r="O63" t="e">
        <f>AND('SPR BARRANQUILLA'!DQ72,"AAAAAFr+vg4=")</f>
        <v>#VALUE!</v>
      </c>
      <c r="P63" t="e">
        <f>AND('SPR BARRANQUILLA'!DR72,"AAAAAFr+vg8=")</f>
        <v>#VALUE!</v>
      </c>
      <c r="Q63" t="e">
        <f>AND('SPR BARRANQUILLA'!DS72,"AAAAAFr+vhA=")</f>
        <v>#VALUE!</v>
      </c>
      <c r="R63" t="e">
        <f>AND('SPR BARRANQUILLA'!DT72,"AAAAAFr+vhE=")</f>
        <v>#VALUE!</v>
      </c>
      <c r="S63" t="e">
        <f>AND('SPR BARRANQUILLA'!DU72,"AAAAAFr+vhI=")</f>
        <v>#VALUE!</v>
      </c>
      <c r="T63" t="e">
        <f>AND('SPR BARRANQUILLA'!DV72,"AAAAAFr+vhM=")</f>
        <v>#VALUE!</v>
      </c>
      <c r="U63" t="e">
        <f>AND('SPR BARRANQUILLA'!DW72,"AAAAAFr+vhQ=")</f>
        <v>#VALUE!</v>
      </c>
      <c r="V63" t="e">
        <f>AND('SPR BARRANQUILLA'!DX72,"AAAAAFr+vhU=")</f>
        <v>#VALUE!</v>
      </c>
      <c r="W63" t="e">
        <f>AND('SPR BARRANQUILLA'!DY72,"AAAAAFr+vhY=")</f>
        <v>#VALUE!</v>
      </c>
      <c r="X63" t="e">
        <f>AND('SPR BARRANQUILLA'!DZ72,"AAAAAFr+vhc=")</f>
        <v>#VALUE!</v>
      </c>
      <c r="Y63" t="e">
        <f>AND('SPR BARRANQUILLA'!EA72,"AAAAAFr+vhg=")</f>
        <v>#VALUE!</v>
      </c>
      <c r="Z63" t="e">
        <f>AND('SPR BARRANQUILLA'!EB72,"AAAAAFr+vhk=")</f>
        <v>#VALUE!</v>
      </c>
      <c r="AA63" t="e">
        <f>AND('SPR BARRANQUILLA'!EC72,"AAAAAFr+vho=")</f>
        <v>#VALUE!</v>
      </c>
      <c r="AB63" t="e">
        <f>AND('SPR BARRANQUILLA'!ED72,"AAAAAFr+vhs=")</f>
        <v>#VALUE!</v>
      </c>
      <c r="AC63" t="e">
        <f>AND('SPR BARRANQUILLA'!EE72,"AAAAAFr+vhw=")</f>
        <v>#VALUE!</v>
      </c>
      <c r="AD63" t="e">
        <f>AND('SPR BARRANQUILLA'!EF72,"AAAAAFr+vh0=")</f>
        <v>#VALUE!</v>
      </c>
      <c r="AE63" t="e">
        <f>AND('SPR BARRANQUILLA'!EG72,"AAAAAFr+vh4=")</f>
        <v>#VALUE!</v>
      </c>
      <c r="AF63" t="e">
        <f>AND('SPR BARRANQUILLA'!EH72,"AAAAAFr+vh8=")</f>
        <v>#VALUE!</v>
      </c>
      <c r="AG63" t="e">
        <f>AND('SPR BARRANQUILLA'!EI72,"AAAAAFr+viA=")</f>
        <v>#VALUE!</v>
      </c>
      <c r="AH63" t="e">
        <f>AND('SPR BARRANQUILLA'!EJ72,"AAAAAFr+viE=")</f>
        <v>#VALUE!</v>
      </c>
      <c r="AI63" t="e">
        <f>AND('SPR BARRANQUILLA'!EK72,"AAAAAFr+viI=")</f>
        <v>#VALUE!</v>
      </c>
      <c r="AJ63" t="e">
        <f>AND('SPR BARRANQUILLA'!EL72,"AAAAAFr+viM=")</f>
        <v>#VALUE!</v>
      </c>
      <c r="AK63" t="e">
        <f>AND('SPR BARRANQUILLA'!EM72,"AAAAAFr+viQ=")</f>
        <v>#VALUE!</v>
      </c>
      <c r="AL63" t="e">
        <f>AND('SPR BARRANQUILLA'!EN72,"AAAAAFr+viU=")</f>
        <v>#VALUE!</v>
      </c>
      <c r="AM63" t="e">
        <f>AND('SPR BARRANQUILLA'!EO72,"AAAAAFr+viY=")</f>
        <v>#VALUE!</v>
      </c>
      <c r="AN63" t="e">
        <f>AND('SPR BARRANQUILLA'!EP72,"AAAAAFr+vic=")</f>
        <v>#VALUE!</v>
      </c>
      <c r="AO63" t="e">
        <f>AND('SPR BARRANQUILLA'!EQ72,"AAAAAFr+vig=")</f>
        <v>#VALUE!</v>
      </c>
      <c r="AP63" t="e">
        <f>AND('SPR BARRANQUILLA'!ER72,"AAAAAFr+vik=")</f>
        <v>#VALUE!</v>
      </c>
      <c r="AQ63" t="e">
        <f>AND('SPR BARRANQUILLA'!ES72,"AAAAAFr+vio=")</f>
        <v>#VALUE!</v>
      </c>
      <c r="AR63" t="e">
        <f>AND('SPR BARRANQUILLA'!ET72,"AAAAAFr+vis=")</f>
        <v>#VALUE!</v>
      </c>
      <c r="AS63" t="e">
        <f>AND('SPR BARRANQUILLA'!EU72,"AAAAAFr+viw=")</f>
        <v>#VALUE!</v>
      </c>
      <c r="AT63" t="e">
        <f>AND('SPR BARRANQUILLA'!EV72,"AAAAAFr+vi0=")</f>
        <v>#VALUE!</v>
      </c>
      <c r="AU63" t="e">
        <f>AND('SPR BARRANQUILLA'!EW72,"AAAAAFr+vi4=")</f>
        <v>#VALUE!</v>
      </c>
      <c r="AV63" t="e">
        <f>AND('SPR BARRANQUILLA'!EX72,"AAAAAFr+vi8=")</f>
        <v>#VALUE!</v>
      </c>
      <c r="AW63" t="e">
        <f>AND('SPR BARRANQUILLA'!EY72,"AAAAAFr+vjA=")</f>
        <v>#VALUE!</v>
      </c>
      <c r="AX63" t="e">
        <f>AND('SPR BARRANQUILLA'!EZ72,"AAAAAFr+vjE=")</f>
        <v>#VALUE!</v>
      </c>
      <c r="AY63" t="e">
        <f>AND('SPR BARRANQUILLA'!FA72,"AAAAAFr+vjI=")</f>
        <v>#VALUE!</v>
      </c>
      <c r="AZ63" t="e">
        <f>AND('SPR BARRANQUILLA'!FB72,"AAAAAFr+vjM=")</f>
        <v>#VALUE!</v>
      </c>
      <c r="BA63" t="e">
        <f>AND('SPR BARRANQUILLA'!FC72,"AAAAAFr+vjQ=")</f>
        <v>#VALUE!</v>
      </c>
      <c r="BB63" t="e">
        <f>AND('SPR BARRANQUILLA'!FD72,"AAAAAFr+vjU=")</f>
        <v>#VALUE!</v>
      </c>
      <c r="BC63" t="e">
        <f>AND('SPR BARRANQUILLA'!FE72,"AAAAAFr+vjY=")</f>
        <v>#VALUE!</v>
      </c>
      <c r="BD63" t="e">
        <f>AND('SPR BARRANQUILLA'!FF72,"AAAAAFr+vjc=")</f>
        <v>#VALUE!</v>
      </c>
      <c r="BE63" t="e">
        <f>AND('SPR BARRANQUILLA'!FG72,"AAAAAFr+vjg=")</f>
        <v>#VALUE!</v>
      </c>
      <c r="BF63" t="e">
        <f>AND('SPR BARRANQUILLA'!FH72,"AAAAAFr+vjk=")</f>
        <v>#VALUE!</v>
      </c>
      <c r="BG63" t="e">
        <f>AND('SPR BARRANQUILLA'!FI72,"AAAAAFr+vjo=")</f>
        <v>#VALUE!</v>
      </c>
      <c r="BH63" t="e">
        <f>AND('SPR BARRANQUILLA'!FJ72,"AAAAAFr+vjs=")</f>
        <v>#VALUE!</v>
      </c>
      <c r="BI63" t="e">
        <f>AND('SPR BARRANQUILLA'!FK72,"AAAAAFr+vjw=")</f>
        <v>#VALUE!</v>
      </c>
      <c r="BJ63" t="e">
        <f>AND('SPR BARRANQUILLA'!FL72,"AAAAAFr+vj0=")</f>
        <v>#VALUE!</v>
      </c>
      <c r="BK63" t="e">
        <f>AND('SPR BARRANQUILLA'!FM72,"AAAAAFr+vj4=")</f>
        <v>#VALUE!</v>
      </c>
      <c r="BL63" t="e">
        <f>AND('SPR BARRANQUILLA'!FN72,"AAAAAFr+vj8=")</f>
        <v>#VALUE!</v>
      </c>
      <c r="BM63" t="e">
        <f>AND('SPR BARRANQUILLA'!FO72,"AAAAAFr+vkA=")</f>
        <v>#VALUE!</v>
      </c>
      <c r="BN63" t="e">
        <f>AND('SPR BARRANQUILLA'!FP72,"AAAAAFr+vkE=")</f>
        <v>#VALUE!</v>
      </c>
      <c r="BO63" t="e">
        <f>AND('SPR BARRANQUILLA'!FQ72,"AAAAAFr+vkI=")</f>
        <v>#VALUE!</v>
      </c>
      <c r="BP63" t="e">
        <f>AND('SPR BARRANQUILLA'!FR72,"AAAAAFr+vkM=")</f>
        <v>#VALUE!</v>
      </c>
      <c r="BQ63" t="e">
        <f>AND('SPR BARRANQUILLA'!FS72,"AAAAAFr+vkQ=")</f>
        <v>#VALUE!</v>
      </c>
      <c r="BR63" t="e">
        <f>AND('SPR BARRANQUILLA'!FT72,"AAAAAFr+vkU=")</f>
        <v>#VALUE!</v>
      </c>
      <c r="BS63" t="e">
        <f>AND('SPR BARRANQUILLA'!FU72,"AAAAAFr+vkY=")</f>
        <v>#VALUE!</v>
      </c>
      <c r="BT63" t="e">
        <f>AND('SPR BARRANQUILLA'!FV72,"AAAAAFr+vkc=")</f>
        <v>#VALUE!</v>
      </c>
      <c r="BU63" t="e">
        <f>AND('SPR BARRANQUILLA'!FW72,"AAAAAFr+vkg=")</f>
        <v>#VALUE!</v>
      </c>
      <c r="BV63" t="e">
        <f>AND('SPR BARRANQUILLA'!FX72,"AAAAAFr+vkk=")</f>
        <v>#VALUE!</v>
      </c>
      <c r="BW63" t="e">
        <f>AND('SPR BARRANQUILLA'!FY72,"AAAAAFr+vko=")</f>
        <v>#VALUE!</v>
      </c>
      <c r="BX63" t="e">
        <f>AND('SPR BARRANQUILLA'!FZ72,"AAAAAFr+vks=")</f>
        <v>#VALUE!</v>
      </c>
      <c r="BY63" t="e">
        <f>AND('SPR BARRANQUILLA'!GA72,"AAAAAFr+vkw=")</f>
        <v>#VALUE!</v>
      </c>
      <c r="BZ63" t="e">
        <f>AND('SPR BARRANQUILLA'!GB72,"AAAAAFr+vk0=")</f>
        <v>#VALUE!</v>
      </c>
      <c r="CA63" t="e">
        <f>AND('SPR BARRANQUILLA'!GC72,"AAAAAFr+vk4=")</f>
        <v>#VALUE!</v>
      </c>
      <c r="CB63" t="e">
        <f>AND('SPR BARRANQUILLA'!GD72,"AAAAAFr+vk8=")</f>
        <v>#VALUE!</v>
      </c>
      <c r="CC63" t="e">
        <f>AND('SPR BARRANQUILLA'!GE72,"AAAAAFr+vlA=")</f>
        <v>#VALUE!</v>
      </c>
      <c r="CD63" t="e">
        <f>AND('SPR BARRANQUILLA'!GF72,"AAAAAFr+vlE=")</f>
        <v>#VALUE!</v>
      </c>
      <c r="CE63" t="e">
        <f>AND('SPR BARRANQUILLA'!GG72,"AAAAAFr+vlI=")</f>
        <v>#VALUE!</v>
      </c>
      <c r="CF63" t="e">
        <f>AND('SPR BARRANQUILLA'!GH72,"AAAAAFr+vlM=")</f>
        <v>#VALUE!</v>
      </c>
      <c r="CG63" t="e">
        <f>AND('SPR BARRANQUILLA'!GI72,"AAAAAFr+vlQ=")</f>
        <v>#VALUE!</v>
      </c>
      <c r="CH63" t="e">
        <f>AND('SPR BARRANQUILLA'!GJ72,"AAAAAFr+vlU=")</f>
        <v>#VALUE!</v>
      </c>
      <c r="CI63" t="e">
        <f>AND('SPR BARRANQUILLA'!GK72,"AAAAAFr+vlY=")</f>
        <v>#VALUE!</v>
      </c>
      <c r="CJ63" t="e">
        <f>AND('SPR BARRANQUILLA'!GL72,"AAAAAFr+vlc=")</f>
        <v>#VALUE!</v>
      </c>
      <c r="CK63" t="e">
        <f>AND('SPR BARRANQUILLA'!GM72,"AAAAAFr+vlg=")</f>
        <v>#VALUE!</v>
      </c>
      <c r="CL63" t="e">
        <f>AND('SPR BARRANQUILLA'!GN72,"AAAAAFr+vlk=")</f>
        <v>#VALUE!</v>
      </c>
      <c r="CM63" t="e">
        <f>AND('SPR BARRANQUILLA'!GO72,"AAAAAFr+vlo=")</f>
        <v>#VALUE!</v>
      </c>
      <c r="CN63" t="e">
        <f>AND('SPR BARRANQUILLA'!GP72,"AAAAAFr+vls=")</f>
        <v>#VALUE!</v>
      </c>
      <c r="CO63" t="e">
        <f>AND('SPR BARRANQUILLA'!GQ72,"AAAAAFr+vlw=")</f>
        <v>#VALUE!</v>
      </c>
      <c r="CP63" t="e">
        <f>AND('SPR BARRANQUILLA'!GR72,"AAAAAFr+vl0=")</f>
        <v>#VALUE!</v>
      </c>
      <c r="CQ63" t="e">
        <f>AND('SPR BARRANQUILLA'!GS72,"AAAAAFr+vl4=")</f>
        <v>#VALUE!</v>
      </c>
      <c r="CR63" t="e">
        <f>AND('SPR BARRANQUILLA'!GT72,"AAAAAFr+vl8=")</f>
        <v>#VALUE!</v>
      </c>
      <c r="CS63" t="e">
        <f>AND('SPR BARRANQUILLA'!GU72,"AAAAAFr+vmA=")</f>
        <v>#VALUE!</v>
      </c>
      <c r="CT63" t="e">
        <f>AND('SPR BARRANQUILLA'!GV72,"AAAAAFr+vmE=")</f>
        <v>#VALUE!</v>
      </c>
      <c r="CU63" t="e">
        <f>AND('SPR BARRANQUILLA'!GW72,"AAAAAFr+vmI=")</f>
        <v>#VALUE!</v>
      </c>
      <c r="CV63" t="e">
        <f>AND('SPR BARRANQUILLA'!GX72,"AAAAAFr+vmM=")</f>
        <v>#VALUE!</v>
      </c>
      <c r="CW63" t="e">
        <f>AND('SPR BARRANQUILLA'!GY72,"AAAAAFr+vmQ=")</f>
        <v>#VALUE!</v>
      </c>
      <c r="CX63">
        <f>IF('SPR BARRANQUILLA'!73:73,"AAAAAFr+vmU=",0)</f>
        <v>0</v>
      </c>
      <c r="CY63" t="e">
        <f>AND('SPR BARRANQUILLA'!A73,"AAAAAFr+vmY=")</f>
        <v>#VALUE!</v>
      </c>
      <c r="CZ63" t="e">
        <f>AND('SPR BARRANQUILLA'!B73,"AAAAAFr+vmc=")</f>
        <v>#VALUE!</v>
      </c>
      <c r="DA63" t="e">
        <f>AND('SPR BARRANQUILLA'!C73,"AAAAAFr+vmg=")</f>
        <v>#VALUE!</v>
      </c>
      <c r="DB63" t="e">
        <f>AND('SPR BARRANQUILLA'!D73,"AAAAAFr+vmk=")</f>
        <v>#VALUE!</v>
      </c>
      <c r="DC63" t="e">
        <f>AND('SPR BARRANQUILLA'!E73,"AAAAAFr+vmo=")</f>
        <v>#VALUE!</v>
      </c>
      <c r="DD63" t="e">
        <f>AND('SPR BARRANQUILLA'!F73,"AAAAAFr+vms=")</f>
        <v>#VALUE!</v>
      </c>
      <c r="DE63" t="e">
        <f>AND('SPR BARRANQUILLA'!G73,"AAAAAFr+vmw=")</f>
        <v>#VALUE!</v>
      </c>
      <c r="DF63" t="e">
        <f>AND('SPR BARRANQUILLA'!H73,"AAAAAFr+vm0=")</f>
        <v>#VALUE!</v>
      </c>
      <c r="DG63" t="e">
        <f>AND('SPR BARRANQUILLA'!I73,"AAAAAFr+vm4=")</f>
        <v>#VALUE!</v>
      </c>
      <c r="DH63" t="e">
        <f>AND('SPR BARRANQUILLA'!J73,"AAAAAFr+vm8=")</f>
        <v>#VALUE!</v>
      </c>
      <c r="DI63" t="e">
        <f>AND('SPR BARRANQUILLA'!K73,"AAAAAFr+vnA=")</f>
        <v>#VALUE!</v>
      </c>
      <c r="DJ63" t="e">
        <f>AND('SPR BARRANQUILLA'!L73,"AAAAAFr+vnE=")</f>
        <v>#VALUE!</v>
      </c>
      <c r="DK63" t="e">
        <f>AND('SPR BARRANQUILLA'!M73,"AAAAAFr+vnI=")</f>
        <v>#VALUE!</v>
      </c>
      <c r="DL63" t="e">
        <f>AND('SPR BARRANQUILLA'!N73,"AAAAAFr+vnM=")</f>
        <v>#VALUE!</v>
      </c>
      <c r="DM63" t="e">
        <f>AND('SPR BARRANQUILLA'!O73,"AAAAAFr+vnQ=")</f>
        <v>#VALUE!</v>
      </c>
      <c r="DN63" t="e">
        <f>AND('SPR BARRANQUILLA'!P73,"AAAAAFr+vnU=")</f>
        <v>#VALUE!</v>
      </c>
      <c r="DO63" t="e">
        <f>AND('SPR BARRANQUILLA'!Q73,"AAAAAFr+vnY=")</f>
        <v>#VALUE!</v>
      </c>
      <c r="DP63" t="e">
        <f>AND('SPR BARRANQUILLA'!R73,"AAAAAFr+vnc=")</f>
        <v>#VALUE!</v>
      </c>
      <c r="DQ63" t="e">
        <f>AND('SPR BARRANQUILLA'!S73,"AAAAAFr+vng=")</f>
        <v>#VALUE!</v>
      </c>
      <c r="DR63" t="e">
        <f>AND('SPR BARRANQUILLA'!T73,"AAAAAFr+vnk=")</f>
        <v>#VALUE!</v>
      </c>
      <c r="DS63" t="e">
        <f>AND('SPR BARRANQUILLA'!U73,"AAAAAFr+vno=")</f>
        <v>#VALUE!</v>
      </c>
      <c r="DT63" t="e">
        <f>AND('SPR BARRANQUILLA'!V73,"AAAAAFr+vns=")</f>
        <v>#VALUE!</v>
      </c>
      <c r="DU63" t="e">
        <f>AND('SPR BARRANQUILLA'!W73,"AAAAAFr+vnw=")</f>
        <v>#VALUE!</v>
      </c>
      <c r="DV63" t="e">
        <f>AND('SPR BARRANQUILLA'!X73,"AAAAAFr+vn0=")</f>
        <v>#VALUE!</v>
      </c>
      <c r="DW63" t="e">
        <f>AND('SPR BARRANQUILLA'!Y73,"AAAAAFr+vn4=")</f>
        <v>#VALUE!</v>
      </c>
      <c r="DX63" t="e">
        <f>AND('SPR BARRANQUILLA'!Z73,"AAAAAFr+vn8=")</f>
        <v>#VALUE!</v>
      </c>
      <c r="DY63" t="e">
        <f>AND('SPR BARRANQUILLA'!AA73,"AAAAAFr+voA=")</f>
        <v>#VALUE!</v>
      </c>
      <c r="DZ63" t="e">
        <f>AND('SPR BARRANQUILLA'!AB73,"AAAAAFr+voE=")</f>
        <v>#VALUE!</v>
      </c>
      <c r="EA63" t="e">
        <f>AND('SPR BARRANQUILLA'!AC73,"AAAAAFr+voI=")</f>
        <v>#VALUE!</v>
      </c>
      <c r="EB63" t="e">
        <f>AND('SPR BARRANQUILLA'!AD73,"AAAAAFr+voM=")</f>
        <v>#VALUE!</v>
      </c>
      <c r="EC63" t="e">
        <f>AND('SPR BARRANQUILLA'!AE73,"AAAAAFr+voQ=")</f>
        <v>#VALUE!</v>
      </c>
      <c r="ED63" t="e">
        <f>AND('SPR BARRANQUILLA'!AF73,"AAAAAFr+voU=")</f>
        <v>#VALUE!</v>
      </c>
      <c r="EE63" t="e">
        <f>AND('SPR BARRANQUILLA'!AG73,"AAAAAFr+voY=")</f>
        <v>#VALUE!</v>
      </c>
      <c r="EF63" t="e">
        <f>AND('SPR BARRANQUILLA'!AH73,"AAAAAFr+voc=")</f>
        <v>#VALUE!</v>
      </c>
      <c r="EG63" t="e">
        <f>AND('SPR BARRANQUILLA'!AI73,"AAAAAFr+vog=")</f>
        <v>#VALUE!</v>
      </c>
      <c r="EH63" t="e">
        <f>AND('SPR BARRANQUILLA'!AJ73,"AAAAAFr+vok=")</f>
        <v>#VALUE!</v>
      </c>
      <c r="EI63" t="e">
        <f>AND('SPR BARRANQUILLA'!AK73,"AAAAAFr+voo=")</f>
        <v>#VALUE!</v>
      </c>
      <c r="EJ63" t="e">
        <f>AND('SPR BARRANQUILLA'!AL73,"AAAAAFr+vos=")</f>
        <v>#VALUE!</v>
      </c>
      <c r="EK63" t="e">
        <f>AND('SPR BARRANQUILLA'!AM73,"AAAAAFr+vow=")</f>
        <v>#VALUE!</v>
      </c>
      <c r="EL63" t="e">
        <f>AND('SPR BARRANQUILLA'!AN73,"AAAAAFr+vo0=")</f>
        <v>#VALUE!</v>
      </c>
      <c r="EM63" t="e">
        <f>AND('SPR BARRANQUILLA'!AO73,"AAAAAFr+vo4=")</f>
        <v>#VALUE!</v>
      </c>
      <c r="EN63" t="e">
        <f>AND('SPR BARRANQUILLA'!AP73,"AAAAAFr+vo8=")</f>
        <v>#VALUE!</v>
      </c>
      <c r="EO63" t="e">
        <f>AND('SPR BARRANQUILLA'!AQ73,"AAAAAFr+vpA=")</f>
        <v>#VALUE!</v>
      </c>
      <c r="EP63" t="e">
        <f>AND('SPR BARRANQUILLA'!AR73,"AAAAAFr+vpE=")</f>
        <v>#VALUE!</v>
      </c>
      <c r="EQ63" t="e">
        <f>AND('SPR BARRANQUILLA'!AS73,"AAAAAFr+vpI=")</f>
        <v>#VALUE!</v>
      </c>
      <c r="ER63" t="e">
        <f>AND('SPR BARRANQUILLA'!AT73,"AAAAAFr+vpM=")</f>
        <v>#VALUE!</v>
      </c>
      <c r="ES63" t="e">
        <f>AND('SPR BARRANQUILLA'!AU73,"AAAAAFr+vpQ=")</f>
        <v>#VALUE!</v>
      </c>
      <c r="ET63" t="e">
        <f>AND('SPR BARRANQUILLA'!AV73,"AAAAAFr+vpU=")</f>
        <v>#VALUE!</v>
      </c>
      <c r="EU63" t="e">
        <f>AND('SPR BARRANQUILLA'!AW73,"AAAAAFr+vpY=")</f>
        <v>#VALUE!</v>
      </c>
      <c r="EV63" t="e">
        <f>AND('SPR BARRANQUILLA'!AX73,"AAAAAFr+vpc=")</f>
        <v>#VALUE!</v>
      </c>
      <c r="EW63" t="e">
        <f>AND('SPR BARRANQUILLA'!AY73,"AAAAAFr+vpg=")</f>
        <v>#VALUE!</v>
      </c>
      <c r="EX63" t="e">
        <f>AND('SPR BARRANQUILLA'!AZ73,"AAAAAFr+vpk=")</f>
        <v>#VALUE!</v>
      </c>
      <c r="EY63" t="e">
        <f>AND('SPR BARRANQUILLA'!BA73,"AAAAAFr+vpo=")</f>
        <v>#VALUE!</v>
      </c>
      <c r="EZ63" t="e">
        <f>AND('SPR BARRANQUILLA'!BB73,"AAAAAFr+vps=")</f>
        <v>#VALUE!</v>
      </c>
      <c r="FA63" t="e">
        <f>AND('SPR BARRANQUILLA'!BC73,"AAAAAFr+vpw=")</f>
        <v>#VALUE!</v>
      </c>
      <c r="FB63" t="e">
        <f>AND('SPR BARRANQUILLA'!BD73,"AAAAAFr+vp0=")</f>
        <v>#VALUE!</v>
      </c>
      <c r="FC63" t="e">
        <f>AND('SPR BARRANQUILLA'!BE73,"AAAAAFr+vp4=")</f>
        <v>#VALUE!</v>
      </c>
      <c r="FD63" t="e">
        <f>AND('SPR BARRANQUILLA'!BF73,"AAAAAFr+vp8=")</f>
        <v>#VALUE!</v>
      </c>
      <c r="FE63" t="e">
        <f>AND('SPR BARRANQUILLA'!BG73,"AAAAAFr+vqA=")</f>
        <v>#VALUE!</v>
      </c>
      <c r="FF63" t="e">
        <f>AND('SPR BARRANQUILLA'!BH73,"AAAAAFr+vqE=")</f>
        <v>#VALUE!</v>
      </c>
      <c r="FG63" t="e">
        <f>AND('SPR BARRANQUILLA'!BI73,"AAAAAFr+vqI=")</f>
        <v>#VALUE!</v>
      </c>
      <c r="FH63" t="e">
        <f>AND('SPR BARRANQUILLA'!BJ73,"AAAAAFr+vqM=")</f>
        <v>#VALUE!</v>
      </c>
      <c r="FI63" t="e">
        <f>AND('SPR BARRANQUILLA'!BK73,"AAAAAFr+vqQ=")</f>
        <v>#VALUE!</v>
      </c>
      <c r="FJ63" t="e">
        <f>AND('SPR BARRANQUILLA'!BL73,"AAAAAFr+vqU=")</f>
        <v>#VALUE!</v>
      </c>
      <c r="FK63" t="e">
        <f>AND('SPR BARRANQUILLA'!BM73,"AAAAAFr+vqY=")</f>
        <v>#VALUE!</v>
      </c>
      <c r="FL63" t="e">
        <f>AND('SPR BARRANQUILLA'!BN73,"AAAAAFr+vqc=")</f>
        <v>#VALUE!</v>
      </c>
      <c r="FM63" t="e">
        <f>AND('SPR BARRANQUILLA'!BO73,"AAAAAFr+vqg=")</f>
        <v>#VALUE!</v>
      </c>
      <c r="FN63" t="e">
        <f>AND('SPR BARRANQUILLA'!BP73,"AAAAAFr+vqk=")</f>
        <v>#VALUE!</v>
      </c>
      <c r="FO63" t="e">
        <f>AND('SPR BARRANQUILLA'!BQ73,"AAAAAFr+vqo=")</f>
        <v>#VALUE!</v>
      </c>
      <c r="FP63" t="e">
        <f>AND('SPR BARRANQUILLA'!BR73,"AAAAAFr+vqs=")</f>
        <v>#VALUE!</v>
      </c>
      <c r="FQ63" t="e">
        <f>AND('SPR BARRANQUILLA'!BS73,"AAAAAFr+vqw=")</f>
        <v>#VALUE!</v>
      </c>
      <c r="FR63" t="e">
        <f>AND('SPR BARRANQUILLA'!BT73,"AAAAAFr+vq0=")</f>
        <v>#VALUE!</v>
      </c>
      <c r="FS63" t="e">
        <f>AND('SPR BARRANQUILLA'!BU73,"AAAAAFr+vq4=")</f>
        <v>#VALUE!</v>
      </c>
      <c r="FT63" t="e">
        <f>AND('SPR BARRANQUILLA'!BV73,"AAAAAFr+vq8=")</f>
        <v>#VALUE!</v>
      </c>
      <c r="FU63" t="e">
        <f>AND('SPR BARRANQUILLA'!BW73,"AAAAAFr+vrA=")</f>
        <v>#VALUE!</v>
      </c>
      <c r="FV63" t="e">
        <f>AND('SPR BARRANQUILLA'!BX73,"AAAAAFr+vrE=")</f>
        <v>#VALUE!</v>
      </c>
      <c r="FW63" t="e">
        <f>AND('SPR BARRANQUILLA'!BY73,"AAAAAFr+vrI=")</f>
        <v>#VALUE!</v>
      </c>
      <c r="FX63" t="e">
        <f>AND('SPR BARRANQUILLA'!BZ73,"AAAAAFr+vrM=")</f>
        <v>#VALUE!</v>
      </c>
      <c r="FY63" t="e">
        <f>AND('SPR BARRANQUILLA'!CA73,"AAAAAFr+vrQ=")</f>
        <v>#VALUE!</v>
      </c>
      <c r="FZ63" t="e">
        <f>AND('SPR BARRANQUILLA'!CB73,"AAAAAFr+vrU=")</f>
        <v>#VALUE!</v>
      </c>
      <c r="GA63" t="e">
        <f>AND('SPR BARRANQUILLA'!CC73,"AAAAAFr+vrY=")</f>
        <v>#VALUE!</v>
      </c>
      <c r="GB63" t="e">
        <f>AND('SPR BARRANQUILLA'!CD73,"AAAAAFr+vrc=")</f>
        <v>#VALUE!</v>
      </c>
      <c r="GC63" t="e">
        <f>AND('SPR BARRANQUILLA'!CE73,"AAAAAFr+vrg=")</f>
        <v>#VALUE!</v>
      </c>
      <c r="GD63" t="e">
        <f>AND('SPR BARRANQUILLA'!CF73,"AAAAAFr+vrk=")</f>
        <v>#VALUE!</v>
      </c>
      <c r="GE63" t="e">
        <f>AND('SPR BARRANQUILLA'!CG73,"AAAAAFr+vro=")</f>
        <v>#VALUE!</v>
      </c>
      <c r="GF63" t="e">
        <f>AND('SPR BARRANQUILLA'!CH73,"AAAAAFr+vrs=")</f>
        <v>#VALUE!</v>
      </c>
      <c r="GG63" t="e">
        <f>AND('SPR BARRANQUILLA'!CI73,"AAAAAFr+vrw=")</f>
        <v>#VALUE!</v>
      </c>
      <c r="GH63" t="e">
        <f>AND('SPR BARRANQUILLA'!CJ73,"AAAAAFr+vr0=")</f>
        <v>#VALUE!</v>
      </c>
      <c r="GI63" t="e">
        <f>AND('SPR BARRANQUILLA'!CK73,"AAAAAFr+vr4=")</f>
        <v>#VALUE!</v>
      </c>
      <c r="GJ63" t="e">
        <f>AND('SPR BARRANQUILLA'!CL73,"AAAAAFr+vr8=")</f>
        <v>#VALUE!</v>
      </c>
      <c r="GK63" t="e">
        <f>AND('SPR BARRANQUILLA'!CM73,"AAAAAFr+vsA=")</f>
        <v>#VALUE!</v>
      </c>
      <c r="GL63" t="e">
        <f>AND('SPR BARRANQUILLA'!CN73,"AAAAAFr+vsE=")</f>
        <v>#VALUE!</v>
      </c>
      <c r="GM63" t="e">
        <f>AND('SPR BARRANQUILLA'!CO73,"AAAAAFr+vsI=")</f>
        <v>#VALUE!</v>
      </c>
      <c r="GN63" t="e">
        <f>AND('SPR BARRANQUILLA'!CP73,"AAAAAFr+vsM=")</f>
        <v>#VALUE!</v>
      </c>
      <c r="GO63" t="e">
        <f>AND('SPR BARRANQUILLA'!CQ73,"AAAAAFr+vsQ=")</f>
        <v>#VALUE!</v>
      </c>
      <c r="GP63" t="e">
        <f>AND('SPR BARRANQUILLA'!CR73,"AAAAAFr+vsU=")</f>
        <v>#VALUE!</v>
      </c>
      <c r="GQ63" t="e">
        <f>AND('SPR BARRANQUILLA'!CS73,"AAAAAFr+vsY=")</f>
        <v>#VALUE!</v>
      </c>
      <c r="GR63" t="e">
        <f>AND('SPR BARRANQUILLA'!CT73,"AAAAAFr+vsc=")</f>
        <v>#VALUE!</v>
      </c>
      <c r="GS63" t="e">
        <f>AND('SPR BARRANQUILLA'!CU73,"AAAAAFr+vsg=")</f>
        <v>#VALUE!</v>
      </c>
      <c r="GT63" t="e">
        <f>AND('SPR BARRANQUILLA'!CV73,"AAAAAFr+vsk=")</f>
        <v>#VALUE!</v>
      </c>
      <c r="GU63" t="e">
        <f>AND('SPR BARRANQUILLA'!CW73,"AAAAAFr+vso=")</f>
        <v>#VALUE!</v>
      </c>
      <c r="GV63" t="e">
        <f>AND('SPR BARRANQUILLA'!CX73,"AAAAAFr+vss=")</f>
        <v>#VALUE!</v>
      </c>
      <c r="GW63" t="e">
        <f>AND('SPR BARRANQUILLA'!CY73,"AAAAAFr+vsw=")</f>
        <v>#VALUE!</v>
      </c>
      <c r="GX63" t="e">
        <f>AND('SPR BARRANQUILLA'!CZ73,"AAAAAFr+vs0=")</f>
        <v>#VALUE!</v>
      </c>
      <c r="GY63" t="e">
        <f>AND('SPR BARRANQUILLA'!DA73,"AAAAAFr+vs4=")</f>
        <v>#VALUE!</v>
      </c>
      <c r="GZ63" t="e">
        <f>AND('SPR BARRANQUILLA'!DB73,"AAAAAFr+vs8=")</f>
        <v>#VALUE!</v>
      </c>
      <c r="HA63" t="e">
        <f>AND('SPR BARRANQUILLA'!DC73,"AAAAAFr+vtA=")</f>
        <v>#VALUE!</v>
      </c>
      <c r="HB63" t="e">
        <f>AND('SPR BARRANQUILLA'!DD73,"AAAAAFr+vtE=")</f>
        <v>#VALUE!</v>
      </c>
      <c r="HC63" t="e">
        <f>AND('SPR BARRANQUILLA'!DE73,"AAAAAFr+vtI=")</f>
        <v>#VALUE!</v>
      </c>
      <c r="HD63" t="e">
        <f>AND('SPR BARRANQUILLA'!DF73,"AAAAAFr+vtM=")</f>
        <v>#VALUE!</v>
      </c>
      <c r="HE63" t="e">
        <f>AND('SPR BARRANQUILLA'!DG73,"AAAAAFr+vtQ=")</f>
        <v>#VALUE!</v>
      </c>
      <c r="HF63" t="e">
        <f>AND('SPR BARRANQUILLA'!DH73,"AAAAAFr+vtU=")</f>
        <v>#VALUE!</v>
      </c>
      <c r="HG63" t="e">
        <f>AND('SPR BARRANQUILLA'!DI73,"AAAAAFr+vtY=")</f>
        <v>#VALUE!</v>
      </c>
      <c r="HH63" t="e">
        <f>AND('SPR BARRANQUILLA'!DJ73,"AAAAAFr+vtc=")</f>
        <v>#VALUE!</v>
      </c>
      <c r="HI63" t="e">
        <f>AND('SPR BARRANQUILLA'!DK73,"AAAAAFr+vtg=")</f>
        <v>#VALUE!</v>
      </c>
      <c r="HJ63" t="e">
        <f>AND('SPR BARRANQUILLA'!DL73,"AAAAAFr+vtk=")</f>
        <v>#VALUE!</v>
      </c>
      <c r="HK63" t="e">
        <f>AND('SPR BARRANQUILLA'!DM73,"AAAAAFr+vto=")</f>
        <v>#VALUE!</v>
      </c>
      <c r="HL63" t="e">
        <f>AND('SPR BARRANQUILLA'!DN73,"AAAAAFr+vts=")</f>
        <v>#VALUE!</v>
      </c>
      <c r="HM63" t="e">
        <f>AND('SPR BARRANQUILLA'!DO73,"AAAAAFr+vtw=")</f>
        <v>#VALUE!</v>
      </c>
      <c r="HN63" t="e">
        <f>AND('SPR BARRANQUILLA'!DP73,"AAAAAFr+vt0=")</f>
        <v>#VALUE!</v>
      </c>
      <c r="HO63" t="e">
        <f>AND('SPR BARRANQUILLA'!DQ73,"AAAAAFr+vt4=")</f>
        <v>#VALUE!</v>
      </c>
      <c r="HP63" t="e">
        <f>AND('SPR BARRANQUILLA'!DR73,"AAAAAFr+vt8=")</f>
        <v>#VALUE!</v>
      </c>
      <c r="HQ63" t="e">
        <f>AND('SPR BARRANQUILLA'!DS73,"AAAAAFr+vuA=")</f>
        <v>#VALUE!</v>
      </c>
      <c r="HR63" t="e">
        <f>AND('SPR BARRANQUILLA'!DT73,"AAAAAFr+vuE=")</f>
        <v>#VALUE!</v>
      </c>
      <c r="HS63" t="e">
        <f>AND('SPR BARRANQUILLA'!DU73,"AAAAAFr+vuI=")</f>
        <v>#VALUE!</v>
      </c>
      <c r="HT63" t="e">
        <f>AND('SPR BARRANQUILLA'!DV73,"AAAAAFr+vuM=")</f>
        <v>#VALUE!</v>
      </c>
      <c r="HU63" t="e">
        <f>AND('SPR BARRANQUILLA'!DW73,"AAAAAFr+vuQ=")</f>
        <v>#VALUE!</v>
      </c>
      <c r="HV63" t="e">
        <f>AND('SPR BARRANQUILLA'!DX73,"AAAAAFr+vuU=")</f>
        <v>#VALUE!</v>
      </c>
      <c r="HW63" t="e">
        <f>AND('SPR BARRANQUILLA'!DY73,"AAAAAFr+vuY=")</f>
        <v>#VALUE!</v>
      </c>
      <c r="HX63" t="e">
        <f>AND('SPR BARRANQUILLA'!DZ73,"AAAAAFr+vuc=")</f>
        <v>#VALUE!</v>
      </c>
      <c r="HY63" t="e">
        <f>AND('SPR BARRANQUILLA'!EA73,"AAAAAFr+vug=")</f>
        <v>#VALUE!</v>
      </c>
      <c r="HZ63" t="e">
        <f>AND('SPR BARRANQUILLA'!EB73,"AAAAAFr+vuk=")</f>
        <v>#VALUE!</v>
      </c>
      <c r="IA63" t="e">
        <f>AND('SPR BARRANQUILLA'!EC73,"AAAAAFr+vuo=")</f>
        <v>#VALUE!</v>
      </c>
      <c r="IB63" t="e">
        <f>AND('SPR BARRANQUILLA'!ED73,"AAAAAFr+vus=")</f>
        <v>#VALUE!</v>
      </c>
      <c r="IC63" t="e">
        <f>AND('SPR BARRANQUILLA'!EE73,"AAAAAFr+vuw=")</f>
        <v>#VALUE!</v>
      </c>
      <c r="ID63" t="e">
        <f>AND('SPR BARRANQUILLA'!EF73,"AAAAAFr+vu0=")</f>
        <v>#VALUE!</v>
      </c>
      <c r="IE63" t="e">
        <f>AND('SPR BARRANQUILLA'!EG73,"AAAAAFr+vu4=")</f>
        <v>#VALUE!</v>
      </c>
      <c r="IF63" t="e">
        <f>AND('SPR BARRANQUILLA'!EH73,"AAAAAFr+vu8=")</f>
        <v>#VALUE!</v>
      </c>
      <c r="IG63" t="e">
        <f>AND('SPR BARRANQUILLA'!EI73,"AAAAAFr+vvA=")</f>
        <v>#VALUE!</v>
      </c>
      <c r="IH63" t="e">
        <f>AND('SPR BARRANQUILLA'!EJ73,"AAAAAFr+vvE=")</f>
        <v>#VALUE!</v>
      </c>
      <c r="II63" t="e">
        <f>AND('SPR BARRANQUILLA'!EK73,"AAAAAFr+vvI=")</f>
        <v>#VALUE!</v>
      </c>
      <c r="IJ63" t="e">
        <f>AND('SPR BARRANQUILLA'!EL73,"AAAAAFr+vvM=")</f>
        <v>#VALUE!</v>
      </c>
      <c r="IK63" t="e">
        <f>AND('SPR BARRANQUILLA'!EM73,"AAAAAFr+vvQ=")</f>
        <v>#VALUE!</v>
      </c>
      <c r="IL63" t="e">
        <f>AND('SPR BARRANQUILLA'!EN73,"AAAAAFr+vvU=")</f>
        <v>#VALUE!</v>
      </c>
      <c r="IM63" t="e">
        <f>AND('SPR BARRANQUILLA'!EO73,"AAAAAFr+vvY=")</f>
        <v>#VALUE!</v>
      </c>
      <c r="IN63" t="e">
        <f>AND('SPR BARRANQUILLA'!EP73,"AAAAAFr+vvc=")</f>
        <v>#VALUE!</v>
      </c>
      <c r="IO63" t="e">
        <f>AND('SPR BARRANQUILLA'!EQ73,"AAAAAFr+vvg=")</f>
        <v>#VALUE!</v>
      </c>
      <c r="IP63" t="e">
        <f>AND('SPR BARRANQUILLA'!ER73,"AAAAAFr+vvk=")</f>
        <v>#VALUE!</v>
      </c>
      <c r="IQ63" t="e">
        <f>AND('SPR BARRANQUILLA'!ES73,"AAAAAFr+vvo=")</f>
        <v>#VALUE!</v>
      </c>
      <c r="IR63" t="e">
        <f>AND('SPR BARRANQUILLA'!ET73,"AAAAAFr+vvs=")</f>
        <v>#VALUE!</v>
      </c>
      <c r="IS63" t="e">
        <f>AND('SPR BARRANQUILLA'!EU73,"AAAAAFr+vvw=")</f>
        <v>#VALUE!</v>
      </c>
      <c r="IT63" t="e">
        <f>AND('SPR BARRANQUILLA'!EV73,"AAAAAFr+vv0=")</f>
        <v>#VALUE!</v>
      </c>
      <c r="IU63" t="e">
        <f>AND('SPR BARRANQUILLA'!EW73,"AAAAAFr+vv4=")</f>
        <v>#VALUE!</v>
      </c>
      <c r="IV63" t="e">
        <f>AND('SPR BARRANQUILLA'!EX73,"AAAAAFr+vv8=")</f>
        <v>#VALUE!</v>
      </c>
    </row>
    <row r="64" spans="1:256">
      <c r="A64" t="e">
        <f>AND('SPR BARRANQUILLA'!EY73,"AAAAADOdmgA=")</f>
        <v>#VALUE!</v>
      </c>
      <c r="B64" t="e">
        <f>AND('SPR BARRANQUILLA'!EZ73,"AAAAADOdmgE=")</f>
        <v>#VALUE!</v>
      </c>
      <c r="C64" t="e">
        <f>AND('SPR BARRANQUILLA'!FA73,"AAAAADOdmgI=")</f>
        <v>#VALUE!</v>
      </c>
      <c r="D64" t="e">
        <f>AND('SPR BARRANQUILLA'!FB73,"AAAAADOdmgM=")</f>
        <v>#VALUE!</v>
      </c>
      <c r="E64" t="e">
        <f>AND('SPR BARRANQUILLA'!FC73,"AAAAADOdmgQ=")</f>
        <v>#VALUE!</v>
      </c>
      <c r="F64" t="e">
        <f>AND('SPR BARRANQUILLA'!FD73,"AAAAADOdmgU=")</f>
        <v>#VALUE!</v>
      </c>
      <c r="G64" t="e">
        <f>AND('SPR BARRANQUILLA'!FE73,"AAAAADOdmgY=")</f>
        <v>#VALUE!</v>
      </c>
      <c r="H64" t="e">
        <f>AND('SPR BARRANQUILLA'!FF73,"AAAAADOdmgc=")</f>
        <v>#VALUE!</v>
      </c>
      <c r="I64" t="e">
        <f>AND('SPR BARRANQUILLA'!FG73,"AAAAADOdmgg=")</f>
        <v>#VALUE!</v>
      </c>
      <c r="J64" t="e">
        <f>AND('SPR BARRANQUILLA'!FH73,"AAAAADOdmgk=")</f>
        <v>#VALUE!</v>
      </c>
      <c r="K64" t="e">
        <f>AND('SPR BARRANQUILLA'!FI73,"AAAAADOdmgo=")</f>
        <v>#VALUE!</v>
      </c>
      <c r="L64" t="e">
        <f>AND('SPR BARRANQUILLA'!FJ73,"AAAAADOdmgs=")</f>
        <v>#VALUE!</v>
      </c>
      <c r="M64" t="e">
        <f>AND('SPR BARRANQUILLA'!FK73,"AAAAADOdmgw=")</f>
        <v>#VALUE!</v>
      </c>
      <c r="N64" t="e">
        <f>AND('SPR BARRANQUILLA'!FL73,"AAAAADOdmg0=")</f>
        <v>#VALUE!</v>
      </c>
      <c r="O64" t="e">
        <f>AND('SPR BARRANQUILLA'!FM73,"AAAAADOdmg4=")</f>
        <v>#VALUE!</v>
      </c>
      <c r="P64" t="e">
        <f>AND('SPR BARRANQUILLA'!FN73,"AAAAADOdmg8=")</f>
        <v>#VALUE!</v>
      </c>
      <c r="Q64" t="e">
        <f>AND('SPR BARRANQUILLA'!FO73,"AAAAADOdmhA=")</f>
        <v>#VALUE!</v>
      </c>
      <c r="R64" t="e">
        <f>AND('SPR BARRANQUILLA'!FP73,"AAAAADOdmhE=")</f>
        <v>#VALUE!</v>
      </c>
      <c r="S64" t="e">
        <f>AND('SPR BARRANQUILLA'!FQ73,"AAAAADOdmhI=")</f>
        <v>#VALUE!</v>
      </c>
      <c r="T64" t="e">
        <f>AND('SPR BARRANQUILLA'!FR73,"AAAAADOdmhM=")</f>
        <v>#VALUE!</v>
      </c>
      <c r="U64" t="e">
        <f>AND('SPR BARRANQUILLA'!FS73,"AAAAADOdmhQ=")</f>
        <v>#VALUE!</v>
      </c>
      <c r="V64" t="e">
        <f>AND('SPR BARRANQUILLA'!FT73,"AAAAADOdmhU=")</f>
        <v>#VALUE!</v>
      </c>
      <c r="W64" t="e">
        <f>AND('SPR BARRANQUILLA'!FU73,"AAAAADOdmhY=")</f>
        <v>#VALUE!</v>
      </c>
      <c r="X64" t="e">
        <f>AND('SPR BARRANQUILLA'!FV73,"AAAAADOdmhc=")</f>
        <v>#VALUE!</v>
      </c>
      <c r="Y64" t="e">
        <f>AND('SPR BARRANQUILLA'!FW73,"AAAAADOdmhg=")</f>
        <v>#VALUE!</v>
      </c>
      <c r="Z64" t="e">
        <f>AND('SPR BARRANQUILLA'!FX73,"AAAAADOdmhk=")</f>
        <v>#VALUE!</v>
      </c>
      <c r="AA64" t="e">
        <f>AND('SPR BARRANQUILLA'!FY73,"AAAAADOdmho=")</f>
        <v>#VALUE!</v>
      </c>
      <c r="AB64" t="e">
        <f>AND('SPR BARRANQUILLA'!FZ73,"AAAAADOdmhs=")</f>
        <v>#VALUE!</v>
      </c>
      <c r="AC64" t="e">
        <f>AND('SPR BARRANQUILLA'!GA73,"AAAAADOdmhw=")</f>
        <v>#VALUE!</v>
      </c>
      <c r="AD64" t="e">
        <f>AND('SPR BARRANQUILLA'!GB73,"AAAAADOdmh0=")</f>
        <v>#VALUE!</v>
      </c>
      <c r="AE64" t="e">
        <f>AND('SPR BARRANQUILLA'!GC73,"AAAAADOdmh4=")</f>
        <v>#VALUE!</v>
      </c>
      <c r="AF64" t="e">
        <f>AND('SPR BARRANQUILLA'!GD73,"AAAAADOdmh8=")</f>
        <v>#VALUE!</v>
      </c>
      <c r="AG64" t="e">
        <f>AND('SPR BARRANQUILLA'!GE73,"AAAAADOdmiA=")</f>
        <v>#VALUE!</v>
      </c>
      <c r="AH64" t="e">
        <f>AND('SPR BARRANQUILLA'!GF73,"AAAAADOdmiE=")</f>
        <v>#VALUE!</v>
      </c>
      <c r="AI64" t="e">
        <f>AND('SPR BARRANQUILLA'!GG73,"AAAAADOdmiI=")</f>
        <v>#VALUE!</v>
      </c>
      <c r="AJ64" t="e">
        <f>AND('SPR BARRANQUILLA'!GH73,"AAAAADOdmiM=")</f>
        <v>#VALUE!</v>
      </c>
      <c r="AK64" t="e">
        <f>AND('SPR BARRANQUILLA'!GI73,"AAAAADOdmiQ=")</f>
        <v>#VALUE!</v>
      </c>
      <c r="AL64" t="e">
        <f>AND('SPR BARRANQUILLA'!GJ73,"AAAAADOdmiU=")</f>
        <v>#VALUE!</v>
      </c>
      <c r="AM64" t="e">
        <f>AND('SPR BARRANQUILLA'!GK73,"AAAAADOdmiY=")</f>
        <v>#VALUE!</v>
      </c>
      <c r="AN64" t="e">
        <f>AND('SPR BARRANQUILLA'!GL73,"AAAAADOdmic=")</f>
        <v>#VALUE!</v>
      </c>
      <c r="AO64" t="e">
        <f>AND('SPR BARRANQUILLA'!GM73,"AAAAADOdmig=")</f>
        <v>#VALUE!</v>
      </c>
      <c r="AP64" t="e">
        <f>AND('SPR BARRANQUILLA'!GN73,"AAAAADOdmik=")</f>
        <v>#VALUE!</v>
      </c>
      <c r="AQ64" t="e">
        <f>AND('SPR BARRANQUILLA'!GO73,"AAAAADOdmio=")</f>
        <v>#VALUE!</v>
      </c>
      <c r="AR64" t="e">
        <f>AND('SPR BARRANQUILLA'!GP73,"AAAAADOdmis=")</f>
        <v>#VALUE!</v>
      </c>
      <c r="AS64" t="e">
        <f>AND('SPR BARRANQUILLA'!GQ73,"AAAAADOdmiw=")</f>
        <v>#VALUE!</v>
      </c>
      <c r="AT64" t="e">
        <f>AND('SPR BARRANQUILLA'!GR73,"AAAAADOdmi0=")</f>
        <v>#VALUE!</v>
      </c>
      <c r="AU64" t="e">
        <f>AND('SPR BARRANQUILLA'!GS73,"AAAAADOdmi4=")</f>
        <v>#VALUE!</v>
      </c>
      <c r="AV64" t="e">
        <f>AND('SPR BARRANQUILLA'!GT73,"AAAAADOdmi8=")</f>
        <v>#VALUE!</v>
      </c>
      <c r="AW64" t="e">
        <f>AND('SPR BARRANQUILLA'!GU73,"AAAAADOdmjA=")</f>
        <v>#VALUE!</v>
      </c>
      <c r="AX64" t="e">
        <f>AND('SPR BARRANQUILLA'!GV73,"AAAAADOdmjE=")</f>
        <v>#VALUE!</v>
      </c>
      <c r="AY64" t="e">
        <f>AND('SPR BARRANQUILLA'!GW73,"AAAAADOdmjI=")</f>
        <v>#VALUE!</v>
      </c>
      <c r="AZ64" t="e">
        <f>AND('SPR BARRANQUILLA'!GX73,"AAAAADOdmjM=")</f>
        <v>#VALUE!</v>
      </c>
      <c r="BA64" t="e">
        <f>AND('SPR BARRANQUILLA'!GY73,"AAAAADOdmjQ=")</f>
        <v>#VALUE!</v>
      </c>
      <c r="BB64">
        <f>IF('SPR BARRANQUILLA'!74:74,"AAAAADOdmjU=",0)</f>
        <v>0</v>
      </c>
      <c r="BC64" t="e">
        <f>AND('SPR BARRANQUILLA'!A74,"AAAAADOdmjY=")</f>
        <v>#VALUE!</v>
      </c>
      <c r="BD64" t="e">
        <f>AND('SPR BARRANQUILLA'!B74,"AAAAADOdmjc=")</f>
        <v>#VALUE!</v>
      </c>
      <c r="BE64" t="e">
        <f>AND('SPR BARRANQUILLA'!C74,"AAAAADOdmjg=")</f>
        <v>#VALUE!</v>
      </c>
      <c r="BF64" t="e">
        <f>AND('SPR BARRANQUILLA'!D74,"AAAAADOdmjk=")</f>
        <v>#VALUE!</v>
      </c>
      <c r="BG64" t="e">
        <f>AND('SPR BARRANQUILLA'!E74,"AAAAADOdmjo=")</f>
        <v>#VALUE!</v>
      </c>
      <c r="BH64" t="e">
        <f>AND('SPR BARRANQUILLA'!F74,"AAAAADOdmjs=")</f>
        <v>#VALUE!</v>
      </c>
      <c r="BI64" t="e">
        <f>AND('SPR BARRANQUILLA'!G74,"AAAAADOdmjw=")</f>
        <v>#VALUE!</v>
      </c>
      <c r="BJ64" t="e">
        <f>AND('SPR BARRANQUILLA'!H74,"AAAAADOdmj0=")</f>
        <v>#VALUE!</v>
      </c>
      <c r="BK64" t="e">
        <f>AND('SPR BARRANQUILLA'!I74,"AAAAADOdmj4=")</f>
        <v>#VALUE!</v>
      </c>
      <c r="BL64" t="e">
        <f>AND('SPR BARRANQUILLA'!J74,"AAAAADOdmj8=")</f>
        <v>#VALUE!</v>
      </c>
      <c r="BM64" t="e">
        <f>AND('SPR BARRANQUILLA'!K74,"AAAAADOdmkA=")</f>
        <v>#VALUE!</v>
      </c>
      <c r="BN64" t="e">
        <f>AND('SPR BARRANQUILLA'!L74,"AAAAADOdmkE=")</f>
        <v>#VALUE!</v>
      </c>
      <c r="BO64" t="e">
        <f>AND('SPR BARRANQUILLA'!M74,"AAAAADOdmkI=")</f>
        <v>#VALUE!</v>
      </c>
      <c r="BP64" t="e">
        <f>AND('SPR BARRANQUILLA'!N74,"AAAAADOdmkM=")</f>
        <v>#VALUE!</v>
      </c>
      <c r="BQ64" t="e">
        <f>AND('SPR BARRANQUILLA'!O74,"AAAAADOdmkQ=")</f>
        <v>#VALUE!</v>
      </c>
      <c r="BR64" t="e">
        <f>AND('SPR BARRANQUILLA'!P74,"AAAAADOdmkU=")</f>
        <v>#VALUE!</v>
      </c>
      <c r="BS64" t="e">
        <f>AND('SPR BARRANQUILLA'!Q74,"AAAAADOdmkY=")</f>
        <v>#VALUE!</v>
      </c>
      <c r="BT64" t="e">
        <f>AND('SPR BARRANQUILLA'!R74,"AAAAADOdmkc=")</f>
        <v>#VALUE!</v>
      </c>
      <c r="BU64" t="e">
        <f>AND('SPR BARRANQUILLA'!S74,"AAAAADOdmkg=")</f>
        <v>#VALUE!</v>
      </c>
      <c r="BV64" t="e">
        <f>AND('SPR BARRANQUILLA'!T74,"AAAAADOdmkk=")</f>
        <v>#VALUE!</v>
      </c>
      <c r="BW64" t="e">
        <f>AND('SPR BARRANQUILLA'!U74,"AAAAADOdmko=")</f>
        <v>#VALUE!</v>
      </c>
      <c r="BX64" t="e">
        <f>AND('SPR BARRANQUILLA'!V74,"AAAAADOdmks=")</f>
        <v>#VALUE!</v>
      </c>
      <c r="BY64" t="e">
        <f>AND('SPR BARRANQUILLA'!W74,"AAAAADOdmkw=")</f>
        <v>#VALUE!</v>
      </c>
      <c r="BZ64" t="e">
        <f>AND('SPR BARRANQUILLA'!X74,"AAAAADOdmk0=")</f>
        <v>#VALUE!</v>
      </c>
      <c r="CA64" t="e">
        <f>AND('SPR BARRANQUILLA'!Y74,"AAAAADOdmk4=")</f>
        <v>#VALUE!</v>
      </c>
      <c r="CB64" t="e">
        <f>AND('SPR BARRANQUILLA'!Z74,"AAAAADOdmk8=")</f>
        <v>#VALUE!</v>
      </c>
      <c r="CC64" t="e">
        <f>AND('SPR BARRANQUILLA'!AA74,"AAAAADOdmlA=")</f>
        <v>#VALUE!</v>
      </c>
      <c r="CD64" t="e">
        <f>AND('SPR BARRANQUILLA'!AB74,"AAAAADOdmlE=")</f>
        <v>#VALUE!</v>
      </c>
      <c r="CE64" t="e">
        <f>AND('SPR BARRANQUILLA'!AC74,"AAAAADOdmlI=")</f>
        <v>#VALUE!</v>
      </c>
      <c r="CF64" t="e">
        <f>AND('SPR BARRANQUILLA'!AD74,"AAAAADOdmlM=")</f>
        <v>#VALUE!</v>
      </c>
      <c r="CG64" t="e">
        <f>AND('SPR BARRANQUILLA'!AE74,"AAAAADOdmlQ=")</f>
        <v>#VALUE!</v>
      </c>
      <c r="CH64" t="e">
        <f>AND('SPR BARRANQUILLA'!AF74,"AAAAADOdmlU=")</f>
        <v>#VALUE!</v>
      </c>
      <c r="CI64" t="e">
        <f>AND('SPR BARRANQUILLA'!AG74,"AAAAADOdmlY=")</f>
        <v>#VALUE!</v>
      </c>
      <c r="CJ64" t="e">
        <f>AND('SPR BARRANQUILLA'!AH74,"AAAAADOdmlc=")</f>
        <v>#VALUE!</v>
      </c>
      <c r="CK64" t="e">
        <f>AND('SPR BARRANQUILLA'!AI74,"AAAAADOdmlg=")</f>
        <v>#VALUE!</v>
      </c>
      <c r="CL64" t="e">
        <f>AND('SPR BARRANQUILLA'!AJ74,"AAAAADOdmlk=")</f>
        <v>#VALUE!</v>
      </c>
      <c r="CM64" t="e">
        <f>AND('SPR BARRANQUILLA'!AK74,"AAAAADOdmlo=")</f>
        <v>#VALUE!</v>
      </c>
      <c r="CN64" t="e">
        <f>AND('SPR BARRANQUILLA'!AL74,"AAAAADOdmls=")</f>
        <v>#VALUE!</v>
      </c>
      <c r="CO64" t="e">
        <f>AND('SPR BARRANQUILLA'!AM74,"AAAAADOdmlw=")</f>
        <v>#VALUE!</v>
      </c>
      <c r="CP64" t="e">
        <f>AND('SPR BARRANQUILLA'!AN74,"AAAAADOdml0=")</f>
        <v>#VALUE!</v>
      </c>
      <c r="CQ64" t="e">
        <f>AND('SPR BARRANQUILLA'!AO74,"AAAAADOdml4=")</f>
        <v>#VALUE!</v>
      </c>
      <c r="CR64" t="e">
        <f>AND('SPR BARRANQUILLA'!AP74,"AAAAADOdml8=")</f>
        <v>#VALUE!</v>
      </c>
      <c r="CS64" t="e">
        <f>AND('SPR BARRANQUILLA'!AQ74,"AAAAADOdmmA=")</f>
        <v>#VALUE!</v>
      </c>
      <c r="CT64" t="e">
        <f>AND('SPR BARRANQUILLA'!AR74,"AAAAADOdmmE=")</f>
        <v>#VALUE!</v>
      </c>
      <c r="CU64" t="e">
        <f>AND('SPR BARRANQUILLA'!AS74,"AAAAADOdmmI=")</f>
        <v>#VALUE!</v>
      </c>
      <c r="CV64" t="e">
        <f>AND('SPR BARRANQUILLA'!AT74,"AAAAADOdmmM=")</f>
        <v>#VALUE!</v>
      </c>
      <c r="CW64" t="e">
        <f>AND('SPR BARRANQUILLA'!AU74,"AAAAADOdmmQ=")</f>
        <v>#VALUE!</v>
      </c>
      <c r="CX64" t="e">
        <f>AND('SPR BARRANQUILLA'!AV74,"AAAAADOdmmU=")</f>
        <v>#VALUE!</v>
      </c>
      <c r="CY64" t="e">
        <f>AND('SPR BARRANQUILLA'!AW74,"AAAAADOdmmY=")</f>
        <v>#VALUE!</v>
      </c>
      <c r="CZ64" t="e">
        <f>AND('SPR BARRANQUILLA'!AX74,"AAAAADOdmmc=")</f>
        <v>#VALUE!</v>
      </c>
      <c r="DA64" t="e">
        <f>AND('SPR BARRANQUILLA'!AY74,"AAAAADOdmmg=")</f>
        <v>#VALUE!</v>
      </c>
      <c r="DB64" t="e">
        <f>AND('SPR BARRANQUILLA'!AZ74,"AAAAADOdmmk=")</f>
        <v>#VALUE!</v>
      </c>
      <c r="DC64" t="e">
        <f>AND('SPR BARRANQUILLA'!BA74,"AAAAADOdmmo=")</f>
        <v>#VALUE!</v>
      </c>
      <c r="DD64" t="e">
        <f>AND('SPR BARRANQUILLA'!BB74,"AAAAADOdmms=")</f>
        <v>#VALUE!</v>
      </c>
      <c r="DE64" t="e">
        <f>AND('SPR BARRANQUILLA'!BC74,"AAAAADOdmmw=")</f>
        <v>#VALUE!</v>
      </c>
      <c r="DF64" t="e">
        <f>AND('SPR BARRANQUILLA'!BD74,"AAAAADOdmm0=")</f>
        <v>#VALUE!</v>
      </c>
      <c r="DG64" t="e">
        <f>AND('SPR BARRANQUILLA'!BE74,"AAAAADOdmm4=")</f>
        <v>#VALUE!</v>
      </c>
      <c r="DH64" t="e">
        <f>AND('SPR BARRANQUILLA'!BF74,"AAAAADOdmm8=")</f>
        <v>#VALUE!</v>
      </c>
      <c r="DI64" t="e">
        <f>AND('SPR BARRANQUILLA'!BG74,"AAAAADOdmnA=")</f>
        <v>#VALUE!</v>
      </c>
      <c r="DJ64" t="e">
        <f>AND('SPR BARRANQUILLA'!BH74,"AAAAADOdmnE=")</f>
        <v>#VALUE!</v>
      </c>
      <c r="DK64" t="e">
        <f>AND('SPR BARRANQUILLA'!BI74,"AAAAADOdmnI=")</f>
        <v>#VALUE!</v>
      </c>
      <c r="DL64" t="e">
        <f>AND('SPR BARRANQUILLA'!BJ74,"AAAAADOdmnM=")</f>
        <v>#VALUE!</v>
      </c>
      <c r="DM64" t="e">
        <f>AND('SPR BARRANQUILLA'!BK74,"AAAAADOdmnQ=")</f>
        <v>#VALUE!</v>
      </c>
      <c r="DN64" t="e">
        <f>AND('SPR BARRANQUILLA'!BL74,"AAAAADOdmnU=")</f>
        <v>#VALUE!</v>
      </c>
      <c r="DO64" t="e">
        <f>AND('SPR BARRANQUILLA'!BM74,"AAAAADOdmnY=")</f>
        <v>#VALUE!</v>
      </c>
      <c r="DP64" t="e">
        <f>AND('SPR BARRANQUILLA'!BN74,"AAAAADOdmnc=")</f>
        <v>#VALUE!</v>
      </c>
      <c r="DQ64" t="e">
        <f>AND('SPR BARRANQUILLA'!BO74,"AAAAADOdmng=")</f>
        <v>#VALUE!</v>
      </c>
      <c r="DR64" t="e">
        <f>AND('SPR BARRANQUILLA'!BP74,"AAAAADOdmnk=")</f>
        <v>#VALUE!</v>
      </c>
      <c r="DS64" t="e">
        <f>AND('SPR BARRANQUILLA'!BQ74,"AAAAADOdmno=")</f>
        <v>#VALUE!</v>
      </c>
      <c r="DT64" t="e">
        <f>AND('SPR BARRANQUILLA'!BR74,"AAAAADOdmns=")</f>
        <v>#VALUE!</v>
      </c>
      <c r="DU64" t="e">
        <f>AND('SPR BARRANQUILLA'!BS74,"AAAAADOdmnw=")</f>
        <v>#VALUE!</v>
      </c>
      <c r="DV64" t="e">
        <f>AND('SPR BARRANQUILLA'!BT74,"AAAAADOdmn0=")</f>
        <v>#VALUE!</v>
      </c>
      <c r="DW64" t="e">
        <f>AND('SPR BARRANQUILLA'!BU74,"AAAAADOdmn4=")</f>
        <v>#VALUE!</v>
      </c>
      <c r="DX64" t="e">
        <f>AND('SPR BARRANQUILLA'!BV74,"AAAAADOdmn8=")</f>
        <v>#VALUE!</v>
      </c>
      <c r="DY64" t="e">
        <f>AND('SPR BARRANQUILLA'!BW74,"AAAAADOdmoA=")</f>
        <v>#VALUE!</v>
      </c>
      <c r="DZ64" t="e">
        <f>AND('SPR BARRANQUILLA'!BX74,"AAAAADOdmoE=")</f>
        <v>#VALUE!</v>
      </c>
      <c r="EA64" t="e">
        <f>AND('SPR BARRANQUILLA'!BY74,"AAAAADOdmoI=")</f>
        <v>#VALUE!</v>
      </c>
      <c r="EB64" t="e">
        <f>AND('SPR BARRANQUILLA'!BZ74,"AAAAADOdmoM=")</f>
        <v>#VALUE!</v>
      </c>
      <c r="EC64" t="e">
        <f>AND('SPR BARRANQUILLA'!CA74,"AAAAADOdmoQ=")</f>
        <v>#VALUE!</v>
      </c>
      <c r="ED64" t="e">
        <f>AND('SPR BARRANQUILLA'!CB74,"AAAAADOdmoU=")</f>
        <v>#VALUE!</v>
      </c>
      <c r="EE64" t="e">
        <f>AND('SPR BARRANQUILLA'!CC74,"AAAAADOdmoY=")</f>
        <v>#VALUE!</v>
      </c>
      <c r="EF64" t="e">
        <f>AND('SPR BARRANQUILLA'!CD74,"AAAAADOdmoc=")</f>
        <v>#VALUE!</v>
      </c>
      <c r="EG64" t="e">
        <f>AND('SPR BARRANQUILLA'!CE74,"AAAAADOdmog=")</f>
        <v>#VALUE!</v>
      </c>
      <c r="EH64" t="e">
        <f>AND('SPR BARRANQUILLA'!CF74,"AAAAADOdmok=")</f>
        <v>#VALUE!</v>
      </c>
      <c r="EI64" t="e">
        <f>AND('SPR BARRANQUILLA'!CG74,"AAAAADOdmoo=")</f>
        <v>#VALUE!</v>
      </c>
      <c r="EJ64" t="e">
        <f>AND('SPR BARRANQUILLA'!CH74,"AAAAADOdmos=")</f>
        <v>#VALUE!</v>
      </c>
      <c r="EK64" t="e">
        <f>AND('SPR BARRANQUILLA'!CI74,"AAAAADOdmow=")</f>
        <v>#VALUE!</v>
      </c>
      <c r="EL64" t="e">
        <f>AND('SPR BARRANQUILLA'!CJ74,"AAAAADOdmo0=")</f>
        <v>#VALUE!</v>
      </c>
      <c r="EM64" t="e">
        <f>AND('SPR BARRANQUILLA'!CK74,"AAAAADOdmo4=")</f>
        <v>#VALUE!</v>
      </c>
      <c r="EN64" t="e">
        <f>AND('SPR BARRANQUILLA'!CL74,"AAAAADOdmo8=")</f>
        <v>#VALUE!</v>
      </c>
      <c r="EO64" t="e">
        <f>AND('SPR BARRANQUILLA'!CM74,"AAAAADOdmpA=")</f>
        <v>#VALUE!</v>
      </c>
      <c r="EP64" t="e">
        <f>AND('SPR BARRANQUILLA'!CN74,"AAAAADOdmpE=")</f>
        <v>#VALUE!</v>
      </c>
      <c r="EQ64" t="e">
        <f>AND('SPR BARRANQUILLA'!CO74,"AAAAADOdmpI=")</f>
        <v>#VALUE!</v>
      </c>
      <c r="ER64" t="e">
        <f>AND('SPR BARRANQUILLA'!CP74,"AAAAADOdmpM=")</f>
        <v>#VALUE!</v>
      </c>
      <c r="ES64" t="e">
        <f>AND('SPR BARRANQUILLA'!CQ74,"AAAAADOdmpQ=")</f>
        <v>#VALUE!</v>
      </c>
      <c r="ET64" t="e">
        <f>AND('SPR BARRANQUILLA'!CR74,"AAAAADOdmpU=")</f>
        <v>#VALUE!</v>
      </c>
      <c r="EU64" t="e">
        <f>AND('SPR BARRANQUILLA'!CS74,"AAAAADOdmpY=")</f>
        <v>#VALUE!</v>
      </c>
      <c r="EV64" t="e">
        <f>AND('SPR BARRANQUILLA'!CT74,"AAAAADOdmpc=")</f>
        <v>#VALUE!</v>
      </c>
      <c r="EW64" t="e">
        <f>AND('SPR BARRANQUILLA'!CU74,"AAAAADOdmpg=")</f>
        <v>#VALUE!</v>
      </c>
      <c r="EX64" t="e">
        <f>AND('SPR BARRANQUILLA'!CV74,"AAAAADOdmpk=")</f>
        <v>#VALUE!</v>
      </c>
      <c r="EY64" t="e">
        <f>AND('SPR BARRANQUILLA'!CW74,"AAAAADOdmpo=")</f>
        <v>#VALUE!</v>
      </c>
      <c r="EZ64" t="e">
        <f>AND('SPR BARRANQUILLA'!CX74,"AAAAADOdmps=")</f>
        <v>#VALUE!</v>
      </c>
      <c r="FA64" t="e">
        <f>AND('SPR BARRANQUILLA'!CY74,"AAAAADOdmpw=")</f>
        <v>#VALUE!</v>
      </c>
      <c r="FB64" t="e">
        <f>AND('SPR BARRANQUILLA'!CZ74,"AAAAADOdmp0=")</f>
        <v>#VALUE!</v>
      </c>
      <c r="FC64" t="e">
        <f>AND('SPR BARRANQUILLA'!DA74,"AAAAADOdmp4=")</f>
        <v>#VALUE!</v>
      </c>
      <c r="FD64" t="e">
        <f>AND('SPR BARRANQUILLA'!DB74,"AAAAADOdmp8=")</f>
        <v>#VALUE!</v>
      </c>
      <c r="FE64" t="e">
        <f>AND('SPR BARRANQUILLA'!DC74,"AAAAADOdmqA=")</f>
        <v>#VALUE!</v>
      </c>
      <c r="FF64" t="e">
        <f>AND('SPR BARRANQUILLA'!DD74,"AAAAADOdmqE=")</f>
        <v>#VALUE!</v>
      </c>
      <c r="FG64" t="e">
        <f>AND('SPR BARRANQUILLA'!DE74,"AAAAADOdmqI=")</f>
        <v>#VALUE!</v>
      </c>
      <c r="FH64" t="e">
        <f>AND('SPR BARRANQUILLA'!DF74,"AAAAADOdmqM=")</f>
        <v>#VALUE!</v>
      </c>
      <c r="FI64" t="e">
        <f>AND('SPR BARRANQUILLA'!DG74,"AAAAADOdmqQ=")</f>
        <v>#VALUE!</v>
      </c>
      <c r="FJ64" t="e">
        <f>AND('SPR BARRANQUILLA'!DH74,"AAAAADOdmqU=")</f>
        <v>#VALUE!</v>
      </c>
      <c r="FK64" t="e">
        <f>AND('SPR BARRANQUILLA'!DI74,"AAAAADOdmqY=")</f>
        <v>#VALUE!</v>
      </c>
      <c r="FL64" t="e">
        <f>AND('SPR BARRANQUILLA'!DJ74,"AAAAADOdmqc=")</f>
        <v>#VALUE!</v>
      </c>
      <c r="FM64" t="e">
        <f>AND('SPR BARRANQUILLA'!DK74,"AAAAADOdmqg=")</f>
        <v>#VALUE!</v>
      </c>
      <c r="FN64" t="e">
        <f>AND('SPR BARRANQUILLA'!DL74,"AAAAADOdmqk=")</f>
        <v>#VALUE!</v>
      </c>
      <c r="FO64" t="e">
        <f>AND('SPR BARRANQUILLA'!DM74,"AAAAADOdmqo=")</f>
        <v>#VALUE!</v>
      </c>
      <c r="FP64" t="e">
        <f>AND('SPR BARRANQUILLA'!DN74,"AAAAADOdmqs=")</f>
        <v>#VALUE!</v>
      </c>
      <c r="FQ64" t="e">
        <f>AND('SPR BARRANQUILLA'!DO74,"AAAAADOdmqw=")</f>
        <v>#VALUE!</v>
      </c>
      <c r="FR64" t="e">
        <f>AND('SPR BARRANQUILLA'!DP74,"AAAAADOdmq0=")</f>
        <v>#VALUE!</v>
      </c>
      <c r="FS64" t="e">
        <f>AND('SPR BARRANQUILLA'!DQ74,"AAAAADOdmq4=")</f>
        <v>#VALUE!</v>
      </c>
      <c r="FT64" t="e">
        <f>AND('SPR BARRANQUILLA'!DR74,"AAAAADOdmq8=")</f>
        <v>#VALUE!</v>
      </c>
      <c r="FU64" t="e">
        <f>AND('SPR BARRANQUILLA'!DS74,"AAAAADOdmrA=")</f>
        <v>#VALUE!</v>
      </c>
      <c r="FV64" t="e">
        <f>AND('SPR BARRANQUILLA'!DT74,"AAAAADOdmrE=")</f>
        <v>#VALUE!</v>
      </c>
      <c r="FW64" t="e">
        <f>AND('SPR BARRANQUILLA'!DU74,"AAAAADOdmrI=")</f>
        <v>#VALUE!</v>
      </c>
      <c r="FX64" t="e">
        <f>AND('SPR BARRANQUILLA'!DV74,"AAAAADOdmrM=")</f>
        <v>#VALUE!</v>
      </c>
      <c r="FY64" t="e">
        <f>AND('SPR BARRANQUILLA'!DW74,"AAAAADOdmrQ=")</f>
        <v>#VALUE!</v>
      </c>
      <c r="FZ64" t="e">
        <f>AND('SPR BARRANQUILLA'!DX74,"AAAAADOdmrU=")</f>
        <v>#VALUE!</v>
      </c>
      <c r="GA64" t="e">
        <f>AND('SPR BARRANQUILLA'!DY74,"AAAAADOdmrY=")</f>
        <v>#VALUE!</v>
      </c>
      <c r="GB64" t="e">
        <f>AND('SPR BARRANQUILLA'!DZ74,"AAAAADOdmrc=")</f>
        <v>#VALUE!</v>
      </c>
      <c r="GC64" t="e">
        <f>AND('SPR BARRANQUILLA'!EA74,"AAAAADOdmrg=")</f>
        <v>#VALUE!</v>
      </c>
      <c r="GD64" t="e">
        <f>AND('SPR BARRANQUILLA'!EB74,"AAAAADOdmrk=")</f>
        <v>#VALUE!</v>
      </c>
      <c r="GE64" t="e">
        <f>AND('SPR BARRANQUILLA'!EC74,"AAAAADOdmro=")</f>
        <v>#VALUE!</v>
      </c>
      <c r="GF64" t="e">
        <f>AND('SPR BARRANQUILLA'!ED74,"AAAAADOdmrs=")</f>
        <v>#VALUE!</v>
      </c>
      <c r="GG64" t="e">
        <f>AND('SPR BARRANQUILLA'!EE74,"AAAAADOdmrw=")</f>
        <v>#VALUE!</v>
      </c>
      <c r="GH64" t="e">
        <f>AND('SPR BARRANQUILLA'!EF74,"AAAAADOdmr0=")</f>
        <v>#VALUE!</v>
      </c>
      <c r="GI64" t="e">
        <f>AND('SPR BARRANQUILLA'!EG74,"AAAAADOdmr4=")</f>
        <v>#VALUE!</v>
      </c>
      <c r="GJ64" t="e">
        <f>AND('SPR BARRANQUILLA'!EH74,"AAAAADOdmr8=")</f>
        <v>#VALUE!</v>
      </c>
      <c r="GK64" t="e">
        <f>AND('SPR BARRANQUILLA'!EI74,"AAAAADOdmsA=")</f>
        <v>#VALUE!</v>
      </c>
      <c r="GL64" t="e">
        <f>AND('SPR BARRANQUILLA'!EJ74,"AAAAADOdmsE=")</f>
        <v>#VALUE!</v>
      </c>
      <c r="GM64" t="e">
        <f>AND('SPR BARRANQUILLA'!EK74,"AAAAADOdmsI=")</f>
        <v>#VALUE!</v>
      </c>
      <c r="GN64" t="e">
        <f>AND('SPR BARRANQUILLA'!EL74,"AAAAADOdmsM=")</f>
        <v>#VALUE!</v>
      </c>
      <c r="GO64" t="e">
        <f>AND('SPR BARRANQUILLA'!EM74,"AAAAADOdmsQ=")</f>
        <v>#VALUE!</v>
      </c>
      <c r="GP64" t="e">
        <f>AND('SPR BARRANQUILLA'!EN74,"AAAAADOdmsU=")</f>
        <v>#VALUE!</v>
      </c>
      <c r="GQ64" t="e">
        <f>AND('SPR BARRANQUILLA'!EO74,"AAAAADOdmsY=")</f>
        <v>#VALUE!</v>
      </c>
      <c r="GR64" t="e">
        <f>AND('SPR BARRANQUILLA'!EP74,"AAAAADOdmsc=")</f>
        <v>#VALUE!</v>
      </c>
      <c r="GS64" t="e">
        <f>AND('SPR BARRANQUILLA'!EQ74,"AAAAADOdmsg=")</f>
        <v>#VALUE!</v>
      </c>
      <c r="GT64" t="e">
        <f>AND('SPR BARRANQUILLA'!ER74,"AAAAADOdmsk=")</f>
        <v>#VALUE!</v>
      </c>
      <c r="GU64" t="e">
        <f>AND('SPR BARRANQUILLA'!ES74,"AAAAADOdmso=")</f>
        <v>#VALUE!</v>
      </c>
      <c r="GV64" t="e">
        <f>AND('SPR BARRANQUILLA'!ET74,"AAAAADOdmss=")</f>
        <v>#VALUE!</v>
      </c>
      <c r="GW64" t="e">
        <f>AND('SPR BARRANQUILLA'!EU74,"AAAAADOdmsw=")</f>
        <v>#VALUE!</v>
      </c>
      <c r="GX64" t="e">
        <f>AND('SPR BARRANQUILLA'!EV74,"AAAAADOdms0=")</f>
        <v>#VALUE!</v>
      </c>
      <c r="GY64" t="e">
        <f>AND('SPR BARRANQUILLA'!EW74,"AAAAADOdms4=")</f>
        <v>#VALUE!</v>
      </c>
      <c r="GZ64" t="e">
        <f>AND('SPR BARRANQUILLA'!EX74,"AAAAADOdms8=")</f>
        <v>#VALUE!</v>
      </c>
      <c r="HA64" t="e">
        <f>AND('SPR BARRANQUILLA'!EY74,"AAAAADOdmtA=")</f>
        <v>#VALUE!</v>
      </c>
      <c r="HB64" t="e">
        <f>AND('SPR BARRANQUILLA'!EZ74,"AAAAADOdmtE=")</f>
        <v>#VALUE!</v>
      </c>
      <c r="HC64" t="e">
        <f>AND('SPR BARRANQUILLA'!FA74,"AAAAADOdmtI=")</f>
        <v>#VALUE!</v>
      </c>
      <c r="HD64" t="e">
        <f>AND('SPR BARRANQUILLA'!FB74,"AAAAADOdmtM=")</f>
        <v>#VALUE!</v>
      </c>
      <c r="HE64" t="e">
        <f>AND('SPR BARRANQUILLA'!FC74,"AAAAADOdmtQ=")</f>
        <v>#VALUE!</v>
      </c>
      <c r="HF64" t="e">
        <f>AND('SPR BARRANQUILLA'!FD74,"AAAAADOdmtU=")</f>
        <v>#VALUE!</v>
      </c>
      <c r="HG64" t="e">
        <f>AND('SPR BARRANQUILLA'!FE74,"AAAAADOdmtY=")</f>
        <v>#VALUE!</v>
      </c>
      <c r="HH64" t="e">
        <f>AND('SPR BARRANQUILLA'!FF74,"AAAAADOdmtc=")</f>
        <v>#VALUE!</v>
      </c>
      <c r="HI64" t="e">
        <f>AND('SPR BARRANQUILLA'!FG74,"AAAAADOdmtg=")</f>
        <v>#VALUE!</v>
      </c>
      <c r="HJ64" t="e">
        <f>AND('SPR BARRANQUILLA'!FH74,"AAAAADOdmtk=")</f>
        <v>#VALUE!</v>
      </c>
      <c r="HK64" t="e">
        <f>AND('SPR BARRANQUILLA'!FI74,"AAAAADOdmto=")</f>
        <v>#VALUE!</v>
      </c>
      <c r="HL64" t="e">
        <f>AND('SPR BARRANQUILLA'!FJ74,"AAAAADOdmts=")</f>
        <v>#VALUE!</v>
      </c>
      <c r="HM64" t="e">
        <f>AND('SPR BARRANQUILLA'!FK74,"AAAAADOdmtw=")</f>
        <v>#VALUE!</v>
      </c>
      <c r="HN64" t="e">
        <f>AND('SPR BARRANQUILLA'!FL74,"AAAAADOdmt0=")</f>
        <v>#VALUE!</v>
      </c>
      <c r="HO64" t="e">
        <f>AND('SPR BARRANQUILLA'!FM74,"AAAAADOdmt4=")</f>
        <v>#VALUE!</v>
      </c>
      <c r="HP64" t="e">
        <f>AND('SPR BARRANQUILLA'!FN74,"AAAAADOdmt8=")</f>
        <v>#VALUE!</v>
      </c>
      <c r="HQ64" t="e">
        <f>AND('SPR BARRANQUILLA'!FO74,"AAAAADOdmuA=")</f>
        <v>#VALUE!</v>
      </c>
      <c r="HR64" t="e">
        <f>AND('SPR BARRANQUILLA'!FP74,"AAAAADOdmuE=")</f>
        <v>#VALUE!</v>
      </c>
      <c r="HS64" t="e">
        <f>AND('SPR BARRANQUILLA'!FQ74,"AAAAADOdmuI=")</f>
        <v>#VALUE!</v>
      </c>
      <c r="HT64" t="e">
        <f>AND('SPR BARRANQUILLA'!FR74,"AAAAADOdmuM=")</f>
        <v>#VALUE!</v>
      </c>
      <c r="HU64" t="e">
        <f>AND('SPR BARRANQUILLA'!FS74,"AAAAADOdmuQ=")</f>
        <v>#VALUE!</v>
      </c>
      <c r="HV64" t="e">
        <f>AND('SPR BARRANQUILLA'!FT74,"AAAAADOdmuU=")</f>
        <v>#VALUE!</v>
      </c>
      <c r="HW64" t="e">
        <f>AND('SPR BARRANQUILLA'!FU74,"AAAAADOdmuY=")</f>
        <v>#VALUE!</v>
      </c>
      <c r="HX64" t="e">
        <f>AND('SPR BARRANQUILLA'!FV74,"AAAAADOdmuc=")</f>
        <v>#VALUE!</v>
      </c>
      <c r="HY64" t="e">
        <f>AND('SPR BARRANQUILLA'!FW74,"AAAAADOdmug=")</f>
        <v>#VALUE!</v>
      </c>
      <c r="HZ64" t="e">
        <f>AND('SPR BARRANQUILLA'!FX74,"AAAAADOdmuk=")</f>
        <v>#VALUE!</v>
      </c>
      <c r="IA64" t="e">
        <f>AND('SPR BARRANQUILLA'!FY74,"AAAAADOdmuo=")</f>
        <v>#VALUE!</v>
      </c>
      <c r="IB64" t="e">
        <f>AND('SPR BARRANQUILLA'!FZ74,"AAAAADOdmus=")</f>
        <v>#VALUE!</v>
      </c>
      <c r="IC64" t="e">
        <f>AND('SPR BARRANQUILLA'!GA74,"AAAAADOdmuw=")</f>
        <v>#VALUE!</v>
      </c>
      <c r="ID64" t="e">
        <f>AND('SPR BARRANQUILLA'!GB74,"AAAAADOdmu0=")</f>
        <v>#VALUE!</v>
      </c>
      <c r="IE64" t="e">
        <f>AND('SPR BARRANQUILLA'!GC74,"AAAAADOdmu4=")</f>
        <v>#VALUE!</v>
      </c>
      <c r="IF64" t="e">
        <f>AND('SPR BARRANQUILLA'!GD74,"AAAAADOdmu8=")</f>
        <v>#VALUE!</v>
      </c>
      <c r="IG64" t="e">
        <f>AND('SPR BARRANQUILLA'!GE74,"AAAAADOdmvA=")</f>
        <v>#VALUE!</v>
      </c>
      <c r="IH64" t="e">
        <f>AND('SPR BARRANQUILLA'!GF74,"AAAAADOdmvE=")</f>
        <v>#VALUE!</v>
      </c>
      <c r="II64" t="e">
        <f>AND('SPR BARRANQUILLA'!GG74,"AAAAADOdmvI=")</f>
        <v>#VALUE!</v>
      </c>
      <c r="IJ64" t="e">
        <f>AND('SPR BARRANQUILLA'!GH74,"AAAAADOdmvM=")</f>
        <v>#VALUE!</v>
      </c>
      <c r="IK64" t="e">
        <f>AND('SPR BARRANQUILLA'!GI74,"AAAAADOdmvQ=")</f>
        <v>#VALUE!</v>
      </c>
      <c r="IL64" t="e">
        <f>AND('SPR BARRANQUILLA'!GJ74,"AAAAADOdmvU=")</f>
        <v>#VALUE!</v>
      </c>
      <c r="IM64" t="e">
        <f>AND('SPR BARRANQUILLA'!GK74,"AAAAADOdmvY=")</f>
        <v>#VALUE!</v>
      </c>
      <c r="IN64" t="e">
        <f>AND('SPR BARRANQUILLA'!GL74,"AAAAADOdmvc=")</f>
        <v>#VALUE!</v>
      </c>
      <c r="IO64" t="e">
        <f>AND('SPR BARRANQUILLA'!GM74,"AAAAADOdmvg=")</f>
        <v>#VALUE!</v>
      </c>
      <c r="IP64" t="e">
        <f>AND('SPR BARRANQUILLA'!GN74,"AAAAADOdmvk=")</f>
        <v>#VALUE!</v>
      </c>
      <c r="IQ64" t="e">
        <f>AND('SPR BARRANQUILLA'!GO74,"AAAAADOdmvo=")</f>
        <v>#VALUE!</v>
      </c>
      <c r="IR64" t="e">
        <f>AND('SPR BARRANQUILLA'!GP74,"AAAAADOdmvs=")</f>
        <v>#VALUE!</v>
      </c>
      <c r="IS64" t="e">
        <f>AND('SPR BARRANQUILLA'!GQ74,"AAAAADOdmvw=")</f>
        <v>#VALUE!</v>
      </c>
      <c r="IT64" t="e">
        <f>AND('SPR BARRANQUILLA'!GR74,"AAAAADOdmv0=")</f>
        <v>#VALUE!</v>
      </c>
      <c r="IU64" t="e">
        <f>AND('SPR BARRANQUILLA'!GS74,"AAAAADOdmv4=")</f>
        <v>#VALUE!</v>
      </c>
      <c r="IV64" t="e">
        <f>AND('SPR BARRANQUILLA'!GT74,"AAAAADOdmv8=")</f>
        <v>#VALUE!</v>
      </c>
    </row>
    <row r="65" spans="1:256">
      <c r="A65" t="e">
        <f>AND('SPR BARRANQUILLA'!GU74,"AAAAAFP//gA=")</f>
        <v>#VALUE!</v>
      </c>
      <c r="B65" t="e">
        <f>AND('SPR BARRANQUILLA'!GV74,"AAAAAFP//gE=")</f>
        <v>#VALUE!</v>
      </c>
      <c r="C65" t="e">
        <f>AND('SPR BARRANQUILLA'!GW74,"AAAAAFP//gI=")</f>
        <v>#VALUE!</v>
      </c>
      <c r="D65" t="e">
        <f>AND('SPR BARRANQUILLA'!GX74,"AAAAAFP//gM=")</f>
        <v>#VALUE!</v>
      </c>
      <c r="E65" t="e">
        <f>AND('SPR BARRANQUILLA'!GY74,"AAAAAFP//gQ=")</f>
        <v>#VALUE!</v>
      </c>
      <c r="F65">
        <f>IF('SPR BARRANQUILLA'!75:75,"AAAAAFP//gU=",0)</f>
        <v>0</v>
      </c>
      <c r="G65" t="e">
        <f>AND('SPR BARRANQUILLA'!A75,"AAAAAFP//gY=")</f>
        <v>#VALUE!</v>
      </c>
      <c r="H65" t="e">
        <f>AND('SPR BARRANQUILLA'!B75,"AAAAAFP//gc=")</f>
        <v>#VALUE!</v>
      </c>
      <c r="I65" t="e">
        <f>AND('SPR BARRANQUILLA'!C75,"AAAAAFP//gg=")</f>
        <v>#VALUE!</v>
      </c>
      <c r="J65" t="e">
        <f>AND('SPR BARRANQUILLA'!D75,"AAAAAFP//gk=")</f>
        <v>#VALUE!</v>
      </c>
      <c r="K65" t="e">
        <f>AND('SPR BARRANQUILLA'!E75,"AAAAAFP//go=")</f>
        <v>#VALUE!</v>
      </c>
      <c r="L65" t="e">
        <f>AND('SPR BARRANQUILLA'!F75,"AAAAAFP//gs=")</f>
        <v>#VALUE!</v>
      </c>
      <c r="M65" t="e">
        <f>AND('SPR BARRANQUILLA'!G75,"AAAAAFP//gw=")</f>
        <v>#VALUE!</v>
      </c>
      <c r="N65" t="e">
        <f>AND('SPR BARRANQUILLA'!H75,"AAAAAFP//g0=")</f>
        <v>#VALUE!</v>
      </c>
      <c r="O65" t="e">
        <f>AND('SPR BARRANQUILLA'!I75,"AAAAAFP//g4=")</f>
        <v>#VALUE!</v>
      </c>
      <c r="P65" t="e">
        <f>AND('SPR BARRANQUILLA'!J75,"AAAAAFP//g8=")</f>
        <v>#VALUE!</v>
      </c>
      <c r="Q65" t="e">
        <f>AND('SPR BARRANQUILLA'!K75,"AAAAAFP//hA=")</f>
        <v>#VALUE!</v>
      </c>
      <c r="R65" t="e">
        <f>AND('SPR BARRANQUILLA'!L75,"AAAAAFP//hE=")</f>
        <v>#VALUE!</v>
      </c>
      <c r="S65" t="e">
        <f>AND('SPR BARRANQUILLA'!M75,"AAAAAFP//hI=")</f>
        <v>#VALUE!</v>
      </c>
      <c r="T65" t="e">
        <f>AND('SPR BARRANQUILLA'!N75,"AAAAAFP//hM=")</f>
        <v>#VALUE!</v>
      </c>
      <c r="U65" t="e">
        <f>AND('SPR BARRANQUILLA'!O75,"AAAAAFP//hQ=")</f>
        <v>#VALUE!</v>
      </c>
      <c r="V65" t="e">
        <f>AND('SPR BARRANQUILLA'!P75,"AAAAAFP//hU=")</f>
        <v>#VALUE!</v>
      </c>
      <c r="W65" t="e">
        <f>AND('SPR BARRANQUILLA'!Q75,"AAAAAFP//hY=")</f>
        <v>#VALUE!</v>
      </c>
      <c r="X65" t="e">
        <f>AND('SPR BARRANQUILLA'!R75,"AAAAAFP//hc=")</f>
        <v>#VALUE!</v>
      </c>
      <c r="Y65" t="e">
        <f>AND('SPR BARRANQUILLA'!S75,"AAAAAFP//hg=")</f>
        <v>#VALUE!</v>
      </c>
      <c r="Z65" t="e">
        <f>AND('SPR BARRANQUILLA'!T75,"AAAAAFP//hk=")</f>
        <v>#VALUE!</v>
      </c>
      <c r="AA65" t="e">
        <f>AND('SPR BARRANQUILLA'!U75,"AAAAAFP//ho=")</f>
        <v>#VALUE!</v>
      </c>
      <c r="AB65" t="e">
        <f>AND('SPR BARRANQUILLA'!V75,"AAAAAFP//hs=")</f>
        <v>#VALUE!</v>
      </c>
      <c r="AC65" t="e">
        <f>AND('SPR BARRANQUILLA'!W75,"AAAAAFP//hw=")</f>
        <v>#VALUE!</v>
      </c>
      <c r="AD65" t="e">
        <f>AND('SPR BARRANQUILLA'!X75,"AAAAAFP//h0=")</f>
        <v>#VALUE!</v>
      </c>
      <c r="AE65" t="e">
        <f>AND('SPR BARRANQUILLA'!Y75,"AAAAAFP//h4=")</f>
        <v>#VALUE!</v>
      </c>
      <c r="AF65" t="e">
        <f>AND('SPR BARRANQUILLA'!Z75,"AAAAAFP//h8=")</f>
        <v>#VALUE!</v>
      </c>
      <c r="AG65" t="e">
        <f>AND('SPR BARRANQUILLA'!AA75,"AAAAAFP//iA=")</f>
        <v>#VALUE!</v>
      </c>
      <c r="AH65" t="e">
        <f>AND('SPR BARRANQUILLA'!AB75,"AAAAAFP//iE=")</f>
        <v>#VALUE!</v>
      </c>
      <c r="AI65" t="e">
        <f>AND('SPR BARRANQUILLA'!AC75,"AAAAAFP//iI=")</f>
        <v>#VALUE!</v>
      </c>
      <c r="AJ65" t="e">
        <f>AND('SPR BARRANQUILLA'!AD75,"AAAAAFP//iM=")</f>
        <v>#VALUE!</v>
      </c>
      <c r="AK65" t="e">
        <f>AND('SPR BARRANQUILLA'!AE75,"AAAAAFP//iQ=")</f>
        <v>#VALUE!</v>
      </c>
      <c r="AL65" t="e">
        <f>AND('SPR BARRANQUILLA'!AF75,"AAAAAFP//iU=")</f>
        <v>#VALUE!</v>
      </c>
      <c r="AM65" t="e">
        <f>AND('SPR BARRANQUILLA'!AG75,"AAAAAFP//iY=")</f>
        <v>#VALUE!</v>
      </c>
      <c r="AN65" t="e">
        <f>AND('SPR BARRANQUILLA'!AH75,"AAAAAFP//ic=")</f>
        <v>#VALUE!</v>
      </c>
      <c r="AO65" t="e">
        <f>AND('SPR BARRANQUILLA'!AI75,"AAAAAFP//ig=")</f>
        <v>#VALUE!</v>
      </c>
      <c r="AP65" t="e">
        <f>AND('SPR BARRANQUILLA'!AJ75,"AAAAAFP//ik=")</f>
        <v>#VALUE!</v>
      </c>
      <c r="AQ65" t="e">
        <f>AND('SPR BARRANQUILLA'!AK75,"AAAAAFP//io=")</f>
        <v>#VALUE!</v>
      </c>
      <c r="AR65" t="e">
        <f>AND('SPR BARRANQUILLA'!AL75,"AAAAAFP//is=")</f>
        <v>#VALUE!</v>
      </c>
      <c r="AS65" t="e">
        <f>AND('SPR BARRANQUILLA'!AM75,"AAAAAFP//iw=")</f>
        <v>#VALUE!</v>
      </c>
      <c r="AT65" t="e">
        <f>AND('SPR BARRANQUILLA'!AN75,"AAAAAFP//i0=")</f>
        <v>#VALUE!</v>
      </c>
      <c r="AU65" t="e">
        <f>AND('SPR BARRANQUILLA'!AO75,"AAAAAFP//i4=")</f>
        <v>#VALUE!</v>
      </c>
      <c r="AV65" t="e">
        <f>AND('SPR BARRANQUILLA'!AP75,"AAAAAFP//i8=")</f>
        <v>#VALUE!</v>
      </c>
      <c r="AW65" t="e">
        <f>AND('SPR BARRANQUILLA'!AQ75,"AAAAAFP//jA=")</f>
        <v>#VALUE!</v>
      </c>
      <c r="AX65" t="e">
        <f>AND('SPR BARRANQUILLA'!AR75,"AAAAAFP//jE=")</f>
        <v>#VALUE!</v>
      </c>
      <c r="AY65" t="e">
        <f>AND('SPR BARRANQUILLA'!AS75,"AAAAAFP//jI=")</f>
        <v>#VALUE!</v>
      </c>
      <c r="AZ65" t="e">
        <f>AND('SPR BARRANQUILLA'!AT75,"AAAAAFP//jM=")</f>
        <v>#VALUE!</v>
      </c>
      <c r="BA65" t="e">
        <f>AND('SPR BARRANQUILLA'!AU75,"AAAAAFP//jQ=")</f>
        <v>#VALUE!</v>
      </c>
      <c r="BB65" t="e">
        <f>AND('SPR BARRANQUILLA'!AV75,"AAAAAFP//jU=")</f>
        <v>#VALUE!</v>
      </c>
      <c r="BC65" t="e">
        <f>AND('SPR BARRANQUILLA'!AW75,"AAAAAFP//jY=")</f>
        <v>#VALUE!</v>
      </c>
      <c r="BD65" t="e">
        <f>AND('SPR BARRANQUILLA'!AX75,"AAAAAFP//jc=")</f>
        <v>#VALUE!</v>
      </c>
      <c r="BE65" t="e">
        <f>AND('SPR BARRANQUILLA'!AY75,"AAAAAFP//jg=")</f>
        <v>#VALUE!</v>
      </c>
      <c r="BF65" t="e">
        <f>AND('SPR BARRANQUILLA'!AZ75,"AAAAAFP//jk=")</f>
        <v>#VALUE!</v>
      </c>
      <c r="BG65" t="e">
        <f>AND('SPR BARRANQUILLA'!BA75,"AAAAAFP//jo=")</f>
        <v>#VALUE!</v>
      </c>
      <c r="BH65" t="e">
        <f>AND('SPR BARRANQUILLA'!BB75,"AAAAAFP//js=")</f>
        <v>#VALUE!</v>
      </c>
      <c r="BI65" t="e">
        <f>AND('SPR BARRANQUILLA'!BC75,"AAAAAFP//jw=")</f>
        <v>#VALUE!</v>
      </c>
      <c r="BJ65" t="e">
        <f>AND('SPR BARRANQUILLA'!BD75,"AAAAAFP//j0=")</f>
        <v>#VALUE!</v>
      </c>
      <c r="BK65" t="e">
        <f>AND('SPR BARRANQUILLA'!BE75,"AAAAAFP//j4=")</f>
        <v>#VALUE!</v>
      </c>
      <c r="BL65" t="e">
        <f>AND('SPR BARRANQUILLA'!BF75,"AAAAAFP//j8=")</f>
        <v>#VALUE!</v>
      </c>
      <c r="BM65" t="e">
        <f>AND('SPR BARRANQUILLA'!BG75,"AAAAAFP//kA=")</f>
        <v>#VALUE!</v>
      </c>
      <c r="BN65" t="e">
        <f>AND('SPR BARRANQUILLA'!BH75,"AAAAAFP//kE=")</f>
        <v>#VALUE!</v>
      </c>
      <c r="BO65" t="e">
        <f>AND('SPR BARRANQUILLA'!BI75,"AAAAAFP//kI=")</f>
        <v>#VALUE!</v>
      </c>
      <c r="BP65" t="e">
        <f>AND('SPR BARRANQUILLA'!BJ75,"AAAAAFP//kM=")</f>
        <v>#VALUE!</v>
      </c>
      <c r="BQ65" t="e">
        <f>AND('SPR BARRANQUILLA'!BK75,"AAAAAFP//kQ=")</f>
        <v>#VALUE!</v>
      </c>
      <c r="BR65" t="e">
        <f>AND('SPR BARRANQUILLA'!BL75,"AAAAAFP//kU=")</f>
        <v>#VALUE!</v>
      </c>
      <c r="BS65" t="e">
        <f>AND('SPR BARRANQUILLA'!BM75,"AAAAAFP//kY=")</f>
        <v>#VALUE!</v>
      </c>
      <c r="BT65" t="e">
        <f>AND('SPR BARRANQUILLA'!BN75,"AAAAAFP//kc=")</f>
        <v>#VALUE!</v>
      </c>
      <c r="BU65" t="e">
        <f>AND('SPR BARRANQUILLA'!BO75,"AAAAAFP//kg=")</f>
        <v>#VALUE!</v>
      </c>
      <c r="BV65" t="e">
        <f>AND('SPR BARRANQUILLA'!BP75,"AAAAAFP//kk=")</f>
        <v>#VALUE!</v>
      </c>
      <c r="BW65" t="e">
        <f>AND('SPR BARRANQUILLA'!BQ75,"AAAAAFP//ko=")</f>
        <v>#VALUE!</v>
      </c>
      <c r="BX65" t="e">
        <f>AND('SPR BARRANQUILLA'!BR75,"AAAAAFP//ks=")</f>
        <v>#VALUE!</v>
      </c>
      <c r="BY65" t="e">
        <f>AND('SPR BARRANQUILLA'!BS75,"AAAAAFP//kw=")</f>
        <v>#VALUE!</v>
      </c>
      <c r="BZ65" t="e">
        <f>AND('SPR BARRANQUILLA'!BT75,"AAAAAFP//k0=")</f>
        <v>#VALUE!</v>
      </c>
      <c r="CA65" t="e">
        <f>AND('SPR BARRANQUILLA'!BU75,"AAAAAFP//k4=")</f>
        <v>#VALUE!</v>
      </c>
      <c r="CB65" t="e">
        <f>AND('SPR BARRANQUILLA'!BV75,"AAAAAFP//k8=")</f>
        <v>#VALUE!</v>
      </c>
      <c r="CC65" t="e">
        <f>AND('SPR BARRANQUILLA'!BW75,"AAAAAFP//lA=")</f>
        <v>#VALUE!</v>
      </c>
      <c r="CD65" t="e">
        <f>AND('SPR BARRANQUILLA'!BX75,"AAAAAFP//lE=")</f>
        <v>#VALUE!</v>
      </c>
      <c r="CE65" t="e">
        <f>AND('SPR BARRANQUILLA'!BY75,"AAAAAFP//lI=")</f>
        <v>#VALUE!</v>
      </c>
      <c r="CF65" t="e">
        <f>AND('SPR BARRANQUILLA'!BZ75,"AAAAAFP//lM=")</f>
        <v>#VALUE!</v>
      </c>
      <c r="CG65" t="e">
        <f>AND('SPR BARRANQUILLA'!CA75,"AAAAAFP//lQ=")</f>
        <v>#VALUE!</v>
      </c>
      <c r="CH65" t="e">
        <f>AND('SPR BARRANQUILLA'!CB75,"AAAAAFP//lU=")</f>
        <v>#VALUE!</v>
      </c>
      <c r="CI65" t="e">
        <f>AND('SPR BARRANQUILLA'!CC75,"AAAAAFP//lY=")</f>
        <v>#VALUE!</v>
      </c>
      <c r="CJ65" t="e">
        <f>AND('SPR BARRANQUILLA'!CD75,"AAAAAFP//lc=")</f>
        <v>#VALUE!</v>
      </c>
      <c r="CK65" t="e">
        <f>AND('SPR BARRANQUILLA'!CE75,"AAAAAFP//lg=")</f>
        <v>#VALUE!</v>
      </c>
      <c r="CL65" t="e">
        <f>AND('SPR BARRANQUILLA'!CF75,"AAAAAFP//lk=")</f>
        <v>#VALUE!</v>
      </c>
      <c r="CM65" t="e">
        <f>AND('SPR BARRANQUILLA'!CG75,"AAAAAFP//lo=")</f>
        <v>#VALUE!</v>
      </c>
      <c r="CN65" t="e">
        <f>AND('SPR BARRANQUILLA'!CH75,"AAAAAFP//ls=")</f>
        <v>#VALUE!</v>
      </c>
      <c r="CO65" t="e">
        <f>AND('SPR BARRANQUILLA'!CI75,"AAAAAFP//lw=")</f>
        <v>#VALUE!</v>
      </c>
      <c r="CP65" t="e">
        <f>AND('SPR BARRANQUILLA'!CJ75,"AAAAAFP//l0=")</f>
        <v>#VALUE!</v>
      </c>
      <c r="CQ65" t="e">
        <f>AND('SPR BARRANQUILLA'!CK75,"AAAAAFP//l4=")</f>
        <v>#VALUE!</v>
      </c>
      <c r="CR65" t="e">
        <f>AND('SPR BARRANQUILLA'!CL75,"AAAAAFP//l8=")</f>
        <v>#VALUE!</v>
      </c>
      <c r="CS65" t="e">
        <f>AND('SPR BARRANQUILLA'!CM75,"AAAAAFP//mA=")</f>
        <v>#VALUE!</v>
      </c>
      <c r="CT65" t="e">
        <f>AND('SPR BARRANQUILLA'!CN75,"AAAAAFP//mE=")</f>
        <v>#VALUE!</v>
      </c>
      <c r="CU65" t="e">
        <f>AND('SPR BARRANQUILLA'!CO75,"AAAAAFP//mI=")</f>
        <v>#VALUE!</v>
      </c>
      <c r="CV65" t="e">
        <f>AND('SPR BARRANQUILLA'!CP75,"AAAAAFP//mM=")</f>
        <v>#VALUE!</v>
      </c>
      <c r="CW65" t="e">
        <f>AND('SPR BARRANQUILLA'!CQ75,"AAAAAFP//mQ=")</f>
        <v>#VALUE!</v>
      </c>
      <c r="CX65" t="e">
        <f>AND('SPR BARRANQUILLA'!CR75,"AAAAAFP//mU=")</f>
        <v>#VALUE!</v>
      </c>
      <c r="CY65" t="e">
        <f>AND('SPR BARRANQUILLA'!CS75,"AAAAAFP//mY=")</f>
        <v>#VALUE!</v>
      </c>
      <c r="CZ65" t="e">
        <f>AND('SPR BARRANQUILLA'!CT75,"AAAAAFP//mc=")</f>
        <v>#VALUE!</v>
      </c>
      <c r="DA65" t="e">
        <f>AND('SPR BARRANQUILLA'!CU75,"AAAAAFP//mg=")</f>
        <v>#VALUE!</v>
      </c>
      <c r="DB65" t="e">
        <f>AND('SPR BARRANQUILLA'!CV75,"AAAAAFP//mk=")</f>
        <v>#VALUE!</v>
      </c>
      <c r="DC65" t="e">
        <f>AND('SPR BARRANQUILLA'!CW75,"AAAAAFP//mo=")</f>
        <v>#VALUE!</v>
      </c>
      <c r="DD65" t="e">
        <f>AND('SPR BARRANQUILLA'!CX75,"AAAAAFP//ms=")</f>
        <v>#VALUE!</v>
      </c>
      <c r="DE65" t="e">
        <f>AND('SPR BARRANQUILLA'!CY75,"AAAAAFP//mw=")</f>
        <v>#VALUE!</v>
      </c>
      <c r="DF65" t="e">
        <f>AND('SPR BARRANQUILLA'!CZ75,"AAAAAFP//m0=")</f>
        <v>#VALUE!</v>
      </c>
      <c r="DG65" t="e">
        <f>AND('SPR BARRANQUILLA'!DA75,"AAAAAFP//m4=")</f>
        <v>#VALUE!</v>
      </c>
      <c r="DH65" t="e">
        <f>AND('SPR BARRANQUILLA'!DB75,"AAAAAFP//m8=")</f>
        <v>#VALUE!</v>
      </c>
      <c r="DI65" t="e">
        <f>AND('SPR BARRANQUILLA'!DC75,"AAAAAFP//nA=")</f>
        <v>#VALUE!</v>
      </c>
      <c r="DJ65" t="e">
        <f>AND('SPR BARRANQUILLA'!DD75,"AAAAAFP//nE=")</f>
        <v>#VALUE!</v>
      </c>
      <c r="DK65" t="e">
        <f>AND('SPR BARRANQUILLA'!DE75,"AAAAAFP//nI=")</f>
        <v>#VALUE!</v>
      </c>
      <c r="DL65" t="e">
        <f>AND('SPR BARRANQUILLA'!DF75,"AAAAAFP//nM=")</f>
        <v>#VALUE!</v>
      </c>
      <c r="DM65" t="e">
        <f>AND('SPR BARRANQUILLA'!DG75,"AAAAAFP//nQ=")</f>
        <v>#VALUE!</v>
      </c>
      <c r="DN65" t="e">
        <f>AND('SPR BARRANQUILLA'!DH75,"AAAAAFP//nU=")</f>
        <v>#VALUE!</v>
      </c>
      <c r="DO65" t="e">
        <f>AND('SPR BARRANQUILLA'!DI75,"AAAAAFP//nY=")</f>
        <v>#VALUE!</v>
      </c>
      <c r="DP65" t="e">
        <f>AND('SPR BARRANQUILLA'!DJ75,"AAAAAFP//nc=")</f>
        <v>#VALUE!</v>
      </c>
      <c r="DQ65" t="e">
        <f>AND('SPR BARRANQUILLA'!DK75,"AAAAAFP//ng=")</f>
        <v>#VALUE!</v>
      </c>
      <c r="DR65" t="e">
        <f>AND('SPR BARRANQUILLA'!DL75,"AAAAAFP//nk=")</f>
        <v>#VALUE!</v>
      </c>
      <c r="DS65" t="e">
        <f>AND('SPR BARRANQUILLA'!DM75,"AAAAAFP//no=")</f>
        <v>#VALUE!</v>
      </c>
      <c r="DT65" t="e">
        <f>AND('SPR BARRANQUILLA'!DN75,"AAAAAFP//ns=")</f>
        <v>#VALUE!</v>
      </c>
      <c r="DU65" t="e">
        <f>AND('SPR BARRANQUILLA'!DO75,"AAAAAFP//nw=")</f>
        <v>#VALUE!</v>
      </c>
      <c r="DV65" t="e">
        <f>AND('SPR BARRANQUILLA'!DP75,"AAAAAFP//n0=")</f>
        <v>#VALUE!</v>
      </c>
      <c r="DW65" t="e">
        <f>AND('SPR BARRANQUILLA'!DQ75,"AAAAAFP//n4=")</f>
        <v>#VALUE!</v>
      </c>
      <c r="DX65" t="e">
        <f>AND('SPR BARRANQUILLA'!DR75,"AAAAAFP//n8=")</f>
        <v>#VALUE!</v>
      </c>
      <c r="DY65" t="e">
        <f>AND('SPR BARRANQUILLA'!DS75,"AAAAAFP//oA=")</f>
        <v>#VALUE!</v>
      </c>
      <c r="DZ65" t="e">
        <f>AND('SPR BARRANQUILLA'!DT75,"AAAAAFP//oE=")</f>
        <v>#VALUE!</v>
      </c>
      <c r="EA65" t="e">
        <f>AND('SPR BARRANQUILLA'!DU75,"AAAAAFP//oI=")</f>
        <v>#VALUE!</v>
      </c>
      <c r="EB65" t="e">
        <f>AND('SPR BARRANQUILLA'!DV75,"AAAAAFP//oM=")</f>
        <v>#VALUE!</v>
      </c>
      <c r="EC65" t="e">
        <f>AND('SPR BARRANQUILLA'!DW75,"AAAAAFP//oQ=")</f>
        <v>#VALUE!</v>
      </c>
      <c r="ED65" t="e">
        <f>AND('SPR BARRANQUILLA'!DX75,"AAAAAFP//oU=")</f>
        <v>#VALUE!</v>
      </c>
      <c r="EE65" t="e">
        <f>AND('SPR BARRANQUILLA'!DY75,"AAAAAFP//oY=")</f>
        <v>#VALUE!</v>
      </c>
      <c r="EF65" t="e">
        <f>AND('SPR BARRANQUILLA'!DZ75,"AAAAAFP//oc=")</f>
        <v>#VALUE!</v>
      </c>
      <c r="EG65" t="e">
        <f>AND('SPR BARRANQUILLA'!EA75,"AAAAAFP//og=")</f>
        <v>#VALUE!</v>
      </c>
      <c r="EH65" t="e">
        <f>AND('SPR BARRANQUILLA'!EB75,"AAAAAFP//ok=")</f>
        <v>#VALUE!</v>
      </c>
      <c r="EI65" t="e">
        <f>AND('SPR BARRANQUILLA'!EC75,"AAAAAFP//oo=")</f>
        <v>#VALUE!</v>
      </c>
      <c r="EJ65" t="e">
        <f>AND('SPR BARRANQUILLA'!ED75,"AAAAAFP//os=")</f>
        <v>#VALUE!</v>
      </c>
      <c r="EK65" t="e">
        <f>AND('SPR BARRANQUILLA'!EE75,"AAAAAFP//ow=")</f>
        <v>#VALUE!</v>
      </c>
      <c r="EL65" t="e">
        <f>AND('SPR BARRANQUILLA'!EF75,"AAAAAFP//o0=")</f>
        <v>#VALUE!</v>
      </c>
      <c r="EM65" t="e">
        <f>AND('SPR BARRANQUILLA'!EG75,"AAAAAFP//o4=")</f>
        <v>#VALUE!</v>
      </c>
      <c r="EN65" t="e">
        <f>AND('SPR BARRANQUILLA'!EH75,"AAAAAFP//o8=")</f>
        <v>#VALUE!</v>
      </c>
      <c r="EO65" t="e">
        <f>AND('SPR BARRANQUILLA'!EI75,"AAAAAFP//pA=")</f>
        <v>#VALUE!</v>
      </c>
      <c r="EP65" t="e">
        <f>AND('SPR BARRANQUILLA'!EJ75,"AAAAAFP//pE=")</f>
        <v>#VALUE!</v>
      </c>
      <c r="EQ65" t="e">
        <f>AND('SPR BARRANQUILLA'!EK75,"AAAAAFP//pI=")</f>
        <v>#VALUE!</v>
      </c>
      <c r="ER65" t="e">
        <f>AND('SPR BARRANQUILLA'!EL75,"AAAAAFP//pM=")</f>
        <v>#VALUE!</v>
      </c>
      <c r="ES65" t="e">
        <f>AND('SPR BARRANQUILLA'!EM75,"AAAAAFP//pQ=")</f>
        <v>#VALUE!</v>
      </c>
      <c r="ET65" t="e">
        <f>AND('SPR BARRANQUILLA'!EN75,"AAAAAFP//pU=")</f>
        <v>#VALUE!</v>
      </c>
      <c r="EU65" t="e">
        <f>AND('SPR BARRANQUILLA'!EO75,"AAAAAFP//pY=")</f>
        <v>#VALUE!</v>
      </c>
      <c r="EV65" t="e">
        <f>AND('SPR BARRANQUILLA'!EP75,"AAAAAFP//pc=")</f>
        <v>#VALUE!</v>
      </c>
      <c r="EW65" t="e">
        <f>AND('SPR BARRANQUILLA'!EQ75,"AAAAAFP//pg=")</f>
        <v>#VALUE!</v>
      </c>
      <c r="EX65" t="e">
        <f>AND('SPR BARRANQUILLA'!ER75,"AAAAAFP//pk=")</f>
        <v>#VALUE!</v>
      </c>
      <c r="EY65" t="e">
        <f>AND('SPR BARRANQUILLA'!ES75,"AAAAAFP//po=")</f>
        <v>#VALUE!</v>
      </c>
      <c r="EZ65" t="e">
        <f>AND('SPR BARRANQUILLA'!ET75,"AAAAAFP//ps=")</f>
        <v>#VALUE!</v>
      </c>
      <c r="FA65" t="e">
        <f>AND('SPR BARRANQUILLA'!EU75,"AAAAAFP//pw=")</f>
        <v>#VALUE!</v>
      </c>
      <c r="FB65" t="e">
        <f>AND('SPR BARRANQUILLA'!EV75,"AAAAAFP//p0=")</f>
        <v>#VALUE!</v>
      </c>
      <c r="FC65" t="e">
        <f>AND('SPR BARRANQUILLA'!EW75,"AAAAAFP//p4=")</f>
        <v>#VALUE!</v>
      </c>
      <c r="FD65" t="e">
        <f>AND('SPR BARRANQUILLA'!EX75,"AAAAAFP//p8=")</f>
        <v>#VALUE!</v>
      </c>
      <c r="FE65" t="e">
        <f>AND('SPR BARRANQUILLA'!EY75,"AAAAAFP//qA=")</f>
        <v>#VALUE!</v>
      </c>
      <c r="FF65" t="e">
        <f>AND('SPR BARRANQUILLA'!EZ75,"AAAAAFP//qE=")</f>
        <v>#VALUE!</v>
      </c>
      <c r="FG65" t="e">
        <f>AND('SPR BARRANQUILLA'!FA75,"AAAAAFP//qI=")</f>
        <v>#VALUE!</v>
      </c>
      <c r="FH65" t="e">
        <f>AND('SPR BARRANQUILLA'!FB75,"AAAAAFP//qM=")</f>
        <v>#VALUE!</v>
      </c>
      <c r="FI65" t="e">
        <f>AND('SPR BARRANQUILLA'!FC75,"AAAAAFP//qQ=")</f>
        <v>#VALUE!</v>
      </c>
      <c r="FJ65" t="e">
        <f>AND('SPR BARRANQUILLA'!FD75,"AAAAAFP//qU=")</f>
        <v>#VALUE!</v>
      </c>
      <c r="FK65" t="e">
        <f>AND('SPR BARRANQUILLA'!FE75,"AAAAAFP//qY=")</f>
        <v>#VALUE!</v>
      </c>
      <c r="FL65" t="e">
        <f>AND('SPR BARRANQUILLA'!FF75,"AAAAAFP//qc=")</f>
        <v>#VALUE!</v>
      </c>
      <c r="FM65" t="e">
        <f>AND('SPR BARRANQUILLA'!FG75,"AAAAAFP//qg=")</f>
        <v>#VALUE!</v>
      </c>
      <c r="FN65" t="e">
        <f>AND('SPR BARRANQUILLA'!FH75,"AAAAAFP//qk=")</f>
        <v>#VALUE!</v>
      </c>
      <c r="FO65" t="e">
        <f>AND('SPR BARRANQUILLA'!FI75,"AAAAAFP//qo=")</f>
        <v>#VALUE!</v>
      </c>
      <c r="FP65" t="e">
        <f>AND('SPR BARRANQUILLA'!FJ75,"AAAAAFP//qs=")</f>
        <v>#VALUE!</v>
      </c>
      <c r="FQ65" t="e">
        <f>AND('SPR BARRANQUILLA'!FK75,"AAAAAFP//qw=")</f>
        <v>#VALUE!</v>
      </c>
      <c r="FR65" t="e">
        <f>AND('SPR BARRANQUILLA'!FL75,"AAAAAFP//q0=")</f>
        <v>#VALUE!</v>
      </c>
      <c r="FS65" t="e">
        <f>AND('SPR BARRANQUILLA'!FM75,"AAAAAFP//q4=")</f>
        <v>#VALUE!</v>
      </c>
      <c r="FT65" t="e">
        <f>AND('SPR BARRANQUILLA'!FN75,"AAAAAFP//q8=")</f>
        <v>#VALUE!</v>
      </c>
      <c r="FU65" t="e">
        <f>AND('SPR BARRANQUILLA'!FO75,"AAAAAFP//rA=")</f>
        <v>#VALUE!</v>
      </c>
      <c r="FV65" t="e">
        <f>AND('SPR BARRANQUILLA'!FP75,"AAAAAFP//rE=")</f>
        <v>#VALUE!</v>
      </c>
      <c r="FW65" t="e">
        <f>AND('SPR BARRANQUILLA'!FQ75,"AAAAAFP//rI=")</f>
        <v>#VALUE!</v>
      </c>
      <c r="FX65" t="e">
        <f>AND('SPR BARRANQUILLA'!FR75,"AAAAAFP//rM=")</f>
        <v>#VALUE!</v>
      </c>
      <c r="FY65" t="e">
        <f>AND('SPR BARRANQUILLA'!FS75,"AAAAAFP//rQ=")</f>
        <v>#VALUE!</v>
      </c>
      <c r="FZ65" t="e">
        <f>AND('SPR BARRANQUILLA'!FT75,"AAAAAFP//rU=")</f>
        <v>#VALUE!</v>
      </c>
      <c r="GA65" t="e">
        <f>AND('SPR BARRANQUILLA'!FU75,"AAAAAFP//rY=")</f>
        <v>#VALUE!</v>
      </c>
      <c r="GB65" t="e">
        <f>AND('SPR BARRANQUILLA'!FV75,"AAAAAFP//rc=")</f>
        <v>#VALUE!</v>
      </c>
      <c r="GC65" t="e">
        <f>AND('SPR BARRANQUILLA'!FW75,"AAAAAFP//rg=")</f>
        <v>#VALUE!</v>
      </c>
      <c r="GD65" t="e">
        <f>AND('SPR BARRANQUILLA'!FX75,"AAAAAFP//rk=")</f>
        <v>#VALUE!</v>
      </c>
      <c r="GE65" t="e">
        <f>AND('SPR BARRANQUILLA'!FY75,"AAAAAFP//ro=")</f>
        <v>#VALUE!</v>
      </c>
      <c r="GF65" t="e">
        <f>AND('SPR BARRANQUILLA'!FZ75,"AAAAAFP//rs=")</f>
        <v>#VALUE!</v>
      </c>
      <c r="GG65" t="e">
        <f>AND('SPR BARRANQUILLA'!GA75,"AAAAAFP//rw=")</f>
        <v>#VALUE!</v>
      </c>
      <c r="GH65" t="e">
        <f>AND('SPR BARRANQUILLA'!GB75,"AAAAAFP//r0=")</f>
        <v>#VALUE!</v>
      </c>
      <c r="GI65" t="e">
        <f>AND('SPR BARRANQUILLA'!GC75,"AAAAAFP//r4=")</f>
        <v>#VALUE!</v>
      </c>
      <c r="GJ65" t="e">
        <f>AND('SPR BARRANQUILLA'!GD75,"AAAAAFP//r8=")</f>
        <v>#VALUE!</v>
      </c>
      <c r="GK65" t="e">
        <f>AND('SPR BARRANQUILLA'!GE75,"AAAAAFP//sA=")</f>
        <v>#VALUE!</v>
      </c>
      <c r="GL65" t="e">
        <f>AND('SPR BARRANQUILLA'!GF75,"AAAAAFP//sE=")</f>
        <v>#VALUE!</v>
      </c>
      <c r="GM65" t="e">
        <f>AND('SPR BARRANQUILLA'!GG75,"AAAAAFP//sI=")</f>
        <v>#VALUE!</v>
      </c>
      <c r="GN65" t="e">
        <f>AND('SPR BARRANQUILLA'!GH75,"AAAAAFP//sM=")</f>
        <v>#VALUE!</v>
      </c>
      <c r="GO65" t="e">
        <f>AND('SPR BARRANQUILLA'!GI75,"AAAAAFP//sQ=")</f>
        <v>#VALUE!</v>
      </c>
      <c r="GP65" t="e">
        <f>AND('SPR BARRANQUILLA'!GJ75,"AAAAAFP//sU=")</f>
        <v>#VALUE!</v>
      </c>
      <c r="GQ65" t="e">
        <f>AND('SPR BARRANQUILLA'!GK75,"AAAAAFP//sY=")</f>
        <v>#VALUE!</v>
      </c>
      <c r="GR65" t="e">
        <f>AND('SPR BARRANQUILLA'!GL75,"AAAAAFP//sc=")</f>
        <v>#VALUE!</v>
      </c>
      <c r="GS65" t="e">
        <f>AND('SPR BARRANQUILLA'!GM75,"AAAAAFP//sg=")</f>
        <v>#VALUE!</v>
      </c>
      <c r="GT65" t="e">
        <f>AND('SPR BARRANQUILLA'!GN75,"AAAAAFP//sk=")</f>
        <v>#VALUE!</v>
      </c>
      <c r="GU65" t="e">
        <f>AND('SPR BARRANQUILLA'!GO75,"AAAAAFP//so=")</f>
        <v>#VALUE!</v>
      </c>
      <c r="GV65" t="e">
        <f>AND('SPR BARRANQUILLA'!GP75,"AAAAAFP//ss=")</f>
        <v>#VALUE!</v>
      </c>
      <c r="GW65" t="e">
        <f>AND('SPR BARRANQUILLA'!GQ75,"AAAAAFP//sw=")</f>
        <v>#VALUE!</v>
      </c>
      <c r="GX65" t="e">
        <f>AND('SPR BARRANQUILLA'!GR75,"AAAAAFP//s0=")</f>
        <v>#VALUE!</v>
      </c>
      <c r="GY65" t="e">
        <f>AND('SPR BARRANQUILLA'!GS75,"AAAAAFP//s4=")</f>
        <v>#VALUE!</v>
      </c>
      <c r="GZ65" t="e">
        <f>AND('SPR BARRANQUILLA'!GT75,"AAAAAFP//s8=")</f>
        <v>#VALUE!</v>
      </c>
      <c r="HA65" t="e">
        <f>AND('SPR BARRANQUILLA'!GU75,"AAAAAFP//tA=")</f>
        <v>#VALUE!</v>
      </c>
      <c r="HB65" t="e">
        <f>AND('SPR BARRANQUILLA'!GV75,"AAAAAFP//tE=")</f>
        <v>#VALUE!</v>
      </c>
      <c r="HC65" t="e">
        <f>AND('SPR BARRANQUILLA'!GW75,"AAAAAFP//tI=")</f>
        <v>#VALUE!</v>
      </c>
      <c r="HD65" t="e">
        <f>AND('SPR BARRANQUILLA'!GX75,"AAAAAFP//tM=")</f>
        <v>#VALUE!</v>
      </c>
      <c r="HE65" t="e">
        <f>AND('SPR BARRANQUILLA'!GY75,"AAAAAFP//tQ=")</f>
        <v>#VALUE!</v>
      </c>
      <c r="HF65">
        <f>IF('SPR BARRANQUILLA'!76:76,"AAAAAFP//tU=",0)</f>
        <v>0</v>
      </c>
      <c r="HG65" t="e">
        <f>AND('SPR BARRANQUILLA'!A76,"AAAAAFP//tY=")</f>
        <v>#VALUE!</v>
      </c>
      <c r="HH65" t="e">
        <f>AND('SPR BARRANQUILLA'!B76,"AAAAAFP//tc=")</f>
        <v>#VALUE!</v>
      </c>
      <c r="HI65" t="e">
        <f>AND('SPR BARRANQUILLA'!C76,"AAAAAFP//tg=")</f>
        <v>#VALUE!</v>
      </c>
      <c r="HJ65" t="e">
        <f>AND('SPR BARRANQUILLA'!D76,"AAAAAFP//tk=")</f>
        <v>#VALUE!</v>
      </c>
      <c r="HK65" t="e">
        <f>AND('SPR BARRANQUILLA'!E76,"AAAAAFP//to=")</f>
        <v>#VALUE!</v>
      </c>
      <c r="HL65" t="e">
        <f>AND('SPR BARRANQUILLA'!F76,"AAAAAFP//ts=")</f>
        <v>#VALUE!</v>
      </c>
      <c r="HM65" t="e">
        <f>AND('SPR BARRANQUILLA'!G76,"AAAAAFP//tw=")</f>
        <v>#VALUE!</v>
      </c>
      <c r="HN65" t="e">
        <f>AND('SPR BARRANQUILLA'!H76,"AAAAAFP//t0=")</f>
        <v>#VALUE!</v>
      </c>
      <c r="HO65" t="e">
        <f>AND('SPR BARRANQUILLA'!I76,"AAAAAFP//t4=")</f>
        <v>#VALUE!</v>
      </c>
      <c r="HP65" t="e">
        <f>AND('SPR BARRANQUILLA'!J76,"AAAAAFP//t8=")</f>
        <v>#VALUE!</v>
      </c>
      <c r="HQ65" t="e">
        <f>AND('SPR BARRANQUILLA'!K76,"AAAAAFP//uA=")</f>
        <v>#VALUE!</v>
      </c>
      <c r="HR65" t="e">
        <f>AND('SPR BARRANQUILLA'!L76,"AAAAAFP//uE=")</f>
        <v>#VALUE!</v>
      </c>
      <c r="HS65" t="e">
        <f>AND('SPR BARRANQUILLA'!M76,"AAAAAFP//uI=")</f>
        <v>#VALUE!</v>
      </c>
      <c r="HT65" t="e">
        <f>AND('SPR BARRANQUILLA'!N76,"AAAAAFP//uM=")</f>
        <v>#VALUE!</v>
      </c>
      <c r="HU65" t="e">
        <f>AND('SPR BARRANQUILLA'!O76,"AAAAAFP//uQ=")</f>
        <v>#VALUE!</v>
      </c>
      <c r="HV65" t="e">
        <f>AND('SPR BARRANQUILLA'!P76,"AAAAAFP//uU=")</f>
        <v>#VALUE!</v>
      </c>
      <c r="HW65" t="e">
        <f>AND('SPR BARRANQUILLA'!Q76,"AAAAAFP//uY=")</f>
        <v>#VALUE!</v>
      </c>
      <c r="HX65" t="e">
        <f>AND('SPR BARRANQUILLA'!R76,"AAAAAFP//uc=")</f>
        <v>#VALUE!</v>
      </c>
      <c r="HY65" t="e">
        <f>AND('SPR BARRANQUILLA'!S76,"AAAAAFP//ug=")</f>
        <v>#VALUE!</v>
      </c>
      <c r="HZ65" t="e">
        <f>AND('SPR BARRANQUILLA'!T76,"AAAAAFP//uk=")</f>
        <v>#VALUE!</v>
      </c>
      <c r="IA65" t="e">
        <f>AND('SPR BARRANQUILLA'!U76,"AAAAAFP//uo=")</f>
        <v>#VALUE!</v>
      </c>
      <c r="IB65" t="e">
        <f>AND('SPR BARRANQUILLA'!V76,"AAAAAFP//us=")</f>
        <v>#VALUE!</v>
      </c>
      <c r="IC65" t="e">
        <f>AND('SPR BARRANQUILLA'!W76,"AAAAAFP//uw=")</f>
        <v>#VALUE!</v>
      </c>
      <c r="ID65" t="e">
        <f>AND('SPR BARRANQUILLA'!X76,"AAAAAFP//u0=")</f>
        <v>#VALUE!</v>
      </c>
      <c r="IE65" t="e">
        <f>AND('SPR BARRANQUILLA'!Y76,"AAAAAFP//u4=")</f>
        <v>#VALUE!</v>
      </c>
      <c r="IF65" t="e">
        <f>AND('SPR BARRANQUILLA'!Z76,"AAAAAFP//u8=")</f>
        <v>#VALUE!</v>
      </c>
      <c r="IG65" t="e">
        <f>AND('SPR BARRANQUILLA'!AA76,"AAAAAFP//vA=")</f>
        <v>#VALUE!</v>
      </c>
      <c r="IH65" t="e">
        <f>AND('SPR BARRANQUILLA'!AB76,"AAAAAFP//vE=")</f>
        <v>#VALUE!</v>
      </c>
      <c r="II65" t="e">
        <f>AND('SPR BARRANQUILLA'!AC76,"AAAAAFP//vI=")</f>
        <v>#VALUE!</v>
      </c>
      <c r="IJ65" t="e">
        <f>AND('SPR BARRANQUILLA'!AD76,"AAAAAFP//vM=")</f>
        <v>#VALUE!</v>
      </c>
      <c r="IK65" t="e">
        <f>AND('SPR BARRANQUILLA'!AE76,"AAAAAFP//vQ=")</f>
        <v>#VALUE!</v>
      </c>
      <c r="IL65" t="e">
        <f>AND('SPR BARRANQUILLA'!AF76,"AAAAAFP//vU=")</f>
        <v>#VALUE!</v>
      </c>
      <c r="IM65" t="e">
        <f>AND('SPR BARRANQUILLA'!AG76,"AAAAAFP//vY=")</f>
        <v>#VALUE!</v>
      </c>
      <c r="IN65" t="e">
        <f>AND('SPR BARRANQUILLA'!AH76,"AAAAAFP//vc=")</f>
        <v>#VALUE!</v>
      </c>
      <c r="IO65" t="e">
        <f>AND('SPR BARRANQUILLA'!AI76,"AAAAAFP//vg=")</f>
        <v>#VALUE!</v>
      </c>
      <c r="IP65" t="e">
        <f>AND('SPR BARRANQUILLA'!AJ76,"AAAAAFP//vk=")</f>
        <v>#VALUE!</v>
      </c>
      <c r="IQ65" t="e">
        <f>AND('SPR BARRANQUILLA'!AK76,"AAAAAFP//vo=")</f>
        <v>#VALUE!</v>
      </c>
      <c r="IR65" t="e">
        <f>AND('SPR BARRANQUILLA'!AL76,"AAAAAFP//vs=")</f>
        <v>#VALUE!</v>
      </c>
      <c r="IS65" t="e">
        <f>AND('SPR BARRANQUILLA'!AM76,"AAAAAFP//vw=")</f>
        <v>#VALUE!</v>
      </c>
      <c r="IT65" t="e">
        <f>AND('SPR BARRANQUILLA'!AN76,"AAAAAFP//v0=")</f>
        <v>#VALUE!</v>
      </c>
      <c r="IU65" t="e">
        <f>AND('SPR BARRANQUILLA'!AO76,"AAAAAFP//v4=")</f>
        <v>#VALUE!</v>
      </c>
      <c r="IV65" t="e">
        <f>AND('SPR BARRANQUILLA'!AP76,"AAAAAFP//v8=")</f>
        <v>#VALUE!</v>
      </c>
    </row>
    <row r="66" spans="1:256">
      <c r="A66" t="e">
        <f>AND('SPR BARRANQUILLA'!AQ76,"AAAAAH3ftwA=")</f>
        <v>#VALUE!</v>
      </c>
      <c r="B66" t="e">
        <f>AND('SPR BARRANQUILLA'!AR76,"AAAAAH3ftwE=")</f>
        <v>#VALUE!</v>
      </c>
      <c r="C66" t="e">
        <f>AND('SPR BARRANQUILLA'!AS76,"AAAAAH3ftwI=")</f>
        <v>#VALUE!</v>
      </c>
      <c r="D66" t="e">
        <f>AND('SPR BARRANQUILLA'!AT76,"AAAAAH3ftwM=")</f>
        <v>#VALUE!</v>
      </c>
      <c r="E66" t="e">
        <f>AND('SPR BARRANQUILLA'!AU76,"AAAAAH3ftwQ=")</f>
        <v>#VALUE!</v>
      </c>
      <c r="F66" t="e">
        <f>AND('SPR BARRANQUILLA'!AV76,"AAAAAH3ftwU=")</f>
        <v>#VALUE!</v>
      </c>
      <c r="G66" t="e">
        <f>AND('SPR BARRANQUILLA'!AW76,"AAAAAH3ftwY=")</f>
        <v>#VALUE!</v>
      </c>
      <c r="H66" t="e">
        <f>AND('SPR BARRANQUILLA'!AX76,"AAAAAH3ftwc=")</f>
        <v>#VALUE!</v>
      </c>
      <c r="I66" t="e">
        <f>AND('SPR BARRANQUILLA'!AY76,"AAAAAH3ftwg=")</f>
        <v>#VALUE!</v>
      </c>
      <c r="J66" t="e">
        <f>AND('SPR BARRANQUILLA'!AZ76,"AAAAAH3ftwk=")</f>
        <v>#VALUE!</v>
      </c>
      <c r="K66" t="e">
        <f>AND('SPR BARRANQUILLA'!BA76,"AAAAAH3ftwo=")</f>
        <v>#VALUE!</v>
      </c>
      <c r="L66" t="e">
        <f>AND('SPR BARRANQUILLA'!BB76,"AAAAAH3ftws=")</f>
        <v>#VALUE!</v>
      </c>
      <c r="M66" t="e">
        <f>AND('SPR BARRANQUILLA'!BC76,"AAAAAH3ftww=")</f>
        <v>#VALUE!</v>
      </c>
      <c r="N66" t="e">
        <f>AND('SPR BARRANQUILLA'!BD76,"AAAAAH3ftw0=")</f>
        <v>#VALUE!</v>
      </c>
      <c r="O66" t="e">
        <f>AND('SPR BARRANQUILLA'!BE76,"AAAAAH3ftw4=")</f>
        <v>#VALUE!</v>
      </c>
      <c r="P66" t="e">
        <f>AND('SPR BARRANQUILLA'!BF76,"AAAAAH3ftw8=")</f>
        <v>#VALUE!</v>
      </c>
      <c r="Q66" t="e">
        <f>AND('SPR BARRANQUILLA'!BG76,"AAAAAH3ftxA=")</f>
        <v>#VALUE!</v>
      </c>
      <c r="R66" t="e">
        <f>AND('SPR BARRANQUILLA'!BH76,"AAAAAH3ftxE=")</f>
        <v>#VALUE!</v>
      </c>
      <c r="S66" t="e">
        <f>AND('SPR BARRANQUILLA'!BI76,"AAAAAH3ftxI=")</f>
        <v>#VALUE!</v>
      </c>
      <c r="T66" t="e">
        <f>AND('SPR BARRANQUILLA'!BJ76,"AAAAAH3ftxM=")</f>
        <v>#VALUE!</v>
      </c>
      <c r="U66" t="e">
        <f>AND('SPR BARRANQUILLA'!BK76,"AAAAAH3ftxQ=")</f>
        <v>#VALUE!</v>
      </c>
      <c r="V66" t="e">
        <f>AND('SPR BARRANQUILLA'!BL76,"AAAAAH3ftxU=")</f>
        <v>#VALUE!</v>
      </c>
      <c r="W66" t="e">
        <f>AND('SPR BARRANQUILLA'!BM76,"AAAAAH3ftxY=")</f>
        <v>#VALUE!</v>
      </c>
      <c r="X66" t="e">
        <f>AND('SPR BARRANQUILLA'!BN76,"AAAAAH3ftxc=")</f>
        <v>#VALUE!</v>
      </c>
      <c r="Y66" t="e">
        <f>AND('SPR BARRANQUILLA'!BO76,"AAAAAH3ftxg=")</f>
        <v>#VALUE!</v>
      </c>
      <c r="Z66" t="e">
        <f>AND('SPR BARRANQUILLA'!BP76,"AAAAAH3ftxk=")</f>
        <v>#VALUE!</v>
      </c>
      <c r="AA66" t="e">
        <f>AND('SPR BARRANQUILLA'!BQ76,"AAAAAH3ftxo=")</f>
        <v>#VALUE!</v>
      </c>
      <c r="AB66" t="e">
        <f>AND('SPR BARRANQUILLA'!BR76,"AAAAAH3ftxs=")</f>
        <v>#VALUE!</v>
      </c>
      <c r="AC66" t="e">
        <f>AND('SPR BARRANQUILLA'!BS76,"AAAAAH3ftxw=")</f>
        <v>#VALUE!</v>
      </c>
      <c r="AD66" t="e">
        <f>AND('SPR BARRANQUILLA'!BT76,"AAAAAH3ftx0=")</f>
        <v>#VALUE!</v>
      </c>
      <c r="AE66" t="e">
        <f>AND('SPR BARRANQUILLA'!BU76,"AAAAAH3ftx4=")</f>
        <v>#VALUE!</v>
      </c>
      <c r="AF66" t="e">
        <f>AND('SPR BARRANQUILLA'!BV76,"AAAAAH3ftx8=")</f>
        <v>#VALUE!</v>
      </c>
      <c r="AG66" t="e">
        <f>AND('SPR BARRANQUILLA'!BW76,"AAAAAH3ftyA=")</f>
        <v>#VALUE!</v>
      </c>
      <c r="AH66" t="e">
        <f>AND('SPR BARRANQUILLA'!BX76,"AAAAAH3ftyE=")</f>
        <v>#VALUE!</v>
      </c>
      <c r="AI66" t="e">
        <f>AND('SPR BARRANQUILLA'!BY76,"AAAAAH3ftyI=")</f>
        <v>#VALUE!</v>
      </c>
      <c r="AJ66" t="e">
        <f>AND('SPR BARRANQUILLA'!BZ76,"AAAAAH3ftyM=")</f>
        <v>#VALUE!</v>
      </c>
      <c r="AK66" t="e">
        <f>AND('SPR BARRANQUILLA'!CA76,"AAAAAH3ftyQ=")</f>
        <v>#VALUE!</v>
      </c>
      <c r="AL66" t="e">
        <f>AND('SPR BARRANQUILLA'!CB76,"AAAAAH3ftyU=")</f>
        <v>#VALUE!</v>
      </c>
      <c r="AM66" t="e">
        <f>AND('SPR BARRANQUILLA'!CC76,"AAAAAH3ftyY=")</f>
        <v>#VALUE!</v>
      </c>
      <c r="AN66" t="e">
        <f>AND('SPR BARRANQUILLA'!CD76,"AAAAAH3ftyc=")</f>
        <v>#VALUE!</v>
      </c>
      <c r="AO66" t="e">
        <f>AND('SPR BARRANQUILLA'!CE76,"AAAAAH3ftyg=")</f>
        <v>#VALUE!</v>
      </c>
      <c r="AP66" t="e">
        <f>AND('SPR BARRANQUILLA'!CF76,"AAAAAH3ftyk=")</f>
        <v>#VALUE!</v>
      </c>
      <c r="AQ66" t="e">
        <f>AND('SPR BARRANQUILLA'!CG76,"AAAAAH3ftyo=")</f>
        <v>#VALUE!</v>
      </c>
      <c r="AR66" t="e">
        <f>AND('SPR BARRANQUILLA'!CH76,"AAAAAH3ftys=")</f>
        <v>#VALUE!</v>
      </c>
      <c r="AS66" t="e">
        <f>AND('SPR BARRANQUILLA'!CI76,"AAAAAH3ftyw=")</f>
        <v>#VALUE!</v>
      </c>
      <c r="AT66" t="e">
        <f>AND('SPR BARRANQUILLA'!CJ76,"AAAAAH3fty0=")</f>
        <v>#VALUE!</v>
      </c>
      <c r="AU66" t="e">
        <f>AND('SPR BARRANQUILLA'!CK76,"AAAAAH3fty4=")</f>
        <v>#VALUE!</v>
      </c>
      <c r="AV66" t="e">
        <f>AND('SPR BARRANQUILLA'!CL76,"AAAAAH3fty8=")</f>
        <v>#VALUE!</v>
      </c>
      <c r="AW66" t="e">
        <f>AND('SPR BARRANQUILLA'!CM76,"AAAAAH3ftzA=")</f>
        <v>#VALUE!</v>
      </c>
      <c r="AX66" t="e">
        <f>AND('SPR BARRANQUILLA'!CN76,"AAAAAH3ftzE=")</f>
        <v>#VALUE!</v>
      </c>
      <c r="AY66" t="e">
        <f>AND('SPR BARRANQUILLA'!CO76,"AAAAAH3ftzI=")</f>
        <v>#VALUE!</v>
      </c>
      <c r="AZ66" t="e">
        <f>AND('SPR BARRANQUILLA'!CP76,"AAAAAH3ftzM=")</f>
        <v>#VALUE!</v>
      </c>
      <c r="BA66" t="e">
        <f>AND('SPR BARRANQUILLA'!CQ76,"AAAAAH3ftzQ=")</f>
        <v>#VALUE!</v>
      </c>
      <c r="BB66" t="e">
        <f>AND('SPR BARRANQUILLA'!CR76,"AAAAAH3ftzU=")</f>
        <v>#VALUE!</v>
      </c>
      <c r="BC66" t="e">
        <f>AND('SPR BARRANQUILLA'!CS76,"AAAAAH3ftzY=")</f>
        <v>#VALUE!</v>
      </c>
      <c r="BD66" t="e">
        <f>AND('SPR BARRANQUILLA'!CT76,"AAAAAH3ftzc=")</f>
        <v>#VALUE!</v>
      </c>
      <c r="BE66" t="e">
        <f>AND('SPR BARRANQUILLA'!CU76,"AAAAAH3ftzg=")</f>
        <v>#VALUE!</v>
      </c>
      <c r="BF66" t="e">
        <f>AND('SPR BARRANQUILLA'!CV76,"AAAAAH3ftzk=")</f>
        <v>#VALUE!</v>
      </c>
      <c r="BG66" t="e">
        <f>AND('SPR BARRANQUILLA'!CW76,"AAAAAH3ftzo=")</f>
        <v>#VALUE!</v>
      </c>
      <c r="BH66" t="e">
        <f>AND('SPR BARRANQUILLA'!CX76,"AAAAAH3ftzs=")</f>
        <v>#VALUE!</v>
      </c>
      <c r="BI66" t="e">
        <f>AND('SPR BARRANQUILLA'!CY76,"AAAAAH3ftzw=")</f>
        <v>#VALUE!</v>
      </c>
      <c r="BJ66" t="e">
        <f>AND('SPR BARRANQUILLA'!CZ76,"AAAAAH3ftz0=")</f>
        <v>#VALUE!</v>
      </c>
      <c r="BK66" t="e">
        <f>AND('SPR BARRANQUILLA'!DA76,"AAAAAH3ftz4=")</f>
        <v>#VALUE!</v>
      </c>
      <c r="BL66" t="e">
        <f>AND('SPR BARRANQUILLA'!DB76,"AAAAAH3ftz8=")</f>
        <v>#VALUE!</v>
      </c>
      <c r="BM66" t="e">
        <f>AND('SPR BARRANQUILLA'!DC76,"AAAAAH3ft0A=")</f>
        <v>#VALUE!</v>
      </c>
      <c r="BN66" t="e">
        <f>AND('SPR BARRANQUILLA'!DD76,"AAAAAH3ft0E=")</f>
        <v>#VALUE!</v>
      </c>
      <c r="BO66" t="e">
        <f>AND('SPR BARRANQUILLA'!DE76,"AAAAAH3ft0I=")</f>
        <v>#VALUE!</v>
      </c>
      <c r="BP66" t="e">
        <f>AND('SPR BARRANQUILLA'!DF76,"AAAAAH3ft0M=")</f>
        <v>#VALUE!</v>
      </c>
      <c r="BQ66" t="e">
        <f>AND('SPR BARRANQUILLA'!DG76,"AAAAAH3ft0Q=")</f>
        <v>#VALUE!</v>
      </c>
      <c r="BR66" t="e">
        <f>AND('SPR BARRANQUILLA'!DH76,"AAAAAH3ft0U=")</f>
        <v>#VALUE!</v>
      </c>
      <c r="BS66" t="e">
        <f>AND('SPR BARRANQUILLA'!DI76,"AAAAAH3ft0Y=")</f>
        <v>#VALUE!</v>
      </c>
      <c r="BT66" t="e">
        <f>AND('SPR BARRANQUILLA'!DJ76,"AAAAAH3ft0c=")</f>
        <v>#VALUE!</v>
      </c>
      <c r="BU66" t="e">
        <f>AND('SPR BARRANQUILLA'!DK76,"AAAAAH3ft0g=")</f>
        <v>#VALUE!</v>
      </c>
      <c r="BV66" t="e">
        <f>AND('SPR BARRANQUILLA'!DL76,"AAAAAH3ft0k=")</f>
        <v>#VALUE!</v>
      </c>
      <c r="BW66" t="e">
        <f>AND('SPR BARRANQUILLA'!DM76,"AAAAAH3ft0o=")</f>
        <v>#VALUE!</v>
      </c>
      <c r="BX66" t="e">
        <f>AND('SPR BARRANQUILLA'!DN76,"AAAAAH3ft0s=")</f>
        <v>#VALUE!</v>
      </c>
      <c r="BY66" t="e">
        <f>AND('SPR BARRANQUILLA'!DO76,"AAAAAH3ft0w=")</f>
        <v>#VALUE!</v>
      </c>
      <c r="BZ66" t="e">
        <f>AND('SPR BARRANQUILLA'!DP76,"AAAAAH3ft00=")</f>
        <v>#VALUE!</v>
      </c>
      <c r="CA66" t="e">
        <f>AND('SPR BARRANQUILLA'!DQ76,"AAAAAH3ft04=")</f>
        <v>#VALUE!</v>
      </c>
      <c r="CB66" t="e">
        <f>AND('SPR BARRANQUILLA'!DR76,"AAAAAH3ft08=")</f>
        <v>#VALUE!</v>
      </c>
      <c r="CC66" t="e">
        <f>AND('SPR BARRANQUILLA'!DS76,"AAAAAH3ft1A=")</f>
        <v>#VALUE!</v>
      </c>
      <c r="CD66" t="e">
        <f>AND('SPR BARRANQUILLA'!DT76,"AAAAAH3ft1E=")</f>
        <v>#VALUE!</v>
      </c>
      <c r="CE66" t="e">
        <f>AND('SPR BARRANQUILLA'!DU76,"AAAAAH3ft1I=")</f>
        <v>#VALUE!</v>
      </c>
      <c r="CF66" t="e">
        <f>AND('SPR BARRANQUILLA'!DV76,"AAAAAH3ft1M=")</f>
        <v>#VALUE!</v>
      </c>
      <c r="CG66" t="e">
        <f>AND('SPR BARRANQUILLA'!DW76,"AAAAAH3ft1Q=")</f>
        <v>#VALUE!</v>
      </c>
      <c r="CH66" t="e">
        <f>AND('SPR BARRANQUILLA'!DX76,"AAAAAH3ft1U=")</f>
        <v>#VALUE!</v>
      </c>
      <c r="CI66" t="e">
        <f>AND('SPR BARRANQUILLA'!DY76,"AAAAAH3ft1Y=")</f>
        <v>#VALUE!</v>
      </c>
      <c r="CJ66" t="e">
        <f>AND('SPR BARRANQUILLA'!DZ76,"AAAAAH3ft1c=")</f>
        <v>#VALUE!</v>
      </c>
      <c r="CK66" t="e">
        <f>AND('SPR BARRANQUILLA'!EA76,"AAAAAH3ft1g=")</f>
        <v>#VALUE!</v>
      </c>
      <c r="CL66" t="e">
        <f>AND('SPR BARRANQUILLA'!EB76,"AAAAAH3ft1k=")</f>
        <v>#VALUE!</v>
      </c>
      <c r="CM66" t="e">
        <f>AND('SPR BARRANQUILLA'!EC76,"AAAAAH3ft1o=")</f>
        <v>#VALUE!</v>
      </c>
      <c r="CN66" t="e">
        <f>AND('SPR BARRANQUILLA'!ED76,"AAAAAH3ft1s=")</f>
        <v>#VALUE!</v>
      </c>
      <c r="CO66" t="e">
        <f>AND('SPR BARRANQUILLA'!EE76,"AAAAAH3ft1w=")</f>
        <v>#VALUE!</v>
      </c>
      <c r="CP66" t="e">
        <f>AND('SPR BARRANQUILLA'!EF76,"AAAAAH3ft10=")</f>
        <v>#VALUE!</v>
      </c>
      <c r="CQ66" t="e">
        <f>AND('SPR BARRANQUILLA'!EG76,"AAAAAH3ft14=")</f>
        <v>#VALUE!</v>
      </c>
      <c r="CR66" t="e">
        <f>AND('SPR BARRANQUILLA'!EH76,"AAAAAH3ft18=")</f>
        <v>#VALUE!</v>
      </c>
      <c r="CS66" t="e">
        <f>AND('SPR BARRANQUILLA'!EI76,"AAAAAH3ft2A=")</f>
        <v>#VALUE!</v>
      </c>
      <c r="CT66" t="e">
        <f>AND('SPR BARRANQUILLA'!EJ76,"AAAAAH3ft2E=")</f>
        <v>#VALUE!</v>
      </c>
      <c r="CU66" t="e">
        <f>AND('SPR BARRANQUILLA'!EK76,"AAAAAH3ft2I=")</f>
        <v>#VALUE!</v>
      </c>
      <c r="CV66" t="e">
        <f>AND('SPR BARRANQUILLA'!EL76,"AAAAAH3ft2M=")</f>
        <v>#VALUE!</v>
      </c>
      <c r="CW66" t="e">
        <f>AND('SPR BARRANQUILLA'!EM76,"AAAAAH3ft2Q=")</f>
        <v>#VALUE!</v>
      </c>
      <c r="CX66" t="e">
        <f>AND('SPR BARRANQUILLA'!EN76,"AAAAAH3ft2U=")</f>
        <v>#VALUE!</v>
      </c>
      <c r="CY66" t="e">
        <f>AND('SPR BARRANQUILLA'!EO76,"AAAAAH3ft2Y=")</f>
        <v>#VALUE!</v>
      </c>
      <c r="CZ66" t="e">
        <f>AND('SPR BARRANQUILLA'!EP76,"AAAAAH3ft2c=")</f>
        <v>#VALUE!</v>
      </c>
      <c r="DA66" t="e">
        <f>AND('SPR BARRANQUILLA'!EQ76,"AAAAAH3ft2g=")</f>
        <v>#VALUE!</v>
      </c>
      <c r="DB66" t="e">
        <f>AND('SPR BARRANQUILLA'!ER76,"AAAAAH3ft2k=")</f>
        <v>#VALUE!</v>
      </c>
      <c r="DC66" t="e">
        <f>AND('SPR BARRANQUILLA'!ES76,"AAAAAH3ft2o=")</f>
        <v>#VALUE!</v>
      </c>
      <c r="DD66" t="e">
        <f>AND('SPR BARRANQUILLA'!ET76,"AAAAAH3ft2s=")</f>
        <v>#VALUE!</v>
      </c>
      <c r="DE66" t="e">
        <f>AND('SPR BARRANQUILLA'!EU76,"AAAAAH3ft2w=")</f>
        <v>#VALUE!</v>
      </c>
      <c r="DF66" t="e">
        <f>AND('SPR BARRANQUILLA'!EV76,"AAAAAH3ft20=")</f>
        <v>#VALUE!</v>
      </c>
      <c r="DG66" t="e">
        <f>AND('SPR BARRANQUILLA'!EW76,"AAAAAH3ft24=")</f>
        <v>#VALUE!</v>
      </c>
      <c r="DH66" t="e">
        <f>AND('SPR BARRANQUILLA'!EX76,"AAAAAH3ft28=")</f>
        <v>#VALUE!</v>
      </c>
      <c r="DI66" t="e">
        <f>AND('SPR BARRANQUILLA'!EY76,"AAAAAH3ft3A=")</f>
        <v>#VALUE!</v>
      </c>
      <c r="DJ66" t="e">
        <f>AND('SPR BARRANQUILLA'!EZ76,"AAAAAH3ft3E=")</f>
        <v>#VALUE!</v>
      </c>
      <c r="DK66" t="e">
        <f>AND('SPR BARRANQUILLA'!FA76,"AAAAAH3ft3I=")</f>
        <v>#VALUE!</v>
      </c>
      <c r="DL66" t="e">
        <f>AND('SPR BARRANQUILLA'!FB76,"AAAAAH3ft3M=")</f>
        <v>#VALUE!</v>
      </c>
      <c r="DM66" t="e">
        <f>AND('SPR BARRANQUILLA'!FC76,"AAAAAH3ft3Q=")</f>
        <v>#VALUE!</v>
      </c>
      <c r="DN66" t="e">
        <f>AND('SPR BARRANQUILLA'!FD76,"AAAAAH3ft3U=")</f>
        <v>#VALUE!</v>
      </c>
      <c r="DO66" t="e">
        <f>AND('SPR BARRANQUILLA'!FE76,"AAAAAH3ft3Y=")</f>
        <v>#VALUE!</v>
      </c>
      <c r="DP66" t="e">
        <f>AND('SPR BARRANQUILLA'!FF76,"AAAAAH3ft3c=")</f>
        <v>#VALUE!</v>
      </c>
      <c r="DQ66" t="e">
        <f>AND('SPR BARRANQUILLA'!FG76,"AAAAAH3ft3g=")</f>
        <v>#VALUE!</v>
      </c>
      <c r="DR66" t="e">
        <f>AND('SPR BARRANQUILLA'!FH76,"AAAAAH3ft3k=")</f>
        <v>#VALUE!</v>
      </c>
      <c r="DS66" t="e">
        <f>AND('SPR BARRANQUILLA'!FI76,"AAAAAH3ft3o=")</f>
        <v>#VALUE!</v>
      </c>
      <c r="DT66" t="e">
        <f>AND('SPR BARRANQUILLA'!FJ76,"AAAAAH3ft3s=")</f>
        <v>#VALUE!</v>
      </c>
      <c r="DU66" t="e">
        <f>AND('SPR BARRANQUILLA'!FK76,"AAAAAH3ft3w=")</f>
        <v>#VALUE!</v>
      </c>
      <c r="DV66" t="e">
        <f>AND('SPR BARRANQUILLA'!FL76,"AAAAAH3ft30=")</f>
        <v>#VALUE!</v>
      </c>
      <c r="DW66" t="e">
        <f>AND('SPR BARRANQUILLA'!FM76,"AAAAAH3ft34=")</f>
        <v>#VALUE!</v>
      </c>
      <c r="DX66" t="e">
        <f>AND('SPR BARRANQUILLA'!FN76,"AAAAAH3ft38=")</f>
        <v>#VALUE!</v>
      </c>
      <c r="DY66" t="e">
        <f>AND('SPR BARRANQUILLA'!FO76,"AAAAAH3ft4A=")</f>
        <v>#VALUE!</v>
      </c>
      <c r="DZ66" t="e">
        <f>AND('SPR BARRANQUILLA'!FP76,"AAAAAH3ft4E=")</f>
        <v>#VALUE!</v>
      </c>
      <c r="EA66" t="e">
        <f>AND('SPR BARRANQUILLA'!FQ76,"AAAAAH3ft4I=")</f>
        <v>#VALUE!</v>
      </c>
      <c r="EB66" t="e">
        <f>AND('SPR BARRANQUILLA'!FR76,"AAAAAH3ft4M=")</f>
        <v>#VALUE!</v>
      </c>
      <c r="EC66" t="e">
        <f>AND('SPR BARRANQUILLA'!FS76,"AAAAAH3ft4Q=")</f>
        <v>#VALUE!</v>
      </c>
      <c r="ED66" t="e">
        <f>AND('SPR BARRANQUILLA'!FT76,"AAAAAH3ft4U=")</f>
        <v>#VALUE!</v>
      </c>
      <c r="EE66" t="e">
        <f>AND('SPR BARRANQUILLA'!FU76,"AAAAAH3ft4Y=")</f>
        <v>#VALUE!</v>
      </c>
      <c r="EF66" t="e">
        <f>AND('SPR BARRANQUILLA'!FV76,"AAAAAH3ft4c=")</f>
        <v>#VALUE!</v>
      </c>
      <c r="EG66" t="e">
        <f>AND('SPR BARRANQUILLA'!FW76,"AAAAAH3ft4g=")</f>
        <v>#VALUE!</v>
      </c>
      <c r="EH66" t="e">
        <f>AND('SPR BARRANQUILLA'!FX76,"AAAAAH3ft4k=")</f>
        <v>#VALUE!</v>
      </c>
      <c r="EI66" t="e">
        <f>AND('SPR BARRANQUILLA'!FY76,"AAAAAH3ft4o=")</f>
        <v>#VALUE!</v>
      </c>
      <c r="EJ66" t="e">
        <f>AND('SPR BARRANQUILLA'!FZ76,"AAAAAH3ft4s=")</f>
        <v>#VALUE!</v>
      </c>
      <c r="EK66" t="e">
        <f>AND('SPR BARRANQUILLA'!GA76,"AAAAAH3ft4w=")</f>
        <v>#VALUE!</v>
      </c>
      <c r="EL66" t="e">
        <f>AND('SPR BARRANQUILLA'!GB76,"AAAAAH3ft40=")</f>
        <v>#VALUE!</v>
      </c>
      <c r="EM66" t="e">
        <f>AND('SPR BARRANQUILLA'!GC76,"AAAAAH3ft44=")</f>
        <v>#VALUE!</v>
      </c>
      <c r="EN66" t="e">
        <f>AND('SPR BARRANQUILLA'!GD76,"AAAAAH3ft48=")</f>
        <v>#VALUE!</v>
      </c>
      <c r="EO66" t="e">
        <f>AND('SPR BARRANQUILLA'!GE76,"AAAAAH3ft5A=")</f>
        <v>#VALUE!</v>
      </c>
      <c r="EP66" t="e">
        <f>AND('SPR BARRANQUILLA'!GF76,"AAAAAH3ft5E=")</f>
        <v>#VALUE!</v>
      </c>
      <c r="EQ66" t="e">
        <f>AND('SPR BARRANQUILLA'!GG76,"AAAAAH3ft5I=")</f>
        <v>#VALUE!</v>
      </c>
      <c r="ER66" t="e">
        <f>AND('SPR BARRANQUILLA'!GH76,"AAAAAH3ft5M=")</f>
        <v>#VALUE!</v>
      </c>
      <c r="ES66" t="e">
        <f>AND('SPR BARRANQUILLA'!GI76,"AAAAAH3ft5Q=")</f>
        <v>#VALUE!</v>
      </c>
      <c r="ET66" t="e">
        <f>AND('SPR BARRANQUILLA'!GJ76,"AAAAAH3ft5U=")</f>
        <v>#VALUE!</v>
      </c>
      <c r="EU66" t="e">
        <f>AND('SPR BARRANQUILLA'!GK76,"AAAAAH3ft5Y=")</f>
        <v>#VALUE!</v>
      </c>
      <c r="EV66" t="e">
        <f>AND('SPR BARRANQUILLA'!GL76,"AAAAAH3ft5c=")</f>
        <v>#VALUE!</v>
      </c>
      <c r="EW66" t="e">
        <f>AND('SPR BARRANQUILLA'!GM76,"AAAAAH3ft5g=")</f>
        <v>#VALUE!</v>
      </c>
      <c r="EX66" t="e">
        <f>AND('SPR BARRANQUILLA'!GN76,"AAAAAH3ft5k=")</f>
        <v>#VALUE!</v>
      </c>
      <c r="EY66" t="e">
        <f>AND('SPR BARRANQUILLA'!GO76,"AAAAAH3ft5o=")</f>
        <v>#VALUE!</v>
      </c>
      <c r="EZ66" t="e">
        <f>AND('SPR BARRANQUILLA'!GP76,"AAAAAH3ft5s=")</f>
        <v>#VALUE!</v>
      </c>
      <c r="FA66" t="e">
        <f>AND('SPR BARRANQUILLA'!GQ76,"AAAAAH3ft5w=")</f>
        <v>#VALUE!</v>
      </c>
      <c r="FB66" t="e">
        <f>AND('SPR BARRANQUILLA'!GR76,"AAAAAH3ft50=")</f>
        <v>#VALUE!</v>
      </c>
      <c r="FC66" t="e">
        <f>AND('SPR BARRANQUILLA'!GS76,"AAAAAH3ft54=")</f>
        <v>#VALUE!</v>
      </c>
      <c r="FD66" t="e">
        <f>AND('SPR BARRANQUILLA'!GT76,"AAAAAH3ft58=")</f>
        <v>#VALUE!</v>
      </c>
      <c r="FE66" t="e">
        <f>AND('SPR BARRANQUILLA'!GU76,"AAAAAH3ft6A=")</f>
        <v>#VALUE!</v>
      </c>
      <c r="FF66" t="e">
        <f>AND('SPR BARRANQUILLA'!GV76,"AAAAAH3ft6E=")</f>
        <v>#VALUE!</v>
      </c>
      <c r="FG66" t="e">
        <f>AND('SPR BARRANQUILLA'!GW76,"AAAAAH3ft6I=")</f>
        <v>#VALUE!</v>
      </c>
      <c r="FH66" t="e">
        <f>AND('SPR BARRANQUILLA'!GX76,"AAAAAH3ft6M=")</f>
        <v>#VALUE!</v>
      </c>
      <c r="FI66" t="e">
        <f>AND('SPR BARRANQUILLA'!GY76,"AAAAAH3ft6Q=")</f>
        <v>#VALUE!</v>
      </c>
      <c r="FJ66">
        <f>IF('SPR BARRANQUILLA'!77:77,"AAAAAH3ft6U=",0)</f>
        <v>0</v>
      </c>
      <c r="FK66" t="e">
        <f>AND('SPR BARRANQUILLA'!A77,"AAAAAH3ft6Y=")</f>
        <v>#VALUE!</v>
      </c>
      <c r="FL66" t="e">
        <f>AND('SPR BARRANQUILLA'!B77,"AAAAAH3ft6c=")</f>
        <v>#VALUE!</v>
      </c>
      <c r="FM66" t="e">
        <f>AND('SPR BARRANQUILLA'!C77,"AAAAAH3ft6g=")</f>
        <v>#VALUE!</v>
      </c>
      <c r="FN66" t="e">
        <f>AND('SPR BARRANQUILLA'!D77,"AAAAAH3ft6k=")</f>
        <v>#VALUE!</v>
      </c>
      <c r="FO66" t="e">
        <f>AND('SPR BARRANQUILLA'!E77,"AAAAAH3ft6o=")</f>
        <v>#VALUE!</v>
      </c>
      <c r="FP66" t="e">
        <f>AND('SPR BARRANQUILLA'!F77,"AAAAAH3ft6s=")</f>
        <v>#VALUE!</v>
      </c>
      <c r="FQ66" t="e">
        <f>AND('SPR BARRANQUILLA'!G77,"AAAAAH3ft6w=")</f>
        <v>#VALUE!</v>
      </c>
      <c r="FR66" t="e">
        <f>AND('SPR BARRANQUILLA'!H77,"AAAAAH3ft60=")</f>
        <v>#VALUE!</v>
      </c>
      <c r="FS66" t="e">
        <f>AND('SPR BARRANQUILLA'!I77,"AAAAAH3ft64=")</f>
        <v>#VALUE!</v>
      </c>
      <c r="FT66" t="e">
        <f>AND('SPR BARRANQUILLA'!J77,"AAAAAH3ft68=")</f>
        <v>#VALUE!</v>
      </c>
      <c r="FU66" t="e">
        <f>AND('SPR BARRANQUILLA'!K77,"AAAAAH3ft7A=")</f>
        <v>#VALUE!</v>
      </c>
      <c r="FV66" t="e">
        <f>AND('SPR BARRANQUILLA'!L77,"AAAAAH3ft7E=")</f>
        <v>#VALUE!</v>
      </c>
      <c r="FW66" t="e">
        <f>AND('SPR BARRANQUILLA'!M77,"AAAAAH3ft7I=")</f>
        <v>#VALUE!</v>
      </c>
      <c r="FX66" t="e">
        <f>AND('SPR BARRANQUILLA'!N77,"AAAAAH3ft7M=")</f>
        <v>#VALUE!</v>
      </c>
      <c r="FY66" t="e">
        <f>AND('SPR BARRANQUILLA'!O77,"AAAAAH3ft7Q=")</f>
        <v>#VALUE!</v>
      </c>
      <c r="FZ66" t="e">
        <f>AND('SPR BARRANQUILLA'!P77,"AAAAAH3ft7U=")</f>
        <v>#VALUE!</v>
      </c>
      <c r="GA66" t="e">
        <f>AND('SPR BARRANQUILLA'!Q77,"AAAAAH3ft7Y=")</f>
        <v>#VALUE!</v>
      </c>
      <c r="GB66" t="e">
        <f>AND('SPR BARRANQUILLA'!R77,"AAAAAH3ft7c=")</f>
        <v>#VALUE!</v>
      </c>
      <c r="GC66" t="e">
        <f>AND('SPR BARRANQUILLA'!S77,"AAAAAH3ft7g=")</f>
        <v>#VALUE!</v>
      </c>
      <c r="GD66" t="e">
        <f>AND('SPR BARRANQUILLA'!T77,"AAAAAH3ft7k=")</f>
        <v>#VALUE!</v>
      </c>
      <c r="GE66" t="e">
        <f>AND('SPR BARRANQUILLA'!U77,"AAAAAH3ft7o=")</f>
        <v>#VALUE!</v>
      </c>
      <c r="GF66" t="e">
        <f>AND('SPR BARRANQUILLA'!V77,"AAAAAH3ft7s=")</f>
        <v>#VALUE!</v>
      </c>
      <c r="GG66" t="e">
        <f>AND('SPR BARRANQUILLA'!W77,"AAAAAH3ft7w=")</f>
        <v>#VALUE!</v>
      </c>
      <c r="GH66" t="e">
        <f>AND('SPR BARRANQUILLA'!X77,"AAAAAH3ft70=")</f>
        <v>#VALUE!</v>
      </c>
      <c r="GI66" t="e">
        <f>AND('SPR BARRANQUILLA'!Y77,"AAAAAH3ft74=")</f>
        <v>#VALUE!</v>
      </c>
      <c r="GJ66" t="e">
        <f>AND('SPR BARRANQUILLA'!Z77,"AAAAAH3ft78=")</f>
        <v>#VALUE!</v>
      </c>
      <c r="GK66" t="e">
        <f>AND('SPR BARRANQUILLA'!AA77,"AAAAAH3ft8A=")</f>
        <v>#VALUE!</v>
      </c>
      <c r="GL66" t="e">
        <f>AND('SPR BARRANQUILLA'!AB77,"AAAAAH3ft8E=")</f>
        <v>#VALUE!</v>
      </c>
      <c r="GM66" t="e">
        <f>AND('SPR BARRANQUILLA'!AC77,"AAAAAH3ft8I=")</f>
        <v>#VALUE!</v>
      </c>
      <c r="GN66" t="e">
        <f>AND('SPR BARRANQUILLA'!AD77,"AAAAAH3ft8M=")</f>
        <v>#VALUE!</v>
      </c>
      <c r="GO66" t="e">
        <f>AND('SPR BARRANQUILLA'!AE77,"AAAAAH3ft8Q=")</f>
        <v>#VALUE!</v>
      </c>
      <c r="GP66" t="e">
        <f>AND('SPR BARRANQUILLA'!AF77,"AAAAAH3ft8U=")</f>
        <v>#VALUE!</v>
      </c>
      <c r="GQ66" t="e">
        <f>AND('SPR BARRANQUILLA'!AG77,"AAAAAH3ft8Y=")</f>
        <v>#VALUE!</v>
      </c>
      <c r="GR66" t="e">
        <f>AND('SPR BARRANQUILLA'!AH77,"AAAAAH3ft8c=")</f>
        <v>#VALUE!</v>
      </c>
      <c r="GS66" t="e">
        <f>AND('SPR BARRANQUILLA'!AI77,"AAAAAH3ft8g=")</f>
        <v>#VALUE!</v>
      </c>
      <c r="GT66" t="e">
        <f>AND('SPR BARRANQUILLA'!AJ77,"AAAAAH3ft8k=")</f>
        <v>#VALUE!</v>
      </c>
      <c r="GU66" t="e">
        <f>AND('SPR BARRANQUILLA'!AK77,"AAAAAH3ft8o=")</f>
        <v>#VALUE!</v>
      </c>
      <c r="GV66" t="e">
        <f>AND('SPR BARRANQUILLA'!AL77,"AAAAAH3ft8s=")</f>
        <v>#VALUE!</v>
      </c>
      <c r="GW66" t="e">
        <f>AND('SPR BARRANQUILLA'!AM77,"AAAAAH3ft8w=")</f>
        <v>#VALUE!</v>
      </c>
      <c r="GX66" t="e">
        <f>AND('SPR BARRANQUILLA'!AN77,"AAAAAH3ft80=")</f>
        <v>#VALUE!</v>
      </c>
      <c r="GY66" t="e">
        <f>AND('SPR BARRANQUILLA'!AO77,"AAAAAH3ft84=")</f>
        <v>#VALUE!</v>
      </c>
      <c r="GZ66" t="e">
        <f>AND('SPR BARRANQUILLA'!AP77,"AAAAAH3ft88=")</f>
        <v>#VALUE!</v>
      </c>
      <c r="HA66" t="e">
        <f>AND('SPR BARRANQUILLA'!AQ77,"AAAAAH3ft9A=")</f>
        <v>#VALUE!</v>
      </c>
      <c r="HB66" t="e">
        <f>AND('SPR BARRANQUILLA'!AR77,"AAAAAH3ft9E=")</f>
        <v>#VALUE!</v>
      </c>
      <c r="HC66" t="e">
        <f>AND('SPR BARRANQUILLA'!AS77,"AAAAAH3ft9I=")</f>
        <v>#VALUE!</v>
      </c>
      <c r="HD66" t="e">
        <f>AND('SPR BARRANQUILLA'!AT77,"AAAAAH3ft9M=")</f>
        <v>#VALUE!</v>
      </c>
      <c r="HE66" t="e">
        <f>AND('SPR BARRANQUILLA'!AU77,"AAAAAH3ft9Q=")</f>
        <v>#VALUE!</v>
      </c>
      <c r="HF66" t="e">
        <f>AND('SPR BARRANQUILLA'!AV77,"AAAAAH3ft9U=")</f>
        <v>#VALUE!</v>
      </c>
      <c r="HG66" t="e">
        <f>AND('SPR BARRANQUILLA'!AW77,"AAAAAH3ft9Y=")</f>
        <v>#VALUE!</v>
      </c>
      <c r="HH66" t="e">
        <f>AND('SPR BARRANQUILLA'!AX77,"AAAAAH3ft9c=")</f>
        <v>#VALUE!</v>
      </c>
      <c r="HI66" t="e">
        <f>AND('SPR BARRANQUILLA'!AY77,"AAAAAH3ft9g=")</f>
        <v>#VALUE!</v>
      </c>
      <c r="HJ66" t="e">
        <f>AND('SPR BARRANQUILLA'!AZ77,"AAAAAH3ft9k=")</f>
        <v>#VALUE!</v>
      </c>
      <c r="HK66" t="e">
        <f>AND('SPR BARRANQUILLA'!BA77,"AAAAAH3ft9o=")</f>
        <v>#VALUE!</v>
      </c>
      <c r="HL66" t="e">
        <f>AND('SPR BARRANQUILLA'!BB77,"AAAAAH3ft9s=")</f>
        <v>#VALUE!</v>
      </c>
      <c r="HM66" t="e">
        <f>AND('SPR BARRANQUILLA'!BC77,"AAAAAH3ft9w=")</f>
        <v>#VALUE!</v>
      </c>
      <c r="HN66" t="e">
        <f>AND('SPR BARRANQUILLA'!BD77,"AAAAAH3ft90=")</f>
        <v>#VALUE!</v>
      </c>
      <c r="HO66" t="e">
        <f>AND('SPR BARRANQUILLA'!BE77,"AAAAAH3ft94=")</f>
        <v>#VALUE!</v>
      </c>
      <c r="HP66" t="e">
        <f>AND('SPR BARRANQUILLA'!BF77,"AAAAAH3ft98=")</f>
        <v>#VALUE!</v>
      </c>
      <c r="HQ66" t="e">
        <f>AND('SPR BARRANQUILLA'!BG77,"AAAAAH3ft+A=")</f>
        <v>#VALUE!</v>
      </c>
      <c r="HR66" t="e">
        <f>AND('SPR BARRANQUILLA'!BH77,"AAAAAH3ft+E=")</f>
        <v>#VALUE!</v>
      </c>
      <c r="HS66" t="e">
        <f>AND('SPR BARRANQUILLA'!BI77,"AAAAAH3ft+I=")</f>
        <v>#VALUE!</v>
      </c>
      <c r="HT66" t="e">
        <f>AND('SPR BARRANQUILLA'!BJ77,"AAAAAH3ft+M=")</f>
        <v>#VALUE!</v>
      </c>
      <c r="HU66" t="e">
        <f>AND('SPR BARRANQUILLA'!BK77,"AAAAAH3ft+Q=")</f>
        <v>#VALUE!</v>
      </c>
      <c r="HV66" t="e">
        <f>AND('SPR BARRANQUILLA'!BL77,"AAAAAH3ft+U=")</f>
        <v>#VALUE!</v>
      </c>
      <c r="HW66" t="e">
        <f>AND('SPR BARRANQUILLA'!BM77,"AAAAAH3ft+Y=")</f>
        <v>#VALUE!</v>
      </c>
      <c r="HX66" t="e">
        <f>AND('SPR BARRANQUILLA'!BN77,"AAAAAH3ft+c=")</f>
        <v>#VALUE!</v>
      </c>
      <c r="HY66" t="e">
        <f>AND('SPR BARRANQUILLA'!BO77,"AAAAAH3ft+g=")</f>
        <v>#VALUE!</v>
      </c>
      <c r="HZ66" t="e">
        <f>AND('SPR BARRANQUILLA'!BP77,"AAAAAH3ft+k=")</f>
        <v>#VALUE!</v>
      </c>
      <c r="IA66" t="e">
        <f>AND('SPR BARRANQUILLA'!BQ77,"AAAAAH3ft+o=")</f>
        <v>#VALUE!</v>
      </c>
      <c r="IB66" t="e">
        <f>AND('SPR BARRANQUILLA'!BR77,"AAAAAH3ft+s=")</f>
        <v>#VALUE!</v>
      </c>
      <c r="IC66" t="e">
        <f>AND('SPR BARRANQUILLA'!BS77,"AAAAAH3ft+w=")</f>
        <v>#VALUE!</v>
      </c>
      <c r="ID66" t="e">
        <f>AND('SPR BARRANQUILLA'!BT77,"AAAAAH3ft+0=")</f>
        <v>#VALUE!</v>
      </c>
      <c r="IE66" t="e">
        <f>AND('SPR BARRANQUILLA'!BU77,"AAAAAH3ft+4=")</f>
        <v>#VALUE!</v>
      </c>
      <c r="IF66" t="e">
        <f>AND('SPR BARRANQUILLA'!BV77,"AAAAAH3ft+8=")</f>
        <v>#VALUE!</v>
      </c>
      <c r="IG66" t="e">
        <f>AND('SPR BARRANQUILLA'!BW77,"AAAAAH3ft/A=")</f>
        <v>#VALUE!</v>
      </c>
      <c r="IH66" t="e">
        <f>AND('SPR BARRANQUILLA'!BX77,"AAAAAH3ft/E=")</f>
        <v>#VALUE!</v>
      </c>
      <c r="II66" t="e">
        <f>AND('SPR BARRANQUILLA'!BY77,"AAAAAH3ft/I=")</f>
        <v>#VALUE!</v>
      </c>
      <c r="IJ66" t="e">
        <f>AND('SPR BARRANQUILLA'!BZ77,"AAAAAH3ft/M=")</f>
        <v>#VALUE!</v>
      </c>
      <c r="IK66" t="e">
        <f>AND('SPR BARRANQUILLA'!CA77,"AAAAAH3ft/Q=")</f>
        <v>#VALUE!</v>
      </c>
      <c r="IL66" t="e">
        <f>AND('SPR BARRANQUILLA'!CB77,"AAAAAH3ft/U=")</f>
        <v>#VALUE!</v>
      </c>
      <c r="IM66" t="e">
        <f>AND('SPR BARRANQUILLA'!CC77,"AAAAAH3ft/Y=")</f>
        <v>#VALUE!</v>
      </c>
      <c r="IN66" t="e">
        <f>AND('SPR BARRANQUILLA'!CD77,"AAAAAH3ft/c=")</f>
        <v>#VALUE!</v>
      </c>
      <c r="IO66" t="e">
        <f>AND('SPR BARRANQUILLA'!CE77,"AAAAAH3ft/g=")</f>
        <v>#VALUE!</v>
      </c>
      <c r="IP66" t="e">
        <f>AND('SPR BARRANQUILLA'!CF77,"AAAAAH3ft/k=")</f>
        <v>#VALUE!</v>
      </c>
      <c r="IQ66" t="e">
        <f>AND('SPR BARRANQUILLA'!CG77,"AAAAAH3ft/o=")</f>
        <v>#VALUE!</v>
      </c>
      <c r="IR66" t="e">
        <f>AND('SPR BARRANQUILLA'!CH77,"AAAAAH3ft/s=")</f>
        <v>#VALUE!</v>
      </c>
      <c r="IS66" t="e">
        <f>AND('SPR BARRANQUILLA'!CI77,"AAAAAH3ft/w=")</f>
        <v>#VALUE!</v>
      </c>
      <c r="IT66" t="e">
        <f>AND('SPR BARRANQUILLA'!CJ77,"AAAAAH3ft/0=")</f>
        <v>#VALUE!</v>
      </c>
      <c r="IU66" t="e">
        <f>AND('SPR BARRANQUILLA'!CK77,"AAAAAH3ft/4=")</f>
        <v>#VALUE!</v>
      </c>
      <c r="IV66" t="e">
        <f>AND('SPR BARRANQUILLA'!CL77,"AAAAAH3ft/8=")</f>
        <v>#VALUE!</v>
      </c>
    </row>
    <row r="67" spans="1:256">
      <c r="A67" t="e">
        <f>AND('SPR BARRANQUILLA'!CM77,"AAAAAG+3GwA=")</f>
        <v>#VALUE!</v>
      </c>
      <c r="B67" t="e">
        <f>AND('SPR BARRANQUILLA'!CN77,"AAAAAG+3GwE=")</f>
        <v>#VALUE!</v>
      </c>
      <c r="C67" t="e">
        <f>AND('SPR BARRANQUILLA'!CO77,"AAAAAG+3GwI=")</f>
        <v>#VALUE!</v>
      </c>
      <c r="D67" t="e">
        <f>AND('SPR BARRANQUILLA'!CP77,"AAAAAG+3GwM=")</f>
        <v>#VALUE!</v>
      </c>
      <c r="E67" t="e">
        <f>AND('SPR BARRANQUILLA'!CQ77,"AAAAAG+3GwQ=")</f>
        <v>#VALUE!</v>
      </c>
      <c r="F67" t="e">
        <f>AND('SPR BARRANQUILLA'!CR77,"AAAAAG+3GwU=")</f>
        <v>#VALUE!</v>
      </c>
      <c r="G67" t="e">
        <f>AND('SPR BARRANQUILLA'!CS77,"AAAAAG+3GwY=")</f>
        <v>#VALUE!</v>
      </c>
      <c r="H67" t="e">
        <f>AND('SPR BARRANQUILLA'!CT77,"AAAAAG+3Gwc=")</f>
        <v>#VALUE!</v>
      </c>
      <c r="I67" t="e">
        <f>AND('SPR BARRANQUILLA'!CU77,"AAAAAG+3Gwg=")</f>
        <v>#VALUE!</v>
      </c>
      <c r="J67" t="e">
        <f>AND('SPR BARRANQUILLA'!CV77,"AAAAAG+3Gwk=")</f>
        <v>#VALUE!</v>
      </c>
      <c r="K67" t="e">
        <f>AND('SPR BARRANQUILLA'!CW77,"AAAAAG+3Gwo=")</f>
        <v>#VALUE!</v>
      </c>
      <c r="L67" t="e">
        <f>AND('SPR BARRANQUILLA'!CX77,"AAAAAG+3Gws=")</f>
        <v>#VALUE!</v>
      </c>
      <c r="M67" t="e">
        <f>AND('SPR BARRANQUILLA'!CY77,"AAAAAG+3Gww=")</f>
        <v>#VALUE!</v>
      </c>
      <c r="N67" t="e">
        <f>AND('SPR BARRANQUILLA'!CZ77,"AAAAAG+3Gw0=")</f>
        <v>#VALUE!</v>
      </c>
      <c r="O67" t="e">
        <f>AND('SPR BARRANQUILLA'!DA77,"AAAAAG+3Gw4=")</f>
        <v>#VALUE!</v>
      </c>
      <c r="P67" t="e">
        <f>AND('SPR BARRANQUILLA'!DB77,"AAAAAG+3Gw8=")</f>
        <v>#VALUE!</v>
      </c>
      <c r="Q67" t="e">
        <f>AND('SPR BARRANQUILLA'!DC77,"AAAAAG+3GxA=")</f>
        <v>#VALUE!</v>
      </c>
      <c r="R67" t="e">
        <f>AND('SPR BARRANQUILLA'!DD77,"AAAAAG+3GxE=")</f>
        <v>#VALUE!</v>
      </c>
      <c r="S67" t="e">
        <f>AND('SPR BARRANQUILLA'!DE77,"AAAAAG+3GxI=")</f>
        <v>#VALUE!</v>
      </c>
      <c r="T67" t="e">
        <f>AND('SPR BARRANQUILLA'!DF77,"AAAAAG+3GxM=")</f>
        <v>#VALUE!</v>
      </c>
      <c r="U67" t="e">
        <f>AND('SPR BARRANQUILLA'!DG77,"AAAAAG+3GxQ=")</f>
        <v>#VALUE!</v>
      </c>
      <c r="V67" t="e">
        <f>AND('SPR BARRANQUILLA'!DH77,"AAAAAG+3GxU=")</f>
        <v>#VALUE!</v>
      </c>
      <c r="W67" t="e">
        <f>AND('SPR BARRANQUILLA'!DI77,"AAAAAG+3GxY=")</f>
        <v>#VALUE!</v>
      </c>
      <c r="X67" t="e">
        <f>AND('SPR BARRANQUILLA'!DJ77,"AAAAAG+3Gxc=")</f>
        <v>#VALUE!</v>
      </c>
      <c r="Y67" t="e">
        <f>AND('SPR BARRANQUILLA'!DK77,"AAAAAG+3Gxg=")</f>
        <v>#VALUE!</v>
      </c>
      <c r="Z67" t="e">
        <f>AND('SPR BARRANQUILLA'!DL77,"AAAAAG+3Gxk=")</f>
        <v>#VALUE!</v>
      </c>
      <c r="AA67" t="e">
        <f>AND('SPR BARRANQUILLA'!DM77,"AAAAAG+3Gxo=")</f>
        <v>#VALUE!</v>
      </c>
      <c r="AB67" t="e">
        <f>AND('SPR BARRANQUILLA'!DN77,"AAAAAG+3Gxs=")</f>
        <v>#VALUE!</v>
      </c>
      <c r="AC67" t="e">
        <f>AND('SPR BARRANQUILLA'!DO77,"AAAAAG+3Gxw=")</f>
        <v>#VALUE!</v>
      </c>
      <c r="AD67" t="e">
        <f>AND('SPR BARRANQUILLA'!DP77,"AAAAAG+3Gx0=")</f>
        <v>#VALUE!</v>
      </c>
      <c r="AE67" t="e">
        <f>AND('SPR BARRANQUILLA'!DQ77,"AAAAAG+3Gx4=")</f>
        <v>#VALUE!</v>
      </c>
      <c r="AF67" t="e">
        <f>AND('SPR BARRANQUILLA'!DR77,"AAAAAG+3Gx8=")</f>
        <v>#VALUE!</v>
      </c>
      <c r="AG67" t="e">
        <f>AND('SPR BARRANQUILLA'!DS77,"AAAAAG+3GyA=")</f>
        <v>#VALUE!</v>
      </c>
      <c r="AH67" t="e">
        <f>AND('SPR BARRANQUILLA'!DT77,"AAAAAG+3GyE=")</f>
        <v>#VALUE!</v>
      </c>
      <c r="AI67" t="e">
        <f>AND('SPR BARRANQUILLA'!DU77,"AAAAAG+3GyI=")</f>
        <v>#VALUE!</v>
      </c>
      <c r="AJ67" t="e">
        <f>AND('SPR BARRANQUILLA'!DV77,"AAAAAG+3GyM=")</f>
        <v>#VALUE!</v>
      </c>
      <c r="AK67" t="e">
        <f>AND('SPR BARRANQUILLA'!DW77,"AAAAAG+3GyQ=")</f>
        <v>#VALUE!</v>
      </c>
      <c r="AL67" t="e">
        <f>AND('SPR BARRANQUILLA'!DX77,"AAAAAG+3GyU=")</f>
        <v>#VALUE!</v>
      </c>
      <c r="AM67" t="e">
        <f>AND('SPR BARRANQUILLA'!DY77,"AAAAAG+3GyY=")</f>
        <v>#VALUE!</v>
      </c>
      <c r="AN67" t="e">
        <f>AND('SPR BARRANQUILLA'!DZ77,"AAAAAG+3Gyc=")</f>
        <v>#VALUE!</v>
      </c>
      <c r="AO67" t="e">
        <f>AND('SPR BARRANQUILLA'!EA77,"AAAAAG+3Gyg=")</f>
        <v>#VALUE!</v>
      </c>
      <c r="AP67" t="e">
        <f>AND('SPR BARRANQUILLA'!EB77,"AAAAAG+3Gyk=")</f>
        <v>#VALUE!</v>
      </c>
      <c r="AQ67" t="e">
        <f>AND('SPR BARRANQUILLA'!EC77,"AAAAAG+3Gyo=")</f>
        <v>#VALUE!</v>
      </c>
      <c r="AR67" t="e">
        <f>AND('SPR BARRANQUILLA'!ED77,"AAAAAG+3Gys=")</f>
        <v>#VALUE!</v>
      </c>
      <c r="AS67" t="e">
        <f>AND('SPR BARRANQUILLA'!EE77,"AAAAAG+3Gyw=")</f>
        <v>#VALUE!</v>
      </c>
      <c r="AT67" t="e">
        <f>AND('SPR BARRANQUILLA'!EF77,"AAAAAG+3Gy0=")</f>
        <v>#VALUE!</v>
      </c>
      <c r="AU67" t="e">
        <f>AND('SPR BARRANQUILLA'!EG77,"AAAAAG+3Gy4=")</f>
        <v>#VALUE!</v>
      </c>
      <c r="AV67" t="e">
        <f>AND('SPR BARRANQUILLA'!EH77,"AAAAAG+3Gy8=")</f>
        <v>#VALUE!</v>
      </c>
      <c r="AW67" t="e">
        <f>AND('SPR BARRANQUILLA'!EI77,"AAAAAG+3GzA=")</f>
        <v>#VALUE!</v>
      </c>
      <c r="AX67" t="e">
        <f>AND('SPR BARRANQUILLA'!EJ77,"AAAAAG+3GzE=")</f>
        <v>#VALUE!</v>
      </c>
      <c r="AY67" t="e">
        <f>AND('SPR BARRANQUILLA'!EK77,"AAAAAG+3GzI=")</f>
        <v>#VALUE!</v>
      </c>
      <c r="AZ67" t="e">
        <f>AND('SPR BARRANQUILLA'!EL77,"AAAAAG+3GzM=")</f>
        <v>#VALUE!</v>
      </c>
      <c r="BA67" t="e">
        <f>AND('SPR BARRANQUILLA'!EM77,"AAAAAG+3GzQ=")</f>
        <v>#VALUE!</v>
      </c>
      <c r="BB67" t="e">
        <f>AND('SPR BARRANQUILLA'!EN77,"AAAAAG+3GzU=")</f>
        <v>#VALUE!</v>
      </c>
      <c r="BC67" t="e">
        <f>AND('SPR BARRANQUILLA'!EO77,"AAAAAG+3GzY=")</f>
        <v>#VALUE!</v>
      </c>
      <c r="BD67" t="e">
        <f>AND('SPR BARRANQUILLA'!EP77,"AAAAAG+3Gzc=")</f>
        <v>#VALUE!</v>
      </c>
      <c r="BE67" t="e">
        <f>AND('SPR BARRANQUILLA'!EQ77,"AAAAAG+3Gzg=")</f>
        <v>#VALUE!</v>
      </c>
      <c r="BF67" t="e">
        <f>AND('SPR BARRANQUILLA'!ER77,"AAAAAG+3Gzk=")</f>
        <v>#VALUE!</v>
      </c>
      <c r="BG67" t="e">
        <f>AND('SPR BARRANQUILLA'!ES77,"AAAAAG+3Gzo=")</f>
        <v>#VALUE!</v>
      </c>
      <c r="BH67" t="e">
        <f>AND('SPR BARRANQUILLA'!ET77,"AAAAAG+3Gzs=")</f>
        <v>#VALUE!</v>
      </c>
      <c r="BI67" t="e">
        <f>AND('SPR BARRANQUILLA'!EU77,"AAAAAG+3Gzw=")</f>
        <v>#VALUE!</v>
      </c>
      <c r="BJ67" t="e">
        <f>AND('SPR BARRANQUILLA'!EV77,"AAAAAG+3Gz0=")</f>
        <v>#VALUE!</v>
      </c>
      <c r="BK67" t="e">
        <f>AND('SPR BARRANQUILLA'!EW77,"AAAAAG+3Gz4=")</f>
        <v>#VALUE!</v>
      </c>
      <c r="BL67" t="e">
        <f>AND('SPR BARRANQUILLA'!EX77,"AAAAAG+3Gz8=")</f>
        <v>#VALUE!</v>
      </c>
      <c r="BM67" t="e">
        <f>AND('SPR BARRANQUILLA'!EY77,"AAAAAG+3G0A=")</f>
        <v>#VALUE!</v>
      </c>
      <c r="BN67" t="e">
        <f>AND('SPR BARRANQUILLA'!EZ77,"AAAAAG+3G0E=")</f>
        <v>#VALUE!</v>
      </c>
      <c r="BO67" t="e">
        <f>AND('SPR BARRANQUILLA'!FA77,"AAAAAG+3G0I=")</f>
        <v>#VALUE!</v>
      </c>
      <c r="BP67" t="e">
        <f>AND('SPR BARRANQUILLA'!FB77,"AAAAAG+3G0M=")</f>
        <v>#VALUE!</v>
      </c>
      <c r="BQ67" t="e">
        <f>AND('SPR BARRANQUILLA'!FC77,"AAAAAG+3G0Q=")</f>
        <v>#VALUE!</v>
      </c>
      <c r="BR67" t="e">
        <f>AND('SPR BARRANQUILLA'!FD77,"AAAAAG+3G0U=")</f>
        <v>#VALUE!</v>
      </c>
      <c r="BS67" t="e">
        <f>AND('SPR BARRANQUILLA'!FE77,"AAAAAG+3G0Y=")</f>
        <v>#VALUE!</v>
      </c>
      <c r="BT67" t="e">
        <f>AND('SPR BARRANQUILLA'!FF77,"AAAAAG+3G0c=")</f>
        <v>#VALUE!</v>
      </c>
      <c r="BU67" t="e">
        <f>AND('SPR BARRANQUILLA'!FG77,"AAAAAG+3G0g=")</f>
        <v>#VALUE!</v>
      </c>
      <c r="BV67" t="e">
        <f>AND('SPR BARRANQUILLA'!FH77,"AAAAAG+3G0k=")</f>
        <v>#VALUE!</v>
      </c>
      <c r="BW67" t="e">
        <f>AND('SPR BARRANQUILLA'!FI77,"AAAAAG+3G0o=")</f>
        <v>#VALUE!</v>
      </c>
      <c r="BX67" t="e">
        <f>AND('SPR BARRANQUILLA'!FJ77,"AAAAAG+3G0s=")</f>
        <v>#VALUE!</v>
      </c>
      <c r="BY67" t="e">
        <f>AND('SPR BARRANQUILLA'!FK77,"AAAAAG+3G0w=")</f>
        <v>#VALUE!</v>
      </c>
      <c r="BZ67" t="e">
        <f>AND('SPR BARRANQUILLA'!FL77,"AAAAAG+3G00=")</f>
        <v>#VALUE!</v>
      </c>
      <c r="CA67" t="e">
        <f>AND('SPR BARRANQUILLA'!FM77,"AAAAAG+3G04=")</f>
        <v>#VALUE!</v>
      </c>
      <c r="CB67" t="e">
        <f>AND('SPR BARRANQUILLA'!FN77,"AAAAAG+3G08=")</f>
        <v>#VALUE!</v>
      </c>
      <c r="CC67" t="e">
        <f>AND('SPR BARRANQUILLA'!FO77,"AAAAAG+3G1A=")</f>
        <v>#VALUE!</v>
      </c>
      <c r="CD67" t="e">
        <f>AND('SPR BARRANQUILLA'!FP77,"AAAAAG+3G1E=")</f>
        <v>#VALUE!</v>
      </c>
      <c r="CE67" t="e">
        <f>AND('SPR BARRANQUILLA'!FQ77,"AAAAAG+3G1I=")</f>
        <v>#VALUE!</v>
      </c>
      <c r="CF67" t="e">
        <f>AND('SPR BARRANQUILLA'!FR77,"AAAAAG+3G1M=")</f>
        <v>#VALUE!</v>
      </c>
      <c r="CG67" t="e">
        <f>AND('SPR BARRANQUILLA'!FS77,"AAAAAG+3G1Q=")</f>
        <v>#VALUE!</v>
      </c>
      <c r="CH67" t="e">
        <f>AND('SPR BARRANQUILLA'!FT77,"AAAAAG+3G1U=")</f>
        <v>#VALUE!</v>
      </c>
      <c r="CI67" t="e">
        <f>AND('SPR BARRANQUILLA'!FU77,"AAAAAG+3G1Y=")</f>
        <v>#VALUE!</v>
      </c>
      <c r="CJ67" t="e">
        <f>AND('SPR BARRANQUILLA'!FV77,"AAAAAG+3G1c=")</f>
        <v>#VALUE!</v>
      </c>
      <c r="CK67" t="e">
        <f>AND('SPR BARRANQUILLA'!FW77,"AAAAAG+3G1g=")</f>
        <v>#VALUE!</v>
      </c>
      <c r="CL67" t="e">
        <f>AND('SPR BARRANQUILLA'!FX77,"AAAAAG+3G1k=")</f>
        <v>#VALUE!</v>
      </c>
      <c r="CM67" t="e">
        <f>AND('SPR BARRANQUILLA'!FY77,"AAAAAG+3G1o=")</f>
        <v>#VALUE!</v>
      </c>
      <c r="CN67" t="e">
        <f>AND('SPR BARRANQUILLA'!FZ77,"AAAAAG+3G1s=")</f>
        <v>#VALUE!</v>
      </c>
      <c r="CO67" t="e">
        <f>AND('SPR BARRANQUILLA'!GA77,"AAAAAG+3G1w=")</f>
        <v>#VALUE!</v>
      </c>
      <c r="CP67" t="e">
        <f>AND('SPR BARRANQUILLA'!GB77,"AAAAAG+3G10=")</f>
        <v>#VALUE!</v>
      </c>
      <c r="CQ67" t="e">
        <f>AND('SPR BARRANQUILLA'!GC77,"AAAAAG+3G14=")</f>
        <v>#VALUE!</v>
      </c>
      <c r="CR67" t="e">
        <f>AND('SPR BARRANQUILLA'!GD77,"AAAAAG+3G18=")</f>
        <v>#VALUE!</v>
      </c>
      <c r="CS67" t="e">
        <f>AND('SPR BARRANQUILLA'!GE77,"AAAAAG+3G2A=")</f>
        <v>#VALUE!</v>
      </c>
      <c r="CT67" t="e">
        <f>AND('SPR BARRANQUILLA'!GF77,"AAAAAG+3G2E=")</f>
        <v>#VALUE!</v>
      </c>
      <c r="CU67" t="e">
        <f>AND('SPR BARRANQUILLA'!GG77,"AAAAAG+3G2I=")</f>
        <v>#VALUE!</v>
      </c>
      <c r="CV67" t="e">
        <f>AND('SPR BARRANQUILLA'!GH77,"AAAAAG+3G2M=")</f>
        <v>#VALUE!</v>
      </c>
      <c r="CW67" t="e">
        <f>AND('SPR BARRANQUILLA'!GI77,"AAAAAG+3G2Q=")</f>
        <v>#VALUE!</v>
      </c>
      <c r="CX67" t="e">
        <f>AND('SPR BARRANQUILLA'!GJ77,"AAAAAG+3G2U=")</f>
        <v>#VALUE!</v>
      </c>
      <c r="CY67" t="e">
        <f>AND('SPR BARRANQUILLA'!GK77,"AAAAAG+3G2Y=")</f>
        <v>#VALUE!</v>
      </c>
      <c r="CZ67" t="e">
        <f>AND('SPR BARRANQUILLA'!GL77,"AAAAAG+3G2c=")</f>
        <v>#VALUE!</v>
      </c>
      <c r="DA67" t="e">
        <f>AND('SPR BARRANQUILLA'!GM77,"AAAAAG+3G2g=")</f>
        <v>#VALUE!</v>
      </c>
      <c r="DB67" t="e">
        <f>AND('SPR BARRANQUILLA'!GN77,"AAAAAG+3G2k=")</f>
        <v>#VALUE!</v>
      </c>
      <c r="DC67" t="e">
        <f>AND('SPR BARRANQUILLA'!GO77,"AAAAAG+3G2o=")</f>
        <v>#VALUE!</v>
      </c>
      <c r="DD67" t="e">
        <f>AND('SPR BARRANQUILLA'!GP77,"AAAAAG+3G2s=")</f>
        <v>#VALUE!</v>
      </c>
      <c r="DE67" t="e">
        <f>AND('SPR BARRANQUILLA'!GQ77,"AAAAAG+3G2w=")</f>
        <v>#VALUE!</v>
      </c>
      <c r="DF67" t="e">
        <f>AND('SPR BARRANQUILLA'!GR77,"AAAAAG+3G20=")</f>
        <v>#VALUE!</v>
      </c>
      <c r="DG67" t="e">
        <f>AND('SPR BARRANQUILLA'!GS77,"AAAAAG+3G24=")</f>
        <v>#VALUE!</v>
      </c>
      <c r="DH67" t="e">
        <f>AND('SPR BARRANQUILLA'!GT77,"AAAAAG+3G28=")</f>
        <v>#VALUE!</v>
      </c>
      <c r="DI67" t="e">
        <f>AND('SPR BARRANQUILLA'!GU77,"AAAAAG+3G3A=")</f>
        <v>#VALUE!</v>
      </c>
      <c r="DJ67" t="e">
        <f>AND('SPR BARRANQUILLA'!GV77,"AAAAAG+3G3E=")</f>
        <v>#VALUE!</v>
      </c>
      <c r="DK67" t="e">
        <f>AND('SPR BARRANQUILLA'!GW77,"AAAAAG+3G3I=")</f>
        <v>#VALUE!</v>
      </c>
      <c r="DL67" t="e">
        <f>AND('SPR BARRANQUILLA'!GX77,"AAAAAG+3G3M=")</f>
        <v>#VALUE!</v>
      </c>
      <c r="DM67" t="e">
        <f>AND('SPR BARRANQUILLA'!GY77,"AAAAAG+3G3Q=")</f>
        <v>#VALUE!</v>
      </c>
      <c r="DN67">
        <f>IF('SPR BARRANQUILLA'!78:78,"AAAAAG+3G3U=",0)</f>
        <v>0</v>
      </c>
      <c r="DO67" t="e">
        <f>AND('SPR BARRANQUILLA'!A78,"AAAAAG+3G3Y=")</f>
        <v>#VALUE!</v>
      </c>
      <c r="DP67" t="e">
        <f>AND('SPR BARRANQUILLA'!B78,"AAAAAG+3G3c=")</f>
        <v>#VALUE!</v>
      </c>
      <c r="DQ67" t="e">
        <f>AND('SPR BARRANQUILLA'!C78,"AAAAAG+3G3g=")</f>
        <v>#VALUE!</v>
      </c>
      <c r="DR67" t="e">
        <f>AND('SPR BARRANQUILLA'!D78,"AAAAAG+3G3k=")</f>
        <v>#VALUE!</v>
      </c>
      <c r="DS67" t="e">
        <f>AND('SPR BARRANQUILLA'!E78,"AAAAAG+3G3o=")</f>
        <v>#VALUE!</v>
      </c>
      <c r="DT67" t="e">
        <f>AND('SPR BARRANQUILLA'!F78,"AAAAAG+3G3s=")</f>
        <v>#VALUE!</v>
      </c>
      <c r="DU67" t="e">
        <f>AND('SPR BARRANQUILLA'!G78,"AAAAAG+3G3w=")</f>
        <v>#VALUE!</v>
      </c>
      <c r="DV67" t="e">
        <f>AND('SPR BARRANQUILLA'!H78,"AAAAAG+3G30=")</f>
        <v>#VALUE!</v>
      </c>
      <c r="DW67" t="e">
        <f>AND('SPR BARRANQUILLA'!I78,"AAAAAG+3G34=")</f>
        <v>#VALUE!</v>
      </c>
      <c r="DX67" t="e">
        <f>AND('SPR BARRANQUILLA'!J78,"AAAAAG+3G38=")</f>
        <v>#VALUE!</v>
      </c>
      <c r="DY67" t="e">
        <f>AND('SPR BARRANQUILLA'!K78,"AAAAAG+3G4A=")</f>
        <v>#VALUE!</v>
      </c>
      <c r="DZ67" t="e">
        <f>AND('SPR BARRANQUILLA'!L78,"AAAAAG+3G4E=")</f>
        <v>#VALUE!</v>
      </c>
      <c r="EA67" t="e">
        <f>AND('SPR BARRANQUILLA'!M78,"AAAAAG+3G4I=")</f>
        <v>#VALUE!</v>
      </c>
      <c r="EB67" t="e">
        <f>AND('SPR BARRANQUILLA'!N78,"AAAAAG+3G4M=")</f>
        <v>#VALUE!</v>
      </c>
      <c r="EC67" t="e">
        <f>AND('SPR BARRANQUILLA'!O78,"AAAAAG+3G4Q=")</f>
        <v>#VALUE!</v>
      </c>
      <c r="ED67" t="e">
        <f>AND('SPR BARRANQUILLA'!P78,"AAAAAG+3G4U=")</f>
        <v>#VALUE!</v>
      </c>
      <c r="EE67" t="e">
        <f>AND('SPR BARRANQUILLA'!Q78,"AAAAAG+3G4Y=")</f>
        <v>#VALUE!</v>
      </c>
      <c r="EF67" t="e">
        <f>AND('SPR BARRANQUILLA'!R78,"AAAAAG+3G4c=")</f>
        <v>#VALUE!</v>
      </c>
      <c r="EG67" t="e">
        <f>AND('SPR BARRANQUILLA'!S78,"AAAAAG+3G4g=")</f>
        <v>#VALUE!</v>
      </c>
      <c r="EH67" t="e">
        <f>AND('SPR BARRANQUILLA'!T78,"AAAAAG+3G4k=")</f>
        <v>#VALUE!</v>
      </c>
      <c r="EI67" t="e">
        <f>AND('SPR BARRANQUILLA'!U78,"AAAAAG+3G4o=")</f>
        <v>#VALUE!</v>
      </c>
      <c r="EJ67" t="e">
        <f>AND('SPR BARRANQUILLA'!V78,"AAAAAG+3G4s=")</f>
        <v>#VALUE!</v>
      </c>
      <c r="EK67" t="e">
        <f>AND('SPR BARRANQUILLA'!W78,"AAAAAG+3G4w=")</f>
        <v>#VALUE!</v>
      </c>
      <c r="EL67" t="e">
        <f>AND('SPR BARRANQUILLA'!X78,"AAAAAG+3G40=")</f>
        <v>#VALUE!</v>
      </c>
      <c r="EM67" t="e">
        <f>AND('SPR BARRANQUILLA'!Y78,"AAAAAG+3G44=")</f>
        <v>#VALUE!</v>
      </c>
      <c r="EN67" t="e">
        <f>AND('SPR BARRANQUILLA'!Z78,"AAAAAG+3G48=")</f>
        <v>#VALUE!</v>
      </c>
      <c r="EO67" t="e">
        <f>AND('SPR BARRANQUILLA'!AA78,"AAAAAG+3G5A=")</f>
        <v>#VALUE!</v>
      </c>
      <c r="EP67" t="e">
        <f>AND('SPR BARRANQUILLA'!AB78,"AAAAAG+3G5E=")</f>
        <v>#VALUE!</v>
      </c>
      <c r="EQ67" t="e">
        <f>AND('SPR BARRANQUILLA'!AC78,"AAAAAG+3G5I=")</f>
        <v>#VALUE!</v>
      </c>
      <c r="ER67" t="e">
        <f>AND('SPR BARRANQUILLA'!AD78,"AAAAAG+3G5M=")</f>
        <v>#VALUE!</v>
      </c>
      <c r="ES67" t="e">
        <f>AND('SPR BARRANQUILLA'!AE78,"AAAAAG+3G5Q=")</f>
        <v>#VALUE!</v>
      </c>
      <c r="ET67" t="e">
        <f>AND('SPR BARRANQUILLA'!AF78,"AAAAAG+3G5U=")</f>
        <v>#VALUE!</v>
      </c>
      <c r="EU67" t="e">
        <f>AND('SPR BARRANQUILLA'!AG78,"AAAAAG+3G5Y=")</f>
        <v>#VALUE!</v>
      </c>
      <c r="EV67" t="e">
        <f>AND('SPR BARRANQUILLA'!AH78,"AAAAAG+3G5c=")</f>
        <v>#VALUE!</v>
      </c>
      <c r="EW67" t="e">
        <f>AND('SPR BARRANQUILLA'!AI78,"AAAAAG+3G5g=")</f>
        <v>#VALUE!</v>
      </c>
      <c r="EX67" t="e">
        <f>AND('SPR BARRANQUILLA'!AJ78,"AAAAAG+3G5k=")</f>
        <v>#VALUE!</v>
      </c>
      <c r="EY67" t="e">
        <f>AND('SPR BARRANQUILLA'!AK78,"AAAAAG+3G5o=")</f>
        <v>#VALUE!</v>
      </c>
      <c r="EZ67" t="e">
        <f>AND('SPR BARRANQUILLA'!AL78,"AAAAAG+3G5s=")</f>
        <v>#VALUE!</v>
      </c>
      <c r="FA67" t="e">
        <f>AND('SPR BARRANQUILLA'!AM78,"AAAAAG+3G5w=")</f>
        <v>#VALUE!</v>
      </c>
      <c r="FB67" t="e">
        <f>AND('SPR BARRANQUILLA'!AN78,"AAAAAG+3G50=")</f>
        <v>#VALUE!</v>
      </c>
      <c r="FC67" t="e">
        <f>AND('SPR BARRANQUILLA'!AO78,"AAAAAG+3G54=")</f>
        <v>#VALUE!</v>
      </c>
      <c r="FD67" t="e">
        <f>AND('SPR BARRANQUILLA'!AP78,"AAAAAG+3G58=")</f>
        <v>#VALUE!</v>
      </c>
      <c r="FE67" t="e">
        <f>AND('SPR BARRANQUILLA'!AQ78,"AAAAAG+3G6A=")</f>
        <v>#VALUE!</v>
      </c>
      <c r="FF67" t="e">
        <f>AND('SPR BARRANQUILLA'!AR78,"AAAAAG+3G6E=")</f>
        <v>#VALUE!</v>
      </c>
      <c r="FG67" t="e">
        <f>AND('SPR BARRANQUILLA'!AS78,"AAAAAG+3G6I=")</f>
        <v>#VALUE!</v>
      </c>
      <c r="FH67" t="e">
        <f>AND('SPR BARRANQUILLA'!AT78,"AAAAAG+3G6M=")</f>
        <v>#VALUE!</v>
      </c>
      <c r="FI67" t="e">
        <f>AND('SPR BARRANQUILLA'!AU78,"AAAAAG+3G6Q=")</f>
        <v>#VALUE!</v>
      </c>
      <c r="FJ67" t="e">
        <f>AND('SPR BARRANQUILLA'!AV78,"AAAAAG+3G6U=")</f>
        <v>#VALUE!</v>
      </c>
      <c r="FK67" t="e">
        <f>AND('SPR BARRANQUILLA'!AW78,"AAAAAG+3G6Y=")</f>
        <v>#VALUE!</v>
      </c>
      <c r="FL67" t="e">
        <f>AND('SPR BARRANQUILLA'!AX78,"AAAAAG+3G6c=")</f>
        <v>#VALUE!</v>
      </c>
      <c r="FM67" t="e">
        <f>AND('SPR BARRANQUILLA'!AY78,"AAAAAG+3G6g=")</f>
        <v>#VALUE!</v>
      </c>
      <c r="FN67" t="e">
        <f>AND('SPR BARRANQUILLA'!AZ78,"AAAAAG+3G6k=")</f>
        <v>#VALUE!</v>
      </c>
      <c r="FO67" t="e">
        <f>AND('SPR BARRANQUILLA'!BA78,"AAAAAG+3G6o=")</f>
        <v>#VALUE!</v>
      </c>
      <c r="FP67" t="e">
        <f>AND('SPR BARRANQUILLA'!BB78,"AAAAAG+3G6s=")</f>
        <v>#VALUE!</v>
      </c>
      <c r="FQ67" t="e">
        <f>AND('SPR BARRANQUILLA'!BC78,"AAAAAG+3G6w=")</f>
        <v>#VALUE!</v>
      </c>
      <c r="FR67" t="e">
        <f>AND('SPR BARRANQUILLA'!BD78,"AAAAAG+3G60=")</f>
        <v>#VALUE!</v>
      </c>
      <c r="FS67" t="e">
        <f>AND('SPR BARRANQUILLA'!BE78,"AAAAAG+3G64=")</f>
        <v>#VALUE!</v>
      </c>
      <c r="FT67" t="e">
        <f>AND('SPR BARRANQUILLA'!BF78,"AAAAAG+3G68=")</f>
        <v>#VALUE!</v>
      </c>
      <c r="FU67" t="e">
        <f>AND('SPR BARRANQUILLA'!BG78,"AAAAAG+3G7A=")</f>
        <v>#VALUE!</v>
      </c>
      <c r="FV67" t="e">
        <f>AND('SPR BARRANQUILLA'!BH78,"AAAAAG+3G7E=")</f>
        <v>#VALUE!</v>
      </c>
      <c r="FW67" t="e">
        <f>AND('SPR BARRANQUILLA'!BI78,"AAAAAG+3G7I=")</f>
        <v>#VALUE!</v>
      </c>
      <c r="FX67" t="e">
        <f>AND('SPR BARRANQUILLA'!BJ78,"AAAAAG+3G7M=")</f>
        <v>#VALUE!</v>
      </c>
      <c r="FY67" t="e">
        <f>AND('SPR BARRANQUILLA'!BK78,"AAAAAG+3G7Q=")</f>
        <v>#VALUE!</v>
      </c>
      <c r="FZ67" t="e">
        <f>AND('SPR BARRANQUILLA'!BL78,"AAAAAG+3G7U=")</f>
        <v>#VALUE!</v>
      </c>
      <c r="GA67" t="e">
        <f>AND('SPR BARRANQUILLA'!BM78,"AAAAAG+3G7Y=")</f>
        <v>#VALUE!</v>
      </c>
      <c r="GB67" t="e">
        <f>AND('SPR BARRANQUILLA'!BN78,"AAAAAG+3G7c=")</f>
        <v>#VALUE!</v>
      </c>
      <c r="GC67" t="e">
        <f>AND('SPR BARRANQUILLA'!BO78,"AAAAAG+3G7g=")</f>
        <v>#VALUE!</v>
      </c>
      <c r="GD67" t="e">
        <f>AND('SPR BARRANQUILLA'!BP78,"AAAAAG+3G7k=")</f>
        <v>#VALUE!</v>
      </c>
      <c r="GE67" t="e">
        <f>AND('SPR BARRANQUILLA'!BQ78,"AAAAAG+3G7o=")</f>
        <v>#VALUE!</v>
      </c>
      <c r="GF67" t="e">
        <f>AND('SPR BARRANQUILLA'!BR78,"AAAAAG+3G7s=")</f>
        <v>#VALUE!</v>
      </c>
      <c r="GG67" t="e">
        <f>AND('SPR BARRANQUILLA'!BS78,"AAAAAG+3G7w=")</f>
        <v>#VALUE!</v>
      </c>
      <c r="GH67" t="e">
        <f>AND('SPR BARRANQUILLA'!BT78,"AAAAAG+3G70=")</f>
        <v>#VALUE!</v>
      </c>
      <c r="GI67" t="e">
        <f>AND('SPR BARRANQUILLA'!BU78,"AAAAAG+3G74=")</f>
        <v>#VALUE!</v>
      </c>
      <c r="GJ67" t="e">
        <f>AND('SPR BARRANQUILLA'!BV78,"AAAAAG+3G78=")</f>
        <v>#VALUE!</v>
      </c>
      <c r="GK67" t="e">
        <f>AND('SPR BARRANQUILLA'!BW78,"AAAAAG+3G8A=")</f>
        <v>#VALUE!</v>
      </c>
      <c r="GL67" t="e">
        <f>AND('SPR BARRANQUILLA'!BX78,"AAAAAG+3G8E=")</f>
        <v>#VALUE!</v>
      </c>
      <c r="GM67" t="e">
        <f>AND('SPR BARRANQUILLA'!BY78,"AAAAAG+3G8I=")</f>
        <v>#VALUE!</v>
      </c>
      <c r="GN67" t="e">
        <f>AND('SPR BARRANQUILLA'!BZ78,"AAAAAG+3G8M=")</f>
        <v>#VALUE!</v>
      </c>
      <c r="GO67" t="e">
        <f>AND('SPR BARRANQUILLA'!CA78,"AAAAAG+3G8Q=")</f>
        <v>#VALUE!</v>
      </c>
      <c r="GP67" t="e">
        <f>AND('SPR BARRANQUILLA'!CB78,"AAAAAG+3G8U=")</f>
        <v>#VALUE!</v>
      </c>
      <c r="GQ67" t="e">
        <f>AND('SPR BARRANQUILLA'!CC78,"AAAAAG+3G8Y=")</f>
        <v>#VALUE!</v>
      </c>
      <c r="GR67" t="e">
        <f>AND('SPR BARRANQUILLA'!CD78,"AAAAAG+3G8c=")</f>
        <v>#VALUE!</v>
      </c>
      <c r="GS67" t="e">
        <f>AND('SPR BARRANQUILLA'!CE78,"AAAAAG+3G8g=")</f>
        <v>#VALUE!</v>
      </c>
      <c r="GT67" t="e">
        <f>AND('SPR BARRANQUILLA'!CF78,"AAAAAG+3G8k=")</f>
        <v>#VALUE!</v>
      </c>
      <c r="GU67" t="e">
        <f>AND('SPR BARRANQUILLA'!CG78,"AAAAAG+3G8o=")</f>
        <v>#VALUE!</v>
      </c>
      <c r="GV67" t="e">
        <f>AND('SPR BARRANQUILLA'!CH78,"AAAAAG+3G8s=")</f>
        <v>#VALUE!</v>
      </c>
      <c r="GW67" t="e">
        <f>AND('SPR BARRANQUILLA'!CI78,"AAAAAG+3G8w=")</f>
        <v>#VALUE!</v>
      </c>
      <c r="GX67" t="e">
        <f>AND('SPR BARRANQUILLA'!CJ78,"AAAAAG+3G80=")</f>
        <v>#VALUE!</v>
      </c>
      <c r="GY67" t="e">
        <f>AND('SPR BARRANQUILLA'!CK78,"AAAAAG+3G84=")</f>
        <v>#VALUE!</v>
      </c>
      <c r="GZ67" t="e">
        <f>AND('SPR BARRANQUILLA'!CL78,"AAAAAG+3G88=")</f>
        <v>#VALUE!</v>
      </c>
      <c r="HA67" t="e">
        <f>AND('SPR BARRANQUILLA'!CM78,"AAAAAG+3G9A=")</f>
        <v>#VALUE!</v>
      </c>
      <c r="HB67" t="e">
        <f>AND('SPR BARRANQUILLA'!CN78,"AAAAAG+3G9E=")</f>
        <v>#VALUE!</v>
      </c>
      <c r="HC67" t="e">
        <f>AND('SPR BARRANQUILLA'!CO78,"AAAAAG+3G9I=")</f>
        <v>#VALUE!</v>
      </c>
      <c r="HD67" t="e">
        <f>AND('SPR BARRANQUILLA'!CP78,"AAAAAG+3G9M=")</f>
        <v>#VALUE!</v>
      </c>
      <c r="HE67" t="e">
        <f>AND('SPR BARRANQUILLA'!CQ78,"AAAAAG+3G9Q=")</f>
        <v>#VALUE!</v>
      </c>
      <c r="HF67" t="e">
        <f>AND('SPR BARRANQUILLA'!CR78,"AAAAAG+3G9U=")</f>
        <v>#VALUE!</v>
      </c>
      <c r="HG67" t="e">
        <f>AND('SPR BARRANQUILLA'!CS78,"AAAAAG+3G9Y=")</f>
        <v>#VALUE!</v>
      </c>
      <c r="HH67" t="e">
        <f>AND('SPR BARRANQUILLA'!CT78,"AAAAAG+3G9c=")</f>
        <v>#VALUE!</v>
      </c>
      <c r="HI67" t="e">
        <f>AND('SPR BARRANQUILLA'!CU78,"AAAAAG+3G9g=")</f>
        <v>#VALUE!</v>
      </c>
      <c r="HJ67" t="e">
        <f>AND('SPR BARRANQUILLA'!CV78,"AAAAAG+3G9k=")</f>
        <v>#VALUE!</v>
      </c>
      <c r="HK67" t="e">
        <f>AND('SPR BARRANQUILLA'!CW78,"AAAAAG+3G9o=")</f>
        <v>#VALUE!</v>
      </c>
      <c r="HL67" t="e">
        <f>AND('SPR BARRANQUILLA'!CX78,"AAAAAG+3G9s=")</f>
        <v>#VALUE!</v>
      </c>
      <c r="HM67" t="e">
        <f>AND('SPR BARRANQUILLA'!CY78,"AAAAAG+3G9w=")</f>
        <v>#VALUE!</v>
      </c>
      <c r="HN67" t="e">
        <f>AND('SPR BARRANQUILLA'!CZ78,"AAAAAG+3G90=")</f>
        <v>#VALUE!</v>
      </c>
      <c r="HO67" t="e">
        <f>AND('SPR BARRANQUILLA'!DA78,"AAAAAG+3G94=")</f>
        <v>#VALUE!</v>
      </c>
      <c r="HP67" t="e">
        <f>AND('SPR BARRANQUILLA'!DB78,"AAAAAG+3G98=")</f>
        <v>#VALUE!</v>
      </c>
      <c r="HQ67" t="e">
        <f>AND('SPR BARRANQUILLA'!DC78,"AAAAAG+3G+A=")</f>
        <v>#VALUE!</v>
      </c>
      <c r="HR67" t="e">
        <f>AND('SPR BARRANQUILLA'!DD78,"AAAAAG+3G+E=")</f>
        <v>#VALUE!</v>
      </c>
      <c r="HS67" t="e">
        <f>AND('SPR BARRANQUILLA'!DE78,"AAAAAG+3G+I=")</f>
        <v>#VALUE!</v>
      </c>
      <c r="HT67" t="e">
        <f>AND('SPR BARRANQUILLA'!DF78,"AAAAAG+3G+M=")</f>
        <v>#VALUE!</v>
      </c>
      <c r="HU67" t="e">
        <f>AND('SPR BARRANQUILLA'!DG78,"AAAAAG+3G+Q=")</f>
        <v>#VALUE!</v>
      </c>
      <c r="HV67" t="e">
        <f>AND('SPR BARRANQUILLA'!DH78,"AAAAAG+3G+U=")</f>
        <v>#VALUE!</v>
      </c>
      <c r="HW67" t="e">
        <f>AND('SPR BARRANQUILLA'!DI78,"AAAAAG+3G+Y=")</f>
        <v>#VALUE!</v>
      </c>
      <c r="HX67" t="e">
        <f>AND('SPR BARRANQUILLA'!DJ78,"AAAAAG+3G+c=")</f>
        <v>#VALUE!</v>
      </c>
      <c r="HY67" t="e">
        <f>AND('SPR BARRANQUILLA'!DK78,"AAAAAG+3G+g=")</f>
        <v>#VALUE!</v>
      </c>
      <c r="HZ67" t="e">
        <f>AND('SPR BARRANQUILLA'!DL78,"AAAAAG+3G+k=")</f>
        <v>#VALUE!</v>
      </c>
      <c r="IA67" t="e">
        <f>AND('SPR BARRANQUILLA'!DM78,"AAAAAG+3G+o=")</f>
        <v>#VALUE!</v>
      </c>
      <c r="IB67" t="e">
        <f>AND('SPR BARRANQUILLA'!DN78,"AAAAAG+3G+s=")</f>
        <v>#VALUE!</v>
      </c>
      <c r="IC67" t="e">
        <f>AND('SPR BARRANQUILLA'!DO78,"AAAAAG+3G+w=")</f>
        <v>#VALUE!</v>
      </c>
      <c r="ID67" t="e">
        <f>AND('SPR BARRANQUILLA'!DP78,"AAAAAG+3G+0=")</f>
        <v>#VALUE!</v>
      </c>
      <c r="IE67" t="e">
        <f>AND('SPR BARRANQUILLA'!DQ78,"AAAAAG+3G+4=")</f>
        <v>#VALUE!</v>
      </c>
      <c r="IF67" t="e">
        <f>AND('SPR BARRANQUILLA'!DR78,"AAAAAG+3G+8=")</f>
        <v>#VALUE!</v>
      </c>
      <c r="IG67" t="e">
        <f>AND('SPR BARRANQUILLA'!DS78,"AAAAAG+3G/A=")</f>
        <v>#VALUE!</v>
      </c>
      <c r="IH67" t="e">
        <f>AND('SPR BARRANQUILLA'!DT78,"AAAAAG+3G/E=")</f>
        <v>#VALUE!</v>
      </c>
      <c r="II67" t="e">
        <f>AND('SPR BARRANQUILLA'!DU78,"AAAAAG+3G/I=")</f>
        <v>#VALUE!</v>
      </c>
      <c r="IJ67" t="e">
        <f>AND('SPR BARRANQUILLA'!DV78,"AAAAAG+3G/M=")</f>
        <v>#VALUE!</v>
      </c>
      <c r="IK67" t="e">
        <f>AND('SPR BARRANQUILLA'!DW78,"AAAAAG+3G/Q=")</f>
        <v>#VALUE!</v>
      </c>
      <c r="IL67" t="e">
        <f>AND('SPR BARRANQUILLA'!DX78,"AAAAAG+3G/U=")</f>
        <v>#VALUE!</v>
      </c>
      <c r="IM67" t="e">
        <f>AND('SPR BARRANQUILLA'!DY78,"AAAAAG+3G/Y=")</f>
        <v>#VALUE!</v>
      </c>
      <c r="IN67" t="e">
        <f>AND('SPR BARRANQUILLA'!DZ78,"AAAAAG+3G/c=")</f>
        <v>#VALUE!</v>
      </c>
      <c r="IO67" t="e">
        <f>AND('SPR BARRANQUILLA'!EA78,"AAAAAG+3G/g=")</f>
        <v>#VALUE!</v>
      </c>
      <c r="IP67" t="e">
        <f>AND('SPR BARRANQUILLA'!EB78,"AAAAAG+3G/k=")</f>
        <v>#VALUE!</v>
      </c>
      <c r="IQ67" t="e">
        <f>AND('SPR BARRANQUILLA'!EC78,"AAAAAG+3G/o=")</f>
        <v>#VALUE!</v>
      </c>
      <c r="IR67" t="e">
        <f>AND('SPR BARRANQUILLA'!ED78,"AAAAAG+3G/s=")</f>
        <v>#VALUE!</v>
      </c>
      <c r="IS67" t="e">
        <f>AND('SPR BARRANQUILLA'!EE78,"AAAAAG+3G/w=")</f>
        <v>#VALUE!</v>
      </c>
      <c r="IT67" t="e">
        <f>AND('SPR BARRANQUILLA'!EF78,"AAAAAG+3G/0=")</f>
        <v>#VALUE!</v>
      </c>
      <c r="IU67" t="e">
        <f>AND('SPR BARRANQUILLA'!EG78,"AAAAAG+3G/4=")</f>
        <v>#VALUE!</v>
      </c>
      <c r="IV67" t="e">
        <f>AND('SPR BARRANQUILLA'!EH78,"AAAAAG+3G/8=")</f>
        <v>#VALUE!</v>
      </c>
    </row>
    <row r="68" spans="1:256">
      <c r="A68" t="e">
        <f>AND('SPR BARRANQUILLA'!EI78,"AAAAAH3V/AA=")</f>
        <v>#VALUE!</v>
      </c>
      <c r="B68" t="e">
        <f>AND('SPR BARRANQUILLA'!EJ78,"AAAAAH3V/AE=")</f>
        <v>#VALUE!</v>
      </c>
      <c r="C68" t="e">
        <f>AND('SPR BARRANQUILLA'!EK78,"AAAAAH3V/AI=")</f>
        <v>#VALUE!</v>
      </c>
      <c r="D68" t="e">
        <f>AND('SPR BARRANQUILLA'!EL78,"AAAAAH3V/AM=")</f>
        <v>#VALUE!</v>
      </c>
      <c r="E68" t="e">
        <f>AND('SPR BARRANQUILLA'!EM78,"AAAAAH3V/AQ=")</f>
        <v>#VALUE!</v>
      </c>
      <c r="F68" t="e">
        <f>AND('SPR BARRANQUILLA'!EN78,"AAAAAH3V/AU=")</f>
        <v>#VALUE!</v>
      </c>
      <c r="G68" t="e">
        <f>AND('SPR BARRANQUILLA'!EO78,"AAAAAH3V/AY=")</f>
        <v>#VALUE!</v>
      </c>
      <c r="H68" t="e">
        <f>AND('SPR BARRANQUILLA'!EP78,"AAAAAH3V/Ac=")</f>
        <v>#VALUE!</v>
      </c>
      <c r="I68" t="e">
        <f>AND('SPR BARRANQUILLA'!EQ78,"AAAAAH3V/Ag=")</f>
        <v>#VALUE!</v>
      </c>
      <c r="J68" t="e">
        <f>AND('SPR BARRANQUILLA'!ER78,"AAAAAH3V/Ak=")</f>
        <v>#VALUE!</v>
      </c>
      <c r="K68" t="e">
        <f>AND('SPR BARRANQUILLA'!ES78,"AAAAAH3V/Ao=")</f>
        <v>#VALUE!</v>
      </c>
      <c r="L68" t="e">
        <f>AND('SPR BARRANQUILLA'!ET78,"AAAAAH3V/As=")</f>
        <v>#VALUE!</v>
      </c>
      <c r="M68" t="e">
        <f>AND('SPR BARRANQUILLA'!EU78,"AAAAAH3V/Aw=")</f>
        <v>#VALUE!</v>
      </c>
      <c r="N68" t="e">
        <f>AND('SPR BARRANQUILLA'!EV78,"AAAAAH3V/A0=")</f>
        <v>#VALUE!</v>
      </c>
      <c r="O68" t="e">
        <f>AND('SPR BARRANQUILLA'!EW78,"AAAAAH3V/A4=")</f>
        <v>#VALUE!</v>
      </c>
      <c r="P68" t="e">
        <f>AND('SPR BARRANQUILLA'!EX78,"AAAAAH3V/A8=")</f>
        <v>#VALUE!</v>
      </c>
      <c r="Q68" t="e">
        <f>AND('SPR BARRANQUILLA'!EY78,"AAAAAH3V/BA=")</f>
        <v>#VALUE!</v>
      </c>
      <c r="R68" t="e">
        <f>AND('SPR BARRANQUILLA'!EZ78,"AAAAAH3V/BE=")</f>
        <v>#VALUE!</v>
      </c>
      <c r="S68" t="e">
        <f>AND('SPR BARRANQUILLA'!FA78,"AAAAAH3V/BI=")</f>
        <v>#VALUE!</v>
      </c>
      <c r="T68" t="e">
        <f>AND('SPR BARRANQUILLA'!FB78,"AAAAAH3V/BM=")</f>
        <v>#VALUE!</v>
      </c>
      <c r="U68" t="e">
        <f>AND('SPR BARRANQUILLA'!FC78,"AAAAAH3V/BQ=")</f>
        <v>#VALUE!</v>
      </c>
      <c r="V68" t="e">
        <f>AND('SPR BARRANQUILLA'!FD78,"AAAAAH3V/BU=")</f>
        <v>#VALUE!</v>
      </c>
      <c r="W68" t="e">
        <f>AND('SPR BARRANQUILLA'!FE78,"AAAAAH3V/BY=")</f>
        <v>#VALUE!</v>
      </c>
      <c r="X68" t="e">
        <f>AND('SPR BARRANQUILLA'!FF78,"AAAAAH3V/Bc=")</f>
        <v>#VALUE!</v>
      </c>
      <c r="Y68" t="e">
        <f>AND('SPR BARRANQUILLA'!FG78,"AAAAAH3V/Bg=")</f>
        <v>#VALUE!</v>
      </c>
      <c r="Z68" t="e">
        <f>AND('SPR BARRANQUILLA'!FH78,"AAAAAH3V/Bk=")</f>
        <v>#VALUE!</v>
      </c>
      <c r="AA68" t="e">
        <f>AND('SPR BARRANQUILLA'!FI78,"AAAAAH3V/Bo=")</f>
        <v>#VALUE!</v>
      </c>
      <c r="AB68" t="e">
        <f>AND('SPR BARRANQUILLA'!FJ78,"AAAAAH3V/Bs=")</f>
        <v>#VALUE!</v>
      </c>
      <c r="AC68" t="e">
        <f>AND('SPR BARRANQUILLA'!FK78,"AAAAAH3V/Bw=")</f>
        <v>#VALUE!</v>
      </c>
      <c r="AD68" t="e">
        <f>AND('SPR BARRANQUILLA'!FL78,"AAAAAH3V/B0=")</f>
        <v>#VALUE!</v>
      </c>
      <c r="AE68" t="e">
        <f>AND('SPR BARRANQUILLA'!FM78,"AAAAAH3V/B4=")</f>
        <v>#VALUE!</v>
      </c>
      <c r="AF68" t="e">
        <f>AND('SPR BARRANQUILLA'!FN78,"AAAAAH3V/B8=")</f>
        <v>#VALUE!</v>
      </c>
      <c r="AG68" t="e">
        <f>AND('SPR BARRANQUILLA'!FO78,"AAAAAH3V/CA=")</f>
        <v>#VALUE!</v>
      </c>
      <c r="AH68" t="e">
        <f>AND('SPR BARRANQUILLA'!FP78,"AAAAAH3V/CE=")</f>
        <v>#VALUE!</v>
      </c>
      <c r="AI68" t="e">
        <f>AND('SPR BARRANQUILLA'!FQ78,"AAAAAH3V/CI=")</f>
        <v>#VALUE!</v>
      </c>
      <c r="AJ68" t="e">
        <f>AND('SPR BARRANQUILLA'!FR78,"AAAAAH3V/CM=")</f>
        <v>#VALUE!</v>
      </c>
      <c r="AK68" t="e">
        <f>AND('SPR BARRANQUILLA'!FS78,"AAAAAH3V/CQ=")</f>
        <v>#VALUE!</v>
      </c>
      <c r="AL68" t="e">
        <f>AND('SPR BARRANQUILLA'!FT78,"AAAAAH3V/CU=")</f>
        <v>#VALUE!</v>
      </c>
      <c r="AM68" t="e">
        <f>AND('SPR BARRANQUILLA'!FU78,"AAAAAH3V/CY=")</f>
        <v>#VALUE!</v>
      </c>
      <c r="AN68" t="e">
        <f>AND('SPR BARRANQUILLA'!FV78,"AAAAAH3V/Cc=")</f>
        <v>#VALUE!</v>
      </c>
      <c r="AO68" t="e">
        <f>AND('SPR BARRANQUILLA'!FW78,"AAAAAH3V/Cg=")</f>
        <v>#VALUE!</v>
      </c>
      <c r="AP68" t="e">
        <f>AND('SPR BARRANQUILLA'!FX78,"AAAAAH3V/Ck=")</f>
        <v>#VALUE!</v>
      </c>
      <c r="AQ68" t="e">
        <f>AND('SPR BARRANQUILLA'!FY78,"AAAAAH3V/Co=")</f>
        <v>#VALUE!</v>
      </c>
      <c r="AR68" t="e">
        <f>AND('SPR BARRANQUILLA'!FZ78,"AAAAAH3V/Cs=")</f>
        <v>#VALUE!</v>
      </c>
      <c r="AS68" t="e">
        <f>AND('SPR BARRANQUILLA'!GA78,"AAAAAH3V/Cw=")</f>
        <v>#VALUE!</v>
      </c>
      <c r="AT68" t="e">
        <f>AND('SPR BARRANQUILLA'!GB78,"AAAAAH3V/C0=")</f>
        <v>#VALUE!</v>
      </c>
      <c r="AU68" t="e">
        <f>AND('SPR BARRANQUILLA'!GC78,"AAAAAH3V/C4=")</f>
        <v>#VALUE!</v>
      </c>
      <c r="AV68" t="e">
        <f>AND('SPR BARRANQUILLA'!GD78,"AAAAAH3V/C8=")</f>
        <v>#VALUE!</v>
      </c>
      <c r="AW68" t="e">
        <f>AND('SPR BARRANQUILLA'!GE78,"AAAAAH3V/DA=")</f>
        <v>#VALUE!</v>
      </c>
      <c r="AX68" t="e">
        <f>AND('SPR BARRANQUILLA'!GF78,"AAAAAH3V/DE=")</f>
        <v>#VALUE!</v>
      </c>
      <c r="AY68" t="e">
        <f>AND('SPR BARRANQUILLA'!GG78,"AAAAAH3V/DI=")</f>
        <v>#VALUE!</v>
      </c>
      <c r="AZ68" t="e">
        <f>AND('SPR BARRANQUILLA'!GH78,"AAAAAH3V/DM=")</f>
        <v>#VALUE!</v>
      </c>
      <c r="BA68" t="e">
        <f>AND('SPR BARRANQUILLA'!GI78,"AAAAAH3V/DQ=")</f>
        <v>#VALUE!</v>
      </c>
      <c r="BB68" t="e">
        <f>AND('SPR BARRANQUILLA'!GJ78,"AAAAAH3V/DU=")</f>
        <v>#VALUE!</v>
      </c>
      <c r="BC68" t="e">
        <f>AND('SPR BARRANQUILLA'!GK78,"AAAAAH3V/DY=")</f>
        <v>#VALUE!</v>
      </c>
      <c r="BD68" t="e">
        <f>AND('SPR BARRANQUILLA'!GL78,"AAAAAH3V/Dc=")</f>
        <v>#VALUE!</v>
      </c>
      <c r="BE68" t="e">
        <f>AND('SPR BARRANQUILLA'!GM78,"AAAAAH3V/Dg=")</f>
        <v>#VALUE!</v>
      </c>
      <c r="BF68" t="e">
        <f>AND('SPR BARRANQUILLA'!GN78,"AAAAAH3V/Dk=")</f>
        <v>#VALUE!</v>
      </c>
      <c r="BG68" t="e">
        <f>AND('SPR BARRANQUILLA'!GO78,"AAAAAH3V/Do=")</f>
        <v>#VALUE!</v>
      </c>
      <c r="BH68" t="e">
        <f>AND('SPR BARRANQUILLA'!GP78,"AAAAAH3V/Ds=")</f>
        <v>#VALUE!</v>
      </c>
      <c r="BI68" t="e">
        <f>AND('SPR BARRANQUILLA'!GQ78,"AAAAAH3V/Dw=")</f>
        <v>#VALUE!</v>
      </c>
      <c r="BJ68" t="e">
        <f>AND('SPR BARRANQUILLA'!GR78,"AAAAAH3V/D0=")</f>
        <v>#VALUE!</v>
      </c>
      <c r="BK68" t="e">
        <f>AND('SPR BARRANQUILLA'!GS78,"AAAAAH3V/D4=")</f>
        <v>#VALUE!</v>
      </c>
      <c r="BL68" t="e">
        <f>AND('SPR BARRANQUILLA'!GT78,"AAAAAH3V/D8=")</f>
        <v>#VALUE!</v>
      </c>
      <c r="BM68" t="e">
        <f>AND('SPR BARRANQUILLA'!GU78,"AAAAAH3V/EA=")</f>
        <v>#VALUE!</v>
      </c>
      <c r="BN68" t="e">
        <f>AND('SPR BARRANQUILLA'!GV78,"AAAAAH3V/EE=")</f>
        <v>#VALUE!</v>
      </c>
      <c r="BO68" t="e">
        <f>AND('SPR BARRANQUILLA'!GW78,"AAAAAH3V/EI=")</f>
        <v>#VALUE!</v>
      </c>
      <c r="BP68" t="e">
        <f>AND('SPR BARRANQUILLA'!GX78,"AAAAAH3V/EM=")</f>
        <v>#VALUE!</v>
      </c>
      <c r="BQ68" t="e">
        <f>AND('SPR BARRANQUILLA'!GY78,"AAAAAH3V/EQ=")</f>
        <v>#VALUE!</v>
      </c>
      <c r="BR68">
        <f>IF('SPR BARRANQUILLA'!79:79,"AAAAAH3V/EU=",0)</f>
        <v>0</v>
      </c>
      <c r="BS68" t="e">
        <f>AND('SPR BARRANQUILLA'!A79,"AAAAAH3V/EY=")</f>
        <v>#VALUE!</v>
      </c>
      <c r="BT68" t="e">
        <f>AND('SPR BARRANQUILLA'!B79,"AAAAAH3V/Ec=")</f>
        <v>#VALUE!</v>
      </c>
      <c r="BU68" t="e">
        <f>AND('SPR BARRANQUILLA'!C79,"AAAAAH3V/Eg=")</f>
        <v>#VALUE!</v>
      </c>
      <c r="BV68" t="e">
        <f>AND('SPR BARRANQUILLA'!D79,"AAAAAH3V/Ek=")</f>
        <v>#VALUE!</v>
      </c>
      <c r="BW68" t="e">
        <f>AND('SPR BARRANQUILLA'!E79,"AAAAAH3V/Eo=")</f>
        <v>#VALUE!</v>
      </c>
      <c r="BX68" t="e">
        <f>AND('SPR BARRANQUILLA'!F79,"AAAAAH3V/Es=")</f>
        <v>#VALUE!</v>
      </c>
      <c r="BY68" t="e">
        <f>AND('SPR BARRANQUILLA'!G79,"AAAAAH3V/Ew=")</f>
        <v>#VALUE!</v>
      </c>
      <c r="BZ68" t="e">
        <f>AND('SPR BARRANQUILLA'!H79,"AAAAAH3V/E0=")</f>
        <v>#VALUE!</v>
      </c>
      <c r="CA68" t="e">
        <f>AND('SPR BARRANQUILLA'!I79,"AAAAAH3V/E4=")</f>
        <v>#VALUE!</v>
      </c>
      <c r="CB68" t="e">
        <f>AND('SPR BARRANQUILLA'!J79,"AAAAAH3V/E8=")</f>
        <v>#VALUE!</v>
      </c>
      <c r="CC68" t="e">
        <f>AND('SPR BARRANQUILLA'!K79,"AAAAAH3V/FA=")</f>
        <v>#VALUE!</v>
      </c>
      <c r="CD68" t="e">
        <f>AND('SPR BARRANQUILLA'!L79,"AAAAAH3V/FE=")</f>
        <v>#VALUE!</v>
      </c>
      <c r="CE68" t="e">
        <f>AND('SPR BARRANQUILLA'!M79,"AAAAAH3V/FI=")</f>
        <v>#VALUE!</v>
      </c>
      <c r="CF68" t="e">
        <f>AND('SPR BARRANQUILLA'!N79,"AAAAAH3V/FM=")</f>
        <v>#VALUE!</v>
      </c>
      <c r="CG68" t="e">
        <f>AND('SPR BARRANQUILLA'!O79,"AAAAAH3V/FQ=")</f>
        <v>#VALUE!</v>
      </c>
      <c r="CH68" t="e">
        <f>AND('SPR BARRANQUILLA'!P79,"AAAAAH3V/FU=")</f>
        <v>#VALUE!</v>
      </c>
      <c r="CI68" t="e">
        <f>AND('SPR BARRANQUILLA'!Q79,"AAAAAH3V/FY=")</f>
        <v>#VALUE!</v>
      </c>
      <c r="CJ68" t="e">
        <f>AND('SPR BARRANQUILLA'!R79,"AAAAAH3V/Fc=")</f>
        <v>#VALUE!</v>
      </c>
      <c r="CK68" t="e">
        <f>AND('SPR BARRANQUILLA'!S79,"AAAAAH3V/Fg=")</f>
        <v>#VALUE!</v>
      </c>
      <c r="CL68" t="e">
        <f>AND('SPR BARRANQUILLA'!T79,"AAAAAH3V/Fk=")</f>
        <v>#VALUE!</v>
      </c>
      <c r="CM68" t="e">
        <f>AND('SPR BARRANQUILLA'!U79,"AAAAAH3V/Fo=")</f>
        <v>#VALUE!</v>
      </c>
      <c r="CN68" t="e">
        <f>AND('SPR BARRANQUILLA'!V79,"AAAAAH3V/Fs=")</f>
        <v>#VALUE!</v>
      </c>
      <c r="CO68" t="e">
        <f>AND('SPR BARRANQUILLA'!W79,"AAAAAH3V/Fw=")</f>
        <v>#VALUE!</v>
      </c>
      <c r="CP68" t="e">
        <f>AND('SPR BARRANQUILLA'!X79,"AAAAAH3V/F0=")</f>
        <v>#VALUE!</v>
      </c>
      <c r="CQ68" t="e">
        <f>AND('SPR BARRANQUILLA'!Y79,"AAAAAH3V/F4=")</f>
        <v>#VALUE!</v>
      </c>
      <c r="CR68" t="e">
        <f>AND('SPR BARRANQUILLA'!Z79,"AAAAAH3V/F8=")</f>
        <v>#VALUE!</v>
      </c>
      <c r="CS68" t="e">
        <f>AND('SPR BARRANQUILLA'!AA79,"AAAAAH3V/GA=")</f>
        <v>#VALUE!</v>
      </c>
      <c r="CT68" t="e">
        <f>AND('SPR BARRANQUILLA'!AB79,"AAAAAH3V/GE=")</f>
        <v>#VALUE!</v>
      </c>
      <c r="CU68" t="e">
        <f>AND('SPR BARRANQUILLA'!AC79,"AAAAAH3V/GI=")</f>
        <v>#VALUE!</v>
      </c>
      <c r="CV68" t="e">
        <f>AND('SPR BARRANQUILLA'!AD79,"AAAAAH3V/GM=")</f>
        <v>#VALUE!</v>
      </c>
      <c r="CW68" t="e">
        <f>AND('SPR BARRANQUILLA'!AE79,"AAAAAH3V/GQ=")</f>
        <v>#VALUE!</v>
      </c>
      <c r="CX68" t="e">
        <f>AND('SPR BARRANQUILLA'!AF79,"AAAAAH3V/GU=")</f>
        <v>#VALUE!</v>
      </c>
      <c r="CY68" t="e">
        <f>AND('SPR BARRANQUILLA'!AG79,"AAAAAH3V/GY=")</f>
        <v>#VALUE!</v>
      </c>
      <c r="CZ68" t="e">
        <f>AND('SPR BARRANQUILLA'!AH79,"AAAAAH3V/Gc=")</f>
        <v>#VALUE!</v>
      </c>
      <c r="DA68" t="e">
        <f>AND('SPR BARRANQUILLA'!AI79,"AAAAAH3V/Gg=")</f>
        <v>#VALUE!</v>
      </c>
      <c r="DB68" t="e">
        <f>AND('SPR BARRANQUILLA'!AJ79,"AAAAAH3V/Gk=")</f>
        <v>#VALUE!</v>
      </c>
      <c r="DC68" t="e">
        <f>AND('SPR BARRANQUILLA'!AK79,"AAAAAH3V/Go=")</f>
        <v>#VALUE!</v>
      </c>
      <c r="DD68" t="e">
        <f>AND('SPR BARRANQUILLA'!AL79,"AAAAAH3V/Gs=")</f>
        <v>#VALUE!</v>
      </c>
      <c r="DE68" t="e">
        <f>AND('SPR BARRANQUILLA'!AM79,"AAAAAH3V/Gw=")</f>
        <v>#VALUE!</v>
      </c>
      <c r="DF68" t="e">
        <f>AND('SPR BARRANQUILLA'!AN79,"AAAAAH3V/G0=")</f>
        <v>#VALUE!</v>
      </c>
      <c r="DG68" t="e">
        <f>AND('SPR BARRANQUILLA'!AO79,"AAAAAH3V/G4=")</f>
        <v>#VALUE!</v>
      </c>
      <c r="DH68" t="e">
        <f>AND('SPR BARRANQUILLA'!AP79,"AAAAAH3V/G8=")</f>
        <v>#VALUE!</v>
      </c>
      <c r="DI68" t="e">
        <f>AND('SPR BARRANQUILLA'!AQ79,"AAAAAH3V/HA=")</f>
        <v>#VALUE!</v>
      </c>
      <c r="DJ68" t="e">
        <f>AND('SPR BARRANQUILLA'!AR79,"AAAAAH3V/HE=")</f>
        <v>#VALUE!</v>
      </c>
      <c r="DK68" t="e">
        <f>AND('SPR BARRANQUILLA'!AS79,"AAAAAH3V/HI=")</f>
        <v>#VALUE!</v>
      </c>
      <c r="DL68" t="e">
        <f>AND('SPR BARRANQUILLA'!AT79,"AAAAAH3V/HM=")</f>
        <v>#VALUE!</v>
      </c>
      <c r="DM68" t="e">
        <f>AND('SPR BARRANQUILLA'!AU79,"AAAAAH3V/HQ=")</f>
        <v>#VALUE!</v>
      </c>
      <c r="DN68" t="e">
        <f>AND('SPR BARRANQUILLA'!AV79,"AAAAAH3V/HU=")</f>
        <v>#VALUE!</v>
      </c>
      <c r="DO68" t="e">
        <f>AND('SPR BARRANQUILLA'!AW79,"AAAAAH3V/HY=")</f>
        <v>#VALUE!</v>
      </c>
      <c r="DP68" t="e">
        <f>AND('SPR BARRANQUILLA'!AX79,"AAAAAH3V/Hc=")</f>
        <v>#VALUE!</v>
      </c>
      <c r="DQ68" t="e">
        <f>AND('SPR BARRANQUILLA'!AY79,"AAAAAH3V/Hg=")</f>
        <v>#VALUE!</v>
      </c>
      <c r="DR68" t="e">
        <f>AND('SPR BARRANQUILLA'!AZ79,"AAAAAH3V/Hk=")</f>
        <v>#VALUE!</v>
      </c>
      <c r="DS68" t="e">
        <f>AND('SPR BARRANQUILLA'!BA79,"AAAAAH3V/Ho=")</f>
        <v>#VALUE!</v>
      </c>
      <c r="DT68" t="e">
        <f>AND('SPR BARRANQUILLA'!BB79,"AAAAAH3V/Hs=")</f>
        <v>#VALUE!</v>
      </c>
      <c r="DU68" t="e">
        <f>AND('SPR BARRANQUILLA'!BC79,"AAAAAH3V/Hw=")</f>
        <v>#VALUE!</v>
      </c>
      <c r="DV68" t="e">
        <f>AND('SPR BARRANQUILLA'!BD79,"AAAAAH3V/H0=")</f>
        <v>#VALUE!</v>
      </c>
      <c r="DW68" t="e">
        <f>AND('SPR BARRANQUILLA'!BE79,"AAAAAH3V/H4=")</f>
        <v>#VALUE!</v>
      </c>
      <c r="DX68" t="e">
        <f>AND('SPR BARRANQUILLA'!BF79,"AAAAAH3V/H8=")</f>
        <v>#VALUE!</v>
      </c>
      <c r="DY68" t="e">
        <f>AND('SPR BARRANQUILLA'!BG79,"AAAAAH3V/IA=")</f>
        <v>#VALUE!</v>
      </c>
      <c r="DZ68" t="e">
        <f>AND('SPR BARRANQUILLA'!BH79,"AAAAAH3V/IE=")</f>
        <v>#VALUE!</v>
      </c>
      <c r="EA68" t="e">
        <f>AND('SPR BARRANQUILLA'!BI79,"AAAAAH3V/II=")</f>
        <v>#VALUE!</v>
      </c>
      <c r="EB68" t="e">
        <f>AND('SPR BARRANQUILLA'!BJ79,"AAAAAH3V/IM=")</f>
        <v>#VALUE!</v>
      </c>
      <c r="EC68" t="e">
        <f>AND('SPR BARRANQUILLA'!BK79,"AAAAAH3V/IQ=")</f>
        <v>#VALUE!</v>
      </c>
      <c r="ED68" t="e">
        <f>AND('SPR BARRANQUILLA'!BL79,"AAAAAH3V/IU=")</f>
        <v>#VALUE!</v>
      </c>
      <c r="EE68" t="e">
        <f>AND('SPR BARRANQUILLA'!BM79,"AAAAAH3V/IY=")</f>
        <v>#VALUE!</v>
      </c>
      <c r="EF68" t="e">
        <f>AND('SPR BARRANQUILLA'!BN79,"AAAAAH3V/Ic=")</f>
        <v>#VALUE!</v>
      </c>
      <c r="EG68" t="e">
        <f>AND('SPR BARRANQUILLA'!BO79,"AAAAAH3V/Ig=")</f>
        <v>#VALUE!</v>
      </c>
      <c r="EH68" t="e">
        <f>AND('SPR BARRANQUILLA'!BP79,"AAAAAH3V/Ik=")</f>
        <v>#VALUE!</v>
      </c>
      <c r="EI68" t="e">
        <f>AND('SPR BARRANQUILLA'!BQ79,"AAAAAH3V/Io=")</f>
        <v>#VALUE!</v>
      </c>
      <c r="EJ68" t="e">
        <f>AND('SPR BARRANQUILLA'!BR79,"AAAAAH3V/Is=")</f>
        <v>#VALUE!</v>
      </c>
      <c r="EK68" t="e">
        <f>AND('SPR BARRANQUILLA'!BS79,"AAAAAH3V/Iw=")</f>
        <v>#VALUE!</v>
      </c>
      <c r="EL68" t="e">
        <f>AND('SPR BARRANQUILLA'!BT79,"AAAAAH3V/I0=")</f>
        <v>#VALUE!</v>
      </c>
      <c r="EM68" t="e">
        <f>AND('SPR BARRANQUILLA'!BU79,"AAAAAH3V/I4=")</f>
        <v>#VALUE!</v>
      </c>
      <c r="EN68" t="e">
        <f>AND('SPR BARRANQUILLA'!BV79,"AAAAAH3V/I8=")</f>
        <v>#VALUE!</v>
      </c>
      <c r="EO68" t="e">
        <f>AND('SPR BARRANQUILLA'!BW79,"AAAAAH3V/JA=")</f>
        <v>#VALUE!</v>
      </c>
      <c r="EP68" t="e">
        <f>AND('SPR BARRANQUILLA'!BX79,"AAAAAH3V/JE=")</f>
        <v>#VALUE!</v>
      </c>
      <c r="EQ68" t="e">
        <f>AND('SPR BARRANQUILLA'!BY79,"AAAAAH3V/JI=")</f>
        <v>#VALUE!</v>
      </c>
      <c r="ER68" t="e">
        <f>AND('SPR BARRANQUILLA'!BZ79,"AAAAAH3V/JM=")</f>
        <v>#VALUE!</v>
      </c>
      <c r="ES68" t="e">
        <f>AND('SPR BARRANQUILLA'!CA79,"AAAAAH3V/JQ=")</f>
        <v>#VALUE!</v>
      </c>
      <c r="ET68" t="e">
        <f>AND('SPR BARRANQUILLA'!CB79,"AAAAAH3V/JU=")</f>
        <v>#VALUE!</v>
      </c>
      <c r="EU68" t="e">
        <f>AND('SPR BARRANQUILLA'!CC79,"AAAAAH3V/JY=")</f>
        <v>#VALUE!</v>
      </c>
      <c r="EV68" t="e">
        <f>AND('SPR BARRANQUILLA'!CD79,"AAAAAH3V/Jc=")</f>
        <v>#VALUE!</v>
      </c>
      <c r="EW68" t="e">
        <f>AND('SPR BARRANQUILLA'!CE79,"AAAAAH3V/Jg=")</f>
        <v>#VALUE!</v>
      </c>
      <c r="EX68" t="e">
        <f>AND('SPR BARRANQUILLA'!CF79,"AAAAAH3V/Jk=")</f>
        <v>#VALUE!</v>
      </c>
      <c r="EY68" t="e">
        <f>AND('SPR BARRANQUILLA'!CG79,"AAAAAH3V/Jo=")</f>
        <v>#VALUE!</v>
      </c>
      <c r="EZ68" t="e">
        <f>AND('SPR BARRANQUILLA'!CH79,"AAAAAH3V/Js=")</f>
        <v>#VALUE!</v>
      </c>
      <c r="FA68" t="e">
        <f>AND('SPR BARRANQUILLA'!CI79,"AAAAAH3V/Jw=")</f>
        <v>#VALUE!</v>
      </c>
      <c r="FB68" t="e">
        <f>AND('SPR BARRANQUILLA'!CJ79,"AAAAAH3V/J0=")</f>
        <v>#VALUE!</v>
      </c>
      <c r="FC68" t="e">
        <f>AND('SPR BARRANQUILLA'!CK79,"AAAAAH3V/J4=")</f>
        <v>#VALUE!</v>
      </c>
      <c r="FD68" t="e">
        <f>AND('SPR BARRANQUILLA'!CL79,"AAAAAH3V/J8=")</f>
        <v>#VALUE!</v>
      </c>
      <c r="FE68" t="e">
        <f>AND('SPR BARRANQUILLA'!CM79,"AAAAAH3V/KA=")</f>
        <v>#VALUE!</v>
      </c>
      <c r="FF68" t="e">
        <f>AND('SPR BARRANQUILLA'!CN79,"AAAAAH3V/KE=")</f>
        <v>#VALUE!</v>
      </c>
      <c r="FG68" t="e">
        <f>AND('SPR BARRANQUILLA'!CO79,"AAAAAH3V/KI=")</f>
        <v>#VALUE!</v>
      </c>
      <c r="FH68" t="e">
        <f>AND('SPR BARRANQUILLA'!CP79,"AAAAAH3V/KM=")</f>
        <v>#VALUE!</v>
      </c>
      <c r="FI68" t="e">
        <f>AND('SPR BARRANQUILLA'!CQ79,"AAAAAH3V/KQ=")</f>
        <v>#VALUE!</v>
      </c>
      <c r="FJ68" t="e">
        <f>AND('SPR BARRANQUILLA'!CR79,"AAAAAH3V/KU=")</f>
        <v>#VALUE!</v>
      </c>
      <c r="FK68" t="e">
        <f>AND('SPR BARRANQUILLA'!CS79,"AAAAAH3V/KY=")</f>
        <v>#VALUE!</v>
      </c>
      <c r="FL68" t="e">
        <f>AND('SPR BARRANQUILLA'!CT79,"AAAAAH3V/Kc=")</f>
        <v>#VALUE!</v>
      </c>
      <c r="FM68" t="e">
        <f>AND('SPR BARRANQUILLA'!CU79,"AAAAAH3V/Kg=")</f>
        <v>#VALUE!</v>
      </c>
      <c r="FN68" t="e">
        <f>AND('SPR BARRANQUILLA'!CV79,"AAAAAH3V/Kk=")</f>
        <v>#VALUE!</v>
      </c>
      <c r="FO68" t="e">
        <f>AND('SPR BARRANQUILLA'!CW79,"AAAAAH3V/Ko=")</f>
        <v>#VALUE!</v>
      </c>
      <c r="FP68" t="e">
        <f>AND('SPR BARRANQUILLA'!CX79,"AAAAAH3V/Ks=")</f>
        <v>#VALUE!</v>
      </c>
      <c r="FQ68" t="e">
        <f>AND('SPR BARRANQUILLA'!CY79,"AAAAAH3V/Kw=")</f>
        <v>#VALUE!</v>
      </c>
      <c r="FR68" t="e">
        <f>AND('SPR BARRANQUILLA'!CZ79,"AAAAAH3V/K0=")</f>
        <v>#VALUE!</v>
      </c>
      <c r="FS68" t="e">
        <f>AND('SPR BARRANQUILLA'!DA79,"AAAAAH3V/K4=")</f>
        <v>#VALUE!</v>
      </c>
      <c r="FT68" t="e">
        <f>AND('SPR BARRANQUILLA'!DB79,"AAAAAH3V/K8=")</f>
        <v>#VALUE!</v>
      </c>
      <c r="FU68" t="e">
        <f>AND('SPR BARRANQUILLA'!DC79,"AAAAAH3V/LA=")</f>
        <v>#VALUE!</v>
      </c>
      <c r="FV68" t="e">
        <f>AND('SPR BARRANQUILLA'!DD79,"AAAAAH3V/LE=")</f>
        <v>#VALUE!</v>
      </c>
      <c r="FW68" t="e">
        <f>AND('SPR BARRANQUILLA'!DE79,"AAAAAH3V/LI=")</f>
        <v>#VALUE!</v>
      </c>
      <c r="FX68" t="e">
        <f>AND('SPR BARRANQUILLA'!DF79,"AAAAAH3V/LM=")</f>
        <v>#VALUE!</v>
      </c>
      <c r="FY68" t="e">
        <f>AND('SPR BARRANQUILLA'!DG79,"AAAAAH3V/LQ=")</f>
        <v>#VALUE!</v>
      </c>
      <c r="FZ68" t="e">
        <f>AND('SPR BARRANQUILLA'!DH79,"AAAAAH3V/LU=")</f>
        <v>#VALUE!</v>
      </c>
      <c r="GA68" t="e">
        <f>AND('SPR BARRANQUILLA'!DI79,"AAAAAH3V/LY=")</f>
        <v>#VALUE!</v>
      </c>
      <c r="GB68" t="e">
        <f>AND('SPR BARRANQUILLA'!DJ79,"AAAAAH3V/Lc=")</f>
        <v>#VALUE!</v>
      </c>
      <c r="GC68" t="e">
        <f>AND('SPR BARRANQUILLA'!DK79,"AAAAAH3V/Lg=")</f>
        <v>#VALUE!</v>
      </c>
      <c r="GD68" t="e">
        <f>AND('SPR BARRANQUILLA'!DL79,"AAAAAH3V/Lk=")</f>
        <v>#VALUE!</v>
      </c>
      <c r="GE68" t="e">
        <f>AND('SPR BARRANQUILLA'!DM79,"AAAAAH3V/Lo=")</f>
        <v>#VALUE!</v>
      </c>
      <c r="GF68" t="e">
        <f>AND('SPR BARRANQUILLA'!DN79,"AAAAAH3V/Ls=")</f>
        <v>#VALUE!</v>
      </c>
      <c r="GG68" t="e">
        <f>AND('SPR BARRANQUILLA'!DO79,"AAAAAH3V/Lw=")</f>
        <v>#VALUE!</v>
      </c>
      <c r="GH68" t="e">
        <f>AND('SPR BARRANQUILLA'!DP79,"AAAAAH3V/L0=")</f>
        <v>#VALUE!</v>
      </c>
      <c r="GI68" t="e">
        <f>AND('SPR BARRANQUILLA'!DQ79,"AAAAAH3V/L4=")</f>
        <v>#VALUE!</v>
      </c>
      <c r="GJ68" t="e">
        <f>AND('SPR BARRANQUILLA'!DR79,"AAAAAH3V/L8=")</f>
        <v>#VALUE!</v>
      </c>
      <c r="GK68" t="e">
        <f>AND('SPR BARRANQUILLA'!DS79,"AAAAAH3V/MA=")</f>
        <v>#VALUE!</v>
      </c>
      <c r="GL68" t="e">
        <f>AND('SPR BARRANQUILLA'!DT79,"AAAAAH3V/ME=")</f>
        <v>#VALUE!</v>
      </c>
      <c r="GM68" t="e">
        <f>AND('SPR BARRANQUILLA'!DU79,"AAAAAH3V/MI=")</f>
        <v>#VALUE!</v>
      </c>
      <c r="GN68" t="e">
        <f>AND('SPR BARRANQUILLA'!DV79,"AAAAAH3V/MM=")</f>
        <v>#VALUE!</v>
      </c>
      <c r="GO68" t="e">
        <f>AND('SPR BARRANQUILLA'!DW79,"AAAAAH3V/MQ=")</f>
        <v>#VALUE!</v>
      </c>
      <c r="GP68" t="e">
        <f>AND('SPR BARRANQUILLA'!DX79,"AAAAAH3V/MU=")</f>
        <v>#VALUE!</v>
      </c>
      <c r="GQ68" t="e">
        <f>AND('SPR BARRANQUILLA'!DY79,"AAAAAH3V/MY=")</f>
        <v>#VALUE!</v>
      </c>
      <c r="GR68" t="e">
        <f>AND('SPR BARRANQUILLA'!DZ79,"AAAAAH3V/Mc=")</f>
        <v>#VALUE!</v>
      </c>
      <c r="GS68" t="e">
        <f>AND('SPR BARRANQUILLA'!EA79,"AAAAAH3V/Mg=")</f>
        <v>#VALUE!</v>
      </c>
      <c r="GT68" t="e">
        <f>AND('SPR BARRANQUILLA'!EB79,"AAAAAH3V/Mk=")</f>
        <v>#VALUE!</v>
      </c>
      <c r="GU68" t="e">
        <f>AND('SPR BARRANQUILLA'!EC79,"AAAAAH3V/Mo=")</f>
        <v>#VALUE!</v>
      </c>
      <c r="GV68" t="e">
        <f>AND('SPR BARRANQUILLA'!ED79,"AAAAAH3V/Ms=")</f>
        <v>#VALUE!</v>
      </c>
      <c r="GW68" t="e">
        <f>AND('SPR BARRANQUILLA'!EE79,"AAAAAH3V/Mw=")</f>
        <v>#VALUE!</v>
      </c>
      <c r="GX68" t="e">
        <f>AND('SPR BARRANQUILLA'!EF79,"AAAAAH3V/M0=")</f>
        <v>#VALUE!</v>
      </c>
      <c r="GY68" t="e">
        <f>AND('SPR BARRANQUILLA'!EG79,"AAAAAH3V/M4=")</f>
        <v>#VALUE!</v>
      </c>
      <c r="GZ68" t="e">
        <f>AND('SPR BARRANQUILLA'!EH79,"AAAAAH3V/M8=")</f>
        <v>#VALUE!</v>
      </c>
      <c r="HA68" t="e">
        <f>AND('SPR BARRANQUILLA'!EI79,"AAAAAH3V/NA=")</f>
        <v>#VALUE!</v>
      </c>
      <c r="HB68" t="e">
        <f>AND('SPR BARRANQUILLA'!EJ79,"AAAAAH3V/NE=")</f>
        <v>#VALUE!</v>
      </c>
      <c r="HC68" t="e">
        <f>AND('SPR BARRANQUILLA'!EK79,"AAAAAH3V/NI=")</f>
        <v>#VALUE!</v>
      </c>
      <c r="HD68" t="e">
        <f>AND('SPR BARRANQUILLA'!EL79,"AAAAAH3V/NM=")</f>
        <v>#VALUE!</v>
      </c>
      <c r="HE68" t="e">
        <f>AND('SPR BARRANQUILLA'!EM79,"AAAAAH3V/NQ=")</f>
        <v>#VALUE!</v>
      </c>
      <c r="HF68" t="e">
        <f>AND('SPR BARRANQUILLA'!EN79,"AAAAAH3V/NU=")</f>
        <v>#VALUE!</v>
      </c>
      <c r="HG68" t="e">
        <f>AND('SPR BARRANQUILLA'!EO79,"AAAAAH3V/NY=")</f>
        <v>#VALUE!</v>
      </c>
      <c r="HH68" t="e">
        <f>AND('SPR BARRANQUILLA'!EP79,"AAAAAH3V/Nc=")</f>
        <v>#VALUE!</v>
      </c>
      <c r="HI68" t="e">
        <f>AND('SPR BARRANQUILLA'!EQ79,"AAAAAH3V/Ng=")</f>
        <v>#VALUE!</v>
      </c>
      <c r="HJ68" t="e">
        <f>AND('SPR BARRANQUILLA'!ER79,"AAAAAH3V/Nk=")</f>
        <v>#VALUE!</v>
      </c>
      <c r="HK68" t="e">
        <f>AND('SPR BARRANQUILLA'!ES79,"AAAAAH3V/No=")</f>
        <v>#VALUE!</v>
      </c>
      <c r="HL68" t="e">
        <f>AND('SPR BARRANQUILLA'!ET79,"AAAAAH3V/Ns=")</f>
        <v>#VALUE!</v>
      </c>
      <c r="HM68" t="e">
        <f>AND('SPR BARRANQUILLA'!EU79,"AAAAAH3V/Nw=")</f>
        <v>#VALUE!</v>
      </c>
      <c r="HN68" t="e">
        <f>AND('SPR BARRANQUILLA'!EV79,"AAAAAH3V/N0=")</f>
        <v>#VALUE!</v>
      </c>
      <c r="HO68" t="e">
        <f>AND('SPR BARRANQUILLA'!EW79,"AAAAAH3V/N4=")</f>
        <v>#VALUE!</v>
      </c>
      <c r="HP68" t="e">
        <f>AND('SPR BARRANQUILLA'!EX79,"AAAAAH3V/N8=")</f>
        <v>#VALUE!</v>
      </c>
      <c r="HQ68" t="e">
        <f>AND('SPR BARRANQUILLA'!EY79,"AAAAAH3V/OA=")</f>
        <v>#VALUE!</v>
      </c>
      <c r="HR68" t="e">
        <f>AND('SPR BARRANQUILLA'!EZ79,"AAAAAH3V/OE=")</f>
        <v>#VALUE!</v>
      </c>
      <c r="HS68" t="e">
        <f>AND('SPR BARRANQUILLA'!FA79,"AAAAAH3V/OI=")</f>
        <v>#VALUE!</v>
      </c>
      <c r="HT68" t="e">
        <f>AND('SPR BARRANQUILLA'!FB79,"AAAAAH3V/OM=")</f>
        <v>#VALUE!</v>
      </c>
      <c r="HU68" t="e">
        <f>AND('SPR BARRANQUILLA'!FC79,"AAAAAH3V/OQ=")</f>
        <v>#VALUE!</v>
      </c>
      <c r="HV68" t="e">
        <f>AND('SPR BARRANQUILLA'!FD79,"AAAAAH3V/OU=")</f>
        <v>#VALUE!</v>
      </c>
      <c r="HW68" t="e">
        <f>AND('SPR BARRANQUILLA'!FE79,"AAAAAH3V/OY=")</f>
        <v>#VALUE!</v>
      </c>
      <c r="HX68" t="e">
        <f>AND('SPR BARRANQUILLA'!FF79,"AAAAAH3V/Oc=")</f>
        <v>#VALUE!</v>
      </c>
      <c r="HY68" t="e">
        <f>AND('SPR BARRANQUILLA'!FG79,"AAAAAH3V/Og=")</f>
        <v>#VALUE!</v>
      </c>
      <c r="HZ68" t="e">
        <f>AND('SPR BARRANQUILLA'!FH79,"AAAAAH3V/Ok=")</f>
        <v>#VALUE!</v>
      </c>
      <c r="IA68" t="e">
        <f>AND('SPR BARRANQUILLA'!FI79,"AAAAAH3V/Oo=")</f>
        <v>#VALUE!</v>
      </c>
      <c r="IB68" t="e">
        <f>AND('SPR BARRANQUILLA'!FJ79,"AAAAAH3V/Os=")</f>
        <v>#VALUE!</v>
      </c>
      <c r="IC68" t="e">
        <f>AND('SPR BARRANQUILLA'!FK79,"AAAAAH3V/Ow=")</f>
        <v>#VALUE!</v>
      </c>
      <c r="ID68" t="e">
        <f>AND('SPR BARRANQUILLA'!FL79,"AAAAAH3V/O0=")</f>
        <v>#VALUE!</v>
      </c>
      <c r="IE68" t="e">
        <f>AND('SPR BARRANQUILLA'!FM79,"AAAAAH3V/O4=")</f>
        <v>#VALUE!</v>
      </c>
      <c r="IF68" t="e">
        <f>AND('SPR BARRANQUILLA'!FN79,"AAAAAH3V/O8=")</f>
        <v>#VALUE!</v>
      </c>
      <c r="IG68" t="e">
        <f>AND('SPR BARRANQUILLA'!FO79,"AAAAAH3V/PA=")</f>
        <v>#VALUE!</v>
      </c>
      <c r="IH68" t="e">
        <f>AND('SPR BARRANQUILLA'!FP79,"AAAAAH3V/PE=")</f>
        <v>#VALUE!</v>
      </c>
      <c r="II68" t="e">
        <f>AND('SPR BARRANQUILLA'!FQ79,"AAAAAH3V/PI=")</f>
        <v>#VALUE!</v>
      </c>
      <c r="IJ68" t="e">
        <f>AND('SPR BARRANQUILLA'!FR79,"AAAAAH3V/PM=")</f>
        <v>#VALUE!</v>
      </c>
      <c r="IK68" t="e">
        <f>AND('SPR BARRANQUILLA'!FS79,"AAAAAH3V/PQ=")</f>
        <v>#VALUE!</v>
      </c>
      <c r="IL68" t="e">
        <f>AND('SPR BARRANQUILLA'!FT79,"AAAAAH3V/PU=")</f>
        <v>#VALUE!</v>
      </c>
      <c r="IM68" t="e">
        <f>AND('SPR BARRANQUILLA'!FU79,"AAAAAH3V/PY=")</f>
        <v>#VALUE!</v>
      </c>
      <c r="IN68" t="e">
        <f>AND('SPR BARRANQUILLA'!FV79,"AAAAAH3V/Pc=")</f>
        <v>#VALUE!</v>
      </c>
      <c r="IO68" t="e">
        <f>AND('SPR BARRANQUILLA'!FW79,"AAAAAH3V/Pg=")</f>
        <v>#VALUE!</v>
      </c>
      <c r="IP68" t="e">
        <f>AND('SPR BARRANQUILLA'!FX79,"AAAAAH3V/Pk=")</f>
        <v>#VALUE!</v>
      </c>
      <c r="IQ68" t="e">
        <f>AND('SPR BARRANQUILLA'!FY79,"AAAAAH3V/Po=")</f>
        <v>#VALUE!</v>
      </c>
      <c r="IR68" t="e">
        <f>AND('SPR BARRANQUILLA'!FZ79,"AAAAAH3V/Ps=")</f>
        <v>#VALUE!</v>
      </c>
      <c r="IS68" t="e">
        <f>AND('SPR BARRANQUILLA'!GA79,"AAAAAH3V/Pw=")</f>
        <v>#VALUE!</v>
      </c>
      <c r="IT68" t="e">
        <f>AND('SPR BARRANQUILLA'!GB79,"AAAAAH3V/P0=")</f>
        <v>#VALUE!</v>
      </c>
      <c r="IU68" t="e">
        <f>AND('SPR BARRANQUILLA'!GC79,"AAAAAH3V/P4=")</f>
        <v>#VALUE!</v>
      </c>
      <c r="IV68" t="e">
        <f>AND('SPR BARRANQUILLA'!GD79,"AAAAAH3V/P8=")</f>
        <v>#VALUE!</v>
      </c>
    </row>
    <row r="69" spans="1:256">
      <c r="A69" t="e">
        <f>AND('SPR BARRANQUILLA'!GE79,"AAAAAH3d8wA=")</f>
        <v>#VALUE!</v>
      </c>
      <c r="B69" t="e">
        <f>AND('SPR BARRANQUILLA'!GF79,"AAAAAH3d8wE=")</f>
        <v>#VALUE!</v>
      </c>
      <c r="C69" t="e">
        <f>AND('SPR BARRANQUILLA'!GG79,"AAAAAH3d8wI=")</f>
        <v>#VALUE!</v>
      </c>
      <c r="D69" t="e">
        <f>AND('SPR BARRANQUILLA'!GH79,"AAAAAH3d8wM=")</f>
        <v>#VALUE!</v>
      </c>
      <c r="E69" t="e">
        <f>AND('SPR BARRANQUILLA'!GI79,"AAAAAH3d8wQ=")</f>
        <v>#VALUE!</v>
      </c>
      <c r="F69" t="e">
        <f>AND('SPR BARRANQUILLA'!GJ79,"AAAAAH3d8wU=")</f>
        <v>#VALUE!</v>
      </c>
      <c r="G69" t="e">
        <f>AND('SPR BARRANQUILLA'!GK79,"AAAAAH3d8wY=")</f>
        <v>#VALUE!</v>
      </c>
      <c r="H69" t="e">
        <f>AND('SPR BARRANQUILLA'!GL79,"AAAAAH3d8wc=")</f>
        <v>#VALUE!</v>
      </c>
      <c r="I69" t="e">
        <f>AND('SPR BARRANQUILLA'!GM79,"AAAAAH3d8wg=")</f>
        <v>#VALUE!</v>
      </c>
      <c r="J69" t="e">
        <f>AND('SPR BARRANQUILLA'!GN79,"AAAAAH3d8wk=")</f>
        <v>#VALUE!</v>
      </c>
      <c r="K69" t="e">
        <f>AND('SPR BARRANQUILLA'!GO79,"AAAAAH3d8wo=")</f>
        <v>#VALUE!</v>
      </c>
      <c r="L69" t="e">
        <f>AND('SPR BARRANQUILLA'!GP79,"AAAAAH3d8ws=")</f>
        <v>#VALUE!</v>
      </c>
      <c r="M69" t="e">
        <f>AND('SPR BARRANQUILLA'!GQ79,"AAAAAH3d8ww=")</f>
        <v>#VALUE!</v>
      </c>
      <c r="N69" t="e">
        <f>AND('SPR BARRANQUILLA'!GR79,"AAAAAH3d8w0=")</f>
        <v>#VALUE!</v>
      </c>
      <c r="O69" t="e">
        <f>AND('SPR BARRANQUILLA'!GS79,"AAAAAH3d8w4=")</f>
        <v>#VALUE!</v>
      </c>
      <c r="P69" t="e">
        <f>AND('SPR BARRANQUILLA'!GT79,"AAAAAH3d8w8=")</f>
        <v>#VALUE!</v>
      </c>
      <c r="Q69" t="e">
        <f>AND('SPR BARRANQUILLA'!GU79,"AAAAAH3d8xA=")</f>
        <v>#VALUE!</v>
      </c>
      <c r="R69" t="e">
        <f>AND('SPR BARRANQUILLA'!GV79,"AAAAAH3d8xE=")</f>
        <v>#VALUE!</v>
      </c>
      <c r="S69" t="e">
        <f>AND('SPR BARRANQUILLA'!GW79,"AAAAAH3d8xI=")</f>
        <v>#VALUE!</v>
      </c>
      <c r="T69" t="e">
        <f>AND('SPR BARRANQUILLA'!GX79,"AAAAAH3d8xM=")</f>
        <v>#VALUE!</v>
      </c>
      <c r="U69" t="e">
        <f>AND('SPR BARRANQUILLA'!GY79,"AAAAAH3d8xQ=")</f>
        <v>#VALUE!</v>
      </c>
      <c r="V69">
        <f>IF('SPR BARRANQUILLA'!80:80,"AAAAAH3d8xU=",0)</f>
        <v>0</v>
      </c>
      <c r="W69" t="e">
        <f>AND('SPR BARRANQUILLA'!A80,"AAAAAH3d8xY=")</f>
        <v>#VALUE!</v>
      </c>
      <c r="X69" t="e">
        <f>AND('SPR BARRANQUILLA'!B80,"AAAAAH3d8xc=")</f>
        <v>#VALUE!</v>
      </c>
      <c r="Y69" t="e">
        <f>AND('SPR BARRANQUILLA'!C80,"AAAAAH3d8xg=")</f>
        <v>#VALUE!</v>
      </c>
      <c r="Z69" t="e">
        <f>AND('SPR BARRANQUILLA'!D80,"AAAAAH3d8xk=")</f>
        <v>#VALUE!</v>
      </c>
      <c r="AA69" t="e">
        <f>AND('SPR BARRANQUILLA'!E80,"AAAAAH3d8xo=")</f>
        <v>#VALUE!</v>
      </c>
      <c r="AB69" t="e">
        <f>AND('SPR BARRANQUILLA'!F80,"AAAAAH3d8xs=")</f>
        <v>#VALUE!</v>
      </c>
      <c r="AC69" t="e">
        <f>AND('SPR BARRANQUILLA'!G80,"AAAAAH3d8xw=")</f>
        <v>#VALUE!</v>
      </c>
      <c r="AD69" t="e">
        <f>AND('SPR BARRANQUILLA'!H80,"AAAAAH3d8x0=")</f>
        <v>#VALUE!</v>
      </c>
      <c r="AE69" t="e">
        <f>AND('SPR BARRANQUILLA'!I80,"AAAAAH3d8x4=")</f>
        <v>#VALUE!</v>
      </c>
      <c r="AF69" t="e">
        <f>AND('SPR BARRANQUILLA'!J80,"AAAAAH3d8x8=")</f>
        <v>#VALUE!</v>
      </c>
      <c r="AG69" t="e">
        <f>AND('SPR BARRANQUILLA'!K80,"AAAAAH3d8yA=")</f>
        <v>#VALUE!</v>
      </c>
      <c r="AH69" t="e">
        <f>AND('SPR BARRANQUILLA'!L80,"AAAAAH3d8yE=")</f>
        <v>#VALUE!</v>
      </c>
      <c r="AI69" t="e">
        <f>AND('SPR BARRANQUILLA'!M80,"AAAAAH3d8yI=")</f>
        <v>#VALUE!</v>
      </c>
      <c r="AJ69" t="e">
        <f>AND('SPR BARRANQUILLA'!N80,"AAAAAH3d8yM=")</f>
        <v>#VALUE!</v>
      </c>
      <c r="AK69" t="e">
        <f>AND('SPR BARRANQUILLA'!O80,"AAAAAH3d8yQ=")</f>
        <v>#VALUE!</v>
      </c>
      <c r="AL69" t="e">
        <f>AND('SPR BARRANQUILLA'!P80,"AAAAAH3d8yU=")</f>
        <v>#VALUE!</v>
      </c>
      <c r="AM69" t="e">
        <f>AND('SPR BARRANQUILLA'!Q80,"AAAAAH3d8yY=")</f>
        <v>#VALUE!</v>
      </c>
      <c r="AN69" t="e">
        <f>AND('SPR BARRANQUILLA'!R80,"AAAAAH3d8yc=")</f>
        <v>#VALUE!</v>
      </c>
      <c r="AO69" t="e">
        <f>AND('SPR BARRANQUILLA'!S80,"AAAAAH3d8yg=")</f>
        <v>#VALUE!</v>
      </c>
      <c r="AP69" t="e">
        <f>AND('SPR BARRANQUILLA'!T80,"AAAAAH3d8yk=")</f>
        <v>#VALUE!</v>
      </c>
      <c r="AQ69" t="e">
        <f>AND('SPR BARRANQUILLA'!U80,"AAAAAH3d8yo=")</f>
        <v>#VALUE!</v>
      </c>
      <c r="AR69" t="e">
        <f>AND('SPR BARRANQUILLA'!V80,"AAAAAH3d8ys=")</f>
        <v>#VALUE!</v>
      </c>
      <c r="AS69" t="e">
        <f>AND('SPR BARRANQUILLA'!W80,"AAAAAH3d8yw=")</f>
        <v>#VALUE!</v>
      </c>
      <c r="AT69" t="e">
        <f>AND('SPR BARRANQUILLA'!X80,"AAAAAH3d8y0=")</f>
        <v>#VALUE!</v>
      </c>
      <c r="AU69" t="e">
        <f>AND('SPR BARRANQUILLA'!Y80,"AAAAAH3d8y4=")</f>
        <v>#VALUE!</v>
      </c>
      <c r="AV69" t="e">
        <f>AND('SPR BARRANQUILLA'!Z80,"AAAAAH3d8y8=")</f>
        <v>#VALUE!</v>
      </c>
      <c r="AW69" t="e">
        <f>AND('SPR BARRANQUILLA'!AA80,"AAAAAH3d8zA=")</f>
        <v>#VALUE!</v>
      </c>
      <c r="AX69" t="e">
        <f>AND('SPR BARRANQUILLA'!AB80,"AAAAAH3d8zE=")</f>
        <v>#VALUE!</v>
      </c>
      <c r="AY69" t="e">
        <f>AND('SPR BARRANQUILLA'!AC80,"AAAAAH3d8zI=")</f>
        <v>#VALUE!</v>
      </c>
      <c r="AZ69" t="e">
        <f>AND('SPR BARRANQUILLA'!AD80,"AAAAAH3d8zM=")</f>
        <v>#VALUE!</v>
      </c>
      <c r="BA69" t="e">
        <f>AND('SPR BARRANQUILLA'!AE80,"AAAAAH3d8zQ=")</f>
        <v>#VALUE!</v>
      </c>
      <c r="BB69" t="e">
        <f>AND('SPR BARRANQUILLA'!AF80,"AAAAAH3d8zU=")</f>
        <v>#VALUE!</v>
      </c>
      <c r="BC69" t="e">
        <f>AND('SPR BARRANQUILLA'!AG80,"AAAAAH3d8zY=")</f>
        <v>#VALUE!</v>
      </c>
      <c r="BD69" t="e">
        <f>AND('SPR BARRANQUILLA'!AH80,"AAAAAH3d8zc=")</f>
        <v>#VALUE!</v>
      </c>
      <c r="BE69" t="e">
        <f>AND('SPR BARRANQUILLA'!AI80,"AAAAAH3d8zg=")</f>
        <v>#VALUE!</v>
      </c>
      <c r="BF69" t="e">
        <f>AND('SPR BARRANQUILLA'!AJ80,"AAAAAH3d8zk=")</f>
        <v>#VALUE!</v>
      </c>
      <c r="BG69" t="e">
        <f>AND('SPR BARRANQUILLA'!AK80,"AAAAAH3d8zo=")</f>
        <v>#VALUE!</v>
      </c>
      <c r="BH69" t="e">
        <f>AND('SPR BARRANQUILLA'!AL80,"AAAAAH3d8zs=")</f>
        <v>#VALUE!</v>
      </c>
      <c r="BI69" t="e">
        <f>AND('SPR BARRANQUILLA'!AM80,"AAAAAH3d8zw=")</f>
        <v>#VALUE!</v>
      </c>
      <c r="BJ69" t="e">
        <f>AND('SPR BARRANQUILLA'!AN80,"AAAAAH3d8z0=")</f>
        <v>#VALUE!</v>
      </c>
      <c r="BK69" t="e">
        <f>AND('SPR BARRANQUILLA'!AO80,"AAAAAH3d8z4=")</f>
        <v>#VALUE!</v>
      </c>
      <c r="BL69" t="e">
        <f>AND('SPR BARRANQUILLA'!AP80,"AAAAAH3d8z8=")</f>
        <v>#VALUE!</v>
      </c>
      <c r="BM69" t="e">
        <f>AND('SPR BARRANQUILLA'!AQ80,"AAAAAH3d80A=")</f>
        <v>#VALUE!</v>
      </c>
      <c r="BN69" t="e">
        <f>AND('SPR BARRANQUILLA'!AR80,"AAAAAH3d80E=")</f>
        <v>#VALUE!</v>
      </c>
      <c r="BO69" t="e">
        <f>AND('SPR BARRANQUILLA'!AS80,"AAAAAH3d80I=")</f>
        <v>#VALUE!</v>
      </c>
      <c r="BP69" t="e">
        <f>AND('SPR BARRANQUILLA'!AT80,"AAAAAH3d80M=")</f>
        <v>#VALUE!</v>
      </c>
      <c r="BQ69" t="e">
        <f>AND('SPR BARRANQUILLA'!AU80,"AAAAAH3d80Q=")</f>
        <v>#VALUE!</v>
      </c>
      <c r="BR69" t="e">
        <f>AND('SPR BARRANQUILLA'!AV80,"AAAAAH3d80U=")</f>
        <v>#VALUE!</v>
      </c>
      <c r="BS69" t="e">
        <f>AND('SPR BARRANQUILLA'!AW80,"AAAAAH3d80Y=")</f>
        <v>#VALUE!</v>
      </c>
      <c r="BT69" t="e">
        <f>AND('SPR BARRANQUILLA'!AX80,"AAAAAH3d80c=")</f>
        <v>#VALUE!</v>
      </c>
      <c r="BU69" t="e">
        <f>AND('SPR BARRANQUILLA'!AY80,"AAAAAH3d80g=")</f>
        <v>#VALUE!</v>
      </c>
      <c r="BV69" t="e">
        <f>AND('SPR BARRANQUILLA'!AZ80,"AAAAAH3d80k=")</f>
        <v>#VALUE!</v>
      </c>
      <c r="BW69" t="e">
        <f>AND('SPR BARRANQUILLA'!BA80,"AAAAAH3d80o=")</f>
        <v>#VALUE!</v>
      </c>
      <c r="BX69" t="e">
        <f>AND('SPR BARRANQUILLA'!BB80,"AAAAAH3d80s=")</f>
        <v>#VALUE!</v>
      </c>
      <c r="BY69" t="e">
        <f>AND('SPR BARRANQUILLA'!BC80,"AAAAAH3d80w=")</f>
        <v>#VALUE!</v>
      </c>
      <c r="BZ69" t="e">
        <f>AND('SPR BARRANQUILLA'!BD80,"AAAAAH3d800=")</f>
        <v>#VALUE!</v>
      </c>
      <c r="CA69" t="e">
        <f>AND('SPR BARRANQUILLA'!BE80,"AAAAAH3d804=")</f>
        <v>#VALUE!</v>
      </c>
      <c r="CB69" t="e">
        <f>AND('SPR BARRANQUILLA'!BF80,"AAAAAH3d808=")</f>
        <v>#VALUE!</v>
      </c>
      <c r="CC69" t="e">
        <f>AND('SPR BARRANQUILLA'!BG80,"AAAAAH3d81A=")</f>
        <v>#VALUE!</v>
      </c>
      <c r="CD69" t="e">
        <f>AND('SPR BARRANQUILLA'!BH80,"AAAAAH3d81E=")</f>
        <v>#VALUE!</v>
      </c>
      <c r="CE69" t="e">
        <f>AND('SPR BARRANQUILLA'!BI80,"AAAAAH3d81I=")</f>
        <v>#VALUE!</v>
      </c>
      <c r="CF69" t="e">
        <f>AND('SPR BARRANQUILLA'!BJ80,"AAAAAH3d81M=")</f>
        <v>#VALUE!</v>
      </c>
      <c r="CG69" t="e">
        <f>AND('SPR BARRANQUILLA'!BK80,"AAAAAH3d81Q=")</f>
        <v>#VALUE!</v>
      </c>
      <c r="CH69" t="e">
        <f>AND('SPR BARRANQUILLA'!BL80,"AAAAAH3d81U=")</f>
        <v>#VALUE!</v>
      </c>
      <c r="CI69" t="e">
        <f>AND('SPR BARRANQUILLA'!BM80,"AAAAAH3d81Y=")</f>
        <v>#VALUE!</v>
      </c>
      <c r="CJ69" t="e">
        <f>AND('SPR BARRANQUILLA'!BN80,"AAAAAH3d81c=")</f>
        <v>#VALUE!</v>
      </c>
      <c r="CK69" t="e">
        <f>AND('SPR BARRANQUILLA'!BO80,"AAAAAH3d81g=")</f>
        <v>#VALUE!</v>
      </c>
      <c r="CL69" t="e">
        <f>AND('SPR BARRANQUILLA'!BP80,"AAAAAH3d81k=")</f>
        <v>#VALUE!</v>
      </c>
      <c r="CM69" t="e">
        <f>AND('SPR BARRANQUILLA'!BQ80,"AAAAAH3d81o=")</f>
        <v>#VALUE!</v>
      </c>
      <c r="CN69" t="e">
        <f>AND('SPR BARRANQUILLA'!BR80,"AAAAAH3d81s=")</f>
        <v>#VALUE!</v>
      </c>
      <c r="CO69" t="e">
        <f>AND('SPR BARRANQUILLA'!BS80,"AAAAAH3d81w=")</f>
        <v>#VALUE!</v>
      </c>
      <c r="CP69" t="e">
        <f>AND('SPR BARRANQUILLA'!BT80,"AAAAAH3d810=")</f>
        <v>#VALUE!</v>
      </c>
      <c r="CQ69" t="e">
        <f>AND('SPR BARRANQUILLA'!BU80,"AAAAAH3d814=")</f>
        <v>#VALUE!</v>
      </c>
      <c r="CR69" t="e">
        <f>AND('SPR BARRANQUILLA'!BV80,"AAAAAH3d818=")</f>
        <v>#VALUE!</v>
      </c>
      <c r="CS69" t="e">
        <f>AND('SPR BARRANQUILLA'!BW80,"AAAAAH3d82A=")</f>
        <v>#VALUE!</v>
      </c>
      <c r="CT69" t="e">
        <f>AND('SPR BARRANQUILLA'!BX80,"AAAAAH3d82E=")</f>
        <v>#VALUE!</v>
      </c>
      <c r="CU69" t="e">
        <f>AND('SPR BARRANQUILLA'!BY80,"AAAAAH3d82I=")</f>
        <v>#VALUE!</v>
      </c>
      <c r="CV69" t="e">
        <f>AND('SPR BARRANQUILLA'!BZ80,"AAAAAH3d82M=")</f>
        <v>#VALUE!</v>
      </c>
      <c r="CW69" t="e">
        <f>AND('SPR BARRANQUILLA'!CA80,"AAAAAH3d82Q=")</f>
        <v>#VALUE!</v>
      </c>
      <c r="CX69" t="e">
        <f>AND('SPR BARRANQUILLA'!CB80,"AAAAAH3d82U=")</f>
        <v>#VALUE!</v>
      </c>
      <c r="CY69" t="e">
        <f>AND('SPR BARRANQUILLA'!CC80,"AAAAAH3d82Y=")</f>
        <v>#VALUE!</v>
      </c>
      <c r="CZ69" t="e">
        <f>AND('SPR BARRANQUILLA'!CD80,"AAAAAH3d82c=")</f>
        <v>#VALUE!</v>
      </c>
      <c r="DA69" t="e">
        <f>AND('SPR BARRANQUILLA'!CE80,"AAAAAH3d82g=")</f>
        <v>#VALUE!</v>
      </c>
      <c r="DB69" t="e">
        <f>AND('SPR BARRANQUILLA'!CF80,"AAAAAH3d82k=")</f>
        <v>#VALUE!</v>
      </c>
      <c r="DC69" t="e">
        <f>AND('SPR BARRANQUILLA'!CG80,"AAAAAH3d82o=")</f>
        <v>#VALUE!</v>
      </c>
      <c r="DD69" t="e">
        <f>AND('SPR BARRANQUILLA'!CH80,"AAAAAH3d82s=")</f>
        <v>#VALUE!</v>
      </c>
      <c r="DE69" t="e">
        <f>AND('SPR BARRANQUILLA'!CI80,"AAAAAH3d82w=")</f>
        <v>#VALUE!</v>
      </c>
      <c r="DF69" t="e">
        <f>AND('SPR BARRANQUILLA'!CJ80,"AAAAAH3d820=")</f>
        <v>#VALUE!</v>
      </c>
      <c r="DG69" t="e">
        <f>AND('SPR BARRANQUILLA'!CK80,"AAAAAH3d824=")</f>
        <v>#VALUE!</v>
      </c>
      <c r="DH69" t="e">
        <f>AND('SPR BARRANQUILLA'!CL80,"AAAAAH3d828=")</f>
        <v>#VALUE!</v>
      </c>
      <c r="DI69" t="e">
        <f>AND('SPR BARRANQUILLA'!CM80,"AAAAAH3d83A=")</f>
        <v>#VALUE!</v>
      </c>
      <c r="DJ69" t="e">
        <f>AND('SPR BARRANQUILLA'!CN80,"AAAAAH3d83E=")</f>
        <v>#VALUE!</v>
      </c>
      <c r="DK69" t="e">
        <f>AND('SPR BARRANQUILLA'!CO80,"AAAAAH3d83I=")</f>
        <v>#VALUE!</v>
      </c>
      <c r="DL69" t="e">
        <f>AND('SPR BARRANQUILLA'!CP80,"AAAAAH3d83M=")</f>
        <v>#VALUE!</v>
      </c>
      <c r="DM69" t="e">
        <f>AND('SPR BARRANQUILLA'!CQ80,"AAAAAH3d83Q=")</f>
        <v>#VALUE!</v>
      </c>
      <c r="DN69" t="e">
        <f>AND('SPR BARRANQUILLA'!CR80,"AAAAAH3d83U=")</f>
        <v>#VALUE!</v>
      </c>
      <c r="DO69" t="e">
        <f>AND('SPR BARRANQUILLA'!CS80,"AAAAAH3d83Y=")</f>
        <v>#VALUE!</v>
      </c>
      <c r="DP69" t="e">
        <f>AND('SPR BARRANQUILLA'!CT80,"AAAAAH3d83c=")</f>
        <v>#VALUE!</v>
      </c>
      <c r="DQ69" t="e">
        <f>AND('SPR BARRANQUILLA'!CU80,"AAAAAH3d83g=")</f>
        <v>#VALUE!</v>
      </c>
      <c r="DR69" t="e">
        <f>AND('SPR BARRANQUILLA'!CV80,"AAAAAH3d83k=")</f>
        <v>#VALUE!</v>
      </c>
      <c r="DS69" t="e">
        <f>AND('SPR BARRANQUILLA'!CW80,"AAAAAH3d83o=")</f>
        <v>#VALUE!</v>
      </c>
      <c r="DT69" t="e">
        <f>AND('SPR BARRANQUILLA'!CX80,"AAAAAH3d83s=")</f>
        <v>#VALUE!</v>
      </c>
      <c r="DU69" t="e">
        <f>AND('SPR BARRANQUILLA'!CY80,"AAAAAH3d83w=")</f>
        <v>#VALUE!</v>
      </c>
      <c r="DV69" t="e">
        <f>AND('SPR BARRANQUILLA'!CZ80,"AAAAAH3d830=")</f>
        <v>#VALUE!</v>
      </c>
      <c r="DW69" t="e">
        <f>AND('SPR BARRANQUILLA'!DA80,"AAAAAH3d834=")</f>
        <v>#VALUE!</v>
      </c>
      <c r="DX69" t="e">
        <f>AND('SPR BARRANQUILLA'!DB80,"AAAAAH3d838=")</f>
        <v>#VALUE!</v>
      </c>
      <c r="DY69" t="e">
        <f>AND('SPR BARRANQUILLA'!DC80,"AAAAAH3d84A=")</f>
        <v>#VALUE!</v>
      </c>
      <c r="DZ69" t="e">
        <f>AND('SPR BARRANQUILLA'!DD80,"AAAAAH3d84E=")</f>
        <v>#VALUE!</v>
      </c>
      <c r="EA69" t="e">
        <f>AND('SPR BARRANQUILLA'!DE80,"AAAAAH3d84I=")</f>
        <v>#VALUE!</v>
      </c>
      <c r="EB69" t="e">
        <f>AND('SPR BARRANQUILLA'!DF80,"AAAAAH3d84M=")</f>
        <v>#VALUE!</v>
      </c>
      <c r="EC69" t="e">
        <f>AND('SPR BARRANQUILLA'!DG80,"AAAAAH3d84Q=")</f>
        <v>#VALUE!</v>
      </c>
      <c r="ED69" t="e">
        <f>AND('SPR BARRANQUILLA'!DH80,"AAAAAH3d84U=")</f>
        <v>#VALUE!</v>
      </c>
      <c r="EE69" t="e">
        <f>AND('SPR BARRANQUILLA'!DI80,"AAAAAH3d84Y=")</f>
        <v>#VALUE!</v>
      </c>
      <c r="EF69" t="e">
        <f>AND('SPR BARRANQUILLA'!DJ80,"AAAAAH3d84c=")</f>
        <v>#VALUE!</v>
      </c>
      <c r="EG69" t="e">
        <f>AND('SPR BARRANQUILLA'!DK80,"AAAAAH3d84g=")</f>
        <v>#VALUE!</v>
      </c>
      <c r="EH69" t="e">
        <f>AND('SPR BARRANQUILLA'!DL80,"AAAAAH3d84k=")</f>
        <v>#VALUE!</v>
      </c>
      <c r="EI69" t="e">
        <f>AND('SPR BARRANQUILLA'!DM80,"AAAAAH3d84o=")</f>
        <v>#VALUE!</v>
      </c>
      <c r="EJ69" t="e">
        <f>AND('SPR BARRANQUILLA'!DN80,"AAAAAH3d84s=")</f>
        <v>#VALUE!</v>
      </c>
      <c r="EK69" t="e">
        <f>AND('SPR BARRANQUILLA'!DO80,"AAAAAH3d84w=")</f>
        <v>#VALUE!</v>
      </c>
      <c r="EL69" t="e">
        <f>AND('SPR BARRANQUILLA'!DP80,"AAAAAH3d840=")</f>
        <v>#VALUE!</v>
      </c>
      <c r="EM69" t="e">
        <f>AND('SPR BARRANQUILLA'!DQ80,"AAAAAH3d844=")</f>
        <v>#VALUE!</v>
      </c>
      <c r="EN69" t="e">
        <f>AND('SPR BARRANQUILLA'!DR80,"AAAAAH3d848=")</f>
        <v>#VALUE!</v>
      </c>
      <c r="EO69" t="e">
        <f>AND('SPR BARRANQUILLA'!DS80,"AAAAAH3d85A=")</f>
        <v>#VALUE!</v>
      </c>
      <c r="EP69" t="e">
        <f>AND('SPR BARRANQUILLA'!DT80,"AAAAAH3d85E=")</f>
        <v>#VALUE!</v>
      </c>
      <c r="EQ69" t="e">
        <f>AND('SPR BARRANQUILLA'!DU80,"AAAAAH3d85I=")</f>
        <v>#VALUE!</v>
      </c>
      <c r="ER69" t="e">
        <f>AND('SPR BARRANQUILLA'!DV80,"AAAAAH3d85M=")</f>
        <v>#VALUE!</v>
      </c>
      <c r="ES69" t="e">
        <f>AND('SPR BARRANQUILLA'!DW80,"AAAAAH3d85Q=")</f>
        <v>#VALUE!</v>
      </c>
      <c r="ET69" t="e">
        <f>AND('SPR BARRANQUILLA'!DX80,"AAAAAH3d85U=")</f>
        <v>#VALUE!</v>
      </c>
      <c r="EU69" t="e">
        <f>AND('SPR BARRANQUILLA'!DY80,"AAAAAH3d85Y=")</f>
        <v>#VALUE!</v>
      </c>
      <c r="EV69" t="e">
        <f>AND('SPR BARRANQUILLA'!DZ80,"AAAAAH3d85c=")</f>
        <v>#VALUE!</v>
      </c>
      <c r="EW69" t="e">
        <f>AND('SPR BARRANQUILLA'!EA80,"AAAAAH3d85g=")</f>
        <v>#VALUE!</v>
      </c>
      <c r="EX69" t="e">
        <f>AND('SPR BARRANQUILLA'!EB80,"AAAAAH3d85k=")</f>
        <v>#VALUE!</v>
      </c>
      <c r="EY69" t="e">
        <f>AND('SPR BARRANQUILLA'!EC80,"AAAAAH3d85o=")</f>
        <v>#VALUE!</v>
      </c>
      <c r="EZ69" t="e">
        <f>AND('SPR BARRANQUILLA'!ED80,"AAAAAH3d85s=")</f>
        <v>#VALUE!</v>
      </c>
      <c r="FA69" t="e">
        <f>AND('SPR BARRANQUILLA'!EE80,"AAAAAH3d85w=")</f>
        <v>#VALUE!</v>
      </c>
      <c r="FB69" t="e">
        <f>AND('SPR BARRANQUILLA'!EF80,"AAAAAH3d850=")</f>
        <v>#VALUE!</v>
      </c>
      <c r="FC69" t="e">
        <f>AND('SPR BARRANQUILLA'!EG80,"AAAAAH3d854=")</f>
        <v>#VALUE!</v>
      </c>
      <c r="FD69" t="e">
        <f>AND('SPR BARRANQUILLA'!EH80,"AAAAAH3d858=")</f>
        <v>#VALUE!</v>
      </c>
      <c r="FE69" t="e">
        <f>AND('SPR BARRANQUILLA'!EI80,"AAAAAH3d86A=")</f>
        <v>#VALUE!</v>
      </c>
      <c r="FF69" t="e">
        <f>AND('SPR BARRANQUILLA'!EJ80,"AAAAAH3d86E=")</f>
        <v>#VALUE!</v>
      </c>
      <c r="FG69" t="e">
        <f>AND('SPR BARRANQUILLA'!EK80,"AAAAAH3d86I=")</f>
        <v>#VALUE!</v>
      </c>
      <c r="FH69" t="e">
        <f>AND('SPR BARRANQUILLA'!EL80,"AAAAAH3d86M=")</f>
        <v>#VALUE!</v>
      </c>
      <c r="FI69" t="e">
        <f>AND('SPR BARRANQUILLA'!EM80,"AAAAAH3d86Q=")</f>
        <v>#VALUE!</v>
      </c>
      <c r="FJ69" t="e">
        <f>AND('SPR BARRANQUILLA'!EN80,"AAAAAH3d86U=")</f>
        <v>#VALUE!</v>
      </c>
      <c r="FK69" t="e">
        <f>AND('SPR BARRANQUILLA'!EO80,"AAAAAH3d86Y=")</f>
        <v>#VALUE!</v>
      </c>
      <c r="FL69" t="e">
        <f>AND('SPR BARRANQUILLA'!EP80,"AAAAAH3d86c=")</f>
        <v>#VALUE!</v>
      </c>
      <c r="FM69" t="e">
        <f>AND('SPR BARRANQUILLA'!EQ80,"AAAAAH3d86g=")</f>
        <v>#VALUE!</v>
      </c>
      <c r="FN69" t="e">
        <f>AND('SPR BARRANQUILLA'!ER80,"AAAAAH3d86k=")</f>
        <v>#VALUE!</v>
      </c>
      <c r="FO69" t="e">
        <f>AND('SPR BARRANQUILLA'!ES80,"AAAAAH3d86o=")</f>
        <v>#VALUE!</v>
      </c>
      <c r="FP69" t="e">
        <f>AND('SPR BARRANQUILLA'!ET80,"AAAAAH3d86s=")</f>
        <v>#VALUE!</v>
      </c>
      <c r="FQ69" t="e">
        <f>AND('SPR BARRANQUILLA'!EU80,"AAAAAH3d86w=")</f>
        <v>#VALUE!</v>
      </c>
      <c r="FR69" t="e">
        <f>AND('SPR BARRANQUILLA'!EV80,"AAAAAH3d860=")</f>
        <v>#VALUE!</v>
      </c>
      <c r="FS69" t="e">
        <f>AND('SPR BARRANQUILLA'!EW80,"AAAAAH3d864=")</f>
        <v>#VALUE!</v>
      </c>
      <c r="FT69" t="e">
        <f>AND('SPR BARRANQUILLA'!EX80,"AAAAAH3d868=")</f>
        <v>#VALUE!</v>
      </c>
      <c r="FU69" t="e">
        <f>AND('SPR BARRANQUILLA'!EY80,"AAAAAH3d87A=")</f>
        <v>#VALUE!</v>
      </c>
      <c r="FV69" t="e">
        <f>AND('SPR BARRANQUILLA'!EZ80,"AAAAAH3d87E=")</f>
        <v>#VALUE!</v>
      </c>
      <c r="FW69" t="e">
        <f>AND('SPR BARRANQUILLA'!FA80,"AAAAAH3d87I=")</f>
        <v>#VALUE!</v>
      </c>
      <c r="FX69" t="e">
        <f>AND('SPR BARRANQUILLA'!FB80,"AAAAAH3d87M=")</f>
        <v>#VALUE!</v>
      </c>
      <c r="FY69" t="e">
        <f>AND('SPR BARRANQUILLA'!FC80,"AAAAAH3d87Q=")</f>
        <v>#VALUE!</v>
      </c>
      <c r="FZ69" t="e">
        <f>AND('SPR BARRANQUILLA'!FD80,"AAAAAH3d87U=")</f>
        <v>#VALUE!</v>
      </c>
      <c r="GA69" t="e">
        <f>AND('SPR BARRANQUILLA'!FE80,"AAAAAH3d87Y=")</f>
        <v>#VALUE!</v>
      </c>
      <c r="GB69" t="e">
        <f>AND('SPR BARRANQUILLA'!FF80,"AAAAAH3d87c=")</f>
        <v>#VALUE!</v>
      </c>
      <c r="GC69" t="e">
        <f>AND('SPR BARRANQUILLA'!FG80,"AAAAAH3d87g=")</f>
        <v>#VALUE!</v>
      </c>
      <c r="GD69" t="e">
        <f>AND('SPR BARRANQUILLA'!FH80,"AAAAAH3d87k=")</f>
        <v>#VALUE!</v>
      </c>
      <c r="GE69" t="e">
        <f>AND('SPR BARRANQUILLA'!FI80,"AAAAAH3d87o=")</f>
        <v>#VALUE!</v>
      </c>
      <c r="GF69" t="e">
        <f>AND('SPR BARRANQUILLA'!FJ80,"AAAAAH3d87s=")</f>
        <v>#VALUE!</v>
      </c>
      <c r="GG69" t="e">
        <f>AND('SPR BARRANQUILLA'!FK80,"AAAAAH3d87w=")</f>
        <v>#VALUE!</v>
      </c>
      <c r="GH69" t="e">
        <f>AND('SPR BARRANQUILLA'!FL80,"AAAAAH3d870=")</f>
        <v>#VALUE!</v>
      </c>
      <c r="GI69" t="e">
        <f>AND('SPR BARRANQUILLA'!FM80,"AAAAAH3d874=")</f>
        <v>#VALUE!</v>
      </c>
      <c r="GJ69" t="e">
        <f>AND('SPR BARRANQUILLA'!FN80,"AAAAAH3d878=")</f>
        <v>#VALUE!</v>
      </c>
      <c r="GK69" t="e">
        <f>AND('SPR BARRANQUILLA'!FO80,"AAAAAH3d88A=")</f>
        <v>#VALUE!</v>
      </c>
      <c r="GL69" t="e">
        <f>AND('SPR BARRANQUILLA'!FP80,"AAAAAH3d88E=")</f>
        <v>#VALUE!</v>
      </c>
      <c r="GM69" t="e">
        <f>AND('SPR BARRANQUILLA'!FQ80,"AAAAAH3d88I=")</f>
        <v>#VALUE!</v>
      </c>
      <c r="GN69" t="e">
        <f>AND('SPR BARRANQUILLA'!FR80,"AAAAAH3d88M=")</f>
        <v>#VALUE!</v>
      </c>
      <c r="GO69" t="e">
        <f>AND('SPR BARRANQUILLA'!FS80,"AAAAAH3d88Q=")</f>
        <v>#VALUE!</v>
      </c>
      <c r="GP69" t="e">
        <f>AND('SPR BARRANQUILLA'!FT80,"AAAAAH3d88U=")</f>
        <v>#VALUE!</v>
      </c>
      <c r="GQ69" t="e">
        <f>AND('SPR BARRANQUILLA'!FU80,"AAAAAH3d88Y=")</f>
        <v>#VALUE!</v>
      </c>
      <c r="GR69" t="e">
        <f>AND('SPR BARRANQUILLA'!FV80,"AAAAAH3d88c=")</f>
        <v>#VALUE!</v>
      </c>
      <c r="GS69" t="e">
        <f>AND('SPR BARRANQUILLA'!FW80,"AAAAAH3d88g=")</f>
        <v>#VALUE!</v>
      </c>
      <c r="GT69" t="e">
        <f>AND('SPR BARRANQUILLA'!FX80,"AAAAAH3d88k=")</f>
        <v>#VALUE!</v>
      </c>
      <c r="GU69" t="e">
        <f>AND('SPR BARRANQUILLA'!FY80,"AAAAAH3d88o=")</f>
        <v>#VALUE!</v>
      </c>
      <c r="GV69" t="e">
        <f>AND('SPR BARRANQUILLA'!FZ80,"AAAAAH3d88s=")</f>
        <v>#VALUE!</v>
      </c>
      <c r="GW69" t="e">
        <f>AND('SPR BARRANQUILLA'!GA80,"AAAAAH3d88w=")</f>
        <v>#VALUE!</v>
      </c>
      <c r="GX69" t="e">
        <f>AND('SPR BARRANQUILLA'!GB80,"AAAAAH3d880=")</f>
        <v>#VALUE!</v>
      </c>
      <c r="GY69" t="e">
        <f>AND('SPR BARRANQUILLA'!GC80,"AAAAAH3d884=")</f>
        <v>#VALUE!</v>
      </c>
      <c r="GZ69" t="e">
        <f>AND('SPR BARRANQUILLA'!GD80,"AAAAAH3d888=")</f>
        <v>#VALUE!</v>
      </c>
      <c r="HA69" t="e">
        <f>AND('SPR BARRANQUILLA'!GE80,"AAAAAH3d89A=")</f>
        <v>#VALUE!</v>
      </c>
      <c r="HB69" t="e">
        <f>AND('SPR BARRANQUILLA'!GF80,"AAAAAH3d89E=")</f>
        <v>#VALUE!</v>
      </c>
      <c r="HC69" t="e">
        <f>AND('SPR BARRANQUILLA'!GG80,"AAAAAH3d89I=")</f>
        <v>#VALUE!</v>
      </c>
      <c r="HD69" t="e">
        <f>AND('SPR BARRANQUILLA'!GH80,"AAAAAH3d89M=")</f>
        <v>#VALUE!</v>
      </c>
      <c r="HE69" t="e">
        <f>AND('SPR BARRANQUILLA'!GI80,"AAAAAH3d89Q=")</f>
        <v>#VALUE!</v>
      </c>
      <c r="HF69" t="e">
        <f>AND('SPR BARRANQUILLA'!GJ80,"AAAAAH3d89U=")</f>
        <v>#VALUE!</v>
      </c>
      <c r="HG69" t="e">
        <f>AND('SPR BARRANQUILLA'!GK80,"AAAAAH3d89Y=")</f>
        <v>#VALUE!</v>
      </c>
      <c r="HH69" t="e">
        <f>AND('SPR BARRANQUILLA'!GL80,"AAAAAH3d89c=")</f>
        <v>#VALUE!</v>
      </c>
      <c r="HI69" t="e">
        <f>AND('SPR BARRANQUILLA'!GM80,"AAAAAH3d89g=")</f>
        <v>#VALUE!</v>
      </c>
      <c r="HJ69" t="e">
        <f>AND('SPR BARRANQUILLA'!GN80,"AAAAAH3d89k=")</f>
        <v>#VALUE!</v>
      </c>
      <c r="HK69" t="e">
        <f>AND('SPR BARRANQUILLA'!GO80,"AAAAAH3d89o=")</f>
        <v>#VALUE!</v>
      </c>
      <c r="HL69" t="e">
        <f>AND('SPR BARRANQUILLA'!GP80,"AAAAAH3d89s=")</f>
        <v>#VALUE!</v>
      </c>
      <c r="HM69" t="e">
        <f>AND('SPR BARRANQUILLA'!GQ80,"AAAAAH3d89w=")</f>
        <v>#VALUE!</v>
      </c>
      <c r="HN69" t="e">
        <f>AND('SPR BARRANQUILLA'!GR80,"AAAAAH3d890=")</f>
        <v>#VALUE!</v>
      </c>
      <c r="HO69" t="e">
        <f>AND('SPR BARRANQUILLA'!GS80,"AAAAAH3d894=")</f>
        <v>#VALUE!</v>
      </c>
      <c r="HP69" t="e">
        <f>AND('SPR BARRANQUILLA'!GT80,"AAAAAH3d898=")</f>
        <v>#VALUE!</v>
      </c>
      <c r="HQ69" t="e">
        <f>AND('SPR BARRANQUILLA'!GU80,"AAAAAH3d8+A=")</f>
        <v>#VALUE!</v>
      </c>
      <c r="HR69" t="e">
        <f>AND('SPR BARRANQUILLA'!GV80,"AAAAAH3d8+E=")</f>
        <v>#VALUE!</v>
      </c>
      <c r="HS69" t="e">
        <f>AND('SPR BARRANQUILLA'!GW80,"AAAAAH3d8+I=")</f>
        <v>#VALUE!</v>
      </c>
      <c r="HT69" t="e">
        <f>AND('SPR BARRANQUILLA'!GX80,"AAAAAH3d8+M=")</f>
        <v>#VALUE!</v>
      </c>
      <c r="HU69" t="e">
        <f>AND('SPR BARRANQUILLA'!GY80,"AAAAAH3d8+Q=")</f>
        <v>#VALUE!</v>
      </c>
      <c r="HV69">
        <f>IF('SPR BARRANQUILLA'!81:81,"AAAAAH3d8+U=",0)</f>
        <v>0</v>
      </c>
      <c r="HW69" t="e">
        <f>AND('SPR BARRANQUILLA'!A81,"AAAAAH3d8+Y=")</f>
        <v>#VALUE!</v>
      </c>
      <c r="HX69" t="e">
        <f>AND('SPR BARRANQUILLA'!B81,"AAAAAH3d8+c=")</f>
        <v>#VALUE!</v>
      </c>
      <c r="HY69" t="e">
        <f>AND('SPR BARRANQUILLA'!C81,"AAAAAH3d8+g=")</f>
        <v>#VALUE!</v>
      </c>
      <c r="HZ69" t="e">
        <f>AND('SPR BARRANQUILLA'!D81,"AAAAAH3d8+k=")</f>
        <v>#VALUE!</v>
      </c>
      <c r="IA69" t="e">
        <f>AND('SPR BARRANQUILLA'!E81,"AAAAAH3d8+o=")</f>
        <v>#VALUE!</v>
      </c>
      <c r="IB69" t="e">
        <f>AND('SPR BARRANQUILLA'!F81,"AAAAAH3d8+s=")</f>
        <v>#VALUE!</v>
      </c>
      <c r="IC69" t="e">
        <f>AND('SPR BARRANQUILLA'!G81,"AAAAAH3d8+w=")</f>
        <v>#VALUE!</v>
      </c>
      <c r="ID69" t="e">
        <f>AND('SPR BARRANQUILLA'!H81,"AAAAAH3d8+0=")</f>
        <v>#VALUE!</v>
      </c>
      <c r="IE69" t="e">
        <f>AND('SPR BARRANQUILLA'!I81,"AAAAAH3d8+4=")</f>
        <v>#VALUE!</v>
      </c>
      <c r="IF69" t="e">
        <f>AND('SPR BARRANQUILLA'!J81,"AAAAAH3d8+8=")</f>
        <v>#VALUE!</v>
      </c>
      <c r="IG69" t="e">
        <f>AND('SPR BARRANQUILLA'!K81,"AAAAAH3d8/A=")</f>
        <v>#VALUE!</v>
      </c>
      <c r="IH69" t="e">
        <f>AND('SPR BARRANQUILLA'!L81,"AAAAAH3d8/E=")</f>
        <v>#VALUE!</v>
      </c>
      <c r="II69" t="e">
        <f>AND('SPR BARRANQUILLA'!M81,"AAAAAH3d8/I=")</f>
        <v>#VALUE!</v>
      </c>
      <c r="IJ69" t="e">
        <f>AND('SPR BARRANQUILLA'!N81,"AAAAAH3d8/M=")</f>
        <v>#VALUE!</v>
      </c>
      <c r="IK69" t="e">
        <f>AND('SPR BARRANQUILLA'!O81,"AAAAAH3d8/Q=")</f>
        <v>#VALUE!</v>
      </c>
      <c r="IL69" t="e">
        <f>AND('SPR BARRANQUILLA'!P81,"AAAAAH3d8/U=")</f>
        <v>#VALUE!</v>
      </c>
      <c r="IM69" t="e">
        <f>AND('SPR BARRANQUILLA'!Q81,"AAAAAH3d8/Y=")</f>
        <v>#VALUE!</v>
      </c>
      <c r="IN69" t="e">
        <f>AND('SPR BARRANQUILLA'!R81,"AAAAAH3d8/c=")</f>
        <v>#VALUE!</v>
      </c>
      <c r="IO69" t="e">
        <f>AND('SPR BARRANQUILLA'!S81,"AAAAAH3d8/g=")</f>
        <v>#VALUE!</v>
      </c>
      <c r="IP69" t="e">
        <f>AND('SPR BARRANQUILLA'!T81,"AAAAAH3d8/k=")</f>
        <v>#VALUE!</v>
      </c>
      <c r="IQ69" t="e">
        <f>AND('SPR BARRANQUILLA'!U81,"AAAAAH3d8/o=")</f>
        <v>#VALUE!</v>
      </c>
      <c r="IR69" t="e">
        <f>AND('SPR BARRANQUILLA'!V81,"AAAAAH3d8/s=")</f>
        <v>#VALUE!</v>
      </c>
      <c r="IS69" t="e">
        <f>AND('SPR BARRANQUILLA'!W81,"AAAAAH3d8/w=")</f>
        <v>#VALUE!</v>
      </c>
      <c r="IT69" t="e">
        <f>AND('SPR BARRANQUILLA'!X81,"AAAAAH3d8/0=")</f>
        <v>#VALUE!</v>
      </c>
      <c r="IU69" t="e">
        <f>AND('SPR BARRANQUILLA'!Y81,"AAAAAH3d8/4=")</f>
        <v>#VALUE!</v>
      </c>
      <c r="IV69" t="e">
        <f>AND('SPR BARRANQUILLA'!Z81,"AAAAAH3d8/8=")</f>
        <v>#VALUE!</v>
      </c>
    </row>
    <row r="70" spans="1:256">
      <c r="A70" t="e">
        <f>AND('SPR BARRANQUILLA'!AA81,"AAAAAH0D1QA=")</f>
        <v>#VALUE!</v>
      </c>
      <c r="B70" t="e">
        <f>AND('SPR BARRANQUILLA'!AB81,"AAAAAH0D1QE=")</f>
        <v>#VALUE!</v>
      </c>
      <c r="C70" t="e">
        <f>AND('SPR BARRANQUILLA'!AC81,"AAAAAH0D1QI=")</f>
        <v>#VALUE!</v>
      </c>
      <c r="D70" t="e">
        <f>AND('SPR BARRANQUILLA'!AD81,"AAAAAH0D1QM=")</f>
        <v>#VALUE!</v>
      </c>
      <c r="E70" t="e">
        <f>AND('SPR BARRANQUILLA'!AE81,"AAAAAH0D1QQ=")</f>
        <v>#VALUE!</v>
      </c>
      <c r="F70" t="e">
        <f>AND('SPR BARRANQUILLA'!AF81,"AAAAAH0D1QU=")</f>
        <v>#VALUE!</v>
      </c>
      <c r="G70" t="e">
        <f>AND('SPR BARRANQUILLA'!AG81,"AAAAAH0D1QY=")</f>
        <v>#VALUE!</v>
      </c>
      <c r="H70" t="e">
        <f>AND('SPR BARRANQUILLA'!AH81,"AAAAAH0D1Qc=")</f>
        <v>#VALUE!</v>
      </c>
      <c r="I70" t="e">
        <f>AND('SPR BARRANQUILLA'!AI81,"AAAAAH0D1Qg=")</f>
        <v>#VALUE!</v>
      </c>
      <c r="J70" t="e">
        <f>AND('SPR BARRANQUILLA'!AJ81,"AAAAAH0D1Qk=")</f>
        <v>#VALUE!</v>
      </c>
      <c r="K70" t="e">
        <f>AND('SPR BARRANQUILLA'!AK81,"AAAAAH0D1Qo=")</f>
        <v>#VALUE!</v>
      </c>
      <c r="L70" t="e">
        <f>AND('SPR BARRANQUILLA'!AL81,"AAAAAH0D1Qs=")</f>
        <v>#VALUE!</v>
      </c>
      <c r="M70" t="e">
        <f>AND('SPR BARRANQUILLA'!AM81,"AAAAAH0D1Qw=")</f>
        <v>#VALUE!</v>
      </c>
      <c r="N70" t="e">
        <f>AND('SPR BARRANQUILLA'!AN81,"AAAAAH0D1Q0=")</f>
        <v>#VALUE!</v>
      </c>
      <c r="O70" t="e">
        <f>AND('SPR BARRANQUILLA'!AO81,"AAAAAH0D1Q4=")</f>
        <v>#VALUE!</v>
      </c>
      <c r="P70" t="e">
        <f>AND('SPR BARRANQUILLA'!AP81,"AAAAAH0D1Q8=")</f>
        <v>#VALUE!</v>
      </c>
      <c r="Q70" t="e">
        <f>AND('SPR BARRANQUILLA'!AQ81,"AAAAAH0D1RA=")</f>
        <v>#VALUE!</v>
      </c>
      <c r="R70" t="e">
        <f>AND('SPR BARRANQUILLA'!AR81,"AAAAAH0D1RE=")</f>
        <v>#VALUE!</v>
      </c>
      <c r="S70" t="e">
        <f>AND('SPR BARRANQUILLA'!AS81,"AAAAAH0D1RI=")</f>
        <v>#VALUE!</v>
      </c>
      <c r="T70" t="e">
        <f>AND('SPR BARRANQUILLA'!AT81,"AAAAAH0D1RM=")</f>
        <v>#VALUE!</v>
      </c>
      <c r="U70" t="e">
        <f>AND('SPR BARRANQUILLA'!AU81,"AAAAAH0D1RQ=")</f>
        <v>#VALUE!</v>
      </c>
      <c r="V70" t="e">
        <f>AND('SPR BARRANQUILLA'!AV81,"AAAAAH0D1RU=")</f>
        <v>#VALUE!</v>
      </c>
      <c r="W70" t="e">
        <f>AND('SPR BARRANQUILLA'!AW81,"AAAAAH0D1RY=")</f>
        <v>#VALUE!</v>
      </c>
      <c r="X70" t="e">
        <f>AND('SPR BARRANQUILLA'!AX81,"AAAAAH0D1Rc=")</f>
        <v>#VALUE!</v>
      </c>
      <c r="Y70" t="e">
        <f>AND('SPR BARRANQUILLA'!AY81,"AAAAAH0D1Rg=")</f>
        <v>#VALUE!</v>
      </c>
      <c r="Z70" t="e">
        <f>AND('SPR BARRANQUILLA'!AZ81,"AAAAAH0D1Rk=")</f>
        <v>#VALUE!</v>
      </c>
      <c r="AA70" t="e">
        <f>AND('SPR BARRANQUILLA'!BA81,"AAAAAH0D1Ro=")</f>
        <v>#VALUE!</v>
      </c>
      <c r="AB70" t="e">
        <f>AND('SPR BARRANQUILLA'!BB81,"AAAAAH0D1Rs=")</f>
        <v>#VALUE!</v>
      </c>
      <c r="AC70" t="e">
        <f>AND('SPR BARRANQUILLA'!BC81,"AAAAAH0D1Rw=")</f>
        <v>#VALUE!</v>
      </c>
      <c r="AD70" t="e">
        <f>AND('SPR BARRANQUILLA'!BD81,"AAAAAH0D1R0=")</f>
        <v>#VALUE!</v>
      </c>
      <c r="AE70" t="e">
        <f>AND('SPR BARRANQUILLA'!BE81,"AAAAAH0D1R4=")</f>
        <v>#VALUE!</v>
      </c>
      <c r="AF70" t="e">
        <f>AND('SPR BARRANQUILLA'!BF81,"AAAAAH0D1R8=")</f>
        <v>#VALUE!</v>
      </c>
      <c r="AG70" t="e">
        <f>AND('SPR BARRANQUILLA'!BG81,"AAAAAH0D1SA=")</f>
        <v>#VALUE!</v>
      </c>
      <c r="AH70" t="e">
        <f>AND('SPR BARRANQUILLA'!BH81,"AAAAAH0D1SE=")</f>
        <v>#VALUE!</v>
      </c>
      <c r="AI70" t="e">
        <f>AND('SPR BARRANQUILLA'!BI81,"AAAAAH0D1SI=")</f>
        <v>#VALUE!</v>
      </c>
      <c r="AJ70" t="e">
        <f>AND('SPR BARRANQUILLA'!BJ81,"AAAAAH0D1SM=")</f>
        <v>#VALUE!</v>
      </c>
      <c r="AK70" t="e">
        <f>AND('SPR BARRANQUILLA'!BK81,"AAAAAH0D1SQ=")</f>
        <v>#VALUE!</v>
      </c>
      <c r="AL70" t="e">
        <f>AND('SPR BARRANQUILLA'!BL81,"AAAAAH0D1SU=")</f>
        <v>#VALUE!</v>
      </c>
      <c r="AM70" t="e">
        <f>AND('SPR BARRANQUILLA'!BM81,"AAAAAH0D1SY=")</f>
        <v>#VALUE!</v>
      </c>
      <c r="AN70" t="e">
        <f>AND('SPR BARRANQUILLA'!BN81,"AAAAAH0D1Sc=")</f>
        <v>#VALUE!</v>
      </c>
      <c r="AO70" t="e">
        <f>AND('SPR BARRANQUILLA'!BO81,"AAAAAH0D1Sg=")</f>
        <v>#VALUE!</v>
      </c>
      <c r="AP70" t="e">
        <f>AND('SPR BARRANQUILLA'!BP81,"AAAAAH0D1Sk=")</f>
        <v>#VALUE!</v>
      </c>
      <c r="AQ70" t="e">
        <f>AND('SPR BARRANQUILLA'!BQ81,"AAAAAH0D1So=")</f>
        <v>#VALUE!</v>
      </c>
      <c r="AR70" t="e">
        <f>AND('SPR BARRANQUILLA'!BR81,"AAAAAH0D1Ss=")</f>
        <v>#VALUE!</v>
      </c>
      <c r="AS70" t="e">
        <f>AND('SPR BARRANQUILLA'!BS81,"AAAAAH0D1Sw=")</f>
        <v>#VALUE!</v>
      </c>
      <c r="AT70" t="e">
        <f>AND('SPR BARRANQUILLA'!BT81,"AAAAAH0D1S0=")</f>
        <v>#VALUE!</v>
      </c>
      <c r="AU70" t="e">
        <f>AND('SPR BARRANQUILLA'!BU81,"AAAAAH0D1S4=")</f>
        <v>#VALUE!</v>
      </c>
      <c r="AV70" t="e">
        <f>AND('SPR BARRANQUILLA'!BV81,"AAAAAH0D1S8=")</f>
        <v>#VALUE!</v>
      </c>
      <c r="AW70" t="e">
        <f>AND('SPR BARRANQUILLA'!BW81,"AAAAAH0D1TA=")</f>
        <v>#VALUE!</v>
      </c>
      <c r="AX70" t="e">
        <f>AND('SPR BARRANQUILLA'!BX81,"AAAAAH0D1TE=")</f>
        <v>#VALUE!</v>
      </c>
      <c r="AY70" t="e">
        <f>AND('SPR BARRANQUILLA'!BY81,"AAAAAH0D1TI=")</f>
        <v>#VALUE!</v>
      </c>
      <c r="AZ70" t="e">
        <f>AND('SPR BARRANQUILLA'!BZ81,"AAAAAH0D1TM=")</f>
        <v>#VALUE!</v>
      </c>
      <c r="BA70" t="e">
        <f>AND('SPR BARRANQUILLA'!CA81,"AAAAAH0D1TQ=")</f>
        <v>#VALUE!</v>
      </c>
      <c r="BB70" t="e">
        <f>AND('SPR BARRANQUILLA'!CB81,"AAAAAH0D1TU=")</f>
        <v>#VALUE!</v>
      </c>
      <c r="BC70" t="e">
        <f>AND('SPR BARRANQUILLA'!CC81,"AAAAAH0D1TY=")</f>
        <v>#VALUE!</v>
      </c>
      <c r="BD70" t="e">
        <f>AND('SPR BARRANQUILLA'!CD81,"AAAAAH0D1Tc=")</f>
        <v>#VALUE!</v>
      </c>
      <c r="BE70" t="e">
        <f>AND('SPR BARRANQUILLA'!CE81,"AAAAAH0D1Tg=")</f>
        <v>#VALUE!</v>
      </c>
      <c r="BF70" t="e">
        <f>AND('SPR BARRANQUILLA'!CF81,"AAAAAH0D1Tk=")</f>
        <v>#VALUE!</v>
      </c>
      <c r="BG70" t="e">
        <f>AND('SPR BARRANQUILLA'!CG81,"AAAAAH0D1To=")</f>
        <v>#VALUE!</v>
      </c>
      <c r="BH70" t="e">
        <f>AND('SPR BARRANQUILLA'!CH81,"AAAAAH0D1Ts=")</f>
        <v>#VALUE!</v>
      </c>
      <c r="BI70" t="e">
        <f>AND('SPR BARRANQUILLA'!CI81,"AAAAAH0D1Tw=")</f>
        <v>#VALUE!</v>
      </c>
      <c r="BJ70" t="e">
        <f>AND('SPR BARRANQUILLA'!CJ81,"AAAAAH0D1T0=")</f>
        <v>#VALUE!</v>
      </c>
      <c r="BK70" t="e">
        <f>AND('SPR BARRANQUILLA'!CK81,"AAAAAH0D1T4=")</f>
        <v>#VALUE!</v>
      </c>
      <c r="BL70" t="e">
        <f>AND('SPR BARRANQUILLA'!CL81,"AAAAAH0D1T8=")</f>
        <v>#VALUE!</v>
      </c>
      <c r="BM70" t="e">
        <f>AND('SPR BARRANQUILLA'!CM81,"AAAAAH0D1UA=")</f>
        <v>#VALUE!</v>
      </c>
      <c r="BN70" t="e">
        <f>AND('SPR BARRANQUILLA'!CN81,"AAAAAH0D1UE=")</f>
        <v>#VALUE!</v>
      </c>
      <c r="BO70" t="e">
        <f>AND('SPR BARRANQUILLA'!CO81,"AAAAAH0D1UI=")</f>
        <v>#VALUE!</v>
      </c>
      <c r="BP70" t="e">
        <f>AND('SPR BARRANQUILLA'!CP81,"AAAAAH0D1UM=")</f>
        <v>#VALUE!</v>
      </c>
      <c r="BQ70" t="e">
        <f>AND('SPR BARRANQUILLA'!CQ81,"AAAAAH0D1UQ=")</f>
        <v>#VALUE!</v>
      </c>
      <c r="BR70" t="e">
        <f>AND('SPR BARRANQUILLA'!CR81,"AAAAAH0D1UU=")</f>
        <v>#VALUE!</v>
      </c>
      <c r="BS70" t="e">
        <f>AND('SPR BARRANQUILLA'!CS81,"AAAAAH0D1UY=")</f>
        <v>#VALUE!</v>
      </c>
      <c r="BT70" t="e">
        <f>AND('SPR BARRANQUILLA'!CT81,"AAAAAH0D1Uc=")</f>
        <v>#VALUE!</v>
      </c>
      <c r="BU70" t="e">
        <f>AND('SPR BARRANQUILLA'!CU81,"AAAAAH0D1Ug=")</f>
        <v>#VALUE!</v>
      </c>
      <c r="BV70" t="e">
        <f>AND('SPR BARRANQUILLA'!CV81,"AAAAAH0D1Uk=")</f>
        <v>#VALUE!</v>
      </c>
      <c r="BW70" t="e">
        <f>AND('SPR BARRANQUILLA'!CW81,"AAAAAH0D1Uo=")</f>
        <v>#VALUE!</v>
      </c>
      <c r="BX70" t="e">
        <f>AND('SPR BARRANQUILLA'!CX81,"AAAAAH0D1Us=")</f>
        <v>#VALUE!</v>
      </c>
      <c r="BY70" t="e">
        <f>AND('SPR BARRANQUILLA'!CY81,"AAAAAH0D1Uw=")</f>
        <v>#VALUE!</v>
      </c>
      <c r="BZ70" t="e">
        <f>AND('SPR BARRANQUILLA'!CZ81,"AAAAAH0D1U0=")</f>
        <v>#VALUE!</v>
      </c>
      <c r="CA70" t="e">
        <f>AND('SPR BARRANQUILLA'!DA81,"AAAAAH0D1U4=")</f>
        <v>#VALUE!</v>
      </c>
      <c r="CB70" t="e">
        <f>AND('SPR BARRANQUILLA'!DB81,"AAAAAH0D1U8=")</f>
        <v>#VALUE!</v>
      </c>
      <c r="CC70" t="e">
        <f>AND('SPR BARRANQUILLA'!DC81,"AAAAAH0D1VA=")</f>
        <v>#VALUE!</v>
      </c>
      <c r="CD70" t="e">
        <f>AND('SPR BARRANQUILLA'!DD81,"AAAAAH0D1VE=")</f>
        <v>#VALUE!</v>
      </c>
      <c r="CE70" t="e">
        <f>AND('SPR BARRANQUILLA'!DE81,"AAAAAH0D1VI=")</f>
        <v>#VALUE!</v>
      </c>
      <c r="CF70" t="e">
        <f>AND('SPR BARRANQUILLA'!DF81,"AAAAAH0D1VM=")</f>
        <v>#VALUE!</v>
      </c>
      <c r="CG70" t="e">
        <f>AND('SPR BARRANQUILLA'!DG81,"AAAAAH0D1VQ=")</f>
        <v>#VALUE!</v>
      </c>
      <c r="CH70" t="e">
        <f>AND('SPR BARRANQUILLA'!DH81,"AAAAAH0D1VU=")</f>
        <v>#VALUE!</v>
      </c>
      <c r="CI70" t="e">
        <f>AND('SPR BARRANQUILLA'!DI81,"AAAAAH0D1VY=")</f>
        <v>#VALUE!</v>
      </c>
      <c r="CJ70" t="e">
        <f>AND('SPR BARRANQUILLA'!DJ81,"AAAAAH0D1Vc=")</f>
        <v>#VALUE!</v>
      </c>
      <c r="CK70" t="e">
        <f>AND('SPR BARRANQUILLA'!DK81,"AAAAAH0D1Vg=")</f>
        <v>#VALUE!</v>
      </c>
      <c r="CL70" t="e">
        <f>AND('SPR BARRANQUILLA'!DL81,"AAAAAH0D1Vk=")</f>
        <v>#VALUE!</v>
      </c>
      <c r="CM70" t="e">
        <f>AND('SPR BARRANQUILLA'!DM81,"AAAAAH0D1Vo=")</f>
        <v>#VALUE!</v>
      </c>
      <c r="CN70" t="e">
        <f>AND('SPR BARRANQUILLA'!DN81,"AAAAAH0D1Vs=")</f>
        <v>#VALUE!</v>
      </c>
      <c r="CO70" t="e">
        <f>AND('SPR BARRANQUILLA'!DO81,"AAAAAH0D1Vw=")</f>
        <v>#VALUE!</v>
      </c>
      <c r="CP70" t="e">
        <f>AND('SPR BARRANQUILLA'!DP81,"AAAAAH0D1V0=")</f>
        <v>#VALUE!</v>
      </c>
      <c r="CQ70" t="e">
        <f>AND('SPR BARRANQUILLA'!DQ81,"AAAAAH0D1V4=")</f>
        <v>#VALUE!</v>
      </c>
      <c r="CR70" t="e">
        <f>AND('SPR BARRANQUILLA'!DR81,"AAAAAH0D1V8=")</f>
        <v>#VALUE!</v>
      </c>
      <c r="CS70" t="e">
        <f>AND('SPR BARRANQUILLA'!DS81,"AAAAAH0D1WA=")</f>
        <v>#VALUE!</v>
      </c>
      <c r="CT70" t="e">
        <f>AND('SPR BARRANQUILLA'!DT81,"AAAAAH0D1WE=")</f>
        <v>#VALUE!</v>
      </c>
      <c r="CU70" t="e">
        <f>AND('SPR BARRANQUILLA'!DU81,"AAAAAH0D1WI=")</f>
        <v>#VALUE!</v>
      </c>
      <c r="CV70" t="e">
        <f>AND('SPR BARRANQUILLA'!DV81,"AAAAAH0D1WM=")</f>
        <v>#VALUE!</v>
      </c>
      <c r="CW70" t="e">
        <f>AND('SPR BARRANQUILLA'!DW81,"AAAAAH0D1WQ=")</f>
        <v>#VALUE!</v>
      </c>
      <c r="CX70" t="e">
        <f>AND('SPR BARRANQUILLA'!DX81,"AAAAAH0D1WU=")</f>
        <v>#VALUE!</v>
      </c>
      <c r="CY70" t="e">
        <f>AND('SPR BARRANQUILLA'!DY81,"AAAAAH0D1WY=")</f>
        <v>#VALUE!</v>
      </c>
      <c r="CZ70" t="e">
        <f>AND('SPR BARRANQUILLA'!DZ81,"AAAAAH0D1Wc=")</f>
        <v>#VALUE!</v>
      </c>
      <c r="DA70" t="e">
        <f>AND('SPR BARRANQUILLA'!EA81,"AAAAAH0D1Wg=")</f>
        <v>#VALUE!</v>
      </c>
      <c r="DB70" t="e">
        <f>AND('SPR BARRANQUILLA'!EB81,"AAAAAH0D1Wk=")</f>
        <v>#VALUE!</v>
      </c>
      <c r="DC70" t="e">
        <f>AND('SPR BARRANQUILLA'!EC81,"AAAAAH0D1Wo=")</f>
        <v>#VALUE!</v>
      </c>
      <c r="DD70" t="e">
        <f>AND('SPR BARRANQUILLA'!ED81,"AAAAAH0D1Ws=")</f>
        <v>#VALUE!</v>
      </c>
      <c r="DE70" t="e">
        <f>AND('SPR BARRANQUILLA'!EE81,"AAAAAH0D1Ww=")</f>
        <v>#VALUE!</v>
      </c>
      <c r="DF70" t="e">
        <f>AND('SPR BARRANQUILLA'!EF81,"AAAAAH0D1W0=")</f>
        <v>#VALUE!</v>
      </c>
      <c r="DG70" t="e">
        <f>AND('SPR BARRANQUILLA'!EG81,"AAAAAH0D1W4=")</f>
        <v>#VALUE!</v>
      </c>
      <c r="DH70" t="e">
        <f>AND('SPR BARRANQUILLA'!EH81,"AAAAAH0D1W8=")</f>
        <v>#VALUE!</v>
      </c>
      <c r="DI70" t="e">
        <f>AND('SPR BARRANQUILLA'!EI81,"AAAAAH0D1XA=")</f>
        <v>#VALUE!</v>
      </c>
      <c r="DJ70" t="e">
        <f>AND('SPR BARRANQUILLA'!EJ81,"AAAAAH0D1XE=")</f>
        <v>#VALUE!</v>
      </c>
      <c r="DK70" t="e">
        <f>AND('SPR BARRANQUILLA'!EK81,"AAAAAH0D1XI=")</f>
        <v>#VALUE!</v>
      </c>
      <c r="DL70" t="e">
        <f>AND('SPR BARRANQUILLA'!EL81,"AAAAAH0D1XM=")</f>
        <v>#VALUE!</v>
      </c>
      <c r="DM70" t="e">
        <f>AND('SPR BARRANQUILLA'!EM81,"AAAAAH0D1XQ=")</f>
        <v>#VALUE!</v>
      </c>
      <c r="DN70" t="e">
        <f>AND('SPR BARRANQUILLA'!EN81,"AAAAAH0D1XU=")</f>
        <v>#VALUE!</v>
      </c>
      <c r="DO70" t="e">
        <f>AND('SPR BARRANQUILLA'!EO81,"AAAAAH0D1XY=")</f>
        <v>#VALUE!</v>
      </c>
      <c r="DP70" t="e">
        <f>AND('SPR BARRANQUILLA'!EP81,"AAAAAH0D1Xc=")</f>
        <v>#VALUE!</v>
      </c>
      <c r="DQ70" t="e">
        <f>AND('SPR BARRANQUILLA'!EQ81,"AAAAAH0D1Xg=")</f>
        <v>#VALUE!</v>
      </c>
      <c r="DR70" t="e">
        <f>AND('SPR BARRANQUILLA'!ER81,"AAAAAH0D1Xk=")</f>
        <v>#VALUE!</v>
      </c>
      <c r="DS70" t="e">
        <f>AND('SPR BARRANQUILLA'!ES81,"AAAAAH0D1Xo=")</f>
        <v>#VALUE!</v>
      </c>
      <c r="DT70" t="e">
        <f>AND('SPR BARRANQUILLA'!ET81,"AAAAAH0D1Xs=")</f>
        <v>#VALUE!</v>
      </c>
      <c r="DU70" t="e">
        <f>AND('SPR BARRANQUILLA'!EU81,"AAAAAH0D1Xw=")</f>
        <v>#VALUE!</v>
      </c>
      <c r="DV70" t="e">
        <f>AND('SPR BARRANQUILLA'!EV81,"AAAAAH0D1X0=")</f>
        <v>#VALUE!</v>
      </c>
      <c r="DW70" t="e">
        <f>AND('SPR BARRANQUILLA'!EW81,"AAAAAH0D1X4=")</f>
        <v>#VALUE!</v>
      </c>
      <c r="DX70" t="e">
        <f>AND('SPR BARRANQUILLA'!EX81,"AAAAAH0D1X8=")</f>
        <v>#VALUE!</v>
      </c>
      <c r="DY70" t="e">
        <f>AND('SPR BARRANQUILLA'!EY81,"AAAAAH0D1YA=")</f>
        <v>#VALUE!</v>
      </c>
      <c r="DZ70" t="e">
        <f>AND('SPR BARRANQUILLA'!EZ81,"AAAAAH0D1YE=")</f>
        <v>#VALUE!</v>
      </c>
      <c r="EA70" t="e">
        <f>AND('SPR BARRANQUILLA'!FA81,"AAAAAH0D1YI=")</f>
        <v>#VALUE!</v>
      </c>
      <c r="EB70" t="e">
        <f>AND('SPR BARRANQUILLA'!FB81,"AAAAAH0D1YM=")</f>
        <v>#VALUE!</v>
      </c>
      <c r="EC70" t="e">
        <f>AND('SPR BARRANQUILLA'!FC81,"AAAAAH0D1YQ=")</f>
        <v>#VALUE!</v>
      </c>
      <c r="ED70" t="e">
        <f>AND('SPR BARRANQUILLA'!FD81,"AAAAAH0D1YU=")</f>
        <v>#VALUE!</v>
      </c>
      <c r="EE70" t="e">
        <f>AND('SPR BARRANQUILLA'!FE81,"AAAAAH0D1YY=")</f>
        <v>#VALUE!</v>
      </c>
      <c r="EF70" t="e">
        <f>AND('SPR BARRANQUILLA'!FF81,"AAAAAH0D1Yc=")</f>
        <v>#VALUE!</v>
      </c>
      <c r="EG70" t="e">
        <f>AND('SPR BARRANQUILLA'!FG81,"AAAAAH0D1Yg=")</f>
        <v>#VALUE!</v>
      </c>
      <c r="EH70" t="e">
        <f>AND('SPR BARRANQUILLA'!FH81,"AAAAAH0D1Yk=")</f>
        <v>#VALUE!</v>
      </c>
      <c r="EI70" t="e">
        <f>AND('SPR BARRANQUILLA'!FI81,"AAAAAH0D1Yo=")</f>
        <v>#VALUE!</v>
      </c>
      <c r="EJ70" t="e">
        <f>AND('SPR BARRANQUILLA'!FJ81,"AAAAAH0D1Ys=")</f>
        <v>#VALUE!</v>
      </c>
      <c r="EK70" t="e">
        <f>AND('SPR BARRANQUILLA'!FK81,"AAAAAH0D1Yw=")</f>
        <v>#VALUE!</v>
      </c>
      <c r="EL70" t="e">
        <f>AND('SPR BARRANQUILLA'!FL81,"AAAAAH0D1Y0=")</f>
        <v>#VALUE!</v>
      </c>
      <c r="EM70" t="e">
        <f>AND('SPR BARRANQUILLA'!FM81,"AAAAAH0D1Y4=")</f>
        <v>#VALUE!</v>
      </c>
      <c r="EN70" t="e">
        <f>AND('SPR BARRANQUILLA'!FN81,"AAAAAH0D1Y8=")</f>
        <v>#VALUE!</v>
      </c>
      <c r="EO70" t="e">
        <f>AND('SPR BARRANQUILLA'!FO81,"AAAAAH0D1ZA=")</f>
        <v>#VALUE!</v>
      </c>
      <c r="EP70" t="e">
        <f>AND('SPR BARRANQUILLA'!FP81,"AAAAAH0D1ZE=")</f>
        <v>#VALUE!</v>
      </c>
      <c r="EQ70" t="e">
        <f>AND('SPR BARRANQUILLA'!FQ81,"AAAAAH0D1ZI=")</f>
        <v>#VALUE!</v>
      </c>
      <c r="ER70" t="e">
        <f>AND('SPR BARRANQUILLA'!FR81,"AAAAAH0D1ZM=")</f>
        <v>#VALUE!</v>
      </c>
      <c r="ES70" t="e">
        <f>AND('SPR BARRANQUILLA'!FS81,"AAAAAH0D1ZQ=")</f>
        <v>#VALUE!</v>
      </c>
      <c r="ET70" t="e">
        <f>AND('SPR BARRANQUILLA'!FT81,"AAAAAH0D1ZU=")</f>
        <v>#VALUE!</v>
      </c>
      <c r="EU70" t="e">
        <f>AND('SPR BARRANQUILLA'!FU81,"AAAAAH0D1ZY=")</f>
        <v>#VALUE!</v>
      </c>
      <c r="EV70" t="e">
        <f>AND('SPR BARRANQUILLA'!FV81,"AAAAAH0D1Zc=")</f>
        <v>#VALUE!</v>
      </c>
      <c r="EW70" t="e">
        <f>AND('SPR BARRANQUILLA'!FW81,"AAAAAH0D1Zg=")</f>
        <v>#VALUE!</v>
      </c>
      <c r="EX70" t="e">
        <f>AND('SPR BARRANQUILLA'!FX81,"AAAAAH0D1Zk=")</f>
        <v>#VALUE!</v>
      </c>
      <c r="EY70" t="e">
        <f>AND('SPR BARRANQUILLA'!FY81,"AAAAAH0D1Zo=")</f>
        <v>#VALUE!</v>
      </c>
      <c r="EZ70" t="e">
        <f>AND('SPR BARRANQUILLA'!FZ81,"AAAAAH0D1Zs=")</f>
        <v>#VALUE!</v>
      </c>
      <c r="FA70" t="e">
        <f>AND('SPR BARRANQUILLA'!GA81,"AAAAAH0D1Zw=")</f>
        <v>#VALUE!</v>
      </c>
      <c r="FB70" t="e">
        <f>AND('SPR BARRANQUILLA'!GB81,"AAAAAH0D1Z0=")</f>
        <v>#VALUE!</v>
      </c>
      <c r="FC70" t="e">
        <f>AND('SPR BARRANQUILLA'!GC81,"AAAAAH0D1Z4=")</f>
        <v>#VALUE!</v>
      </c>
      <c r="FD70" t="e">
        <f>AND('SPR BARRANQUILLA'!GD81,"AAAAAH0D1Z8=")</f>
        <v>#VALUE!</v>
      </c>
      <c r="FE70" t="e">
        <f>AND('SPR BARRANQUILLA'!GE81,"AAAAAH0D1aA=")</f>
        <v>#VALUE!</v>
      </c>
      <c r="FF70" t="e">
        <f>AND('SPR BARRANQUILLA'!GF81,"AAAAAH0D1aE=")</f>
        <v>#VALUE!</v>
      </c>
      <c r="FG70" t="e">
        <f>AND('SPR BARRANQUILLA'!GG81,"AAAAAH0D1aI=")</f>
        <v>#VALUE!</v>
      </c>
      <c r="FH70" t="e">
        <f>AND('SPR BARRANQUILLA'!GH81,"AAAAAH0D1aM=")</f>
        <v>#VALUE!</v>
      </c>
      <c r="FI70" t="e">
        <f>AND('SPR BARRANQUILLA'!GI81,"AAAAAH0D1aQ=")</f>
        <v>#VALUE!</v>
      </c>
      <c r="FJ70" t="e">
        <f>AND('SPR BARRANQUILLA'!GJ81,"AAAAAH0D1aU=")</f>
        <v>#VALUE!</v>
      </c>
      <c r="FK70" t="e">
        <f>AND('SPR BARRANQUILLA'!GK81,"AAAAAH0D1aY=")</f>
        <v>#VALUE!</v>
      </c>
      <c r="FL70" t="e">
        <f>AND('SPR BARRANQUILLA'!GL81,"AAAAAH0D1ac=")</f>
        <v>#VALUE!</v>
      </c>
      <c r="FM70" t="e">
        <f>AND('SPR BARRANQUILLA'!GM81,"AAAAAH0D1ag=")</f>
        <v>#VALUE!</v>
      </c>
      <c r="FN70" t="e">
        <f>AND('SPR BARRANQUILLA'!GN81,"AAAAAH0D1ak=")</f>
        <v>#VALUE!</v>
      </c>
      <c r="FO70" t="e">
        <f>AND('SPR BARRANQUILLA'!GO81,"AAAAAH0D1ao=")</f>
        <v>#VALUE!</v>
      </c>
      <c r="FP70" t="e">
        <f>AND('SPR BARRANQUILLA'!GP81,"AAAAAH0D1as=")</f>
        <v>#VALUE!</v>
      </c>
      <c r="FQ70" t="e">
        <f>AND('SPR BARRANQUILLA'!GQ81,"AAAAAH0D1aw=")</f>
        <v>#VALUE!</v>
      </c>
      <c r="FR70" t="e">
        <f>AND('SPR BARRANQUILLA'!GR81,"AAAAAH0D1a0=")</f>
        <v>#VALUE!</v>
      </c>
      <c r="FS70" t="e">
        <f>AND('SPR BARRANQUILLA'!GS81,"AAAAAH0D1a4=")</f>
        <v>#VALUE!</v>
      </c>
      <c r="FT70" t="e">
        <f>AND('SPR BARRANQUILLA'!GT81,"AAAAAH0D1a8=")</f>
        <v>#VALUE!</v>
      </c>
      <c r="FU70" t="e">
        <f>AND('SPR BARRANQUILLA'!GU81,"AAAAAH0D1bA=")</f>
        <v>#VALUE!</v>
      </c>
      <c r="FV70" t="e">
        <f>AND('SPR BARRANQUILLA'!GV81,"AAAAAH0D1bE=")</f>
        <v>#VALUE!</v>
      </c>
      <c r="FW70" t="e">
        <f>AND('SPR BARRANQUILLA'!GW81,"AAAAAH0D1bI=")</f>
        <v>#VALUE!</v>
      </c>
      <c r="FX70" t="e">
        <f>AND('SPR BARRANQUILLA'!GX81,"AAAAAH0D1bM=")</f>
        <v>#VALUE!</v>
      </c>
      <c r="FY70" t="e">
        <f>AND('SPR BARRANQUILLA'!GY81,"AAAAAH0D1bQ=")</f>
        <v>#VALUE!</v>
      </c>
      <c r="FZ70">
        <f>IF('SPR BARRANQUILLA'!82:82,"AAAAAH0D1bU=",0)</f>
        <v>0</v>
      </c>
      <c r="GA70" t="e">
        <f>AND('SPR BARRANQUILLA'!A82,"AAAAAH0D1bY=")</f>
        <v>#VALUE!</v>
      </c>
      <c r="GB70" t="e">
        <f>AND('SPR BARRANQUILLA'!B82,"AAAAAH0D1bc=")</f>
        <v>#VALUE!</v>
      </c>
      <c r="GC70" t="e">
        <f>AND('SPR BARRANQUILLA'!C82,"AAAAAH0D1bg=")</f>
        <v>#VALUE!</v>
      </c>
      <c r="GD70" t="e">
        <f>AND('SPR BARRANQUILLA'!D82,"AAAAAH0D1bk=")</f>
        <v>#VALUE!</v>
      </c>
      <c r="GE70" t="e">
        <f>AND('SPR BARRANQUILLA'!E82,"AAAAAH0D1bo=")</f>
        <v>#VALUE!</v>
      </c>
      <c r="GF70" t="e">
        <f>AND('SPR BARRANQUILLA'!F82,"AAAAAH0D1bs=")</f>
        <v>#VALUE!</v>
      </c>
      <c r="GG70" t="e">
        <f>AND('SPR BARRANQUILLA'!G82,"AAAAAH0D1bw=")</f>
        <v>#VALUE!</v>
      </c>
      <c r="GH70" t="e">
        <f>AND('SPR BARRANQUILLA'!H82,"AAAAAH0D1b0=")</f>
        <v>#VALUE!</v>
      </c>
      <c r="GI70" t="e">
        <f>AND('SPR BARRANQUILLA'!I82,"AAAAAH0D1b4=")</f>
        <v>#VALUE!</v>
      </c>
      <c r="GJ70" t="e">
        <f>AND('SPR BARRANQUILLA'!J82,"AAAAAH0D1b8=")</f>
        <v>#VALUE!</v>
      </c>
      <c r="GK70" t="e">
        <f>AND('SPR BARRANQUILLA'!K82,"AAAAAH0D1cA=")</f>
        <v>#VALUE!</v>
      </c>
      <c r="GL70" t="e">
        <f>AND('SPR BARRANQUILLA'!L82,"AAAAAH0D1cE=")</f>
        <v>#VALUE!</v>
      </c>
      <c r="GM70" t="e">
        <f>AND('SPR BARRANQUILLA'!M82,"AAAAAH0D1cI=")</f>
        <v>#VALUE!</v>
      </c>
      <c r="GN70" t="e">
        <f>AND('SPR BARRANQUILLA'!N82,"AAAAAH0D1cM=")</f>
        <v>#VALUE!</v>
      </c>
      <c r="GO70" t="e">
        <f>AND('SPR BARRANQUILLA'!O82,"AAAAAH0D1cQ=")</f>
        <v>#VALUE!</v>
      </c>
      <c r="GP70" t="e">
        <f>AND('SPR BARRANQUILLA'!P82,"AAAAAH0D1cU=")</f>
        <v>#VALUE!</v>
      </c>
      <c r="GQ70" t="e">
        <f>AND('SPR BARRANQUILLA'!Q82,"AAAAAH0D1cY=")</f>
        <v>#VALUE!</v>
      </c>
      <c r="GR70" t="e">
        <f>AND('SPR BARRANQUILLA'!R82,"AAAAAH0D1cc=")</f>
        <v>#VALUE!</v>
      </c>
      <c r="GS70" t="e">
        <f>AND('SPR BARRANQUILLA'!S82,"AAAAAH0D1cg=")</f>
        <v>#VALUE!</v>
      </c>
      <c r="GT70" t="e">
        <f>AND('SPR BARRANQUILLA'!T82,"AAAAAH0D1ck=")</f>
        <v>#VALUE!</v>
      </c>
      <c r="GU70" t="e">
        <f>AND('SPR BARRANQUILLA'!U82,"AAAAAH0D1co=")</f>
        <v>#VALUE!</v>
      </c>
      <c r="GV70" t="e">
        <f>AND('SPR BARRANQUILLA'!V82,"AAAAAH0D1cs=")</f>
        <v>#VALUE!</v>
      </c>
      <c r="GW70" t="e">
        <f>AND('SPR BARRANQUILLA'!W82,"AAAAAH0D1cw=")</f>
        <v>#VALUE!</v>
      </c>
      <c r="GX70" t="e">
        <f>AND('SPR BARRANQUILLA'!X82,"AAAAAH0D1c0=")</f>
        <v>#VALUE!</v>
      </c>
      <c r="GY70" t="e">
        <f>AND('SPR BARRANQUILLA'!Y82,"AAAAAH0D1c4=")</f>
        <v>#VALUE!</v>
      </c>
      <c r="GZ70" t="e">
        <f>AND('SPR BARRANQUILLA'!Z82,"AAAAAH0D1c8=")</f>
        <v>#VALUE!</v>
      </c>
      <c r="HA70" t="e">
        <f>AND('SPR BARRANQUILLA'!AA82,"AAAAAH0D1dA=")</f>
        <v>#VALUE!</v>
      </c>
      <c r="HB70" t="e">
        <f>AND('SPR BARRANQUILLA'!AB82,"AAAAAH0D1dE=")</f>
        <v>#VALUE!</v>
      </c>
      <c r="HC70" t="e">
        <f>AND('SPR BARRANQUILLA'!AC82,"AAAAAH0D1dI=")</f>
        <v>#VALUE!</v>
      </c>
      <c r="HD70" t="e">
        <f>AND('SPR BARRANQUILLA'!AD82,"AAAAAH0D1dM=")</f>
        <v>#VALUE!</v>
      </c>
      <c r="HE70" t="e">
        <f>AND('SPR BARRANQUILLA'!AE82,"AAAAAH0D1dQ=")</f>
        <v>#VALUE!</v>
      </c>
      <c r="HF70" t="e">
        <f>AND('SPR BARRANQUILLA'!AF82,"AAAAAH0D1dU=")</f>
        <v>#VALUE!</v>
      </c>
      <c r="HG70" t="e">
        <f>AND('SPR BARRANQUILLA'!AG82,"AAAAAH0D1dY=")</f>
        <v>#VALUE!</v>
      </c>
      <c r="HH70" t="e">
        <f>AND('SPR BARRANQUILLA'!AH82,"AAAAAH0D1dc=")</f>
        <v>#VALUE!</v>
      </c>
      <c r="HI70" t="e">
        <f>AND('SPR BARRANQUILLA'!AI82,"AAAAAH0D1dg=")</f>
        <v>#VALUE!</v>
      </c>
      <c r="HJ70" t="e">
        <f>AND('SPR BARRANQUILLA'!AJ82,"AAAAAH0D1dk=")</f>
        <v>#VALUE!</v>
      </c>
      <c r="HK70" t="e">
        <f>AND('SPR BARRANQUILLA'!AK82,"AAAAAH0D1do=")</f>
        <v>#VALUE!</v>
      </c>
      <c r="HL70" t="e">
        <f>AND('SPR BARRANQUILLA'!AL82,"AAAAAH0D1ds=")</f>
        <v>#VALUE!</v>
      </c>
      <c r="HM70" t="e">
        <f>AND('SPR BARRANQUILLA'!AM82,"AAAAAH0D1dw=")</f>
        <v>#VALUE!</v>
      </c>
      <c r="HN70" t="e">
        <f>AND('SPR BARRANQUILLA'!AN82,"AAAAAH0D1d0=")</f>
        <v>#VALUE!</v>
      </c>
      <c r="HO70" t="e">
        <f>AND('SPR BARRANQUILLA'!AO82,"AAAAAH0D1d4=")</f>
        <v>#VALUE!</v>
      </c>
      <c r="HP70" t="e">
        <f>AND('SPR BARRANQUILLA'!AP82,"AAAAAH0D1d8=")</f>
        <v>#VALUE!</v>
      </c>
      <c r="HQ70" t="e">
        <f>AND('SPR BARRANQUILLA'!AQ82,"AAAAAH0D1eA=")</f>
        <v>#VALUE!</v>
      </c>
      <c r="HR70" t="e">
        <f>AND('SPR BARRANQUILLA'!AR82,"AAAAAH0D1eE=")</f>
        <v>#VALUE!</v>
      </c>
      <c r="HS70" t="e">
        <f>AND('SPR BARRANQUILLA'!AS82,"AAAAAH0D1eI=")</f>
        <v>#VALUE!</v>
      </c>
      <c r="HT70" t="e">
        <f>AND('SPR BARRANQUILLA'!AT82,"AAAAAH0D1eM=")</f>
        <v>#VALUE!</v>
      </c>
      <c r="HU70" t="e">
        <f>AND('SPR BARRANQUILLA'!AU82,"AAAAAH0D1eQ=")</f>
        <v>#VALUE!</v>
      </c>
      <c r="HV70" t="e">
        <f>AND('SPR BARRANQUILLA'!AV82,"AAAAAH0D1eU=")</f>
        <v>#VALUE!</v>
      </c>
      <c r="HW70" t="e">
        <f>AND('SPR BARRANQUILLA'!AW82,"AAAAAH0D1eY=")</f>
        <v>#VALUE!</v>
      </c>
      <c r="HX70" t="e">
        <f>AND('SPR BARRANQUILLA'!AX82,"AAAAAH0D1ec=")</f>
        <v>#VALUE!</v>
      </c>
      <c r="HY70" t="e">
        <f>AND('SPR BARRANQUILLA'!AY82,"AAAAAH0D1eg=")</f>
        <v>#VALUE!</v>
      </c>
      <c r="HZ70" t="e">
        <f>AND('SPR BARRANQUILLA'!AZ82,"AAAAAH0D1ek=")</f>
        <v>#VALUE!</v>
      </c>
      <c r="IA70" t="e">
        <f>AND('SPR BARRANQUILLA'!BA82,"AAAAAH0D1eo=")</f>
        <v>#VALUE!</v>
      </c>
      <c r="IB70" t="e">
        <f>AND('SPR BARRANQUILLA'!BB82,"AAAAAH0D1es=")</f>
        <v>#VALUE!</v>
      </c>
      <c r="IC70" t="e">
        <f>AND('SPR BARRANQUILLA'!BC82,"AAAAAH0D1ew=")</f>
        <v>#VALUE!</v>
      </c>
      <c r="ID70" t="e">
        <f>AND('SPR BARRANQUILLA'!BD82,"AAAAAH0D1e0=")</f>
        <v>#VALUE!</v>
      </c>
      <c r="IE70" t="e">
        <f>AND('SPR BARRANQUILLA'!BE82,"AAAAAH0D1e4=")</f>
        <v>#VALUE!</v>
      </c>
      <c r="IF70" t="e">
        <f>AND('SPR BARRANQUILLA'!BF82,"AAAAAH0D1e8=")</f>
        <v>#VALUE!</v>
      </c>
      <c r="IG70" t="e">
        <f>AND('SPR BARRANQUILLA'!BG82,"AAAAAH0D1fA=")</f>
        <v>#VALUE!</v>
      </c>
      <c r="IH70" t="e">
        <f>AND('SPR BARRANQUILLA'!BH82,"AAAAAH0D1fE=")</f>
        <v>#VALUE!</v>
      </c>
      <c r="II70" t="e">
        <f>AND('SPR BARRANQUILLA'!BI82,"AAAAAH0D1fI=")</f>
        <v>#VALUE!</v>
      </c>
      <c r="IJ70" t="e">
        <f>AND('SPR BARRANQUILLA'!BJ82,"AAAAAH0D1fM=")</f>
        <v>#VALUE!</v>
      </c>
      <c r="IK70" t="e">
        <f>AND('SPR BARRANQUILLA'!BK82,"AAAAAH0D1fQ=")</f>
        <v>#VALUE!</v>
      </c>
      <c r="IL70" t="e">
        <f>AND('SPR BARRANQUILLA'!BL82,"AAAAAH0D1fU=")</f>
        <v>#VALUE!</v>
      </c>
      <c r="IM70" t="e">
        <f>AND('SPR BARRANQUILLA'!BM82,"AAAAAH0D1fY=")</f>
        <v>#VALUE!</v>
      </c>
      <c r="IN70" t="e">
        <f>AND('SPR BARRANQUILLA'!BN82,"AAAAAH0D1fc=")</f>
        <v>#VALUE!</v>
      </c>
      <c r="IO70" t="e">
        <f>AND('SPR BARRANQUILLA'!BO82,"AAAAAH0D1fg=")</f>
        <v>#VALUE!</v>
      </c>
      <c r="IP70" t="e">
        <f>AND('SPR BARRANQUILLA'!BP82,"AAAAAH0D1fk=")</f>
        <v>#VALUE!</v>
      </c>
      <c r="IQ70" t="e">
        <f>AND('SPR BARRANQUILLA'!BQ82,"AAAAAH0D1fo=")</f>
        <v>#VALUE!</v>
      </c>
      <c r="IR70" t="e">
        <f>AND('SPR BARRANQUILLA'!BR82,"AAAAAH0D1fs=")</f>
        <v>#VALUE!</v>
      </c>
      <c r="IS70" t="e">
        <f>AND('SPR BARRANQUILLA'!BS82,"AAAAAH0D1fw=")</f>
        <v>#VALUE!</v>
      </c>
      <c r="IT70" t="e">
        <f>AND('SPR BARRANQUILLA'!BT82,"AAAAAH0D1f0=")</f>
        <v>#VALUE!</v>
      </c>
      <c r="IU70" t="e">
        <f>AND('SPR BARRANQUILLA'!BU82,"AAAAAH0D1f4=")</f>
        <v>#VALUE!</v>
      </c>
      <c r="IV70" t="e">
        <f>AND('SPR BARRANQUILLA'!BV82,"AAAAAH0D1f8=")</f>
        <v>#VALUE!</v>
      </c>
    </row>
    <row r="71" spans="1:256">
      <c r="A71" t="e">
        <f>AND('SPR BARRANQUILLA'!BW82,"AAAAAE1+vQA=")</f>
        <v>#VALUE!</v>
      </c>
      <c r="B71" t="e">
        <f>AND('SPR BARRANQUILLA'!BX82,"AAAAAE1+vQE=")</f>
        <v>#VALUE!</v>
      </c>
      <c r="C71" t="e">
        <f>AND('SPR BARRANQUILLA'!BY82,"AAAAAE1+vQI=")</f>
        <v>#VALUE!</v>
      </c>
      <c r="D71" t="e">
        <f>AND('SPR BARRANQUILLA'!BZ82,"AAAAAE1+vQM=")</f>
        <v>#VALUE!</v>
      </c>
      <c r="E71" t="e">
        <f>AND('SPR BARRANQUILLA'!CA82,"AAAAAE1+vQQ=")</f>
        <v>#VALUE!</v>
      </c>
      <c r="F71" t="e">
        <f>AND('SPR BARRANQUILLA'!CB82,"AAAAAE1+vQU=")</f>
        <v>#VALUE!</v>
      </c>
      <c r="G71" t="e">
        <f>AND('SPR BARRANQUILLA'!CC82,"AAAAAE1+vQY=")</f>
        <v>#VALUE!</v>
      </c>
      <c r="H71" t="e">
        <f>AND('SPR BARRANQUILLA'!CD82,"AAAAAE1+vQc=")</f>
        <v>#VALUE!</v>
      </c>
      <c r="I71" t="e">
        <f>AND('SPR BARRANQUILLA'!CE82,"AAAAAE1+vQg=")</f>
        <v>#VALUE!</v>
      </c>
      <c r="J71" t="e">
        <f>AND('SPR BARRANQUILLA'!CF82,"AAAAAE1+vQk=")</f>
        <v>#VALUE!</v>
      </c>
      <c r="K71" t="e">
        <f>AND('SPR BARRANQUILLA'!CG82,"AAAAAE1+vQo=")</f>
        <v>#VALUE!</v>
      </c>
      <c r="L71" t="e">
        <f>AND('SPR BARRANQUILLA'!CH82,"AAAAAE1+vQs=")</f>
        <v>#VALUE!</v>
      </c>
      <c r="M71" t="e">
        <f>AND('SPR BARRANQUILLA'!CI82,"AAAAAE1+vQw=")</f>
        <v>#VALUE!</v>
      </c>
      <c r="N71" t="e">
        <f>AND('SPR BARRANQUILLA'!CJ82,"AAAAAE1+vQ0=")</f>
        <v>#VALUE!</v>
      </c>
      <c r="O71" t="e">
        <f>AND('SPR BARRANQUILLA'!CK82,"AAAAAE1+vQ4=")</f>
        <v>#VALUE!</v>
      </c>
      <c r="P71" t="e">
        <f>AND('SPR BARRANQUILLA'!CL82,"AAAAAE1+vQ8=")</f>
        <v>#VALUE!</v>
      </c>
      <c r="Q71" t="e">
        <f>AND('SPR BARRANQUILLA'!CM82,"AAAAAE1+vRA=")</f>
        <v>#VALUE!</v>
      </c>
      <c r="R71" t="e">
        <f>AND('SPR BARRANQUILLA'!CN82,"AAAAAE1+vRE=")</f>
        <v>#VALUE!</v>
      </c>
      <c r="S71" t="e">
        <f>AND('SPR BARRANQUILLA'!CO82,"AAAAAE1+vRI=")</f>
        <v>#VALUE!</v>
      </c>
      <c r="T71" t="e">
        <f>AND('SPR BARRANQUILLA'!CP82,"AAAAAE1+vRM=")</f>
        <v>#VALUE!</v>
      </c>
      <c r="U71" t="e">
        <f>AND('SPR BARRANQUILLA'!CQ82,"AAAAAE1+vRQ=")</f>
        <v>#VALUE!</v>
      </c>
      <c r="V71" t="e">
        <f>AND('SPR BARRANQUILLA'!CR82,"AAAAAE1+vRU=")</f>
        <v>#VALUE!</v>
      </c>
      <c r="W71" t="e">
        <f>AND('SPR BARRANQUILLA'!CS82,"AAAAAE1+vRY=")</f>
        <v>#VALUE!</v>
      </c>
      <c r="X71" t="e">
        <f>AND('SPR BARRANQUILLA'!CT82,"AAAAAE1+vRc=")</f>
        <v>#VALUE!</v>
      </c>
      <c r="Y71" t="e">
        <f>AND('SPR BARRANQUILLA'!CU82,"AAAAAE1+vRg=")</f>
        <v>#VALUE!</v>
      </c>
      <c r="Z71" t="e">
        <f>AND('SPR BARRANQUILLA'!CV82,"AAAAAE1+vRk=")</f>
        <v>#VALUE!</v>
      </c>
      <c r="AA71" t="e">
        <f>AND('SPR BARRANQUILLA'!CW82,"AAAAAE1+vRo=")</f>
        <v>#VALUE!</v>
      </c>
      <c r="AB71" t="e">
        <f>AND('SPR BARRANQUILLA'!CX82,"AAAAAE1+vRs=")</f>
        <v>#VALUE!</v>
      </c>
      <c r="AC71" t="e">
        <f>AND('SPR BARRANQUILLA'!CY82,"AAAAAE1+vRw=")</f>
        <v>#VALUE!</v>
      </c>
      <c r="AD71" t="e">
        <f>AND('SPR BARRANQUILLA'!CZ82,"AAAAAE1+vR0=")</f>
        <v>#VALUE!</v>
      </c>
      <c r="AE71" t="e">
        <f>AND('SPR BARRANQUILLA'!DA82,"AAAAAE1+vR4=")</f>
        <v>#VALUE!</v>
      </c>
      <c r="AF71" t="e">
        <f>AND('SPR BARRANQUILLA'!DB82,"AAAAAE1+vR8=")</f>
        <v>#VALUE!</v>
      </c>
      <c r="AG71" t="e">
        <f>AND('SPR BARRANQUILLA'!DC82,"AAAAAE1+vSA=")</f>
        <v>#VALUE!</v>
      </c>
      <c r="AH71" t="e">
        <f>AND('SPR BARRANQUILLA'!DD82,"AAAAAE1+vSE=")</f>
        <v>#VALUE!</v>
      </c>
      <c r="AI71" t="e">
        <f>AND('SPR BARRANQUILLA'!DE82,"AAAAAE1+vSI=")</f>
        <v>#VALUE!</v>
      </c>
      <c r="AJ71" t="e">
        <f>AND('SPR BARRANQUILLA'!DF82,"AAAAAE1+vSM=")</f>
        <v>#VALUE!</v>
      </c>
      <c r="AK71" t="e">
        <f>AND('SPR BARRANQUILLA'!DG82,"AAAAAE1+vSQ=")</f>
        <v>#VALUE!</v>
      </c>
      <c r="AL71" t="e">
        <f>AND('SPR BARRANQUILLA'!DH82,"AAAAAE1+vSU=")</f>
        <v>#VALUE!</v>
      </c>
      <c r="AM71" t="e">
        <f>AND('SPR BARRANQUILLA'!DI82,"AAAAAE1+vSY=")</f>
        <v>#VALUE!</v>
      </c>
      <c r="AN71" t="e">
        <f>AND('SPR BARRANQUILLA'!DJ82,"AAAAAE1+vSc=")</f>
        <v>#VALUE!</v>
      </c>
      <c r="AO71" t="e">
        <f>AND('SPR BARRANQUILLA'!DK82,"AAAAAE1+vSg=")</f>
        <v>#VALUE!</v>
      </c>
      <c r="AP71" t="e">
        <f>AND('SPR BARRANQUILLA'!DL82,"AAAAAE1+vSk=")</f>
        <v>#VALUE!</v>
      </c>
      <c r="AQ71" t="e">
        <f>AND('SPR BARRANQUILLA'!DM82,"AAAAAE1+vSo=")</f>
        <v>#VALUE!</v>
      </c>
      <c r="AR71" t="e">
        <f>AND('SPR BARRANQUILLA'!DN82,"AAAAAE1+vSs=")</f>
        <v>#VALUE!</v>
      </c>
      <c r="AS71" t="e">
        <f>AND('SPR BARRANQUILLA'!DO82,"AAAAAE1+vSw=")</f>
        <v>#VALUE!</v>
      </c>
      <c r="AT71" t="e">
        <f>AND('SPR BARRANQUILLA'!DP82,"AAAAAE1+vS0=")</f>
        <v>#VALUE!</v>
      </c>
      <c r="AU71" t="e">
        <f>AND('SPR BARRANQUILLA'!DQ82,"AAAAAE1+vS4=")</f>
        <v>#VALUE!</v>
      </c>
      <c r="AV71" t="e">
        <f>AND('SPR BARRANQUILLA'!DR82,"AAAAAE1+vS8=")</f>
        <v>#VALUE!</v>
      </c>
      <c r="AW71" t="e">
        <f>AND('SPR BARRANQUILLA'!DS82,"AAAAAE1+vTA=")</f>
        <v>#VALUE!</v>
      </c>
      <c r="AX71" t="e">
        <f>AND('SPR BARRANQUILLA'!DT82,"AAAAAE1+vTE=")</f>
        <v>#VALUE!</v>
      </c>
      <c r="AY71" t="e">
        <f>AND('SPR BARRANQUILLA'!DU82,"AAAAAE1+vTI=")</f>
        <v>#VALUE!</v>
      </c>
      <c r="AZ71" t="e">
        <f>AND('SPR BARRANQUILLA'!DV82,"AAAAAE1+vTM=")</f>
        <v>#VALUE!</v>
      </c>
      <c r="BA71" t="e">
        <f>AND('SPR BARRANQUILLA'!DW82,"AAAAAE1+vTQ=")</f>
        <v>#VALUE!</v>
      </c>
      <c r="BB71" t="e">
        <f>AND('SPR BARRANQUILLA'!DX82,"AAAAAE1+vTU=")</f>
        <v>#VALUE!</v>
      </c>
      <c r="BC71" t="e">
        <f>AND('SPR BARRANQUILLA'!DY82,"AAAAAE1+vTY=")</f>
        <v>#VALUE!</v>
      </c>
      <c r="BD71" t="e">
        <f>AND('SPR BARRANQUILLA'!DZ82,"AAAAAE1+vTc=")</f>
        <v>#VALUE!</v>
      </c>
      <c r="BE71" t="e">
        <f>AND('SPR BARRANQUILLA'!EA82,"AAAAAE1+vTg=")</f>
        <v>#VALUE!</v>
      </c>
      <c r="BF71" t="e">
        <f>AND('SPR BARRANQUILLA'!EB82,"AAAAAE1+vTk=")</f>
        <v>#VALUE!</v>
      </c>
      <c r="BG71" t="e">
        <f>AND('SPR BARRANQUILLA'!EC82,"AAAAAE1+vTo=")</f>
        <v>#VALUE!</v>
      </c>
      <c r="BH71" t="e">
        <f>AND('SPR BARRANQUILLA'!ED82,"AAAAAE1+vTs=")</f>
        <v>#VALUE!</v>
      </c>
      <c r="BI71" t="e">
        <f>AND('SPR BARRANQUILLA'!EE82,"AAAAAE1+vTw=")</f>
        <v>#VALUE!</v>
      </c>
      <c r="BJ71" t="e">
        <f>AND('SPR BARRANQUILLA'!EF82,"AAAAAE1+vT0=")</f>
        <v>#VALUE!</v>
      </c>
      <c r="BK71" t="e">
        <f>AND('SPR BARRANQUILLA'!EG82,"AAAAAE1+vT4=")</f>
        <v>#VALUE!</v>
      </c>
      <c r="BL71" t="e">
        <f>AND('SPR BARRANQUILLA'!EH82,"AAAAAE1+vT8=")</f>
        <v>#VALUE!</v>
      </c>
      <c r="BM71" t="e">
        <f>AND('SPR BARRANQUILLA'!EI82,"AAAAAE1+vUA=")</f>
        <v>#VALUE!</v>
      </c>
      <c r="BN71" t="e">
        <f>AND('SPR BARRANQUILLA'!EJ82,"AAAAAE1+vUE=")</f>
        <v>#VALUE!</v>
      </c>
      <c r="BO71" t="e">
        <f>AND('SPR BARRANQUILLA'!EK82,"AAAAAE1+vUI=")</f>
        <v>#VALUE!</v>
      </c>
      <c r="BP71" t="e">
        <f>AND('SPR BARRANQUILLA'!EL82,"AAAAAE1+vUM=")</f>
        <v>#VALUE!</v>
      </c>
      <c r="BQ71" t="e">
        <f>AND('SPR BARRANQUILLA'!EM82,"AAAAAE1+vUQ=")</f>
        <v>#VALUE!</v>
      </c>
      <c r="BR71" t="e">
        <f>AND('SPR BARRANQUILLA'!EN82,"AAAAAE1+vUU=")</f>
        <v>#VALUE!</v>
      </c>
      <c r="BS71" t="e">
        <f>AND('SPR BARRANQUILLA'!EO82,"AAAAAE1+vUY=")</f>
        <v>#VALUE!</v>
      </c>
      <c r="BT71" t="e">
        <f>AND('SPR BARRANQUILLA'!EP82,"AAAAAE1+vUc=")</f>
        <v>#VALUE!</v>
      </c>
      <c r="BU71" t="e">
        <f>AND('SPR BARRANQUILLA'!EQ82,"AAAAAE1+vUg=")</f>
        <v>#VALUE!</v>
      </c>
      <c r="BV71" t="e">
        <f>AND('SPR BARRANQUILLA'!ER82,"AAAAAE1+vUk=")</f>
        <v>#VALUE!</v>
      </c>
      <c r="BW71" t="e">
        <f>AND('SPR BARRANQUILLA'!ES82,"AAAAAE1+vUo=")</f>
        <v>#VALUE!</v>
      </c>
      <c r="BX71" t="e">
        <f>AND('SPR BARRANQUILLA'!ET82,"AAAAAE1+vUs=")</f>
        <v>#VALUE!</v>
      </c>
      <c r="BY71" t="e">
        <f>AND('SPR BARRANQUILLA'!EU82,"AAAAAE1+vUw=")</f>
        <v>#VALUE!</v>
      </c>
      <c r="BZ71" t="e">
        <f>AND('SPR BARRANQUILLA'!EV82,"AAAAAE1+vU0=")</f>
        <v>#VALUE!</v>
      </c>
      <c r="CA71" t="e">
        <f>AND('SPR BARRANQUILLA'!EW82,"AAAAAE1+vU4=")</f>
        <v>#VALUE!</v>
      </c>
      <c r="CB71" t="e">
        <f>AND('SPR BARRANQUILLA'!EX82,"AAAAAE1+vU8=")</f>
        <v>#VALUE!</v>
      </c>
      <c r="CC71" t="e">
        <f>AND('SPR BARRANQUILLA'!EY82,"AAAAAE1+vVA=")</f>
        <v>#VALUE!</v>
      </c>
      <c r="CD71" t="e">
        <f>AND('SPR BARRANQUILLA'!EZ82,"AAAAAE1+vVE=")</f>
        <v>#VALUE!</v>
      </c>
      <c r="CE71" t="e">
        <f>AND('SPR BARRANQUILLA'!FA82,"AAAAAE1+vVI=")</f>
        <v>#VALUE!</v>
      </c>
      <c r="CF71" t="e">
        <f>AND('SPR BARRANQUILLA'!FB82,"AAAAAE1+vVM=")</f>
        <v>#VALUE!</v>
      </c>
      <c r="CG71" t="e">
        <f>AND('SPR BARRANQUILLA'!FC82,"AAAAAE1+vVQ=")</f>
        <v>#VALUE!</v>
      </c>
      <c r="CH71" t="e">
        <f>AND('SPR BARRANQUILLA'!FD82,"AAAAAE1+vVU=")</f>
        <v>#VALUE!</v>
      </c>
      <c r="CI71" t="e">
        <f>AND('SPR BARRANQUILLA'!FE82,"AAAAAE1+vVY=")</f>
        <v>#VALUE!</v>
      </c>
      <c r="CJ71" t="e">
        <f>AND('SPR BARRANQUILLA'!FF82,"AAAAAE1+vVc=")</f>
        <v>#VALUE!</v>
      </c>
      <c r="CK71" t="e">
        <f>AND('SPR BARRANQUILLA'!FG82,"AAAAAE1+vVg=")</f>
        <v>#VALUE!</v>
      </c>
      <c r="CL71" t="e">
        <f>AND('SPR BARRANQUILLA'!FH82,"AAAAAE1+vVk=")</f>
        <v>#VALUE!</v>
      </c>
      <c r="CM71" t="e">
        <f>AND('SPR BARRANQUILLA'!FI82,"AAAAAE1+vVo=")</f>
        <v>#VALUE!</v>
      </c>
      <c r="CN71" t="e">
        <f>AND('SPR BARRANQUILLA'!FJ82,"AAAAAE1+vVs=")</f>
        <v>#VALUE!</v>
      </c>
      <c r="CO71" t="e">
        <f>AND('SPR BARRANQUILLA'!FK82,"AAAAAE1+vVw=")</f>
        <v>#VALUE!</v>
      </c>
      <c r="CP71" t="e">
        <f>AND('SPR BARRANQUILLA'!FL82,"AAAAAE1+vV0=")</f>
        <v>#VALUE!</v>
      </c>
      <c r="CQ71" t="e">
        <f>AND('SPR BARRANQUILLA'!FM82,"AAAAAE1+vV4=")</f>
        <v>#VALUE!</v>
      </c>
      <c r="CR71" t="e">
        <f>AND('SPR BARRANQUILLA'!FN82,"AAAAAE1+vV8=")</f>
        <v>#VALUE!</v>
      </c>
      <c r="CS71" t="e">
        <f>AND('SPR BARRANQUILLA'!FO82,"AAAAAE1+vWA=")</f>
        <v>#VALUE!</v>
      </c>
      <c r="CT71" t="e">
        <f>AND('SPR BARRANQUILLA'!FP82,"AAAAAE1+vWE=")</f>
        <v>#VALUE!</v>
      </c>
      <c r="CU71" t="e">
        <f>AND('SPR BARRANQUILLA'!FQ82,"AAAAAE1+vWI=")</f>
        <v>#VALUE!</v>
      </c>
      <c r="CV71" t="e">
        <f>AND('SPR BARRANQUILLA'!FR82,"AAAAAE1+vWM=")</f>
        <v>#VALUE!</v>
      </c>
      <c r="CW71" t="e">
        <f>AND('SPR BARRANQUILLA'!FS82,"AAAAAE1+vWQ=")</f>
        <v>#VALUE!</v>
      </c>
      <c r="CX71" t="e">
        <f>AND('SPR BARRANQUILLA'!FT82,"AAAAAE1+vWU=")</f>
        <v>#VALUE!</v>
      </c>
      <c r="CY71" t="e">
        <f>AND('SPR BARRANQUILLA'!FU82,"AAAAAE1+vWY=")</f>
        <v>#VALUE!</v>
      </c>
      <c r="CZ71" t="e">
        <f>AND('SPR BARRANQUILLA'!FV82,"AAAAAE1+vWc=")</f>
        <v>#VALUE!</v>
      </c>
      <c r="DA71" t="e">
        <f>AND('SPR BARRANQUILLA'!FW82,"AAAAAE1+vWg=")</f>
        <v>#VALUE!</v>
      </c>
      <c r="DB71" t="e">
        <f>AND('SPR BARRANQUILLA'!FX82,"AAAAAE1+vWk=")</f>
        <v>#VALUE!</v>
      </c>
      <c r="DC71" t="e">
        <f>AND('SPR BARRANQUILLA'!FY82,"AAAAAE1+vWo=")</f>
        <v>#VALUE!</v>
      </c>
      <c r="DD71" t="e">
        <f>AND('SPR BARRANQUILLA'!FZ82,"AAAAAE1+vWs=")</f>
        <v>#VALUE!</v>
      </c>
      <c r="DE71" t="e">
        <f>AND('SPR BARRANQUILLA'!GA82,"AAAAAE1+vWw=")</f>
        <v>#VALUE!</v>
      </c>
      <c r="DF71" t="e">
        <f>AND('SPR BARRANQUILLA'!GB82,"AAAAAE1+vW0=")</f>
        <v>#VALUE!</v>
      </c>
      <c r="DG71" t="e">
        <f>AND('SPR BARRANQUILLA'!GC82,"AAAAAE1+vW4=")</f>
        <v>#VALUE!</v>
      </c>
      <c r="DH71" t="e">
        <f>AND('SPR BARRANQUILLA'!GD82,"AAAAAE1+vW8=")</f>
        <v>#VALUE!</v>
      </c>
      <c r="DI71" t="e">
        <f>AND('SPR BARRANQUILLA'!GE82,"AAAAAE1+vXA=")</f>
        <v>#VALUE!</v>
      </c>
      <c r="DJ71" t="e">
        <f>AND('SPR BARRANQUILLA'!GF82,"AAAAAE1+vXE=")</f>
        <v>#VALUE!</v>
      </c>
      <c r="DK71" t="e">
        <f>AND('SPR BARRANQUILLA'!GG82,"AAAAAE1+vXI=")</f>
        <v>#VALUE!</v>
      </c>
      <c r="DL71" t="e">
        <f>AND('SPR BARRANQUILLA'!GH82,"AAAAAE1+vXM=")</f>
        <v>#VALUE!</v>
      </c>
      <c r="DM71" t="e">
        <f>AND('SPR BARRANQUILLA'!GI82,"AAAAAE1+vXQ=")</f>
        <v>#VALUE!</v>
      </c>
      <c r="DN71" t="e">
        <f>AND('SPR BARRANQUILLA'!GJ82,"AAAAAE1+vXU=")</f>
        <v>#VALUE!</v>
      </c>
      <c r="DO71" t="e">
        <f>AND('SPR BARRANQUILLA'!GK82,"AAAAAE1+vXY=")</f>
        <v>#VALUE!</v>
      </c>
      <c r="DP71" t="e">
        <f>AND('SPR BARRANQUILLA'!GL82,"AAAAAE1+vXc=")</f>
        <v>#VALUE!</v>
      </c>
      <c r="DQ71" t="e">
        <f>AND('SPR BARRANQUILLA'!GM82,"AAAAAE1+vXg=")</f>
        <v>#VALUE!</v>
      </c>
      <c r="DR71" t="e">
        <f>AND('SPR BARRANQUILLA'!GN82,"AAAAAE1+vXk=")</f>
        <v>#VALUE!</v>
      </c>
      <c r="DS71" t="e">
        <f>AND('SPR BARRANQUILLA'!GO82,"AAAAAE1+vXo=")</f>
        <v>#VALUE!</v>
      </c>
      <c r="DT71" t="e">
        <f>AND('SPR BARRANQUILLA'!GP82,"AAAAAE1+vXs=")</f>
        <v>#VALUE!</v>
      </c>
      <c r="DU71" t="e">
        <f>AND('SPR BARRANQUILLA'!GQ82,"AAAAAE1+vXw=")</f>
        <v>#VALUE!</v>
      </c>
      <c r="DV71" t="e">
        <f>AND('SPR BARRANQUILLA'!GR82,"AAAAAE1+vX0=")</f>
        <v>#VALUE!</v>
      </c>
      <c r="DW71" t="e">
        <f>AND('SPR BARRANQUILLA'!GS82,"AAAAAE1+vX4=")</f>
        <v>#VALUE!</v>
      </c>
      <c r="DX71" t="e">
        <f>AND('SPR BARRANQUILLA'!GT82,"AAAAAE1+vX8=")</f>
        <v>#VALUE!</v>
      </c>
      <c r="DY71" t="e">
        <f>AND('SPR BARRANQUILLA'!GU82,"AAAAAE1+vYA=")</f>
        <v>#VALUE!</v>
      </c>
      <c r="DZ71" t="e">
        <f>AND('SPR BARRANQUILLA'!GV82,"AAAAAE1+vYE=")</f>
        <v>#VALUE!</v>
      </c>
      <c r="EA71" t="e">
        <f>AND('SPR BARRANQUILLA'!GW82,"AAAAAE1+vYI=")</f>
        <v>#VALUE!</v>
      </c>
      <c r="EB71" t="e">
        <f>AND('SPR BARRANQUILLA'!GX82,"AAAAAE1+vYM=")</f>
        <v>#VALUE!</v>
      </c>
      <c r="EC71" t="e">
        <f>AND('SPR BARRANQUILLA'!GY82,"AAAAAE1+vYQ=")</f>
        <v>#VALUE!</v>
      </c>
      <c r="ED71">
        <f>IF('SPR BARRANQUILLA'!83:83,"AAAAAE1+vYU=",0)</f>
        <v>0</v>
      </c>
      <c r="EE71" t="e">
        <f>AND('SPR BARRANQUILLA'!A83,"AAAAAE1+vYY=")</f>
        <v>#VALUE!</v>
      </c>
      <c r="EF71" t="e">
        <f>AND('SPR BARRANQUILLA'!B83,"AAAAAE1+vYc=")</f>
        <v>#VALUE!</v>
      </c>
      <c r="EG71" t="e">
        <f>AND('SPR BARRANQUILLA'!C83,"AAAAAE1+vYg=")</f>
        <v>#VALUE!</v>
      </c>
      <c r="EH71" t="e">
        <f>AND('SPR BARRANQUILLA'!D83,"AAAAAE1+vYk=")</f>
        <v>#VALUE!</v>
      </c>
      <c r="EI71" t="e">
        <f>AND('SPR BARRANQUILLA'!E83,"AAAAAE1+vYo=")</f>
        <v>#VALUE!</v>
      </c>
      <c r="EJ71" t="e">
        <f>AND('SPR BARRANQUILLA'!F83,"AAAAAE1+vYs=")</f>
        <v>#VALUE!</v>
      </c>
      <c r="EK71" t="e">
        <f>AND('SPR BARRANQUILLA'!G83,"AAAAAE1+vYw=")</f>
        <v>#VALUE!</v>
      </c>
      <c r="EL71" t="e">
        <f>AND('SPR BARRANQUILLA'!H83,"AAAAAE1+vY0=")</f>
        <v>#VALUE!</v>
      </c>
      <c r="EM71" t="e">
        <f>AND('SPR BARRANQUILLA'!I83,"AAAAAE1+vY4=")</f>
        <v>#VALUE!</v>
      </c>
      <c r="EN71" t="e">
        <f>AND('SPR BARRANQUILLA'!J83,"AAAAAE1+vY8=")</f>
        <v>#VALUE!</v>
      </c>
      <c r="EO71" t="e">
        <f>AND('SPR BARRANQUILLA'!K83,"AAAAAE1+vZA=")</f>
        <v>#VALUE!</v>
      </c>
      <c r="EP71" t="e">
        <f>AND('SPR BARRANQUILLA'!L83,"AAAAAE1+vZE=")</f>
        <v>#VALUE!</v>
      </c>
      <c r="EQ71" t="e">
        <f>AND('SPR BARRANQUILLA'!M83,"AAAAAE1+vZI=")</f>
        <v>#VALUE!</v>
      </c>
      <c r="ER71" t="e">
        <f>AND('SPR BARRANQUILLA'!N83,"AAAAAE1+vZM=")</f>
        <v>#VALUE!</v>
      </c>
      <c r="ES71" t="e">
        <f>AND('SPR BARRANQUILLA'!O83,"AAAAAE1+vZQ=")</f>
        <v>#VALUE!</v>
      </c>
      <c r="ET71" t="e">
        <f>AND('SPR BARRANQUILLA'!P83,"AAAAAE1+vZU=")</f>
        <v>#VALUE!</v>
      </c>
      <c r="EU71" t="e">
        <f>AND('SPR BARRANQUILLA'!Q83,"AAAAAE1+vZY=")</f>
        <v>#VALUE!</v>
      </c>
      <c r="EV71" t="e">
        <f>AND('SPR BARRANQUILLA'!R83,"AAAAAE1+vZc=")</f>
        <v>#VALUE!</v>
      </c>
      <c r="EW71" t="e">
        <f>AND('SPR BARRANQUILLA'!S83,"AAAAAE1+vZg=")</f>
        <v>#VALUE!</v>
      </c>
      <c r="EX71" t="e">
        <f>AND('SPR BARRANQUILLA'!T83,"AAAAAE1+vZk=")</f>
        <v>#VALUE!</v>
      </c>
      <c r="EY71" t="e">
        <f>AND('SPR BARRANQUILLA'!U83,"AAAAAE1+vZo=")</f>
        <v>#VALUE!</v>
      </c>
      <c r="EZ71" t="e">
        <f>AND('SPR BARRANQUILLA'!V83,"AAAAAE1+vZs=")</f>
        <v>#VALUE!</v>
      </c>
      <c r="FA71" t="e">
        <f>AND('SPR BARRANQUILLA'!W83,"AAAAAE1+vZw=")</f>
        <v>#VALUE!</v>
      </c>
      <c r="FB71" t="e">
        <f>AND('SPR BARRANQUILLA'!X83,"AAAAAE1+vZ0=")</f>
        <v>#VALUE!</v>
      </c>
      <c r="FC71" t="e">
        <f>AND('SPR BARRANQUILLA'!Y83,"AAAAAE1+vZ4=")</f>
        <v>#VALUE!</v>
      </c>
      <c r="FD71" t="e">
        <f>AND('SPR BARRANQUILLA'!Z83,"AAAAAE1+vZ8=")</f>
        <v>#VALUE!</v>
      </c>
      <c r="FE71" t="e">
        <f>AND('SPR BARRANQUILLA'!AA83,"AAAAAE1+vaA=")</f>
        <v>#VALUE!</v>
      </c>
      <c r="FF71" t="e">
        <f>AND('SPR BARRANQUILLA'!AB83,"AAAAAE1+vaE=")</f>
        <v>#VALUE!</v>
      </c>
      <c r="FG71" t="e">
        <f>AND('SPR BARRANQUILLA'!AC83,"AAAAAE1+vaI=")</f>
        <v>#VALUE!</v>
      </c>
      <c r="FH71" t="e">
        <f>AND('SPR BARRANQUILLA'!AD83,"AAAAAE1+vaM=")</f>
        <v>#VALUE!</v>
      </c>
      <c r="FI71" t="e">
        <f>AND('SPR BARRANQUILLA'!AE83,"AAAAAE1+vaQ=")</f>
        <v>#VALUE!</v>
      </c>
      <c r="FJ71" t="e">
        <f>AND('SPR BARRANQUILLA'!AF83,"AAAAAE1+vaU=")</f>
        <v>#VALUE!</v>
      </c>
      <c r="FK71" t="e">
        <f>AND('SPR BARRANQUILLA'!AG83,"AAAAAE1+vaY=")</f>
        <v>#VALUE!</v>
      </c>
      <c r="FL71" t="e">
        <f>AND('SPR BARRANQUILLA'!AH83,"AAAAAE1+vac=")</f>
        <v>#VALUE!</v>
      </c>
      <c r="FM71" t="e">
        <f>AND('SPR BARRANQUILLA'!AI83,"AAAAAE1+vag=")</f>
        <v>#VALUE!</v>
      </c>
      <c r="FN71" t="e">
        <f>AND('SPR BARRANQUILLA'!AJ83,"AAAAAE1+vak=")</f>
        <v>#VALUE!</v>
      </c>
      <c r="FO71" t="e">
        <f>AND('SPR BARRANQUILLA'!AK83,"AAAAAE1+vao=")</f>
        <v>#VALUE!</v>
      </c>
      <c r="FP71" t="e">
        <f>AND('SPR BARRANQUILLA'!AL83,"AAAAAE1+vas=")</f>
        <v>#VALUE!</v>
      </c>
      <c r="FQ71" t="e">
        <f>AND('SPR BARRANQUILLA'!AM83,"AAAAAE1+vaw=")</f>
        <v>#VALUE!</v>
      </c>
      <c r="FR71" t="e">
        <f>AND('SPR BARRANQUILLA'!AN83,"AAAAAE1+va0=")</f>
        <v>#VALUE!</v>
      </c>
      <c r="FS71" t="e">
        <f>AND('SPR BARRANQUILLA'!AO83,"AAAAAE1+va4=")</f>
        <v>#VALUE!</v>
      </c>
      <c r="FT71" t="e">
        <f>AND('SPR BARRANQUILLA'!AP83,"AAAAAE1+va8=")</f>
        <v>#VALUE!</v>
      </c>
      <c r="FU71" t="e">
        <f>AND('SPR BARRANQUILLA'!AQ83,"AAAAAE1+vbA=")</f>
        <v>#VALUE!</v>
      </c>
      <c r="FV71" t="e">
        <f>AND('SPR BARRANQUILLA'!AR83,"AAAAAE1+vbE=")</f>
        <v>#VALUE!</v>
      </c>
      <c r="FW71" t="e">
        <f>AND('SPR BARRANQUILLA'!AS83,"AAAAAE1+vbI=")</f>
        <v>#VALUE!</v>
      </c>
      <c r="FX71" t="e">
        <f>AND('SPR BARRANQUILLA'!AT83,"AAAAAE1+vbM=")</f>
        <v>#VALUE!</v>
      </c>
      <c r="FY71" t="e">
        <f>AND('SPR BARRANQUILLA'!AU83,"AAAAAE1+vbQ=")</f>
        <v>#VALUE!</v>
      </c>
      <c r="FZ71" t="e">
        <f>AND('SPR BARRANQUILLA'!AV83,"AAAAAE1+vbU=")</f>
        <v>#VALUE!</v>
      </c>
      <c r="GA71" t="e">
        <f>AND('SPR BARRANQUILLA'!AW83,"AAAAAE1+vbY=")</f>
        <v>#VALUE!</v>
      </c>
      <c r="GB71" t="e">
        <f>AND('SPR BARRANQUILLA'!AX83,"AAAAAE1+vbc=")</f>
        <v>#VALUE!</v>
      </c>
      <c r="GC71" t="e">
        <f>AND('SPR BARRANQUILLA'!AY83,"AAAAAE1+vbg=")</f>
        <v>#VALUE!</v>
      </c>
      <c r="GD71" t="e">
        <f>AND('SPR BARRANQUILLA'!AZ83,"AAAAAE1+vbk=")</f>
        <v>#VALUE!</v>
      </c>
      <c r="GE71" t="e">
        <f>AND('SPR BARRANQUILLA'!BA83,"AAAAAE1+vbo=")</f>
        <v>#VALUE!</v>
      </c>
      <c r="GF71" t="e">
        <f>AND('SPR BARRANQUILLA'!BB83,"AAAAAE1+vbs=")</f>
        <v>#VALUE!</v>
      </c>
      <c r="GG71" t="e">
        <f>AND('SPR BARRANQUILLA'!BC83,"AAAAAE1+vbw=")</f>
        <v>#VALUE!</v>
      </c>
      <c r="GH71" t="e">
        <f>AND('SPR BARRANQUILLA'!BD83,"AAAAAE1+vb0=")</f>
        <v>#VALUE!</v>
      </c>
      <c r="GI71" t="e">
        <f>AND('SPR BARRANQUILLA'!BE83,"AAAAAE1+vb4=")</f>
        <v>#VALUE!</v>
      </c>
      <c r="GJ71" t="e">
        <f>AND('SPR BARRANQUILLA'!BF83,"AAAAAE1+vb8=")</f>
        <v>#VALUE!</v>
      </c>
      <c r="GK71" t="e">
        <f>AND('SPR BARRANQUILLA'!BG83,"AAAAAE1+vcA=")</f>
        <v>#VALUE!</v>
      </c>
      <c r="GL71" t="e">
        <f>AND('SPR BARRANQUILLA'!BH83,"AAAAAE1+vcE=")</f>
        <v>#VALUE!</v>
      </c>
      <c r="GM71" t="e">
        <f>AND('SPR BARRANQUILLA'!BI83,"AAAAAE1+vcI=")</f>
        <v>#VALUE!</v>
      </c>
      <c r="GN71" t="e">
        <f>AND('SPR BARRANQUILLA'!BJ83,"AAAAAE1+vcM=")</f>
        <v>#VALUE!</v>
      </c>
      <c r="GO71" t="e">
        <f>AND('SPR BARRANQUILLA'!BK83,"AAAAAE1+vcQ=")</f>
        <v>#VALUE!</v>
      </c>
      <c r="GP71" t="e">
        <f>AND('SPR BARRANQUILLA'!BL83,"AAAAAE1+vcU=")</f>
        <v>#VALUE!</v>
      </c>
      <c r="GQ71" t="e">
        <f>AND('SPR BARRANQUILLA'!BM83,"AAAAAE1+vcY=")</f>
        <v>#VALUE!</v>
      </c>
      <c r="GR71" t="e">
        <f>AND('SPR BARRANQUILLA'!BN83,"AAAAAE1+vcc=")</f>
        <v>#VALUE!</v>
      </c>
      <c r="GS71" t="e">
        <f>AND('SPR BARRANQUILLA'!BO83,"AAAAAE1+vcg=")</f>
        <v>#VALUE!</v>
      </c>
      <c r="GT71" t="e">
        <f>AND('SPR BARRANQUILLA'!BP83,"AAAAAE1+vck=")</f>
        <v>#VALUE!</v>
      </c>
      <c r="GU71" t="e">
        <f>AND('SPR BARRANQUILLA'!BQ83,"AAAAAE1+vco=")</f>
        <v>#VALUE!</v>
      </c>
      <c r="GV71" t="e">
        <f>AND('SPR BARRANQUILLA'!BR83,"AAAAAE1+vcs=")</f>
        <v>#VALUE!</v>
      </c>
      <c r="GW71" t="e">
        <f>AND('SPR BARRANQUILLA'!BS83,"AAAAAE1+vcw=")</f>
        <v>#VALUE!</v>
      </c>
      <c r="GX71" t="e">
        <f>AND('SPR BARRANQUILLA'!BT83,"AAAAAE1+vc0=")</f>
        <v>#VALUE!</v>
      </c>
      <c r="GY71" t="e">
        <f>AND('SPR BARRANQUILLA'!BU83,"AAAAAE1+vc4=")</f>
        <v>#VALUE!</v>
      </c>
      <c r="GZ71" t="e">
        <f>AND('SPR BARRANQUILLA'!BV83,"AAAAAE1+vc8=")</f>
        <v>#VALUE!</v>
      </c>
      <c r="HA71" t="e">
        <f>AND('SPR BARRANQUILLA'!BW83,"AAAAAE1+vdA=")</f>
        <v>#VALUE!</v>
      </c>
      <c r="HB71" t="e">
        <f>AND('SPR BARRANQUILLA'!BX83,"AAAAAE1+vdE=")</f>
        <v>#VALUE!</v>
      </c>
      <c r="HC71" t="e">
        <f>AND('SPR BARRANQUILLA'!BY83,"AAAAAE1+vdI=")</f>
        <v>#VALUE!</v>
      </c>
      <c r="HD71" t="e">
        <f>AND('SPR BARRANQUILLA'!BZ83,"AAAAAE1+vdM=")</f>
        <v>#VALUE!</v>
      </c>
      <c r="HE71" t="e">
        <f>AND('SPR BARRANQUILLA'!CA83,"AAAAAE1+vdQ=")</f>
        <v>#VALUE!</v>
      </c>
      <c r="HF71" t="e">
        <f>AND('SPR BARRANQUILLA'!CB83,"AAAAAE1+vdU=")</f>
        <v>#VALUE!</v>
      </c>
      <c r="HG71" t="e">
        <f>AND('SPR BARRANQUILLA'!CC83,"AAAAAE1+vdY=")</f>
        <v>#VALUE!</v>
      </c>
      <c r="HH71" t="e">
        <f>AND('SPR BARRANQUILLA'!CD83,"AAAAAE1+vdc=")</f>
        <v>#VALUE!</v>
      </c>
      <c r="HI71" t="e">
        <f>AND('SPR BARRANQUILLA'!CE83,"AAAAAE1+vdg=")</f>
        <v>#VALUE!</v>
      </c>
      <c r="HJ71" t="e">
        <f>AND('SPR BARRANQUILLA'!CF83,"AAAAAE1+vdk=")</f>
        <v>#VALUE!</v>
      </c>
      <c r="HK71" t="e">
        <f>AND('SPR BARRANQUILLA'!CG83,"AAAAAE1+vdo=")</f>
        <v>#VALUE!</v>
      </c>
      <c r="HL71" t="e">
        <f>AND('SPR BARRANQUILLA'!CH83,"AAAAAE1+vds=")</f>
        <v>#VALUE!</v>
      </c>
      <c r="HM71" t="e">
        <f>AND('SPR BARRANQUILLA'!CI83,"AAAAAE1+vdw=")</f>
        <v>#VALUE!</v>
      </c>
      <c r="HN71" t="e">
        <f>AND('SPR BARRANQUILLA'!CJ83,"AAAAAE1+vd0=")</f>
        <v>#VALUE!</v>
      </c>
      <c r="HO71" t="e">
        <f>AND('SPR BARRANQUILLA'!CK83,"AAAAAE1+vd4=")</f>
        <v>#VALUE!</v>
      </c>
      <c r="HP71" t="e">
        <f>AND('SPR BARRANQUILLA'!CL83,"AAAAAE1+vd8=")</f>
        <v>#VALUE!</v>
      </c>
      <c r="HQ71" t="e">
        <f>AND('SPR BARRANQUILLA'!CM83,"AAAAAE1+veA=")</f>
        <v>#VALUE!</v>
      </c>
      <c r="HR71" t="e">
        <f>AND('SPR BARRANQUILLA'!CN83,"AAAAAE1+veE=")</f>
        <v>#VALUE!</v>
      </c>
      <c r="HS71" t="e">
        <f>AND('SPR BARRANQUILLA'!CO83,"AAAAAE1+veI=")</f>
        <v>#VALUE!</v>
      </c>
      <c r="HT71" t="e">
        <f>AND('SPR BARRANQUILLA'!CP83,"AAAAAE1+veM=")</f>
        <v>#VALUE!</v>
      </c>
      <c r="HU71" t="e">
        <f>AND('SPR BARRANQUILLA'!CQ83,"AAAAAE1+veQ=")</f>
        <v>#VALUE!</v>
      </c>
      <c r="HV71" t="e">
        <f>AND('SPR BARRANQUILLA'!CR83,"AAAAAE1+veU=")</f>
        <v>#VALUE!</v>
      </c>
      <c r="HW71" t="e">
        <f>AND('SPR BARRANQUILLA'!CS83,"AAAAAE1+veY=")</f>
        <v>#VALUE!</v>
      </c>
      <c r="HX71" t="e">
        <f>AND('SPR BARRANQUILLA'!CT83,"AAAAAE1+vec=")</f>
        <v>#VALUE!</v>
      </c>
      <c r="HY71" t="e">
        <f>AND('SPR BARRANQUILLA'!CU83,"AAAAAE1+veg=")</f>
        <v>#VALUE!</v>
      </c>
      <c r="HZ71" t="e">
        <f>AND('SPR BARRANQUILLA'!CV83,"AAAAAE1+vek=")</f>
        <v>#VALUE!</v>
      </c>
      <c r="IA71" t="e">
        <f>AND('SPR BARRANQUILLA'!CW83,"AAAAAE1+veo=")</f>
        <v>#VALUE!</v>
      </c>
      <c r="IB71" t="e">
        <f>AND('SPR BARRANQUILLA'!CX83,"AAAAAE1+ves=")</f>
        <v>#VALUE!</v>
      </c>
      <c r="IC71" t="e">
        <f>AND('SPR BARRANQUILLA'!CY83,"AAAAAE1+vew=")</f>
        <v>#VALUE!</v>
      </c>
      <c r="ID71" t="e">
        <f>AND('SPR BARRANQUILLA'!CZ83,"AAAAAE1+ve0=")</f>
        <v>#VALUE!</v>
      </c>
      <c r="IE71" t="e">
        <f>AND('SPR BARRANQUILLA'!DA83,"AAAAAE1+ve4=")</f>
        <v>#VALUE!</v>
      </c>
      <c r="IF71" t="e">
        <f>AND('SPR BARRANQUILLA'!DB83,"AAAAAE1+ve8=")</f>
        <v>#VALUE!</v>
      </c>
      <c r="IG71" t="e">
        <f>AND('SPR BARRANQUILLA'!DC83,"AAAAAE1+vfA=")</f>
        <v>#VALUE!</v>
      </c>
      <c r="IH71" t="e">
        <f>AND('SPR BARRANQUILLA'!DD83,"AAAAAE1+vfE=")</f>
        <v>#VALUE!</v>
      </c>
      <c r="II71" t="e">
        <f>AND('SPR BARRANQUILLA'!DE83,"AAAAAE1+vfI=")</f>
        <v>#VALUE!</v>
      </c>
      <c r="IJ71" t="e">
        <f>AND('SPR BARRANQUILLA'!DF83,"AAAAAE1+vfM=")</f>
        <v>#VALUE!</v>
      </c>
      <c r="IK71" t="e">
        <f>AND('SPR BARRANQUILLA'!DG83,"AAAAAE1+vfQ=")</f>
        <v>#VALUE!</v>
      </c>
      <c r="IL71" t="e">
        <f>AND('SPR BARRANQUILLA'!DH83,"AAAAAE1+vfU=")</f>
        <v>#VALUE!</v>
      </c>
      <c r="IM71" t="e">
        <f>AND('SPR BARRANQUILLA'!DI83,"AAAAAE1+vfY=")</f>
        <v>#VALUE!</v>
      </c>
      <c r="IN71" t="e">
        <f>AND('SPR BARRANQUILLA'!DJ83,"AAAAAE1+vfc=")</f>
        <v>#VALUE!</v>
      </c>
      <c r="IO71" t="e">
        <f>AND('SPR BARRANQUILLA'!DK83,"AAAAAE1+vfg=")</f>
        <v>#VALUE!</v>
      </c>
      <c r="IP71" t="e">
        <f>AND('SPR BARRANQUILLA'!DL83,"AAAAAE1+vfk=")</f>
        <v>#VALUE!</v>
      </c>
      <c r="IQ71" t="e">
        <f>AND('SPR BARRANQUILLA'!DM83,"AAAAAE1+vfo=")</f>
        <v>#VALUE!</v>
      </c>
      <c r="IR71" t="e">
        <f>AND('SPR BARRANQUILLA'!DN83,"AAAAAE1+vfs=")</f>
        <v>#VALUE!</v>
      </c>
      <c r="IS71" t="e">
        <f>AND('SPR BARRANQUILLA'!DO83,"AAAAAE1+vfw=")</f>
        <v>#VALUE!</v>
      </c>
      <c r="IT71" t="e">
        <f>AND('SPR BARRANQUILLA'!DP83,"AAAAAE1+vf0=")</f>
        <v>#VALUE!</v>
      </c>
      <c r="IU71" t="e">
        <f>AND('SPR BARRANQUILLA'!DQ83,"AAAAAE1+vf4=")</f>
        <v>#VALUE!</v>
      </c>
      <c r="IV71" t="e">
        <f>AND('SPR BARRANQUILLA'!DR83,"AAAAAE1+vf8=")</f>
        <v>#VALUE!</v>
      </c>
    </row>
    <row r="72" spans="1:256">
      <c r="A72" t="e">
        <f>AND('SPR BARRANQUILLA'!DS83,"AAAAAF991wA=")</f>
        <v>#VALUE!</v>
      </c>
      <c r="B72" t="e">
        <f>AND('SPR BARRANQUILLA'!DT83,"AAAAAF991wE=")</f>
        <v>#VALUE!</v>
      </c>
      <c r="C72" t="e">
        <f>AND('SPR BARRANQUILLA'!DU83,"AAAAAF991wI=")</f>
        <v>#VALUE!</v>
      </c>
      <c r="D72" t="e">
        <f>AND('SPR BARRANQUILLA'!DV83,"AAAAAF991wM=")</f>
        <v>#VALUE!</v>
      </c>
      <c r="E72" t="e">
        <f>AND('SPR BARRANQUILLA'!DW83,"AAAAAF991wQ=")</f>
        <v>#VALUE!</v>
      </c>
      <c r="F72" t="e">
        <f>AND('SPR BARRANQUILLA'!DX83,"AAAAAF991wU=")</f>
        <v>#VALUE!</v>
      </c>
      <c r="G72" t="e">
        <f>AND('SPR BARRANQUILLA'!DY83,"AAAAAF991wY=")</f>
        <v>#VALUE!</v>
      </c>
      <c r="H72" t="e">
        <f>AND('SPR BARRANQUILLA'!DZ83,"AAAAAF991wc=")</f>
        <v>#VALUE!</v>
      </c>
      <c r="I72" t="e">
        <f>AND('SPR BARRANQUILLA'!EA83,"AAAAAF991wg=")</f>
        <v>#VALUE!</v>
      </c>
      <c r="J72" t="e">
        <f>AND('SPR BARRANQUILLA'!EB83,"AAAAAF991wk=")</f>
        <v>#VALUE!</v>
      </c>
      <c r="K72" t="e">
        <f>AND('SPR BARRANQUILLA'!EC83,"AAAAAF991wo=")</f>
        <v>#VALUE!</v>
      </c>
      <c r="L72" t="e">
        <f>AND('SPR BARRANQUILLA'!ED83,"AAAAAF991ws=")</f>
        <v>#VALUE!</v>
      </c>
      <c r="M72" t="e">
        <f>AND('SPR BARRANQUILLA'!EE83,"AAAAAF991ww=")</f>
        <v>#VALUE!</v>
      </c>
      <c r="N72" t="e">
        <f>AND('SPR BARRANQUILLA'!EF83,"AAAAAF991w0=")</f>
        <v>#VALUE!</v>
      </c>
      <c r="O72" t="e">
        <f>AND('SPR BARRANQUILLA'!EG83,"AAAAAF991w4=")</f>
        <v>#VALUE!</v>
      </c>
      <c r="P72" t="e">
        <f>AND('SPR BARRANQUILLA'!EH83,"AAAAAF991w8=")</f>
        <v>#VALUE!</v>
      </c>
      <c r="Q72" t="e">
        <f>AND('SPR BARRANQUILLA'!EI83,"AAAAAF991xA=")</f>
        <v>#VALUE!</v>
      </c>
      <c r="R72" t="e">
        <f>AND('SPR BARRANQUILLA'!EJ83,"AAAAAF991xE=")</f>
        <v>#VALUE!</v>
      </c>
      <c r="S72" t="e">
        <f>AND('SPR BARRANQUILLA'!EK83,"AAAAAF991xI=")</f>
        <v>#VALUE!</v>
      </c>
      <c r="T72" t="e">
        <f>AND('SPR BARRANQUILLA'!EL83,"AAAAAF991xM=")</f>
        <v>#VALUE!</v>
      </c>
      <c r="U72" t="e">
        <f>AND('SPR BARRANQUILLA'!EM83,"AAAAAF991xQ=")</f>
        <v>#VALUE!</v>
      </c>
      <c r="V72" t="e">
        <f>AND('SPR BARRANQUILLA'!EN83,"AAAAAF991xU=")</f>
        <v>#VALUE!</v>
      </c>
      <c r="W72" t="e">
        <f>AND('SPR BARRANQUILLA'!EO83,"AAAAAF991xY=")</f>
        <v>#VALUE!</v>
      </c>
      <c r="X72" t="e">
        <f>AND('SPR BARRANQUILLA'!EP83,"AAAAAF991xc=")</f>
        <v>#VALUE!</v>
      </c>
      <c r="Y72" t="e">
        <f>AND('SPR BARRANQUILLA'!EQ83,"AAAAAF991xg=")</f>
        <v>#VALUE!</v>
      </c>
      <c r="Z72" t="e">
        <f>AND('SPR BARRANQUILLA'!ER83,"AAAAAF991xk=")</f>
        <v>#VALUE!</v>
      </c>
      <c r="AA72" t="e">
        <f>AND('SPR BARRANQUILLA'!ES83,"AAAAAF991xo=")</f>
        <v>#VALUE!</v>
      </c>
      <c r="AB72" t="e">
        <f>AND('SPR BARRANQUILLA'!ET83,"AAAAAF991xs=")</f>
        <v>#VALUE!</v>
      </c>
      <c r="AC72" t="e">
        <f>AND('SPR BARRANQUILLA'!EU83,"AAAAAF991xw=")</f>
        <v>#VALUE!</v>
      </c>
      <c r="AD72" t="e">
        <f>AND('SPR BARRANQUILLA'!EV83,"AAAAAF991x0=")</f>
        <v>#VALUE!</v>
      </c>
      <c r="AE72" t="e">
        <f>AND('SPR BARRANQUILLA'!EW83,"AAAAAF991x4=")</f>
        <v>#VALUE!</v>
      </c>
      <c r="AF72" t="e">
        <f>AND('SPR BARRANQUILLA'!EX83,"AAAAAF991x8=")</f>
        <v>#VALUE!</v>
      </c>
      <c r="AG72" t="e">
        <f>AND('SPR BARRANQUILLA'!EY83,"AAAAAF991yA=")</f>
        <v>#VALUE!</v>
      </c>
      <c r="AH72" t="e">
        <f>AND('SPR BARRANQUILLA'!EZ83,"AAAAAF991yE=")</f>
        <v>#VALUE!</v>
      </c>
      <c r="AI72" t="e">
        <f>AND('SPR BARRANQUILLA'!FA83,"AAAAAF991yI=")</f>
        <v>#VALUE!</v>
      </c>
      <c r="AJ72" t="e">
        <f>AND('SPR BARRANQUILLA'!FB83,"AAAAAF991yM=")</f>
        <v>#VALUE!</v>
      </c>
      <c r="AK72" t="e">
        <f>AND('SPR BARRANQUILLA'!FC83,"AAAAAF991yQ=")</f>
        <v>#VALUE!</v>
      </c>
      <c r="AL72" t="e">
        <f>AND('SPR BARRANQUILLA'!FD83,"AAAAAF991yU=")</f>
        <v>#VALUE!</v>
      </c>
      <c r="AM72" t="e">
        <f>AND('SPR BARRANQUILLA'!FE83,"AAAAAF991yY=")</f>
        <v>#VALUE!</v>
      </c>
      <c r="AN72" t="e">
        <f>AND('SPR BARRANQUILLA'!FF83,"AAAAAF991yc=")</f>
        <v>#VALUE!</v>
      </c>
      <c r="AO72" t="e">
        <f>AND('SPR BARRANQUILLA'!FG83,"AAAAAF991yg=")</f>
        <v>#VALUE!</v>
      </c>
      <c r="AP72" t="e">
        <f>AND('SPR BARRANQUILLA'!FH83,"AAAAAF991yk=")</f>
        <v>#VALUE!</v>
      </c>
      <c r="AQ72" t="e">
        <f>AND('SPR BARRANQUILLA'!FI83,"AAAAAF991yo=")</f>
        <v>#VALUE!</v>
      </c>
      <c r="AR72" t="e">
        <f>AND('SPR BARRANQUILLA'!FJ83,"AAAAAF991ys=")</f>
        <v>#VALUE!</v>
      </c>
      <c r="AS72" t="e">
        <f>AND('SPR BARRANQUILLA'!FK83,"AAAAAF991yw=")</f>
        <v>#VALUE!</v>
      </c>
      <c r="AT72" t="e">
        <f>AND('SPR BARRANQUILLA'!FL83,"AAAAAF991y0=")</f>
        <v>#VALUE!</v>
      </c>
      <c r="AU72" t="e">
        <f>AND('SPR BARRANQUILLA'!FM83,"AAAAAF991y4=")</f>
        <v>#VALUE!</v>
      </c>
      <c r="AV72" t="e">
        <f>AND('SPR BARRANQUILLA'!FN83,"AAAAAF991y8=")</f>
        <v>#VALUE!</v>
      </c>
      <c r="AW72" t="e">
        <f>AND('SPR BARRANQUILLA'!FO83,"AAAAAF991zA=")</f>
        <v>#VALUE!</v>
      </c>
      <c r="AX72" t="e">
        <f>AND('SPR BARRANQUILLA'!FP83,"AAAAAF991zE=")</f>
        <v>#VALUE!</v>
      </c>
      <c r="AY72" t="e">
        <f>AND('SPR BARRANQUILLA'!FQ83,"AAAAAF991zI=")</f>
        <v>#VALUE!</v>
      </c>
      <c r="AZ72" t="e">
        <f>AND('SPR BARRANQUILLA'!FR83,"AAAAAF991zM=")</f>
        <v>#VALUE!</v>
      </c>
      <c r="BA72" t="e">
        <f>AND('SPR BARRANQUILLA'!FS83,"AAAAAF991zQ=")</f>
        <v>#VALUE!</v>
      </c>
      <c r="BB72" t="e">
        <f>AND('SPR BARRANQUILLA'!FT83,"AAAAAF991zU=")</f>
        <v>#VALUE!</v>
      </c>
      <c r="BC72" t="e">
        <f>AND('SPR BARRANQUILLA'!FU83,"AAAAAF991zY=")</f>
        <v>#VALUE!</v>
      </c>
      <c r="BD72" t="e">
        <f>AND('SPR BARRANQUILLA'!FV83,"AAAAAF991zc=")</f>
        <v>#VALUE!</v>
      </c>
      <c r="BE72" t="e">
        <f>AND('SPR BARRANQUILLA'!FW83,"AAAAAF991zg=")</f>
        <v>#VALUE!</v>
      </c>
      <c r="BF72" t="e">
        <f>AND('SPR BARRANQUILLA'!FX83,"AAAAAF991zk=")</f>
        <v>#VALUE!</v>
      </c>
      <c r="BG72" t="e">
        <f>AND('SPR BARRANQUILLA'!FY83,"AAAAAF991zo=")</f>
        <v>#VALUE!</v>
      </c>
      <c r="BH72" t="e">
        <f>AND('SPR BARRANQUILLA'!FZ83,"AAAAAF991zs=")</f>
        <v>#VALUE!</v>
      </c>
      <c r="BI72" t="e">
        <f>AND('SPR BARRANQUILLA'!GA83,"AAAAAF991zw=")</f>
        <v>#VALUE!</v>
      </c>
      <c r="BJ72" t="e">
        <f>AND('SPR BARRANQUILLA'!GB83,"AAAAAF991z0=")</f>
        <v>#VALUE!</v>
      </c>
      <c r="BK72" t="e">
        <f>AND('SPR BARRANQUILLA'!GC83,"AAAAAF991z4=")</f>
        <v>#VALUE!</v>
      </c>
      <c r="BL72" t="e">
        <f>AND('SPR BARRANQUILLA'!GD83,"AAAAAF991z8=")</f>
        <v>#VALUE!</v>
      </c>
      <c r="BM72" t="e">
        <f>AND('SPR BARRANQUILLA'!GE83,"AAAAAF9910A=")</f>
        <v>#VALUE!</v>
      </c>
      <c r="BN72" t="e">
        <f>AND('SPR BARRANQUILLA'!GF83,"AAAAAF9910E=")</f>
        <v>#VALUE!</v>
      </c>
      <c r="BO72" t="e">
        <f>AND('SPR BARRANQUILLA'!GG83,"AAAAAF9910I=")</f>
        <v>#VALUE!</v>
      </c>
      <c r="BP72" t="e">
        <f>AND('SPR BARRANQUILLA'!GH83,"AAAAAF9910M=")</f>
        <v>#VALUE!</v>
      </c>
      <c r="BQ72" t="e">
        <f>AND('SPR BARRANQUILLA'!GI83,"AAAAAF9910Q=")</f>
        <v>#VALUE!</v>
      </c>
      <c r="BR72" t="e">
        <f>AND('SPR BARRANQUILLA'!GJ83,"AAAAAF9910U=")</f>
        <v>#VALUE!</v>
      </c>
      <c r="BS72" t="e">
        <f>AND('SPR BARRANQUILLA'!GK83,"AAAAAF9910Y=")</f>
        <v>#VALUE!</v>
      </c>
      <c r="BT72" t="e">
        <f>AND('SPR BARRANQUILLA'!GL83,"AAAAAF9910c=")</f>
        <v>#VALUE!</v>
      </c>
      <c r="BU72" t="e">
        <f>AND('SPR BARRANQUILLA'!GM83,"AAAAAF9910g=")</f>
        <v>#VALUE!</v>
      </c>
      <c r="BV72" t="e">
        <f>AND('SPR BARRANQUILLA'!GN83,"AAAAAF9910k=")</f>
        <v>#VALUE!</v>
      </c>
      <c r="BW72" t="e">
        <f>AND('SPR BARRANQUILLA'!GO83,"AAAAAF9910o=")</f>
        <v>#VALUE!</v>
      </c>
      <c r="BX72" t="e">
        <f>AND('SPR BARRANQUILLA'!GP83,"AAAAAF9910s=")</f>
        <v>#VALUE!</v>
      </c>
      <c r="BY72" t="e">
        <f>AND('SPR BARRANQUILLA'!GQ83,"AAAAAF9910w=")</f>
        <v>#VALUE!</v>
      </c>
      <c r="BZ72" t="e">
        <f>AND('SPR BARRANQUILLA'!GR83,"AAAAAF99100=")</f>
        <v>#VALUE!</v>
      </c>
      <c r="CA72" t="e">
        <f>AND('SPR BARRANQUILLA'!GS83,"AAAAAF99104=")</f>
        <v>#VALUE!</v>
      </c>
      <c r="CB72" t="e">
        <f>AND('SPR BARRANQUILLA'!GT83,"AAAAAF99108=")</f>
        <v>#VALUE!</v>
      </c>
      <c r="CC72" t="e">
        <f>AND('SPR BARRANQUILLA'!GU83,"AAAAAF9911A=")</f>
        <v>#VALUE!</v>
      </c>
      <c r="CD72" t="e">
        <f>AND('SPR BARRANQUILLA'!GV83,"AAAAAF9911E=")</f>
        <v>#VALUE!</v>
      </c>
      <c r="CE72" t="e">
        <f>AND('SPR BARRANQUILLA'!GW83,"AAAAAF9911I=")</f>
        <v>#VALUE!</v>
      </c>
      <c r="CF72" t="e">
        <f>AND('SPR BARRANQUILLA'!GX83,"AAAAAF9911M=")</f>
        <v>#VALUE!</v>
      </c>
      <c r="CG72" t="e">
        <f>AND('SPR BARRANQUILLA'!GY83,"AAAAAF9911Q=")</f>
        <v>#VALUE!</v>
      </c>
      <c r="CH72">
        <f>IF('SPR BARRANQUILLA'!84:84,"AAAAAF9911U=",0)</f>
        <v>0</v>
      </c>
      <c r="CI72" t="e">
        <f>AND('SPR BARRANQUILLA'!A84,"AAAAAF9911Y=")</f>
        <v>#VALUE!</v>
      </c>
      <c r="CJ72" t="e">
        <f>AND('SPR BARRANQUILLA'!B84,"AAAAAF9911c=")</f>
        <v>#VALUE!</v>
      </c>
      <c r="CK72" t="e">
        <f>AND('SPR BARRANQUILLA'!C84,"AAAAAF9911g=")</f>
        <v>#VALUE!</v>
      </c>
      <c r="CL72" t="e">
        <f>AND('SPR BARRANQUILLA'!D84,"AAAAAF9911k=")</f>
        <v>#VALUE!</v>
      </c>
      <c r="CM72" t="e">
        <f>AND('SPR BARRANQUILLA'!E84,"AAAAAF9911o=")</f>
        <v>#VALUE!</v>
      </c>
      <c r="CN72" t="e">
        <f>AND('SPR BARRANQUILLA'!F84,"AAAAAF9911s=")</f>
        <v>#VALUE!</v>
      </c>
      <c r="CO72" t="e">
        <f>AND('SPR BARRANQUILLA'!G84,"AAAAAF9911w=")</f>
        <v>#VALUE!</v>
      </c>
      <c r="CP72" t="e">
        <f>AND('SPR BARRANQUILLA'!H84,"AAAAAF99110=")</f>
        <v>#VALUE!</v>
      </c>
      <c r="CQ72" t="e">
        <f>AND('SPR BARRANQUILLA'!I84,"AAAAAF99114=")</f>
        <v>#VALUE!</v>
      </c>
      <c r="CR72" t="e">
        <f>AND('SPR BARRANQUILLA'!J84,"AAAAAF99118=")</f>
        <v>#VALUE!</v>
      </c>
      <c r="CS72" t="e">
        <f>AND('SPR BARRANQUILLA'!K84,"AAAAAF9912A=")</f>
        <v>#VALUE!</v>
      </c>
      <c r="CT72" t="e">
        <f>AND('SPR BARRANQUILLA'!L84,"AAAAAF9912E=")</f>
        <v>#VALUE!</v>
      </c>
      <c r="CU72" t="e">
        <f>AND('SPR BARRANQUILLA'!M84,"AAAAAF9912I=")</f>
        <v>#VALUE!</v>
      </c>
      <c r="CV72" t="e">
        <f>AND('SPR BARRANQUILLA'!N84,"AAAAAF9912M=")</f>
        <v>#VALUE!</v>
      </c>
      <c r="CW72" t="e">
        <f>AND('SPR BARRANQUILLA'!O84,"AAAAAF9912Q=")</f>
        <v>#VALUE!</v>
      </c>
      <c r="CX72" t="e">
        <f>AND('SPR BARRANQUILLA'!P84,"AAAAAF9912U=")</f>
        <v>#VALUE!</v>
      </c>
      <c r="CY72" t="e">
        <f>AND('SPR BARRANQUILLA'!Q84,"AAAAAF9912Y=")</f>
        <v>#VALUE!</v>
      </c>
      <c r="CZ72" t="e">
        <f>AND('SPR BARRANQUILLA'!R84,"AAAAAF9912c=")</f>
        <v>#VALUE!</v>
      </c>
      <c r="DA72" t="e">
        <f>AND('SPR BARRANQUILLA'!S84,"AAAAAF9912g=")</f>
        <v>#VALUE!</v>
      </c>
      <c r="DB72" t="e">
        <f>AND('SPR BARRANQUILLA'!T84,"AAAAAF9912k=")</f>
        <v>#VALUE!</v>
      </c>
      <c r="DC72" t="e">
        <f>AND('SPR BARRANQUILLA'!U84,"AAAAAF9912o=")</f>
        <v>#VALUE!</v>
      </c>
      <c r="DD72" t="e">
        <f>AND('SPR BARRANQUILLA'!V84,"AAAAAF9912s=")</f>
        <v>#VALUE!</v>
      </c>
      <c r="DE72" t="e">
        <f>AND('SPR BARRANQUILLA'!W84,"AAAAAF9912w=")</f>
        <v>#VALUE!</v>
      </c>
      <c r="DF72" t="e">
        <f>AND('SPR BARRANQUILLA'!X84,"AAAAAF99120=")</f>
        <v>#VALUE!</v>
      </c>
      <c r="DG72" t="e">
        <f>AND('SPR BARRANQUILLA'!Y84,"AAAAAF99124=")</f>
        <v>#VALUE!</v>
      </c>
      <c r="DH72" t="e">
        <f>AND('SPR BARRANQUILLA'!Z84,"AAAAAF99128=")</f>
        <v>#VALUE!</v>
      </c>
      <c r="DI72" t="e">
        <f>AND('SPR BARRANQUILLA'!AA84,"AAAAAF9913A=")</f>
        <v>#VALUE!</v>
      </c>
      <c r="DJ72" t="e">
        <f>AND('SPR BARRANQUILLA'!AB84,"AAAAAF9913E=")</f>
        <v>#VALUE!</v>
      </c>
      <c r="DK72" t="e">
        <f>AND('SPR BARRANQUILLA'!AC84,"AAAAAF9913I=")</f>
        <v>#VALUE!</v>
      </c>
      <c r="DL72" t="e">
        <f>AND('SPR BARRANQUILLA'!AD84,"AAAAAF9913M=")</f>
        <v>#VALUE!</v>
      </c>
      <c r="DM72" t="e">
        <f>AND('SPR BARRANQUILLA'!AE84,"AAAAAF9913Q=")</f>
        <v>#VALUE!</v>
      </c>
      <c r="DN72" t="e">
        <f>AND('SPR BARRANQUILLA'!AF84,"AAAAAF9913U=")</f>
        <v>#VALUE!</v>
      </c>
      <c r="DO72" t="e">
        <f>AND('SPR BARRANQUILLA'!AG84,"AAAAAF9913Y=")</f>
        <v>#VALUE!</v>
      </c>
      <c r="DP72" t="e">
        <f>AND('SPR BARRANQUILLA'!AH84,"AAAAAF9913c=")</f>
        <v>#VALUE!</v>
      </c>
      <c r="DQ72" t="e">
        <f>AND('SPR BARRANQUILLA'!AI84,"AAAAAF9913g=")</f>
        <v>#VALUE!</v>
      </c>
      <c r="DR72" t="e">
        <f>AND('SPR BARRANQUILLA'!AJ84,"AAAAAF9913k=")</f>
        <v>#VALUE!</v>
      </c>
      <c r="DS72" t="e">
        <f>AND('SPR BARRANQUILLA'!AK84,"AAAAAF9913o=")</f>
        <v>#VALUE!</v>
      </c>
      <c r="DT72" t="e">
        <f>AND('SPR BARRANQUILLA'!AL84,"AAAAAF9913s=")</f>
        <v>#VALUE!</v>
      </c>
      <c r="DU72" t="e">
        <f>AND('SPR BARRANQUILLA'!AM84,"AAAAAF9913w=")</f>
        <v>#VALUE!</v>
      </c>
      <c r="DV72" t="e">
        <f>AND('SPR BARRANQUILLA'!AN84,"AAAAAF99130=")</f>
        <v>#VALUE!</v>
      </c>
      <c r="DW72" t="e">
        <f>AND('SPR BARRANQUILLA'!AO84,"AAAAAF99134=")</f>
        <v>#VALUE!</v>
      </c>
      <c r="DX72" t="e">
        <f>AND('SPR BARRANQUILLA'!AP84,"AAAAAF99138=")</f>
        <v>#VALUE!</v>
      </c>
      <c r="DY72" t="e">
        <f>AND('SPR BARRANQUILLA'!AQ84,"AAAAAF9914A=")</f>
        <v>#VALUE!</v>
      </c>
      <c r="DZ72" t="e">
        <f>AND('SPR BARRANQUILLA'!AR84,"AAAAAF9914E=")</f>
        <v>#VALUE!</v>
      </c>
      <c r="EA72" t="e">
        <f>AND('SPR BARRANQUILLA'!AS84,"AAAAAF9914I=")</f>
        <v>#VALUE!</v>
      </c>
      <c r="EB72" t="e">
        <f>AND('SPR BARRANQUILLA'!AT84,"AAAAAF9914M=")</f>
        <v>#VALUE!</v>
      </c>
      <c r="EC72" t="e">
        <f>AND('SPR BARRANQUILLA'!AU84,"AAAAAF9914Q=")</f>
        <v>#VALUE!</v>
      </c>
      <c r="ED72" t="e">
        <f>AND('SPR BARRANQUILLA'!AV84,"AAAAAF9914U=")</f>
        <v>#VALUE!</v>
      </c>
      <c r="EE72" t="e">
        <f>AND('SPR BARRANQUILLA'!AW84,"AAAAAF9914Y=")</f>
        <v>#VALUE!</v>
      </c>
      <c r="EF72" t="e">
        <f>AND('SPR BARRANQUILLA'!AX84,"AAAAAF9914c=")</f>
        <v>#VALUE!</v>
      </c>
      <c r="EG72" t="e">
        <f>AND('SPR BARRANQUILLA'!AY84,"AAAAAF9914g=")</f>
        <v>#VALUE!</v>
      </c>
      <c r="EH72" t="e">
        <f>AND('SPR BARRANQUILLA'!AZ84,"AAAAAF9914k=")</f>
        <v>#VALUE!</v>
      </c>
      <c r="EI72" t="e">
        <f>AND('SPR BARRANQUILLA'!BA84,"AAAAAF9914o=")</f>
        <v>#VALUE!</v>
      </c>
      <c r="EJ72" t="e">
        <f>AND('SPR BARRANQUILLA'!BB84,"AAAAAF9914s=")</f>
        <v>#VALUE!</v>
      </c>
      <c r="EK72" t="e">
        <f>AND('SPR BARRANQUILLA'!BC84,"AAAAAF9914w=")</f>
        <v>#VALUE!</v>
      </c>
      <c r="EL72" t="e">
        <f>AND('SPR BARRANQUILLA'!BD84,"AAAAAF99140=")</f>
        <v>#VALUE!</v>
      </c>
      <c r="EM72" t="e">
        <f>AND('SPR BARRANQUILLA'!BE84,"AAAAAF99144=")</f>
        <v>#VALUE!</v>
      </c>
      <c r="EN72" t="e">
        <f>AND('SPR BARRANQUILLA'!BF84,"AAAAAF99148=")</f>
        <v>#VALUE!</v>
      </c>
      <c r="EO72" t="e">
        <f>AND('SPR BARRANQUILLA'!BG84,"AAAAAF9915A=")</f>
        <v>#VALUE!</v>
      </c>
      <c r="EP72" t="e">
        <f>AND('SPR BARRANQUILLA'!BH84,"AAAAAF9915E=")</f>
        <v>#VALUE!</v>
      </c>
      <c r="EQ72" t="e">
        <f>AND('SPR BARRANQUILLA'!BI84,"AAAAAF9915I=")</f>
        <v>#VALUE!</v>
      </c>
      <c r="ER72" t="e">
        <f>AND('SPR BARRANQUILLA'!BJ84,"AAAAAF9915M=")</f>
        <v>#VALUE!</v>
      </c>
      <c r="ES72" t="e">
        <f>AND('SPR BARRANQUILLA'!BK84,"AAAAAF9915Q=")</f>
        <v>#VALUE!</v>
      </c>
      <c r="ET72" t="e">
        <f>AND('SPR BARRANQUILLA'!BL84,"AAAAAF9915U=")</f>
        <v>#VALUE!</v>
      </c>
      <c r="EU72" t="e">
        <f>AND('SPR BARRANQUILLA'!BM84,"AAAAAF9915Y=")</f>
        <v>#VALUE!</v>
      </c>
      <c r="EV72" t="e">
        <f>AND('SPR BARRANQUILLA'!BN84,"AAAAAF9915c=")</f>
        <v>#VALUE!</v>
      </c>
      <c r="EW72" t="e">
        <f>AND('SPR BARRANQUILLA'!BO84,"AAAAAF9915g=")</f>
        <v>#VALUE!</v>
      </c>
      <c r="EX72" t="e">
        <f>AND('SPR BARRANQUILLA'!BP84,"AAAAAF9915k=")</f>
        <v>#VALUE!</v>
      </c>
      <c r="EY72" t="e">
        <f>AND('SPR BARRANQUILLA'!BQ84,"AAAAAF9915o=")</f>
        <v>#VALUE!</v>
      </c>
      <c r="EZ72" t="e">
        <f>AND('SPR BARRANQUILLA'!BR84,"AAAAAF9915s=")</f>
        <v>#VALUE!</v>
      </c>
      <c r="FA72" t="e">
        <f>AND('SPR BARRANQUILLA'!BS84,"AAAAAF9915w=")</f>
        <v>#VALUE!</v>
      </c>
      <c r="FB72" t="e">
        <f>AND('SPR BARRANQUILLA'!BT84,"AAAAAF99150=")</f>
        <v>#VALUE!</v>
      </c>
      <c r="FC72" t="e">
        <f>AND('SPR BARRANQUILLA'!BU84,"AAAAAF99154=")</f>
        <v>#VALUE!</v>
      </c>
      <c r="FD72" t="e">
        <f>AND('SPR BARRANQUILLA'!BV84,"AAAAAF99158=")</f>
        <v>#VALUE!</v>
      </c>
      <c r="FE72" t="e">
        <f>AND('SPR BARRANQUILLA'!BW84,"AAAAAF9916A=")</f>
        <v>#VALUE!</v>
      </c>
      <c r="FF72" t="e">
        <f>AND('SPR BARRANQUILLA'!BX84,"AAAAAF9916E=")</f>
        <v>#VALUE!</v>
      </c>
      <c r="FG72" t="e">
        <f>AND('SPR BARRANQUILLA'!BY84,"AAAAAF9916I=")</f>
        <v>#VALUE!</v>
      </c>
      <c r="FH72" t="e">
        <f>AND('SPR BARRANQUILLA'!BZ84,"AAAAAF9916M=")</f>
        <v>#VALUE!</v>
      </c>
      <c r="FI72" t="e">
        <f>AND('SPR BARRANQUILLA'!CA84,"AAAAAF9916Q=")</f>
        <v>#VALUE!</v>
      </c>
      <c r="FJ72" t="e">
        <f>AND('SPR BARRANQUILLA'!CB84,"AAAAAF9916U=")</f>
        <v>#VALUE!</v>
      </c>
      <c r="FK72" t="e">
        <f>AND('SPR BARRANQUILLA'!CC84,"AAAAAF9916Y=")</f>
        <v>#VALUE!</v>
      </c>
      <c r="FL72" t="e">
        <f>AND('SPR BARRANQUILLA'!CD84,"AAAAAF9916c=")</f>
        <v>#VALUE!</v>
      </c>
      <c r="FM72" t="e">
        <f>AND('SPR BARRANQUILLA'!CE84,"AAAAAF9916g=")</f>
        <v>#VALUE!</v>
      </c>
      <c r="FN72" t="e">
        <f>AND('SPR BARRANQUILLA'!CF84,"AAAAAF9916k=")</f>
        <v>#VALUE!</v>
      </c>
      <c r="FO72" t="e">
        <f>AND('SPR BARRANQUILLA'!CG84,"AAAAAF9916o=")</f>
        <v>#VALUE!</v>
      </c>
      <c r="FP72" t="e">
        <f>AND('SPR BARRANQUILLA'!CH84,"AAAAAF9916s=")</f>
        <v>#VALUE!</v>
      </c>
      <c r="FQ72" t="e">
        <f>AND('SPR BARRANQUILLA'!CI84,"AAAAAF9916w=")</f>
        <v>#VALUE!</v>
      </c>
      <c r="FR72" t="e">
        <f>AND('SPR BARRANQUILLA'!CJ84,"AAAAAF99160=")</f>
        <v>#VALUE!</v>
      </c>
      <c r="FS72" t="e">
        <f>AND('SPR BARRANQUILLA'!CK84,"AAAAAF99164=")</f>
        <v>#VALUE!</v>
      </c>
      <c r="FT72" t="e">
        <f>AND('SPR BARRANQUILLA'!CL84,"AAAAAF99168=")</f>
        <v>#VALUE!</v>
      </c>
      <c r="FU72" t="e">
        <f>AND('SPR BARRANQUILLA'!CM84,"AAAAAF9917A=")</f>
        <v>#VALUE!</v>
      </c>
      <c r="FV72" t="e">
        <f>AND('SPR BARRANQUILLA'!CN84,"AAAAAF9917E=")</f>
        <v>#VALUE!</v>
      </c>
      <c r="FW72" t="e">
        <f>AND('SPR BARRANQUILLA'!CO84,"AAAAAF9917I=")</f>
        <v>#VALUE!</v>
      </c>
      <c r="FX72" t="e">
        <f>AND('SPR BARRANQUILLA'!CP84,"AAAAAF9917M=")</f>
        <v>#VALUE!</v>
      </c>
      <c r="FY72" t="e">
        <f>AND('SPR BARRANQUILLA'!CQ84,"AAAAAF9917Q=")</f>
        <v>#VALUE!</v>
      </c>
      <c r="FZ72" t="e">
        <f>AND('SPR BARRANQUILLA'!CR84,"AAAAAF9917U=")</f>
        <v>#VALUE!</v>
      </c>
      <c r="GA72" t="e">
        <f>AND('SPR BARRANQUILLA'!CS84,"AAAAAF9917Y=")</f>
        <v>#VALUE!</v>
      </c>
      <c r="GB72" t="e">
        <f>AND('SPR BARRANQUILLA'!CT84,"AAAAAF9917c=")</f>
        <v>#VALUE!</v>
      </c>
      <c r="GC72" t="e">
        <f>AND('SPR BARRANQUILLA'!CU84,"AAAAAF9917g=")</f>
        <v>#VALUE!</v>
      </c>
      <c r="GD72" t="e">
        <f>AND('SPR BARRANQUILLA'!CV84,"AAAAAF9917k=")</f>
        <v>#VALUE!</v>
      </c>
      <c r="GE72" t="e">
        <f>AND('SPR BARRANQUILLA'!CW84,"AAAAAF9917o=")</f>
        <v>#VALUE!</v>
      </c>
      <c r="GF72" t="e">
        <f>AND('SPR BARRANQUILLA'!CX84,"AAAAAF9917s=")</f>
        <v>#VALUE!</v>
      </c>
      <c r="GG72" t="e">
        <f>AND('SPR BARRANQUILLA'!CY84,"AAAAAF9917w=")</f>
        <v>#VALUE!</v>
      </c>
      <c r="GH72" t="e">
        <f>AND('SPR BARRANQUILLA'!CZ84,"AAAAAF99170=")</f>
        <v>#VALUE!</v>
      </c>
      <c r="GI72" t="e">
        <f>AND('SPR BARRANQUILLA'!DA84,"AAAAAF99174=")</f>
        <v>#VALUE!</v>
      </c>
      <c r="GJ72" t="e">
        <f>AND('SPR BARRANQUILLA'!DB84,"AAAAAF99178=")</f>
        <v>#VALUE!</v>
      </c>
      <c r="GK72" t="e">
        <f>AND('SPR BARRANQUILLA'!DC84,"AAAAAF9918A=")</f>
        <v>#VALUE!</v>
      </c>
      <c r="GL72" t="e">
        <f>AND('SPR BARRANQUILLA'!DD84,"AAAAAF9918E=")</f>
        <v>#VALUE!</v>
      </c>
      <c r="GM72" t="e">
        <f>AND('SPR BARRANQUILLA'!DE84,"AAAAAF9918I=")</f>
        <v>#VALUE!</v>
      </c>
      <c r="GN72" t="e">
        <f>AND('SPR BARRANQUILLA'!DF84,"AAAAAF9918M=")</f>
        <v>#VALUE!</v>
      </c>
      <c r="GO72" t="e">
        <f>AND('SPR BARRANQUILLA'!DG84,"AAAAAF9918Q=")</f>
        <v>#VALUE!</v>
      </c>
      <c r="GP72" t="e">
        <f>AND('SPR BARRANQUILLA'!DH84,"AAAAAF9918U=")</f>
        <v>#VALUE!</v>
      </c>
      <c r="GQ72" t="e">
        <f>AND('SPR BARRANQUILLA'!DI84,"AAAAAF9918Y=")</f>
        <v>#VALUE!</v>
      </c>
      <c r="GR72" t="e">
        <f>AND('SPR BARRANQUILLA'!DJ84,"AAAAAF9918c=")</f>
        <v>#VALUE!</v>
      </c>
      <c r="GS72" t="e">
        <f>AND('SPR BARRANQUILLA'!DK84,"AAAAAF9918g=")</f>
        <v>#VALUE!</v>
      </c>
      <c r="GT72" t="e">
        <f>AND('SPR BARRANQUILLA'!DL84,"AAAAAF9918k=")</f>
        <v>#VALUE!</v>
      </c>
      <c r="GU72" t="e">
        <f>AND('SPR BARRANQUILLA'!DM84,"AAAAAF9918o=")</f>
        <v>#VALUE!</v>
      </c>
      <c r="GV72" t="e">
        <f>AND('SPR BARRANQUILLA'!DN84,"AAAAAF9918s=")</f>
        <v>#VALUE!</v>
      </c>
      <c r="GW72" t="e">
        <f>AND('SPR BARRANQUILLA'!DO84,"AAAAAF9918w=")</f>
        <v>#VALUE!</v>
      </c>
      <c r="GX72" t="e">
        <f>AND('SPR BARRANQUILLA'!DP84,"AAAAAF99180=")</f>
        <v>#VALUE!</v>
      </c>
      <c r="GY72" t="e">
        <f>AND('SPR BARRANQUILLA'!DQ84,"AAAAAF99184=")</f>
        <v>#VALUE!</v>
      </c>
      <c r="GZ72" t="e">
        <f>AND('SPR BARRANQUILLA'!DR84,"AAAAAF99188=")</f>
        <v>#VALUE!</v>
      </c>
      <c r="HA72" t="e">
        <f>AND('SPR BARRANQUILLA'!DS84,"AAAAAF9919A=")</f>
        <v>#VALUE!</v>
      </c>
      <c r="HB72" t="e">
        <f>AND('SPR BARRANQUILLA'!DT84,"AAAAAF9919E=")</f>
        <v>#VALUE!</v>
      </c>
      <c r="HC72" t="e">
        <f>AND('SPR BARRANQUILLA'!DU84,"AAAAAF9919I=")</f>
        <v>#VALUE!</v>
      </c>
      <c r="HD72" t="e">
        <f>AND('SPR BARRANQUILLA'!DV84,"AAAAAF9919M=")</f>
        <v>#VALUE!</v>
      </c>
      <c r="HE72" t="e">
        <f>AND('SPR BARRANQUILLA'!DW84,"AAAAAF9919Q=")</f>
        <v>#VALUE!</v>
      </c>
      <c r="HF72" t="e">
        <f>AND('SPR BARRANQUILLA'!DX84,"AAAAAF9919U=")</f>
        <v>#VALUE!</v>
      </c>
      <c r="HG72" t="e">
        <f>AND('SPR BARRANQUILLA'!DY84,"AAAAAF9919Y=")</f>
        <v>#VALUE!</v>
      </c>
      <c r="HH72" t="e">
        <f>AND('SPR BARRANQUILLA'!DZ84,"AAAAAF9919c=")</f>
        <v>#VALUE!</v>
      </c>
      <c r="HI72" t="e">
        <f>AND('SPR BARRANQUILLA'!EA84,"AAAAAF9919g=")</f>
        <v>#VALUE!</v>
      </c>
      <c r="HJ72" t="e">
        <f>AND('SPR BARRANQUILLA'!EB84,"AAAAAF9919k=")</f>
        <v>#VALUE!</v>
      </c>
      <c r="HK72" t="e">
        <f>AND('SPR BARRANQUILLA'!EC84,"AAAAAF9919o=")</f>
        <v>#VALUE!</v>
      </c>
      <c r="HL72" t="e">
        <f>AND('SPR BARRANQUILLA'!ED84,"AAAAAF9919s=")</f>
        <v>#VALUE!</v>
      </c>
      <c r="HM72" t="e">
        <f>AND('SPR BARRANQUILLA'!EE84,"AAAAAF9919w=")</f>
        <v>#VALUE!</v>
      </c>
      <c r="HN72" t="e">
        <f>AND('SPR BARRANQUILLA'!EF84,"AAAAAF99190=")</f>
        <v>#VALUE!</v>
      </c>
      <c r="HO72" t="e">
        <f>AND('SPR BARRANQUILLA'!EG84,"AAAAAF99194=")</f>
        <v>#VALUE!</v>
      </c>
      <c r="HP72" t="e">
        <f>AND('SPR BARRANQUILLA'!EH84,"AAAAAF99198=")</f>
        <v>#VALUE!</v>
      </c>
      <c r="HQ72" t="e">
        <f>AND('SPR BARRANQUILLA'!EI84,"AAAAAF991+A=")</f>
        <v>#VALUE!</v>
      </c>
      <c r="HR72" t="e">
        <f>AND('SPR BARRANQUILLA'!EJ84,"AAAAAF991+E=")</f>
        <v>#VALUE!</v>
      </c>
      <c r="HS72" t="e">
        <f>AND('SPR BARRANQUILLA'!EK84,"AAAAAF991+I=")</f>
        <v>#VALUE!</v>
      </c>
      <c r="HT72" t="e">
        <f>AND('SPR BARRANQUILLA'!EL84,"AAAAAF991+M=")</f>
        <v>#VALUE!</v>
      </c>
      <c r="HU72" t="e">
        <f>AND('SPR BARRANQUILLA'!EM84,"AAAAAF991+Q=")</f>
        <v>#VALUE!</v>
      </c>
      <c r="HV72" t="e">
        <f>AND('SPR BARRANQUILLA'!EN84,"AAAAAF991+U=")</f>
        <v>#VALUE!</v>
      </c>
      <c r="HW72" t="e">
        <f>AND('SPR BARRANQUILLA'!EO84,"AAAAAF991+Y=")</f>
        <v>#VALUE!</v>
      </c>
      <c r="HX72" t="e">
        <f>AND('SPR BARRANQUILLA'!EP84,"AAAAAF991+c=")</f>
        <v>#VALUE!</v>
      </c>
      <c r="HY72" t="e">
        <f>AND('SPR BARRANQUILLA'!EQ84,"AAAAAF991+g=")</f>
        <v>#VALUE!</v>
      </c>
      <c r="HZ72" t="e">
        <f>AND('SPR BARRANQUILLA'!ER84,"AAAAAF991+k=")</f>
        <v>#VALUE!</v>
      </c>
      <c r="IA72" t="e">
        <f>AND('SPR BARRANQUILLA'!ES84,"AAAAAF991+o=")</f>
        <v>#VALUE!</v>
      </c>
      <c r="IB72" t="e">
        <f>AND('SPR BARRANQUILLA'!ET84,"AAAAAF991+s=")</f>
        <v>#VALUE!</v>
      </c>
      <c r="IC72" t="e">
        <f>AND('SPR BARRANQUILLA'!EU84,"AAAAAF991+w=")</f>
        <v>#VALUE!</v>
      </c>
      <c r="ID72" t="e">
        <f>AND('SPR BARRANQUILLA'!EV84,"AAAAAF991+0=")</f>
        <v>#VALUE!</v>
      </c>
      <c r="IE72" t="e">
        <f>AND('SPR BARRANQUILLA'!EW84,"AAAAAF991+4=")</f>
        <v>#VALUE!</v>
      </c>
      <c r="IF72" t="e">
        <f>AND('SPR BARRANQUILLA'!EX84,"AAAAAF991+8=")</f>
        <v>#VALUE!</v>
      </c>
      <c r="IG72" t="e">
        <f>AND('SPR BARRANQUILLA'!EY84,"AAAAAF991/A=")</f>
        <v>#VALUE!</v>
      </c>
      <c r="IH72" t="e">
        <f>AND('SPR BARRANQUILLA'!EZ84,"AAAAAF991/E=")</f>
        <v>#VALUE!</v>
      </c>
      <c r="II72" t="e">
        <f>AND('SPR BARRANQUILLA'!FA84,"AAAAAF991/I=")</f>
        <v>#VALUE!</v>
      </c>
      <c r="IJ72" t="e">
        <f>AND('SPR BARRANQUILLA'!FB84,"AAAAAF991/M=")</f>
        <v>#VALUE!</v>
      </c>
      <c r="IK72" t="e">
        <f>AND('SPR BARRANQUILLA'!FC84,"AAAAAF991/Q=")</f>
        <v>#VALUE!</v>
      </c>
      <c r="IL72" t="e">
        <f>AND('SPR BARRANQUILLA'!FD84,"AAAAAF991/U=")</f>
        <v>#VALUE!</v>
      </c>
      <c r="IM72" t="e">
        <f>AND('SPR BARRANQUILLA'!FE84,"AAAAAF991/Y=")</f>
        <v>#VALUE!</v>
      </c>
      <c r="IN72" t="e">
        <f>AND('SPR BARRANQUILLA'!FF84,"AAAAAF991/c=")</f>
        <v>#VALUE!</v>
      </c>
      <c r="IO72" t="e">
        <f>AND('SPR BARRANQUILLA'!FG84,"AAAAAF991/g=")</f>
        <v>#VALUE!</v>
      </c>
      <c r="IP72" t="e">
        <f>AND('SPR BARRANQUILLA'!FH84,"AAAAAF991/k=")</f>
        <v>#VALUE!</v>
      </c>
      <c r="IQ72" t="e">
        <f>AND('SPR BARRANQUILLA'!FI84,"AAAAAF991/o=")</f>
        <v>#VALUE!</v>
      </c>
      <c r="IR72" t="e">
        <f>AND('SPR BARRANQUILLA'!FJ84,"AAAAAF991/s=")</f>
        <v>#VALUE!</v>
      </c>
      <c r="IS72" t="e">
        <f>AND('SPR BARRANQUILLA'!FK84,"AAAAAF991/w=")</f>
        <v>#VALUE!</v>
      </c>
      <c r="IT72" t="e">
        <f>AND('SPR BARRANQUILLA'!FL84,"AAAAAF991/0=")</f>
        <v>#VALUE!</v>
      </c>
      <c r="IU72" t="e">
        <f>AND('SPR BARRANQUILLA'!FM84,"AAAAAF991/4=")</f>
        <v>#VALUE!</v>
      </c>
      <c r="IV72" t="e">
        <f>AND('SPR BARRANQUILLA'!FN84,"AAAAAF991/8=")</f>
        <v>#VALUE!</v>
      </c>
    </row>
    <row r="73" spans="1:256">
      <c r="A73" t="e">
        <f>AND('SPR BARRANQUILLA'!FO84,"AAAAAF/O8wA=")</f>
        <v>#VALUE!</v>
      </c>
      <c r="B73" t="e">
        <f>AND('SPR BARRANQUILLA'!FP84,"AAAAAF/O8wE=")</f>
        <v>#VALUE!</v>
      </c>
      <c r="C73" t="e">
        <f>AND('SPR BARRANQUILLA'!FQ84,"AAAAAF/O8wI=")</f>
        <v>#VALUE!</v>
      </c>
      <c r="D73" t="e">
        <f>AND('SPR BARRANQUILLA'!FR84,"AAAAAF/O8wM=")</f>
        <v>#VALUE!</v>
      </c>
      <c r="E73" t="e">
        <f>AND('SPR BARRANQUILLA'!FS84,"AAAAAF/O8wQ=")</f>
        <v>#VALUE!</v>
      </c>
      <c r="F73" t="e">
        <f>AND('SPR BARRANQUILLA'!FT84,"AAAAAF/O8wU=")</f>
        <v>#VALUE!</v>
      </c>
      <c r="G73" t="e">
        <f>AND('SPR BARRANQUILLA'!FU84,"AAAAAF/O8wY=")</f>
        <v>#VALUE!</v>
      </c>
      <c r="H73" t="e">
        <f>AND('SPR BARRANQUILLA'!FV84,"AAAAAF/O8wc=")</f>
        <v>#VALUE!</v>
      </c>
      <c r="I73" t="e">
        <f>AND('SPR BARRANQUILLA'!FW84,"AAAAAF/O8wg=")</f>
        <v>#VALUE!</v>
      </c>
      <c r="J73" t="e">
        <f>AND('SPR BARRANQUILLA'!FX84,"AAAAAF/O8wk=")</f>
        <v>#VALUE!</v>
      </c>
      <c r="K73" t="e">
        <f>AND('SPR BARRANQUILLA'!FY84,"AAAAAF/O8wo=")</f>
        <v>#VALUE!</v>
      </c>
      <c r="L73" t="e">
        <f>AND('SPR BARRANQUILLA'!FZ84,"AAAAAF/O8ws=")</f>
        <v>#VALUE!</v>
      </c>
      <c r="M73" t="e">
        <f>AND('SPR BARRANQUILLA'!GA84,"AAAAAF/O8ww=")</f>
        <v>#VALUE!</v>
      </c>
      <c r="N73" t="e">
        <f>AND('SPR BARRANQUILLA'!GB84,"AAAAAF/O8w0=")</f>
        <v>#VALUE!</v>
      </c>
      <c r="O73" t="e">
        <f>AND('SPR BARRANQUILLA'!GC84,"AAAAAF/O8w4=")</f>
        <v>#VALUE!</v>
      </c>
      <c r="P73" t="e">
        <f>AND('SPR BARRANQUILLA'!GD84,"AAAAAF/O8w8=")</f>
        <v>#VALUE!</v>
      </c>
      <c r="Q73" t="e">
        <f>AND('SPR BARRANQUILLA'!GE84,"AAAAAF/O8xA=")</f>
        <v>#VALUE!</v>
      </c>
      <c r="R73" t="e">
        <f>AND('SPR BARRANQUILLA'!GF84,"AAAAAF/O8xE=")</f>
        <v>#VALUE!</v>
      </c>
      <c r="S73" t="e">
        <f>AND('SPR BARRANQUILLA'!GG84,"AAAAAF/O8xI=")</f>
        <v>#VALUE!</v>
      </c>
      <c r="T73" t="e">
        <f>AND('SPR BARRANQUILLA'!GH84,"AAAAAF/O8xM=")</f>
        <v>#VALUE!</v>
      </c>
      <c r="U73" t="e">
        <f>AND('SPR BARRANQUILLA'!GI84,"AAAAAF/O8xQ=")</f>
        <v>#VALUE!</v>
      </c>
      <c r="V73" t="e">
        <f>AND('SPR BARRANQUILLA'!GJ84,"AAAAAF/O8xU=")</f>
        <v>#VALUE!</v>
      </c>
      <c r="W73" t="e">
        <f>AND('SPR BARRANQUILLA'!GK84,"AAAAAF/O8xY=")</f>
        <v>#VALUE!</v>
      </c>
      <c r="X73" t="e">
        <f>AND('SPR BARRANQUILLA'!GL84,"AAAAAF/O8xc=")</f>
        <v>#VALUE!</v>
      </c>
      <c r="Y73" t="e">
        <f>AND('SPR BARRANQUILLA'!GM84,"AAAAAF/O8xg=")</f>
        <v>#VALUE!</v>
      </c>
      <c r="Z73" t="e">
        <f>AND('SPR BARRANQUILLA'!GN84,"AAAAAF/O8xk=")</f>
        <v>#VALUE!</v>
      </c>
      <c r="AA73" t="e">
        <f>AND('SPR BARRANQUILLA'!GO84,"AAAAAF/O8xo=")</f>
        <v>#VALUE!</v>
      </c>
      <c r="AB73" t="e">
        <f>AND('SPR BARRANQUILLA'!GP84,"AAAAAF/O8xs=")</f>
        <v>#VALUE!</v>
      </c>
      <c r="AC73" t="e">
        <f>AND('SPR BARRANQUILLA'!GQ84,"AAAAAF/O8xw=")</f>
        <v>#VALUE!</v>
      </c>
      <c r="AD73" t="e">
        <f>AND('SPR BARRANQUILLA'!GR84,"AAAAAF/O8x0=")</f>
        <v>#VALUE!</v>
      </c>
      <c r="AE73" t="e">
        <f>AND('SPR BARRANQUILLA'!GS84,"AAAAAF/O8x4=")</f>
        <v>#VALUE!</v>
      </c>
      <c r="AF73" t="e">
        <f>AND('SPR BARRANQUILLA'!GT84,"AAAAAF/O8x8=")</f>
        <v>#VALUE!</v>
      </c>
      <c r="AG73" t="e">
        <f>AND('SPR BARRANQUILLA'!GU84,"AAAAAF/O8yA=")</f>
        <v>#VALUE!</v>
      </c>
      <c r="AH73" t="e">
        <f>AND('SPR BARRANQUILLA'!GV84,"AAAAAF/O8yE=")</f>
        <v>#VALUE!</v>
      </c>
      <c r="AI73" t="e">
        <f>AND('SPR BARRANQUILLA'!GW84,"AAAAAF/O8yI=")</f>
        <v>#VALUE!</v>
      </c>
      <c r="AJ73" t="e">
        <f>AND('SPR BARRANQUILLA'!GX84,"AAAAAF/O8yM=")</f>
        <v>#VALUE!</v>
      </c>
      <c r="AK73" t="e">
        <f>AND('SPR BARRANQUILLA'!GY84,"AAAAAF/O8yQ=")</f>
        <v>#VALUE!</v>
      </c>
      <c r="AL73">
        <f>IF('SPR BARRANQUILLA'!85:85,"AAAAAF/O8yU=",0)</f>
        <v>0</v>
      </c>
      <c r="AM73" t="e">
        <f>AND('SPR BARRANQUILLA'!A85,"AAAAAF/O8yY=")</f>
        <v>#VALUE!</v>
      </c>
      <c r="AN73" t="e">
        <f>AND('SPR BARRANQUILLA'!B85,"AAAAAF/O8yc=")</f>
        <v>#VALUE!</v>
      </c>
      <c r="AO73" t="e">
        <f>AND('SPR BARRANQUILLA'!C85,"AAAAAF/O8yg=")</f>
        <v>#VALUE!</v>
      </c>
      <c r="AP73" t="e">
        <f>AND('SPR BARRANQUILLA'!D85,"AAAAAF/O8yk=")</f>
        <v>#VALUE!</v>
      </c>
      <c r="AQ73" t="e">
        <f>AND('SPR BARRANQUILLA'!E85,"AAAAAF/O8yo=")</f>
        <v>#VALUE!</v>
      </c>
      <c r="AR73" t="e">
        <f>AND('SPR BARRANQUILLA'!F85,"AAAAAF/O8ys=")</f>
        <v>#VALUE!</v>
      </c>
      <c r="AS73" t="e">
        <f>AND('SPR BARRANQUILLA'!G85,"AAAAAF/O8yw=")</f>
        <v>#VALUE!</v>
      </c>
      <c r="AT73" t="e">
        <f>AND('SPR BARRANQUILLA'!H85,"AAAAAF/O8y0=")</f>
        <v>#VALUE!</v>
      </c>
      <c r="AU73" t="e">
        <f>AND('SPR BARRANQUILLA'!I85,"AAAAAF/O8y4=")</f>
        <v>#VALUE!</v>
      </c>
      <c r="AV73" t="e">
        <f>AND('SPR BARRANQUILLA'!J85,"AAAAAF/O8y8=")</f>
        <v>#VALUE!</v>
      </c>
      <c r="AW73" t="e">
        <f>AND('SPR BARRANQUILLA'!K85,"AAAAAF/O8zA=")</f>
        <v>#VALUE!</v>
      </c>
      <c r="AX73" t="e">
        <f>AND('SPR BARRANQUILLA'!L85,"AAAAAF/O8zE=")</f>
        <v>#VALUE!</v>
      </c>
      <c r="AY73" t="e">
        <f>AND('SPR BARRANQUILLA'!M85,"AAAAAF/O8zI=")</f>
        <v>#VALUE!</v>
      </c>
      <c r="AZ73" t="e">
        <f>AND('SPR BARRANQUILLA'!N85,"AAAAAF/O8zM=")</f>
        <v>#VALUE!</v>
      </c>
      <c r="BA73" t="e">
        <f>AND('SPR BARRANQUILLA'!O85,"AAAAAF/O8zQ=")</f>
        <v>#VALUE!</v>
      </c>
      <c r="BB73" t="e">
        <f>AND('SPR BARRANQUILLA'!P85,"AAAAAF/O8zU=")</f>
        <v>#VALUE!</v>
      </c>
      <c r="BC73" t="e">
        <f>AND('SPR BARRANQUILLA'!Q85,"AAAAAF/O8zY=")</f>
        <v>#VALUE!</v>
      </c>
      <c r="BD73" t="e">
        <f>AND('SPR BARRANQUILLA'!R85,"AAAAAF/O8zc=")</f>
        <v>#VALUE!</v>
      </c>
      <c r="BE73" t="e">
        <f>AND('SPR BARRANQUILLA'!S85,"AAAAAF/O8zg=")</f>
        <v>#VALUE!</v>
      </c>
      <c r="BF73" t="e">
        <f>AND('SPR BARRANQUILLA'!T85,"AAAAAF/O8zk=")</f>
        <v>#VALUE!</v>
      </c>
      <c r="BG73" t="e">
        <f>AND('SPR BARRANQUILLA'!U85,"AAAAAF/O8zo=")</f>
        <v>#VALUE!</v>
      </c>
      <c r="BH73" t="e">
        <f>AND('SPR BARRANQUILLA'!V85,"AAAAAF/O8zs=")</f>
        <v>#VALUE!</v>
      </c>
      <c r="BI73" t="e">
        <f>AND('SPR BARRANQUILLA'!W85,"AAAAAF/O8zw=")</f>
        <v>#VALUE!</v>
      </c>
      <c r="BJ73" t="e">
        <f>AND('SPR BARRANQUILLA'!X85,"AAAAAF/O8z0=")</f>
        <v>#VALUE!</v>
      </c>
      <c r="BK73" t="e">
        <f>AND('SPR BARRANQUILLA'!Y85,"AAAAAF/O8z4=")</f>
        <v>#VALUE!</v>
      </c>
      <c r="BL73" t="e">
        <f>AND('SPR BARRANQUILLA'!Z85,"AAAAAF/O8z8=")</f>
        <v>#VALUE!</v>
      </c>
      <c r="BM73" t="e">
        <f>AND('SPR BARRANQUILLA'!AA85,"AAAAAF/O80A=")</f>
        <v>#VALUE!</v>
      </c>
      <c r="BN73" t="e">
        <f>AND('SPR BARRANQUILLA'!AB85,"AAAAAF/O80E=")</f>
        <v>#VALUE!</v>
      </c>
      <c r="BO73" t="e">
        <f>AND('SPR BARRANQUILLA'!AC85,"AAAAAF/O80I=")</f>
        <v>#VALUE!</v>
      </c>
      <c r="BP73" t="e">
        <f>AND('SPR BARRANQUILLA'!AD85,"AAAAAF/O80M=")</f>
        <v>#VALUE!</v>
      </c>
      <c r="BQ73" t="e">
        <f>AND('SPR BARRANQUILLA'!AE85,"AAAAAF/O80Q=")</f>
        <v>#VALUE!</v>
      </c>
      <c r="BR73" t="e">
        <f>AND('SPR BARRANQUILLA'!AF85,"AAAAAF/O80U=")</f>
        <v>#VALUE!</v>
      </c>
      <c r="BS73" t="e">
        <f>AND('SPR BARRANQUILLA'!AG85,"AAAAAF/O80Y=")</f>
        <v>#VALUE!</v>
      </c>
      <c r="BT73" t="e">
        <f>AND('SPR BARRANQUILLA'!AH85,"AAAAAF/O80c=")</f>
        <v>#VALUE!</v>
      </c>
      <c r="BU73" t="e">
        <f>AND('SPR BARRANQUILLA'!AI85,"AAAAAF/O80g=")</f>
        <v>#VALUE!</v>
      </c>
      <c r="BV73" t="e">
        <f>AND('SPR BARRANQUILLA'!AJ85,"AAAAAF/O80k=")</f>
        <v>#VALUE!</v>
      </c>
      <c r="BW73" t="e">
        <f>AND('SPR BARRANQUILLA'!AK85,"AAAAAF/O80o=")</f>
        <v>#VALUE!</v>
      </c>
      <c r="BX73" t="e">
        <f>AND('SPR BARRANQUILLA'!AL85,"AAAAAF/O80s=")</f>
        <v>#VALUE!</v>
      </c>
      <c r="BY73" t="e">
        <f>AND('SPR BARRANQUILLA'!AM85,"AAAAAF/O80w=")</f>
        <v>#VALUE!</v>
      </c>
      <c r="BZ73" t="e">
        <f>AND('SPR BARRANQUILLA'!AN85,"AAAAAF/O800=")</f>
        <v>#VALUE!</v>
      </c>
      <c r="CA73" t="e">
        <f>AND('SPR BARRANQUILLA'!AO85,"AAAAAF/O804=")</f>
        <v>#VALUE!</v>
      </c>
      <c r="CB73" t="e">
        <f>AND('SPR BARRANQUILLA'!AP85,"AAAAAF/O808=")</f>
        <v>#VALUE!</v>
      </c>
      <c r="CC73" t="e">
        <f>AND('SPR BARRANQUILLA'!AQ85,"AAAAAF/O81A=")</f>
        <v>#VALUE!</v>
      </c>
      <c r="CD73" t="e">
        <f>AND('SPR BARRANQUILLA'!AR85,"AAAAAF/O81E=")</f>
        <v>#VALUE!</v>
      </c>
      <c r="CE73" t="e">
        <f>AND('SPR BARRANQUILLA'!AS85,"AAAAAF/O81I=")</f>
        <v>#VALUE!</v>
      </c>
      <c r="CF73" t="e">
        <f>AND('SPR BARRANQUILLA'!AT85,"AAAAAF/O81M=")</f>
        <v>#VALUE!</v>
      </c>
      <c r="CG73" t="e">
        <f>AND('SPR BARRANQUILLA'!AU85,"AAAAAF/O81Q=")</f>
        <v>#VALUE!</v>
      </c>
      <c r="CH73" t="e">
        <f>AND('SPR BARRANQUILLA'!AV85,"AAAAAF/O81U=")</f>
        <v>#VALUE!</v>
      </c>
      <c r="CI73" t="e">
        <f>AND('SPR BARRANQUILLA'!AW85,"AAAAAF/O81Y=")</f>
        <v>#VALUE!</v>
      </c>
      <c r="CJ73" t="e">
        <f>AND('SPR BARRANQUILLA'!AX85,"AAAAAF/O81c=")</f>
        <v>#VALUE!</v>
      </c>
      <c r="CK73" t="e">
        <f>AND('SPR BARRANQUILLA'!AY85,"AAAAAF/O81g=")</f>
        <v>#VALUE!</v>
      </c>
      <c r="CL73" t="e">
        <f>AND('SPR BARRANQUILLA'!AZ85,"AAAAAF/O81k=")</f>
        <v>#VALUE!</v>
      </c>
      <c r="CM73" t="e">
        <f>AND('SPR BARRANQUILLA'!BA85,"AAAAAF/O81o=")</f>
        <v>#VALUE!</v>
      </c>
      <c r="CN73" t="e">
        <f>AND('SPR BARRANQUILLA'!BB85,"AAAAAF/O81s=")</f>
        <v>#VALUE!</v>
      </c>
      <c r="CO73" t="e">
        <f>AND('SPR BARRANQUILLA'!BC85,"AAAAAF/O81w=")</f>
        <v>#VALUE!</v>
      </c>
      <c r="CP73" t="e">
        <f>AND('SPR BARRANQUILLA'!BD85,"AAAAAF/O810=")</f>
        <v>#VALUE!</v>
      </c>
      <c r="CQ73" t="e">
        <f>AND('SPR BARRANQUILLA'!BE85,"AAAAAF/O814=")</f>
        <v>#VALUE!</v>
      </c>
      <c r="CR73" t="e">
        <f>AND('SPR BARRANQUILLA'!BF85,"AAAAAF/O818=")</f>
        <v>#VALUE!</v>
      </c>
      <c r="CS73" t="e">
        <f>AND('SPR BARRANQUILLA'!BG85,"AAAAAF/O82A=")</f>
        <v>#VALUE!</v>
      </c>
      <c r="CT73" t="e">
        <f>AND('SPR BARRANQUILLA'!BH85,"AAAAAF/O82E=")</f>
        <v>#VALUE!</v>
      </c>
      <c r="CU73" t="e">
        <f>AND('SPR BARRANQUILLA'!BI85,"AAAAAF/O82I=")</f>
        <v>#VALUE!</v>
      </c>
      <c r="CV73" t="e">
        <f>AND('SPR BARRANQUILLA'!BJ85,"AAAAAF/O82M=")</f>
        <v>#VALUE!</v>
      </c>
      <c r="CW73" t="e">
        <f>AND('SPR BARRANQUILLA'!BK85,"AAAAAF/O82Q=")</f>
        <v>#VALUE!</v>
      </c>
      <c r="CX73" t="e">
        <f>AND('SPR BARRANQUILLA'!BL85,"AAAAAF/O82U=")</f>
        <v>#VALUE!</v>
      </c>
      <c r="CY73" t="e">
        <f>AND('SPR BARRANQUILLA'!BM85,"AAAAAF/O82Y=")</f>
        <v>#VALUE!</v>
      </c>
      <c r="CZ73" t="e">
        <f>AND('SPR BARRANQUILLA'!BN85,"AAAAAF/O82c=")</f>
        <v>#VALUE!</v>
      </c>
      <c r="DA73" t="e">
        <f>AND('SPR BARRANQUILLA'!BO85,"AAAAAF/O82g=")</f>
        <v>#VALUE!</v>
      </c>
      <c r="DB73" t="e">
        <f>AND('SPR BARRANQUILLA'!BP85,"AAAAAF/O82k=")</f>
        <v>#VALUE!</v>
      </c>
      <c r="DC73" t="e">
        <f>AND('SPR BARRANQUILLA'!BQ85,"AAAAAF/O82o=")</f>
        <v>#VALUE!</v>
      </c>
      <c r="DD73" t="e">
        <f>AND('SPR BARRANQUILLA'!BR85,"AAAAAF/O82s=")</f>
        <v>#VALUE!</v>
      </c>
      <c r="DE73" t="e">
        <f>AND('SPR BARRANQUILLA'!BS85,"AAAAAF/O82w=")</f>
        <v>#VALUE!</v>
      </c>
      <c r="DF73" t="e">
        <f>AND('SPR BARRANQUILLA'!BT85,"AAAAAF/O820=")</f>
        <v>#VALUE!</v>
      </c>
      <c r="DG73" t="e">
        <f>AND('SPR BARRANQUILLA'!BU85,"AAAAAF/O824=")</f>
        <v>#VALUE!</v>
      </c>
      <c r="DH73" t="e">
        <f>AND('SPR BARRANQUILLA'!BV85,"AAAAAF/O828=")</f>
        <v>#VALUE!</v>
      </c>
      <c r="DI73" t="e">
        <f>AND('SPR BARRANQUILLA'!BW85,"AAAAAF/O83A=")</f>
        <v>#VALUE!</v>
      </c>
      <c r="DJ73" t="e">
        <f>AND('SPR BARRANQUILLA'!BX85,"AAAAAF/O83E=")</f>
        <v>#VALUE!</v>
      </c>
      <c r="DK73" t="e">
        <f>AND('SPR BARRANQUILLA'!BY85,"AAAAAF/O83I=")</f>
        <v>#VALUE!</v>
      </c>
      <c r="DL73" t="e">
        <f>AND('SPR BARRANQUILLA'!BZ85,"AAAAAF/O83M=")</f>
        <v>#VALUE!</v>
      </c>
      <c r="DM73" t="e">
        <f>AND('SPR BARRANQUILLA'!CA85,"AAAAAF/O83Q=")</f>
        <v>#VALUE!</v>
      </c>
      <c r="DN73" t="e">
        <f>AND('SPR BARRANQUILLA'!CB85,"AAAAAF/O83U=")</f>
        <v>#VALUE!</v>
      </c>
      <c r="DO73" t="e">
        <f>AND('SPR BARRANQUILLA'!CC85,"AAAAAF/O83Y=")</f>
        <v>#VALUE!</v>
      </c>
      <c r="DP73" t="e">
        <f>AND('SPR BARRANQUILLA'!CD85,"AAAAAF/O83c=")</f>
        <v>#VALUE!</v>
      </c>
      <c r="DQ73" t="e">
        <f>AND('SPR BARRANQUILLA'!CE85,"AAAAAF/O83g=")</f>
        <v>#VALUE!</v>
      </c>
      <c r="DR73" t="e">
        <f>AND('SPR BARRANQUILLA'!CF85,"AAAAAF/O83k=")</f>
        <v>#VALUE!</v>
      </c>
      <c r="DS73" t="e">
        <f>AND('SPR BARRANQUILLA'!CG85,"AAAAAF/O83o=")</f>
        <v>#VALUE!</v>
      </c>
      <c r="DT73" t="e">
        <f>AND('SPR BARRANQUILLA'!CH85,"AAAAAF/O83s=")</f>
        <v>#VALUE!</v>
      </c>
      <c r="DU73" t="e">
        <f>AND('SPR BARRANQUILLA'!CI85,"AAAAAF/O83w=")</f>
        <v>#VALUE!</v>
      </c>
      <c r="DV73" t="e">
        <f>AND('SPR BARRANQUILLA'!CJ85,"AAAAAF/O830=")</f>
        <v>#VALUE!</v>
      </c>
      <c r="DW73" t="e">
        <f>AND('SPR BARRANQUILLA'!CK85,"AAAAAF/O834=")</f>
        <v>#VALUE!</v>
      </c>
      <c r="DX73" t="e">
        <f>AND('SPR BARRANQUILLA'!CL85,"AAAAAF/O838=")</f>
        <v>#VALUE!</v>
      </c>
      <c r="DY73" t="e">
        <f>AND('SPR BARRANQUILLA'!CM85,"AAAAAF/O84A=")</f>
        <v>#VALUE!</v>
      </c>
      <c r="DZ73" t="e">
        <f>AND('SPR BARRANQUILLA'!CN85,"AAAAAF/O84E=")</f>
        <v>#VALUE!</v>
      </c>
      <c r="EA73" t="e">
        <f>AND('SPR BARRANQUILLA'!CO85,"AAAAAF/O84I=")</f>
        <v>#VALUE!</v>
      </c>
      <c r="EB73" t="e">
        <f>AND('SPR BARRANQUILLA'!CP85,"AAAAAF/O84M=")</f>
        <v>#VALUE!</v>
      </c>
      <c r="EC73" t="e">
        <f>AND('SPR BARRANQUILLA'!CQ85,"AAAAAF/O84Q=")</f>
        <v>#VALUE!</v>
      </c>
      <c r="ED73" t="e">
        <f>AND('SPR BARRANQUILLA'!CR85,"AAAAAF/O84U=")</f>
        <v>#VALUE!</v>
      </c>
      <c r="EE73" t="e">
        <f>AND('SPR BARRANQUILLA'!CS85,"AAAAAF/O84Y=")</f>
        <v>#VALUE!</v>
      </c>
      <c r="EF73" t="e">
        <f>AND('SPR BARRANQUILLA'!CT85,"AAAAAF/O84c=")</f>
        <v>#VALUE!</v>
      </c>
      <c r="EG73" t="e">
        <f>AND('SPR BARRANQUILLA'!CU85,"AAAAAF/O84g=")</f>
        <v>#VALUE!</v>
      </c>
      <c r="EH73" t="e">
        <f>AND('SPR BARRANQUILLA'!CV85,"AAAAAF/O84k=")</f>
        <v>#VALUE!</v>
      </c>
      <c r="EI73" t="e">
        <f>AND('SPR BARRANQUILLA'!CW85,"AAAAAF/O84o=")</f>
        <v>#VALUE!</v>
      </c>
      <c r="EJ73" t="e">
        <f>AND('SPR BARRANQUILLA'!CX85,"AAAAAF/O84s=")</f>
        <v>#VALUE!</v>
      </c>
      <c r="EK73" t="e">
        <f>AND('SPR BARRANQUILLA'!CY85,"AAAAAF/O84w=")</f>
        <v>#VALUE!</v>
      </c>
      <c r="EL73" t="e">
        <f>AND('SPR BARRANQUILLA'!CZ85,"AAAAAF/O840=")</f>
        <v>#VALUE!</v>
      </c>
      <c r="EM73" t="e">
        <f>AND('SPR BARRANQUILLA'!DA85,"AAAAAF/O844=")</f>
        <v>#VALUE!</v>
      </c>
      <c r="EN73" t="e">
        <f>AND('SPR BARRANQUILLA'!DB85,"AAAAAF/O848=")</f>
        <v>#VALUE!</v>
      </c>
      <c r="EO73" t="e">
        <f>AND('SPR BARRANQUILLA'!DC85,"AAAAAF/O85A=")</f>
        <v>#VALUE!</v>
      </c>
      <c r="EP73" t="e">
        <f>AND('SPR BARRANQUILLA'!DD85,"AAAAAF/O85E=")</f>
        <v>#VALUE!</v>
      </c>
      <c r="EQ73" t="e">
        <f>AND('SPR BARRANQUILLA'!DE85,"AAAAAF/O85I=")</f>
        <v>#VALUE!</v>
      </c>
      <c r="ER73" t="e">
        <f>AND('SPR BARRANQUILLA'!DF85,"AAAAAF/O85M=")</f>
        <v>#VALUE!</v>
      </c>
      <c r="ES73" t="e">
        <f>AND('SPR BARRANQUILLA'!DG85,"AAAAAF/O85Q=")</f>
        <v>#VALUE!</v>
      </c>
      <c r="ET73" t="e">
        <f>AND('SPR BARRANQUILLA'!DH85,"AAAAAF/O85U=")</f>
        <v>#VALUE!</v>
      </c>
      <c r="EU73" t="e">
        <f>AND('SPR BARRANQUILLA'!DI85,"AAAAAF/O85Y=")</f>
        <v>#VALUE!</v>
      </c>
      <c r="EV73" t="e">
        <f>AND('SPR BARRANQUILLA'!DJ85,"AAAAAF/O85c=")</f>
        <v>#VALUE!</v>
      </c>
      <c r="EW73" t="e">
        <f>AND('SPR BARRANQUILLA'!DK85,"AAAAAF/O85g=")</f>
        <v>#VALUE!</v>
      </c>
      <c r="EX73" t="e">
        <f>AND('SPR BARRANQUILLA'!DL85,"AAAAAF/O85k=")</f>
        <v>#VALUE!</v>
      </c>
      <c r="EY73" t="e">
        <f>AND('SPR BARRANQUILLA'!DM85,"AAAAAF/O85o=")</f>
        <v>#VALUE!</v>
      </c>
      <c r="EZ73" t="e">
        <f>AND('SPR BARRANQUILLA'!DN85,"AAAAAF/O85s=")</f>
        <v>#VALUE!</v>
      </c>
      <c r="FA73" t="e">
        <f>AND('SPR BARRANQUILLA'!DO85,"AAAAAF/O85w=")</f>
        <v>#VALUE!</v>
      </c>
      <c r="FB73" t="e">
        <f>AND('SPR BARRANQUILLA'!DP85,"AAAAAF/O850=")</f>
        <v>#VALUE!</v>
      </c>
      <c r="FC73" t="e">
        <f>AND('SPR BARRANQUILLA'!DQ85,"AAAAAF/O854=")</f>
        <v>#VALUE!</v>
      </c>
      <c r="FD73" t="e">
        <f>AND('SPR BARRANQUILLA'!DR85,"AAAAAF/O858=")</f>
        <v>#VALUE!</v>
      </c>
      <c r="FE73" t="e">
        <f>AND('SPR BARRANQUILLA'!DS85,"AAAAAF/O86A=")</f>
        <v>#VALUE!</v>
      </c>
      <c r="FF73" t="e">
        <f>AND('SPR BARRANQUILLA'!DT85,"AAAAAF/O86E=")</f>
        <v>#VALUE!</v>
      </c>
      <c r="FG73" t="e">
        <f>AND('SPR BARRANQUILLA'!DU85,"AAAAAF/O86I=")</f>
        <v>#VALUE!</v>
      </c>
      <c r="FH73" t="e">
        <f>AND('SPR BARRANQUILLA'!DV85,"AAAAAF/O86M=")</f>
        <v>#VALUE!</v>
      </c>
      <c r="FI73" t="e">
        <f>AND('SPR BARRANQUILLA'!DW85,"AAAAAF/O86Q=")</f>
        <v>#VALUE!</v>
      </c>
      <c r="FJ73" t="e">
        <f>AND('SPR BARRANQUILLA'!DX85,"AAAAAF/O86U=")</f>
        <v>#VALUE!</v>
      </c>
      <c r="FK73" t="e">
        <f>AND('SPR BARRANQUILLA'!DY85,"AAAAAF/O86Y=")</f>
        <v>#VALUE!</v>
      </c>
      <c r="FL73" t="e">
        <f>AND('SPR BARRANQUILLA'!DZ85,"AAAAAF/O86c=")</f>
        <v>#VALUE!</v>
      </c>
      <c r="FM73" t="e">
        <f>AND('SPR BARRANQUILLA'!EA85,"AAAAAF/O86g=")</f>
        <v>#VALUE!</v>
      </c>
      <c r="FN73" t="e">
        <f>AND('SPR BARRANQUILLA'!EB85,"AAAAAF/O86k=")</f>
        <v>#VALUE!</v>
      </c>
      <c r="FO73" t="e">
        <f>AND('SPR BARRANQUILLA'!EC85,"AAAAAF/O86o=")</f>
        <v>#VALUE!</v>
      </c>
      <c r="FP73" t="e">
        <f>AND('SPR BARRANQUILLA'!ED85,"AAAAAF/O86s=")</f>
        <v>#VALUE!</v>
      </c>
      <c r="FQ73" t="e">
        <f>AND('SPR BARRANQUILLA'!EE85,"AAAAAF/O86w=")</f>
        <v>#VALUE!</v>
      </c>
      <c r="FR73" t="e">
        <f>AND('SPR BARRANQUILLA'!EF85,"AAAAAF/O860=")</f>
        <v>#VALUE!</v>
      </c>
      <c r="FS73" t="e">
        <f>AND('SPR BARRANQUILLA'!EG85,"AAAAAF/O864=")</f>
        <v>#VALUE!</v>
      </c>
      <c r="FT73" t="e">
        <f>AND('SPR BARRANQUILLA'!EH85,"AAAAAF/O868=")</f>
        <v>#VALUE!</v>
      </c>
      <c r="FU73" t="e">
        <f>AND('SPR BARRANQUILLA'!EI85,"AAAAAF/O87A=")</f>
        <v>#VALUE!</v>
      </c>
      <c r="FV73" t="e">
        <f>AND('SPR BARRANQUILLA'!EJ85,"AAAAAF/O87E=")</f>
        <v>#VALUE!</v>
      </c>
      <c r="FW73" t="e">
        <f>AND('SPR BARRANQUILLA'!EK85,"AAAAAF/O87I=")</f>
        <v>#VALUE!</v>
      </c>
      <c r="FX73" t="e">
        <f>AND('SPR BARRANQUILLA'!EL85,"AAAAAF/O87M=")</f>
        <v>#VALUE!</v>
      </c>
      <c r="FY73" t="e">
        <f>AND('SPR BARRANQUILLA'!EM85,"AAAAAF/O87Q=")</f>
        <v>#VALUE!</v>
      </c>
      <c r="FZ73" t="e">
        <f>AND('SPR BARRANQUILLA'!EN85,"AAAAAF/O87U=")</f>
        <v>#VALUE!</v>
      </c>
      <c r="GA73" t="e">
        <f>AND('SPR BARRANQUILLA'!EO85,"AAAAAF/O87Y=")</f>
        <v>#VALUE!</v>
      </c>
      <c r="GB73" t="e">
        <f>AND('SPR BARRANQUILLA'!EP85,"AAAAAF/O87c=")</f>
        <v>#VALUE!</v>
      </c>
      <c r="GC73" t="e">
        <f>AND('SPR BARRANQUILLA'!EQ85,"AAAAAF/O87g=")</f>
        <v>#VALUE!</v>
      </c>
      <c r="GD73" t="e">
        <f>AND('SPR BARRANQUILLA'!ER85,"AAAAAF/O87k=")</f>
        <v>#VALUE!</v>
      </c>
      <c r="GE73" t="e">
        <f>AND('SPR BARRANQUILLA'!ES85,"AAAAAF/O87o=")</f>
        <v>#VALUE!</v>
      </c>
      <c r="GF73" t="e">
        <f>AND('SPR BARRANQUILLA'!ET85,"AAAAAF/O87s=")</f>
        <v>#VALUE!</v>
      </c>
      <c r="GG73" t="e">
        <f>AND('SPR BARRANQUILLA'!EU85,"AAAAAF/O87w=")</f>
        <v>#VALUE!</v>
      </c>
      <c r="GH73" t="e">
        <f>AND('SPR BARRANQUILLA'!EV85,"AAAAAF/O870=")</f>
        <v>#VALUE!</v>
      </c>
      <c r="GI73" t="e">
        <f>AND('SPR BARRANQUILLA'!EW85,"AAAAAF/O874=")</f>
        <v>#VALUE!</v>
      </c>
      <c r="GJ73" t="e">
        <f>AND('SPR BARRANQUILLA'!EX85,"AAAAAF/O878=")</f>
        <v>#VALUE!</v>
      </c>
      <c r="GK73" t="e">
        <f>AND('SPR BARRANQUILLA'!EY85,"AAAAAF/O88A=")</f>
        <v>#VALUE!</v>
      </c>
      <c r="GL73" t="e">
        <f>AND('SPR BARRANQUILLA'!EZ85,"AAAAAF/O88E=")</f>
        <v>#VALUE!</v>
      </c>
      <c r="GM73" t="e">
        <f>AND('SPR BARRANQUILLA'!FA85,"AAAAAF/O88I=")</f>
        <v>#VALUE!</v>
      </c>
      <c r="GN73" t="e">
        <f>AND('SPR BARRANQUILLA'!FB85,"AAAAAF/O88M=")</f>
        <v>#VALUE!</v>
      </c>
      <c r="GO73" t="e">
        <f>AND('SPR BARRANQUILLA'!FC85,"AAAAAF/O88Q=")</f>
        <v>#VALUE!</v>
      </c>
      <c r="GP73" t="e">
        <f>AND('SPR BARRANQUILLA'!FD85,"AAAAAF/O88U=")</f>
        <v>#VALUE!</v>
      </c>
      <c r="GQ73" t="e">
        <f>AND('SPR BARRANQUILLA'!FE85,"AAAAAF/O88Y=")</f>
        <v>#VALUE!</v>
      </c>
      <c r="GR73" t="e">
        <f>AND('SPR BARRANQUILLA'!FF85,"AAAAAF/O88c=")</f>
        <v>#VALUE!</v>
      </c>
      <c r="GS73" t="e">
        <f>AND('SPR BARRANQUILLA'!FG85,"AAAAAF/O88g=")</f>
        <v>#VALUE!</v>
      </c>
      <c r="GT73" t="e">
        <f>AND('SPR BARRANQUILLA'!FH85,"AAAAAF/O88k=")</f>
        <v>#VALUE!</v>
      </c>
      <c r="GU73" t="e">
        <f>AND('SPR BARRANQUILLA'!FI85,"AAAAAF/O88o=")</f>
        <v>#VALUE!</v>
      </c>
      <c r="GV73" t="e">
        <f>AND('SPR BARRANQUILLA'!FJ85,"AAAAAF/O88s=")</f>
        <v>#VALUE!</v>
      </c>
      <c r="GW73" t="e">
        <f>AND('SPR BARRANQUILLA'!FK85,"AAAAAF/O88w=")</f>
        <v>#VALUE!</v>
      </c>
      <c r="GX73" t="e">
        <f>AND('SPR BARRANQUILLA'!FL85,"AAAAAF/O880=")</f>
        <v>#VALUE!</v>
      </c>
      <c r="GY73" t="e">
        <f>AND('SPR BARRANQUILLA'!FM85,"AAAAAF/O884=")</f>
        <v>#VALUE!</v>
      </c>
      <c r="GZ73" t="e">
        <f>AND('SPR BARRANQUILLA'!FN85,"AAAAAF/O888=")</f>
        <v>#VALUE!</v>
      </c>
      <c r="HA73" t="e">
        <f>AND('SPR BARRANQUILLA'!FO85,"AAAAAF/O89A=")</f>
        <v>#VALUE!</v>
      </c>
      <c r="HB73" t="e">
        <f>AND('SPR BARRANQUILLA'!FP85,"AAAAAF/O89E=")</f>
        <v>#VALUE!</v>
      </c>
      <c r="HC73" t="e">
        <f>AND('SPR BARRANQUILLA'!FQ85,"AAAAAF/O89I=")</f>
        <v>#VALUE!</v>
      </c>
      <c r="HD73" t="e">
        <f>AND('SPR BARRANQUILLA'!FR85,"AAAAAF/O89M=")</f>
        <v>#VALUE!</v>
      </c>
      <c r="HE73" t="e">
        <f>AND('SPR BARRANQUILLA'!FS85,"AAAAAF/O89Q=")</f>
        <v>#VALUE!</v>
      </c>
      <c r="HF73" t="e">
        <f>AND('SPR BARRANQUILLA'!FT85,"AAAAAF/O89U=")</f>
        <v>#VALUE!</v>
      </c>
      <c r="HG73" t="e">
        <f>AND('SPR BARRANQUILLA'!FU85,"AAAAAF/O89Y=")</f>
        <v>#VALUE!</v>
      </c>
      <c r="HH73" t="e">
        <f>AND('SPR BARRANQUILLA'!FV85,"AAAAAF/O89c=")</f>
        <v>#VALUE!</v>
      </c>
      <c r="HI73" t="e">
        <f>AND('SPR BARRANQUILLA'!FW85,"AAAAAF/O89g=")</f>
        <v>#VALUE!</v>
      </c>
      <c r="HJ73" t="e">
        <f>AND('SPR BARRANQUILLA'!FX85,"AAAAAF/O89k=")</f>
        <v>#VALUE!</v>
      </c>
      <c r="HK73" t="e">
        <f>AND('SPR BARRANQUILLA'!FY85,"AAAAAF/O89o=")</f>
        <v>#VALUE!</v>
      </c>
      <c r="HL73" t="e">
        <f>AND('SPR BARRANQUILLA'!FZ85,"AAAAAF/O89s=")</f>
        <v>#VALUE!</v>
      </c>
      <c r="HM73" t="e">
        <f>AND('SPR BARRANQUILLA'!GA85,"AAAAAF/O89w=")</f>
        <v>#VALUE!</v>
      </c>
      <c r="HN73" t="e">
        <f>AND('SPR BARRANQUILLA'!GB85,"AAAAAF/O890=")</f>
        <v>#VALUE!</v>
      </c>
      <c r="HO73" t="e">
        <f>AND('SPR BARRANQUILLA'!GC85,"AAAAAF/O894=")</f>
        <v>#VALUE!</v>
      </c>
      <c r="HP73" t="e">
        <f>AND('SPR BARRANQUILLA'!GD85,"AAAAAF/O898=")</f>
        <v>#VALUE!</v>
      </c>
      <c r="HQ73" t="e">
        <f>AND('SPR BARRANQUILLA'!GE85,"AAAAAF/O8+A=")</f>
        <v>#VALUE!</v>
      </c>
      <c r="HR73" t="e">
        <f>AND('SPR BARRANQUILLA'!GF85,"AAAAAF/O8+E=")</f>
        <v>#VALUE!</v>
      </c>
      <c r="HS73" t="e">
        <f>AND('SPR BARRANQUILLA'!GG85,"AAAAAF/O8+I=")</f>
        <v>#VALUE!</v>
      </c>
      <c r="HT73" t="e">
        <f>AND('SPR BARRANQUILLA'!GH85,"AAAAAF/O8+M=")</f>
        <v>#VALUE!</v>
      </c>
      <c r="HU73" t="e">
        <f>AND('SPR BARRANQUILLA'!GI85,"AAAAAF/O8+Q=")</f>
        <v>#VALUE!</v>
      </c>
      <c r="HV73" t="e">
        <f>AND('SPR BARRANQUILLA'!GJ85,"AAAAAF/O8+U=")</f>
        <v>#VALUE!</v>
      </c>
      <c r="HW73" t="e">
        <f>AND('SPR BARRANQUILLA'!GK85,"AAAAAF/O8+Y=")</f>
        <v>#VALUE!</v>
      </c>
      <c r="HX73" t="e">
        <f>AND('SPR BARRANQUILLA'!GL85,"AAAAAF/O8+c=")</f>
        <v>#VALUE!</v>
      </c>
      <c r="HY73" t="e">
        <f>AND('SPR BARRANQUILLA'!GM85,"AAAAAF/O8+g=")</f>
        <v>#VALUE!</v>
      </c>
      <c r="HZ73" t="e">
        <f>AND('SPR BARRANQUILLA'!GN85,"AAAAAF/O8+k=")</f>
        <v>#VALUE!</v>
      </c>
      <c r="IA73" t="e">
        <f>AND('SPR BARRANQUILLA'!GO85,"AAAAAF/O8+o=")</f>
        <v>#VALUE!</v>
      </c>
      <c r="IB73" t="e">
        <f>AND('SPR BARRANQUILLA'!GP85,"AAAAAF/O8+s=")</f>
        <v>#VALUE!</v>
      </c>
      <c r="IC73" t="e">
        <f>AND('SPR BARRANQUILLA'!GQ85,"AAAAAF/O8+w=")</f>
        <v>#VALUE!</v>
      </c>
      <c r="ID73" t="e">
        <f>AND('SPR BARRANQUILLA'!GR85,"AAAAAF/O8+0=")</f>
        <v>#VALUE!</v>
      </c>
      <c r="IE73" t="e">
        <f>AND('SPR BARRANQUILLA'!GS85,"AAAAAF/O8+4=")</f>
        <v>#VALUE!</v>
      </c>
      <c r="IF73" t="e">
        <f>AND('SPR BARRANQUILLA'!GT85,"AAAAAF/O8+8=")</f>
        <v>#VALUE!</v>
      </c>
      <c r="IG73" t="e">
        <f>AND('SPR BARRANQUILLA'!GU85,"AAAAAF/O8/A=")</f>
        <v>#VALUE!</v>
      </c>
      <c r="IH73" t="e">
        <f>AND('SPR BARRANQUILLA'!GV85,"AAAAAF/O8/E=")</f>
        <v>#VALUE!</v>
      </c>
      <c r="II73" t="e">
        <f>AND('SPR BARRANQUILLA'!GW85,"AAAAAF/O8/I=")</f>
        <v>#VALUE!</v>
      </c>
      <c r="IJ73" t="e">
        <f>AND('SPR BARRANQUILLA'!GX85,"AAAAAF/O8/M=")</f>
        <v>#VALUE!</v>
      </c>
      <c r="IK73" t="e">
        <f>AND('SPR BARRANQUILLA'!GY85,"AAAAAF/O8/Q=")</f>
        <v>#VALUE!</v>
      </c>
      <c r="IL73">
        <f>IF('SPR BARRANQUILLA'!86:86,"AAAAAF/O8/U=",0)</f>
        <v>0</v>
      </c>
      <c r="IM73" t="e">
        <f>AND('SPR BARRANQUILLA'!A86,"AAAAAF/O8/Y=")</f>
        <v>#VALUE!</v>
      </c>
      <c r="IN73" t="e">
        <f>AND('SPR BARRANQUILLA'!B86,"AAAAAF/O8/c=")</f>
        <v>#VALUE!</v>
      </c>
      <c r="IO73" t="e">
        <f>AND('SPR BARRANQUILLA'!C86,"AAAAAF/O8/g=")</f>
        <v>#VALUE!</v>
      </c>
      <c r="IP73" t="e">
        <f>AND('SPR BARRANQUILLA'!D86,"AAAAAF/O8/k=")</f>
        <v>#VALUE!</v>
      </c>
      <c r="IQ73" t="e">
        <f>AND('SPR BARRANQUILLA'!E86,"AAAAAF/O8/o=")</f>
        <v>#VALUE!</v>
      </c>
      <c r="IR73" t="e">
        <f>AND('SPR BARRANQUILLA'!F86,"AAAAAF/O8/s=")</f>
        <v>#VALUE!</v>
      </c>
      <c r="IS73" t="e">
        <f>AND('SPR BARRANQUILLA'!G86,"AAAAAF/O8/w=")</f>
        <v>#VALUE!</v>
      </c>
      <c r="IT73" t="e">
        <f>AND('SPR BARRANQUILLA'!H86,"AAAAAF/O8/0=")</f>
        <v>#VALUE!</v>
      </c>
      <c r="IU73" t="e">
        <f>AND('SPR BARRANQUILLA'!I86,"AAAAAF/O8/4=")</f>
        <v>#VALUE!</v>
      </c>
      <c r="IV73" t="e">
        <f>AND('SPR BARRANQUILLA'!J86,"AAAAAF/O8/8=")</f>
        <v>#VALUE!</v>
      </c>
    </row>
    <row r="74" spans="1:256">
      <c r="A74" t="e">
        <f>AND('SPR BARRANQUILLA'!K86,"AAAAAFru/QA=")</f>
        <v>#VALUE!</v>
      </c>
      <c r="B74" t="e">
        <f>AND('SPR BARRANQUILLA'!L86,"AAAAAFru/QE=")</f>
        <v>#VALUE!</v>
      </c>
      <c r="C74" t="e">
        <f>AND('SPR BARRANQUILLA'!M86,"AAAAAFru/QI=")</f>
        <v>#VALUE!</v>
      </c>
      <c r="D74" t="e">
        <f>AND('SPR BARRANQUILLA'!N86,"AAAAAFru/QM=")</f>
        <v>#VALUE!</v>
      </c>
      <c r="E74" t="e">
        <f>AND('SPR BARRANQUILLA'!O86,"AAAAAFru/QQ=")</f>
        <v>#VALUE!</v>
      </c>
      <c r="F74" t="e">
        <f>AND('SPR BARRANQUILLA'!P86,"AAAAAFru/QU=")</f>
        <v>#VALUE!</v>
      </c>
      <c r="G74" t="e">
        <f>AND('SPR BARRANQUILLA'!Q86,"AAAAAFru/QY=")</f>
        <v>#VALUE!</v>
      </c>
      <c r="H74" t="e">
        <f>AND('SPR BARRANQUILLA'!R86,"AAAAAFru/Qc=")</f>
        <v>#VALUE!</v>
      </c>
      <c r="I74" t="e">
        <f>AND('SPR BARRANQUILLA'!S86,"AAAAAFru/Qg=")</f>
        <v>#VALUE!</v>
      </c>
      <c r="J74" t="e">
        <f>AND('SPR BARRANQUILLA'!T86,"AAAAAFru/Qk=")</f>
        <v>#VALUE!</v>
      </c>
      <c r="K74" t="e">
        <f>AND('SPR BARRANQUILLA'!U86,"AAAAAFru/Qo=")</f>
        <v>#VALUE!</v>
      </c>
      <c r="L74" t="e">
        <f>AND('SPR BARRANQUILLA'!V86,"AAAAAFru/Qs=")</f>
        <v>#VALUE!</v>
      </c>
      <c r="M74" t="e">
        <f>AND('SPR BARRANQUILLA'!W86,"AAAAAFru/Qw=")</f>
        <v>#VALUE!</v>
      </c>
      <c r="N74" t="e">
        <f>AND('SPR BARRANQUILLA'!X86,"AAAAAFru/Q0=")</f>
        <v>#VALUE!</v>
      </c>
      <c r="O74" t="e">
        <f>AND('SPR BARRANQUILLA'!Y86,"AAAAAFru/Q4=")</f>
        <v>#VALUE!</v>
      </c>
      <c r="P74" t="e">
        <f>AND('SPR BARRANQUILLA'!Z86,"AAAAAFru/Q8=")</f>
        <v>#VALUE!</v>
      </c>
      <c r="Q74" t="e">
        <f>AND('SPR BARRANQUILLA'!AA86,"AAAAAFru/RA=")</f>
        <v>#VALUE!</v>
      </c>
      <c r="R74" t="e">
        <f>AND('SPR BARRANQUILLA'!AB86,"AAAAAFru/RE=")</f>
        <v>#VALUE!</v>
      </c>
      <c r="S74" t="e">
        <f>AND('SPR BARRANQUILLA'!AC86,"AAAAAFru/RI=")</f>
        <v>#VALUE!</v>
      </c>
      <c r="T74" t="e">
        <f>AND('SPR BARRANQUILLA'!AD86,"AAAAAFru/RM=")</f>
        <v>#VALUE!</v>
      </c>
      <c r="U74" t="e">
        <f>AND('SPR BARRANQUILLA'!AE86,"AAAAAFru/RQ=")</f>
        <v>#VALUE!</v>
      </c>
      <c r="V74" t="e">
        <f>AND('SPR BARRANQUILLA'!AF86,"AAAAAFru/RU=")</f>
        <v>#VALUE!</v>
      </c>
      <c r="W74" t="e">
        <f>AND('SPR BARRANQUILLA'!AG86,"AAAAAFru/RY=")</f>
        <v>#VALUE!</v>
      </c>
      <c r="X74" t="e">
        <f>AND('SPR BARRANQUILLA'!AH86,"AAAAAFru/Rc=")</f>
        <v>#VALUE!</v>
      </c>
      <c r="Y74" t="e">
        <f>AND('SPR BARRANQUILLA'!AI86,"AAAAAFru/Rg=")</f>
        <v>#VALUE!</v>
      </c>
      <c r="Z74" t="e">
        <f>AND('SPR BARRANQUILLA'!AJ86,"AAAAAFru/Rk=")</f>
        <v>#VALUE!</v>
      </c>
      <c r="AA74" t="e">
        <f>AND('SPR BARRANQUILLA'!AK86,"AAAAAFru/Ro=")</f>
        <v>#VALUE!</v>
      </c>
      <c r="AB74" t="e">
        <f>AND('SPR BARRANQUILLA'!AL86,"AAAAAFru/Rs=")</f>
        <v>#VALUE!</v>
      </c>
      <c r="AC74" t="e">
        <f>AND('SPR BARRANQUILLA'!AM86,"AAAAAFru/Rw=")</f>
        <v>#VALUE!</v>
      </c>
      <c r="AD74" t="e">
        <f>AND('SPR BARRANQUILLA'!AN86,"AAAAAFru/R0=")</f>
        <v>#VALUE!</v>
      </c>
      <c r="AE74" t="e">
        <f>AND('SPR BARRANQUILLA'!AO86,"AAAAAFru/R4=")</f>
        <v>#VALUE!</v>
      </c>
      <c r="AF74" t="e">
        <f>AND('SPR BARRANQUILLA'!AP86,"AAAAAFru/R8=")</f>
        <v>#VALUE!</v>
      </c>
      <c r="AG74" t="e">
        <f>AND('SPR BARRANQUILLA'!AQ86,"AAAAAFru/SA=")</f>
        <v>#VALUE!</v>
      </c>
      <c r="AH74" t="e">
        <f>AND('SPR BARRANQUILLA'!AR86,"AAAAAFru/SE=")</f>
        <v>#VALUE!</v>
      </c>
      <c r="AI74" t="e">
        <f>AND('SPR BARRANQUILLA'!AS86,"AAAAAFru/SI=")</f>
        <v>#VALUE!</v>
      </c>
      <c r="AJ74" t="e">
        <f>AND('SPR BARRANQUILLA'!AT86,"AAAAAFru/SM=")</f>
        <v>#VALUE!</v>
      </c>
      <c r="AK74" t="e">
        <f>AND('SPR BARRANQUILLA'!AU86,"AAAAAFru/SQ=")</f>
        <v>#VALUE!</v>
      </c>
      <c r="AL74" t="e">
        <f>AND('SPR BARRANQUILLA'!AV86,"AAAAAFru/SU=")</f>
        <v>#VALUE!</v>
      </c>
      <c r="AM74" t="e">
        <f>AND('SPR BARRANQUILLA'!AW86,"AAAAAFru/SY=")</f>
        <v>#VALUE!</v>
      </c>
      <c r="AN74" t="e">
        <f>AND('SPR BARRANQUILLA'!AX86,"AAAAAFru/Sc=")</f>
        <v>#VALUE!</v>
      </c>
      <c r="AO74" t="e">
        <f>AND('SPR BARRANQUILLA'!AY86,"AAAAAFru/Sg=")</f>
        <v>#VALUE!</v>
      </c>
      <c r="AP74" t="e">
        <f>AND('SPR BARRANQUILLA'!AZ86,"AAAAAFru/Sk=")</f>
        <v>#VALUE!</v>
      </c>
      <c r="AQ74" t="e">
        <f>AND('SPR BARRANQUILLA'!BA86,"AAAAAFru/So=")</f>
        <v>#VALUE!</v>
      </c>
      <c r="AR74" t="e">
        <f>AND('SPR BARRANQUILLA'!BB86,"AAAAAFru/Ss=")</f>
        <v>#VALUE!</v>
      </c>
      <c r="AS74" t="e">
        <f>AND('SPR BARRANQUILLA'!BC86,"AAAAAFru/Sw=")</f>
        <v>#VALUE!</v>
      </c>
      <c r="AT74" t="e">
        <f>AND('SPR BARRANQUILLA'!BD86,"AAAAAFru/S0=")</f>
        <v>#VALUE!</v>
      </c>
      <c r="AU74" t="e">
        <f>AND('SPR BARRANQUILLA'!BE86,"AAAAAFru/S4=")</f>
        <v>#VALUE!</v>
      </c>
      <c r="AV74" t="e">
        <f>AND('SPR BARRANQUILLA'!BF86,"AAAAAFru/S8=")</f>
        <v>#VALUE!</v>
      </c>
      <c r="AW74" t="e">
        <f>AND('SPR BARRANQUILLA'!BG86,"AAAAAFru/TA=")</f>
        <v>#VALUE!</v>
      </c>
      <c r="AX74" t="e">
        <f>AND('SPR BARRANQUILLA'!BH86,"AAAAAFru/TE=")</f>
        <v>#VALUE!</v>
      </c>
      <c r="AY74" t="e">
        <f>AND('SPR BARRANQUILLA'!BI86,"AAAAAFru/TI=")</f>
        <v>#VALUE!</v>
      </c>
      <c r="AZ74" t="e">
        <f>AND('SPR BARRANQUILLA'!BJ86,"AAAAAFru/TM=")</f>
        <v>#VALUE!</v>
      </c>
      <c r="BA74" t="e">
        <f>AND('SPR BARRANQUILLA'!BK86,"AAAAAFru/TQ=")</f>
        <v>#VALUE!</v>
      </c>
      <c r="BB74" t="e">
        <f>AND('SPR BARRANQUILLA'!BL86,"AAAAAFru/TU=")</f>
        <v>#VALUE!</v>
      </c>
      <c r="BC74" t="e">
        <f>AND('SPR BARRANQUILLA'!BM86,"AAAAAFru/TY=")</f>
        <v>#VALUE!</v>
      </c>
      <c r="BD74" t="e">
        <f>AND('SPR BARRANQUILLA'!BN86,"AAAAAFru/Tc=")</f>
        <v>#VALUE!</v>
      </c>
      <c r="BE74" t="e">
        <f>AND('SPR BARRANQUILLA'!BO86,"AAAAAFru/Tg=")</f>
        <v>#VALUE!</v>
      </c>
      <c r="BF74" t="e">
        <f>AND('SPR BARRANQUILLA'!BP86,"AAAAAFru/Tk=")</f>
        <v>#VALUE!</v>
      </c>
      <c r="BG74" t="e">
        <f>AND('SPR BARRANQUILLA'!BQ86,"AAAAAFru/To=")</f>
        <v>#VALUE!</v>
      </c>
      <c r="BH74" t="e">
        <f>AND('SPR BARRANQUILLA'!BR86,"AAAAAFru/Ts=")</f>
        <v>#VALUE!</v>
      </c>
      <c r="BI74" t="e">
        <f>AND('SPR BARRANQUILLA'!BS86,"AAAAAFru/Tw=")</f>
        <v>#VALUE!</v>
      </c>
      <c r="BJ74" t="e">
        <f>AND('SPR BARRANQUILLA'!BT86,"AAAAAFru/T0=")</f>
        <v>#VALUE!</v>
      </c>
      <c r="BK74" t="e">
        <f>AND('SPR BARRANQUILLA'!BU86,"AAAAAFru/T4=")</f>
        <v>#VALUE!</v>
      </c>
      <c r="BL74" t="e">
        <f>AND('SPR BARRANQUILLA'!BV86,"AAAAAFru/T8=")</f>
        <v>#VALUE!</v>
      </c>
      <c r="BM74" t="e">
        <f>AND('SPR BARRANQUILLA'!BW86,"AAAAAFru/UA=")</f>
        <v>#VALUE!</v>
      </c>
      <c r="BN74" t="e">
        <f>AND('SPR BARRANQUILLA'!BX86,"AAAAAFru/UE=")</f>
        <v>#VALUE!</v>
      </c>
      <c r="BO74" t="e">
        <f>AND('SPR BARRANQUILLA'!BY86,"AAAAAFru/UI=")</f>
        <v>#VALUE!</v>
      </c>
      <c r="BP74" t="e">
        <f>AND('SPR BARRANQUILLA'!BZ86,"AAAAAFru/UM=")</f>
        <v>#VALUE!</v>
      </c>
      <c r="BQ74" t="e">
        <f>AND('SPR BARRANQUILLA'!CA86,"AAAAAFru/UQ=")</f>
        <v>#VALUE!</v>
      </c>
      <c r="BR74" t="e">
        <f>AND('SPR BARRANQUILLA'!CB86,"AAAAAFru/UU=")</f>
        <v>#VALUE!</v>
      </c>
      <c r="BS74" t="e">
        <f>AND('SPR BARRANQUILLA'!CC86,"AAAAAFru/UY=")</f>
        <v>#VALUE!</v>
      </c>
      <c r="BT74" t="e">
        <f>AND('SPR BARRANQUILLA'!CD86,"AAAAAFru/Uc=")</f>
        <v>#VALUE!</v>
      </c>
      <c r="BU74" t="e">
        <f>AND('SPR BARRANQUILLA'!CE86,"AAAAAFru/Ug=")</f>
        <v>#VALUE!</v>
      </c>
      <c r="BV74" t="e">
        <f>AND('SPR BARRANQUILLA'!CF86,"AAAAAFru/Uk=")</f>
        <v>#VALUE!</v>
      </c>
      <c r="BW74" t="e">
        <f>AND('SPR BARRANQUILLA'!CG86,"AAAAAFru/Uo=")</f>
        <v>#VALUE!</v>
      </c>
      <c r="BX74" t="e">
        <f>AND('SPR BARRANQUILLA'!CH86,"AAAAAFru/Us=")</f>
        <v>#VALUE!</v>
      </c>
      <c r="BY74" t="e">
        <f>AND('SPR BARRANQUILLA'!CI86,"AAAAAFru/Uw=")</f>
        <v>#VALUE!</v>
      </c>
      <c r="BZ74" t="e">
        <f>AND('SPR BARRANQUILLA'!CJ86,"AAAAAFru/U0=")</f>
        <v>#VALUE!</v>
      </c>
      <c r="CA74" t="e">
        <f>AND('SPR BARRANQUILLA'!CK86,"AAAAAFru/U4=")</f>
        <v>#VALUE!</v>
      </c>
      <c r="CB74" t="e">
        <f>AND('SPR BARRANQUILLA'!CL86,"AAAAAFru/U8=")</f>
        <v>#VALUE!</v>
      </c>
      <c r="CC74" t="e">
        <f>AND('SPR BARRANQUILLA'!CM86,"AAAAAFru/VA=")</f>
        <v>#VALUE!</v>
      </c>
      <c r="CD74" t="e">
        <f>AND('SPR BARRANQUILLA'!CN86,"AAAAAFru/VE=")</f>
        <v>#VALUE!</v>
      </c>
      <c r="CE74" t="e">
        <f>AND('SPR BARRANQUILLA'!CO86,"AAAAAFru/VI=")</f>
        <v>#VALUE!</v>
      </c>
      <c r="CF74" t="e">
        <f>AND('SPR BARRANQUILLA'!CP86,"AAAAAFru/VM=")</f>
        <v>#VALUE!</v>
      </c>
      <c r="CG74" t="e">
        <f>AND('SPR BARRANQUILLA'!CQ86,"AAAAAFru/VQ=")</f>
        <v>#VALUE!</v>
      </c>
      <c r="CH74" t="e">
        <f>AND('SPR BARRANQUILLA'!CR86,"AAAAAFru/VU=")</f>
        <v>#VALUE!</v>
      </c>
      <c r="CI74" t="e">
        <f>AND('SPR BARRANQUILLA'!CS86,"AAAAAFru/VY=")</f>
        <v>#VALUE!</v>
      </c>
      <c r="CJ74" t="e">
        <f>AND('SPR BARRANQUILLA'!CT86,"AAAAAFru/Vc=")</f>
        <v>#VALUE!</v>
      </c>
      <c r="CK74" t="e">
        <f>AND('SPR BARRANQUILLA'!CU86,"AAAAAFru/Vg=")</f>
        <v>#VALUE!</v>
      </c>
      <c r="CL74" t="e">
        <f>AND('SPR BARRANQUILLA'!CV86,"AAAAAFru/Vk=")</f>
        <v>#VALUE!</v>
      </c>
      <c r="CM74" t="e">
        <f>AND('SPR BARRANQUILLA'!CW86,"AAAAAFru/Vo=")</f>
        <v>#VALUE!</v>
      </c>
      <c r="CN74" t="e">
        <f>AND('SPR BARRANQUILLA'!CX86,"AAAAAFru/Vs=")</f>
        <v>#VALUE!</v>
      </c>
      <c r="CO74" t="e">
        <f>AND('SPR BARRANQUILLA'!CY86,"AAAAAFru/Vw=")</f>
        <v>#VALUE!</v>
      </c>
      <c r="CP74" t="e">
        <f>AND('SPR BARRANQUILLA'!CZ86,"AAAAAFru/V0=")</f>
        <v>#VALUE!</v>
      </c>
      <c r="CQ74" t="e">
        <f>AND('SPR BARRANQUILLA'!DA86,"AAAAAFru/V4=")</f>
        <v>#VALUE!</v>
      </c>
      <c r="CR74" t="e">
        <f>AND('SPR BARRANQUILLA'!DB86,"AAAAAFru/V8=")</f>
        <v>#VALUE!</v>
      </c>
      <c r="CS74" t="e">
        <f>AND('SPR BARRANQUILLA'!DC86,"AAAAAFru/WA=")</f>
        <v>#VALUE!</v>
      </c>
      <c r="CT74" t="e">
        <f>AND('SPR BARRANQUILLA'!DD86,"AAAAAFru/WE=")</f>
        <v>#VALUE!</v>
      </c>
      <c r="CU74" t="e">
        <f>AND('SPR BARRANQUILLA'!DE86,"AAAAAFru/WI=")</f>
        <v>#VALUE!</v>
      </c>
      <c r="CV74" t="e">
        <f>AND('SPR BARRANQUILLA'!DF86,"AAAAAFru/WM=")</f>
        <v>#VALUE!</v>
      </c>
      <c r="CW74" t="e">
        <f>AND('SPR BARRANQUILLA'!DG86,"AAAAAFru/WQ=")</f>
        <v>#VALUE!</v>
      </c>
      <c r="CX74" t="e">
        <f>AND('SPR BARRANQUILLA'!DH86,"AAAAAFru/WU=")</f>
        <v>#VALUE!</v>
      </c>
      <c r="CY74" t="e">
        <f>AND('SPR BARRANQUILLA'!DI86,"AAAAAFru/WY=")</f>
        <v>#VALUE!</v>
      </c>
      <c r="CZ74" t="e">
        <f>AND('SPR BARRANQUILLA'!DJ86,"AAAAAFru/Wc=")</f>
        <v>#VALUE!</v>
      </c>
      <c r="DA74" t="e">
        <f>AND('SPR BARRANQUILLA'!DK86,"AAAAAFru/Wg=")</f>
        <v>#VALUE!</v>
      </c>
      <c r="DB74" t="e">
        <f>AND('SPR BARRANQUILLA'!DL86,"AAAAAFru/Wk=")</f>
        <v>#VALUE!</v>
      </c>
      <c r="DC74" t="e">
        <f>AND('SPR BARRANQUILLA'!DM86,"AAAAAFru/Wo=")</f>
        <v>#VALUE!</v>
      </c>
      <c r="DD74" t="e">
        <f>AND('SPR BARRANQUILLA'!DN86,"AAAAAFru/Ws=")</f>
        <v>#VALUE!</v>
      </c>
      <c r="DE74" t="e">
        <f>AND('SPR BARRANQUILLA'!DO86,"AAAAAFru/Ww=")</f>
        <v>#VALUE!</v>
      </c>
      <c r="DF74" t="e">
        <f>AND('SPR BARRANQUILLA'!DP86,"AAAAAFru/W0=")</f>
        <v>#VALUE!</v>
      </c>
      <c r="DG74" t="e">
        <f>AND('SPR BARRANQUILLA'!DQ86,"AAAAAFru/W4=")</f>
        <v>#VALUE!</v>
      </c>
      <c r="DH74" t="e">
        <f>AND('SPR BARRANQUILLA'!DR86,"AAAAAFru/W8=")</f>
        <v>#VALUE!</v>
      </c>
      <c r="DI74" t="e">
        <f>AND('SPR BARRANQUILLA'!DS86,"AAAAAFru/XA=")</f>
        <v>#VALUE!</v>
      </c>
      <c r="DJ74" t="e">
        <f>AND('SPR BARRANQUILLA'!DT86,"AAAAAFru/XE=")</f>
        <v>#VALUE!</v>
      </c>
      <c r="DK74" t="e">
        <f>AND('SPR BARRANQUILLA'!DU86,"AAAAAFru/XI=")</f>
        <v>#VALUE!</v>
      </c>
      <c r="DL74" t="e">
        <f>AND('SPR BARRANQUILLA'!DV86,"AAAAAFru/XM=")</f>
        <v>#VALUE!</v>
      </c>
      <c r="DM74" t="e">
        <f>AND('SPR BARRANQUILLA'!DW86,"AAAAAFru/XQ=")</f>
        <v>#VALUE!</v>
      </c>
      <c r="DN74" t="e">
        <f>AND('SPR BARRANQUILLA'!DX86,"AAAAAFru/XU=")</f>
        <v>#VALUE!</v>
      </c>
      <c r="DO74" t="e">
        <f>AND('SPR BARRANQUILLA'!DY86,"AAAAAFru/XY=")</f>
        <v>#VALUE!</v>
      </c>
      <c r="DP74" t="e">
        <f>AND('SPR BARRANQUILLA'!DZ86,"AAAAAFru/Xc=")</f>
        <v>#VALUE!</v>
      </c>
      <c r="DQ74" t="e">
        <f>AND('SPR BARRANQUILLA'!EA86,"AAAAAFru/Xg=")</f>
        <v>#VALUE!</v>
      </c>
      <c r="DR74" t="e">
        <f>AND('SPR BARRANQUILLA'!EB86,"AAAAAFru/Xk=")</f>
        <v>#VALUE!</v>
      </c>
      <c r="DS74" t="e">
        <f>AND('SPR BARRANQUILLA'!EC86,"AAAAAFru/Xo=")</f>
        <v>#VALUE!</v>
      </c>
      <c r="DT74" t="e">
        <f>AND('SPR BARRANQUILLA'!ED86,"AAAAAFru/Xs=")</f>
        <v>#VALUE!</v>
      </c>
      <c r="DU74" t="e">
        <f>AND('SPR BARRANQUILLA'!EE86,"AAAAAFru/Xw=")</f>
        <v>#VALUE!</v>
      </c>
      <c r="DV74" t="e">
        <f>AND('SPR BARRANQUILLA'!EF86,"AAAAAFru/X0=")</f>
        <v>#VALUE!</v>
      </c>
      <c r="DW74" t="e">
        <f>AND('SPR BARRANQUILLA'!EG86,"AAAAAFru/X4=")</f>
        <v>#VALUE!</v>
      </c>
      <c r="DX74" t="e">
        <f>AND('SPR BARRANQUILLA'!EH86,"AAAAAFru/X8=")</f>
        <v>#VALUE!</v>
      </c>
      <c r="DY74" t="e">
        <f>AND('SPR BARRANQUILLA'!EI86,"AAAAAFru/YA=")</f>
        <v>#VALUE!</v>
      </c>
      <c r="DZ74" t="e">
        <f>AND('SPR BARRANQUILLA'!EJ86,"AAAAAFru/YE=")</f>
        <v>#VALUE!</v>
      </c>
      <c r="EA74" t="e">
        <f>AND('SPR BARRANQUILLA'!EK86,"AAAAAFru/YI=")</f>
        <v>#VALUE!</v>
      </c>
      <c r="EB74" t="e">
        <f>AND('SPR BARRANQUILLA'!EL86,"AAAAAFru/YM=")</f>
        <v>#VALUE!</v>
      </c>
      <c r="EC74" t="e">
        <f>AND('SPR BARRANQUILLA'!EM86,"AAAAAFru/YQ=")</f>
        <v>#VALUE!</v>
      </c>
      <c r="ED74" t="e">
        <f>AND('SPR BARRANQUILLA'!EN86,"AAAAAFru/YU=")</f>
        <v>#VALUE!</v>
      </c>
      <c r="EE74" t="e">
        <f>AND('SPR BARRANQUILLA'!EO86,"AAAAAFru/YY=")</f>
        <v>#VALUE!</v>
      </c>
      <c r="EF74" t="e">
        <f>AND('SPR BARRANQUILLA'!EP86,"AAAAAFru/Yc=")</f>
        <v>#VALUE!</v>
      </c>
      <c r="EG74" t="e">
        <f>AND('SPR BARRANQUILLA'!EQ86,"AAAAAFru/Yg=")</f>
        <v>#VALUE!</v>
      </c>
      <c r="EH74" t="e">
        <f>AND('SPR BARRANQUILLA'!ER86,"AAAAAFru/Yk=")</f>
        <v>#VALUE!</v>
      </c>
      <c r="EI74" t="e">
        <f>AND('SPR BARRANQUILLA'!ES86,"AAAAAFru/Yo=")</f>
        <v>#VALUE!</v>
      </c>
      <c r="EJ74" t="e">
        <f>AND('SPR BARRANQUILLA'!ET86,"AAAAAFru/Ys=")</f>
        <v>#VALUE!</v>
      </c>
      <c r="EK74" t="e">
        <f>AND('SPR BARRANQUILLA'!EU86,"AAAAAFru/Yw=")</f>
        <v>#VALUE!</v>
      </c>
      <c r="EL74" t="e">
        <f>AND('SPR BARRANQUILLA'!EV86,"AAAAAFru/Y0=")</f>
        <v>#VALUE!</v>
      </c>
      <c r="EM74" t="e">
        <f>AND('SPR BARRANQUILLA'!EW86,"AAAAAFru/Y4=")</f>
        <v>#VALUE!</v>
      </c>
      <c r="EN74" t="e">
        <f>AND('SPR BARRANQUILLA'!EX86,"AAAAAFru/Y8=")</f>
        <v>#VALUE!</v>
      </c>
      <c r="EO74" t="e">
        <f>AND('SPR BARRANQUILLA'!EY86,"AAAAAFru/ZA=")</f>
        <v>#VALUE!</v>
      </c>
      <c r="EP74" t="e">
        <f>AND('SPR BARRANQUILLA'!EZ86,"AAAAAFru/ZE=")</f>
        <v>#VALUE!</v>
      </c>
      <c r="EQ74" t="e">
        <f>AND('SPR BARRANQUILLA'!FA86,"AAAAAFru/ZI=")</f>
        <v>#VALUE!</v>
      </c>
      <c r="ER74" t="e">
        <f>AND('SPR BARRANQUILLA'!FB86,"AAAAAFru/ZM=")</f>
        <v>#VALUE!</v>
      </c>
      <c r="ES74" t="e">
        <f>AND('SPR BARRANQUILLA'!FC86,"AAAAAFru/ZQ=")</f>
        <v>#VALUE!</v>
      </c>
      <c r="ET74" t="e">
        <f>AND('SPR BARRANQUILLA'!FD86,"AAAAAFru/ZU=")</f>
        <v>#VALUE!</v>
      </c>
      <c r="EU74" t="e">
        <f>AND('SPR BARRANQUILLA'!FE86,"AAAAAFru/ZY=")</f>
        <v>#VALUE!</v>
      </c>
      <c r="EV74" t="e">
        <f>AND('SPR BARRANQUILLA'!FF86,"AAAAAFru/Zc=")</f>
        <v>#VALUE!</v>
      </c>
      <c r="EW74" t="e">
        <f>AND('SPR BARRANQUILLA'!FG86,"AAAAAFru/Zg=")</f>
        <v>#VALUE!</v>
      </c>
      <c r="EX74" t="e">
        <f>AND('SPR BARRANQUILLA'!FH86,"AAAAAFru/Zk=")</f>
        <v>#VALUE!</v>
      </c>
      <c r="EY74" t="e">
        <f>AND('SPR BARRANQUILLA'!FI86,"AAAAAFru/Zo=")</f>
        <v>#VALUE!</v>
      </c>
      <c r="EZ74" t="e">
        <f>AND('SPR BARRANQUILLA'!FJ86,"AAAAAFru/Zs=")</f>
        <v>#VALUE!</v>
      </c>
      <c r="FA74" t="e">
        <f>AND('SPR BARRANQUILLA'!FK86,"AAAAAFru/Zw=")</f>
        <v>#VALUE!</v>
      </c>
      <c r="FB74" t="e">
        <f>AND('SPR BARRANQUILLA'!FL86,"AAAAAFru/Z0=")</f>
        <v>#VALUE!</v>
      </c>
      <c r="FC74" t="e">
        <f>AND('SPR BARRANQUILLA'!FM86,"AAAAAFru/Z4=")</f>
        <v>#VALUE!</v>
      </c>
      <c r="FD74" t="e">
        <f>AND('SPR BARRANQUILLA'!FN86,"AAAAAFru/Z8=")</f>
        <v>#VALUE!</v>
      </c>
      <c r="FE74" t="e">
        <f>AND('SPR BARRANQUILLA'!FO86,"AAAAAFru/aA=")</f>
        <v>#VALUE!</v>
      </c>
      <c r="FF74" t="e">
        <f>AND('SPR BARRANQUILLA'!FP86,"AAAAAFru/aE=")</f>
        <v>#VALUE!</v>
      </c>
      <c r="FG74" t="e">
        <f>AND('SPR BARRANQUILLA'!FQ86,"AAAAAFru/aI=")</f>
        <v>#VALUE!</v>
      </c>
      <c r="FH74" t="e">
        <f>AND('SPR BARRANQUILLA'!FR86,"AAAAAFru/aM=")</f>
        <v>#VALUE!</v>
      </c>
      <c r="FI74" t="e">
        <f>AND('SPR BARRANQUILLA'!FS86,"AAAAAFru/aQ=")</f>
        <v>#VALUE!</v>
      </c>
      <c r="FJ74" t="e">
        <f>AND('SPR BARRANQUILLA'!FT86,"AAAAAFru/aU=")</f>
        <v>#VALUE!</v>
      </c>
      <c r="FK74" t="e">
        <f>AND('SPR BARRANQUILLA'!FU86,"AAAAAFru/aY=")</f>
        <v>#VALUE!</v>
      </c>
      <c r="FL74" t="e">
        <f>AND('SPR BARRANQUILLA'!FV86,"AAAAAFru/ac=")</f>
        <v>#VALUE!</v>
      </c>
      <c r="FM74" t="e">
        <f>AND('SPR BARRANQUILLA'!FW86,"AAAAAFru/ag=")</f>
        <v>#VALUE!</v>
      </c>
      <c r="FN74" t="e">
        <f>AND('SPR BARRANQUILLA'!FX86,"AAAAAFru/ak=")</f>
        <v>#VALUE!</v>
      </c>
      <c r="FO74" t="e">
        <f>AND('SPR BARRANQUILLA'!FY86,"AAAAAFru/ao=")</f>
        <v>#VALUE!</v>
      </c>
      <c r="FP74" t="e">
        <f>AND('SPR BARRANQUILLA'!FZ86,"AAAAAFru/as=")</f>
        <v>#VALUE!</v>
      </c>
      <c r="FQ74" t="e">
        <f>AND('SPR BARRANQUILLA'!GA86,"AAAAAFru/aw=")</f>
        <v>#VALUE!</v>
      </c>
      <c r="FR74" t="e">
        <f>AND('SPR BARRANQUILLA'!GB86,"AAAAAFru/a0=")</f>
        <v>#VALUE!</v>
      </c>
      <c r="FS74" t="e">
        <f>AND('SPR BARRANQUILLA'!GC86,"AAAAAFru/a4=")</f>
        <v>#VALUE!</v>
      </c>
      <c r="FT74" t="e">
        <f>AND('SPR BARRANQUILLA'!GD86,"AAAAAFru/a8=")</f>
        <v>#VALUE!</v>
      </c>
      <c r="FU74" t="e">
        <f>AND('SPR BARRANQUILLA'!GE86,"AAAAAFru/bA=")</f>
        <v>#VALUE!</v>
      </c>
      <c r="FV74" t="e">
        <f>AND('SPR BARRANQUILLA'!GF86,"AAAAAFru/bE=")</f>
        <v>#VALUE!</v>
      </c>
      <c r="FW74" t="e">
        <f>AND('SPR BARRANQUILLA'!GG86,"AAAAAFru/bI=")</f>
        <v>#VALUE!</v>
      </c>
      <c r="FX74" t="e">
        <f>AND('SPR BARRANQUILLA'!GH86,"AAAAAFru/bM=")</f>
        <v>#VALUE!</v>
      </c>
      <c r="FY74" t="e">
        <f>AND('SPR BARRANQUILLA'!GI86,"AAAAAFru/bQ=")</f>
        <v>#VALUE!</v>
      </c>
      <c r="FZ74" t="e">
        <f>AND('SPR BARRANQUILLA'!GJ86,"AAAAAFru/bU=")</f>
        <v>#VALUE!</v>
      </c>
      <c r="GA74" t="e">
        <f>AND('SPR BARRANQUILLA'!GK86,"AAAAAFru/bY=")</f>
        <v>#VALUE!</v>
      </c>
      <c r="GB74" t="e">
        <f>AND('SPR BARRANQUILLA'!GL86,"AAAAAFru/bc=")</f>
        <v>#VALUE!</v>
      </c>
      <c r="GC74" t="e">
        <f>AND('SPR BARRANQUILLA'!GM86,"AAAAAFru/bg=")</f>
        <v>#VALUE!</v>
      </c>
      <c r="GD74" t="e">
        <f>AND('SPR BARRANQUILLA'!GN86,"AAAAAFru/bk=")</f>
        <v>#VALUE!</v>
      </c>
      <c r="GE74" t="e">
        <f>AND('SPR BARRANQUILLA'!GO86,"AAAAAFru/bo=")</f>
        <v>#VALUE!</v>
      </c>
      <c r="GF74" t="e">
        <f>AND('SPR BARRANQUILLA'!GP86,"AAAAAFru/bs=")</f>
        <v>#VALUE!</v>
      </c>
      <c r="GG74" t="e">
        <f>AND('SPR BARRANQUILLA'!GQ86,"AAAAAFru/bw=")</f>
        <v>#VALUE!</v>
      </c>
      <c r="GH74" t="e">
        <f>AND('SPR BARRANQUILLA'!GR86,"AAAAAFru/b0=")</f>
        <v>#VALUE!</v>
      </c>
      <c r="GI74" t="e">
        <f>AND('SPR BARRANQUILLA'!GS86,"AAAAAFru/b4=")</f>
        <v>#VALUE!</v>
      </c>
      <c r="GJ74" t="e">
        <f>AND('SPR BARRANQUILLA'!GT86,"AAAAAFru/b8=")</f>
        <v>#VALUE!</v>
      </c>
      <c r="GK74" t="e">
        <f>AND('SPR BARRANQUILLA'!GU86,"AAAAAFru/cA=")</f>
        <v>#VALUE!</v>
      </c>
      <c r="GL74" t="e">
        <f>AND('SPR BARRANQUILLA'!GV86,"AAAAAFru/cE=")</f>
        <v>#VALUE!</v>
      </c>
      <c r="GM74" t="e">
        <f>AND('SPR BARRANQUILLA'!GW86,"AAAAAFru/cI=")</f>
        <v>#VALUE!</v>
      </c>
      <c r="GN74" t="e">
        <f>AND('SPR BARRANQUILLA'!GX86,"AAAAAFru/cM=")</f>
        <v>#VALUE!</v>
      </c>
      <c r="GO74" t="e">
        <f>AND('SPR BARRANQUILLA'!GY86,"AAAAAFru/cQ=")</f>
        <v>#VALUE!</v>
      </c>
      <c r="GP74">
        <f>IF('SPR BARRANQUILLA'!87:87,"AAAAAFru/cU=",0)</f>
        <v>0</v>
      </c>
      <c r="GQ74" t="e">
        <f>AND('SPR BARRANQUILLA'!A87,"AAAAAFru/cY=")</f>
        <v>#VALUE!</v>
      </c>
      <c r="GR74" t="e">
        <f>AND('SPR BARRANQUILLA'!B87,"AAAAAFru/cc=")</f>
        <v>#VALUE!</v>
      </c>
      <c r="GS74" t="e">
        <f>AND('SPR BARRANQUILLA'!C87,"AAAAAFru/cg=")</f>
        <v>#VALUE!</v>
      </c>
      <c r="GT74" t="e">
        <f>AND('SPR BARRANQUILLA'!D87,"AAAAAFru/ck=")</f>
        <v>#VALUE!</v>
      </c>
      <c r="GU74" t="e">
        <f>AND('SPR BARRANQUILLA'!E87,"AAAAAFru/co=")</f>
        <v>#VALUE!</v>
      </c>
      <c r="GV74" t="e">
        <f>AND('SPR BARRANQUILLA'!F87,"AAAAAFru/cs=")</f>
        <v>#VALUE!</v>
      </c>
      <c r="GW74" t="e">
        <f>AND('SPR BARRANQUILLA'!G87,"AAAAAFru/cw=")</f>
        <v>#VALUE!</v>
      </c>
      <c r="GX74" t="e">
        <f>AND('SPR BARRANQUILLA'!H87,"AAAAAFru/c0=")</f>
        <v>#VALUE!</v>
      </c>
      <c r="GY74" t="e">
        <f>AND('SPR BARRANQUILLA'!I87,"AAAAAFru/c4=")</f>
        <v>#VALUE!</v>
      </c>
      <c r="GZ74" t="e">
        <f>AND('SPR BARRANQUILLA'!J87,"AAAAAFru/c8=")</f>
        <v>#VALUE!</v>
      </c>
      <c r="HA74" t="e">
        <f>AND('SPR BARRANQUILLA'!K87,"AAAAAFru/dA=")</f>
        <v>#VALUE!</v>
      </c>
      <c r="HB74" t="e">
        <f>AND('SPR BARRANQUILLA'!L87,"AAAAAFru/dE=")</f>
        <v>#VALUE!</v>
      </c>
      <c r="HC74" t="e">
        <f>AND('SPR BARRANQUILLA'!M87,"AAAAAFru/dI=")</f>
        <v>#VALUE!</v>
      </c>
      <c r="HD74" t="e">
        <f>AND('SPR BARRANQUILLA'!N87,"AAAAAFru/dM=")</f>
        <v>#VALUE!</v>
      </c>
      <c r="HE74" t="e">
        <f>AND('SPR BARRANQUILLA'!O87,"AAAAAFru/dQ=")</f>
        <v>#VALUE!</v>
      </c>
      <c r="HF74" t="e">
        <f>AND('SPR BARRANQUILLA'!P87,"AAAAAFru/dU=")</f>
        <v>#VALUE!</v>
      </c>
      <c r="HG74" t="e">
        <f>AND('SPR BARRANQUILLA'!Q87,"AAAAAFru/dY=")</f>
        <v>#VALUE!</v>
      </c>
      <c r="HH74" t="e">
        <f>AND('SPR BARRANQUILLA'!R87,"AAAAAFru/dc=")</f>
        <v>#VALUE!</v>
      </c>
      <c r="HI74" t="e">
        <f>AND('SPR BARRANQUILLA'!S87,"AAAAAFru/dg=")</f>
        <v>#VALUE!</v>
      </c>
      <c r="HJ74" t="e">
        <f>AND('SPR BARRANQUILLA'!T87,"AAAAAFru/dk=")</f>
        <v>#VALUE!</v>
      </c>
      <c r="HK74" t="e">
        <f>AND('SPR BARRANQUILLA'!U87,"AAAAAFru/do=")</f>
        <v>#VALUE!</v>
      </c>
      <c r="HL74" t="e">
        <f>AND('SPR BARRANQUILLA'!V87,"AAAAAFru/ds=")</f>
        <v>#VALUE!</v>
      </c>
      <c r="HM74" t="e">
        <f>AND('SPR BARRANQUILLA'!W87,"AAAAAFru/dw=")</f>
        <v>#VALUE!</v>
      </c>
      <c r="HN74" t="e">
        <f>AND('SPR BARRANQUILLA'!X87,"AAAAAFru/d0=")</f>
        <v>#VALUE!</v>
      </c>
      <c r="HO74" t="e">
        <f>AND('SPR BARRANQUILLA'!Y87,"AAAAAFru/d4=")</f>
        <v>#VALUE!</v>
      </c>
      <c r="HP74" t="e">
        <f>AND('SPR BARRANQUILLA'!Z87,"AAAAAFru/d8=")</f>
        <v>#VALUE!</v>
      </c>
      <c r="HQ74" t="e">
        <f>AND('SPR BARRANQUILLA'!AA87,"AAAAAFru/eA=")</f>
        <v>#VALUE!</v>
      </c>
      <c r="HR74" t="e">
        <f>AND('SPR BARRANQUILLA'!AB87,"AAAAAFru/eE=")</f>
        <v>#VALUE!</v>
      </c>
      <c r="HS74" t="e">
        <f>AND('SPR BARRANQUILLA'!AC87,"AAAAAFru/eI=")</f>
        <v>#VALUE!</v>
      </c>
      <c r="HT74" t="e">
        <f>AND('SPR BARRANQUILLA'!AD87,"AAAAAFru/eM=")</f>
        <v>#VALUE!</v>
      </c>
      <c r="HU74" t="e">
        <f>AND('SPR BARRANQUILLA'!AE87,"AAAAAFru/eQ=")</f>
        <v>#VALUE!</v>
      </c>
      <c r="HV74" t="e">
        <f>AND('SPR BARRANQUILLA'!AF87,"AAAAAFru/eU=")</f>
        <v>#VALUE!</v>
      </c>
      <c r="HW74" t="e">
        <f>AND('SPR BARRANQUILLA'!AG87,"AAAAAFru/eY=")</f>
        <v>#VALUE!</v>
      </c>
      <c r="HX74" t="e">
        <f>AND('SPR BARRANQUILLA'!AH87,"AAAAAFru/ec=")</f>
        <v>#VALUE!</v>
      </c>
      <c r="HY74" t="e">
        <f>AND('SPR BARRANQUILLA'!AI87,"AAAAAFru/eg=")</f>
        <v>#VALUE!</v>
      </c>
      <c r="HZ74" t="e">
        <f>AND('SPR BARRANQUILLA'!AJ87,"AAAAAFru/ek=")</f>
        <v>#VALUE!</v>
      </c>
      <c r="IA74" t="e">
        <f>AND('SPR BARRANQUILLA'!AK87,"AAAAAFru/eo=")</f>
        <v>#VALUE!</v>
      </c>
      <c r="IB74" t="e">
        <f>AND('SPR BARRANQUILLA'!AL87,"AAAAAFru/es=")</f>
        <v>#VALUE!</v>
      </c>
      <c r="IC74" t="e">
        <f>AND('SPR BARRANQUILLA'!AM87,"AAAAAFru/ew=")</f>
        <v>#VALUE!</v>
      </c>
      <c r="ID74" t="e">
        <f>AND('SPR BARRANQUILLA'!AN87,"AAAAAFru/e0=")</f>
        <v>#VALUE!</v>
      </c>
      <c r="IE74" t="e">
        <f>AND('SPR BARRANQUILLA'!AO87,"AAAAAFru/e4=")</f>
        <v>#VALUE!</v>
      </c>
      <c r="IF74" t="e">
        <f>AND('SPR BARRANQUILLA'!AP87,"AAAAAFru/e8=")</f>
        <v>#VALUE!</v>
      </c>
      <c r="IG74" t="e">
        <f>AND('SPR BARRANQUILLA'!AQ87,"AAAAAFru/fA=")</f>
        <v>#VALUE!</v>
      </c>
      <c r="IH74" t="e">
        <f>AND('SPR BARRANQUILLA'!AR87,"AAAAAFru/fE=")</f>
        <v>#VALUE!</v>
      </c>
      <c r="II74" t="e">
        <f>AND('SPR BARRANQUILLA'!AS87,"AAAAAFru/fI=")</f>
        <v>#VALUE!</v>
      </c>
      <c r="IJ74" t="e">
        <f>AND('SPR BARRANQUILLA'!AT87,"AAAAAFru/fM=")</f>
        <v>#VALUE!</v>
      </c>
      <c r="IK74" t="e">
        <f>AND('SPR BARRANQUILLA'!AU87,"AAAAAFru/fQ=")</f>
        <v>#VALUE!</v>
      </c>
      <c r="IL74" t="e">
        <f>AND('SPR BARRANQUILLA'!AV87,"AAAAAFru/fU=")</f>
        <v>#VALUE!</v>
      </c>
      <c r="IM74" t="e">
        <f>AND('SPR BARRANQUILLA'!AW87,"AAAAAFru/fY=")</f>
        <v>#VALUE!</v>
      </c>
      <c r="IN74" t="e">
        <f>AND('SPR BARRANQUILLA'!AX87,"AAAAAFru/fc=")</f>
        <v>#VALUE!</v>
      </c>
      <c r="IO74" t="e">
        <f>AND('SPR BARRANQUILLA'!AY87,"AAAAAFru/fg=")</f>
        <v>#VALUE!</v>
      </c>
      <c r="IP74" t="e">
        <f>AND('SPR BARRANQUILLA'!AZ87,"AAAAAFru/fk=")</f>
        <v>#VALUE!</v>
      </c>
      <c r="IQ74" t="e">
        <f>AND('SPR BARRANQUILLA'!BA87,"AAAAAFru/fo=")</f>
        <v>#VALUE!</v>
      </c>
      <c r="IR74" t="e">
        <f>AND('SPR BARRANQUILLA'!BB87,"AAAAAFru/fs=")</f>
        <v>#VALUE!</v>
      </c>
      <c r="IS74" t="e">
        <f>AND('SPR BARRANQUILLA'!BC87,"AAAAAFru/fw=")</f>
        <v>#VALUE!</v>
      </c>
      <c r="IT74" t="e">
        <f>AND('SPR BARRANQUILLA'!BD87,"AAAAAFru/f0=")</f>
        <v>#VALUE!</v>
      </c>
      <c r="IU74" t="e">
        <f>AND('SPR BARRANQUILLA'!BE87,"AAAAAFru/f4=")</f>
        <v>#VALUE!</v>
      </c>
      <c r="IV74" t="e">
        <f>AND('SPR BARRANQUILLA'!BF87,"AAAAAFru/f8=")</f>
        <v>#VALUE!</v>
      </c>
    </row>
    <row r="75" spans="1:256">
      <c r="A75" t="e">
        <f>AND('SPR BARRANQUILLA'!BG87,"AAAAAFvb7wA=")</f>
        <v>#VALUE!</v>
      </c>
      <c r="B75" t="e">
        <f>AND('SPR BARRANQUILLA'!BH87,"AAAAAFvb7wE=")</f>
        <v>#VALUE!</v>
      </c>
      <c r="C75" t="e">
        <f>AND('SPR BARRANQUILLA'!BI87,"AAAAAFvb7wI=")</f>
        <v>#VALUE!</v>
      </c>
      <c r="D75" t="e">
        <f>AND('SPR BARRANQUILLA'!BJ87,"AAAAAFvb7wM=")</f>
        <v>#VALUE!</v>
      </c>
      <c r="E75" t="e">
        <f>AND('SPR BARRANQUILLA'!BK87,"AAAAAFvb7wQ=")</f>
        <v>#VALUE!</v>
      </c>
      <c r="F75" t="e">
        <f>AND('SPR BARRANQUILLA'!BL87,"AAAAAFvb7wU=")</f>
        <v>#VALUE!</v>
      </c>
      <c r="G75" t="e">
        <f>AND('SPR BARRANQUILLA'!BM87,"AAAAAFvb7wY=")</f>
        <v>#VALUE!</v>
      </c>
      <c r="H75" t="e">
        <f>AND('SPR BARRANQUILLA'!BN87,"AAAAAFvb7wc=")</f>
        <v>#VALUE!</v>
      </c>
      <c r="I75" t="e">
        <f>AND('SPR BARRANQUILLA'!BO87,"AAAAAFvb7wg=")</f>
        <v>#VALUE!</v>
      </c>
      <c r="J75" t="e">
        <f>AND('SPR BARRANQUILLA'!BP87,"AAAAAFvb7wk=")</f>
        <v>#VALUE!</v>
      </c>
      <c r="K75" t="e">
        <f>AND('SPR BARRANQUILLA'!BQ87,"AAAAAFvb7wo=")</f>
        <v>#VALUE!</v>
      </c>
      <c r="L75" t="e">
        <f>AND('SPR BARRANQUILLA'!BR87,"AAAAAFvb7ws=")</f>
        <v>#VALUE!</v>
      </c>
      <c r="M75" t="e">
        <f>AND('SPR BARRANQUILLA'!BS87,"AAAAAFvb7ww=")</f>
        <v>#VALUE!</v>
      </c>
      <c r="N75" t="e">
        <f>AND('SPR BARRANQUILLA'!BT87,"AAAAAFvb7w0=")</f>
        <v>#VALUE!</v>
      </c>
      <c r="O75" t="e">
        <f>AND('SPR BARRANQUILLA'!BU87,"AAAAAFvb7w4=")</f>
        <v>#VALUE!</v>
      </c>
      <c r="P75" t="e">
        <f>AND('SPR BARRANQUILLA'!BV87,"AAAAAFvb7w8=")</f>
        <v>#VALUE!</v>
      </c>
      <c r="Q75" t="e">
        <f>AND('SPR BARRANQUILLA'!BW87,"AAAAAFvb7xA=")</f>
        <v>#VALUE!</v>
      </c>
      <c r="R75" t="e">
        <f>AND('SPR BARRANQUILLA'!BX87,"AAAAAFvb7xE=")</f>
        <v>#VALUE!</v>
      </c>
      <c r="S75" t="e">
        <f>AND('SPR BARRANQUILLA'!BY87,"AAAAAFvb7xI=")</f>
        <v>#VALUE!</v>
      </c>
      <c r="T75" t="e">
        <f>AND('SPR BARRANQUILLA'!BZ87,"AAAAAFvb7xM=")</f>
        <v>#VALUE!</v>
      </c>
      <c r="U75" t="e">
        <f>AND('SPR BARRANQUILLA'!CA87,"AAAAAFvb7xQ=")</f>
        <v>#VALUE!</v>
      </c>
      <c r="V75" t="e">
        <f>AND('SPR BARRANQUILLA'!CB87,"AAAAAFvb7xU=")</f>
        <v>#VALUE!</v>
      </c>
      <c r="W75" t="e">
        <f>AND('SPR BARRANQUILLA'!CC87,"AAAAAFvb7xY=")</f>
        <v>#VALUE!</v>
      </c>
      <c r="X75" t="e">
        <f>AND('SPR BARRANQUILLA'!CD87,"AAAAAFvb7xc=")</f>
        <v>#VALUE!</v>
      </c>
      <c r="Y75" t="e">
        <f>AND('SPR BARRANQUILLA'!CE87,"AAAAAFvb7xg=")</f>
        <v>#VALUE!</v>
      </c>
      <c r="Z75" t="e">
        <f>AND('SPR BARRANQUILLA'!CF87,"AAAAAFvb7xk=")</f>
        <v>#VALUE!</v>
      </c>
      <c r="AA75" t="e">
        <f>AND('SPR BARRANQUILLA'!CG87,"AAAAAFvb7xo=")</f>
        <v>#VALUE!</v>
      </c>
      <c r="AB75" t="e">
        <f>AND('SPR BARRANQUILLA'!CH87,"AAAAAFvb7xs=")</f>
        <v>#VALUE!</v>
      </c>
      <c r="AC75" t="e">
        <f>AND('SPR BARRANQUILLA'!CI87,"AAAAAFvb7xw=")</f>
        <v>#VALUE!</v>
      </c>
      <c r="AD75" t="e">
        <f>AND('SPR BARRANQUILLA'!CJ87,"AAAAAFvb7x0=")</f>
        <v>#VALUE!</v>
      </c>
      <c r="AE75" t="e">
        <f>AND('SPR BARRANQUILLA'!CK87,"AAAAAFvb7x4=")</f>
        <v>#VALUE!</v>
      </c>
      <c r="AF75" t="e">
        <f>AND('SPR BARRANQUILLA'!CL87,"AAAAAFvb7x8=")</f>
        <v>#VALUE!</v>
      </c>
      <c r="AG75" t="e">
        <f>AND('SPR BARRANQUILLA'!CM87,"AAAAAFvb7yA=")</f>
        <v>#VALUE!</v>
      </c>
      <c r="AH75" t="e">
        <f>AND('SPR BARRANQUILLA'!CN87,"AAAAAFvb7yE=")</f>
        <v>#VALUE!</v>
      </c>
      <c r="AI75" t="e">
        <f>AND('SPR BARRANQUILLA'!CO87,"AAAAAFvb7yI=")</f>
        <v>#VALUE!</v>
      </c>
      <c r="AJ75" t="e">
        <f>AND('SPR BARRANQUILLA'!CP87,"AAAAAFvb7yM=")</f>
        <v>#VALUE!</v>
      </c>
      <c r="AK75" t="e">
        <f>AND('SPR BARRANQUILLA'!CQ87,"AAAAAFvb7yQ=")</f>
        <v>#VALUE!</v>
      </c>
      <c r="AL75" t="e">
        <f>AND('SPR BARRANQUILLA'!CR87,"AAAAAFvb7yU=")</f>
        <v>#VALUE!</v>
      </c>
      <c r="AM75" t="e">
        <f>AND('SPR BARRANQUILLA'!CS87,"AAAAAFvb7yY=")</f>
        <v>#VALUE!</v>
      </c>
      <c r="AN75" t="e">
        <f>AND('SPR BARRANQUILLA'!CT87,"AAAAAFvb7yc=")</f>
        <v>#VALUE!</v>
      </c>
      <c r="AO75" t="e">
        <f>AND('SPR BARRANQUILLA'!CU87,"AAAAAFvb7yg=")</f>
        <v>#VALUE!</v>
      </c>
      <c r="AP75" t="e">
        <f>AND('SPR BARRANQUILLA'!CV87,"AAAAAFvb7yk=")</f>
        <v>#VALUE!</v>
      </c>
      <c r="AQ75" t="e">
        <f>AND('SPR BARRANQUILLA'!CW87,"AAAAAFvb7yo=")</f>
        <v>#VALUE!</v>
      </c>
      <c r="AR75" t="e">
        <f>AND('SPR BARRANQUILLA'!CX87,"AAAAAFvb7ys=")</f>
        <v>#VALUE!</v>
      </c>
      <c r="AS75" t="e">
        <f>AND('SPR BARRANQUILLA'!CY87,"AAAAAFvb7yw=")</f>
        <v>#VALUE!</v>
      </c>
      <c r="AT75" t="e">
        <f>AND('SPR BARRANQUILLA'!CZ87,"AAAAAFvb7y0=")</f>
        <v>#VALUE!</v>
      </c>
      <c r="AU75" t="e">
        <f>AND('SPR BARRANQUILLA'!DA87,"AAAAAFvb7y4=")</f>
        <v>#VALUE!</v>
      </c>
      <c r="AV75" t="e">
        <f>AND('SPR BARRANQUILLA'!DB87,"AAAAAFvb7y8=")</f>
        <v>#VALUE!</v>
      </c>
      <c r="AW75" t="e">
        <f>AND('SPR BARRANQUILLA'!DC87,"AAAAAFvb7zA=")</f>
        <v>#VALUE!</v>
      </c>
      <c r="AX75" t="e">
        <f>AND('SPR BARRANQUILLA'!DD87,"AAAAAFvb7zE=")</f>
        <v>#VALUE!</v>
      </c>
      <c r="AY75" t="e">
        <f>AND('SPR BARRANQUILLA'!DE87,"AAAAAFvb7zI=")</f>
        <v>#VALUE!</v>
      </c>
      <c r="AZ75" t="e">
        <f>AND('SPR BARRANQUILLA'!DF87,"AAAAAFvb7zM=")</f>
        <v>#VALUE!</v>
      </c>
      <c r="BA75" t="e">
        <f>AND('SPR BARRANQUILLA'!DG87,"AAAAAFvb7zQ=")</f>
        <v>#VALUE!</v>
      </c>
      <c r="BB75" t="e">
        <f>AND('SPR BARRANQUILLA'!DH87,"AAAAAFvb7zU=")</f>
        <v>#VALUE!</v>
      </c>
      <c r="BC75" t="e">
        <f>AND('SPR BARRANQUILLA'!DI87,"AAAAAFvb7zY=")</f>
        <v>#VALUE!</v>
      </c>
      <c r="BD75" t="e">
        <f>AND('SPR BARRANQUILLA'!DJ87,"AAAAAFvb7zc=")</f>
        <v>#VALUE!</v>
      </c>
      <c r="BE75" t="e">
        <f>AND('SPR BARRANQUILLA'!DK87,"AAAAAFvb7zg=")</f>
        <v>#VALUE!</v>
      </c>
      <c r="BF75" t="e">
        <f>AND('SPR BARRANQUILLA'!DL87,"AAAAAFvb7zk=")</f>
        <v>#VALUE!</v>
      </c>
      <c r="BG75" t="e">
        <f>AND('SPR BARRANQUILLA'!DM87,"AAAAAFvb7zo=")</f>
        <v>#VALUE!</v>
      </c>
      <c r="BH75" t="e">
        <f>AND('SPR BARRANQUILLA'!DN87,"AAAAAFvb7zs=")</f>
        <v>#VALUE!</v>
      </c>
      <c r="BI75" t="e">
        <f>AND('SPR BARRANQUILLA'!DO87,"AAAAAFvb7zw=")</f>
        <v>#VALUE!</v>
      </c>
      <c r="BJ75" t="e">
        <f>AND('SPR BARRANQUILLA'!DP87,"AAAAAFvb7z0=")</f>
        <v>#VALUE!</v>
      </c>
      <c r="BK75" t="e">
        <f>AND('SPR BARRANQUILLA'!DQ87,"AAAAAFvb7z4=")</f>
        <v>#VALUE!</v>
      </c>
      <c r="BL75" t="e">
        <f>AND('SPR BARRANQUILLA'!DR87,"AAAAAFvb7z8=")</f>
        <v>#VALUE!</v>
      </c>
      <c r="BM75" t="e">
        <f>AND('SPR BARRANQUILLA'!DS87,"AAAAAFvb70A=")</f>
        <v>#VALUE!</v>
      </c>
      <c r="BN75" t="e">
        <f>AND('SPR BARRANQUILLA'!DT87,"AAAAAFvb70E=")</f>
        <v>#VALUE!</v>
      </c>
      <c r="BO75" t="e">
        <f>AND('SPR BARRANQUILLA'!DU87,"AAAAAFvb70I=")</f>
        <v>#VALUE!</v>
      </c>
      <c r="BP75" t="e">
        <f>AND('SPR BARRANQUILLA'!DV87,"AAAAAFvb70M=")</f>
        <v>#VALUE!</v>
      </c>
      <c r="BQ75" t="e">
        <f>AND('SPR BARRANQUILLA'!DW87,"AAAAAFvb70Q=")</f>
        <v>#VALUE!</v>
      </c>
      <c r="BR75" t="e">
        <f>AND('SPR BARRANQUILLA'!DX87,"AAAAAFvb70U=")</f>
        <v>#VALUE!</v>
      </c>
      <c r="BS75" t="e">
        <f>AND('SPR BARRANQUILLA'!DY87,"AAAAAFvb70Y=")</f>
        <v>#VALUE!</v>
      </c>
      <c r="BT75" t="e">
        <f>AND('SPR BARRANQUILLA'!DZ87,"AAAAAFvb70c=")</f>
        <v>#VALUE!</v>
      </c>
      <c r="BU75" t="e">
        <f>AND('SPR BARRANQUILLA'!EA87,"AAAAAFvb70g=")</f>
        <v>#VALUE!</v>
      </c>
      <c r="BV75" t="e">
        <f>AND('SPR BARRANQUILLA'!EB87,"AAAAAFvb70k=")</f>
        <v>#VALUE!</v>
      </c>
      <c r="BW75" t="e">
        <f>AND('SPR BARRANQUILLA'!EC87,"AAAAAFvb70o=")</f>
        <v>#VALUE!</v>
      </c>
      <c r="BX75" t="e">
        <f>AND('SPR BARRANQUILLA'!ED87,"AAAAAFvb70s=")</f>
        <v>#VALUE!</v>
      </c>
      <c r="BY75" t="e">
        <f>AND('SPR BARRANQUILLA'!EE87,"AAAAAFvb70w=")</f>
        <v>#VALUE!</v>
      </c>
      <c r="BZ75" t="e">
        <f>AND('SPR BARRANQUILLA'!EF87,"AAAAAFvb700=")</f>
        <v>#VALUE!</v>
      </c>
      <c r="CA75" t="e">
        <f>AND('SPR BARRANQUILLA'!EG87,"AAAAAFvb704=")</f>
        <v>#VALUE!</v>
      </c>
      <c r="CB75" t="e">
        <f>AND('SPR BARRANQUILLA'!EH87,"AAAAAFvb708=")</f>
        <v>#VALUE!</v>
      </c>
      <c r="CC75" t="e">
        <f>AND('SPR BARRANQUILLA'!EI87,"AAAAAFvb71A=")</f>
        <v>#VALUE!</v>
      </c>
      <c r="CD75" t="e">
        <f>AND('SPR BARRANQUILLA'!EJ87,"AAAAAFvb71E=")</f>
        <v>#VALUE!</v>
      </c>
      <c r="CE75" t="e">
        <f>AND('SPR BARRANQUILLA'!EK87,"AAAAAFvb71I=")</f>
        <v>#VALUE!</v>
      </c>
      <c r="CF75" t="e">
        <f>AND('SPR BARRANQUILLA'!EL87,"AAAAAFvb71M=")</f>
        <v>#VALUE!</v>
      </c>
      <c r="CG75" t="e">
        <f>AND('SPR BARRANQUILLA'!EM87,"AAAAAFvb71Q=")</f>
        <v>#VALUE!</v>
      </c>
      <c r="CH75" t="e">
        <f>AND('SPR BARRANQUILLA'!EN87,"AAAAAFvb71U=")</f>
        <v>#VALUE!</v>
      </c>
      <c r="CI75" t="e">
        <f>AND('SPR BARRANQUILLA'!EO87,"AAAAAFvb71Y=")</f>
        <v>#VALUE!</v>
      </c>
      <c r="CJ75" t="e">
        <f>AND('SPR BARRANQUILLA'!EP87,"AAAAAFvb71c=")</f>
        <v>#VALUE!</v>
      </c>
      <c r="CK75" t="e">
        <f>AND('SPR BARRANQUILLA'!EQ87,"AAAAAFvb71g=")</f>
        <v>#VALUE!</v>
      </c>
      <c r="CL75" t="e">
        <f>AND('SPR BARRANQUILLA'!ER87,"AAAAAFvb71k=")</f>
        <v>#VALUE!</v>
      </c>
      <c r="CM75" t="e">
        <f>AND('SPR BARRANQUILLA'!ES87,"AAAAAFvb71o=")</f>
        <v>#VALUE!</v>
      </c>
      <c r="CN75" t="e">
        <f>AND('SPR BARRANQUILLA'!ET87,"AAAAAFvb71s=")</f>
        <v>#VALUE!</v>
      </c>
      <c r="CO75" t="e">
        <f>AND('SPR BARRANQUILLA'!EU87,"AAAAAFvb71w=")</f>
        <v>#VALUE!</v>
      </c>
      <c r="CP75" t="e">
        <f>AND('SPR BARRANQUILLA'!EV87,"AAAAAFvb710=")</f>
        <v>#VALUE!</v>
      </c>
      <c r="CQ75" t="e">
        <f>AND('SPR BARRANQUILLA'!EW87,"AAAAAFvb714=")</f>
        <v>#VALUE!</v>
      </c>
      <c r="CR75" t="e">
        <f>AND('SPR BARRANQUILLA'!EX87,"AAAAAFvb718=")</f>
        <v>#VALUE!</v>
      </c>
      <c r="CS75" t="e">
        <f>AND('SPR BARRANQUILLA'!EY87,"AAAAAFvb72A=")</f>
        <v>#VALUE!</v>
      </c>
      <c r="CT75" t="e">
        <f>AND('SPR BARRANQUILLA'!EZ87,"AAAAAFvb72E=")</f>
        <v>#VALUE!</v>
      </c>
      <c r="CU75" t="e">
        <f>AND('SPR BARRANQUILLA'!FA87,"AAAAAFvb72I=")</f>
        <v>#VALUE!</v>
      </c>
      <c r="CV75" t="e">
        <f>AND('SPR BARRANQUILLA'!FB87,"AAAAAFvb72M=")</f>
        <v>#VALUE!</v>
      </c>
      <c r="CW75" t="e">
        <f>AND('SPR BARRANQUILLA'!FC87,"AAAAAFvb72Q=")</f>
        <v>#VALUE!</v>
      </c>
      <c r="CX75" t="e">
        <f>AND('SPR BARRANQUILLA'!FD87,"AAAAAFvb72U=")</f>
        <v>#VALUE!</v>
      </c>
      <c r="CY75" t="e">
        <f>AND('SPR BARRANQUILLA'!FE87,"AAAAAFvb72Y=")</f>
        <v>#VALUE!</v>
      </c>
      <c r="CZ75" t="e">
        <f>AND('SPR BARRANQUILLA'!FF87,"AAAAAFvb72c=")</f>
        <v>#VALUE!</v>
      </c>
      <c r="DA75" t="e">
        <f>AND('SPR BARRANQUILLA'!FG87,"AAAAAFvb72g=")</f>
        <v>#VALUE!</v>
      </c>
      <c r="DB75" t="e">
        <f>AND('SPR BARRANQUILLA'!FH87,"AAAAAFvb72k=")</f>
        <v>#VALUE!</v>
      </c>
      <c r="DC75" t="e">
        <f>AND('SPR BARRANQUILLA'!FI87,"AAAAAFvb72o=")</f>
        <v>#VALUE!</v>
      </c>
      <c r="DD75" t="e">
        <f>AND('SPR BARRANQUILLA'!FJ87,"AAAAAFvb72s=")</f>
        <v>#VALUE!</v>
      </c>
      <c r="DE75" t="e">
        <f>AND('SPR BARRANQUILLA'!FK87,"AAAAAFvb72w=")</f>
        <v>#VALUE!</v>
      </c>
      <c r="DF75" t="e">
        <f>AND('SPR BARRANQUILLA'!FL87,"AAAAAFvb720=")</f>
        <v>#VALUE!</v>
      </c>
      <c r="DG75" t="e">
        <f>AND('SPR BARRANQUILLA'!FM87,"AAAAAFvb724=")</f>
        <v>#VALUE!</v>
      </c>
      <c r="DH75" t="e">
        <f>AND('SPR BARRANQUILLA'!FN87,"AAAAAFvb728=")</f>
        <v>#VALUE!</v>
      </c>
      <c r="DI75" t="e">
        <f>AND('SPR BARRANQUILLA'!FO87,"AAAAAFvb73A=")</f>
        <v>#VALUE!</v>
      </c>
      <c r="DJ75" t="e">
        <f>AND('SPR BARRANQUILLA'!FP87,"AAAAAFvb73E=")</f>
        <v>#VALUE!</v>
      </c>
      <c r="DK75" t="e">
        <f>AND('SPR BARRANQUILLA'!FQ87,"AAAAAFvb73I=")</f>
        <v>#VALUE!</v>
      </c>
      <c r="DL75" t="e">
        <f>AND('SPR BARRANQUILLA'!FR87,"AAAAAFvb73M=")</f>
        <v>#VALUE!</v>
      </c>
      <c r="DM75" t="e">
        <f>AND('SPR BARRANQUILLA'!FS87,"AAAAAFvb73Q=")</f>
        <v>#VALUE!</v>
      </c>
      <c r="DN75" t="e">
        <f>AND('SPR BARRANQUILLA'!FT87,"AAAAAFvb73U=")</f>
        <v>#VALUE!</v>
      </c>
      <c r="DO75" t="e">
        <f>AND('SPR BARRANQUILLA'!FU87,"AAAAAFvb73Y=")</f>
        <v>#VALUE!</v>
      </c>
      <c r="DP75" t="e">
        <f>AND('SPR BARRANQUILLA'!FV87,"AAAAAFvb73c=")</f>
        <v>#VALUE!</v>
      </c>
      <c r="DQ75" t="e">
        <f>AND('SPR BARRANQUILLA'!FW87,"AAAAAFvb73g=")</f>
        <v>#VALUE!</v>
      </c>
      <c r="DR75" t="e">
        <f>AND('SPR BARRANQUILLA'!FX87,"AAAAAFvb73k=")</f>
        <v>#VALUE!</v>
      </c>
      <c r="DS75" t="e">
        <f>AND('SPR BARRANQUILLA'!FY87,"AAAAAFvb73o=")</f>
        <v>#VALUE!</v>
      </c>
      <c r="DT75" t="e">
        <f>AND('SPR BARRANQUILLA'!FZ87,"AAAAAFvb73s=")</f>
        <v>#VALUE!</v>
      </c>
      <c r="DU75" t="e">
        <f>AND('SPR BARRANQUILLA'!GA87,"AAAAAFvb73w=")</f>
        <v>#VALUE!</v>
      </c>
      <c r="DV75" t="e">
        <f>AND('SPR BARRANQUILLA'!GB87,"AAAAAFvb730=")</f>
        <v>#VALUE!</v>
      </c>
      <c r="DW75" t="e">
        <f>AND('SPR BARRANQUILLA'!GC87,"AAAAAFvb734=")</f>
        <v>#VALUE!</v>
      </c>
      <c r="DX75" t="e">
        <f>AND('SPR BARRANQUILLA'!GD87,"AAAAAFvb738=")</f>
        <v>#VALUE!</v>
      </c>
      <c r="DY75" t="e">
        <f>AND('SPR BARRANQUILLA'!GE87,"AAAAAFvb74A=")</f>
        <v>#VALUE!</v>
      </c>
      <c r="DZ75" t="e">
        <f>AND('SPR BARRANQUILLA'!GF87,"AAAAAFvb74E=")</f>
        <v>#VALUE!</v>
      </c>
      <c r="EA75" t="e">
        <f>AND('SPR BARRANQUILLA'!GG87,"AAAAAFvb74I=")</f>
        <v>#VALUE!</v>
      </c>
      <c r="EB75" t="e">
        <f>AND('SPR BARRANQUILLA'!GH87,"AAAAAFvb74M=")</f>
        <v>#VALUE!</v>
      </c>
      <c r="EC75" t="e">
        <f>AND('SPR BARRANQUILLA'!GI87,"AAAAAFvb74Q=")</f>
        <v>#VALUE!</v>
      </c>
      <c r="ED75" t="e">
        <f>AND('SPR BARRANQUILLA'!GJ87,"AAAAAFvb74U=")</f>
        <v>#VALUE!</v>
      </c>
      <c r="EE75" t="e">
        <f>AND('SPR BARRANQUILLA'!GK87,"AAAAAFvb74Y=")</f>
        <v>#VALUE!</v>
      </c>
      <c r="EF75" t="e">
        <f>AND('SPR BARRANQUILLA'!GL87,"AAAAAFvb74c=")</f>
        <v>#VALUE!</v>
      </c>
      <c r="EG75" t="e">
        <f>AND('SPR BARRANQUILLA'!GM87,"AAAAAFvb74g=")</f>
        <v>#VALUE!</v>
      </c>
      <c r="EH75" t="e">
        <f>AND('SPR BARRANQUILLA'!GN87,"AAAAAFvb74k=")</f>
        <v>#VALUE!</v>
      </c>
      <c r="EI75" t="e">
        <f>AND('SPR BARRANQUILLA'!GO87,"AAAAAFvb74o=")</f>
        <v>#VALUE!</v>
      </c>
      <c r="EJ75" t="e">
        <f>AND('SPR BARRANQUILLA'!GP87,"AAAAAFvb74s=")</f>
        <v>#VALUE!</v>
      </c>
      <c r="EK75" t="e">
        <f>AND('SPR BARRANQUILLA'!GQ87,"AAAAAFvb74w=")</f>
        <v>#VALUE!</v>
      </c>
      <c r="EL75" t="e">
        <f>AND('SPR BARRANQUILLA'!GR87,"AAAAAFvb740=")</f>
        <v>#VALUE!</v>
      </c>
      <c r="EM75" t="e">
        <f>AND('SPR BARRANQUILLA'!GS87,"AAAAAFvb744=")</f>
        <v>#VALUE!</v>
      </c>
      <c r="EN75" t="e">
        <f>AND('SPR BARRANQUILLA'!GT87,"AAAAAFvb748=")</f>
        <v>#VALUE!</v>
      </c>
      <c r="EO75" t="e">
        <f>AND('SPR BARRANQUILLA'!GU87,"AAAAAFvb75A=")</f>
        <v>#VALUE!</v>
      </c>
      <c r="EP75" t="e">
        <f>AND('SPR BARRANQUILLA'!GV87,"AAAAAFvb75E=")</f>
        <v>#VALUE!</v>
      </c>
      <c r="EQ75" t="e">
        <f>AND('SPR BARRANQUILLA'!GW87,"AAAAAFvb75I=")</f>
        <v>#VALUE!</v>
      </c>
      <c r="ER75" t="e">
        <f>AND('SPR BARRANQUILLA'!GX87,"AAAAAFvb75M=")</f>
        <v>#VALUE!</v>
      </c>
      <c r="ES75" t="e">
        <f>AND('SPR BARRANQUILLA'!GY87,"AAAAAFvb75Q=")</f>
        <v>#VALUE!</v>
      </c>
      <c r="ET75">
        <f>IF('SPR BARRANQUILLA'!88:88,"AAAAAFvb75U=",0)</f>
        <v>0</v>
      </c>
      <c r="EU75" t="e">
        <f>AND('SPR BARRANQUILLA'!A88,"AAAAAFvb75Y=")</f>
        <v>#VALUE!</v>
      </c>
      <c r="EV75" t="e">
        <f>AND('SPR BARRANQUILLA'!B88,"AAAAAFvb75c=")</f>
        <v>#VALUE!</v>
      </c>
      <c r="EW75" t="e">
        <f>AND('SPR BARRANQUILLA'!C88,"AAAAAFvb75g=")</f>
        <v>#VALUE!</v>
      </c>
      <c r="EX75" t="e">
        <f>AND('SPR BARRANQUILLA'!D88,"AAAAAFvb75k=")</f>
        <v>#VALUE!</v>
      </c>
      <c r="EY75" t="e">
        <f>AND('SPR BARRANQUILLA'!E88,"AAAAAFvb75o=")</f>
        <v>#VALUE!</v>
      </c>
      <c r="EZ75" t="e">
        <f>AND('SPR BARRANQUILLA'!F88,"AAAAAFvb75s=")</f>
        <v>#VALUE!</v>
      </c>
      <c r="FA75" t="e">
        <f>AND('SPR BARRANQUILLA'!G88,"AAAAAFvb75w=")</f>
        <v>#VALUE!</v>
      </c>
      <c r="FB75" t="e">
        <f>AND('SPR BARRANQUILLA'!H88,"AAAAAFvb750=")</f>
        <v>#VALUE!</v>
      </c>
      <c r="FC75" t="e">
        <f>AND('SPR BARRANQUILLA'!I88,"AAAAAFvb754=")</f>
        <v>#VALUE!</v>
      </c>
      <c r="FD75" t="e">
        <f>AND('SPR BARRANQUILLA'!J88,"AAAAAFvb758=")</f>
        <v>#VALUE!</v>
      </c>
      <c r="FE75" t="e">
        <f>AND('SPR BARRANQUILLA'!K88,"AAAAAFvb76A=")</f>
        <v>#VALUE!</v>
      </c>
      <c r="FF75" t="e">
        <f>AND('SPR BARRANQUILLA'!L88,"AAAAAFvb76E=")</f>
        <v>#VALUE!</v>
      </c>
      <c r="FG75" t="e">
        <f>AND('SPR BARRANQUILLA'!M88,"AAAAAFvb76I=")</f>
        <v>#VALUE!</v>
      </c>
      <c r="FH75" t="e">
        <f>AND('SPR BARRANQUILLA'!N88,"AAAAAFvb76M=")</f>
        <v>#VALUE!</v>
      </c>
      <c r="FI75" t="e">
        <f>AND('SPR BARRANQUILLA'!O88,"AAAAAFvb76Q=")</f>
        <v>#VALUE!</v>
      </c>
      <c r="FJ75" t="e">
        <f>AND('SPR BARRANQUILLA'!P88,"AAAAAFvb76U=")</f>
        <v>#VALUE!</v>
      </c>
      <c r="FK75" t="e">
        <f>AND('SPR BARRANQUILLA'!Q88,"AAAAAFvb76Y=")</f>
        <v>#VALUE!</v>
      </c>
      <c r="FL75" t="e">
        <f>AND('SPR BARRANQUILLA'!R88,"AAAAAFvb76c=")</f>
        <v>#VALUE!</v>
      </c>
      <c r="FM75" t="e">
        <f>AND('SPR BARRANQUILLA'!S88,"AAAAAFvb76g=")</f>
        <v>#VALUE!</v>
      </c>
      <c r="FN75" t="e">
        <f>AND('SPR BARRANQUILLA'!T88,"AAAAAFvb76k=")</f>
        <v>#VALUE!</v>
      </c>
      <c r="FO75" t="e">
        <f>AND('SPR BARRANQUILLA'!U88,"AAAAAFvb76o=")</f>
        <v>#VALUE!</v>
      </c>
      <c r="FP75" t="e">
        <f>AND('SPR BARRANQUILLA'!V88,"AAAAAFvb76s=")</f>
        <v>#VALUE!</v>
      </c>
      <c r="FQ75" t="e">
        <f>AND('SPR BARRANQUILLA'!W88,"AAAAAFvb76w=")</f>
        <v>#VALUE!</v>
      </c>
      <c r="FR75" t="e">
        <f>AND('SPR BARRANQUILLA'!X88,"AAAAAFvb760=")</f>
        <v>#VALUE!</v>
      </c>
      <c r="FS75" t="e">
        <f>AND('SPR BARRANQUILLA'!Y88,"AAAAAFvb764=")</f>
        <v>#VALUE!</v>
      </c>
      <c r="FT75" t="e">
        <f>AND('SPR BARRANQUILLA'!Z88,"AAAAAFvb768=")</f>
        <v>#VALUE!</v>
      </c>
      <c r="FU75" t="e">
        <f>AND('SPR BARRANQUILLA'!AA88,"AAAAAFvb77A=")</f>
        <v>#VALUE!</v>
      </c>
      <c r="FV75" t="e">
        <f>AND('SPR BARRANQUILLA'!AB88,"AAAAAFvb77E=")</f>
        <v>#VALUE!</v>
      </c>
      <c r="FW75" t="e">
        <f>AND('SPR BARRANQUILLA'!AC88,"AAAAAFvb77I=")</f>
        <v>#VALUE!</v>
      </c>
      <c r="FX75" t="e">
        <f>AND('SPR BARRANQUILLA'!AD88,"AAAAAFvb77M=")</f>
        <v>#VALUE!</v>
      </c>
      <c r="FY75" t="e">
        <f>AND('SPR BARRANQUILLA'!AE88,"AAAAAFvb77Q=")</f>
        <v>#VALUE!</v>
      </c>
      <c r="FZ75" t="e">
        <f>AND('SPR BARRANQUILLA'!AF88,"AAAAAFvb77U=")</f>
        <v>#VALUE!</v>
      </c>
      <c r="GA75" t="e">
        <f>AND('SPR BARRANQUILLA'!AG88,"AAAAAFvb77Y=")</f>
        <v>#VALUE!</v>
      </c>
      <c r="GB75" t="e">
        <f>AND('SPR BARRANQUILLA'!AH88,"AAAAAFvb77c=")</f>
        <v>#VALUE!</v>
      </c>
      <c r="GC75" t="e">
        <f>AND('SPR BARRANQUILLA'!AI88,"AAAAAFvb77g=")</f>
        <v>#VALUE!</v>
      </c>
      <c r="GD75" t="e">
        <f>AND('SPR BARRANQUILLA'!AJ88,"AAAAAFvb77k=")</f>
        <v>#VALUE!</v>
      </c>
      <c r="GE75" t="e">
        <f>AND('SPR BARRANQUILLA'!AK88,"AAAAAFvb77o=")</f>
        <v>#VALUE!</v>
      </c>
      <c r="GF75" t="e">
        <f>AND('SPR BARRANQUILLA'!AL88,"AAAAAFvb77s=")</f>
        <v>#VALUE!</v>
      </c>
      <c r="GG75" t="e">
        <f>AND('SPR BARRANQUILLA'!AM88,"AAAAAFvb77w=")</f>
        <v>#VALUE!</v>
      </c>
      <c r="GH75" t="e">
        <f>AND('SPR BARRANQUILLA'!AN88,"AAAAAFvb770=")</f>
        <v>#VALUE!</v>
      </c>
      <c r="GI75" t="e">
        <f>AND('SPR BARRANQUILLA'!AO88,"AAAAAFvb774=")</f>
        <v>#VALUE!</v>
      </c>
      <c r="GJ75" t="e">
        <f>AND('SPR BARRANQUILLA'!AP88,"AAAAAFvb778=")</f>
        <v>#VALUE!</v>
      </c>
      <c r="GK75" t="e">
        <f>AND('SPR BARRANQUILLA'!AQ88,"AAAAAFvb78A=")</f>
        <v>#VALUE!</v>
      </c>
      <c r="GL75" t="e">
        <f>AND('SPR BARRANQUILLA'!AR88,"AAAAAFvb78E=")</f>
        <v>#VALUE!</v>
      </c>
      <c r="GM75" t="e">
        <f>AND('SPR BARRANQUILLA'!AS88,"AAAAAFvb78I=")</f>
        <v>#VALUE!</v>
      </c>
      <c r="GN75" t="e">
        <f>AND('SPR BARRANQUILLA'!AT88,"AAAAAFvb78M=")</f>
        <v>#VALUE!</v>
      </c>
      <c r="GO75" t="e">
        <f>AND('SPR BARRANQUILLA'!AU88,"AAAAAFvb78Q=")</f>
        <v>#VALUE!</v>
      </c>
      <c r="GP75" t="e">
        <f>AND('SPR BARRANQUILLA'!AV88,"AAAAAFvb78U=")</f>
        <v>#VALUE!</v>
      </c>
      <c r="GQ75" t="e">
        <f>AND('SPR BARRANQUILLA'!AW88,"AAAAAFvb78Y=")</f>
        <v>#VALUE!</v>
      </c>
      <c r="GR75" t="e">
        <f>AND('SPR BARRANQUILLA'!AX88,"AAAAAFvb78c=")</f>
        <v>#VALUE!</v>
      </c>
      <c r="GS75" t="e">
        <f>AND('SPR BARRANQUILLA'!AY88,"AAAAAFvb78g=")</f>
        <v>#VALUE!</v>
      </c>
      <c r="GT75" t="e">
        <f>AND('SPR BARRANQUILLA'!AZ88,"AAAAAFvb78k=")</f>
        <v>#VALUE!</v>
      </c>
      <c r="GU75" t="e">
        <f>AND('SPR BARRANQUILLA'!BA88,"AAAAAFvb78o=")</f>
        <v>#VALUE!</v>
      </c>
      <c r="GV75" t="e">
        <f>AND('SPR BARRANQUILLA'!BB88,"AAAAAFvb78s=")</f>
        <v>#VALUE!</v>
      </c>
      <c r="GW75" t="e">
        <f>AND('SPR BARRANQUILLA'!BC88,"AAAAAFvb78w=")</f>
        <v>#VALUE!</v>
      </c>
      <c r="GX75" t="e">
        <f>AND('SPR BARRANQUILLA'!BD88,"AAAAAFvb780=")</f>
        <v>#VALUE!</v>
      </c>
      <c r="GY75" t="e">
        <f>AND('SPR BARRANQUILLA'!BE88,"AAAAAFvb784=")</f>
        <v>#VALUE!</v>
      </c>
      <c r="GZ75" t="e">
        <f>AND('SPR BARRANQUILLA'!BF88,"AAAAAFvb788=")</f>
        <v>#VALUE!</v>
      </c>
      <c r="HA75" t="e">
        <f>AND('SPR BARRANQUILLA'!BG88,"AAAAAFvb79A=")</f>
        <v>#VALUE!</v>
      </c>
      <c r="HB75" t="e">
        <f>AND('SPR BARRANQUILLA'!BH88,"AAAAAFvb79E=")</f>
        <v>#VALUE!</v>
      </c>
      <c r="HC75" t="e">
        <f>AND('SPR BARRANQUILLA'!BI88,"AAAAAFvb79I=")</f>
        <v>#VALUE!</v>
      </c>
      <c r="HD75" t="e">
        <f>AND('SPR BARRANQUILLA'!BJ88,"AAAAAFvb79M=")</f>
        <v>#VALUE!</v>
      </c>
      <c r="HE75" t="e">
        <f>AND('SPR BARRANQUILLA'!BK88,"AAAAAFvb79Q=")</f>
        <v>#VALUE!</v>
      </c>
      <c r="HF75" t="e">
        <f>AND('SPR BARRANQUILLA'!BL88,"AAAAAFvb79U=")</f>
        <v>#VALUE!</v>
      </c>
      <c r="HG75" t="e">
        <f>AND('SPR BARRANQUILLA'!BM88,"AAAAAFvb79Y=")</f>
        <v>#VALUE!</v>
      </c>
      <c r="HH75" t="e">
        <f>AND('SPR BARRANQUILLA'!BN88,"AAAAAFvb79c=")</f>
        <v>#VALUE!</v>
      </c>
      <c r="HI75" t="e">
        <f>AND('SPR BARRANQUILLA'!BO88,"AAAAAFvb79g=")</f>
        <v>#VALUE!</v>
      </c>
      <c r="HJ75" t="e">
        <f>AND('SPR BARRANQUILLA'!BP88,"AAAAAFvb79k=")</f>
        <v>#VALUE!</v>
      </c>
      <c r="HK75" t="e">
        <f>AND('SPR BARRANQUILLA'!BQ88,"AAAAAFvb79o=")</f>
        <v>#VALUE!</v>
      </c>
      <c r="HL75" t="e">
        <f>AND('SPR BARRANQUILLA'!BR88,"AAAAAFvb79s=")</f>
        <v>#VALUE!</v>
      </c>
      <c r="HM75" t="e">
        <f>AND('SPR BARRANQUILLA'!BS88,"AAAAAFvb79w=")</f>
        <v>#VALUE!</v>
      </c>
      <c r="HN75" t="e">
        <f>AND('SPR BARRANQUILLA'!BT88,"AAAAAFvb790=")</f>
        <v>#VALUE!</v>
      </c>
      <c r="HO75" t="e">
        <f>AND('SPR BARRANQUILLA'!BU88,"AAAAAFvb794=")</f>
        <v>#VALUE!</v>
      </c>
      <c r="HP75" t="e">
        <f>AND('SPR BARRANQUILLA'!BV88,"AAAAAFvb798=")</f>
        <v>#VALUE!</v>
      </c>
      <c r="HQ75" t="e">
        <f>AND('SPR BARRANQUILLA'!BW88,"AAAAAFvb7+A=")</f>
        <v>#VALUE!</v>
      </c>
      <c r="HR75" t="e">
        <f>AND('SPR BARRANQUILLA'!BX88,"AAAAAFvb7+E=")</f>
        <v>#VALUE!</v>
      </c>
      <c r="HS75" t="e">
        <f>AND('SPR BARRANQUILLA'!BY88,"AAAAAFvb7+I=")</f>
        <v>#VALUE!</v>
      </c>
      <c r="HT75" t="e">
        <f>AND('SPR BARRANQUILLA'!BZ88,"AAAAAFvb7+M=")</f>
        <v>#VALUE!</v>
      </c>
      <c r="HU75" t="e">
        <f>AND('SPR BARRANQUILLA'!CA88,"AAAAAFvb7+Q=")</f>
        <v>#VALUE!</v>
      </c>
      <c r="HV75" t="e">
        <f>AND('SPR BARRANQUILLA'!CB88,"AAAAAFvb7+U=")</f>
        <v>#VALUE!</v>
      </c>
      <c r="HW75" t="e">
        <f>AND('SPR BARRANQUILLA'!CC88,"AAAAAFvb7+Y=")</f>
        <v>#VALUE!</v>
      </c>
      <c r="HX75" t="e">
        <f>AND('SPR BARRANQUILLA'!CD88,"AAAAAFvb7+c=")</f>
        <v>#VALUE!</v>
      </c>
      <c r="HY75" t="e">
        <f>AND('SPR BARRANQUILLA'!CE88,"AAAAAFvb7+g=")</f>
        <v>#VALUE!</v>
      </c>
      <c r="HZ75" t="e">
        <f>AND('SPR BARRANQUILLA'!CF88,"AAAAAFvb7+k=")</f>
        <v>#VALUE!</v>
      </c>
      <c r="IA75" t="e">
        <f>AND('SPR BARRANQUILLA'!CG88,"AAAAAFvb7+o=")</f>
        <v>#VALUE!</v>
      </c>
      <c r="IB75" t="e">
        <f>AND('SPR BARRANQUILLA'!CH88,"AAAAAFvb7+s=")</f>
        <v>#VALUE!</v>
      </c>
      <c r="IC75" t="e">
        <f>AND('SPR BARRANQUILLA'!CI88,"AAAAAFvb7+w=")</f>
        <v>#VALUE!</v>
      </c>
      <c r="ID75" t="e">
        <f>AND('SPR BARRANQUILLA'!CJ88,"AAAAAFvb7+0=")</f>
        <v>#VALUE!</v>
      </c>
      <c r="IE75" t="e">
        <f>AND('SPR BARRANQUILLA'!CK88,"AAAAAFvb7+4=")</f>
        <v>#VALUE!</v>
      </c>
      <c r="IF75" t="e">
        <f>AND('SPR BARRANQUILLA'!CL88,"AAAAAFvb7+8=")</f>
        <v>#VALUE!</v>
      </c>
      <c r="IG75" t="e">
        <f>AND('SPR BARRANQUILLA'!CM88,"AAAAAFvb7/A=")</f>
        <v>#VALUE!</v>
      </c>
      <c r="IH75" t="e">
        <f>AND('SPR BARRANQUILLA'!CN88,"AAAAAFvb7/E=")</f>
        <v>#VALUE!</v>
      </c>
      <c r="II75" t="e">
        <f>AND('SPR BARRANQUILLA'!CO88,"AAAAAFvb7/I=")</f>
        <v>#VALUE!</v>
      </c>
      <c r="IJ75" t="e">
        <f>AND('SPR BARRANQUILLA'!CP88,"AAAAAFvb7/M=")</f>
        <v>#VALUE!</v>
      </c>
      <c r="IK75" t="e">
        <f>AND('SPR BARRANQUILLA'!CQ88,"AAAAAFvb7/Q=")</f>
        <v>#VALUE!</v>
      </c>
      <c r="IL75" t="e">
        <f>AND('SPR BARRANQUILLA'!CR88,"AAAAAFvb7/U=")</f>
        <v>#VALUE!</v>
      </c>
      <c r="IM75" t="e">
        <f>AND('SPR BARRANQUILLA'!CS88,"AAAAAFvb7/Y=")</f>
        <v>#VALUE!</v>
      </c>
      <c r="IN75" t="e">
        <f>AND('SPR BARRANQUILLA'!CT88,"AAAAAFvb7/c=")</f>
        <v>#VALUE!</v>
      </c>
      <c r="IO75" t="e">
        <f>AND('SPR BARRANQUILLA'!CU88,"AAAAAFvb7/g=")</f>
        <v>#VALUE!</v>
      </c>
      <c r="IP75" t="e">
        <f>AND('SPR BARRANQUILLA'!CV88,"AAAAAFvb7/k=")</f>
        <v>#VALUE!</v>
      </c>
      <c r="IQ75" t="e">
        <f>AND('SPR BARRANQUILLA'!CW88,"AAAAAFvb7/o=")</f>
        <v>#VALUE!</v>
      </c>
      <c r="IR75" t="e">
        <f>AND('SPR BARRANQUILLA'!CX88,"AAAAAFvb7/s=")</f>
        <v>#VALUE!</v>
      </c>
      <c r="IS75" t="e">
        <f>AND('SPR BARRANQUILLA'!CY88,"AAAAAFvb7/w=")</f>
        <v>#VALUE!</v>
      </c>
      <c r="IT75" t="e">
        <f>AND('SPR BARRANQUILLA'!CZ88,"AAAAAFvb7/0=")</f>
        <v>#VALUE!</v>
      </c>
      <c r="IU75" t="e">
        <f>AND('SPR BARRANQUILLA'!DA88,"AAAAAFvb7/4=")</f>
        <v>#VALUE!</v>
      </c>
      <c r="IV75" t="e">
        <f>AND('SPR BARRANQUILLA'!DB88,"AAAAAFvb7/8=")</f>
        <v>#VALUE!</v>
      </c>
    </row>
    <row r="76" spans="1:256">
      <c r="A76" t="e">
        <f>AND('SPR BARRANQUILLA'!DC88,"AAAAAH//PwA=")</f>
        <v>#VALUE!</v>
      </c>
      <c r="B76" t="e">
        <f>AND('SPR BARRANQUILLA'!DD88,"AAAAAH//PwE=")</f>
        <v>#VALUE!</v>
      </c>
      <c r="C76" t="e">
        <f>AND('SPR BARRANQUILLA'!DE88,"AAAAAH//PwI=")</f>
        <v>#VALUE!</v>
      </c>
      <c r="D76" t="e">
        <f>AND('SPR BARRANQUILLA'!DF88,"AAAAAH//PwM=")</f>
        <v>#VALUE!</v>
      </c>
      <c r="E76" t="e">
        <f>AND('SPR BARRANQUILLA'!DG88,"AAAAAH//PwQ=")</f>
        <v>#VALUE!</v>
      </c>
      <c r="F76" t="e">
        <f>AND('SPR BARRANQUILLA'!DH88,"AAAAAH//PwU=")</f>
        <v>#VALUE!</v>
      </c>
      <c r="G76" t="e">
        <f>AND('SPR BARRANQUILLA'!DI88,"AAAAAH//PwY=")</f>
        <v>#VALUE!</v>
      </c>
      <c r="H76" t="e">
        <f>AND('SPR BARRANQUILLA'!DJ88,"AAAAAH//Pwc=")</f>
        <v>#VALUE!</v>
      </c>
      <c r="I76" t="e">
        <f>AND('SPR BARRANQUILLA'!DK88,"AAAAAH//Pwg=")</f>
        <v>#VALUE!</v>
      </c>
      <c r="J76" t="e">
        <f>AND('SPR BARRANQUILLA'!DL88,"AAAAAH//Pwk=")</f>
        <v>#VALUE!</v>
      </c>
      <c r="K76" t="e">
        <f>AND('SPR BARRANQUILLA'!DM88,"AAAAAH//Pwo=")</f>
        <v>#VALUE!</v>
      </c>
      <c r="L76" t="e">
        <f>AND('SPR BARRANQUILLA'!DN88,"AAAAAH//Pws=")</f>
        <v>#VALUE!</v>
      </c>
      <c r="M76" t="e">
        <f>AND('SPR BARRANQUILLA'!DO88,"AAAAAH//Pww=")</f>
        <v>#VALUE!</v>
      </c>
      <c r="N76" t="e">
        <f>AND('SPR BARRANQUILLA'!DP88,"AAAAAH//Pw0=")</f>
        <v>#VALUE!</v>
      </c>
      <c r="O76" t="e">
        <f>AND('SPR BARRANQUILLA'!DQ88,"AAAAAH//Pw4=")</f>
        <v>#VALUE!</v>
      </c>
      <c r="P76" t="e">
        <f>AND('SPR BARRANQUILLA'!DR88,"AAAAAH//Pw8=")</f>
        <v>#VALUE!</v>
      </c>
      <c r="Q76" t="e">
        <f>AND('SPR BARRANQUILLA'!DS88,"AAAAAH//PxA=")</f>
        <v>#VALUE!</v>
      </c>
      <c r="R76" t="e">
        <f>AND('SPR BARRANQUILLA'!DT88,"AAAAAH//PxE=")</f>
        <v>#VALUE!</v>
      </c>
      <c r="S76" t="e">
        <f>AND('SPR BARRANQUILLA'!DU88,"AAAAAH//PxI=")</f>
        <v>#VALUE!</v>
      </c>
      <c r="T76" t="e">
        <f>AND('SPR BARRANQUILLA'!DV88,"AAAAAH//PxM=")</f>
        <v>#VALUE!</v>
      </c>
      <c r="U76" t="e">
        <f>AND('SPR BARRANQUILLA'!DW88,"AAAAAH//PxQ=")</f>
        <v>#VALUE!</v>
      </c>
      <c r="V76" t="e">
        <f>AND('SPR BARRANQUILLA'!DX88,"AAAAAH//PxU=")</f>
        <v>#VALUE!</v>
      </c>
      <c r="W76" t="e">
        <f>AND('SPR BARRANQUILLA'!DY88,"AAAAAH//PxY=")</f>
        <v>#VALUE!</v>
      </c>
      <c r="X76" t="e">
        <f>AND('SPR BARRANQUILLA'!DZ88,"AAAAAH//Pxc=")</f>
        <v>#VALUE!</v>
      </c>
      <c r="Y76" t="e">
        <f>AND('SPR BARRANQUILLA'!EA88,"AAAAAH//Pxg=")</f>
        <v>#VALUE!</v>
      </c>
      <c r="Z76" t="e">
        <f>AND('SPR BARRANQUILLA'!EB88,"AAAAAH//Pxk=")</f>
        <v>#VALUE!</v>
      </c>
      <c r="AA76" t="e">
        <f>AND('SPR BARRANQUILLA'!EC88,"AAAAAH//Pxo=")</f>
        <v>#VALUE!</v>
      </c>
      <c r="AB76" t="e">
        <f>AND('SPR BARRANQUILLA'!ED88,"AAAAAH//Pxs=")</f>
        <v>#VALUE!</v>
      </c>
      <c r="AC76" t="e">
        <f>AND('SPR BARRANQUILLA'!EE88,"AAAAAH//Pxw=")</f>
        <v>#VALUE!</v>
      </c>
      <c r="AD76" t="e">
        <f>AND('SPR BARRANQUILLA'!EF88,"AAAAAH//Px0=")</f>
        <v>#VALUE!</v>
      </c>
      <c r="AE76" t="e">
        <f>AND('SPR BARRANQUILLA'!EG88,"AAAAAH//Px4=")</f>
        <v>#VALUE!</v>
      </c>
      <c r="AF76" t="e">
        <f>AND('SPR BARRANQUILLA'!EH88,"AAAAAH//Px8=")</f>
        <v>#VALUE!</v>
      </c>
      <c r="AG76" t="e">
        <f>AND('SPR BARRANQUILLA'!EI88,"AAAAAH//PyA=")</f>
        <v>#VALUE!</v>
      </c>
      <c r="AH76" t="e">
        <f>AND('SPR BARRANQUILLA'!EJ88,"AAAAAH//PyE=")</f>
        <v>#VALUE!</v>
      </c>
      <c r="AI76" t="e">
        <f>AND('SPR BARRANQUILLA'!EK88,"AAAAAH//PyI=")</f>
        <v>#VALUE!</v>
      </c>
      <c r="AJ76" t="e">
        <f>AND('SPR BARRANQUILLA'!EL88,"AAAAAH//PyM=")</f>
        <v>#VALUE!</v>
      </c>
      <c r="AK76" t="e">
        <f>AND('SPR BARRANQUILLA'!EM88,"AAAAAH//PyQ=")</f>
        <v>#VALUE!</v>
      </c>
      <c r="AL76" t="e">
        <f>AND('SPR BARRANQUILLA'!EN88,"AAAAAH//PyU=")</f>
        <v>#VALUE!</v>
      </c>
      <c r="AM76" t="e">
        <f>AND('SPR BARRANQUILLA'!EO88,"AAAAAH//PyY=")</f>
        <v>#VALUE!</v>
      </c>
      <c r="AN76" t="e">
        <f>AND('SPR BARRANQUILLA'!EP88,"AAAAAH//Pyc=")</f>
        <v>#VALUE!</v>
      </c>
      <c r="AO76" t="e">
        <f>AND('SPR BARRANQUILLA'!EQ88,"AAAAAH//Pyg=")</f>
        <v>#VALUE!</v>
      </c>
      <c r="AP76" t="e">
        <f>AND('SPR BARRANQUILLA'!ER88,"AAAAAH//Pyk=")</f>
        <v>#VALUE!</v>
      </c>
      <c r="AQ76" t="e">
        <f>AND('SPR BARRANQUILLA'!ES88,"AAAAAH//Pyo=")</f>
        <v>#VALUE!</v>
      </c>
      <c r="AR76" t="e">
        <f>AND('SPR BARRANQUILLA'!ET88,"AAAAAH//Pys=")</f>
        <v>#VALUE!</v>
      </c>
      <c r="AS76" t="e">
        <f>AND('SPR BARRANQUILLA'!EU88,"AAAAAH//Pyw=")</f>
        <v>#VALUE!</v>
      </c>
      <c r="AT76" t="e">
        <f>AND('SPR BARRANQUILLA'!EV88,"AAAAAH//Py0=")</f>
        <v>#VALUE!</v>
      </c>
      <c r="AU76" t="e">
        <f>AND('SPR BARRANQUILLA'!EW88,"AAAAAH//Py4=")</f>
        <v>#VALUE!</v>
      </c>
      <c r="AV76" t="e">
        <f>AND('SPR BARRANQUILLA'!EX88,"AAAAAH//Py8=")</f>
        <v>#VALUE!</v>
      </c>
      <c r="AW76" t="e">
        <f>AND('SPR BARRANQUILLA'!EY88,"AAAAAH//PzA=")</f>
        <v>#VALUE!</v>
      </c>
      <c r="AX76" t="e">
        <f>AND('SPR BARRANQUILLA'!EZ88,"AAAAAH//PzE=")</f>
        <v>#VALUE!</v>
      </c>
      <c r="AY76" t="e">
        <f>AND('SPR BARRANQUILLA'!FA88,"AAAAAH//PzI=")</f>
        <v>#VALUE!</v>
      </c>
      <c r="AZ76" t="e">
        <f>AND('SPR BARRANQUILLA'!FB88,"AAAAAH//PzM=")</f>
        <v>#VALUE!</v>
      </c>
      <c r="BA76" t="e">
        <f>AND('SPR BARRANQUILLA'!FC88,"AAAAAH//PzQ=")</f>
        <v>#VALUE!</v>
      </c>
      <c r="BB76" t="e">
        <f>AND('SPR BARRANQUILLA'!FD88,"AAAAAH//PzU=")</f>
        <v>#VALUE!</v>
      </c>
      <c r="BC76" t="e">
        <f>AND('SPR BARRANQUILLA'!FE88,"AAAAAH//PzY=")</f>
        <v>#VALUE!</v>
      </c>
      <c r="BD76" t="e">
        <f>AND('SPR BARRANQUILLA'!FF88,"AAAAAH//Pzc=")</f>
        <v>#VALUE!</v>
      </c>
      <c r="BE76" t="e">
        <f>AND('SPR BARRANQUILLA'!FG88,"AAAAAH//Pzg=")</f>
        <v>#VALUE!</v>
      </c>
      <c r="BF76" t="e">
        <f>AND('SPR BARRANQUILLA'!FH88,"AAAAAH//Pzk=")</f>
        <v>#VALUE!</v>
      </c>
      <c r="BG76" t="e">
        <f>AND('SPR BARRANQUILLA'!FI88,"AAAAAH//Pzo=")</f>
        <v>#VALUE!</v>
      </c>
      <c r="BH76" t="e">
        <f>AND('SPR BARRANQUILLA'!FJ88,"AAAAAH//Pzs=")</f>
        <v>#VALUE!</v>
      </c>
      <c r="BI76" t="e">
        <f>AND('SPR BARRANQUILLA'!FK88,"AAAAAH//Pzw=")</f>
        <v>#VALUE!</v>
      </c>
      <c r="BJ76" t="e">
        <f>AND('SPR BARRANQUILLA'!FL88,"AAAAAH//Pz0=")</f>
        <v>#VALUE!</v>
      </c>
      <c r="BK76" t="e">
        <f>AND('SPR BARRANQUILLA'!FM88,"AAAAAH//Pz4=")</f>
        <v>#VALUE!</v>
      </c>
      <c r="BL76" t="e">
        <f>AND('SPR BARRANQUILLA'!FN88,"AAAAAH//Pz8=")</f>
        <v>#VALUE!</v>
      </c>
      <c r="BM76" t="e">
        <f>AND('SPR BARRANQUILLA'!FO88,"AAAAAH//P0A=")</f>
        <v>#VALUE!</v>
      </c>
      <c r="BN76" t="e">
        <f>AND('SPR BARRANQUILLA'!FP88,"AAAAAH//P0E=")</f>
        <v>#VALUE!</v>
      </c>
      <c r="BO76" t="e">
        <f>AND('SPR BARRANQUILLA'!FQ88,"AAAAAH//P0I=")</f>
        <v>#VALUE!</v>
      </c>
      <c r="BP76" t="e">
        <f>AND('SPR BARRANQUILLA'!FR88,"AAAAAH//P0M=")</f>
        <v>#VALUE!</v>
      </c>
      <c r="BQ76" t="e">
        <f>AND('SPR BARRANQUILLA'!FS88,"AAAAAH//P0Q=")</f>
        <v>#VALUE!</v>
      </c>
      <c r="BR76" t="e">
        <f>AND('SPR BARRANQUILLA'!FT88,"AAAAAH//P0U=")</f>
        <v>#VALUE!</v>
      </c>
      <c r="BS76" t="e">
        <f>AND('SPR BARRANQUILLA'!FU88,"AAAAAH//P0Y=")</f>
        <v>#VALUE!</v>
      </c>
      <c r="BT76" t="e">
        <f>AND('SPR BARRANQUILLA'!FV88,"AAAAAH//P0c=")</f>
        <v>#VALUE!</v>
      </c>
      <c r="BU76" t="e">
        <f>AND('SPR BARRANQUILLA'!FW88,"AAAAAH//P0g=")</f>
        <v>#VALUE!</v>
      </c>
      <c r="BV76" t="e">
        <f>AND('SPR BARRANQUILLA'!FX88,"AAAAAH//P0k=")</f>
        <v>#VALUE!</v>
      </c>
      <c r="BW76" t="e">
        <f>AND('SPR BARRANQUILLA'!FY88,"AAAAAH//P0o=")</f>
        <v>#VALUE!</v>
      </c>
      <c r="BX76" t="e">
        <f>AND('SPR BARRANQUILLA'!FZ88,"AAAAAH//P0s=")</f>
        <v>#VALUE!</v>
      </c>
      <c r="BY76" t="e">
        <f>AND('SPR BARRANQUILLA'!GA88,"AAAAAH//P0w=")</f>
        <v>#VALUE!</v>
      </c>
      <c r="BZ76" t="e">
        <f>AND('SPR BARRANQUILLA'!GB88,"AAAAAH//P00=")</f>
        <v>#VALUE!</v>
      </c>
      <c r="CA76" t="e">
        <f>AND('SPR BARRANQUILLA'!GC88,"AAAAAH//P04=")</f>
        <v>#VALUE!</v>
      </c>
      <c r="CB76" t="e">
        <f>AND('SPR BARRANQUILLA'!GD88,"AAAAAH//P08=")</f>
        <v>#VALUE!</v>
      </c>
      <c r="CC76" t="e">
        <f>AND('SPR BARRANQUILLA'!GE88,"AAAAAH//P1A=")</f>
        <v>#VALUE!</v>
      </c>
      <c r="CD76" t="e">
        <f>AND('SPR BARRANQUILLA'!GF88,"AAAAAH//P1E=")</f>
        <v>#VALUE!</v>
      </c>
      <c r="CE76" t="e">
        <f>AND('SPR BARRANQUILLA'!GG88,"AAAAAH//P1I=")</f>
        <v>#VALUE!</v>
      </c>
      <c r="CF76" t="e">
        <f>AND('SPR BARRANQUILLA'!GH88,"AAAAAH//P1M=")</f>
        <v>#VALUE!</v>
      </c>
      <c r="CG76" t="e">
        <f>AND('SPR BARRANQUILLA'!GI88,"AAAAAH//P1Q=")</f>
        <v>#VALUE!</v>
      </c>
      <c r="CH76" t="e">
        <f>AND('SPR BARRANQUILLA'!GJ88,"AAAAAH//P1U=")</f>
        <v>#VALUE!</v>
      </c>
      <c r="CI76" t="e">
        <f>AND('SPR BARRANQUILLA'!GK88,"AAAAAH//P1Y=")</f>
        <v>#VALUE!</v>
      </c>
      <c r="CJ76" t="e">
        <f>AND('SPR BARRANQUILLA'!GL88,"AAAAAH//P1c=")</f>
        <v>#VALUE!</v>
      </c>
      <c r="CK76" t="e">
        <f>AND('SPR BARRANQUILLA'!GM88,"AAAAAH//P1g=")</f>
        <v>#VALUE!</v>
      </c>
      <c r="CL76" t="e">
        <f>AND('SPR BARRANQUILLA'!GN88,"AAAAAH//P1k=")</f>
        <v>#VALUE!</v>
      </c>
      <c r="CM76" t="e">
        <f>AND('SPR BARRANQUILLA'!GO88,"AAAAAH//P1o=")</f>
        <v>#VALUE!</v>
      </c>
      <c r="CN76" t="e">
        <f>AND('SPR BARRANQUILLA'!GP88,"AAAAAH//P1s=")</f>
        <v>#VALUE!</v>
      </c>
      <c r="CO76" t="e">
        <f>AND('SPR BARRANQUILLA'!GQ88,"AAAAAH//P1w=")</f>
        <v>#VALUE!</v>
      </c>
      <c r="CP76" t="e">
        <f>AND('SPR BARRANQUILLA'!GR88,"AAAAAH//P10=")</f>
        <v>#VALUE!</v>
      </c>
      <c r="CQ76" t="e">
        <f>AND('SPR BARRANQUILLA'!GS88,"AAAAAH//P14=")</f>
        <v>#VALUE!</v>
      </c>
      <c r="CR76" t="e">
        <f>AND('SPR BARRANQUILLA'!GT88,"AAAAAH//P18=")</f>
        <v>#VALUE!</v>
      </c>
      <c r="CS76" t="e">
        <f>AND('SPR BARRANQUILLA'!GU88,"AAAAAH//P2A=")</f>
        <v>#VALUE!</v>
      </c>
      <c r="CT76" t="e">
        <f>AND('SPR BARRANQUILLA'!GV88,"AAAAAH//P2E=")</f>
        <v>#VALUE!</v>
      </c>
      <c r="CU76" t="e">
        <f>AND('SPR BARRANQUILLA'!GW88,"AAAAAH//P2I=")</f>
        <v>#VALUE!</v>
      </c>
      <c r="CV76" t="e">
        <f>AND('SPR BARRANQUILLA'!GX88,"AAAAAH//P2M=")</f>
        <v>#VALUE!</v>
      </c>
      <c r="CW76" t="e">
        <f>AND('SPR BARRANQUILLA'!GY88,"AAAAAH//P2Q=")</f>
        <v>#VALUE!</v>
      </c>
      <c r="CX76">
        <f>IF('SPR BARRANQUILLA'!89:89,"AAAAAH//P2U=",0)</f>
        <v>0</v>
      </c>
      <c r="CY76" t="e">
        <f>AND('SPR BARRANQUILLA'!A89,"AAAAAH//P2Y=")</f>
        <v>#VALUE!</v>
      </c>
      <c r="CZ76" t="e">
        <f>AND('SPR BARRANQUILLA'!B89,"AAAAAH//P2c=")</f>
        <v>#VALUE!</v>
      </c>
      <c r="DA76" t="e">
        <f>AND('SPR BARRANQUILLA'!C89,"AAAAAH//P2g=")</f>
        <v>#VALUE!</v>
      </c>
      <c r="DB76" t="e">
        <f>AND('SPR BARRANQUILLA'!D89,"AAAAAH//P2k=")</f>
        <v>#VALUE!</v>
      </c>
      <c r="DC76" t="e">
        <f>AND('SPR BARRANQUILLA'!E89,"AAAAAH//P2o=")</f>
        <v>#VALUE!</v>
      </c>
      <c r="DD76" t="e">
        <f>AND('SPR BARRANQUILLA'!F89,"AAAAAH//P2s=")</f>
        <v>#VALUE!</v>
      </c>
      <c r="DE76" t="e">
        <f>AND('SPR BARRANQUILLA'!G89,"AAAAAH//P2w=")</f>
        <v>#VALUE!</v>
      </c>
      <c r="DF76" t="e">
        <f>AND('SPR BARRANQUILLA'!H89,"AAAAAH//P20=")</f>
        <v>#VALUE!</v>
      </c>
      <c r="DG76" t="e">
        <f>AND('SPR BARRANQUILLA'!I89,"AAAAAH//P24=")</f>
        <v>#VALUE!</v>
      </c>
      <c r="DH76" t="e">
        <f>AND('SPR BARRANQUILLA'!J89,"AAAAAH//P28=")</f>
        <v>#VALUE!</v>
      </c>
      <c r="DI76" t="e">
        <f>AND('SPR BARRANQUILLA'!K89,"AAAAAH//P3A=")</f>
        <v>#VALUE!</v>
      </c>
      <c r="DJ76" t="e">
        <f>AND('SPR BARRANQUILLA'!L89,"AAAAAH//P3E=")</f>
        <v>#VALUE!</v>
      </c>
      <c r="DK76" t="e">
        <f>AND('SPR BARRANQUILLA'!M89,"AAAAAH//P3I=")</f>
        <v>#VALUE!</v>
      </c>
      <c r="DL76" t="e">
        <f>AND('SPR BARRANQUILLA'!N89,"AAAAAH//P3M=")</f>
        <v>#VALUE!</v>
      </c>
      <c r="DM76" t="e">
        <f>AND('SPR BARRANQUILLA'!O89,"AAAAAH//P3Q=")</f>
        <v>#VALUE!</v>
      </c>
      <c r="DN76" t="e">
        <f>AND('SPR BARRANQUILLA'!P89,"AAAAAH//P3U=")</f>
        <v>#VALUE!</v>
      </c>
      <c r="DO76" t="e">
        <f>AND('SPR BARRANQUILLA'!Q89,"AAAAAH//P3Y=")</f>
        <v>#VALUE!</v>
      </c>
      <c r="DP76" t="e">
        <f>AND('SPR BARRANQUILLA'!R89,"AAAAAH//P3c=")</f>
        <v>#VALUE!</v>
      </c>
      <c r="DQ76" t="e">
        <f>AND('SPR BARRANQUILLA'!S89,"AAAAAH//P3g=")</f>
        <v>#VALUE!</v>
      </c>
      <c r="DR76" t="e">
        <f>AND('SPR BARRANQUILLA'!T89,"AAAAAH//P3k=")</f>
        <v>#VALUE!</v>
      </c>
      <c r="DS76" t="e">
        <f>AND('SPR BARRANQUILLA'!U89,"AAAAAH//P3o=")</f>
        <v>#VALUE!</v>
      </c>
      <c r="DT76" t="e">
        <f>AND('SPR BARRANQUILLA'!V89,"AAAAAH//P3s=")</f>
        <v>#VALUE!</v>
      </c>
      <c r="DU76" t="e">
        <f>AND('SPR BARRANQUILLA'!W89,"AAAAAH//P3w=")</f>
        <v>#VALUE!</v>
      </c>
      <c r="DV76" t="e">
        <f>AND('SPR BARRANQUILLA'!X89,"AAAAAH//P30=")</f>
        <v>#VALUE!</v>
      </c>
      <c r="DW76" t="e">
        <f>AND('SPR BARRANQUILLA'!Y89,"AAAAAH//P34=")</f>
        <v>#VALUE!</v>
      </c>
      <c r="DX76" t="e">
        <f>AND('SPR BARRANQUILLA'!Z89,"AAAAAH//P38=")</f>
        <v>#VALUE!</v>
      </c>
      <c r="DY76" t="e">
        <f>AND('SPR BARRANQUILLA'!AA89,"AAAAAH//P4A=")</f>
        <v>#VALUE!</v>
      </c>
      <c r="DZ76" t="e">
        <f>AND('SPR BARRANQUILLA'!AB89,"AAAAAH//P4E=")</f>
        <v>#VALUE!</v>
      </c>
      <c r="EA76" t="e">
        <f>AND('SPR BARRANQUILLA'!AC89,"AAAAAH//P4I=")</f>
        <v>#VALUE!</v>
      </c>
      <c r="EB76" t="e">
        <f>AND('SPR BARRANQUILLA'!AD89,"AAAAAH//P4M=")</f>
        <v>#VALUE!</v>
      </c>
      <c r="EC76" t="e">
        <f>AND('SPR BARRANQUILLA'!AE89,"AAAAAH//P4Q=")</f>
        <v>#VALUE!</v>
      </c>
      <c r="ED76" t="e">
        <f>AND('SPR BARRANQUILLA'!AF89,"AAAAAH//P4U=")</f>
        <v>#VALUE!</v>
      </c>
      <c r="EE76" t="e">
        <f>AND('SPR BARRANQUILLA'!AG89,"AAAAAH//P4Y=")</f>
        <v>#VALUE!</v>
      </c>
      <c r="EF76" t="e">
        <f>AND('SPR BARRANQUILLA'!AH89,"AAAAAH//P4c=")</f>
        <v>#VALUE!</v>
      </c>
      <c r="EG76" t="e">
        <f>AND('SPR BARRANQUILLA'!AI89,"AAAAAH//P4g=")</f>
        <v>#VALUE!</v>
      </c>
      <c r="EH76" t="e">
        <f>AND('SPR BARRANQUILLA'!AJ89,"AAAAAH//P4k=")</f>
        <v>#VALUE!</v>
      </c>
      <c r="EI76" t="e">
        <f>AND('SPR BARRANQUILLA'!AK89,"AAAAAH//P4o=")</f>
        <v>#VALUE!</v>
      </c>
      <c r="EJ76" t="e">
        <f>AND('SPR BARRANQUILLA'!AL89,"AAAAAH//P4s=")</f>
        <v>#VALUE!</v>
      </c>
      <c r="EK76" t="e">
        <f>AND('SPR BARRANQUILLA'!AM89,"AAAAAH//P4w=")</f>
        <v>#VALUE!</v>
      </c>
      <c r="EL76" t="e">
        <f>AND('SPR BARRANQUILLA'!AN89,"AAAAAH//P40=")</f>
        <v>#VALUE!</v>
      </c>
      <c r="EM76" t="e">
        <f>AND('SPR BARRANQUILLA'!AO89,"AAAAAH//P44=")</f>
        <v>#VALUE!</v>
      </c>
      <c r="EN76" t="e">
        <f>AND('SPR BARRANQUILLA'!AP89,"AAAAAH//P48=")</f>
        <v>#VALUE!</v>
      </c>
      <c r="EO76" t="e">
        <f>AND('SPR BARRANQUILLA'!AQ89,"AAAAAH//P5A=")</f>
        <v>#VALUE!</v>
      </c>
      <c r="EP76" t="e">
        <f>AND('SPR BARRANQUILLA'!AR89,"AAAAAH//P5E=")</f>
        <v>#VALUE!</v>
      </c>
      <c r="EQ76" t="e">
        <f>AND('SPR BARRANQUILLA'!AS89,"AAAAAH//P5I=")</f>
        <v>#VALUE!</v>
      </c>
      <c r="ER76" t="e">
        <f>AND('SPR BARRANQUILLA'!AT89,"AAAAAH//P5M=")</f>
        <v>#VALUE!</v>
      </c>
      <c r="ES76" t="e">
        <f>AND('SPR BARRANQUILLA'!AU89,"AAAAAH//P5Q=")</f>
        <v>#VALUE!</v>
      </c>
      <c r="ET76" t="e">
        <f>AND('SPR BARRANQUILLA'!AV89,"AAAAAH//P5U=")</f>
        <v>#VALUE!</v>
      </c>
      <c r="EU76" t="e">
        <f>AND('SPR BARRANQUILLA'!AW89,"AAAAAH//P5Y=")</f>
        <v>#VALUE!</v>
      </c>
      <c r="EV76" t="e">
        <f>AND('SPR BARRANQUILLA'!AX89,"AAAAAH//P5c=")</f>
        <v>#VALUE!</v>
      </c>
      <c r="EW76" t="e">
        <f>AND('SPR BARRANQUILLA'!AY89,"AAAAAH//P5g=")</f>
        <v>#VALUE!</v>
      </c>
      <c r="EX76" t="e">
        <f>AND('SPR BARRANQUILLA'!AZ89,"AAAAAH//P5k=")</f>
        <v>#VALUE!</v>
      </c>
      <c r="EY76" t="e">
        <f>AND('SPR BARRANQUILLA'!BA89,"AAAAAH//P5o=")</f>
        <v>#VALUE!</v>
      </c>
      <c r="EZ76" t="e">
        <f>AND('SPR BARRANQUILLA'!BB89,"AAAAAH//P5s=")</f>
        <v>#VALUE!</v>
      </c>
      <c r="FA76" t="e">
        <f>AND('SPR BARRANQUILLA'!BC89,"AAAAAH//P5w=")</f>
        <v>#VALUE!</v>
      </c>
      <c r="FB76" t="e">
        <f>AND('SPR BARRANQUILLA'!BD89,"AAAAAH//P50=")</f>
        <v>#VALUE!</v>
      </c>
      <c r="FC76" t="e">
        <f>AND('SPR BARRANQUILLA'!BE89,"AAAAAH//P54=")</f>
        <v>#VALUE!</v>
      </c>
      <c r="FD76" t="e">
        <f>AND('SPR BARRANQUILLA'!BF89,"AAAAAH//P58=")</f>
        <v>#VALUE!</v>
      </c>
      <c r="FE76" t="e">
        <f>AND('SPR BARRANQUILLA'!BG89,"AAAAAH//P6A=")</f>
        <v>#VALUE!</v>
      </c>
      <c r="FF76" t="e">
        <f>AND('SPR BARRANQUILLA'!BH89,"AAAAAH//P6E=")</f>
        <v>#VALUE!</v>
      </c>
      <c r="FG76" t="e">
        <f>AND('SPR BARRANQUILLA'!BI89,"AAAAAH//P6I=")</f>
        <v>#VALUE!</v>
      </c>
      <c r="FH76" t="e">
        <f>AND('SPR BARRANQUILLA'!BJ89,"AAAAAH//P6M=")</f>
        <v>#VALUE!</v>
      </c>
      <c r="FI76" t="e">
        <f>AND('SPR BARRANQUILLA'!BK89,"AAAAAH//P6Q=")</f>
        <v>#VALUE!</v>
      </c>
      <c r="FJ76" t="e">
        <f>AND('SPR BARRANQUILLA'!BL89,"AAAAAH//P6U=")</f>
        <v>#VALUE!</v>
      </c>
      <c r="FK76" t="e">
        <f>AND('SPR BARRANQUILLA'!BM89,"AAAAAH//P6Y=")</f>
        <v>#VALUE!</v>
      </c>
      <c r="FL76" t="e">
        <f>AND('SPR BARRANQUILLA'!BN89,"AAAAAH//P6c=")</f>
        <v>#VALUE!</v>
      </c>
      <c r="FM76" t="e">
        <f>AND('SPR BARRANQUILLA'!BO89,"AAAAAH//P6g=")</f>
        <v>#VALUE!</v>
      </c>
      <c r="FN76" t="e">
        <f>AND('SPR BARRANQUILLA'!BP89,"AAAAAH//P6k=")</f>
        <v>#VALUE!</v>
      </c>
      <c r="FO76" t="e">
        <f>AND('SPR BARRANQUILLA'!BQ89,"AAAAAH//P6o=")</f>
        <v>#VALUE!</v>
      </c>
      <c r="FP76" t="e">
        <f>AND('SPR BARRANQUILLA'!BR89,"AAAAAH//P6s=")</f>
        <v>#VALUE!</v>
      </c>
      <c r="FQ76" t="e">
        <f>AND('SPR BARRANQUILLA'!BS89,"AAAAAH//P6w=")</f>
        <v>#VALUE!</v>
      </c>
      <c r="FR76" t="e">
        <f>AND('SPR BARRANQUILLA'!BT89,"AAAAAH//P60=")</f>
        <v>#VALUE!</v>
      </c>
      <c r="FS76" t="e">
        <f>AND('SPR BARRANQUILLA'!BU89,"AAAAAH//P64=")</f>
        <v>#VALUE!</v>
      </c>
      <c r="FT76" t="e">
        <f>AND('SPR BARRANQUILLA'!BV89,"AAAAAH//P68=")</f>
        <v>#VALUE!</v>
      </c>
      <c r="FU76" t="e">
        <f>AND('SPR BARRANQUILLA'!BW89,"AAAAAH//P7A=")</f>
        <v>#VALUE!</v>
      </c>
      <c r="FV76" t="e">
        <f>AND('SPR BARRANQUILLA'!BX89,"AAAAAH//P7E=")</f>
        <v>#VALUE!</v>
      </c>
      <c r="FW76" t="e">
        <f>AND('SPR BARRANQUILLA'!BY89,"AAAAAH//P7I=")</f>
        <v>#VALUE!</v>
      </c>
      <c r="FX76" t="e">
        <f>AND('SPR BARRANQUILLA'!BZ89,"AAAAAH//P7M=")</f>
        <v>#VALUE!</v>
      </c>
      <c r="FY76" t="e">
        <f>AND('SPR BARRANQUILLA'!CA89,"AAAAAH//P7Q=")</f>
        <v>#VALUE!</v>
      </c>
      <c r="FZ76" t="e">
        <f>AND('SPR BARRANQUILLA'!CB89,"AAAAAH//P7U=")</f>
        <v>#VALUE!</v>
      </c>
      <c r="GA76" t="e">
        <f>AND('SPR BARRANQUILLA'!CC89,"AAAAAH//P7Y=")</f>
        <v>#VALUE!</v>
      </c>
      <c r="GB76" t="e">
        <f>AND('SPR BARRANQUILLA'!CD89,"AAAAAH//P7c=")</f>
        <v>#VALUE!</v>
      </c>
      <c r="GC76" t="e">
        <f>AND('SPR BARRANQUILLA'!CE89,"AAAAAH//P7g=")</f>
        <v>#VALUE!</v>
      </c>
      <c r="GD76" t="e">
        <f>AND('SPR BARRANQUILLA'!CF89,"AAAAAH//P7k=")</f>
        <v>#VALUE!</v>
      </c>
      <c r="GE76" t="e">
        <f>AND('SPR BARRANQUILLA'!CG89,"AAAAAH//P7o=")</f>
        <v>#VALUE!</v>
      </c>
      <c r="GF76" t="e">
        <f>AND('SPR BARRANQUILLA'!CH89,"AAAAAH//P7s=")</f>
        <v>#VALUE!</v>
      </c>
      <c r="GG76" t="e">
        <f>AND('SPR BARRANQUILLA'!CI89,"AAAAAH//P7w=")</f>
        <v>#VALUE!</v>
      </c>
      <c r="GH76" t="e">
        <f>AND('SPR BARRANQUILLA'!CJ89,"AAAAAH//P70=")</f>
        <v>#VALUE!</v>
      </c>
      <c r="GI76" t="e">
        <f>AND('SPR BARRANQUILLA'!CK89,"AAAAAH//P74=")</f>
        <v>#VALUE!</v>
      </c>
      <c r="GJ76" t="e">
        <f>AND('SPR BARRANQUILLA'!CL89,"AAAAAH//P78=")</f>
        <v>#VALUE!</v>
      </c>
      <c r="GK76" t="e">
        <f>AND('SPR BARRANQUILLA'!CM89,"AAAAAH//P8A=")</f>
        <v>#VALUE!</v>
      </c>
      <c r="GL76" t="e">
        <f>AND('SPR BARRANQUILLA'!CN89,"AAAAAH//P8E=")</f>
        <v>#VALUE!</v>
      </c>
      <c r="GM76" t="e">
        <f>AND('SPR BARRANQUILLA'!CO89,"AAAAAH//P8I=")</f>
        <v>#VALUE!</v>
      </c>
      <c r="GN76" t="e">
        <f>AND('SPR BARRANQUILLA'!CP89,"AAAAAH//P8M=")</f>
        <v>#VALUE!</v>
      </c>
      <c r="GO76" t="e">
        <f>AND('SPR BARRANQUILLA'!CQ89,"AAAAAH//P8Q=")</f>
        <v>#VALUE!</v>
      </c>
      <c r="GP76" t="e">
        <f>AND('SPR BARRANQUILLA'!CR89,"AAAAAH//P8U=")</f>
        <v>#VALUE!</v>
      </c>
      <c r="GQ76" t="e">
        <f>AND('SPR BARRANQUILLA'!CS89,"AAAAAH//P8Y=")</f>
        <v>#VALUE!</v>
      </c>
      <c r="GR76" t="e">
        <f>AND('SPR BARRANQUILLA'!CT89,"AAAAAH//P8c=")</f>
        <v>#VALUE!</v>
      </c>
      <c r="GS76" t="e">
        <f>AND('SPR BARRANQUILLA'!CU89,"AAAAAH//P8g=")</f>
        <v>#VALUE!</v>
      </c>
      <c r="GT76" t="e">
        <f>AND('SPR BARRANQUILLA'!CV89,"AAAAAH//P8k=")</f>
        <v>#VALUE!</v>
      </c>
      <c r="GU76" t="e">
        <f>AND('SPR BARRANQUILLA'!CW89,"AAAAAH//P8o=")</f>
        <v>#VALUE!</v>
      </c>
      <c r="GV76" t="e">
        <f>AND('SPR BARRANQUILLA'!CX89,"AAAAAH//P8s=")</f>
        <v>#VALUE!</v>
      </c>
      <c r="GW76" t="e">
        <f>AND('SPR BARRANQUILLA'!CY89,"AAAAAH//P8w=")</f>
        <v>#VALUE!</v>
      </c>
      <c r="GX76" t="e">
        <f>AND('SPR BARRANQUILLA'!CZ89,"AAAAAH//P80=")</f>
        <v>#VALUE!</v>
      </c>
      <c r="GY76" t="e">
        <f>AND('SPR BARRANQUILLA'!DA89,"AAAAAH//P84=")</f>
        <v>#VALUE!</v>
      </c>
      <c r="GZ76" t="e">
        <f>AND('SPR BARRANQUILLA'!DB89,"AAAAAH//P88=")</f>
        <v>#VALUE!</v>
      </c>
      <c r="HA76" t="e">
        <f>AND('SPR BARRANQUILLA'!DC89,"AAAAAH//P9A=")</f>
        <v>#VALUE!</v>
      </c>
      <c r="HB76" t="e">
        <f>AND('SPR BARRANQUILLA'!DD89,"AAAAAH//P9E=")</f>
        <v>#VALUE!</v>
      </c>
      <c r="HC76" t="e">
        <f>AND('SPR BARRANQUILLA'!DE89,"AAAAAH//P9I=")</f>
        <v>#VALUE!</v>
      </c>
      <c r="HD76" t="e">
        <f>AND('SPR BARRANQUILLA'!DF89,"AAAAAH//P9M=")</f>
        <v>#VALUE!</v>
      </c>
      <c r="HE76" t="e">
        <f>AND('SPR BARRANQUILLA'!DG89,"AAAAAH//P9Q=")</f>
        <v>#VALUE!</v>
      </c>
      <c r="HF76" t="e">
        <f>AND('SPR BARRANQUILLA'!DH89,"AAAAAH//P9U=")</f>
        <v>#VALUE!</v>
      </c>
      <c r="HG76" t="e">
        <f>AND('SPR BARRANQUILLA'!DI89,"AAAAAH//P9Y=")</f>
        <v>#VALUE!</v>
      </c>
      <c r="HH76" t="e">
        <f>AND('SPR BARRANQUILLA'!DJ89,"AAAAAH//P9c=")</f>
        <v>#VALUE!</v>
      </c>
      <c r="HI76" t="e">
        <f>AND('SPR BARRANQUILLA'!DK89,"AAAAAH//P9g=")</f>
        <v>#VALUE!</v>
      </c>
      <c r="HJ76" t="e">
        <f>AND('SPR BARRANQUILLA'!DL89,"AAAAAH//P9k=")</f>
        <v>#VALUE!</v>
      </c>
      <c r="HK76" t="e">
        <f>AND('SPR BARRANQUILLA'!DM89,"AAAAAH//P9o=")</f>
        <v>#VALUE!</v>
      </c>
      <c r="HL76" t="e">
        <f>AND('SPR BARRANQUILLA'!DN89,"AAAAAH//P9s=")</f>
        <v>#VALUE!</v>
      </c>
      <c r="HM76" t="e">
        <f>AND('SPR BARRANQUILLA'!DO89,"AAAAAH//P9w=")</f>
        <v>#VALUE!</v>
      </c>
      <c r="HN76" t="e">
        <f>AND('SPR BARRANQUILLA'!DP89,"AAAAAH//P90=")</f>
        <v>#VALUE!</v>
      </c>
      <c r="HO76" t="e">
        <f>AND('SPR BARRANQUILLA'!DQ89,"AAAAAH//P94=")</f>
        <v>#VALUE!</v>
      </c>
      <c r="HP76" t="e">
        <f>AND('SPR BARRANQUILLA'!DR89,"AAAAAH//P98=")</f>
        <v>#VALUE!</v>
      </c>
      <c r="HQ76" t="e">
        <f>AND('SPR BARRANQUILLA'!DS89,"AAAAAH//P+A=")</f>
        <v>#VALUE!</v>
      </c>
      <c r="HR76" t="e">
        <f>AND('SPR BARRANQUILLA'!DT89,"AAAAAH//P+E=")</f>
        <v>#VALUE!</v>
      </c>
      <c r="HS76" t="e">
        <f>AND('SPR BARRANQUILLA'!DU89,"AAAAAH//P+I=")</f>
        <v>#VALUE!</v>
      </c>
      <c r="HT76" t="e">
        <f>AND('SPR BARRANQUILLA'!DV89,"AAAAAH//P+M=")</f>
        <v>#VALUE!</v>
      </c>
      <c r="HU76" t="e">
        <f>AND('SPR BARRANQUILLA'!DW89,"AAAAAH//P+Q=")</f>
        <v>#VALUE!</v>
      </c>
      <c r="HV76" t="e">
        <f>AND('SPR BARRANQUILLA'!DX89,"AAAAAH//P+U=")</f>
        <v>#VALUE!</v>
      </c>
      <c r="HW76" t="e">
        <f>AND('SPR BARRANQUILLA'!DY89,"AAAAAH//P+Y=")</f>
        <v>#VALUE!</v>
      </c>
      <c r="HX76" t="e">
        <f>AND('SPR BARRANQUILLA'!DZ89,"AAAAAH//P+c=")</f>
        <v>#VALUE!</v>
      </c>
      <c r="HY76" t="e">
        <f>AND('SPR BARRANQUILLA'!EA89,"AAAAAH//P+g=")</f>
        <v>#VALUE!</v>
      </c>
      <c r="HZ76" t="e">
        <f>AND('SPR BARRANQUILLA'!EB89,"AAAAAH//P+k=")</f>
        <v>#VALUE!</v>
      </c>
      <c r="IA76" t="e">
        <f>AND('SPR BARRANQUILLA'!EC89,"AAAAAH//P+o=")</f>
        <v>#VALUE!</v>
      </c>
      <c r="IB76" t="e">
        <f>AND('SPR BARRANQUILLA'!ED89,"AAAAAH//P+s=")</f>
        <v>#VALUE!</v>
      </c>
      <c r="IC76" t="e">
        <f>AND('SPR BARRANQUILLA'!EE89,"AAAAAH//P+w=")</f>
        <v>#VALUE!</v>
      </c>
      <c r="ID76" t="e">
        <f>AND('SPR BARRANQUILLA'!EF89,"AAAAAH//P+0=")</f>
        <v>#VALUE!</v>
      </c>
      <c r="IE76" t="e">
        <f>AND('SPR BARRANQUILLA'!EG89,"AAAAAH//P+4=")</f>
        <v>#VALUE!</v>
      </c>
      <c r="IF76" t="e">
        <f>AND('SPR BARRANQUILLA'!EH89,"AAAAAH//P+8=")</f>
        <v>#VALUE!</v>
      </c>
      <c r="IG76" t="e">
        <f>AND('SPR BARRANQUILLA'!EI89,"AAAAAH//P/A=")</f>
        <v>#VALUE!</v>
      </c>
      <c r="IH76" t="e">
        <f>AND('SPR BARRANQUILLA'!EJ89,"AAAAAH//P/E=")</f>
        <v>#VALUE!</v>
      </c>
      <c r="II76" t="e">
        <f>AND('SPR BARRANQUILLA'!EK89,"AAAAAH//P/I=")</f>
        <v>#VALUE!</v>
      </c>
      <c r="IJ76" t="e">
        <f>AND('SPR BARRANQUILLA'!EL89,"AAAAAH//P/M=")</f>
        <v>#VALUE!</v>
      </c>
      <c r="IK76" t="e">
        <f>AND('SPR BARRANQUILLA'!EM89,"AAAAAH//P/Q=")</f>
        <v>#VALUE!</v>
      </c>
      <c r="IL76" t="e">
        <f>AND('SPR BARRANQUILLA'!EN89,"AAAAAH//P/U=")</f>
        <v>#VALUE!</v>
      </c>
      <c r="IM76" t="e">
        <f>AND('SPR BARRANQUILLA'!EO89,"AAAAAH//P/Y=")</f>
        <v>#VALUE!</v>
      </c>
      <c r="IN76" t="e">
        <f>AND('SPR BARRANQUILLA'!EP89,"AAAAAH//P/c=")</f>
        <v>#VALUE!</v>
      </c>
      <c r="IO76" t="e">
        <f>AND('SPR BARRANQUILLA'!EQ89,"AAAAAH//P/g=")</f>
        <v>#VALUE!</v>
      </c>
      <c r="IP76" t="e">
        <f>AND('SPR BARRANQUILLA'!ER89,"AAAAAH//P/k=")</f>
        <v>#VALUE!</v>
      </c>
      <c r="IQ76" t="e">
        <f>AND('SPR BARRANQUILLA'!ES89,"AAAAAH//P/o=")</f>
        <v>#VALUE!</v>
      </c>
      <c r="IR76" t="e">
        <f>AND('SPR BARRANQUILLA'!ET89,"AAAAAH//P/s=")</f>
        <v>#VALUE!</v>
      </c>
      <c r="IS76" t="e">
        <f>AND('SPR BARRANQUILLA'!EU89,"AAAAAH//P/w=")</f>
        <v>#VALUE!</v>
      </c>
      <c r="IT76" t="e">
        <f>AND('SPR BARRANQUILLA'!EV89,"AAAAAH//P/0=")</f>
        <v>#VALUE!</v>
      </c>
      <c r="IU76" t="e">
        <f>AND('SPR BARRANQUILLA'!EW89,"AAAAAH//P/4=")</f>
        <v>#VALUE!</v>
      </c>
      <c r="IV76" t="e">
        <f>AND('SPR BARRANQUILLA'!EX89,"AAAAAH//P/8=")</f>
        <v>#VALUE!</v>
      </c>
    </row>
    <row r="77" spans="1:256">
      <c r="A77" t="e">
        <f>AND('SPR BARRANQUILLA'!EY89,"AAAAAE+JrwA=")</f>
        <v>#VALUE!</v>
      </c>
      <c r="B77" t="e">
        <f>AND('SPR BARRANQUILLA'!EZ89,"AAAAAE+JrwE=")</f>
        <v>#VALUE!</v>
      </c>
      <c r="C77" t="e">
        <f>AND('SPR BARRANQUILLA'!FA89,"AAAAAE+JrwI=")</f>
        <v>#VALUE!</v>
      </c>
      <c r="D77" t="e">
        <f>AND('SPR BARRANQUILLA'!FB89,"AAAAAE+JrwM=")</f>
        <v>#VALUE!</v>
      </c>
      <c r="E77" t="e">
        <f>AND('SPR BARRANQUILLA'!FC89,"AAAAAE+JrwQ=")</f>
        <v>#VALUE!</v>
      </c>
      <c r="F77" t="e">
        <f>AND('SPR BARRANQUILLA'!FD89,"AAAAAE+JrwU=")</f>
        <v>#VALUE!</v>
      </c>
      <c r="G77" t="e">
        <f>AND('SPR BARRANQUILLA'!FE89,"AAAAAE+JrwY=")</f>
        <v>#VALUE!</v>
      </c>
      <c r="H77" t="e">
        <f>AND('SPR BARRANQUILLA'!FF89,"AAAAAE+Jrwc=")</f>
        <v>#VALUE!</v>
      </c>
      <c r="I77" t="e">
        <f>AND('SPR BARRANQUILLA'!FG89,"AAAAAE+Jrwg=")</f>
        <v>#VALUE!</v>
      </c>
      <c r="J77" t="e">
        <f>AND('SPR BARRANQUILLA'!FH89,"AAAAAE+Jrwk=")</f>
        <v>#VALUE!</v>
      </c>
      <c r="K77" t="e">
        <f>AND('SPR BARRANQUILLA'!FI89,"AAAAAE+Jrwo=")</f>
        <v>#VALUE!</v>
      </c>
      <c r="L77" t="e">
        <f>AND('SPR BARRANQUILLA'!FJ89,"AAAAAE+Jrws=")</f>
        <v>#VALUE!</v>
      </c>
      <c r="M77" t="e">
        <f>AND('SPR BARRANQUILLA'!FK89,"AAAAAE+Jrww=")</f>
        <v>#VALUE!</v>
      </c>
      <c r="N77" t="e">
        <f>AND('SPR BARRANQUILLA'!FL89,"AAAAAE+Jrw0=")</f>
        <v>#VALUE!</v>
      </c>
      <c r="O77" t="e">
        <f>AND('SPR BARRANQUILLA'!FM89,"AAAAAE+Jrw4=")</f>
        <v>#VALUE!</v>
      </c>
      <c r="P77" t="e">
        <f>AND('SPR BARRANQUILLA'!FN89,"AAAAAE+Jrw8=")</f>
        <v>#VALUE!</v>
      </c>
      <c r="Q77" t="e">
        <f>AND('SPR BARRANQUILLA'!FO89,"AAAAAE+JrxA=")</f>
        <v>#VALUE!</v>
      </c>
      <c r="R77" t="e">
        <f>AND('SPR BARRANQUILLA'!FP89,"AAAAAE+JrxE=")</f>
        <v>#VALUE!</v>
      </c>
      <c r="S77" t="e">
        <f>AND('SPR BARRANQUILLA'!FQ89,"AAAAAE+JrxI=")</f>
        <v>#VALUE!</v>
      </c>
      <c r="T77" t="e">
        <f>AND('SPR BARRANQUILLA'!FR89,"AAAAAE+JrxM=")</f>
        <v>#VALUE!</v>
      </c>
      <c r="U77" t="e">
        <f>AND('SPR BARRANQUILLA'!FS89,"AAAAAE+JrxQ=")</f>
        <v>#VALUE!</v>
      </c>
      <c r="V77" t="e">
        <f>AND('SPR BARRANQUILLA'!FT89,"AAAAAE+JrxU=")</f>
        <v>#VALUE!</v>
      </c>
      <c r="W77" t="e">
        <f>AND('SPR BARRANQUILLA'!FU89,"AAAAAE+JrxY=")</f>
        <v>#VALUE!</v>
      </c>
      <c r="X77" t="e">
        <f>AND('SPR BARRANQUILLA'!FV89,"AAAAAE+Jrxc=")</f>
        <v>#VALUE!</v>
      </c>
      <c r="Y77" t="e">
        <f>AND('SPR BARRANQUILLA'!FW89,"AAAAAE+Jrxg=")</f>
        <v>#VALUE!</v>
      </c>
      <c r="Z77" t="e">
        <f>AND('SPR BARRANQUILLA'!FX89,"AAAAAE+Jrxk=")</f>
        <v>#VALUE!</v>
      </c>
      <c r="AA77" t="e">
        <f>AND('SPR BARRANQUILLA'!FY89,"AAAAAE+Jrxo=")</f>
        <v>#VALUE!</v>
      </c>
      <c r="AB77" t="e">
        <f>AND('SPR BARRANQUILLA'!FZ89,"AAAAAE+Jrxs=")</f>
        <v>#VALUE!</v>
      </c>
      <c r="AC77" t="e">
        <f>AND('SPR BARRANQUILLA'!GA89,"AAAAAE+Jrxw=")</f>
        <v>#VALUE!</v>
      </c>
      <c r="AD77" t="e">
        <f>AND('SPR BARRANQUILLA'!GB89,"AAAAAE+Jrx0=")</f>
        <v>#VALUE!</v>
      </c>
      <c r="AE77" t="e">
        <f>AND('SPR BARRANQUILLA'!GC89,"AAAAAE+Jrx4=")</f>
        <v>#VALUE!</v>
      </c>
      <c r="AF77" t="e">
        <f>AND('SPR BARRANQUILLA'!GD89,"AAAAAE+Jrx8=")</f>
        <v>#VALUE!</v>
      </c>
      <c r="AG77" t="e">
        <f>AND('SPR BARRANQUILLA'!GE89,"AAAAAE+JryA=")</f>
        <v>#VALUE!</v>
      </c>
      <c r="AH77" t="e">
        <f>AND('SPR BARRANQUILLA'!GF89,"AAAAAE+JryE=")</f>
        <v>#VALUE!</v>
      </c>
      <c r="AI77" t="e">
        <f>AND('SPR BARRANQUILLA'!GG89,"AAAAAE+JryI=")</f>
        <v>#VALUE!</v>
      </c>
      <c r="AJ77" t="e">
        <f>AND('SPR BARRANQUILLA'!GH89,"AAAAAE+JryM=")</f>
        <v>#VALUE!</v>
      </c>
      <c r="AK77" t="e">
        <f>AND('SPR BARRANQUILLA'!GI89,"AAAAAE+JryQ=")</f>
        <v>#VALUE!</v>
      </c>
      <c r="AL77" t="e">
        <f>AND('SPR BARRANQUILLA'!GJ89,"AAAAAE+JryU=")</f>
        <v>#VALUE!</v>
      </c>
      <c r="AM77" t="e">
        <f>AND('SPR BARRANQUILLA'!GK89,"AAAAAE+JryY=")</f>
        <v>#VALUE!</v>
      </c>
      <c r="AN77" t="e">
        <f>AND('SPR BARRANQUILLA'!GL89,"AAAAAE+Jryc=")</f>
        <v>#VALUE!</v>
      </c>
      <c r="AO77" t="e">
        <f>AND('SPR BARRANQUILLA'!GM89,"AAAAAE+Jryg=")</f>
        <v>#VALUE!</v>
      </c>
      <c r="AP77" t="e">
        <f>AND('SPR BARRANQUILLA'!GN89,"AAAAAE+Jryk=")</f>
        <v>#VALUE!</v>
      </c>
      <c r="AQ77" t="e">
        <f>AND('SPR BARRANQUILLA'!GO89,"AAAAAE+Jryo=")</f>
        <v>#VALUE!</v>
      </c>
      <c r="AR77" t="e">
        <f>AND('SPR BARRANQUILLA'!GP89,"AAAAAE+Jrys=")</f>
        <v>#VALUE!</v>
      </c>
      <c r="AS77" t="e">
        <f>AND('SPR BARRANQUILLA'!GQ89,"AAAAAE+Jryw=")</f>
        <v>#VALUE!</v>
      </c>
      <c r="AT77" t="e">
        <f>AND('SPR BARRANQUILLA'!GR89,"AAAAAE+Jry0=")</f>
        <v>#VALUE!</v>
      </c>
      <c r="AU77" t="e">
        <f>AND('SPR BARRANQUILLA'!GS89,"AAAAAE+Jry4=")</f>
        <v>#VALUE!</v>
      </c>
      <c r="AV77" t="e">
        <f>AND('SPR BARRANQUILLA'!GT89,"AAAAAE+Jry8=")</f>
        <v>#VALUE!</v>
      </c>
      <c r="AW77" t="e">
        <f>AND('SPR BARRANQUILLA'!GU89,"AAAAAE+JrzA=")</f>
        <v>#VALUE!</v>
      </c>
      <c r="AX77" t="e">
        <f>AND('SPR BARRANQUILLA'!GV89,"AAAAAE+JrzE=")</f>
        <v>#VALUE!</v>
      </c>
      <c r="AY77" t="e">
        <f>AND('SPR BARRANQUILLA'!GW89,"AAAAAE+JrzI=")</f>
        <v>#VALUE!</v>
      </c>
      <c r="AZ77" t="e">
        <f>AND('SPR BARRANQUILLA'!GX89,"AAAAAE+JrzM=")</f>
        <v>#VALUE!</v>
      </c>
      <c r="BA77" t="e">
        <f>AND('SPR BARRANQUILLA'!GY89,"AAAAAE+JrzQ=")</f>
        <v>#VALUE!</v>
      </c>
      <c r="BB77">
        <f>IF('SPR BARRANQUILLA'!90:90,"AAAAAE+JrzU=",0)</f>
        <v>0</v>
      </c>
      <c r="BC77" t="e">
        <f>AND('SPR BARRANQUILLA'!A90,"AAAAAE+JrzY=")</f>
        <v>#VALUE!</v>
      </c>
      <c r="BD77" t="e">
        <f>AND('SPR BARRANQUILLA'!B90,"AAAAAE+Jrzc=")</f>
        <v>#VALUE!</v>
      </c>
      <c r="BE77" t="e">
        <f>AND('SPR BARRANQUILLA'!C90,"AAAAAE+Jrzg=")</f>
        <v>#VALUE!</v>
      </c>
      <c r="BF77" t="e">
        <f>AND('SPR BARRANQUILLA'!D90,"AAAAAE+Jrzk=")</f>
        <v>#VALUE!</v>
      </c>
      <c r="BG77" t="e">
        <f>AND('SPR BARRANQUILLA'!E90,"AAAAAE+Jrzo=")</f>
        <v>#VALUE!</v>
      </c>
      <c r="BH77" t="e">
        <f>AND('SPR BARRANQUILLA'!F90,"AAAAAE+Jrzs=")</f>
        <v>#VALUE!</v>
      </c>
      <c r="BI77" t="e">
        <f>AND('SPR BARRANQUILLA'!G90,"AAAAAE+Jrzw=")</f>
        <v>#VALUE!</v>
      </c>
      <c r="BJ77" t="e">
        <f>AND('SPR BARRANQUILLA'!H90,"AAAAAE+Jrz0=")</f>
        <v>#VALUE!</v>
      </c>
      <c r="BK77" t="e">
        <f>AND('SPR BARRANQUILLA'!I90,"AAAAAE+Jrz4=")</f>
        <v>#VALUE!</v>
      </c>
      <c r="BL77" t="e">
        <f>AND('SPR BARRANQUILLA'!J90,"AAAAAE+Jrz8=")</f>
        <v>#VALUE!</v>
      </c>
      <c r="BM77" t="e">
        <f>AND('SPR BARRANQUILLA'!K90,"AAAAAE+Jr0A=")</f>
        <v>#VALUE!</v>
      </c>
      <c r="BN77" t="e">
        <f>AND('SPR BARRANQUILLA'!L90,"AAAAAE+Jr0E=")</f>
        <v>#VALUE!</v>
      </c>
      <c r="BO77" t="e">
        <f>AND('SPR BARRANQUILLA'!M90,"AAAAAE+Jr0I=")</f>
        <v>#VALUE!</v>
      </c>
      <c r="BP77" t="e">
        <f>AND('SPR BARRANQUILLA'!N90,"AAAAAE+Jr0M=")</f>
        <v>#VALUE!</v>
      </c>
      <c r="BQ77" t="e">
        <f>AND('SPR BARRANQUILLA'!O90,"AAAAAE+Jr0Q=")</f>
        <v>#VALUE!</v>
      </c>
      <c r="BR77" t="e">
        <f>AND('SPR BARRANQUILLA'!P90,"AAAAAE+Jr0U=")</f>
        <v>#VALUE!</v>
      </c>
      <c r="BS77" t="e">
        <f>AND('SPR BARRANQUILLA'!Q90,"AAAAAE+Jr0Y=")</f>
        <v>#VALUE!</v>
      </c>
      <c r="BT77" t="e">
        <f>AND('SPR BARRANQUILLA'!R90,"AAAAAE+Jr0c=")</f>
        <v>#VALUE!</v>
      </c>
      <c r="BU77" t="e">
        <f>AND('SPR BARRANQUILLA'!S90,"AAAAAE+Jr0g=")</f>
        <v>#VALUE!</v>
      </c>
      <c r="BV77" t="e">
        <f>AND('SPR BARRANQUILLA'!T90,"AAAAAE+Jr0k=")</f>
        <v>#VALUE!</v>
      </c>
      <c r="BW77" t="e">
        <f>AND('SPR BARRANQUILLA'!U90,"AAAAAE+Jr0o=")</f>
        <v>#VALUE!</v>
      </c>
      <c r="BX77" t="e">
        <f>AND('SPR BARRANQUILLA'!V90,"AAAAAE+Jr0s=")</f>
        <v>#VALUE!</v>
      </c>
      <c r="BY77" t="e">
        <f>AND('SPR BARRANQUILLA'!W90,"AAAAAE+Jr0w=")</f>
        <v>#VALUE!</v>
      </c>
      <c r="BZ77" t="e">
        <f>AND('SPR BARRANQUILLA'!X90,"AAAAAE+Jr00=")</f>
        <v>#VALUE!</v>
      </c>
      <c r="CA77" t="e">
        <f>AND('SPR BARRANQUILLA'!Y90,"AAAAAE+Jr04=")</f>
        <v>#VALUE!</v>
      </c>
      <c r="CB77" t="e">
        <f>AND('SPR BARRANQUILLA'!Z90,"AAAAAE+Jr08=")</f>
        <v>#VALUE!</v>
      </c>
      <c r="CC77" t="e">
        <f>AND('SPR BARRANQUILLA'!AA90,"AAAAAE+Jr1A=")</f>
        <v>#VALUE!</v>
      </c>
      <c r="CD77" t="e">
        <f>AND('SPR BARRANQUILLA'!AB90,"AAAAAE+Jr1E=")</f>
        <v>#VALUE!</v>
      </c>
      <c r="CE77" t="e">
        <f>AND('SPR BARRANQUILLA'!AC90,"AAAAAE+Jr1I=")</f>
        <v>#VALUE!</v>
      </c>
      <c r="CF77" t="e">
        <f>AND('SPR BARRANQUILLA'!AD90,"AAAAAE+Jr1M=")</f>
        <v>#VALUE!</v>
      </c>
      <c r="CG77" t="e">
        <f>AND('SPR BARRANQUILLA'!AE90,"AAAAAE+Jr1Q=")</f>
        <v>#VALUE!</v>
      </c>
      <c r="CH77" t="e">
        <f>AND('SPR BARRANQUILLA'!AF90,"AAAAAE+Jr1U=")</f>
        <v>#VALUE!</v>
      </c>
      <c r="CI77" t="e">
        <f>AND('SPR BARRANQUILLA'!AG90,"AAAAAE+Jr1Y=")</f>
        <v>#VALUE!</v>
      </c>
      <c r="CJ77" t="e">
        <f>AND('SPR BARRANQUILLA'!AH90,"AAAAAE+Jr1c=")</f>
        <v>#VALUE!</v>
      </c>
      <c r="CK77" t="e">
        <f>AND('SPR BARRANQUILLA'!AI90,"AAAAAE+Jr1g=")</f>
        <v>#VALUE!</v>
      </c>
      <c r="CL77" t="e">
        <f>AND('SPR BARRANQUILLA'!AJ90,"AAAAAE+Jr1k=")</f>
        <v>#VALUE!</v>
      </c>
      <c r="CM77" t="e">
        <f>AND('SPR BARRANQUILLA'!AK90,"AAAAAE+Jr1o=")</f>
        <v>#VALUE!</v>
      </c>
      <c r="CN77" t="e">
        <f>AND('SPR BARRANQUILLA'!AL90,"AAAAAE+Jr1s=")</f>
        <v>#VALUE!</v>
      </c>
      <c r="CO77" t="e">
        <f>AND('SPR BARRANQUILLA'!AM90,"AAAAAE+Jr1w=")</f>
        <v>#VALUE!</v>
      </c>
      <c r="CP77" t="e">
        <f>AND('SPR BARRANQUILLA'!AN90,"AAAAAE+Jr10=")</f>
        <v>#VALUE!</v>
      </c>
      <c r="CQ77" t="e">
        <f>AND('SPR BARRANQUILLA'!AO90,"AAAAAE+Jr14=")</f>
        <v>#VALUE!</v>
      </c>
      <c r="CR77" t="e">
        <f>AND('SPR BARRANQUILLA'!AP90,"AAAAAE+Jr18=")</f>
        <v>#VALUE!</v>
      </c>
      <c r="CS77" t="e">
        <f>AND('SPR BARRANQUILLA'!AQ90,"AAAAAE+Jr2A=")</f>
        <v>#VALUE!</v>
      </c>
      <c r="CT77" t="e">
        <f>AND('SPR BARRANQUILLA'!AR90,"AAAAAE+Jr2E=")</f>
        <v>#VALUE!</v>
      </c>
      <c r="CU77" t="e">
        <f>AND('SPR BARRANQUILLA'!AS90,"AAAAAE+Jr2I=")</f>
        <v>#VALUE!</v>
      </c>
      <c r="CV77" t="e">
        <f>AND('SPR BARRANQUILLA'!AT90,"AAAAAE+Jr2M=")</f>
        <v>#VALUE!</v>
      </c>
      <c r="CW77" t="e">
        <f>AND('SPR BARRANQUILLA'!AU90,"AAAAAE+Jr2Q=")</f>
        <v>#VALUE!</v>
      </c>
      <c r="CX77" t="e">
        <f>AND('SPR BARRANQUILLA'!AV90,"AAAAAE+Jr2U=")</f>
        <v>#VALUE!</v>
      </c>
      <c r="CY77" t="e">
        <f>AND('SPR BARRANQUILLA'!AW90,"AAAAAE+Jr2Y=")</f>
        <v>#VALUE!</v>
      </c>
      <c r="CZ77" t="e">
        <f>AND('SPR BARRANQUILLA'!AX90,"AAAAAE+Jr2c=")</f>
        <v>#VALUE!</v>
      </c>
      <c r="DA77" t="e">
        <f>AND('SPR BARRANQUILLA'!AY90,"AAAAAE+Jr2g=")</f>
        <v>#VALUE!</v>
      </c>
      <c r="DB77" t="e">
        <f>AND('SPR BARRANQUILLA'!AZ90,"AAAAAE+Jr2k=")</f>
        <v>#VALUE!</v>
      </c>
      <c r="DC77" t="e">
        <f>AND('SPR BARRANQUILLA'!BA90,"AAAAAE+Jr2o=")</f>
        <v>#VALUE!</v>
      </c>
      <c r="DD77" t="e">
        <f>AND('SPR BARRANQUILLA'!BB90,"AAAAAE+Jr2s=")</f>
        <v>#VALUE!</v>
      </c>
      <c r="DE77" t="e">
        <f>AND('SPR BARRANQUILLA'!BC90,"AAAAAE+Jr2w=")</f>
        <v>#VALUE!</v>
      </c>
      <c r="DF77" t="e">
        <f>AND('SPR BARRANQUILLA'!BD90,"AAAAAE+Jr20=")</f>
        <v>#VALUE!</v>
      </c>
      <c r="DG77" t="e">
        <f>AND('SPR BARRANQUILLA'!BE90,"AAAAAE+Jr24=")</f>
        <v>#VALUE!</v>
      </c>
      <c r="DH77" t="e">
        <f>AND('SPR BARRANQUILLA'!BF90,"AAAAAE+Jr28=")</f>
        <v>#VALUE!</v>
      </c>
      <c r="DI77" t="e">
        <f>AND('SPR BARRANQUILLA'!BG90,"AAAAAE+Jr3A=")</f>
        <v>#VALUE!</v>
      </c>
      <c r="DJ77" t="e">
        <f>AND('SPR BARRANQUILLA'!BH90,"AAAAAE+Jr3E=")</f>
        <v>#VALUE!</v>
      </c>
      <c r="DK77" t="e">
        <f>AND('SPR BARRANQUILLA'!BI90,"AAAAAE+Jr3I=")</f>
        <v>#VALUE!</v>
      </c>
      <c r="DL77" t="e">
        <f>AND('SPR BARRANQUILLA'!BJ90,"AAAAAE+Jr3M=")</f>
        <v>#VALUE!</v>
      </c>
      <c r="DM77" t="e">
        <f>AND('SPR BARRANQUILLA'!BK90,"AAAAAE+Jr3Q=")</f>
        <v>#VALUE!</v>
      </c>
      <c r="DN77" t="e">
        <f>AND('SPR BARRANQUILLA'!BL90,"AAAAAE+Jr3U=")</f>
        <v>#VALUE!</v>
      </c>
      <c r="DO77" t="e">
        <f>AND('SPR BARRANQUILLA'!BM90,"AAAAAE+Jr3Y=")</f>
        <v>#VALUE!</v>
      </c>
      <c r="DP77" t="e">
        <f>AND('SPR BARRANQUILLA'!BN90,"AAAAAE+Jr3c=")</f>
        <v>#VALUE!</v>
      </c>
      <c r="DQ77" t="e">
        <f>AND('SPR BARRANQUILLA'!BO90,"AAAAAE+Jr3g=")</f>
        <v>#VALUE!</v>
      </c>
      <c r="DR77" t="e">
        <f>AND('SPR BARRANQUILLA'!BP90,"AAAAAE+Jr3k=")</f>
        <v>#VALUE!</v>
      </c>
      <c r="DS77" t="e">
        <f>AND('SPR BARRANQUILLA'!BQ90,"AAAAAE+Jr3o=")</f>
        <v>#VALUE!</v>
      </c>
      <c r="DT77" t="e">
        <f>AND('SPR BARRANQUILLA'!BR90,"AAAAAE+Jr3s=")</f>
        <v>#VALUE!</v>
      </c>
      <c r="DU77" t="e">
        <f>AND('SPR BARRANQUILLA'!BS90,"AAAAAE+Jr3w=")</f>
        <v>#VALUE!</v>
      </c>
      <c r="DV77" t="e">
        <f>AND('SPR BARRANQUILLA'!BT90,"AAAAAE+Jr30=")</f>
        <v>#VALUE!</v>
      </c>
      <c r="DW77" t="e">
        <f>AND('SPR BARRANQUILLA'!BU90,"AAAAAE+Jr34=")</f>
        <v>#VALUE!</v>
      </c>
      <c r="DX77" t="e">
        <f>AND('SPR BARRANQUILLA'!BV90,"AAAAAE+Jr38=")</f>
        <v>#VALUE!</v>
      </c>
      <c r="DY77" t="e">
        <f>AND('SPR BARRANQUILLA'!BW90,"AAAAAE+Jr4A=")</f>
        <v>#VALUE!</v>
      </c>
      <c r="DZ77" t="e">
        <f>AND('SPR BARRANQUILLA'!BX90,"AAAAAE+Jr4E=")</f>
        <v>#VALUE!</v>
      </c>
      <c r="EA77" t="e">
        <f>AND('SPR BARRANQUILLA'!BY90,"AAAAAE+Jr4I=")</f>
        <v>#VALUE!</v>
      </c>
      <c r="EB77" t="e">
        <f>AND('SPR BARRANQUILLA'!BZ90,"AAAAAE+Jr4M=")</f>
        <v>#VALUE!</v>
      </c>
      <c r="EC77" t="e">
        <f>AND('SPR BARRANQUILLA'!CA90,"AAAAAE+Jr4Q=")</f>
        <v>#VALUE!</v>
      </c>
      <c r="ED77" t="e">
        <f>AND('SPR BARRANQUILLA'!CB90,"AAAAAE+Jr4U=")</f>
        <v>#VALUE!</v>
      </c>
      <c r="EE77" t="e">
        <f>AND('SPR BARRANQUILLA'!CC90,"AAAAAE+Jr4Y=")</f>
        <v>#VALUE!</v>
      </c>
      <c r="EF77" t="e">
        <f>AND('SPR BARRANQUILLA'!CD90,"AAAAAE+Jr4c=")</f>
        <v>#VALUE!</v>
      </c>
      <c r="EG77" t="e">
        <f>AND('SPR BARRANQUILLA'!CE90,"AAAAAE+Jr4g=")</f>
        <v>#VALUE!</v>
      </c>
      <c r="EH77" t="e">
        <f>AND('SPR BARRANQUILLA'!CF90,"AAAAAE+Jr4k=")</f>
        <v>#VALUE!</v>
      </c>
      <c r="EI77" t="e">
        <f>AND('SPR BARRANQUILLA'!CG90,"AAAAAE+Jr4o=")</f>
        <v>#VALUE!</v>
      </c>
      <c r="EJ77" t="e">
        <f>AND('SPR BARRANQUILLA'!CH90,"AAAAAE+Jr4s=")</f>
        <v>#VALUE!</v>
      </c>
      <c r="EK77" t="e">
        <f>AND('SPR BARRANQUILLA'!CI90,"AAAAAE+Jr4w=")</f>
        <v>#VALUE!</v>
      </c>
      <c r="EL77" t="e">
        <f>AND('SPR BARRANQUILLA'!CJ90,"AAAAAE+Jr40=")</f>
        <v>#VALUE!</v>
      </c>
      <c r="EM77" t="e">
        <f>AND('SPR BARRANQUILLA'!CK90,"AAAAAE+Jr44=")</f>
        <v>#VALUE!</v>
      </c>
      <c r="EN77" t="e">
        <f>AND('SPR BARRANQUILLA'!CL90,"AAAAAE+Jr48=")</f>
        <v>#VALUE!</v>
      </c>
      <c r="EO77" t="e">
        <f>AND('SPR BARRANQUILLA'!CM90,"AAAAAE+Jr5A=")</f>
        <v>#VALUE!</v>
      </c>
      <c r="EP77" t="e">
        <f>AND('SPR BARRANQUILLA'!CN90,"AAAAAE+Jr5E=")</f>
        <v>#VALUE!</v>
      </c>
      <c r="EQ77" t="e">
        <f>AND('SPR BARRANQUILLA'!CO90,"AAAAAE+Jr5I=")</f>
        <v>#VALUE!</v>
      </c>
      <c r="ER77" t="e">
        <f>AND('SPR BARRANQUILLA'!CP90,"AAAAAE+Jr5M=")</f>
        <v>#VALUE!</v>
      </c>
      <c r="ES77" t="e">
        <f>AND('SPR BARRANQUILLA'!CQ90,"AAAAAE+Jr5Q=")</f>
        <v>#VALUE!</v>
      </c>
      <c r="ET77" t="e">
        <f>AND('SPR BARRANQUILLA'!CR90,"AAAAAE+Jr5U=")</f>
        <v>#VALUE!</v>
      </c>
      <c r="EU77" t="e">
        <f>AND('SPR BARRANQUILLA'!CS90,"AAAAAE+Jr5Y=")</f>
        <v>#VALUE!</v>
      </c>
      <c r="EV77" t="e">
        <f>AND('SPR BARRANQUILLA'!CT90,"AAAAAE+Jr5c=")</f>
        <v>#VALUE!</v>
      </c>
      <c r="EW77" t="e">
        <f>AND('SPR BARRANQUILLA'!CU90,"AAAAAE+Jr5g=")</f>
        <v>#VALUE!</v>
      </c>
      <c r="EX77" t="e">
        <f>AND('SPR BARRANQUILLA'!CV90,"AAAAAE+Jr5k=")</f>
        <v>#VALUE!</v>
      </c>
      <c r="EY77" t="e">
        <f>AND('SPR BARRANQUILLA'!CW90,"AAAAAE+Jr5o=")</f>
        <v>#VALUE!</v>
      </c>
      <c r="EZ77" t="e">
        <f>AND('SPR BARRANQUILLA'!CX90,"AAAAAE+Jr5s=")</f>
        <v>#VALUE!</v>
      </c>
      <c r="FA77" t="e">
        <f>AND('SPR BARRANQUILLA'!CY90,"AAAAAE+Jr5w=")</f>
        <v>#VALUE!</v>
      </c>
      <c r="FB77" t="e">
        <f>AND('SPR BARRANQUILLA'!CZ90,"AAAAAE+Jr50=")</f>
        <v>#VALUE!</v>
      </c>
      <c r="FC77" t="e">
        <f>AND('SPR BARRANQUILLA'!DA90,"AAAAAE+Jr54=")</f>
        <v>#VALUE!</v>
      </c>
      <c r="FD77" t="e">
        <f>AND('SPR BARRANQUILLA'!DB90,"AAAAAE+Jr58=")</f>
        <v>#VALUE!</v>
      </c>
      <c r="FE77" t="e">
        <f>AND('SPR BARRANQUILLA'!DC90,"AAAAAE+Jr6A=")</f>
        <v>#VALUE!</v>
      </c>
      <c r="FF77" t="e">
        <f>AND('SPR BARRANQUILLA'!DD90,"AAAAAE+Jr6E=")</f>
        <v>#VALUE!</v>
      </c>
      <c r="FG77" t="e">
        <f>AND('SPR BARRANQUILLA'!DE90,"AAAAAE+Jr6I=")</f>
        <v>#VALUE!</v>
      </c>
      <c r="FH77" t="e">
        <f>AND('SPR BARRANQUILLA'!DF90,"AAAAAE+Jr6M=")</f>
        <v>#VALUE!</v>
      </c>
      <c r="FI77" t="e">
        <f>AND('SPR BARRANQUILLA'!DG90,"AAAAAE+Jr6Q=")</f>
        <v>#VALUE!</v>
      </c>
      <c r="FJ77" t="e">
        <f>AND('SPR BARRANQUILLA'!DH90,"AAAAAE+Jr6U=")</f>
        <v>#VALUE!</v>
      </c>
      <c r="FK77" t="e">
        <f>AND('SPR BARRANQUILLA'!DI90,"AAAAAE+Jr6Y=")</f>
        <v>#VALUE!</v>
      </c>
      <c r="FL77" t="e">
        <f>AND('SPR BARRANQUILLA'!DJ90,"AAAAAE+Jr6c=")</f>
        <v>#VALUE!</v>
      </c>
      <c r="FM77" t="e">
        <f>AND('SPR BARRANQUILLA'!DK90,"AAAAAE+Jr6g=")</f>
        <v>#VALUE!</v>
      </c>
      <c r="FN77" t="e">
        <f>AND('SPR BARRANQUILLA'!DL90,"AAAAAE+Jr6k=")</f>
        <v>#VALUE!</v>
      </c>
      <c r="FO77" t="e">
        <f>AND('SPR BARRANQUILLA'!DM90,"AAAAAE+Jr6o=")</f>
        <v>#VALUE!</v>
      </c>
      <c r="FP77" t="e">
        <f>AND('SPR BARRANQUILLA'!DN90,"AAAAAE+Jr6s=")</f>
        <v>#VALUE!</v>
      </c>
      <c r="FQ77" t="e">
        <f>AND('SPR BARRANQUILLA'!DO90,"AAAAAE+Jr6w=")</f>
        <v>#VALUE!</v>
      </c>
      <c r="FR77" t="e">
        <f>AND('SPR BARRANQUILLA'!DP90,"AAAAAE+Jr60=")</f>
        <v>#VALUE!</v>
      </c>
      <c r="FS77" t="e">
        <f>AND('SPR BARRANQUILLA'!DQ90,"AAAAAE+Jr64=")</f>
        <v>#VALUE!</v>
      </c>
      <c r="FT77" t="e">
        <f>AND('SPR BARRANQUILLA'!DR90,"AAAAAE+Jr68=")</f>
        <v>#VALUE!</v>
      </c>
      <c r="FU77" t="e">
        <f>AND('SPR BARRANQUILLA'!DS90,"AAAAAE+Jr7A=")</f>
        <v>#VALUE!</v>
      </c>
      <c r="FV77" t="e">
        <f>AND('SPR BARRANQUILLA'!DT90,"AAAAAE+Jr7E=")</f>
        <v>#VALUE!</v>
      </c>
      <c r="FW77" t="e">
        <f>AND('SPR BARRANQUILLA'!DU90,"AAAAAE+Jr7I=")</f>
        <v>#VALUE!</v>
      </c>
      <c r="FX77" t="e">
        <f>AND('SPR BARRANQUILLA'!DV90,"AAAAAE+Jr7M=")</f>
        <v>#VALUE!</v>
      </c>
      <c r="FY77" t="e">
        <f>AND('SPR BARRANQUILLA'!DW90,"AAAAAE+Jr7Q=")</f>
        <v>#VALUE!</v>
      </c>
      <c r="FZ77" t="e">
        <f>AND('SPR BARRANQUILLA'!DX90,"AAAAAE+Jr7U=")</f>
        <v>#VALUE!</v>
      </c>
      <c r="GA77" t="e">
        <f>AND('SPR BARRANQUILLA'!DY90,"AAAAAE+Jr7Y=")</f>
        <v>#VALUE!</v>
      </c>
      <c r="GB77" t="e">
        <f>AND('SPR BARRANQUILLA'!DZ90,"AAAAAE+Jr7c=")</f>
        <v>#VALUE!</v>
      </c>
      <c r="GC77" t="e">
        <f>AND('SPR BARRANQUILLA'!EA90,"AAAAAE+Jr7g=")</f>
        <v>#VALUE!</v>
      </c>
      <c r="GD77" t="e">
        <f>AND('SPR BARRANQUILLA'!EB90,"AAAAAE+Jr7k=")</f>
        <v>#VALUE!</v>
      </c>
      <c r="GE77" t="e">
        <f>AND('SPR BARRANQUILLA'!EC90,"AAAAAE+Jr7o=")</f>
        <v>#VALUE!</v>
      </c>
      <c r="GF77" t="e">
        <f>AND('SPR BARRANQUILLA'!ED90,"AAAAAE+Jr7s=")</f>
        <v>#VALUE!</v>
      </c>
      <c r="GG77" t="e">
        <f>AND('SPR BARRANQUILLA'!EE90,"AAAAAE+Jr7w=")</f>
        <v>#VALUE!</v>
      </c>
      <c r="GH77" t="e">
        <f>AND('SPR BARRANQUILLA'!EF90,"AAAAAE+Jr70=")</f>
        <v>#VALUE!</v>
      </c>
      <c r="GI77" t="e">
        <f>AND('SPR BARRANQUILLA'!EG90,"AAAAAE+Jr74=")</f>
        <v>#VALUE!</v>
      </c>
      <c r="GJ77" t="e">
        <f>AND('SPR BARRANQUILLA'!EH90,"AAAAAE+Jr78=")</f>
        <v>#VALUE!</v>
      </c>
      <c r="GK77" t="e">
        <f>AND('SPR BARRANQUILLA'!EI90,"AAAAAE+Jr8A=")</f>
        <v>#VALUE!</v>
      </c>
      <c r="GL77" t="e">
        <f>AND('SPR BARRANQUILLA'!EJ90,"AAAAAE+Jr8E=")</f>
        <v>#VALUE!</v>
      </c>
      <c r="GM77" t="e">
        <f>AND('SPR BARRANQUILLA'!EK90,"AAAAAE+Jr8I=")</f>
        <v>#VALUE!</v>
      </c>
      <c r="GN77" t="e">
        <f>AND('SPR BARRANQUILLA'!EL90,"AAAAAE+Jr8M=")</f>
        <v>#VALUE!</v>
      </c>
      <c r="GO77" t="e">
        <f>AND('SPR BARRANQUILLA'!EM90,"AAAAAE+Jr8Q=")</f>
        <v>#VALUE!</v>
      </c>
      <c r="GP77" t="e">
        <f>AND('SPR BARRANQUILLA'!EN90,"AAAAAE+Jr8U=")</f>
        <v>#VALUE!</v>
      </c>
      <c r="GQ77" t="e">
        <f>AND('SPR BARRANQUILLA'!EO90,"AAAAAE+Jr8Y=")</f>
        <v>#VALUE!</v>
      </c>
      <c r="GR77" t="e">
        <f>AND('SPR BARRANQUILLA'!EP90,"AAAAAE+Jr8c=")</f>
        <v>#VALUE!</v>
      </c>
      <c r="GS77" t="e">
        <f>AND('SPR BARRANQUILLA'!EQ90,"AAAAAE+Jr8g=")</f>
        <v>#VALUE!</v>
      </c>
      <c r="GT77" t="e">
        <f>AND('SPR BARRANQUILLA'!ER90,"AAAAAE+Jr8k=")</f>
        <v>#VALUE!</v>
      </c>
      <c r="GU77" t="e">
        <f>AND('SPR BARRANQUILLA'!ES90,"AAAAAE+Jr8o=")</f>
        <v>#VALUE!</v>
      </c>
      <c r="GV77" t="e">
        <f>AND('SPR BARRANQUILLA'!ET90,"AAAAAE+Jr8s=")</f>
        <v>#VALUE!</v>
      </c>
      <c r="GW77" t="e">
        <f>AND('SPR BARRANQUILLA'!EU90,"AAAAAE+Jr8w=")</f>
        <v>#VALUE!</v>
      </c>
      <c r="GX77" t="e">
        <f>AND('SPR BARRANQUILLA'!EV90,"AAAAAE+Jr80=")</f>
        <v>#VALUE!</v>
      </c>
      <c r="GY77" t="e">
        <f>AND('SPR BARRANQUILLA'!EW90,"AAAAAE+Jr84=")</f>
        <v>#VALUE!</v>
      </c>
      <c r="GZ77" t="e">
        <f>AND('SPR BARRANQUILLA'!EX90,"AAAAAE+Jr88=")</f>
        <v>#VALUE!</v>
      </c>
      <c r="HA77" t="e">
        <f>AND('SPR BARRANQUILLA'!EY90,"AAAAAE+Jr9A=")</f>
        <v>#VALUE!</v>
      </c>
      <c r="HB77" t="e">
        <f>AND('SPR BARRANQUILLA'!EZ90,"AAAAAE+Jr9E=")</f>
        <v>#VALUE!</v>
      </c>
      <c r="HC77" t="e">
        <f>AND('SPR BARRANQUILLA'!FA90,"AAAAAE+Jr9I=")</f>
        <v>#VALUE!</v>
      </c>
      <c r="HD77" t="e">
        <f>AND('SPR BARRANQUILLA'!FB90,"AAAAAE+Jr9M=")</f>
        <v>#VALUE!</v>
      </c>
      <c r="HE77" t="e">
        <f>AND('SPR BARRANQUILLA'!FC90,"AAAAAE+Jr9Q=")</f>
        <v>#VALUE!</v>
      </c>
      <c r="HF77" t="e">
        <f>AND('SPR BARRANQUILLA'!FD90,"AAAAAE+Jr9U=")</f>
        <v>#VALUE!</v>
      </c>
      <c r="HG77" t="e">
        <f>AND('SPR BARRANQUILLA'!FE90,"AAAAAE+Jr9Y=")</f>
        <v>#VALUE!</v>
      </c>
      <c r="HH77" t="e">
        <f>AND('SPR BARRANQUILLA'!FF90,"AAAAAE+Jr9c=")</f>
        <v>#VALUE!</v>
      </c>
      <c r="HI77" t="e">
        <f>AND('SPR BARRANQUILLA'!FG90,"AAAAAE+Jr9g=")</f>
        <v>#VALUE!</v>
      </c>
      <c r="HJ77" t="e">
        <f>AND('SPR BARRANQUILLA'!FH90,"AAAAAE+Jr9k=")</f>
        <v>#VALUE!</v>
      </c>
      <c r="HK77" t="e">
        <f>AND('SPR BARRANQUILLA'!FI90,"AAAAAE+Jr9o=")</f>
        <v>#VALUE!</v>
      </c>
      <c r="HL77" t="e">
        <f>AND('SPR BARRANQUILLA'!FJ90,"AAAAAE+Jr9s=")</f>
        <v>#VALUE!</v>
      </c>
      <c r="HM77" t="e">
        <f>AND('SPR BARRANQUILLA'!FK90,"AAAAAE+Jr9w=")</f>
        <v>#VALUE!</v>
      </c>
      <c r="HN77" t="e">
        <f>AND('SPR BARRANQUILLA'!FL90,"AAAAAE+Jr90=")</f>
        <v>#VALUE!</v>
      </c>
      <c r="HO77" t="e">
        <f>AND('SPR BARRANQUILLA'!FM90,"AAAAAE+Jr94=")</f>
        <v>#VALUE!</v>
      </c>
      <c r="HP77" t="e">
        <f>AND('SPR BARRANQUILLA'!FN90,"AAAAAE+Jr98=")</f>
        <v>#VALUE!</v>
      </c>
      <c r="HQ77" t="e">
        <f>AND('SPR BARRANQUILLA'!FO90,"AAAAAE+Jr+A=")</f>
        <v>#VALUE!</v>
      </c>
      <c r="HR77" t="e">
        <f>AND('SPR BARRANQUILLA'!FP90,"AAAAAE+Jr+E=")</f>
        <v>#VALUE!</v>
      </c>
      <c r="HS77" t="e">
        <f>AND('SPR BARRANQUILLA'!FQ90,"AAAAAE+Jr+I=")</f>
        <v>#VALUE!</v>
      </c>
      <c r="HT77" t="e">
        <f>AND('SPR BARRANQUILLA'!FR90,"AAAAAE+Jr+M=")</f>
        <v>#VALUE!</v>
      </c>
      <c r="HU77" t="e">
        <f>AND('SPR BARRANQUILLA'!FS90,"AAAAAE+Jr+Q=")</f>
        <v>#VALUE!</v>
      </c>
      <c r="HV77" t="e">
        <f>AND('SPR BARRANQUILLA'!FT90,"AAAAAE+Jr+U=")</f>
        <v>#VALUE!</v>
      </c>
      <c r="HW77" t="e">
        <f>AND('SPR BARRANQUILLA'!FU90,"AAAAAE+Jr+Y=")</f>
        <v>#VALUE!</v>
      </c>
      <c r="HX77" t="e">
        <f>AND('SPR BARRANQUILLA'!FV90,"AAAAAE+Jr+c=")</f>
        <v>#VALUE!</v>
      </c>
      <c r="HY77" t="e">
        <f>AND('SPR BARRANQUILLA'!FW90,"AAAAAE+Jr+g=")</f>
        <v>#VALUE!</v>
      </c>
      <c r="HZ77" t="e">
        <f>AND('SPR BARRANQUILLA'!FX90,"AAAAAE+Jr+k=")</f>
        <v>#VALUE!</v>
      </c>
      <c r="IA77" t="e">
        <f>AND('SPR BARRANQUILLA'!FY90,"AAAAAE+Jr+o=")</f>
        <v>#VALUE!</v>
      </c>
      <c r="IB77" t="e">
        <f>AND('SPR BARRANQUILLA'!FZ90,"AAAAAE+Jr+s=")</f>
        <v>#VALUE!</v>
      </c>
      <c r="IC77" t="e">
        <f>AND('SPR BARRANQUILLA'!GA90,"AAAAAE+Jr+w=")</f>
        <v>#VALUE!</v>
      </c>
      <c r="ID77" t="e">
        <f>AND('SPR BARRANQUILLA'!GB90,"AAAAAE+Jr+0=")</f>
        <v>#VALUE!</v>
      </c>
      <c r="IE77" t="e">
        <f>AND('SPR BARRANQUILLA'!GC90,"AAAAAE+Jr+4=")</f>
        <v>#VALUE!</v>
      </c>
      <c r="IF77" t="e">
        <f>AND('SPR BARRANQUILLA'!GD90,"AAAAAE+Jr+8=")</f>
        <v>#VALUE!</v>
      </c>
      <c r="IG77" t="e">
        <f>AND('SPR BARRANQUILLA'!GE90,"AAAAAE+Jr/A=")</f>
        <v>#VALUE!</v>
      </c>
      <c r="IH77" t="e">
        <f>AND('SPR BARRANQUILLA'!GF90,"AAAAAE+Jr/E=")</f>
        <v>#VALUE!</v>
      </c>
      <c r="II77" t="e">
        <f>AND('SPR BARRANQUILLA'!GG90,"AAAAAE+Jr/I=")</f>
        <v>#VALUE!</v>
      </c>
      <c r="IJ77" t="e">
        <f>AND('SPR BARRANQUILLA'!GH90,"AAAAAE+Jr/M=")</f>
        <v>#VALUE!</v>
      </c>
      <c r="IK77" t="e">
        <f>AND('SPR BARRANQUILLA'!GI90,"AAAAAE+Jr/Q=")</f>
        <v>#VALUE!</v>
      </c>
      <c r="IL77" t="e">
        <f>AND('SPR BARRANQUILLA'!GJ90,"AAAAAE+Jr/U=")</f>
        <v>#VALUE!</v>
      </c>
      <c r="IM77" t="e">
        <f>AND('SPR BARRANQUILLA'!GK90,"AAAAAE+Jr/Y=")</f>
        <v>#VALUE!</v>
      </c>
      <c r="IN77" t="e">
        <f>AND('SPR BARRANQUILLA'!GL90,"AAAAAE+Jr/c=")</f>
        <v>#VALUE!</v>
      </c>
      <c r="IO77" t="e">
        <f>AND('SPR BARRANQUILLA'!GM90,"AAAAAE+Jr/g=")</f>
        <v>#VALUE!</v>
      </c>
      <c r="IP77" t="e">
        <f>AND('SPR BARRANQUILLA'!GN90,"AAAAAE+Jr/k=")</f>
        <v>#VALUE!</v>
      </c>
      <c r="IQ77" t="e">
        <f>AND('SPR BARRANQUILLA'!GO90,"AAAAAE+Jr/o=")</f>
        <v>#VALUE!</v>
      </c>
      <c r="IR77" t="e">
        <f>AND('SPR BARRANQUILLA'!GP90,"AAAAAE+Jr/s=")</f>
        <v>#VALUE!</v>
      </c>
      <c r="IS77" t="e">
        <f>AND('SPR BARRANQUILLA'!GQ90,"AAAAAE+Jr/w=")</f>
        <v>#VALUE!</v>
      </c>
      <c r="IT77" t="e">
        <f>AND('SPR BARRANQUILLA'!GR90,"AAAAAE+Jr/0=")</f>
        <v>#VALUE!</v>
      </c>
      <c r="IU77" t="e">
        <f>AND('SPR BARRANQUILLA'!GS90,"AAAAAE+Jr/4=")</f>
        <v>#VALUE!</v>
      </c>
      <c r="IV77" t="e">
        <f>AND('SPR BARRANQUILLA'!GT90,"AAAAAE+Jr/8=")</f>
        <v>#VALUE!</v>
      </c>
    </row>
    <row r="78" spans="1:256">
      <c r="A78" t="e">
        <f>AND('SPR BARRANQUILLA'!GU90,"AAAAADvf8wA=")</f>
        <v>#VALUE!</v>
      </c>
      <c r="B78" t="e">
        <f>AND('SPR BARRANQUILLA'!GV90,"AAAAADvf8wE=")</f>
        <v>#VALUE!</v>
      </c>
      <c r="C78" t="e">
        <f>AND('SPR BARRANQUILLA'!GW90,"AAAAADvf8wI=")</f>
        <v>#VALUE!</v>
      </c>
      <c r="D78" t="e">
        <f>AND('SPR BARRANQUILLA'!GX90,"AAAAADvf8wM=")</f>
        <v>#VALUE!</v>
      </c>
      <c r="E78" t="e">
        <f>AND('SPR BARRANQUILLA'!GY90,"AAAAADvf8wQ=")</f>
        <v>#VALUE!</v>
      </c>
      <c r="F78">
        <f>IF('SPR BARRANQUILLA'!91:91,"AAAAADvf8wU=",0)</f>
        <v>0</v>
      </c>
      <c r="G78" t="e">
        <f>AND('SPR BARRANQUILLA'!A91,"AAAAADvf8wY=")</f>
        <v>#VALUE!</v>
      </c>
      <c r="H78" t="e">
        <f>AND('SPR BARRANQUILLA'!B91,"AAAAADvf8wc=")</f>
        <v>#VALUE!</v>
      </c>
      <c r="I78" t="e">
        <f>AND('SPR BARRANQUILLA'!C91,"AAAAADvf8wg=")</f>
        <v>#VALUE!</v>
      </c>
      <c r="J78" t="e">
        <f>AND('SPR BARRANQUILLA'!D91,"AAAAADvf8wk=")</f>
        <v>#VALUE!</v>
      </c>
      <c r="K78" t="e">
        <f>AND('SPR BARRANQUILLA'!E91,"AAAAADvf8wo=")</f>
        <v>#VALUE!</v>
      </c>
      <c r="L78" t="e">
        <f>AND('SPR BARRANQUILLA'!F91,"AAAAADvf8ws=")</f>
        <v>#VALUE!</v>
      </c>
      <c r="M78" t="e">
        <f>AND('SPR BARRANQUILLA'!G91,"AAAAADvf8ww=")</f>
        <v>#VALUE!</v>
      </c>
      <c r="N78" t="e">
        <f>AND('SPR BARRANQUILLA'!H91,"AAAAADvf8w0=")</f>
        <v>#VALUE!</v>
      </c>
      <c r="O78" t="e">
        <f>AND('SPR BARRANQUILLA'!I91,"AAAAADvf8w4=")</f>
        <v>#VALUE!</v>
      </c>
      <c r="P78" t="e">
        <f>AND('SPR BARRANQUILLA'!J91,"AAAAADvf8w8=")</f>
        <v>#VALUE!</v>
      </c>
      <c r="Q78" t="e">
        <f>AND('SPR BARRANQUILLA'!K91,"AAAAADvf8xA=")</f>
        <v>#VALUE!</v>
      </c>
      <c r="R78" t="e">
        <f>AND('SPR BARRANQUILLA'!L91,"AAAAADvf8xE=")</f>
        <v>#VALUE!</v>
      </c>
      <c r="S78" t="e">
        <f>AND('SPR BARRANQUILLA'!M91,"AAAAADvf8xI=")</f>
        <v>#VALUE!</v>
      </c>
      <c r="T78" t="e">
        <f>AND('SPR BARRANQUILLA'!N91,"AAAAADvf8xM=")</f>
        <v>#VALUE!</v>
      </c>
      <c r="U78" t="e">
        <f>AND('SPR BARRANQUILLA'!O91,"AAAAADvf8xQ=")</f>
        <v>#VALUE!</v>
      </c>
      <c r="V78" t="e">
        <f>AND('SPR BARRANQUILLA'!P91,"AAAAADvf8xU=")</f>
        <v>#VALUE!</v>
      </c>
      <c r="W78" t="e">
        <f>AND('SPR BARRANQUILLA'!Q91,"AAAAADvf8xY=")</f>
        <v>#VALUE!</v>
      </c>
      <c r="X78" t="e">
        <f>AND('SPR BARRANQUILLA'!R91,"AAAAADvf8xc=")</f>
        <v>#VALUE!</v>
      </c>
      <c r="Y78" t="e">
        <f>AND('SPR BARRANQUILLA'!S91,"AAAAADvf8xg=")</f>
        <v>#VALUE!</v>
      </c>
      <c r="Z78" t="e">
        <f>AND('SPR BARRANQUILLA'!T91,"AAAAADvf8xk=")</f>
        <v>#VALUE!</v>
      </c>
      <c r="AA78" t="e">
        <f>AND('SPR BARRANQUILLA'!U91,"AAAAADvf8xo=")</f>
        <v>#VALUE!</v>
      </c>
      <c r="AB78" t="e">
        <f>AND('SPR BARRANQUILLA'!V91,"AAAAADvf8xs=")</f>
        <v>#VALUE!</v>
      </c>
      <c r="AC78" t="e">
        <f>AND('SPR BARRANQUILLA'!W91,"AAAAADvf8xw=")</f>
        <v>#VALUE!</v>
      </c>
      <c r="AD78" t="e">
        <f>AND('SPR BARRANQUILLA'!X91,"AAAAADvf8x0=")</f>
        <v>#VALUE!</v>
      </c>
      <c r="AE78" t="e">
        <f>AND('SPR BARRANQUILLA'!Y91,"AAAAADvf8x4=")</f>
        <v>#VALUE!</v>
      </c>
      <c r="AF78" t="e">
        <f>AND('SPR BARRANQUILLA'!Z91,"AAAAADvf8x8=")</f>
        <v>#VALUE!</v>
      </c>
      <c r="AG78" t="e">
        <f>AND('SPR BARRANQUILLA'!AA91,"AAAAADvf8yA=")</f>
        <v>#VALUE!</v>
      </c>
      <c r="AH78" t="e">
        <f>AND('SPR BARRANQUILLA'!AB91,"AAAAADvf8yE=")</f>
        <v>#VALUE!</v>
      </c>
      <c r="AI78" t="e">
        <f>AND('SPR BARRANQUILLA'!AC91,"AAAAADvf8yI=")</f>
        <v>#VALUE!</v>
      </c>
      <c r="AJ78" t="e">
        <f>AND('SPR BARRANQUILLA'!AD91,"AAAAADvf8yM=")</f>
        <v>#VALUE!</v>
      </c>
      <c r="AK78" t="e">
        <f>AND('SPR BARRANQUILLA'!AE91,"AAAAADvf8yQ=")</f>
        <v>#VALUE!</v>
      </c>
      <c r="AL78" t="e">
        <f>AND('SPR BARRANQUILLA'!AF91,"AAAAADvf8yU=")</f>
        <v>#VALUE!</v>
      </c>
      <c r="AM78" t="e">
        <f>AND('SPR BARRANQUILLA'!AG91,"AAAAADvf8yY=")</f>
        <v>#VALUE!</v>
      </c>
      <c r="AN78" t="e">
        <f>AND('SPR BARRANQUILLA'!AH91,"AAAAADvf8yc=")</f>
        <v>#VALUE!</v>
      </c>
      <c r="AO78" t="e">
        <f>AND('SPR BARRANQUILLA'!AI91,"AAAAADvf8yg=")</f>
        <v>#VALUE!</v>
      </c>
      <c r="AP78" t="e">
        <f>AND('SPR BARRANQUILLA'!AJ91,"AAAAADvf8yk=")</f>
        <v>#VALUE!</v>
      </c>
      <c r="AQ78" t="e">
        <f>AND('SPR BARRANQUILLA'!AK91,"AAAAADvf8yo=")</f>
        <v>#VALUE!</v>
      </c>
      <c r="AR78" t="e">
        <f>AND('SPR BARRANQUILLA'!AL91,"AAAAADvf8ys=")</f>
        <v>#VALUE!</v>
      </c>
      <c r="AS78" t="e">
        <f>AND('SPR BARRANQUILLA'!AM91,"AAAAADvf8yw=")</f>
        <v>#VALUE!</v>
      </c>
      <c r="AT78" t="e">
        <f>AND('SPR BARRANQUILLA'!AN91,"AAAAADvf8y0=")</f>
        <v>#VALUE!</v>
      </c>
      <c r="AU78" t="e">
        <f>AND('SPR BARRANQUILLA'!AO91,"AAAAADvf8y4=")</f>
        <v>#VALUE!</v>
      </c>
      <c r="AV78" t="e">
        <f>AND('SPR BARRANQUILLA'!AP91,"AAAAADvf8y8=")</f>
        <v>#VALUE!</v>
      </c>
      <c r="AW78" t="e">
        <f>AND('SPR BARRANQUILLA'!AQ91,"AAAAADvf8zA=")</f>
        <v>#VALUE!</v>
      </c>
      <c r="AX78" t="e">
        <f>AND('SPR BARRANQUILLA'!AR91,"AAAAADvf8zE=")</f>
        <v>#VALUE!</v>
      </c>
      <c r="AY78" t="e">
        <f>AND('SPR BARRANQUILLA'!AS91,"AAAAADvf8zI=")</f>
        <v>#VALUE!</v>
      </c>
      <c r="AZ78" t="e">
        <f>AND('SPR BARRANQUILLA'!AT91,"AAAAADvf8zM=")</f>
        <v>#VALUE!</v>
      </c>
      <c r="BA78" t="e">
        <f>AND('SPR BARRANQUILLA'!AU91,"AAAAADvf8zQ=")</f>
        <v>#VALUE!</v>
      </c>
      <c r="BB78" t="e">
        <f>AND('SPR BARRANQUILLA'!AV91,"AAAAADvf8zU=")</f>
        <v>#VALUE!</v>
      </c>
      <c r="BC78" t="e">
        <f>AND('SPR BARRANQUILLA'!AW91,"AAAAADvf8zY=")</f>
        <v>#VALUE!</v>
      </c>
      <c r="BD78" t="e">
        <f>AND('SPR BARRANQUILLA'!AX91,"AAAAADvf8zc=")</f>
        <v>#VALUE!</v>
      </c>
      <c r="BE78" t="e">
        <f>AND('SPR BARRANQUILLA'!AY91,"AAAAADvf8zg=")</f>
        <v>#VALUE!</v>
      </c>
      <c r="BF78" t="e">
        <f>AND('SPR BARRANQUILLA'!AZ91,"AAAAADvf8zk=")</f>
        <v>#VALUE!</v>
      </c>
      <c r="BG78" t="e">
        <f>AND('SPR BARRANQUILLA'!BA91,"AAAAADvf8zo=")</f>
        <v>#VALUE!</v>
      </c>
      <c r="BH78" t="e">
        <f>AND('SPR BARRANQUILLA'!BB91,"AAAAADvf8zs=")</f>
        <v>#VALUE!</v>
      </c>
      <c r="BI78" t="e">
        <f>AND('SPR BARRANQUILLA'!BC91,"AAAAADvf8zw=")</f>
        <v>#VALUE!</v>
      </c>
      <c r="BJ78" t="e">
        <f>AND('SPR BARRANQUILLA'!BD91,"AAAAADvf8z0=")</f>
        <v>#VALUE!</v>
      </c>
      <c r="BK78" t="e">
        <f>AND('SPR BARRANQUILLA'!BE91,"AAAAADvf8z4=")</f>
        <v>#VALUE!</v>
      </c>
      <c r="BL78" t="e">
        <f>AND('SPR BARRANQUILLA'!BF91,"AAAAADvf8z8=")</f>
        <v>#VALUE!</v>
      </c>
      <c r="BM78" t="e">
        <f>AND('SPR BARRANQUILLA'!BG91,"AAAAADvf80A=")</f>
        <v>#VALUE!</v>
      </c>
      <c r="BN78" t="e">
        <f>AND('SPR BARRANQUILLA'!BH91,"AAAAADvf80E=")</f>
        <v>#VALUE!</v>
      </c>
      <c r="BO78" t="e">
        <f>AND('SPR BARRANQUILLA'!BI91,"AAAAADvf80I=")</f>
        <v>#VALUE!</v>
      </c>
      <c r="BP78" t="e">
        <f>AND('SPR BARRANQUILLA'!BJ91,"AAAAADvf80M=")</f>
        <v>#VALUE!</v>
      </c>
      <c r="BQ78" t="e">
        <f>AND('SPR BARRANQUILLA'!BK91,"AAAAADvf80Q=")</f>
        <v>#VALUE!</v>
      </c>
      <c r="BR78" t="e">
        <f>AND('SPR BARRANQUILLA'!BL91,"AAAAADvf80U=")</f>
        <v>#VALUE!</v>
      </c>
      <c r="BS78" t="e">
        <f>AND('SPR BARRANQUILLA'!BM91,"AAAAADvf80Y=")</f>
        <v>#VALUE!</v>
      </c>
      <c r="BT78" t="e">
        <f>AND('SPR BARRANQUILLA'!BN91,"AAAAADvf80c=")</f>
        <v>#VALUE!</v>
      </c>
      <c r="BU78" t="e">
        <f>AND('SPR BARRANQUILLA'!BO91,"AAAAADvf80g=")</f>
        <v>#VALUE!</v>
      </c>
      <c r="BV78" t="e">
        <f>AND('SPR BARRANQUILLA'!BP91,"AAAAADvf80k=")</f>
        <v>#VALUE!</v>
      </c>
      <c r="BW78" t="e">
        <f>AND('SPR BARRANQUILLA'!BQ91,"AAAAADvf80o=")</f>
        <v>#VALUE!</v>
      </c>
      <c r="BX78" t="e">
        <f>AND('SPR BARRANQUILLA'!BR91,"AAAAADvf80s=")</f>
        <v>#VALUE!</v>
      </c>
      <c r="BY78" t="e">
        <f>AND('SPR BARRANQUILLA'!BS91,"AAAAADvf80w=")</f>
        <v>#VALUE!</v>
      </c>
      <c r="BZ78" t="e">
        <f>AND('SPR BARRANQUILLA'!BT91,"AAAAADvf800=")</f>
        <v>#VALUE!</v>
      </c>
      <c r="CA78" t="e">
        <f>AND('SPR BARRANQUILLA'!BU91,"AAAAADvf804=")</f>
        <v>#VALUE!</v>
      </c>
      <c r="CB78" t="e">
        <f>AND('SPR BARRANQUILLA'!BV91,"AAAAADvf808=")</f>
        <v>#VALUE!</v>
      </c>
      <c r="CC78" t="e">
        <f>AND('SPR BARRANQUILLA'!BW91,"AAAAADvf81A=")</f>
        <v>#VALUE!</v>
      </c>
      <c r="CD78" t="e">
        <f>AND('SPR BARRANQUILLA'!BX91,"AAAAADvf81E=")</f>
        <v>#VALUE!</v>
      </c>
      <c r="CE78" t="e">
        <f>AND('SPR BARRANQUILLA'!BY91,"AAAAADvf81I=")</f>
        <v>#VALUE!</v>
      </c>
      <c r="CF78" t="e">
        <f>AND('SPR BARRANQUILLA'!BZ91,"AAAAADvf81M=")</f>
        <v>#VALUE!</v>
      </c>
      <c r="CG78" t="e">
        <f>AND('SPR BARRANQUILLA'!CA91,"AAAAADvf81Q=")</f>
        <v>#VALUE!</v>
      </c>
      <c r="CH78" t="e">
        <f>AND('SPR BARRANQUILLA'!CB91,"AAAAADvf81U=")</f>
        <v>#VALUE!</v>
      </c>
      <c r="CI78" t="e">
        <f>AND('SPR BARRANQUILLA'!CC91,"AAAAADvf81Y=")</f>
        <v>#VALUE!</v>
      </c>
      <c r="CJ78" t="e">
        <f>AND('SPR BARRANQUILLA'!CD91,"AAAAADvf81c=")</f>
        <v>#VALUE!</v>
      </c>
      <c r="CK78" t="e">
        <f>AND('SPR BARRANQUILLA'!CE91,"AAAAADvf81g=")</f>
        <v>#VALUE!</v>
      </c>
      <c r="CL78" t="e">
        <f>AND('SPR BARRANQUILLA'!CF91,"AAAAADvf81k=")</f>
        <v>#VALUE!</v>
      </c>
      <c r="CM78" t="e">
        <f>AND('SPR BARRANQUILLA'!CG91,"AAAAADvf81o=")</f>
        <v>#VALUE!</v>
      </c>
      <c r="CN78" t="e">
        <f>AND('SPR BARRANQUILLA'!CH91,"AAAAADvf81s=")</f>
        <v>#VALUE!</v>
      </c>
      <c r="CO78" t="e">
        <f>AND('SPR BARRANQUILLA'!CI91,"AAAAADvf81w=")</f>
        <v>#VALUE!</v>
      </c>
      <c r="CP78" t="e">
        <f>AND('SPR BARRANQUILLA'!CJ91,"AAAAADvf810=")</f>
        <v>#VALUE!</v>
      </c>
      <c r="CQ78" t="e">
        <f>AND('SPR BARRANQUILLA'!CK91,"AAAAADvf814=")</f>
        <v>#VALUE!</v>
      </c>
      <c r="CR78" t="e">
        <f>AND('SPR BARRANQUILLA'!CL91,"AAAAADvf818=")</f>
        <v>#VALUE!</v>
      </c>
      <c r="CS78" t="e">
        <f>AND('SPR BARRANQUILLA'!CM91,"AAAAADvf82A=")</f>
        <v>#VALUE!</v>
      </c>
      <c r="CT78" t="e">
        <f>AND('SPR BARRANQUILLA'!CN91,"AAAAADvf82E=")</f>
        <v>#VALUE!</v>
      </c>
      <c r="CU78" t="e">
        <f>AND('SPR BARRANQUILLA'!CO91,"AAAAADvf82I=")</f>
        <v>#VALUE!</v>
      </c>
      <c r="CV78" t="e">
        <f>AND('SPR BARRANQUILLA'!CP91,"AAAAADvf82M=")</f>
        <v>#VALUE!</v>
      </c>
      <c r="CW78" t="e">
        <f>AND('SPR BARRANQUILLA'!CQ91,"AAAAADvf82Q=")</f>
        <v>#VALUE!</v>
      </c>
      <c r="CX78" t="e">
        <f>AND('SPR BARRANQUILLA'!CR91,"AAAAADvf82U=")</f>
        <v>#VALUE!</v>
      </c>
      <c r="CY78" t="e">
        <f>AND('SPR BARRANQUILLA'!CS91,"AAAAADvf82Y=")</f>
        <v>#VALUE!</v>
      </c>
      <c r="CZ78" t="e">
        <f>AND('SPR BARRANQUILLA'!CT91,"AAAAADvf82c=")</f>
        <v>#VALUE!</v>
      </c>
      <c r="DA78" t="e">
        <f>AND('SPR BARRANQUILLA'!CU91,"AAAAADvf82g=")</f>
        <v>#VALUE!</v>
      </c>
      <c r="DB78" t="e">
        <f>AND('SPR BARRANQUILLA'!CV91,"AAAAADvf82k=")</f>
        <v>#VALUE!</v>
      </c>
      <c r="DC78" t="e">
        <f>AND('SPR BARRANQUILLA'!CW91,"AAAAADvf82o=")</f>
        <v>#VALUE!</v>
      </c>
      <c r="DD78" t="e">
        <f>AND('SPR BARRANQUILLA'!CX91,"AAAAADvf82s=")</f>
        <v>#VALUE!</v>
      </c>
      <c r="DE78" t="e">
        <f>AND('SPR BARRANQUILLA'!CY91,"AAAAADvf82w=")</f>
        <v>#VALUE!</v>
      </c>
      <c r="DF78" t="e">
        <f>AND('SPR BARRANQUILLA'!CZ91,"AAAAADvf820=")</f>
        <v>#VALUE!</v>
      </c>
      <c r="DG78" t="e">
        <f>AND('SPR BARRANQUILLA'!DA91,"AAAAADvf824=")</f>
        <v>#VALUE!</v>
      </c>
      <c r="DH78" t="e">
        <f>AND('SPR BARRANQUILLA'!DB91,"AAAAADvf828=")</f>
        <v>#VALUE!</v>
      </c>
      <c r="DI78" t="e">
        <f>AND('SPR BARRANQUILLA'!DC91,"AAAAADvf83A=")</f>
        <v>#VALUE!</v>
      </c>
      <c r="DJ78" t="e">
        <f>AND('SPR BARRANQUILLA'!DD91,"AAAAADvf83E=")</f>
        <v>#VALUE!</v>
      </c>
      <c r="DK78" t="e">
        <f>AND('SPR BARRANQUILLA'!DE91,"AAAAADvf83I=")</f>
        <v>#VALUE!</v>
      </c>
      <c r="DL78" t="e">
        <f>AND('SPR BARRANQUILLA'!DF91,"AAAAADvf83M=")</f>
        <v>#VALUE!</v>
      </c>
      <c r="DM78" t="e">
        <f>AND('SPR BARRANQUILLA'!DG91,"AAAAADvf83Q=")</f>
        <v>#VALUE!</v>
      </c>
      <c r="DN78" t="e">
        <f>AND('SPR BARRANQUILLA'!DH91,"AAAAADvf83U=")</f>
        <v>#VALUE!</v>
      </c>
      <c r="DO78" t="e">
        <f>AND('SPR BARRANQUILLA'!DI91,"AAAAADvf83Y=")</f>
        <v>#VALUE!</v>
      </c>
      <c r="DP78" t="e">
        <f>AND('SPR BARRANQUILLA'!DJ91,"AAAAADvf83c=")</f>
        <v>#VALUE!</v>
      </c>
      <c r="DQ78" t="e">
        <f>AND('SPR BARRANQUILLA'!DK91,"AAAAADvf83g=")</f>
        <v>#VALUE!</v>
      </c>
      <c r="DR78" t="e">
        <f>AND('SPR BARRANQUILLA'!DL91,"AAAAADvf83k=")</f>
        <v>#VALUE!</v>
      </c>
      <c r="DS78" t="e">
        <f>AND('SPR BARRANQUILLA'!DM91,"AAAAADvf83o=")</f>
        <v>#VALUE!</v>
      </c>
      <c r="DT78" t="e">
        <f>AND('SPR BARRANQUILLA'!DN91,"AAAAADvf83s=")</f>
        <v>#VALUE!</v>
      </c>
      <c r="DU78" t="e">
        <f>AND('SPR BARRANQUILLA'!DO91,"AAAAADvf83w=")</f>
        <v>#VALUE!</v>
      </c>
      <c r="DV78" t="e">
        <f>AND('SPR BARRANQUILLA'!DP91,"AAAAADvf830=")</f>
        <v>#VALUE!</v>
      </c>
      <c r="DW78" t="e">
        <f>AND('SPR BARRANQUILLA'!DQ91,"AAAAADvf834=")</f>
        <v>#VALUE!</v>
      </c>
      <c r="DX78" t="e">
        <f>AND('SPR BARRANQUILLA'!DR91,"AAAAADvf838=")</f>
        <v>#VALUE!</v>
      </c>
      <c r="DY78" t="e">
        <f>AND('SPR BARRANQUILLA'!DS91,"AAAAADvf84A=")</f>
        <v>#VALUE!</v>
      </c>
      <c r="DZ78" t="e">
        <f>AND('SPR BARRANQUILLA'!DT91,"AAAAADvf84E=")</f>
        <v>#VALUE!</v>
      </c>
      <c r="EA78" t="e">
        <f>AND('SPR BARRANQUILLA'!DU91,"AAAAADvf84I=")</f>
        <v>#VALUE!</v>
      </c>
      <c r="EB78" t="e">
        <f>AND('SPR BARRANQUILLA'!DV91,"AAAAADvf84M=")</f>
        <v>#VALUE!</v>
      </c>
      <c r="EC78" t="e">
        <f>AND('SPR BARRANQUILLA'!DW91,"AAAAADvf84Q=")</f>
        <v>#VALUE!</v>
      </c>
      <c r="ED78" t="e">
        <f>AND('SPR BARRANQUILLA'!DX91,"AAAAADvf84U=")</f>
        <v>#VALUE!</v>
      </c>
      <c r="EE78" t="e">
        <f>AND('SPR BARRANQUILLA'!DY91,"AAAAADvf84Y=")</f>
        <v>#VALUE!</v>
      </c>
      <c r="EF78" t="e">
        <f>AND('SPR BARRANQUILLA'!DZ91,"AAAAADvf84c=")</f>
        <v>#VALUE!</v>
      </c>
      <c r="EG78" t="e">
        <f>AND('SPR BARRANQUILLA'!EA91,"AAAAADvf84g=")</f>
        <v>#VALUE!</v>
      </c>
      <c r="EH78" t="e">
        <f>AND('SPR BARRANQUILLA'!EB91,"AAAAADvf84k=")</f>
        <v>#VALUE!</v>
      </c>
      <c r="EI78" t="e">
        <f>AND('SPR BARRANQUILLA'!EC91,"AAAAADvf84o=")</f>
        <v>#VALUE!</v>
      </c>
      <c r="EJ78" t="e">
        <f>AND('SPR BARRANQUILLA'!ED91,"AAAAADvf84s=")</f>
        <v>#VALUE!</v>
      </c>
      <c r="EK78" t="e">
        <f>AND('SPR BARRANQUILLA'!EE91,"AAAAADvf84w=")</f>
        <v>#VALUE!</v>
      </c>
      <c r="EL78" t="e">
        <f>AND('SPR BARRANQUILLA'!EF91,"AAAAADvf840=")</f>
        <v>#VALUE!</v>
      </c>
      <c r="EM78" t="e">
        <f>AND('SPR BARRANQUILLA'!EG91,"AAAAADvf844=")</f>
        <v>#VALUE!</v>
      </c>
      <c r="EN78" t="e">
        <f>AND('SPR BARRANQUILLA'!EH91,"AAAAADvf848=")</f>
        <v>#VALUE!</v>
      </c>
      <c r="EO78" t="e">
        <f>AND('SPR BARRANQUILLA'!EI91,"AAAAADvf85A=")</f>
        <v>#VALUE!</v>
      </c>
      <c r="EP78" t="e">
        <f>AND('SPR BARRANQUILLA'!EJ91,"AAAAADvf85E=")</f>
        <v>#VALUE!</v>
      </c>
      <c r="EQ78" t="e">
        <f>AND('SPR BARRANQUILLA'!EK91,"AAAAADvf85I=")</f>
        <v>#VALUE!</v>
      </c>
      <c r="ER78" t="e">
        <f>AND('SPR BARRANQUILLA'!EL91,"AAAAADvf85M=")</f>
        <v>#VALUE!</v>
      </c>
      <c r="ES78" t="e">
        <f>AND('SPR BARRANQUILLA'!EM91,"AAAAADvf85Q=")</f>
        <v>#VALUE!</v>
      </c>
      <c r="ET78" t="e">
        <f>AND('SPR BARRANQUILLA'!EN91,"AAAAADvf85U=")</f>
        <v>#VALUE!</v>
      </c>
      <c r="EU78" t="e">
        <f>AND('SPR BARRANQUILLA'!EO91,"AAAAADvf85Y=")</f>
        <v>#VALUE!</v>
      </c>
      <c r="EV78" t="e">
        <f>AND('SPR BARRANQUILLA'!EP91,"AAAAADvf85c=")</f>
        <v>#VALUE!</v>
      </c>
      <c r="EW78" t="e">
        <f>AND('SPR BARRANQUILLA'!EQ91,"AAAAADvf85g=")</f>
        <v>#VALUE!</v>
      </c>
      <c r="EX78" t="e">
        <f>AND('SPR BARRANQUILLA'!ER91,"AAAAADvf85k=")</f>
        <v>#VALUE!</v>
      </c>
      <c r="EY78" t="e">
        <f>AND('SPR BARRANQUILLA'!ES91,"AAAAADvf85o=")</f>
        <v>#VALUE!</v>
      </c>
      <c r="EZ78" t="e">
        <f>AND('SPR BARRANQUILLA'!ET91,"AAAAADvf85s=")</f>
        <v>#VALUE!</v>
      </c>
      <c r="FA78" t="e">
        <f>AND('SPR BARRANQUILLA'!EU91,"AAAAADvf85w=")</f>
        <v>#VALUE!</v>
      </c>
      <c r="FB78" t="e">
        <f>AND('SPR BARRANQUILLA'!EV91,"AAAAADvf850=")</f>
        <v>#VALUE!</v>
      </c>
      <c r="FC78" t="e">
        <f>AND('SPR BARRANQUILLA'!EW91,"AAAAADvf854=")</f>
        <v>#VALUE!</v>
      </c>
      <c r="FD78" t="e">
        <f>AND('SPR BARRANQUILLA'!EX91,"AAAAADvf858=")</f>
        <v>#VALUE!</v>
      </c>
      <c r="FE78" t="e">
        <f>AND('SPR BARRANQUILLA'!EY91,"AAAAADvf86A=")</f>
        <v>#VALUE!</v>
      </c>
      <c r="FF78" t="e">
        <f>AND('SPR BARRANQUILLA'!EZ91,"AAAAADvf86E=")</f>
        <v>#VALUE!</v>
      </c>
      <c r="FG78" t="e">
        <f>AND('SPR BARRANQUILLA'!FA91,"AAAAADvf86I=")</f>
        <v>#VALUE!</v>
      </c>
      <c r="FH78" t="e">
        <f>AND('SPR BARRANQUILLA'!FB91,"AAAAADvf86M=")</f>
        <v>#VALUE!</v>
      </c>
      <c r="FI78" t="e">
        <f>AND('SPR BARRANQUILLA'!FC91,"AAAAADvf86Q=")</f>
        <v>#VALUE!</v>
      </c>
      <c r="FJ78" t="e">
        <f>AND('SPR BARRANQUILLA'!FD91,"AAAAADvf86U=")</f>
        <v>#VALUE!</v>
      </c>
      <c r="FK78" t="e">
        <f>AND('SPR BARRANQUILLA'!FE91,"AAAAADvf86Y=")</f>
        <v>#VALUE!</v>
      </c>
      <c r="FL78" t="e">
        <f>AND('SPR BARRANQUILLA'!FF91,"AAAAADvf86c=")</f>
        <v>#VALUE!</v>
      </c>
      <c r="FM78" t="e">
        <f>AND('SPR BARRANQUILLA'!FG91,"AAAAADvf86g=")</f>
        <v>#VALUE!</v>
      </c>
      <c r="FN78" t="e">
        <f>AND('SPR BARRANQUILLA'!FH91,"AAAAADvf86k=")</f>
        <v>#VALUE!</v>
      </c>
      <c r="FO78" t="e">
        <f>AND('SPR BARRANQUILLA'!FI91,"AAAAADvf86o=")</f>
        <v>#VALUE!</v>
      </c>
      <c r="FP78" t="e">
        <f>AND('SPR BARRANQUILLA'!FJ91,"AAAAADvf86s=")</f>
        <v>#VALUE!</v>
      </c>
      <c r="FQ78" t="e">
        <f>AND('SPR BARRANQUILLA'!FK91,"AAAAADvf86w=")</f>
        <v>#VALUE!</v>
      </c>
      <c r="FR78" t="e">
        <f>AND('SPR BARRANQUILLA'!FL91,"AAAAADvf860=")</f>
        <v>#VALUE!</v>
      </c>
      <c r="FS78" t="e">
        <f>AND('SPR BARRANQUILLA'!FM91,"AAAAADvf864=")</f>
        <v>#VALUE!</v>
      </c>
      <c r="FT78" t="e">
        <f>AND('SPR BARRANQUILLA'!FN91,"AAAAADvf868=")</f>
        <v>#VALUE!</v>
      </c>
      <c r="FU78" t="e">
        <f>AND('SPR BARRANQUILLA'!FO91,"AAAAADvf87A=")</f>
        <v>#VALUE!</v>
      </c>
      <c r="FV78" t="e">
        <f>AND('SPR BARRANQUILLA'!FP91,"AAAAADvf87E=")</f>
        <v>#VALUE!</v>
      </c>
      <c r="FW78" t="e">
        <f>AND('SPR BARRANQUILLA'!FQ91,"AAAAADvf87I=")</f>
        <v>#VALUE!</v>
      </c>
      <c r="FX78" t="e">
        <f>AND('SPR BARRANQUILLA'!FR91,"AAAAADvf87M=")</f>
        <v>#VALUE!</v>
      </c>
      <c r="FY78" t="e">
        <f>AND('SPR BARRANQUILLA'!FS91,"AAAAADvf87Q=")</f>
        <v>#VALUE!</v>
      </c>
      <c r="FZ78" t="e">
        <f>AND('SPR BARRANQUILLA'!FT91,"AAAAADvf87U=")</f>
        <v>#VALUE!</v>
      </c>
      <c r="GA78" t="e">
        <f>AND('SPR BARRANQUILLA'!FU91,"AAAAADvf87Y=")</f>
        <v>#VALUE!</v>
      </c>
      <c r="GB78" t="e">
        <f>AND('SPR BARRANQUILLA'!FV91,"AAAAADvf87c=")</f>
        <v>#VALUE!</v>
      </c>
      <c r="GC78" t="e">
        <f>AND('SPR BARRANQUILLA'!FW91,"AAAAADvf87g=")</f>
        <v>#VALUE!</v>
      </c>
      <c r="GD78" t="e">
        <f>AND('SPR BARRANQUILLA'!FX91,"AAAAADvf87k=")</f>
        <v>#VALUE!</v>
      </c>
      <c r="GE78" t="e">
        <f>AND('SPR BARRANQUILLA'!FY91,"AAAAADvf87o=")</f>
        <v>#VALUE!</v>
      </c>
      <c r="GF78" t="e">
        <f>AND('SPR BARRANQUILLA'!FZ91,"AAAAADvf87s=")</f>
        <v>#VALUE!</v>
      </c>
      <c r="GG78" t="e">
        <f>AND('SPR BARRANQUILLA'!GA91,"AAAAADvf87w=")</f>
        <v>#VALUE!</v>
      </c>
      <c r="GH78" t="e">
        <f>AND('SPR BARRANQUILLA'!GB91,"AAAAADvf870=")</f>
        <v>#VALUE!</v>
      </c>
      <c r="GI78" t="e">
        <f>AND('SPR BARRANQUILLA'!GC91,"AAAAADvf874=")</f>
        <v>#VALUE!</v>
      </c>
      <c r="GJ78" t="e">
        <f>AND('SPR BARRANQUILLA'!GD91,"AAAAADvf878=")</f>
        <v>#VALUE!</v>
      </c>
      <c r="GK78" t="e">
        <f>AND('SPR BARRANQUILLA'!GE91,"AAAAADvf88A=")</f>
        <v>#VALUE!</v>
      </c>
      <c r="GL78" t="e">
        <f>AND('SPR BARRANQUILLA'!GF91,"AAAAADvf88E=")</f>
        <v>#VALUE!</v>
      </c>
      <c r="GM78" t="e">
        <f>AND('SPR BARRANQUILLA'!GG91,"AAAAADvf88I=")</f>
        <v>#VALUE!</v>
      </c>
      <c r="GN78" t="e">
        <f>AND('SPR BARRANQUILLA'!GH91,"AAAAADvf88M=")</f>
        <v>#VALUE!</v>
      </c>
      <c r="GO78" t="e">
        <f>AND('SPR BARRANQUILLA'!GI91,"AAAAADvf88Q=")</f>
        <v>#VALUE!</v>
      </c>
      <c r="GP78" t="e">
        <f>AND('SPR BARRANQUILLA'!GJ91,"AAAAADvf88U=")</f>
        <v>#VALUE!</v>
      </c>
      <c r="GQ78" t="e">
        <f>AND('SPR BARRANQUILLA'!GK91,"AAAAADvf88Y=")</f>
        <v>#VALUE!</v>
      </c>
      <c r="GR78" t="e">
        <f>AND('SPR BARRANQUILLA'!GL91,"AAAAADvf88c=")</f>
        <v>#VALUE!</v>
      </c>
      <c r="GS78" t="e">
        <f>AND('SPR BARRANQUILLA'!GM91,"AAAAADvf88g=")</f>
        <v>#VALUE!</v>
      </c>
      <c r="GT78" t="e">
        <f>AND('SPR BARRANQUILLA'!GN91,"AAAAADvf88k=")</f>
        <v>#VALUE!</v>
      </c>
      <c r="GU78" t="e">
        <f>AND('SPR BARRANQUILLA'!GO91,"AAAAADvf88o=")</f>
        <v>#VALUE!</v>
      </c>
      <c r="GV78" t="e">
        <f>AND('SPR BARRANQUILLA'!GP91,"AAAAADvf88s=")</f>
        <v>#VALUE!</v>
      </c>
      <c r="GW78" t="e">
        <f>AND('SPR BARRANQUILLA'!GQ91,"AAAAADvf88w=")</f>
        <v>#VALUE!</v>
      </c>
      <c r="GX78" t="e">
        <f>AND('SPR BARRANQUILLA'!GR91,"AAAAADvf880=")</f>
        <v>#VALUE!</v>
      </c>
      <c r="GY78" t="e">
        <f>AND('SPR BARRANQUILLA'!GS91,"AAAAADvf884=")</f>
        <v>#VALUE!</v>
      </c>
      <c r="GZ78" t="e">
        <f>AND('SPR BARRANQUILLA'!GT91,"AAAAADvf888=")</f>
        <v>#VALUE!</v>
      </c>
      <c r="HA78" t="e">
        <f>AND('SPR BARRANQUILLA'!GU91,"AAAAADvf89A=")</f>
        <v>#VALUE!</v>
      </c>
      <c r="HB78" t="e">
        <f>AND('SPR BARRANQUILLA'!GV91,"AAAAADvf89E=")</f>
        <v>#VALUE!</v>
      </c>
      <c r="HC78" t="e">
        <f>AND('SPR BARRANQUILLA'!GW91,"AAAAADvf89I=")</f>
        <v>#VALUE!</v>
      </c>
      <c r="HD78" t="e">
        <f>AND('SPR BARRANQUILLA'!GX91,"AAAAADvf89M=")</f>
        <v>#VALUE!</v>
      </c>
      <c r="HE78" t="e">
        <f>AND('SPR BARRANQUILLA'!GY91,"AAAAADvf89Q=")</f>
        <v>#VALUE!</v>
      </c>
      <c r="HF78">
        <f>IF('SPR BARRANQUILLA'!92:92,"AAAAADvf89U=",0)</f>
        <v>0</v>
      </c>
      <c r="HG78" t="e">
        <f>AND('SPR BARRANQUILLA'!A92,"AAAAADvf89Y=")</f>
        <v>#VALUE!</v>
      </c>
      <c r="HH78" t="e">
        <f>AND('SPR BARRANQUILLA'!B92,"AAAAADvf89c=")</f>
        <v>#VALUE!</v>
      </c>
      <c r="HI78" t="e">
        <f>AND('SPR BARRANQUILLA'!C92,"AAAAADvf89g=")</f>
        <v>#VALUE!</v>
      </c>
      <c r="HJ78" t="e">
        <f>AND('SPR BARRANQUILLA'!D92,"AAAAADvf89k=")</f>
        <v>#VALUE!</v>
      </c>
      <c r="HK78" t="e">
        <f>AND('SPR BARRANQUILLA'!E92,"AAAAADvf89o=")</f>
        <v>#VALUE!</v>
      </c>
      <c r="HL78" t="e">
        <f>AND('SPR BARRANQUILLA'!F92,"AAAAADvf89s=")</f>
        <v>#VALUE!</v>
      </c>
      <c r="HM78" t="e">
        <f>AND('SPR BARRANQUILLA'!G92,"AAAAADvf89w=")</f>
        <v>#VALUE!</v>
      </c>
      <c r="HN78" t="e">
        <f>AND('SPR BARRANQUILLA'!H92,"AAAAADvf890=")</f>
        <v>#VALUE!</v>
      </c>
      <c r="HO78" t="e">
        <f>AND('SPR BARRANQUILLA'!I92,"AAAAADvf894=")</f>
        <v>#VALUE!</v>
      </c>
      <c r="HP78" t="e">
        <f>AND('SPR BARRANQUILLA'!J92,"AAAAADvf898=")</f>
        <v>#VALUE!</v>
      </c>
      <c r="HQ78" t="e">
        <f>AND('SPR BARRANQUILLA'!K92,"AAAAADvf8+A=")</f>
        <v>#VALUE!</v>
      </c>
      <c r="HR78" t="e">
        <f>AND('SPR BARRANQUILLA'!L92,"AAAAADvf8+E=")</f>
        <v>#VALUE!</v>
      </c>
      <c r="HS78" t="e">
        <f>AND('SPR BARRANQUILLA'!M92,"AAAAADvf8+I=")</f>
        <v>#VALUE!</v>
      </c>
      <c r="HT78" t="e">
        <f>AND('SPR BARRANQUILLA'!N92,"AAAAADvf8+M=")</f>
        <v>#VALUE!</v>
      </c>
      <c r="HU78" t="e">
        <f>AND('SPR BARRANQUILLA'!O92,"AAAAADvf8+Q=")</f>
        <v>#VALUE!</v>
      </c>
      <c r="HV78" t="e">
        <f>AND('SPR BARRANQUILLA'!P92,"AAAAADvf8+U=")</f>
        <v>#VALUE!</v>
      </c>
      <c r="HW78" t="e">
        <f>AND('SPR BARRANQUILLA'!Q92,"AAAAADvf8+Y=")</f>
        <v>#VALUE!</v>
      </c>
      <c r="HX78" t="e">
        <f>AND('SPR BARRANQUILLA'!R92,"AAAAADvf8+c=")</f>
        <v>#VALUE!</v>
      </c>
      <c r="HY78" t="e">
        <f>AND('SPR BARRANQUILLA'!S92,"AAAAADvf8+g=")</f>
        <v>#VALUE!</v>
      </c>
      <c r="HZ78" t="e">
        <f>AND('SPR BARRANQUILLA'!T92,"AAAAADvf8+k=")</f>
        <v>#VALUE!</v>
      </c>
      <c r="IA78" t="e">
        <f>AND('SPR BARRANQUILLA'!U92,"AAAAADvf8+o=")</f>
        <v>#VALUE!</v>
      </c>
      <c r="IB78" t="e">
        <f>AND('SPR BARRANQUILLA'!V92,"AAAAADvf8+s=")</f>
        <v>#VALUE!</v>
      </c>
      <c r="IC78" t="e">
        <f>AND('SPR BARRANQUILLA'!W92,"AAAAADvf8+w=")</f>
        <v>#VALUE!</v>
      </c>
      <c r="ID78" t="e">
        <f>AND('SPR BARRANQUILLA'!X92,"AAAAADvf8+0=")</f>
        <v>#VALUE!</v>
      </c>
      <c r="IE78" t="e">
        <f>AND('SPR BARRANQUILLA'!Y92,"AAAAADvf8+4=")</f>
        <v>#VALUE!</v>
      </c>
      <c r="IF78" t="e">
        <f>AND('SPR BARRANQUILLA'!Z92,"AAAAADvf8+8=")</f>
        <v>#VALUE!</v>
      </c>
      <c r="IG78" t="e">
        <f>AND('SPR BARRANQUILLA'!AA92,"AAAAADvf8/A=")</f>
        <v>#VALUE!</v>
      </c>
      <c r="IH78" t="e">
        <f>AND('SPR BARRANQUILLA'!AB92,"AAAAADvf8/E=")</f>
        <v>#VALUE!</v>
      </c>
      <c r="II78" t="e">
        <f>AND('SPR BARRANQUILLA'!AC92,"AAAAADvf8/I=")</f>
        <v>#VALUE!</v>
      </c>
      <c r="IJ78" t="e">
        <f>AND('SPR BARRANQUILLA'!AD92,"AAAAADvf8/M=")</f>
        <v>#VALUE!</v>
      </c>
      <c r="IK78" t="e">
        <f>AND('SPR BARRANQUILLA'!AE92,"AAAAADvf8/Q=")</f>
        <v>#VALUE!</v>
      </c>
      <c r="IL78" t="e">
        <f>AND('SPR BARRANQUILLA'!AF92,"AAAAADvf8/U=")</f>
        <v>#VALUE!</v>
      </c>
      <c r="IM78" t="e">
        <f>AND('SPR BARRANQUILLA'!AG92,"AAAAADvf8/Y=")</f>
        <v>#VALUE!</v>
      </c>
      <c r="IN78" t="e">
        <f>AND('SPR BARRANQUILLA'!AH92,"AAAAADvf8/c=")</f>
        <v>#VALUE!</v>
      </c>
      <c r="IO78" t="e">
        <f>AND('SPR BARRANQUILLA'!AI92,"AAAAADvf8/g=")</f>
        <v>#VALUE!</v>
      </c>
      <c r="IP78" t="e">
        <f>AND('SPR BARRANQUILLA'!AJ92,"AAAAADvf8/k=")</f>
        <v>#VALUE!</v>
      </c>
      <c r="IQ78" t="e">
        <f>AND('SPR BARRANQUILLA'!AK92,"AAAAADvf8/o=")</f>
        <v>#VALUE!</v>
      </c>
      <c r="IR78" t="e">
        <f>AND('SPR BARRANQUILLA'!AL92,"AAAAADvf8/s=")</f>
        <v>#VALUE!</v>
      </c>
      <c r="IS78" t="e">
        <f>AND('SPR BARRANQUILLA'!AM92,"AAAAADvf8/w=")</f>
        <v>#VALUE!</v>
      </c>
      <c r="IT78" t="e">
        <f>AND('SPR BARRANQUILLA'!AN92,"AAAAADvf8/0=")</f>
        <v>#VALUE!</v>
      </c>
      <c r="IU78" t="e">
        <f>AND('SPR BARRANQUILLA'!AO92,"AAAAADvf8/4=")</f>
        <v>#VALUE!</v>
      </c>
      <c r="IV78" t="e">
        <f>AND('SPR BARRANQUILLA'!AP92,"AAAAADvf8/8=")</f>
        <v>#VALUE!</v>
      </c>
    </row>
    <row r="79" spans="1:256">
      <c r="A79" t="e">
        <f>AND('SPR BARRANQUILLA'!AQ92,"AAAAAH/4ugA=")</f>
        <v>#VALUE!</v>
      </c>
      <c r="B79" t="e">
        <f>AND('SPR BARRANQUILLA'!AR92,"AAAAAH/4ugE=")</f>
        <v>#VALUE!</v>
      </c>
      <c r="C79" t="e">
        <f>AND('SPR BARRANQUILLA'!AS92,"AAAAAH/4ugI=")</f>
        <v>#VALUE!</v>
      </c>
      <c r="D79" t="e">
        <f>AND('SPR BARRANQUILLA'!AT92,"AAAAAH/4ugM=")</f>
        <v>#VALUE!</v>
      </c>
      <c r="E79" t="e">
        <f>AND('SPR BARRANQUILLA'!AU92,"AAAAAH/4ugQ=")</f>
        <v>#VALUE!</v>
      </c>
      <c r="F79" t="e">
        <f>AND('SPR BARRANQUILLA'!AV92,"AAAAAH/4ugU=")</f>
        <v>#VALUE!</v>
      </c>
      <c r="G79" t="e">
        <f>AND('SPR BARRANQUILLA'!AW92,"AAAAAH/4ugY=")</f>
        <v>#VALUE!</v>
      </c>
      <c r="H79" t="e">
        <f>AND('SPR BARRANQUILLA'!AX92,"AAAAAH/4ugc=")</f>
        <v>#VALUE!</v>
      </c>
      <c r="I79" t="e">
        <f>AND('SPR BARRANQUILLA'!AY92,"AAAAAH/4ugg=")</f>
        <v>#VALUE!</v>
      </c>
      <c r="J79" t="e">
        <f>AND('SPR BARRANQUILLA'!AZ92,"AAAAAH/4ugk=")</f>
        <v>#VALUE!</v>
      </c>
      <c r="K79" t="e">
        <f>AND('SPR BARRANQUILLA'!BA92,"AAAAAH/4ugo=")</f>
        <v>#VALUE!</v>
      </c>
      <c r="L79" t="e">
        <f>AND('SPR BARRANQUILLA'!BB92,"AAAAAH/4ugs=")</f>
        <v>#VALUE!</v>
      </c>
      <c r="M79" t="e">
        <f>AND('SPR BARRANQUILLA'!BC92,"AAAAAH/4ugw=")</f>
        <v>#VALUE!</v>
      </c>
      <c r="N79" t="e">
        <f>AND('SPR BARRANQUILLA'!BD92,"AAAAAH/4ug0=")</f>
        <v>#VALUE!</v>
      </c>
      <c r="O79" t="e">
        <f>AND('SPR BARRANQUILLA'!BE92,"AAAAAH/4ug4=")</f>
        <v>#VALUE!</v>
      </c>
      <c r="P79" t="e">
        <f>AND('SPR BARRANQUILLA'!BF92,"AAAAAH/4ug8=")</f>
        <v>#VALUE!</v>
      </c>
      <c r="Q79" t="e">
        <f>AND('SPR BARRANQUILLA'!BG92,"AAAAAH/4uhA=")</f>
        <v>#VALUE!</v>
      </c>
      <c r="R79" t="e">
        <f>AND('SPR BARRANQUILLA'!BH92,"AAAAAH/4uhE=")</f>
        <v>#VALUE!</v>
      </c>
      <c r="S79" t="e">
        <f>AND('SPR BARRANQUILLA'!BI92,"AAAAAH/4uhI=")</f>
        <v>#VALUE!</v>
      </c>
      <c r="T79" t="e">
        <f>AND('SPR BARRANQUILLA'!BJ92,"AAAAAH/4uhM=")</f>
        <v>#VALUE!</v>
      </c>
      <c r="U79" t="e">
        <f>AND('SPR BARRANQUILLA'!BK92,"AAAAAH/4uhQ=")</f>
        <v>#VALUE!</v>
      </c>
      <c r="V79" t="e">
        <f>AND('SPR BARRANQUILLA'!BL92,"AAAAAH/4uhU=")</f>
        <v>#VALUE!</v>
      </c>
      <c r="W79" t="e">
        <f>AND('SPR BARRANQUILLA'!BM92,"AAAAAH/4uhY=")</f>
        <v>#VALUE!</v>
      </c>
      <c r="X79" t="e">
        <f>AND('SPR BARRANQUILLA'!BN92,"AAAAAH/4uhc=")</f>
        <v>#VALUE!</v>
      </c>
      <c r="Y79" t="e">
        <f>AND('SPR BARRANQUILLA'!BO92,"AAAAAH/4uhg=")</f>
        <v>#VALUE!</v>
      </c>
      <c r="Z79" t="e">
        <f>AND('SPR BARRANQUILLA'!BP92,"AAAAAH/4uhk=")</f>
        <v>#VALUE!</v>
      </c>
      <c r="AA79" t="e">
        <f>AND('SPR BARRANQUILLA'!BQ92,"AAAAAH/4uho=")</f>
        <v>#VALUE!</v>
      </c>
      <c r="AB79" t="e">
        <f>AND('SPR BARRANQUILLA'!BR92,"AAAAAH/4uhs=")</f>
        <v>#VALUE!</v>
      </c>
      <c r="AC79" t="e">
        <f>AND('SPR BARRANQUILLA'!BS92,"AAAAAH/4uhw=")</f>
        <v>#VALUE!</v>
      </c>
      <c r="AD79" t="e">
        <f>AND('SPR BARRANQUILLA'!BT92,"AAAAAH/4uh0=")</f>
        <v>#VALUE!</v>
      </c>
      <c r="AE79" t="e">
        <f>AND('SPR BARRANQUILLA'!BU92,"AAAAAH/4uh4=")</f>
        <v>#VALUE!</v>
      </c>
      <c r="AF79" t="e">
        <f>AND('SPR BARRANQUILLA'!BV92,"AAAAAH/4uh8=")</f>
        <v>#VALUE!</v>
      </c>
      <c r="AG79" t="e">
        <f>AND('SPR BARRANQUILLA'!BW92,"AAAAAH/4uiA=")</f>
        <v>#VALUE!</v>
      </c>
      <c r="AH79" t="e">
        <f>AND('SPR BARRANQUILLA'!BX92,"AAAAAH/4uiE=")</f>
        <v>#VALUE!</v>
      </c>
      <c r="AI79" t="e">
        <f>AND('SPR BARRANQUILLA'!BY92,"AAAAAH/4uiI=")</f>
        <v>#VALUE!</v>
      </c>
      <c r="AJ79" t="e">
        <f>AND('SPR BARRANQUILLA'!BZ92,"AAAAAH/4uiM=")</f>
        <v>#VALUE!</v>
      </c>
      <c r="AK79" t="e">
        <f>AND('SPR BARRANQUILLA'!CA92,"AAAAAH/4uiQ=")</f>
        <v>#VALUE!</v>
      </c>
      <c r="AL79" t="e">
        <f>AND('SPR BARRANQUILLA'!CB92,"AAAAAH/4uiU=")</f>
        <v>#VALUE!</v>
      </c>
      <c r="AM79" t="e">
        <f>AND('SPR BARRANQUILLA'!CC92,"AAAAAH/4uiY=")</f>
        <v>#VALUE!</v>
      </c>
      <c r="AN79" t="e">
        <f>AND('SPR BARRANQUILLA'!CD92,"AAAAAH/4uic=")</f>
        <v>#VALUE!</v>
      </c>
      <c r="AO79" t="e">
        <f>AND('SPR BARRANQUILLA'!CE92,"AAAAAH/4uig=")</f>
        <v>#VALUE!</v>
      </c>
      <c r="AP79" t="e">
        <f>AND('SPR BARRANQUILLA'!CF92,"AAAAAH/4uik=")</f>
        <v>#VALUE!</v>
      </c>
      <c r="AQ79" t="e">
        <f>AND('SPR BARRANQUILLA'!CG92,"AAAAAH/4uio=")</f>
        <v>#VALUE!</v>
      </c>
      <c r="AR79" t="e">
        <f>AND('SPR BARRANQUILLA'!CH92,"AAAAAH/4uis=")</f>
        <v>#VALUE!</v>
      </c>
      <c r="AS79" t="e">
        <f>AND('SPR BARRANQUILLA'!CI92,"AAAAAH/4uiw=")</f>
        <v>#VALUE!</v>
      </c>
      <c r="AT79" t="e">
        <f>AND('SPR BARRANQUILLA'!CJ92,"AAAAAH/4ui0=")</f>
        <v>#VALUE!</v>
      </c>
      <c r="AU79" t="e">
        <f>AND('SPR BARRANQUILLA'!CK92,"AAAAAH/4ui4=")</f>
        <v>#VALUE!</v>
      </c>
      <c r="AV79" t="e">
        <f>AND('SPR BARRANQUILLA'!CL92,"AAAAAH/4ui8=")</f>
        <v>#VALUE!</v>
      </c>
      <c r="AW79" t="e">
        <f>AND('SPR BARRANQUILLA'!CM92,"AAAAAH/4ujA=")</f>
        <v>#VALUE!</v>
      </c>
      <c r="AX79" t="e">
        <f>AND('SPR BARRANQUILLA'!CN92,"AAAAAH/4ujE=")</f>
        <v>#VALUE!</v>
      </c>
      <c r="AY79" t="e">
        <f>AND('SPR BARRANQUILLA'!CO92,"AAAAAH/4ujI=")</f>
        <v>#VALUE!</v>
      </c>
      <c r="AZ79" t="e">
        <f>AND('SPR BARRANQUILLA'!CP92,"AAAAAH/4ujM=")</f>
        <v>#VALUE!</v>
      </c>
      <c r="BA79" t="e">
        <f>AND('SPR BARRANQUILLA'!CQ92,"AAAAAH/4ujQ=")</f>
        <v>#VALUE!</v>
      </c>
      <c r="BB79" t="e">
        <f>AND('SPR BARRANQUILLA'!CR92,"AAAAAH/4ujU=")</f>
        <v>#VALUE!</v>
      </c>
      <c r="BC79" t="e">
        <f>AND('SPR BARRANQUILLA'!CS92,"AAAAAH/4ujY=")</f>
        <v>#VALUE!</v>
      </c>
      <c r="BD79" t="e">
        <f>AND('SPR BARRANQUILLA'!CT92,"AAAAAH/4ujc=")</f>
        <v>#VALUE!</v>
      </c>
      <c r="BE79" t="e">
        <f>AND('SPR BARRANQUILLA'!CU92,"AAAAAH/4ujg=")</f>
        <v>#VALUE!</v>
      </c>
      <c r="BF79" t="e">
        <f>AND('SPR BARRANQUILLA'!CV92,"AAAAAH/4ujk=")</f>
        <v>#VALUE!</v>
      </c>
      <c r="BG79" t="e">
        <f>AND('SPR BARRANQUILLA'!CW92,"AAAAAH/4ujo=")</f>
        <v>#VALUE!</v>
      </c>
      <c r="BH79" t="e">
        <f>AND('SPR BARRANQUILLA'!CX92,"AAAAAH/4ujs=")</f>
        <v>#VALUE!</v>
      </c>
      <c r="BI79" t="e">
        <f>AND('SPR BARRANQUILLA'!CY92,"AAAAAH/4ujw=")</f>
        <v>#VALUE!</v>
      </c>
      <c r="BJ79" t="e">
        <f>AND('SPR BARRANQUILLA'!CZ92,"AAAAAH/4uj0=")</f>
        <v>#VALUE!</v>
      </c>
      <c r="BK79" t="e">
        <f>AND('SPR BARRANQUILLA'!DA92,"AAAAAH/4uj4=")</f>
        <v>#VALUE!</v>
      </c>
      <c r="BL79" t="e">
        <f>AND('SPR BARRANQUILLA'!DB92,"AAAAAH/4uj8=")</f>
        <v>#VALUE!</v>
      </c>
      <c r="BM79" t="e">
        <f>AND('SPR BARRANQUILLA'!DC92,"AAAAAH/4ukA=")</f>
        <v>#VALUE!</v>
      </c>
      <c r="BN79" t="e">
        <f>AND('SPR BARRANQUILLA'!DD92,"AAAAAH/4ukE=")</f>
        <v>#VALUE!</v>
      </c>
      <c r="BO79" t="e">
        <f>AND('SPR BARRANQUILLA'!DE92,"AAAAAH/4ukI=")</f>
        <v>#VALUE!</v>
      </c>
      <c r="BP79" t="e">
        <f>AND('SPR BARRANQUILLA'!DF92,"AAAAAH/4ukM=")</f>
        <v>#VALUE!</v>
      </c>
      <c r="BQ79" t="e">
        <f>AND('SPR BARRANQUILLA'!DG92,"AAAAAH/4ukQ=")</f>
        <v>#VALUE!</v>
      </c>
      <c r="BR79" t="e">
        <f>AND('SPR BARRANQUILLA'!DH92,"AAAAAH/4ukU=")</f>
        <v>#VALUE!</v>
      </c>
      <c r="BS79" t="e">
        <f>AND('SPR BARRANQUILLA'!DI92,"AAAAAH/4ukY=")</f>
        <v>#VALUE!</v>
      </c>
      <c r="BT79" t="e">
        <f>AND('SPR BARRANQUILLA'!DJ92,"AAAAAH/4ukc=")</f>
        <v>#VALUE!</v>
      </c>
      <c r="BU79" t="e">
        <f>AND('SPR BARRANQUILLA'!DK92,"AAAAAH/4ukg=")</f>
        <v>#VALUE!</v>
      </c>
      <c r="BV79" t="e">
        <f>AND('SPR BARRANQUILLA'!DL92,"AAAAAH/4ukk=")</f>
        <v>#VALUE!</v>
      </c>
      <c r="BW79" t="e">
        <f>AND('SPR BARRANQUILLA'!DM92,"AAAAAH/4uko=")</f>
        <v>#VALUE!</v>
      </c>
      <c r="BX79" t="e">
        <f>AND('SPR BARRANQUILLA'!DN92,"AAAAAH/4uks=")</f>
        <v>#VALUE!</v>
      </c>
      <c r="BY79" t="e">
        <f>AND('SPR BARRANQUILLA'!DO92,"AAAAAH/4ukw=")</f>
        <v>#VALUE!</v>
      </c>
      <c r="BZ79" t="e">
        <f>AND('SPR BARRANQUILLA'!DP92,"AAAAAH/4uk0=")</f>
        <v>#VALUE!</v>
      </c>
      <c r="CA79" t="e">
        <f>AND('SPR BARRANQUILLA'!DQ92,"AAAAAH/4uk4=")</f>
        <v>#VALUE!</v>
      </c>
      <c r="CB79" t="e">
        <f>AND('SPR BARRANQUILLA'!DR92,"AAAAAH/4uk8=")</f>
        <v>#VALUE!</v>
      </c>
      <c r="CC79" t="e">
        <f>AND('SPR BARRANQUILLA'!DS92,"AAAAAH/4ulA=")</f>
        <v>#VALUE!</v>
      </c>
      <c r="CD79" t="e">
        <f>AND('SPR BARRANQUILLA'!DT92,"AAAAAH/4ulE=")</f>
        <v>#VALUE!</v>
      </c>
      <c r="CE79" t="e">
        <f>AND('SPR BARRANQUILLA'!DU92,"AAAAAH/4ulI=")</f>
        <v>#VALUE!</v>
      </c>
      <c r="CF79" t="e">
        <f>AND('SPR BARRANQUILLA'!DV92,"AAAAAH/4ulM=")</f>
        <v>#VALUE!</v>
      </c>
      <c r="CG79" t="e">
        <f>AND('SPR BARRANQUILLA'!DW92,"AAAAAH/4ulQ=")</f>
        <v>#VALUE!</v>
      </c>
      <c r="CH79" t="e">
        <f>AND('SPR BARRANQUILLA'!DX92,"AAAAAH/4ulU=")</f>
        <v>#VALUE!</v>
      </c>
      <c r="CI79" t="e">
        <f>AND('SPR BARRANQUILLA'!DY92,"AAAAAH/4ulY=")</f>
        <v>#VALUE!</v>
      </c>
      <c r="CJ79" t="e">
        <f>AND('SPR BARRANQUILLA'!DZ92,"AAAAAH/4ulc=")</f>
        <v>#VALUE!</v>
      </c>
      <c r="CK79" t="e">
        <f>AND('SPR BARRANQUILLA'!EA92,"AAAAAH/4ulg=")</f>
        <v>#VALUE!</v>
      </c>
      <c r="CL79" t="e">
        <f>AND('SPR BARRANQUILLA'!EB92,"AAAAAH/4ulk=")</f>
        <v>#VALUE!</v>
      </c>
      <c r="CM79" t="e">
        <f>AND('SPR BARRANQUILLA'!EC92,"AAAAAH/4ulo=")</f>
        <v>#VALUE!</v>
      </c>
      <c r="CN79" t="e">
        <f>AND('SPR BARRANQUILLA'!ED92,"AAAAAH/4uls=")</f>
        <v>#VALUE!</v>
      </c>
      <c r="CO79" t="e">
        <f>AND('SPR BARRANQUILLA'!EE92,"AAAAAH/4ulw=")</f>
        <v>#VALUE!</v>
      </c>
      <c r="CP79" t="e">
        <f>AND('SPR BARRANQUILLA'!EF92,"AAAAAH/4ul0=")</f>
        <v>#VALUE!</v>
      </c>
      <c r="CQ79" t="e">
        <f>AND('SPR BARRANQUILLA'!EG92,"AAAAAH/4ul4=")</f>
        <v>#VALUE!</v>
      </c>
      <c r="CR79" t="e">
        <f>AND('SPR BARRANQUILLA'!EH92,"AAAAAH/4ul8=")</f>
        <v>#VALUE!</v>
      </c>
      <c r="CS79" t="e">
        <f>AND('SPR BARRANQUILLA'!EI92,"AAAAAH/4umA=")</f>
        <v>#VALUE!</v>
      </c>
      <c r="CT79" t="e">
        <f>AND('SPR BARRANQUILLA'!EJ92,"AAAAAH/4umE=")</f>
        <v>#VALUE!</v>
      </c>
      <c r="CU79" t="e">
        <f>AND('SPR BARRANQUILLA'!EK92,"AAAAAH/4umI=")</f>
        <v>#VALUE!</v>
      </c>
      <c r="CV79" t="e">
        <f>AND('SPR BARRANQUILLA'!EL92,"AAAAAH/4umM=")</f>
        <v>#VALUE!</v>
      </c>
      <c r="CW79" t="e">
        <f>AND('SPR BARRANQUILLA'!EM92,"AAAAAH/4umQ=")</f>
        <v>#VALUE!</v>
      </c>
      <c r="CX79" t="e">
        <f>AND('SPR BARRANQUILLA'!EN92,"AAAAAH/4umU=")</f>
        <v>#VALUE!</v>
      </c>
      <c r="CY79" t="e">
        <f>AND('SPR BARRANQUILLA'!EO92,"AAAAAH/4umY=")</f>
        <v>#VALUE!</v>
      </c>
      <c r="CZ79" t="e">
        <f>AND('SPR BARRANQUILLA'!EP92,"AAAAAH/4umc=")</f>
        <v>#VALUE!</v>
      </c>
      <c r="DA79" t="e">
        <f>AND('SPR BARRANQUILLA'!EQ92,"AAAAAH/4umg=")</f>
        <v>#VALUE!</v>
      </c>
      <c r="DB79" t="e">
        <f>AND('SPR BARRANQUILLA'!ER92,"AAAAAH/4umk=")</f>
        <v>#VALUE!</v>
      </c>
      <c r="DC79" t="e">
        <f>AND('SPR BARRANQUILLA'!ES92,"AAAAAH/4umo=")</f>
        <v>#VALUE!</v>
      </c>
      <c r="DD79" t="e">
        <f>AND('SPR BARRANQUILLA'!ET92,"AAAAAH/4ums=")</f>
        <v>#VALUE!</v>
      </c>
      <c r="DE79" t="e">
        <f>AND('SPR BARRANQUILLA'!EU92,"AAAAAH/4umw=")</f>
        <v>#VALUE!</v>
      </c>
      <c r="DF79" t="e">
        <f>AND('SPR BARRANQUILLA'!EV92,"AAAAAH/4um0=")</f>
        <v>#VALUE!</v>
      </c>
      <c r="DG79" t="e">
        <f>AND('SPR BARRANQUILLA'!EW92,"AAAAAH/4um4=")</f>
        <v>#VALUE!</v>
      </c>
      <c r="DH79" t="e">
        <f>AND('SPR BARRANQUILLA'!EX92,"AAAAAH/4um8=")</f>
        <v>#VALUE!</v>
      </c>
      <c r="DI79" t="e">
        <f>AND('SPR BARRANQUILLA'!EY92,"AAAAAH/4unA=")</f>
        <v>#VALUE!</v>
      </c>
      <c r="DJ79" t="e">
        <f>AND('SPR BARRANQUILLA'!EZ92,"AAAAAH/4unE=")</f>
        <v>#VALUE!</v>
      </c>
      <c r="DK79" t="e">
        <f>AND('SPR BARRANQUILLA'!FA92,"AAAAAH/4unI=")</f>
        <v>#VALUE!</v>
      </c>
      <c r="DL79" t="e">
        <f>AND('SPR BARRANQUILLA'!FB92,"AAAAAH/4unM=")</f>
        <v>#VALUE!</v>
      </c>
      <c r="DM79" t="e">
        <f>AND('SPR BARRANQUILLA'!FC92,"AAAAAH/4unQ=")</f>
        <v>#VALUE!</v>
      </c>
      <c r="DN79" t="e">
        <f>AND('SPR BARRANQUILLA'!FD92,"AAAAAH/4unU=")</f>
        <v>#VALUE!</v>
      </c>
      <c r="DO79" t="e">
        <f>AND('SPR BARRANQUILLA'!FE92,"AAAAAH/4unY=")</f>
        <v>#VALUE!</v>
      </c>
      <c r="DP79" t="e">
        <f>AND('SPR BARRANQUILLA'!FF92,"AAAAAH/4unc=")</f>
        <v>#VALUE!</v>
      </c>
      <c r="DQ79" t="e">
        <f>AND('SPR BARRANQUILLA'!FG92,"AAAAAH/4ung=")</f>
        <v>#VALUE!</v>
      </c>
      <c r="DR79" t="e">
        <f>AND('SPR BARRANQUILLA'!FH92,"AAAAAH/4unk=")</f>
        <v>#VALUE!</v>
      </c>
      <c r="DS79" t="e">
        <f>AND('SPR BARRANQUILLA'!FI92,"AAAAAH/4uno=")</f>
        <v>#VALUE!</v>
      </c>
      <c r="DT79" t="e">
        <f>AND('SPR BARRANQUILLA'!FJ92,"AAAAAH/4uns=")</f>
        <v>#VALUE!</v>
      </c>
      <c r="DU79" t="e">
        <f>AND('SPR BARRANQUILLA'!FK92,"AAAAAH/4unw=")</f>
        <v>#VALUE!</v>
      </c>
      <c r="DV79" t="e">
        <f>AND('SPR BARRANQUILLA'!FL92,"AAAAAH/4un0=")</f>
        <v>#VALUE!</v>
      </c>
      <c r="DW79" t="e">
        <f>AND('SPR BARRANQUILLA'!FM92,"AAAAAH/4un4=")</f>
        <v>#VALUE!</v>
      </c>
      <c r="DX79" t="e">
        <f>AND('SPR BARRANQUILLA'!FN92,"AAAAAH/4un8=")</f>
        <v>#VALUE!</v>
      </c>
      <c r="DY79" t="e">
        <f>AND('SPR BARRANQUILLA'!FO92,"AAAAAH/4uoA=")</f>
        <v>#VALUE!</v>
      </c>
      <c r="DZ79" t="e">
        <f>AND('SPR BARRANQUILLA'!FP92,"AAAAAH/4uoE=")</f>
        <v>#VALUE!</v>
      </c>
      <c r="EA79" t="e">
        <f>AND('SPR BARRANQUILLA'!FQ92,"AAAAAH/4uoI=")</f>
        <v>#VALUE!</v>
      </c>
      <c r="EB79" t="e">
        <f>AND('SPR BARRANQUILLA'!FR92,"AAAAAH/4uoM=")</f>
        <v>#VALUE!</v>
      </c>
      <c r="EC79" t="e">
        <f>AND('SPR BARRANQUILLA'!FS92,"AAAAAH/4uoQ=")</f>
        <v>#VALUE!</v>
      </c>
      <c r="ED79" t="e">
        <f>AND('SPR BARRANQUILLA'!FT92,"AAAAAH/4uoU=")</f>
        <v>#VALUE!</v>
      </c>
      <c r="EE79" t="e">
        <f>AND('SPR BARRANQUILLA'!FU92,"AAAAAH/4uoY=")</f>
        <v>#VALUE!</v>
      </c>
      <c r="EF79" t="e">
        <f>AND('SPR BARRANQUILLA'!FV92,"AAAAAH/4uoc=")</f>
        <v>#VALUE!</v>
      </c>
      <c r="EG79" t="e">
        <f>AND('SPR BARRANQUILLA'!FW92,"AAAAAH/4uog=")</f>
        <v>#VALUE!</v>
      </c>
      <c r="EH79" t="e">
        <f>AND('SPR BARRANQUILLA'!FX92,"AAAAAH/4uok=")</f>
        <v>#VALUE!</v>
      </c>
      <c r="EI79" t="e">
        <f>AND('SPR BARRANQUILLA'!FY92,"AAAAAH/4uoo=")</f>
        <v>#VALUE!</v>
      </c>
      <c r="EJ79" t="e">
        <f>AND('SPR BARRANQUILLA'!FZ92,"AAAAAH/4uos=")</f>
        <v>#VALUE!</v>
      </c>
      <c r="EK79" t="e">
        <f>AND('SPR BARRANQUILLA'!GA92,"AAAAAH/4uow=")</f>
        <v>#VALUE!</v>
      </c>
      <c r="EL79" t="e">
        <f>AND('SPR BARRANQUILLA'!GB92,"AAAAAH/4uo0=")</f>
        <v>#VALUE!</v>
      </c>
      <c r="EM79" t="e">
        <f>AND('SPR BARRANQUILLA'!GC92,"AAAAAH/4uo4=")</f>
        <v>#VALUE!</v>
      </c>
      <c r="EN79" t="e">
        <f>AND('SPR BARRANQUILLA'!GD92,"AAAAAH/4uo8=")</f>
        <v>#VALUE!</v>
      </c>
      <c r="EO79" t="e">
        <f>AND('SPR BARRANQUILLA'!GE92,"AAAAAH/4upA=")</f>
        <v>#VALUE!</v>
      </c>
      <c r="EP79" t="e">
        <f>AND('SPR BARRANQUILLA'!GF92,"AAAAAH/4upE=")</f>
        <v>#VALUE!</v>
      </c>
      <c r="EQ79" t="e">
        <f>AND('SPR BARRANQUILLA'!GG92,"AAAAAH/4upI=")</f>
        <v>#VALUE!</v>
      </c>
      <c r="ER79" t="e">
        <f>AND('SPR BARRANQUILLA'!GH92,"AAAAAH/4upM=")</f>
        <v>#VALUE!</v>
      </c>
      <c r="ES79" t="e">
        <f>AND('SPR BARRANQUILLA'!GI92,"AAAAAH/4upQ=")</f>
        <v>#VALUE!</v>
      </c>
      <c r="ET79" t="e">
        <f>AND('SPR BARRANQUILLA'!GJ92,"AAAAAH/4upU=")</f>
        <v>#VALUE!</v>
      </c>
      <c r="EU79" t="e">
        <f>AND('SPR BARRANQUILLA'!GK92,"AAAAAH/4upY=")</f>
        <v>#VALUE!</v>
      </c>
      <c r="EV79" t="e">
        <f>AND('SPR BARRANQUILLA'!GL92,"AAAAAH/4upc=")</f>
        <v>#VALUE!</v>
      </c>
      <c r="EW79" t="e">
        <f>AND('SPR BARRANQUILLA'!GM92,"AAAAAH/4upg=")</f>
        <v>#VALUE!</v>
      </c>
      <c r="EX79" t="e">
        <f>AND('SPR BARRANQUILLA'!GN92,"AAAAAH/4upk=")</f>
        <v>#VALUE!</v>
      </c>
      <c r="EY79" t="e">
        <f>AND('SPR BARRANQUILLA'!GO92,"AAAAAH/4upo=")</f>
        <v>#VALUE!</v>
      </c>
      <c r="EZ79" t="e">
        <f>AND('SPR BARRANQUILLA'!GP92,"AAAAAH/4ups=")</f>
        <v>#VALUE!</v>
      </c>
      <c r="FA79" t="e">
        <f>AND('SPR BARRANQUILLA'!GQ92,"AAAAAH/4upw=")</f>
        <v>#VALUE!</v>
      </c>
      <c r="FB79" t="e">
        <f>AND('SPR BARRANQUILLA'!GR92,"AAAAAH/4up0=")</f>
        <v>#VALUE!</v>
      </c>
      <c r="FC79" t="e">
        <f>AND('SPR BARRANQUILLA'!GS92,"AAAAAH/4up4=")</f>
        <v>#VALUE!</v>
      </c>
      <c r="FD79" t="e">
        <f>AND('SPR BARRANQUILLA'!GT92,"AAAAAH/4up8=")</f>
        <v>#VALUE!</v>
      </c>
      <c r="FE79" t="e">
        <f>AND('SPR BARRANQUILLA'!GU92,"AAAAAH/4uqA=")</f>
        <v>#VALUE!</v>
      </c>
      <c r="FF79" t="e">
        <f>AND('SPR BARRANQUILLA'!GV92,"AAAAAH/4uqE=")</f>
        <v>#VALUE!</v>
      </c>
      <c r="FG79" t="e">
        <f>AND('SPR BARRANQUILLA'!GW92,"AAAAAH/4uqI=")</f>
        <v>#VALUE!</v>
      </c>
      <c r="FH79" t="e">
        <f>AND('SPR BARRANQUILLA'!GX92,"AAAAAH/4uqM=")</f>
        <v>#VALUE!</v>
      </c>
      <c r="FI79" t="e">
        <f>AND('SPR BARRANQUILLA'!GY92,"AAAAAH/4uqQ=")</f>
        <v>#VALUE!</v>
      </c>
      <c r="FJ79">
        <f>IF('SPR BARRANQUILLA'!93:93,"AAAAAH/4uqU=",0)</f>
        <v>0</v>
      </c>
      <c r="FK79" t="e">
        <f>AND('SPR BARRANQUILLA'!A93,"AAAAAH/4uqY=")</f>
        <v>#VALUE!</v>
      </c>
      <c r="FL79" t="e">
        <f>AND('SPR BARRANQUILLA'!B93,"AAAAAH/4uqc=")</f>
        <v>#VALUE!</v>
      </c>
      <c r="FM79" t="e">
        <f>AND('SPR BARRANQUILLA'!C93,"AAAAAH/4uqg=")</f>
        <v>#VALUE!</v>
      </c>
      <c r="FN79" t="e">
        <f>AND('SPR BARRANQUILLA'!D93,"AAAAAH/4uqk=")</f>
        <v>#VALUE!</v>
      </c>
      <c r="FO79" t="e">
        <f>AND('SPR BARRANQUILLA'!E93,"AAAAAH/4uqo=")</f>
        <v>#VALUE!</v>
      </c>
      <c r="FP79" t="e">
        <f>AND('SPR BARRANQUILLA'!F93,"AAAAAH/4uqs=")</f>
        <v>#VALUE!</v>
      </c>
      <c r="FQ79" t="e">
        <f>AND('SPR BARRANQUILLA'!G93,"AAAAAH/4uqw=")</f>
        <v>#VALUE!</v>
      </c>
      <c r="FR79" t="e">
        <f>AND('SPR BARRANQUILLA'!H93,"AAAAAH/4uq0=")</f>
        <v>#VALUE!</v>
      </c>
      <c r="FS79" t="e">
        <f>AND('SPR BARRANQUILLA'!I93,"AAAAAH/4uq4=")</f>
        <v>#VALUE!</v>
      </c>
      <c r="FT79" t="e">
        <f>AND('SPR BARRANQUILLA'!J93,"AAAAAH/4uq8=")</f>
        <v>#VALUE!</v>
      </c>
      <c r="FU79" t="e">
        <f>AND('SPR BARRANQUILLA'!K93,"AAAAAH/4urA=")</f>
        <v>#VALUE!</v>
      </c>
      <c r="FV79" t="e">
        <f>AND('SPR BARRANQUILLA'!L93,"AAAAAH/4urE=")</f>
        <v>#VALUE!</v>
      </c>
      <c r="FW79" t="e">
        <f>AND('SPR BARRANQUILLA'!M93,"AAAAAH/4urI=")</f>
        <v>#VALUE!</v>
      </c>
      <c r="FX79" t="e">
        <f>AND('SPR BARRANQUILLA'!N93,"AAAAAH/4urM=")</f>
        <v>#VALUE!</v>
      </c>
      <c r="FY79" t="e">
        <f>AND('SPR BARRANQUILLA'!O93,"AAAAAH/4urQ=")</f>
        <v>#VALUE!</v>
      </c>
      <c r="FZ79" t="e">
        <f>AND('SPR BARRANQUILLA'!P93,"AAAAAH/4urU=")</f>
        <v>#VALUE!</v>
      </c>
      <c r="GA79" t="e">
        <f>AND('SPR BARRANQUILLA'!Q93,"AAAAAH/4urY=")</f>
        <v>#VALUE!</v>
      </c>
      <c r="GB79" t="e">
        <f>AND('SPR BARRANQUILLA'!R93,"AAAAAH/4urc=")</f>
        <v>#VALUE!</v>
      </c>
      <c r="GC79" t="e">
        <f>AND('SPR BARRANQUILLA'!S93,"AAAAAH/4urg=")</f>
        <v>#VALUE!</v>
      </c>
      <c r="GD79" t="e">
        <f>AND('SPR BARRANQUILLA'!T93,"AAAAAH/4urk=")</f>
        <v>#VALUE!</v>
      </c>
      <c r="GE79" t="e">
        <f>AND('SPR BARRANQUILLA'!U93,"AAAAAH/4uro=")</f>
        <v>#VALUE!</v>
      </c>
      <c r="GF79" t="e">
        <f>AND('SPR BARRANQUILLA'!V93,"AAAAAH/4urs=")</f>
        <v>#VALUE!</v>
      </c>
      <c r="GG79" t="e">
        <f>AND('SPR BARRANQUILLA'!W93,"AAAAAH/4urw=")</f>
        <v>#VALUE!</v>
      </c>
      <c r="GH79" t="e">
        <f>AND('SPR BARRANQUILLA'!X93,"AAAAAH/4ur0=")</f>
        <v>#VALUE!</v>
      </c>
      <c r="GI79" t="e">
        <f>AND('SPR BARRANQUILLA'!Y93,"AAAAAH/4ur4=")</f>
        <v>#VALUE!</v>
      </c>
      <c r="GJ79" t="e">
        <f>AND('SPR BARRANQUILLA'!Z93,"AAAAAH/4ur8=")</f>
        <v>#VALUE!</v>
      </c>
      <c r="GK79" t="e">
        <f>AND('SPR BARRANQUILLA'!AA93,"AAAAAH/4usA=")</f>
        <v>#VALUE!</v>
      </c>
      <c r="GL79" t="e">
        <f>AND('SPR BARRANQUILLA'!AB93,"AAAAAH/4usE=")</f>
        <v>#VALUE!</v>
      </c>
      <c r="GM79" t="e">
        <f>AND('SPR BARRANQUILLA'!AC93,"AAAAAH/4usI=")</f>
        <v>#VALUE!</v>
      </c>
      <c r="GN79" t="e">
        <f>AND('SPR BARRANQUILLA'!AD93,"AAAAAH/4usM=")</f>
        <v>#VALUE!</v>
      </c>
      <c r="GO79" t="e">
        <f>AND('SPR BARRANQUILLA'!AE93,"AAAAAH/4usQ=")</f>
        <v>#VALUE!</v>
      </c>
      <c r="GP79" t="e">
        <f>AND('SPR BARRANQUILLA'!AF93,"AAAAAH/4usU=")</f>
        <v>#VALUE!</v>
      </c>
      <c r="GQ79" t="e">
        <f>AND('SPR BARRANQUILLA'!AG93,"AAAAAH/4usY=")</f>
        <v>#VALUE!</v>
      </c>
      <c r="GR79" t="e">
        <f>AND('SPR BARRANQUILLA'!AH93,"AAAAAH/4usc=")</f>
        <v>#VALUE!</v>
      </c>
      <c r="GS79" t="e">
        <f>AND('SPR BARRANQUILLA'!AI93,"AAAAAH/4usg=")</f>
        <v>#VALUE!</v>
      </c>
      <c r="GT79" t="e">
        <f>AND('SPR BARRANQUILLA'!AJ93,"AAAAAH/4usk=")</f>
        <v>#VALUE!</v>
      </c>
      <c r="GU79" t="e">
        <f>AND('SPR BARRANQUILLA'!AK93,"AAAAAH/4uso=")</f>
        <v>#VALUE!</v>
      </c>
      <c r="GV79" t="e">
        <f>AND('SPR BARRANQUILLA'!AL93,"AAAAAH/4uss=")</f>
        <v>#VALUE!</v>
      </c>
      <c r="GW79" t="e">
        <f>AND('SPR BARRANQUILLA'!AM93,"AAAAAH/4usw=")</f>
        <v>#VALUE!</v>
      </c>
      <c r="GX79" t="e">
        <f>AND('SPR BARRANQUILLA'!AN93,"AAAAAH/4us0=")</f>
        <v>#VALUE!</v>
      </c>
      <c r="GY79" t="e">
        <f>AND('SPR BARRANQUILLA'!AO93,"AAAAAH/4us4=")</f>
        <v>#VALUE!</v>
      </c>
      <c r="GZ79" t="e">
        <f>AND('SPR BARRANQUILLA'!AP93,"AAAAAH/4us8=")</f>
        <v>#VALUE!</v>
      </c>
      <c r="HA79" t="e">
        <f>AND('SPR BARRANQUILLA'!AQ93,"AAAAAH/4utA=")</f>
        <v>#VALUE!</v>
      </c>
      <c r="HB79" t="e">
        <f>AND('SPR BARRANQUILLA'!AR93,"AAAAAH/4utE=")</f>
        <v>#VALUE!</v>
      </c>
      <c r="HC79" t="e">
        <f>AND('SPR BARRANQUILLA'!AS93,"AAAAAH/4utI=")</f>
        <v>#VALUE!</v>
      </c>
      <c r="HD79" t="e">
        <f>AND('SPR BARRANQUILLA'!AT93,"AAAAAH/4utM=")</f>
        <v>#VALUE!</v>
      </c>
      <c r="HE79" t="e">
        <f>AND('SPR BARRANQUILLA'!AU93,"AAAAAH/4utQ=")</f>
        <v>#VALUE!</v>
      </c>
      <c r="HF79" t="e">
        <f>AND('SPR BARRANQUILLA'!AV93,"AAAAAH/4utU=")</f>
        <v>#VALUE!</v>
      </c>
      <c r="HG79" t="e">
        <f>AND('SPR BARRANQUILLA'!AW93,"AAAAAH/4utY=")</f>
        <v>#VALUE!</v>
      </c>
      <c r="HH79" t="e">
        <f>AND('SPR BARRANQUILLA'!AX93,"AAAAAH/4utc=")</f>
        <v>#VALUE!</v>
      </c>
      <c r="HI79" t="e">
        <f>AND('SPR BARRANQUILLA'!AY93,"AAAAAH/4utg=")</f>
        <v>#VALUE!</v>
      </c>
      <c r="HJ79" t="e">
        <f>AND('SPR BARRANQUILLA'!AZ93,"AAAAAH/4utk=")</f>
        <v>#VALUE!</v>
      </c>
      <c r="HK79" t="e">
        <f>AND('SPR BARRANQUILLA'!BA93,"AAAAAH/4uto=")</f>
        <v>#VALUE!</v>
      </c>
      <c r="HL79" t="e">
        <f>AND('SPR BARRANQUILLA'!BB93,"AAAAAH/4uts=")</f>
        <v>#VALUE!</v>
      </c>
      <c r="HM79" t="e">
        <f>AND('SPR BARRANQUILLA'!BC93,"AAAAAH/4utw=")</f>
        <v>#VALUE!</v>
      </c>
      <c r="HN79" t="e">
        <f>AND('SPR BARRANQUILLA'!BD93,"AAAAAH/4ut0=")</f>
        <v>#VALUE!</v>
      </c>
      <c r="HO79" t="e">
        <f>AND('SPR BARRANQUILLA'!BE93,"AAAAAH/4ut4=")</f>
        <v>#VALUE!</v>
      </c>
      <c r="HP79" t="e">
        <f>AND('SPR BARRANQUILLA'!BF93,"AAAAAH/4ut8=")</f>
        <v>#VALUE!</v>
      </c>
      <c r="HQ79" t="e">
        <f>AND('SPR BARRANQUILLA'!BG93,"AAAAAH/4uuA=")</f>
        <v>#VALUE!</v>
      </c>
      <c r="HR79" t="e">
        <f>AND('SPR BARRANQUILLA'!BH93,"AAAAAH/4uuE=")</f>
        <v>#VALUE!</v>
      </c>
      <c r="HS79" t="e">
        <f>AND('SPR BARRANQUILLA'!BI93,"AAAAAH/4uuI=")</f>
        <v>#VALUE!</v>
      </c>
      <c r="HT79" t="e">
        <f>AND('SPR BARRANQUILLA'!BJ93,"AAAAAH/4uuM=")</f>
        <v>#VALUE!</v>
      </c>
      <c r="HU79" t="e">
        <f>AND('SPR BARRANQUILLA'!BK93,"AAAAAH/4uuQ=")</f>
        <v>#VALUE!</v>
      </c>
      <c r="HV79" t="e">
        <f>AND('SPR BARRANQUILLA'!BL93,"AAAAAH/4uuU=")</f>
        <v>#VALUE!</v>
      </c>
      <c r="HW79" t="e">
        <f>AND('SPR BARRANQUILLA'!BM93,"AAAAAH/4uuY=")</f>
        <v>#VALUE!</v>
      </c>
      <c r="HX79" t="e">
        <f>AND('SPR BARRANQUILLA'!BN93,"AAAAAH/4uuc=")</f>
        <v>#VALUE!</v>
      </c>
      <c r="HY79" t="e">
        <f>AND('SPR BARRANQUILLA'!BO93,"AAAAAH/4uug=")</f>
        <v>#VALUE!</v>
      </c>
      <c r="HZ79" t="e">
        <f>AND('SPR BARRANQUILLA'!BP93,"AAAAAH/4uuk=")</f>
        <v>#VALUE!</v>
      </c>
      <c r="IA79" t="e">
        <f>AND('SPR BARRANQUILLA'!BQ93,"AAAAAH/4uuo=")</f>
        <v>#VALUE!</v>
      </c>
      <c r="IB79" t="e">
        <f>AND('SPR BARRANQUILLA'!BR93,"AAAAAH/4uus=")</f>
        <v>#VALUE!</v>
      </c>
      <c r="IC79" t="e">
        <f>AND('SPR BARRANQUILLA'!BS93,"AAAAAH/4uuw=")</f>
        <v>#VALUE!</v>
      </c>
      <c r="ID79" t="e">
        <f>AND('SPR BARRANQUILLA'!BT93,"AAAAAH/4uu0=")</f>
        <v>#VALUE!</v>
      </c>
      <c r="IE79" t="e">
        <f>AND('SPR BARRANQUILLA'!BU93,"AAAAAH/4uu4=")</f>
        <v>#VALUE!</v>
      </c>
      <c r="IF79" t="e">
        <f>AND('SPR BARRANQUILLA'!BV93,"AAAAAH/4uu8=")</f>
        <v>#VALUE!</v>
      </c>
      <c r="IG79" t="e">
        <f>AND('SPR BARRANQUILLA'!BW93,"AAAAAH/4uvA=")</f>
        <v>#VALUE!</v>
      </c>
      <c r="IH79" t="e">
        <f>AND('SPR BARRANQUILLA'!BX93,"AAAAAH/4uvE=")</f>
        <v>#VALUE!</v>
      </c>
      <c r="II79" t="e">
        <f>AND('SPR BARRANQUILLA'!BY93,"AAAAAH/4uvI=")</f>
        <v>#VALUE!</v>
      </c>
      <c r="IJ79" t="e">
        <f>AND('SPR BARRANQUILLA'!BZ93,"AAAAAH/4uvM=")</f>
        <v>#VALUE!</v>
      </c>
      <c r="IK79" t="e">
        <f>AND('SPR BARRANQUILLA'!CA93,"AAAAAH/4uvQ=")</f>
        <v>#VALUE!</v>
      </c>
      <c r="IL79" t="e">
        <f>AND('SPR BARRANQUILLA'!CB93,"AAAAAH/4uvU=")</f>
        <v>#VALUE!</v>
      </c>
      <c r="IM79" t="e">
        <f>AND('SPR BARRANQUILLA'!CC93,"AAAAAH/4uvY=")</f>
        <v>#VALUE!</v>
      </c>
      <c r="IN79" t="e">
        <f>AND('SPR BARRANQUILLA'!CD93,"AAAAAH/4uvc=")</f>
        <v>#VALUE!</v>
      </c>
      <c r="IO79" t="e">
        <f>AND('SPR BARRANQUILLA'!CE93,"AAAAAH/4uvg=")</f>
        <v>#VALUE!</v>
      </c>
      <c r="IP79" t="e">
        <f>AND('SPR BARRANQUILLA'!CF93,"AAAAAH/4uvk=")</f>
        <v>#VALUE!</v>
      </c>
      <c r="IQ79" t="e">
        <f>AND('SPR BARRANQUILLA'!CG93,"AAAAAH/4uvo=")</f>
        <v>#VALUE!</v>
      </c>
      <c r="IR79" t="e">
        <f>AND('SPR BARRANQUILLA'!CH93,"AAAAAH/4uvs=")</f>
        <v>#VALUE!</v>
      </c>
      <c r="IS79" t="e">
        <f>AND('SPR BARRANQUILLA'!CI93,"AAAAAH/4uvw=")</f>
        <v>#VALUE!</v>
      </c>
      <c r="IT79" t="e">
        <f>AND('SPR BARRANQUILLA'!CJ93,"AAAAAH/4uv0=")</f>
        <v>#VALUE!</v>
      </c>
      <c r="IU79" t="e">
        <f>AND('SPR BARRANQUILLA'!CK93,"AAAAAH/4uv4=")</f>
        <v>#VALUE!</v>
      </c>
      <c r="IV79" t="e">
        <f>AND('SPR BARRANQUILLA'!CL93,"AAAAAH/4uv8=")</f>
        <v>#VALUE!</v>
      </c>
    </row>
    <row r="80" spans="1:256">
      <c r="A80" t="e">
        <f>AND('SPR BARRANQUILLA'!CM93,"AAAAAH9/9wA=")</f>
        <v>#VALUE!</v>
      </c>
      <c r="B80" t="e">
        <f>AND('SPR BARRANQUILLA'!CN93,"AAAAAH9/9wE=")</f>
        <v>#VALUE!</v>
      </c>
      <c r="C80" t="e">
        <f>AND('SPR BARRANQUILLA'!CO93,"AAAAAH9/9wI=")</f>
        <v>#VALUE!</v>
      </c>
      <c r="D80" t="e">
        <f>AND('SPR BARRANQUILLA'!CP93,"AAAAAH9/9wM=")</f>
        <v>#VALUE!</v>
      </c>
      <c r="E80" t="e">
        <f>AND('SPR BARRANQUILLA'!CQ93,"AAAAAH9/9wQ=")</f>
        <v>#VALUE!</v>
      </c>
      <c r="F80" t="e">
        <f>AND('SPR BARRANQUILLA'!CR93,"AAAAAH9/9wU=")</f>
        <v>#VALUE!</v>
      </c>
      <c r="G80" t="e">
        <f>AND('SPR BARRANQUILLA'!CS93,"AAAAAH9/9wY=")</f>
        <v>#VALUE!</v>
      </c>
      <c r="H80" t="e">
        <f>AND('SPR BARRANQUILLA'!CT93,"AAAAAH9/9wc=")</f>
        <v>#VALUE!</v>
      </c>
      <c r="I80" t="e">
        <f>AND('SPR BARRANQUILLA'!CU93,"AAAAAH9/9wg=")</f>
        <v>#VALUE!</v>
      </c>
      <c r="J80" t="e">
        <f>AND('SPR BARRANQUILLA'!CV93,"AAAAAH9/9wk=")</f>
        <v>#VALUE!</v>
      </c>
      <c r="K80" t="e">
        <f>AND('SPR BARRANQUILLA'!CW93,"AAAAAH9/9wo=")</f>
        <v>#VALUE!</v>
      </c>
      <c r="L80" t="e">
        <f>AND('SPR BARRANQUILLA'!CX93,"AAAAAH9/9ws=")</f>
        <v>#VALUE!</v>
      </c>
      <c r="M80" t="e">
        <f>AND('SPR BARRANQUILLA'!CY93,"AAAAAH9/9ww=")</f>
        <v>#VALUE!</v>
      </c>
      <c r="N80" t="e">
        <f>AND('SPR BARRANQUILLA'!CZ93,"AAAAAH9/9w0=")</f>
        <v>#VALUE!</v>
      </c>
      <c r="O80" t="e">
        <f>AND('SPR BARRANQUILLA'!DA93,"AAAAAH9/9w4=")</f>
        <v>#VALUE!</v>
      </c>
      <c r="P80" t="e">
        <f>AND('SPR BARRANQUILLA'!DB93,"AAAAAH9/9w8=")</f>
        <v>#VALUE!</v>
      </c>
      <c r="Q80" t="e">
        <f>AND('SPR BARRANQUILLA'!DC93,"AAAAAH9/9xA=")</f>
        <v>#VALUE!</v>
      </c>
      <c r="R80" t="e">
        <f>AND('SPR BARRANQUILLA'!DD93,"AAAAAH9/9xE=")</f>
        <v>#VALUE!</v>
      </c>
      <c r="S80" t="e">
        <f>AND('SPR BARRANQUILLA'!DE93,"AAAAAH9/9xI=")</f>
        <v>#VALUE!</v>
      </c>
      <c r="T80" t="e">
        <f>AND('SPR BARRANQUILLA'!DF93,"AAAAAH9/9xM=")</f>
        <v>#VALUE!</v>
      </c>
      <c r="U80" t="e">
        <f>AND('SPR BARRANQUILLA'!DG93,"AAAAAH9/9xQ=")</f>
        <v>#VALUE!</v>
      </c>
      <c r="V80" t="e">
        <f>AND('SPR BARRANQUILLA'!DH93,"AAAAAH9/9xU=")</f>
        <v>#VALUE!</v>
      </c>
      <c r="W80" t="e">
        <f>AND('SPR BARRANQUILLA'!DI93,"AAAAAH9/9xY=")</f>
        <v>#VALUE!</v>
      </c>
      <c r="X80" t="e">
        <f>AND('SPR BARRANQUILLA'!DJ93,"AAAAAH9/9xc=")</f>
        <v>#VALUE!</v>
      </c>
      <c r="Y80" t="e">
        <f>AND('SPR BARRANQUILLA'!DK93,"AAAAAH9/9xg=")</f>
        <v>#VALUE!</v>
      </c>
      <c r="Z80" t="e">
        <f>AND('SPR BARRANQUILLA'!DL93,"AAAAAH9/9xk=")</f>
        <v>#VALUE!</v>
      </c>
      <c r="AA80" t="e">
        <f>AND('SPR BARRANQUILLA'!DM93,"AAAAAH9/9xo=")</f>
        <v>#VALUE!</v>
      </c>
      <c r="AB80" t="e">
        <f>AND('SPR BARRANQUILLA'!DN93,"AAAAAH9/9xs=")</f>
        <v>#VALUE!</v>
      </c>
      <c r="AC80" t="e">
        <f>AND('SPR BARRANQUILLA'!DO93,"AAAAAH9/9xw=")</f>
        <v>#VALUE!</v>
      </c>
      <c r="AD80" t="e">
        <f>AND('SPR BARRANQUILLA'!DP93,"AAAAAH9/9x0=")</f>
        <v>#VALUE!</v>
      </c>
      <c r="AE80" t="e">
        <f>AND('SPR BARRANQUILLA'!DQ93,"AAAAAH9/9x4=")</f>
        <v>#VALUE!</v>
      </c>
      <c r="AF80" t="e">
        <f>AND('SPR BARRANQUILLA'!DR93,"AAAAAH9/9x8=")</f>
        <v>#VALUE!</v>
      </c>
      <c r="AG80" t="e">
        <f>AND('SPR BARRANQUILLA'!DS93,"AAAAAH9/9yA=")</f>
        <v>#VALUE!</v>
      </c>
      <c r="AH80" t="e">
        <f>AND('SPR BARRANQUILLA'!DT93,"AAAAAH9/9yE=")</f>
        <v>#VALUE!</v>
      </c>
      <c r="AI80" t="e">
        <f>AND('SPR BARRANQUILLA'!DU93,"AAAAAH9/9yI=")</f>
        <v>#VALUE!</v>
      </c>
      <c r="AJ80" t="e">
        <f>AND('SPR BARRANQUILLA'!DV93,"AAAAAH9/9yM=")</f>
        <v>#VALUE!</v>
      </c>
      <c r="AK80" t="e">
        <f>AND('SPR BARRANQUILLA'!DW93,"AAAAAH9/9yQ=")</f>
        <v>#VALUE!</v>
      </c>
      <c r="AL80" t="e">
        <f>AND('SPR BARRANQUILLA'!DX93,"AAAAAH9/9yU=")</f>
        <v>#VALUE!</v>
      </c>
      <c r="AM80" t="e">
        <f>AND('SPR BARRANQUILLA'!DY93,"AAAAAH9/9yY=")</f>
        <v>#VALUE!</v>
      </c>
      <c r="AN80" t="e">
        <f>AND('SPR BARRANQUILLA'!DZ93,"AAAAAH9/9yc=")</f>
        <v>#VALUE!</v>
      </c>
      <c r="AO80" t="e">
        <f>AND('SPR BARRANQUILLA'!EA93,"AAAAAH9/9yg=")</f>
        <v>#VALUE!</v>
      </c>
      <c r="AP80" t="e">
        <f>AND('SPR BARRANQUILLA'!EB93,"AAAAAH9/9yk=")</f>
        <v>#VALUE!</v>
      </c>
      <c r="AQ80" t="e">
        <f>AND('SPR BARRANQUILLA'!EC93,"AAAAAH9/9yo=")</f>
        <v>#VALUE!</v>
      </c>
      <c r="AR80" t="e">
        <f>AND('SPR BARRANQUILLA'!ED93,"AAAAAH9/9ys=")</f>
        <v>#VALUE!</v>
      </c>
      <c r="AS80" t="e">
        <f>AND('SPR BARRANQUILLA'!EE93,"AAAAAH9/9yw=")</f>
        <v>#VALUE!</v>
      </c>
      <c r="AT80" t="e">
        <f>AND('SPR BARRANQUILLA'!EF93,"AAAAAH9/9y0=")</f>
        <v>#VALUE!</v>
      </c>
      <c r="AU80" t="e">
        <f>AND('SPR BARRANQUILLA'!EG93,"AAAAAH9/9y4=")</f>
        <v>#VALUE!</v>
      </c>
      <c r="AV80" t="e">
        <f>AND('SPR BARRANQUILLA'!EH93,"AAAAAH9/9y8=")</f>
        <v>#VALUE!</v>
      </c>
      <c r="AW80" t="e">
        <f>AND('SPR BARRANQUILLA'!EI93,"AAAAAH9/9zA=")</f>
        <v>#VALUE!</v>
      </c>
      <c r="AX80" t="e">
        <f>AND('SPR BARRANQUILLA'!EJ93,"AAAAAH9/9zE=")</f>
        <v>#VALUE!</v>
      </c>
      <c r="AY80" t="e">
        <f>AND('SPR BARRANQUILLA'!EK93,"AAAAAH9/9zI=")</f>
        <v>#VALUE!</v>
      </c>
      <c r="AZ80" t="e">
        <f>AND('SPR BARRANQUILLA'!EL93,"AAAAAH9/9zM=")</f>
        <v>#VALUE!</v>
      </c>
      <c r="BA80" t="e">
        <f>AND('SPR BARRANQUILLA'!EM93,"AAAAAH9/9zQ=")</f>
        <v>#VALUE!</v>
      </c>
      <c r="BB80" t="e">
        <f>AND('SPR BARRANQUILLA'!EN93,"AAAAAH9/9zU=")</f>
        <v>#VALUE!</v>
      </c>
      <c r="BC80" t="e">
        <f>AND('SPR BARRANQUILLA'!EO93,"AAAAAH9/9zY=")</f>
        <v>#VALUE!</v>
      </c>
      <c r="BD80" t="e">
        <f>AND('SPR BARRANQUILLA'!EP93,"AAAAAH9/9zc=")</f>
        <v>#VALUE!</v>
      </c>
      <c r="BE80" t="e">
        <f>AND('SPR BARRANQUILLA'!EQ93,"AAAAAH9/9zg=")</f>
        <v>#VALUE!</v>
      </c>
      <c r="BF80" t="e">
        <f>AND('SPR BARRANQUILLA'!ER93,"AAAAAH9/9zk=")</f>
        <v>#VALUE!</v>
      </c>
      <c r="BG80" t="e">
        <f>AND('SPR BARRANQUILLA'!ES93,"AAAAAH9/9zo=")</f>
        <v>#VALUE!</v>
      </c>
      <c r="BH80" t="e">
        <f>AND('SPR BARRANQUILLA'!ET93,"AAAAAH9/9zs=")</f>
        <v>#VALUE!</v>
      </c>
      <c r="BI80" t="e">
        <f>AND('SPR BARRANQUILLA'!EU93,"AAAAAH9/9zw=")</f>
        <v>#VALUE!</v>
      </c>
      <c r="BJ80" t="e">
        <f>AND('SPR BARRANQUILLA'!EV93,"AAAAAH9/9z0=")</f>
        <v>#VALUE!</v>
      </c>
      <c r="BK80" t="e">
        <f>AND('SPR BARRANQUILLA'!EW93,"AAAAAH9/9z4=")</f>
        <v>#VALUE!</v>
      </c>
      <c r="BL80" t="e">
        <f>AND('SPR BARRANQUILLA'!EX93,"AAAAAH9/9z8=")</f>
        <v>#VALUE!</v>
      </c>
      <c r="BM80" t="e">
        <f>AND('SPR BARRANQUILLA'!EY93,"AAAAAH9/90A=")</f>
        <v>#VALUE!</v>
      </c>
      <c r="BN80" t="e">
        <f>AND('SPR BARRANQUILLA'!EZ93,"AAAAAH9/90E=")</f>
        <v>#VALUE!</v>
      </c>
      <c r="BO80" t="e">
        <f>AND('SPR BARRANQUILLA'!FA93,"AAAAAH9/90I=")</f>
        <v>#VALUE!</v>
      </c>
      <c r="BP80" t="e">
        <f>AND('SPR BARRANQUILLA'!FB93,"AAAAAH9/90M=")</f>
        <v>#VALUE!</v>
      </c>
      <c r="BQ80" t="e">
        <f>AND('SPR BARRANQUILLA'!FC93,"AAAAAH9/90Q=")</f>
        <v>#VALUE!</v>
      </c>
      <c r="BR80" t="e">
        <f>AND('SPR BARRANQUILLA'!FD93,"AAAAAH9/90U=")</f>
        <v>#VALUE!</v>
      </c>
      <c r="BS80" t="e">
        <f>AND('SPR BARRANQUILLA'!FE93,"AAAAAH9/90Y=")</f>
        <v>#VALUE!</v>
      </c>
      <c r="BT80" t="e">
        <f>AND('SPR BARRANQUILLA'!FF93,"AAAAAH9/90c=")</f>
        <v>#VALUE!</v>
      </c>
      <c r="BU80" t="e">
        <f>AND('SPR BARRANQUILLA'!FG93,"AAAAAH9/90g=")</f>
        <v>#VALUE!</v>
      </c>
      <c r="BV80" t="e">
        <f>AND('SPR BARRANQUILLA'!FH93,"AAAAAH9/90k=")</f>
        <v>#VALUE!</v>
      </c>
      <c r="BW80" t="e">
        <f>AND('SPR BARRANQUILLA'!FI93,"AAAAAH9/90o=")</f>
        <v>#VALUE!</v>
      </c>
      <c r="BX80" t="e">
        <f>AND('SPR BARRANQUILLA'!FJ93,"AAAAAH9/90s=")</f>
        <v>#VALUE!</v>
      </c>
      <c r="BY80" t="e">
        <f>AND('SPR BARRANQUILLA'!FK93,"AAAAAH9/90w=")</f>
        <v>#VALUE!</v>
      </c>
      <c r="BZ80" t="e">
        <f>AND('SPR BARRANQUILLA'!FL93,"AAAAAH9/900=")</f>
        <v>#VALUE!</v>
      </c>
      <c r="CA80" t="e">
        <f>AND('SPR BARRANQUILLA'!FM93,"AAAAAH9/904=")</f>
        <v>#VALUE!</v>
      </c>
      <c r="CB80" t="e">
        <f>AND('SPR BARRANQUILLA'!FN93,"AAAAAH9/908=")</f>
        <v>#VALUE!</v>
      </c>
      <c r="CC80" t="e">
        <f>AND('SPR BARRANQUILLA'!FO93,"AAAAAH9/91A=")</f>
        <v>#VALUE!</v>
      </c>
      <c r="CD80" t="e">
        <f>AND('SPR BARRANQUILLA'!FP93,"AAAAAH9/91E=")</f>
        <v>#VALUE!</v>
      </c>
      <c r="CE80" t="e">
        <f>AND('SPR BARRANQUILLA'!FQ93,"AAAAAH9/91I=")</f>
        <v>#VALUE!</v>
      </c>
      <c r="CF80" t="e">
        <f>AND('SPR BARRANQUILLA'!FR93,"AAAAAH9/91M=")</f>
        <v>#VALUE!</v>
      </c>
      <c r="CG80" t="e">
        <f>AND('SPR BARRANQUILLA'!FS93,"AAAAAH9/91Q=")</f>
        <v>#VALUE!</v>
      </c>
      <c r="CH80" t="e">
        <f>AND('SPR BARRANQUILLA'!FT93,"AAAAAH9/91U=")</f>
        <v>#VALUE!</v>
      </c>
      <c r="CI80" t="e">
        <f>AND('SPR BARRANQUILLA'!FU93,"AAAAAH9/91Y=")</f>
        <v>#VALUE!</v>
      </c>
      <c r="CJ80" t="e">
        <f>AND('SPR BARRANQUILLA'!FV93,"AAAAAH9/91c=")</f>
        <v>#VALUE!</v>
      </c>
      <c r="CK80" t="e">
        <f>AND('SPR BARRANQUILLA'!FW93,"AAAAAH9/91g=")</f>
        <v>#VALUE!</v>
      </c>
      <c r="CL80" t="e">
        <f>AND('SPR BARRANQUILLA'!FX93,"AAAAAH9/91k=")</f>
        <v>#VALUE!</v>
      </c>
      <c r="CM80" t="e">
        <f>AND('SPR BARRANQUILLA'!FY93,"AAAAAH9/91o=")</f>
        <v>#VALUE!</v>
      </c>
      <c r="CN80" t="e">
        <f>AND('SPR BARRANQUILLA'!FZ93,"AAAAAH9/91s=")</f>
        <v>#VALUE!</v>
      </c>
      <c r="CO80" t="e">
        <f>AND('SPR BARRANQUILLA'!GA93,"AAAAAH9/91w=")</f>
        <v>#VALUE!</v>
      </c>
      <c r="CP80" t="e">
        <f>AND('SPR BARRANQUILLA'!GB93,"AAAAAH9/910=")</f>
        <v>#VALUE!</v>
      </c>
      <c r="CQ80" t="e">
        <f>AND('SPR BARRANQUILLA'!GC93,"AAAAAH9/914=")</f>
        <v>#VALUE!</v>
      </c>
      <c r="CR80" t="e">
        <f>AND('SPR BARRANQUILLA'!GD93,"AAAAAH9/918=")</f>
        <v>#VALUE!</v>
      </c>
      <c r="CS80" t="e">
        <f>AND('SPR BARRANQUILLA'!GE93,"AAAAAH9/92A=")</f>
        <v>#VALUE!</v>
      </c>
      <c r="CT80" t="e">
        <f>AND('SPR BARRANQUILLA'!GF93,"AAAAAH9/92E=")</f>
        <v>#VALUE!</v>
      </c>
      <c r="CU80" t="e">
        <f>AND('SPR BARRANQUILLA'!GG93,"AAAAAH9/92I=")</f>
        <v>#VALUE!</v>
      </c>
      <c r="CV80" t="e">
        <f>AND('SPR BARRANQUILLA'!GH93,"AAAAAH9/92M=")</f>
        <v>#VALUE!</v>
      </c>
      <c r="CW80" t="e">
        <f>AND('SPR BARRANQUILLA'!GI93,"AAAAAH9/92Q=")</f>
        <v>#VALUE!</v>
      </c>
      <c r="CX80" t="e">
        <f>AND('SPR BARRANQUILLA'!GJ93,"AAAAAH9/92U=")</f>
        <v>#VALUE!</v>
      </c>
      <c r="CY80" t="e">
        <f>AND('SPR BARRANQUILLA'!GK93,"AAAAAH9/92Y=")</f>
        <v>#VALUE!</v>
      </c>
      <c r="CZ80" t="e">
        <f>AND('SPR BARRANQUILLA'!GL93,"AAAAAH9/92c=")</f>
        <v>#VALUE!</v>
      </c>
      <c r="DA80" t="e">
        <f>AND('SPR BARRANQUILLA'!GM93,"AAAAAH9/92g=")</f>
        <v>#VALUE!</v>
      </c>
      <c r="DB80" t="e">
        <f>AND('SPR BARRANQUILLA'!GN93,"AAAAAH9/92k=")</f>
        <v>#VALUE!</v>
      </c>
      <c r="DC80" t="e">
        <f>AND('SPR BARRANQUILLA'!GO93,"AAAAAH9/92o=")</f>
        <v>#VALUE!</v>
      </c>
      <c r="DD80" t="e">
        <f>AND('SPR BARRANQUILLA'!GP93,"AAAAAH9/92s=")</f>
        <v>#VALUE!</v>
      </c>
      <c r="DE80" t="e">
        <f>AND('SPR BARRANQUILLA'!GQ93,"AAAAAH9/92w=")</f>
        <v>#VALUE!</v>
      </c>
      <c r="DF80" t="e">
        <f>AND('SPR BARRANQUILLA'!GR93,"AAAAAH9/920=")</f>
        <v>#VALUE!</v>
      </c>
      <c r="DG80" t="e">
        <f>AND('SPR BARRANQUILLA'!GS93,"AAAAAH9/924=")</f>
        <v>#VALUE!</v>
      </c>
      <c r="DH80" t="e">
        <f>AND('SPR BARRANQUILLA'!GT93,"AAAAAH9/928=")</f>
        <v>#VALUE!</v>
      </c>
      <c r="DI80" t="e">
        <f>AND('SPR BARRANQUILLA'!GU93,"AAAAAH9/93A=")</f>
        <v>#VALUE!</v>
      </c>
      <c r="DJ80" t="e">
        <f>AND('SPR BARRANQUILLA'!GV93,"AAAAAH9/93E=")</f>
        <v>#VALUE!</v>
      </c>
      <c r="DK80" t="e">
        <f>AND('SPR BARRANQUILLA'!GW93,"AAAAAH9/93I=")</f>
        <v>#VALUE!</v>
      </c>
      <c r="DL80" t="e">
        <f>AND('SPR BARRANQUILLA'!GX93,"AAAAAH9/93M=")</f>
        <v>#VALUE!</v>
      </c>
      <c r="DM80" t="e">
        <f>AND('SPR BARRANQUILLA'!GY93,"AAAAAH9/93Q=")</f>
        <v>#VALUE!</v>
      </c>
      <c r="DN80">
        <f>IF('SPR BARRANQUILLA'!94:94,"AAAAAH9/93U=",0)</f>
        <v>0</v>
      </c>
      <c r="DO80" t="e">
        <f>AND('SPR BARRANQUILLA'!A94,"AAAAAH9/93Y=")</f>
        <v>#VALUE!</v>
      </c>
      <c r="DP80" t="e">
        <f>AND('SPR BARRANQUILLA'!B94,"AAAAAH9/93c=")</f>
        <v>#VALUE!</v>
      </c>
      <c r="DQ80" t="e">
        <f>AND('SPR BARRANQUILLA'!C94,"AAAAAH9/93g=")</f>
        <v>#VALUE!</v>
      </c>
      <c r="DR80" t="e">
        <f>AND('SPR BARRANQUILLA'!D94,"AAAAAH9/93k=")</f>
        <v>#VALUE!</v>
      </c>
      <c r="DS80" t="e">
        <f>AND('SPR BARRANQUILLA'!E94,"AAAAAH9/93o=")</f>
        <v>#VALUE!</v>
      </c>
      <c r="DT80" t="e">
        <f>AND('SPR BARRANQUILLA'!F94,"AAAAAH9/93s=")</f>
        <v>#VALUE!</v>
      </c>
      <c r="DU80" t="e">
        <f>AND('SPR BARRANQUILLA'!G94,"AAAAAH9/93w=")</f>
        <v>#VALUE!</v>
      </c>
      <c r="DV80" t="e">
        <f>AND('SPR BARRANQUILLA'!H94,"AAAAAH9/930=")</f>
        <v>#VALUE!</v>
      </c>
      <c r="DW80" t="e">
        <f>AND('SPR BARRANQUILLA'!I94,"AAAAAH9/934=")</f>
        <v>#VALUE!</v>
      </c>
      <c r="DX80" t="e">
        <f>AND('SPR BARRANQUILLA'!J94,"AAAAAH9/938=")</f>
        <v>#VALUE!</v>
      </c>
      <c r="DY80" t="e">
        <f>AND('SPR BARRANQUILLA'!K94,"AAAAAH9/94A=")</f>
        <v>#VALUE!</v>
      </c>
      <c r="DZ80" t="e">
        <f>AND('SPR BARRANQUILLA'!L94,"AAAAAH9/94E=")</f>
        <v>#VALUE!</v>
      </c>
      <c r="EA80" t="e">
        <f>AND('SPR BARRANQUILLA'!M94,"AAAAAH9/94I=")</f>
        <v>#VALUE!</v>
      </c>
      <c r="EB80" t="e">
        <f>AND('SPR BARRANQUILLA'!N94,"AAAAAH9/94M=")</f>
        <v>#VALUE!</v>
      </c>
      <c r="EC80" t="e">
        <f>AND('SPR BARRANQUILLA'!O94,"AAAAAH9/94Q=")</f>
        <v>#VALUE!</v>
      </c>
      <c r="ED80" t="e">
        <f>AND('SPR BARRANQUILLA'!P94,"AAAAAH9/94U=")</f>
        <v>#VALUE!</v>
      </c>
      <c r="EE80" t="e">
        <f>AND('SPR BARRANQUILLA'!Q94,"AAAAAH9/94Y=")</f>
        <v>#VALUE!</v>
      </c>
      <c r="EF80" t="e">
        <f>AND('SPR BARRANQUILLA'!R94,"AAAAAH9/94c=")</f>
        <v>#VALUE!</v>
      </c>
      <c r="EG80" t="e">
        <f>AND('SPR BARRANQUILLA'!S94,"AAAAAH9/94g=")</f>
        <v>#VALUE!</v>
      </c>
      <c r="EH80" t="e">
        <f>AND('SPR BARRANQUILLA'!T94,"AAAAAH9/94k=")</f>
        <v>#VALUE!</v>
      </c>
      <c r="EI80" t="e">
        <f>AND('SPR BARRANQUILLA'!U94,"AAAAAH9/94o=")</f>
        <v>#VALUE!</v>
      </c>
      <c r="EJ80" t="e">
        <f>AND('SPR BARRANQUILLA'!V94,"AAAAAH9/94s=")</f>
        <v>#VALUE!</v>
      </c>
      <c r="EK80" t="e">
        <f>AND('SPR BARRANQUILLA'!W94,"AAAAAH9/94w=")</f>
        <v>#VALUE!</v>
      </c>
      <c r="EL80" t="e">
        <f>AND('SPR BARRANQUILLA'!X94,"AAAAAH9/940=")</f>
        <v>#VALUE!</v>
      </c>
      <c r="EM80" t="e">
        <f>AND('SPR BARRANQUILLA'!Y94,"AAAAAH9/944=")</f>
        <v>#VALUE!</v>
      </c>
      <c r="EN80" t="e">
        <f>AND('SPR BARRANQUILLA'!Z94,"AAAAAH9/948=")</f>
        <v>#VALUE!</v>
      </c>
      <c r="EO80" t="e">
        <f>AND('SPR BARRANQUILLA'!AA94,"AAAAAH9/95A=")</f>
        <v>#VALUE!</v>
      </c>
      <c r="EP80" t="e">
        <f>AND('SPR BARRANQUILLA'!AB94,"AAAAAH9/95E=")</f>
        <v>#VALUE!</v>
      </c>
      <c r="EQ80" t="e">
        <f>AND('SPR BARRANQUILLA'!AC94,"AAAAAH9/95I=")</f>
        <v>#VALUE!</v>
      </c>
      <c r="ER80" t="e">
        <f>AND('SPR BARRANQUILLA'!AD94,"AAAAAH9/95M=")</f>
        <v>#VALUE!</v>
      </c>
      <c r="ES80" t="e">
        <f>AND('SPR BARRANQUILLA'!AE94,"AAAAAH9/95Q=")</f>
        <v>#VALUE!</v>
      </c>
      <c r="ET80" t="e">
        <f>AND('SPR BARRANQUILLA'!AF94,"AAAAAH9/95U=")</f>
        <v>#VALUE!</v>
      </c>
      <c r="EU80" t="e">
        <f>AND('SPR BARRANQUILLA'!AG94,"AAAAAH9/95Y=")</f>
        <v>#VALUE!</v>
      </c>
      <c r="EV80" t="e">
        <f>AND('SPR BARRANQUILLA'!AH94,"AAAAAH9/95c=")</f>
        <v>#VALUE!</v>
      </c>
      <c r="EW80" t="e">
        <f>AND('SPR BARRANQUILLA'!AI94,"AAAAAH9/95g=")</f>
        <v>#VALUE!</v>
      </c>
      <c r="EX80" t="e">
        <f>AND('SPR BARRANQUILLA'!AJ94,"AAAAAH9/95k=")</f>
        <v>#VALUE!</v>
      </c>
      <c r="EY80" t="e">
        <f>AND('SPR BARRANQUILLA'!AK94,"AAAAAH9/95o=")</f>
        <v>#VALUE!</v>
      </c>
      <c r="EZ80" t="e">
        <f>AND('SPR BARRANQUILLA'!AL94,"AAAAAH9/95s=")</f>
        <v>#VALUE!</v>
      </c>
      <c r="FA80" t="e">
        <f>AND('SPR BARRANQUILLA'!AM94,"AAAAAH9/95w=")</f>
        <v>#VALUE!</v>
      </c>
      <c r="FB80" t="e">
        <f>AND('SPR BARRANQUILLA'!AN94,"AAAAAH9/950=")</f>
        <v>#VALUE!</v>
      </c>
      <c r="FC80" t="e">
        <f>AND('SPR BARRANQUILLA'!AO94,"AAAAAH9/954=")</f>
        <v>#VALUE!</v>
      </c>
      <c r="FD80" t="e">
        <f>AND('SPR BARRANQUILLA'!AP94,"AAAAAH9/958=")</f>
        <v>#VALUE!</v>
      </c>
      <c r="FE80" t="e">
        <f>AND('SPR BARRANQUILLA'!AQ94,"AAAAAH9/96A=")</f>
        <v>#VALUE!</v>
      </c>
      <c r="FF80" t="e">
        <f>AND('SPR BARRANQUILLA'!AR94,"AAAAAH9/96E=")</f>
        <v>#VALUE!</v>
      </c>
      <c r="FG80" t="e">
        <f>AND('SPR BARRANQUILLA'!AS94,"AAAAAH9/96I=")</f>
        <v>#VALUE!</v>
      </c>
      <c r="FH80" t="e">
        <f>AND('SPR BARRANQUILLA'!AT94,"AAAAAH9/96M=")</f>
        <v>#VALUE!</v>
      </c>
      <c r="FI80" t="e">
        <f>AND('SPR BARRANQUILLA'!AU94,"AAAAAH9/96Q=")</f>
        <v>#VALUE!</v>
      </c>
      <c r="FJ80" t="e">
        <f>AND('SPR BARRANQUILLA'!AV94,"AAAAAH9/96U=")</f>
        <v>#VALUE!</v>
      </c>
      <c r="FK80" t="e">
        <f>AND('SPR BARRANQUILLA'!AW94,"AAAAAH9/96Y=")</f>
        <v>#VALUE!</v>
      </c>
      <c r="FL80" t="e">
        <f>AND('SPR BARRANQUILLA'!AX94,"AAAAAH9/96c=")</f>
        <v>#VALUE!</v>
      </c>
      <c r="FM80" t="e">
        <f>AND('SPR BARRANQUILLA'!AY94,"AAAAAH9/96g=")</f>
        <v>#VALUE!</v>
      </c>
      <c r="FN80" t="e">
        <f>AND('SPR BARRANQUILLA'!AZ94,"AAAAAH9/96k=")</f>
        <v>#VALUE!</v>
      </c>
      <c r="FO80" t="e">
        <f>AND('SPR BARRANQUILLA'!BA94,"AAAAAH9/96o=")</f>
        <v>#VALUE!</v>
      </c>
      <c r="FP80" t="e">
        <f>AND('SPR BARRANQUILLA'!BB94,"AAAAAH9/96s=")</f>
        <v>#VALUE!</v>
      </c>
      <c r="FQ80" t="e">
        <f>AND('SPR BARRANQUILLA'!BC94,"AAAAAH9/96w=")</f>
        <v>#VALUE!</v>
      </c>
      <c r="FR80" t="e">
        <f>AND('SPR BARRANQUILLA'!BD94,"AAAAAH9/960=")</f>
        <v>#VALUE!</v>
      </c>
      <c r="FS80" t="e">
        <f>AND('SPR BARRANQUILLA'!BE94,"AAAAAH9/964=")</f>
        <v>#VALUE!</v>
      </c>
      <c r="FT80" t="e">
        <f>AND('SPR BARRANQUILLA'!BF94,"AAAAAH9/968=")</f>
        <v>#VALUE!</v>
      </c>
      <c r="FU80" t="e">
        <f>AND('SPR BARRANQUILLA'!BG94,"AAAAAH9/97A=")</f>
        <v>#VALUE!</v>
      </c>
      <c r="FV80" t="e">
        <f>AND('SPR BARRANQUILLA'!BH94,"AAAAAH9/97E=")</f>
        <v>#VALUE!</v>
      </c>
      <c r="FW80" t="e">
        <f>AND('SPR BARRANQUILLA'!BI94,"AAAAAH9/97I=")</f>
        <v>#VALUE!</v>
      </c>
      <c r="FX80" t="e">
        <f>AND('SPR BARRANQUILLA'!BJ94,"AAAAAH9/97M=")</f>
        <v>#VALUE!</v>
      </c>
      <c r="FY80" t="e">
        <f>AND('SPR BARRANQUILLA'!BK94,"AAAAAH9/97Q=")</f>
        <v>#VALUE!</v>
      </c>
      <c r="FZ80" t="e">
        <f>AND('SPR BARRANQUILLA'!BL94,"AAAAAH9/97U=")</f>
        <v>#VALUE!</v>
      </c>
      <c r="GA80" t="e">
        <f>AND('SPR BARRANQUILLA'!BM94,"AAAAAH9/97Y=")</f>
        <v>#VALUE!</v>
      </c>
      <c r="GB80" t="e">
        <f>AND('SPR BARRANQUILLA'!BN94,"AAAAAH9/97c=")</f>
        <v>#VALUE!</v>
      </c>
      <c r="GC80" t="e">
        <f>AND('SPR BARRANQUILLA'!BO94,"AAAAAH9/97g=")</f>
        <v>#VALUE!</v>
      </c>
      <c r="GD80" t="e">
        <f>AND('SPR BARRANQUILLA'!BP94,"AAAAAH9/97k=")</f>
        <v>#VALUE!</v>
      </c>
      <c r="GE80" t="e">
        <f>AND('SPR BARRANQUILLA'!BQ94,"AAAAAH9/97o=")</f>
        <v>#VALUE!</v>
      </c>
      <c r="GF80" t="e">
        <f>AND('SPR BARRANQUILLA'!BR94,"AAAAAH9/97s=")</f>
        <v>#VALUE!</v>
      </c>
      <c r="GG80" t="e">
        <f>AND('SPR BARRANQUILLA'!BS94,"AAAAAH9/97w=")</f>
        <v>#VALUE!</v>
      </c>
      <c r="GH80" t="e">
        <f>AND('SPR BARRANQUILLA'!BT94,"AAAAAH9/970=")</f>
        <v>#VALUE!</v>
      </c>
      <c r="GI80" t="e">
        <f>AND('SPR BARRANQUILLA'!BU94,"AAAAAH9/974=")</f>
        <v>#VALUE!</v>
      </c>
      <c r="GJ80" t="e">
        <f>AND('SPR BARRANQUILLA'!BV94,"AAAAAH9/978=")</f>
        <v>#VALUE!</v>
      </c>
      <c r="GK80" t="e">
        <f>AND('SPR BARRANQUILLA'!BW94,"AAAAAH9/98A=")</f>
        <v>#VALUE!</v>
      </c>
      <c r="GL80" t="e">
        <f>AND('SPR BARRANQUILLA'!BX94,"AAAAAH9/98E=")</f>
        <v>#VALUE!</v>
      </c>
      <c r="GM80" t="e">
        <f>AND('SPR BARRANQUILLA'!BY94,"AAAAAH9/98I=")</f>
        <v>#VALUE!</v>
      </c>
      <c r="GN80" t="e">
        <f>AND('SPR BARRANQUILLA'!BZ94,"AAAAAH9/98M=")</f>
        <v>#VALUE!</v>
      </c>
      <c r="GO80" t="e">
        <f>AND('SPR BARRANQUILLA'!CA94,"AAAAAH9/98Q=")</f>
        <v>#VALUE!</v>
      </c>
      <c r="GP80" t="e">
        <f>AND('SPR BARRANQUILLA'!CB94,"AAAAAH9/98U=")</f>
        <v>#VALUE!</v>
      </c>
      <c r="GQ80" t="e">
        <f>AND('SPR BARRANQUILLA'!CC94,"AAAAAH9/98Y=")</f>
        <v>#VALUE!</v>
      </c>
      <c r="GR80" t="e">
        <f>AND('SPR BARRANQUILLA'!CD94,"AAAAAH9/98c=")</f>
        <v>#VALUE!</v>
      </c>
      <c r="GS80" t="e">
        <f>AND('SPR BARRANQUILLA'!CE94,"AAAAAH9/98g=")</f>
        <v>#VALUE!</v>
      </c>
      <c r="GT80" t="e">
        <f>AND('SPR BARRANQUILLA'!CF94,"AAAAAH9/98k=")</f>
        <v>#VALUE!</v>
      </c>
      <c r="GU80" t="e">
        <f>AND('SPR BARRANQUILLA'!CG94,"AAAAAH9/98o=")</f>
        <v>#VALUE!</v>
      </c>
      <c r="GV80" t="e">
        <f>AND('SPR BARRANQUILLA'!CH94,"AAAAAH9/98s=")</f>
        <v>#VALUE!</v>
      </c>
      <c r="GW80" t="e">
        <f>AND('SPR BARRANQUILLA'!CI94,"AAAAAH9/98w=")</f>
        <v>#VALUE!</v>
      </c>
      <c r="GX80" t="e">
        <f>AND('SPR BARRANQUILLA'!CJ94,"AAAAAH9/980=")</f>
        <v>#VALUE!</v>
      </c>
      <c r="GY80" t="e">
        <f>AND('SPR BARRANQUILLA'!CK94,"AAAAAH9/984=")</f>
        <v>#VALUE!</v>
      </c>
      <c r="GZ80" t="e">
        <f>AND('SPR BARRANQUILLA'!CL94,"AAAAAH9/988=")</f>
        <v>#VALUE!</v>
      </c>
      <c r="HA80" t="e">
        <f>AND('SPR BARRANQUILLA'!CM94,"AAAAAH9/99A=")</f>
        <v>#VALUE!</v>
      </c>
      <c r="HB80" t="e">
        <f>AND('SPR BARRANQUILLA'!CN94,"AAAAAH9/99E=")</f>
        <v>#VALUE!</v>
      </c>
      <c r="HC80" t="e">
        <f>AND('SPR BARRANQUILLA'!CO94,"AAAAAH9/99I=")</f>
        <v>#VALUE!</v>
      </c>
      <c r="HD80" t="e">
        <f>AND('SPR BARRANQUILLA'!CP94,"AAAAAH9/99M=")</f>
        <v>#VALUE!</v>
      </c>
      <c r="HE80" t="e">
        <f>AND('SPR BARRANQUILLA'!CQ94,"AAAAAH9/99Q=")</f>
        <v>#VALUE!</v>
      </c>
      <c r="HF80" t="e">
        <f>AND('SPR BARRANQUILLA'!CR94,"AAAAAH9/99U=")</f>
        <v>#VALUE!</v>
      </c>
      <c r="HG80" t="e">
        <f>AND('SPR BARRANQUILLA'!CS94,"AAAAAH9/99Y=")</f>
        <v>#VALUE!</v>
      </c>
      <c r="HH80" t="e">
        <f>AND('SPR BARRANQUILLA'!CT94,"AAAAAH9/99c=")</f>
        <v>#VALUE!</v>
      </c>
      <c r="HI80" t="e">
        <f>AND('SPR BARRANQUILLA'!CU94,"AAAAAH9/99g=")</f>
        <v>#VALUE!</v>
      </c>
      <c r="HJ80" t="e">
        <f>AND('SPR BARRANQUILLA'!CV94,"AAAAAH9/99k=")</f>
        <v>#VALUE!</v>
      </c>
      <c r="HK80" t="e">
        <f>AND('SPR BARRANQUILLA'!CW94,"AAAAAH9/99o=")</f>
        <v>#VALUE!</v>
      </c>
      <c r="HL80" t="e">
        <f>AND('SPR BARRANQUILLA'!CX94,"AAAAAH9/99s=")</f>
        <v>#VALUE!</v>
      </c>
      <c r="HM80" t="e">
        <f>AND('SPR BARRANQUILLA'!CY94,"AAAAAH9/99w=")</f>
        <v>#VALUE!</v>
      </c>
      <c r="HN80" t="e">
        <f>AND('SPR BARRANQUILLA'!CZ94,"AAAAAH9/990=")</f>
        <v>#VALUE!</v>
      </c>
      <c r="HO80" t="e">
        <f>AND('SPR BARRANQUILLA'!DA94,"AAAAAH9/994=")</f>
        <v>#VALUE!</v>
      </c>
      <c r="HP80" t="e">
        <f>AND('SPR BARRANQUILLA'!DB94,"AAAAAH9/998=")</f>
        <v>#VALUE!</v>
      </c>
      <c r="HQ80" t="e">
        <f>AND('SPR BARRANQUILLA'!DC94,"AAAAAH9/9+A=")</f>
        <v>#VALUE!</v>
      </c>
      <c r="HR80" t="e">
        <f>AND('SPR BARRANQUILLA'!DD94,"AAAAAH9/9+E=")</f>
        <v>#VALUE!</v>
      </c>
      <c r="HS80" t="e">
        <f>AND('SPR BARRANQUILLA'!DE94,"AAAAAH9/9+I=")</f>
        <v>#VALUE!</v>
      </c>
      <c r="HT80" t="e">
        <f>AND('SPR BARRANQUILLA'!DF94,"AAAAAH9/9+M=")</f>
        <v>#VALUE!</v>
      </c>
      <c r="HU80" t="e">
        <f>AND('SPR BARRANQUILLA'!DG94,"AAAAAH9/9+Q=")</f>
        <v>#VALUE!</v>
      </c>
      <c r="HV80" t="e">
        <f>AND('SPR BARRANQUILLA'!DH94,"AAAAAH9/9+U=")</f>
        <v>#VALUE!</v>
      </c>
      <c r="HW80" t="e">
        <f>AND('SPR BARRANQUILLA'!DI94,"AAAAAH9/9+Y=")</f>
        <v>#VALUE!</v>
      </c>
      <c r="HX80" t="e">
        <f>AND('SPR BARRANQUILLA'!DJ94,"AAAAAH9/9+c=")</f>
        <v>#VALUE!</v>
      </c>
      <c r="HY80" t="e">
        <f>AND('SPR BARRANQUILLA'!DK94,"AAAAAH9/9+g=")</f>
        <v>#VALUE!</v>
      </c>
      <c r="HZ80" t="e">
        <f>AND('SPR BARRANQUILLA'!DL94,"AAAAAH9/9+k=")</f>
        <v>#VALUE!</v>
      </c>
      <c r="IA80" t="e">
        <f>AND('SPR BARRANQUILLA'!DM94,"AAAAAH9/9+o=")</f>
        <v>#VALUE!</v>
      </c>
      <c r="IB80" t="e">
        <f>AND('SPR BARRANQUILLA'!DN94,"AAAAAH9/9+s=")</f>
        <v>#VALUE!</v>
      </c>
      <c r="IC80" t="e">
        <f>AND('SPR BARRANQUILLA'!DO94,"AAAAAH9/9+w=")</f>
        <v>#VALUE!</v>
      </c>
      <c r="ID80" t="e">
        <f>AND('SPR BARRANQUILLA'!DP94,"AAAAAH9/9+0=")</f>
        <v>#VALUE!</v>
      </c>
      <c r="IE80" t="e">
        <f>AND('SPR BARRANQUILLA'!DQ94,"AAAAAH9/9+4=")</f>
        <v>#VALUE!</v>
      </c>
      <c r="IF80" t="e">
        <f>AND('SPR BARRANQUILLA'!DR94,"AAAAAH9/9+8=")</f>
        <v>#VALUE!</v>
      </c>
      <c r="IG80" t="e">
        <f>AND('SPR BARRANQUILLA'!DS94,"AAAAAH9/9/A=")</f>
        <v>#VALUE!</v>
      </c>
      <c r="IH80" t="e">
        <f>AND('SPR BARRANQUILLA'!DT94,"AAAAAH9/9/E=")</f>
        <v>#VALUE!</v>
      </c>
      <c r="II80" t="e">
        <f>AND('SPR BARRANQUILLA'!DU94,"AAAAAH9/9/I=")</f>
        <v>#VALUE!</v>
      </c>
      <c r="IJ80" t="e">
        <f>AND('SPR BARRANQUILLA'!DV94,"AAAAAH9/9/M=")</f>
        <v>#VALUE!</v>
      </c>
      <c r="IK80" t="e">
        <f>AND('SPR BARRANQUILLA'!DW94,"AAAAAH9/9/Q=")</f>
        <v>#VALUE!</v>
      </c>
      <c r="IL80" t="e">
        <f>AND('SPR BARRANQUILLA'!DX94,"AAAAAH9/9/U=")</f>
        <v>#VALUE!</v>
      </c>
      <c r="IM80" t="e">
        <f>AND('SPR BARRANQUILLA'!DY94,"AAAAAH9/9/Y=")</f>
        <v>#VALUE!</v>
      </c>
      <c r="IN80" t="e">
        <f>AND('SPR BARRANQUILLA'!DZ94,"AAAAAH9/9/c=")</f>
        <v>#VALUE!</v>
      </c>
      <c r="IO80" t="e">
        <f>AND('SPR BARRANQUILLA'!EA94,"AAAAAH9/9/g=")</f>
        <v>#VALUE!</v>
      </c>
      <c r="IP80" t="e">
        <f>AND('SPR BARRANQUILLA'!EB94,"AAAAAH9/9/k=")</f>
        <v>#VALUE!</v>
      </c>
      <c r="IQ80" t="e">
        <f>AND('SPR BARRANQUILLA'!EC94,"AAAAAH9/9/o=")</f>
        <v>#VALUE!</v>
      </c>
      <c r="IR80" t="e">
        <f>AND('SPR BARRANQUILLA'!ED94,"AAAAAH9/9/s=")</f>
        <v>#VALUE!</v>
      </c>
      <c r="IS80" t="e">
        <f>AND('SPR BARRANQUILLA'!EE94,"AAAAAH9/9/w=")</f>
        <v>#VALUE!</v>
      </c>
      <c r="IT80" t="e">
        <f>AND('SPR BARRANQUILLA'!EF94,"AAAAAH9/9/0=")</f>
        <v>#VALUE!</v>
      </c>
      <c r="IU80" t="e">
        <f>AND('SPR BARRANQUILLA'!EG94,"AAAAAH9/9/4=")</f>
        <v>#VALUE!</v>
      </c>
      <c r="IV80" t="e">
        <f>AND('SPR BARRANQUILLA'!EH94,"AAAAAH9/9/8=")</f>
        <v>#VALUE!</v>
      </c>
    </row>
    <row r="81" spans="1:256">
      <c r="A81" t="e">
        <f>AND('SPR BARRANQUILLA'!EI94,"AAAAAFPq3QA=")</f>
        <v>#VALUE!</v>
      </c>
      <c r="B81" t="e">
        <f>AND('SPR BARRANQUILLA'!EJ94,"AAAAAFPq3QE=")</f>
        <v>#VALUE!</v>
      </c>
      <c r="C81" t="e">
        <f>AND('SPR BARRANQUILLA'!EK94,"AAAAAFPq3QI=")</f>
        <v>#VALUE!</v>
      </c>
      <c r="D81" t="e">
        <f>AND('SPR BARRANQUILLA'!EL94,"AAAAAFPq3QM=")</f>
        <v>#VALUE!</v>
      </c>
      <c r="E81" t="e">
        <f>AND('SPR BARRANQUILLA'!EM94,"AAAAAFPq3QQ=")</f>
        <v>#VALUE!</v>
      </c>
      <c r="F81" t="e">
        <f>AND('SPR BARRANQUILLA'!EN94,"AAAAAFPq3QU=")</f>
        <v>#VALUE!</v>
      </c>
      <c r="G81" t="e">
        <f>AND('SPR BARRANQUILLA'!EO94,"AAAAAFPq3QY=")</f>
        <v>#VALUE!</v>
      </c>
      <c r="H81" t="e">
        <f>AND('SPR BARRANQUILLA'!EP94,"AAAAAFPq3Qc=")</f>
        <v>#VALUE!</v>
      </c>
      <c r="I81" t="e">
        <f>AND('SPR BARRANQUILLA'!EQ94,"AAAAAFPq3Qg=")</f>
        <v>#VALUE!</v>
      </c>
      <c r="J81" t="e">
        <f>AND('SPR BARRANQUILLA'!ER94,"AAAAAFPq3Qk=")</f>
        <v>#VALUE!</v>
      </c>
      <c r="K81" t="e">
        <f>AND('SPR BARRANQUILLA'!ES94,"AAAAAFPq3Qo=")</f>
        <v>#VALUE!</v>
      </c>
      <c r="L81" t="e">
        <f>AND('SPR BARRANQUILLA'!ET94,"AAAAAFPq3Qs=")</f>
        <v>#VALUE!</v>
      </c>
      <c r="M81" t="e">
        <f>AND('SPR BARRANQUILLA'!EU94,"AAAAAFPq3Qw=")</f>
        <v>#VALUE!</v>
      </c>
      <c r="N81" t="e">
        <f>AND('SPR BARRANQUILLA'!EV94,"AAAAAFPq3Q0=")</f>
        <v>#VALUE!</v>
      </c>
      <c r="O81" t="e">
        <f>AND('SPR BARRANQUILLA'!EW94,"AAAAAFPq3Q4=")</f>
        <v>#VALUE!</v>
      </c>
      <c r="P81" t="e">
        <f>AND('SPR BARRANQUILLA'!EX94,"AAAAAFPq3Q8=")</f>
        <v>#VALUE!</v>
      </c>
      <c r="Q81" t="e">
        <f>AND('SPR BARRANQUILLA'!EY94,"AAAAAFPq3RA=")</f>
        <v>#VALUE!</v>
      </c>
      <c r="R81" t="e">
        <f>AND('SPR BARRANQUILLA'!EZ94,"AAAAAFPq3RE=")</f>
        <v>#VALUE!</v>
      </c>
      <c r="S81" t="e">
        <f>AND('SPR BARRANQUILLA'!FA94,"AAAAAFPq3RI=")</f>
        <v>#VALUE!</v>
      </c>
      <c r="T81" t="e">
        <f>AND('SPR BARRANQUILLA'!FB94,"AAAAAFPq3RM=")</f>
        <v>#VALUE!</v>
      </c>
      <c r="U81" t="e">
        <f>AND('SPR BARRANQUILLA'!FC94,"AAAAAFPq3RQ=")</f>
        <v>#VALUE!</v>
      </c>
      <c r="V81" t="e">
        <f>AND('SPR BARRANQUILLA'!FD94,"AAAAAFPq3RU=")</f>
        <v>#VALUE!</v>
      </c>
      <c r="W81" t="e">
        <f>AND('SPR BARRANQUILLA'!FE94,"AAAAAFPq3RY=")</f>
        <v>#VALUE!</v>
      </c>
      <c r="X81" t="e">
        <f>AND('SPR BARRANQUILLA'!FF94,"AAAAAFPq3Rc=")</f>
        <v>#VALUE!</v>
      </c>
      <c r="Y81" t="e">
        <f>AND('SPR BARRANQUILLA'!FG94,"AAAAAFPq3Rg=")</f>
        <v>#VALUE!</v>
      </c>
      <c r="Z81" t="e">
        <f>AND('SPR BARRANQUILLA'!FH94,"AAAAAFPq3Rk=")</f>
        <v>#VALUE!</v>
      </c>
      <c r="AA81" t="e">
        <f>AND('SPR BARRANQUILLA'!FI94,"AAAAAFPq3Ro=")</f>
        <v>#VALUE!</v>
      </c>
      <c r="AB81" t="e">
        <f>AND('SPR BARRANQUILLA'!FJ94,"AAAAAFPq3Rs=")</f>
        <v>#VALUE!</v>
      </c>
      <c r="AC81" t="e">
        <f>AND('SPR BARRANQUILLA'!FK94,"AAAAAFPq3Rw=")</f>
        <v>#VALUE!</v>
      </c>
      <c r="AD81" t="e">
        <f>AND('SPR BARRANQUILLA'!FL94,"AAAAAFPq3R0=")</f>
        <v>#VALUE!</v>
      </c>
      <c r="AE81" t="e">
        <f>AND('SPR BARRANQUILLA'!FM94,"AAAAAFPq3R4=")</f>
        <v>#VALUE!</v>
      </c>
      <c r="AF81" t="e">
        <f>AND('SPR BARRANQUILLA'!FN94,"AAAAAFPq3R8=")</f>
        <v>#VALUE!</v>
      </c>
      <c r="AG81" t="e">
        <f>AND('SPR BARRANQUILLA'!FO94,"AAAAAFPq3SA=")</f>
        <v>#VALUE!</v>
      </c>
      <c r="AH81" t="e">
        <f>AND('SPR BARRANQUILLA'!FP94,"AAAAAFPq3SE=")</f>
        <v>#VALUE!</v>
      </c>
      <c r="AI81" t="e">
        <f>AND('SPR BARRANQUILLA'!FQ94,"AAAAAFPq3SI=")</f>
        <v>#VALUE!</v>
      </c>
      <c r="AJ81" t="e">
        <f>AND('SPR BARRANQUILLA'!FR94,"AAAAAFPq3SM=")</f>
        <v>#VALUE!</v>
      </c>
      <c r="AK81" t="e">
        <f>AND('SPR BARRANQUILLA'!FS94,"AAAAAFPq3SQ=")</f>
        <v>#VALUE!</v>
      </c>
      <c r="AL81" t="e">
        <f>AND('SPR BARRANQUILLA'!FT94,"AAAAAFPq3SU=")</f>
        <v>#VALUE!</v>
      </c>
      <c r="AM81" t="e">
        <f>AND('SPR BARRANQUILLA'!FU94,"AAAAAFPq3SY=")</f>
        <v>#VALUE!</v>
      </c>
      <c r="AN81" t="e">
        <f>AND('SPR BARRANQUILLA'!FV94,"AAAAAFPq3Sc=")</f>
        <v>#VALUE!</v>
      </c>
      <c r="AO81" t="e">
        <f>AND('SPR BARRANQUILLA'!FW94,"AAAAAFPq3Sg=")</f>
        <v>#VALUE!</v>
      </c>
      <c r="AP81" t="e">
        <f>AND('SPR BARRANQUILLA'!FX94,"AAAAAFPq3Sk=")</f>
        <v>#VALUE!</v>
      </c>
      <c r="AQ81" t="e">
        <f>AND('SPR BARRANQUILLA'!FY94,"AAAAAFPq3So=")</f>
        <v>#VALUE!</v>
      </c>
      <c r="AR81" t="e">
        <f>AND('SPR BARRANQUILLA'!FZ94,"AAAAAFPq3Ss=")</f>
        <v>#VALUE!</v>
      </c>
      <c r="AS81" t="e">
        <f>AND('SPR BARRANQUILLA'!GA94,"AAAAAFPq3Sw=")</f>
        <v>#VALUE!</v>
      </c>
      <c r="AT81" t="e">
        <f>AND('SPR BARRANQUILLA'!GB94,"AAAAAFPq3S0=")</f>
        <v>#VALUE!</v>
      </c>
      <c r="AU81" t="e">
        <f>AND('SPR BARRANQUILLA'!GC94,"AAAAAFPq3S4=")</f>
        <v>#VALUE!</v>
      </c>
      <c r="AV81" t="e">
        <f>AND('SPR BARRANQUILLA'!GD94,"AAAAAFPq3S8=")</f>
        <v>#VALUE!</v>
      </c>
      <c r="AW81" t="e">
        <f>AND('SPR BARRANQUILLA'!GE94,"AAAAAFPq3TA=")</f>
        <v>#VALUE!</v>
      </c>
      <c r="AX81" t="e">
        <f>AND('SPR BARRANQUILLA'!GF94,"AAAAAFPq3TE=")</f>
        <v>#VALUE!</v>
      </c>
      <c r="AY81" t="e">
        <f>AND('SPR BARRANQUILLA'!GG94,"AAAAAFPq3TI=")</f>
        <v>#VALUE!</v>
      </c>
      <c r="AZ81" t="e">
        <f>AND('SPR BARRANQUILLA'!GH94,"AAAAAFPq3TM=")</f>
        <v>#VALUE!</v>
      </c>
      <c r="BA81" t="e">
        <f>AND('SPR BARRANQUILLA'!GI94,"AAAAAFPq3TQ=")</f>
        <v>#VALUE!</v>
      </c>
      <c r="BB81" t="e">
        <f>AND('SPR BARRANQUILLA'!GJ94,"AAAAAFPq3TU=")</f>
        <v>#VALUE!</v>
      </c>
      <c r="BC81" t="e">
        <f>AND('SPR BARRANQUILLA'!GK94,"AAAAAFPq3TY=")</f>
        <v>#VALUE!</v>
      </c>
      <c r="BD81" t="e">
        <f>AND('SPR BARRANQUILLA'!GL94,"AAAAAFPq3Tc=")</f>
        <v>#VALUE!</v>
      </c>
      <c r="BE81" t="e">
        <f>AND('SPR BARRANQUILLA'!GM94,"AAAAAFPq3Tg=")</f>
        <v>#VALUE!</v>
      </c>
      <c r="BF81" t="e">
        <f>AND('SPR BARRANQUILLA'!GN94,"AAAAAFPq3Tk=")</f>
        <v>#VALUE!</v>
      </c>
      <c r="BG81" t="e">
        <f>AND('SPR BARRANQUILLA'!GO94,"AAAAAFPq3To=")</f>
        <v>#VALUE!</v>
      </c>
      <c r="BH81" t="e">
        <f>AND('SPR BARRANQUILLA'!GP94,"AAAAAFPq3Ts=")</f>
        <v>#VALUE!</v>
      </c>
      <c r="BI81" t="e">
        <f>AND('SPR BARRANQUILLA'!GQ94,"AAAAAFPq3Tw=")</f>
        <v>#VALUE!</v>
      </c>
      <c r="BJ81" t="e">
        <f>AND('SPR BARRANQUILLA'!GR94,"AAAAAFPq3T0=")</f>
        <v>#VALUE!</v>
      </c>
      <c r="BK81" t="e">
        <f>AND('SPR BARRANQUILLA'!GS94,"AAAAAFPq3T4=")</f>
        <v>#VALUE!</v>
      </c>
      <c r="BL81" t="e">
        <f>AND('SPR BARRANQUILLA'!GT94,"AAAAAFPq3T8=")</f>
        <v>#VALUE!</v>
      </c>
      <c r="BM81" t="e">
        <f>AND('SPR BARRANQUILLA'!GU94,"AAAAAFPq3UA=")</f>
        <v>#VALUE!</v>
      </c>
      <c r="BN81" t="e">
        <f>AND('SPR BARRANQUILLA'!GV94,"AAAAAFPq3UE=")</f>
        <v>#VALUE!</v>
      </c>
      <c r="BO81" t="e">
        <f>AND('SPR BARRANQUILLA'!GW94,"AAAAAFPq3UI=")</f>
        <v>#VALUE!</v>
      </c>
      <c r="BP81" t="e">
        <f>AND('SPR BARRANQUILLA'!GX94,"AAAAAFPq3UM=")</f>
        <v>#VALUE!</v>
      </c>
      <c r="BQ81" t="e">
        <f>AND('SPR BARRANQUILLA'!GY94,"AAAAAFPq3UQ=")</f>
        <v>#VALUE!</v>
      </c>
      <c r="BR81">
        <f>IF('SPR BARRANQUILLA'!95:95,"AAAAAFPq3UU=",0)</f>
        <v>0</v>
      </c>
      <c r="BS81" t="e">
        <f>AND('SPR BARRANQUILLA'!A95,"AAAAAFPq3UY=")</f>
        <v>#VALUE!</v>
      </c>
      <c r="BT81" t="e">
        <f>AND('SPR BARRANQUILLA'!B95,"AAAAAFPq3Uc=")</f>
        <v>#VALUE!</v>
      </c>
      <c r="BU81" t="e">
        <f>AND('SPR BARRANQUILLA'!C95,"AAAAAFPq3Ug=")</f>
        <v>#VALUE!</v>
      </c>
      <c r="BV81" t="e">
        <f>AND('SPR BARRANQUILLA'!D95,"AAAAAFPq3Uk=")</f>
        <v>#VALUE!</v>
      </c>
      <c r="BW81" t="e">
        <f>AND('SPR BARRANQUILLA'!E95,"AAAAAFPq3Uo=")</f>
        <v>#VALUE!</v>
      </c>
      <c r="BX81" t="e">
        <f>AND('SPR BARRANQUILLA'!F95,"AAAAAFPq3Us=")</f>
        <v>#VALUE!</v>
      </c>
      <c r="BY81" t="e">
        <f>AND('SPR BARRANQUILLA'!G95,"AAAAAFPq3Uw=")</f>
        <v>#VALUE!</v>
      </c>
      <c r="BZ81" t="e">
        <f>AND('SPR BARRANQUILLA'!H95,"AAAAAFPq3U0=")</f>
        <v>#VALUE!</v>
      </c>
      <c r="CA81" t="e">
        <f>AND('SPR BARRANQUILLA'!I95,"AAAAAFPq3U4=")</f>
        <v>#VALUE!</v>
      </c>
      <c r="CB81" t="e">
        <f>AND('SPR BARRANQUILLA'!J95,"AAAAAFPq3U8=")</f>
        <v>#VALUE!</v>
      </c>
      <c r="CC81" t="e">
        <f>AND('SPR BARRANQUILLA'!K95,"AAAAAFPq3VA=")</f>
        <v>#VALUE!</v>
      </c>
      <c r="CD81" t="e">
        <f>AND('SPR BARRANQUILLA'!L95,"AAAAAFPq3VE=")</f>
        <v>#VALUE!</v>
      </c>
      <c r="CE81" t="e">
        <f>AND('SPR BARRANQUILLA'!M95,"AAAAAFPq3VI=")</f>
        <v>#VALUE!</v>
      </c>
      <c r="CF81" t="e">
        <f>AND('SPR BARRANQUILLA'!N95,"AAAAAFPq3VM=")</f>
        <v>#VALUE!</v>
      </c>
      <c r="CG81" t="e">
        <f>AND('SPR BARRANQUILLA'!O95,"AAAAAFPq3VQ=")</f>
        <v>#VALUE!</v>
      </c>
      <c r="CH81" t="e">
        <f>AND('SPR BARRANQUILLA'!P95,"AAAAAFPq3VU=")</f>
        <v>#VALUE!</v>
      </c>
      <c r="CI81" t="e">
        <f>AND('SPR BARRANQUILLA'!Q95,"AAAAAFPq3VY=")</f>
        <v>#VALUE!</v>
      </c>
      <c r="CJ81" t="e">
        <f>AND('SPR BARRANQUILLA'!R95,"AAAAAFPq3Vc=")</f>
        <v>#VALUE!</v>
      </c>
      <c r="CK81" t="e">
        <f>AND('SPR BARRANQUILLA'!S95,"AAAAAFPq3Vg=")</f>
        <v>#VALUE!</v>
      </c>
      <c r="CL81" t="e">
        <f>AND('SPR BARRANQUILLA'!T95,"AAAAAFPq3Vk=")</f>
        <v>#VALUE!</v>
      </c>
      <c r="CM81" t="e">
        <f>AND('SPR BARRANQUILLA'!U95,"AAAAAFPq3Vo=")</f>
        <v>#VALUE!</v>
      </c>
      <c r="CN81" t="e">
        <f>AND('SPR BARRANQUILLA'!V95,"AAAAAFPq3Vs=")</f>
        <v>#VALUE!</v>
      </c>
      <c r="CO81" t="e">
        <f>AND('SPR BARRANQUILLA'!W95,"AAAAAFPq3Vw=")</f>
        <v>#VALUE!</v>
      </c>
      <c r="CP81" t="e">
        <f>AND('SPR BARRANQUILLA'!X95,"AAAAAFPq3V0=")</f>
        <v>#VALUE!</v>
      </c>
      <c r="CQ81" t="e">
        <f>AND('SPR BARRANQUILLA'!Y95,"AAAAAFPq3V4=")</f>
        <v>#VALUE!</v>
      </c>
      <c r="CR81" t="e">
        <f>AND('SPR BARRANQUILLA'!Z95,"AAAAAFPq3V8=")</f>
        <v>#VALUE!</v>
      </c>
      <c r="CS81" t="e">
        <f>AND('SPR BARRANQUILLA'!AA95,"AAAAAFPq3WA=")</f>
        <v>#VALUE!</v>
      </c>
      <c r="CT81" t="e">
        <f>AND('SPR BARRANQUILLA'!AB95,"AAAAAFPq3WE=")</f>
        <v>#VALUE!</v>
      </c>
      <c r="CU81" t="e">
        <f>AND('SPR BARRANQUILLA'!AC95,"AAAAAFPq3WI=")</f>
        <v>#VALUE!</v>
      </c>
      <c r="CV81" t="e">
        <f>AND('SPR BARRANQUILLA'!AD95,"AAAAAFPq3WM=")</f>
        <v>#VALUE!</v>
      </c>
      <c r="CW81" t="e">
        <f>AND('SPR BARRANQUILLA'!AE95,"AAAAAFPq3WQ=")</f>
        <v>#VALUE!</v>
      </c>
      <c r="CX81" t="e">
        <f>AND('SPR BARRANQUILLA'!AF95,"AAAAAFPq3WU=")</f>
        <v>#VALUE!</v>
      </c>
      <c r="CY81" t="e">
        <f>AND('SPR BARRANQUILLA'!AG95,"AAAAAFPq3WY=")</f>
        <v>#VALUE!</v>
      </c>
      <c r="CZ81" t="e">
        <f>AND('SPR BARRANQUILLA'!AH95,"AAAAAFPq3Wc=")</f>
        <v>#VALUE!</v>
      </c>
      <c r="DA81" t="e">
        <f>AND('SPR BARRANQUILLA'!AI95,"AAAAAFPq3Wg=")</f>
        <v>#VALUE!</v>
      </c>
      <c r="DB81" t="e">
        <f>AND('SPR BARRANQUILLA'!AJ95,"AAAAAFPq3Wk=")</f>
        <v>#VALUE!</v>
      </c>
      <c r="DC81" t="e">
        <f>AND('SPR BARRANQUILLA'!AK95,"AAAAAFPq3Wo=")</f>
        <v>#VALUE!</v>
      </c>
      <c r="DD81" t="e">
        <f>AND('SPR BARRANQUILLA'!AL95,"AAAAAFPq3Ws=")</f>
        <v>#VALUE!</v>
      </c>
      <c r="DE81" t="e">
        <f>AND('SPR BARRANQUILLA'!AM95,"AAAAAFPq3Ww=")</f>
        <v>#VALUE!</v>
      </c>
      <c r="DF81" t="e">
        <f>AND('SPR BARRANQUILLA'!AN95,"AAAAAFPq3W0=")</f>
        <v>#VALUE!</v>
      </c>
      <c r="DG81" t="e">
        <f>AND('SPR BARRANQUILLA'!AO95,"AAAAAFPq3W4=")</f>
        <v>#VALUE!</v>
      </c>
      <c r="DH81" t="e">
        <f>AND('SPR BARRANQUILLA'!AP95,"AAAAAFPq3W8=")</f>
        <v>#VALUE!</v>
      </c>
      <c r="DI81" t="e">
        <f>AND('SPR BARRANQUILLA'!AQ95,"AAAAAFPq3XA=")</f>
        <v>#VALUE!</v>
      </c>
      <c r="DJ81" t="e">
        <f>AND('SPR BARRANQUILLA'!AR95,"AAAAAFPq3XE=")</f>
        <v>#VALUE!</v>
      </c>
      <c r="DK81" t="e">
        <f>AND('SPR BARRANQUILLA'!AS95,"AAAAAFPq3XI=")</f>
        <v>#VALUE!</v>
      </c>
      <c r="DL81" t="e">
        <f>AND('SPR BARRANQUILLA'!AT95,"AAAAAFPq3XM=")</f>
        <v>#VALUE!</v>
      </c>
      <c r="DM81" t="e">
        <f>AND('SPR BARRANQUILLA'!AU95,"AAAAAFPq3XQ=")</f>
        <v>#VALUE!</v>
      </c>
      <c r="DN81" t="e">
        <f>AND('SPR BARRANQUILLA'!AV95,"AAAAAFPq3XU=")</f>
        <v>#VALUE!</v>
      </c>
      <c r="DO81" t="e">
        <f>AND('SPR BARRANQUILLA'!AW95,"AAAAAFPq3XY=")</f>
        <v>#VALUE!</v>
      </c>
      <c r="DP81" t="e">
        <f>AND('SPR BARRANQUILLA'!AX95,"AAAAAFPq3Xc=")</f>
        <v>#VALUE!</v>
      </c>
      <c r="DQ81" t="e">
        <f>AND('SPR BARRANQUILLA'!AY95,"AAAAAFPq3Xg=")</f>
        <v>#VALUE!</v>
      </c>
      <c r="DR81" t="e">
        <f>AND('SPR BARRANQUILLA'!AZ95,"AAAAAFPq3Xk=")</f>
        <v>#VALUE!</v>
      </c>
      <c r="DS81" t="e">
        <f>AND('SPR BARRANQUILLA'!BA95,"AAAAAFPq3Xo=")</f>
        <v>#VALUE!</v>
      </c>
      <c r="DT81" t="e">
        <f>AND('SPR BARRANQUILLA'!BB95,"AAAAAFPq3Xs=")</f>
        <v>#VALUE!</v>
      </c>
      <c r="DU81" t="e">
        <f>AND('SPR BARRANQUILLA'!BC95,"AAAAAFPq3Xw=")</f>
        <v>#VALUE!</v>
      </c>
      <c r="DV81" t="e">
        <f>AND('SPR BARRANQUILLA'!BD95,"AAAAAFPq3X0=")</f>
        <v>#VALUE!</v>
      </c>
      <c r="DW81" t="e">
        <f>AND('SPR BARRANQUILLA'!BE95,"AAAAAFPq3X4=")</f>
        <v>#VALUE!</v>
      </c>
      <c r="DX81" t="e">
        <f>AND('SPR BARRANQUILLA'!BF95,"AAAAAFPq3X8=")</f>
        <v>#VALUE!</v>
      </c>
      <c r="DY81" t="e">
        <f>AND('SPR BARRANQUILLA'!BG95,"AAAAAFPq3YA=")</f>
        <v>#VALUE!</v>
      </c>
      <c r="DZ81" t="e">
        <f>AND('SPR BARRANQUILLA'!BH95,"AAAAAFPq3YE=")</f>
        <v>#VALUE!</v>
      </c>
      <c r="EA81" t="e">
        <f>AND('SPR BARRANQUILLA'!BI95,"AAAAAFPq3YI=")</f>
        <v>#VALUE!</v>
      </c>
      <c r="EB81" t="e">
        <f>AND('SPR BARRANQUILLA'!BJ95,"AAAAAFPq3YM=")</f>
        <v>#VALUE!</v>
      </c>
      <c r="EC81" t="e">
        <f>AND('SPR BARRANQUILLA'!BK95,"AAAAAFPq3YQ=")</f>
        <v>#VALUE!</v>
      </c>
      <c r="ED81" t="e">
        <f>AND('SPR BARRANQUILLA'!BL95,"AAAAAFPq3YU=")</f>
        <v>#VALUE!</v>
      </c>
      <c r="EE81" t="e">
        <f>AND('SPR BARRANQUILLA'!BM95,"AAAAAFPq3YY=")</f>
        <v>#VALUE!</v>
      </c>
      <c r="EF81" t="e">
        <f>AND('SPR BARRANQUILLA'!BN95,"AAAAAFPq3Yc=")</f>
        <v>#VALUE!</v>
      </c>
      <c r="EG81" t="e">
        <f>AND('SPR BARRANQUILLA'!BO95,"AAAAAFPq3Yg=")</f>
        <v>#VALUE!</v>
      </c>
      <c r="EH81" t="e">
        <f>AND('SPR BARRANQUILLA'!BP95,"AAAAAFPq3Yk=")</f>
        <v>#VALUE!</v>
      </c>
      <c r="EI81" t="e">
        <f>AND('SPR BARRANQUILLA'!BQ95,"AAAAAFPq3Yo=")</f>
        <v>#VALUE!</v>
      </c>
      <c r="EJ81" t="e">
        <f>AND('SPR BARRANQUILLA'!BR95,"AAAAAFPq3Ys=")</f>
        <v>#VALUE!</v>
      </c>
      <c r="EK81" t="e">
        <f>AND('SPR BARRANQUILLA'!BS95,"AAAAAFPq3Yw=")</f>
        <v>#VALUE!</v>
      </c>
      <c r="EL81" t="e">
        <f>AND('SPR BARRANQUILLA'!BT95,"AAAAAFPq3Y0=")</f>
        <v>#VALUE!</v>
      </c>
      <c r="EM81" t="e">
        <f>AND('SPR BARRANQUILLA'!BU95,"AAAAAFPq3Y4=")</f>
        <v>#VALUE!</v>
      </c>
      <c r="EN81" t="e">
        <f>AND('SPR BARRANQUILLA'!BV95,"AAAAAFPq3Y8=")</f>
        <v>#VALUE!</v>
      </c>
      <c r="EO81" t="e">
        <f>AND('SPR BARRANQUILLA'!BW95,"AAAAAFPq3ZA=")</f>
        <v>#VALUE!</v>
      </c>
      <c r="EP81" t="e">
        <f>AND('SPR BARRANQUILLA'!BX95,"AAAAAFPq3ZE=")</f>
        <v>#VALUE!</v>
      </c>
      <c r="EQ81" t="e">
        <f>AND('SPR BARRANQUILLA'!BY95,"AAAAAFPq3ZI=")</f>
        <v>#VALUE!</v>
      </c>
      <c r="ER81" t="e">
        <f>AND('SPR BARRANQUILLA'!BZ95,"AAAAAFPq3ZM=")</f>
        <v>#VALUE!</v>
      </c>
      <c r="ES81" t="e">
        <f>AND('SPR BARRANQUILLA'!CA95,"AAAAAFPq3ZQ=")</f>
        <v>#VALUE!</v>
      </c>
      <c r="ET81" t="e">
        <f>AND('SPR BARRANQUILLA'!CB95,"AAAAAFPq3ZU=")</f>
        <v>#VALUE!</v>
      </c>
      <c r="EU81" t="e">
        <f>AND('SPR BARRANQUILLA'!CC95,"AAAAAFPq3ZY=")</f>
        <v>#VALUE!</v>
      </c>
      <c r="EV81" t="e">
        <f>AND('SPR BARRANQUILLA'!CD95,"AAAAAFPq3Zc=")</f>
        <v>#VALUE!</v>
      </c>
      <c r="EW81" t="e">
        <f>AND('SPR BARRANQUILLA'!CE95,"AAAAAFPq3Zg=")</f>
        <v>#VALUE!</v>
      </c>
      <c r="EX81" t="e">
        <f>AND('SPR BARRANQUILLA'!CF95,"AAAAAFPq3Zk=")</f>
        <v>#VALUE!</v>
      </c>
      <c r="EY81" t="e">
        <f>AND('SPR BARRANQUILLA'!CG95,"AAAAAFPq3Zo=")</f>
        <v>#VALUE!</v>
      </c>
      <c r="EZ81" t="e">
        <f>AND('SPR BARRANQUILLA'!CH95,"AAAAAFPq3Zs=")</f>
        <v>#VALUE!</v>
      </c>
      <c r="FA81" t="e">
        <f>AND('SPR BARRANQUILLA'!CI95,"AAAAAFPq3Zw=")</f>
        <v>#VALUE!</v>
      </c>
      <c r="FB81" t="e">
        <f>AND('SPR BARRANQUILLA'!CJ95,"AAAAAFPq3Z0=")</f>
        <v>#VALUE!</v>
      </c>
      <c r="FC81" t="e">
        <f>AND('SPR BARRANQUILLA'!CK95,"AAAAAFPq3Z4=")</f>
        <v>#VALUE!</v>
      </c>
      <c r="FD81" t="e">
        <f>AND('SPR BARRANQUILLA'!CL95,"AAAAAFPq3Z8=")</f>
        <v>#VALUE!</v>
      </c>
      <c r="FE81" t="e">
        <f>AND('SPR BARRANQUILLA'!CM95,"AAAAAFPq3aA=")</f>
        <v>#VALUE!</v>
      </c>
      <c r="FF81" t="e">
        <f>AND('SPR BARRANQUILLA'!CN95,"AAAAAFPq3aE=")</f>
        <v>#VALUE!</v>
      </c>
      <c r="FG81" t="e">
        <f>AND('SPR BARRANQUILLA'!CO95,"AAAAAFPq3aI=")</f>
        <v>#VALUE!</v>
      </c>
      <c r="FH81" t="e">
        <f>AND('SPR BARRANQUILLA'!CP95,"AAAAAFPq3aM=")</f>
        <v>#VALUE!</v>
      </c>
      <c r="FI81" t="e">
        <f>AND('SPR BARRANQUILLA'!CQ95,"AAAAAFPq3aQ=")</f>
        <v>#VALUE!</v>
      </c>
      <c r="FJ81" t="e">
        <f>AND('SPR BARRANQUILLA'!CR95,"AAAAAFPq3aU=")</f>
        <v>#VALUE!</v>
      </c>
      <c r="FK81" t="e">
        <f>AND('SPR BARRANQUILLA'!CS95,"AAAAAFPq3aY=")</f>
        <v>#VALUE!</v>
      </c>
      <c r="FL81" t="e">
        <f>AND('SPR BARRANQUILLA'!CT95,"AAAAAFPq3ac=")</f>
        <v>#VALUE!</v>
      </c>
      <c r="FM81" t="e">
        <f>AND('SPR BARRANQUILLA'!CU95,"AAAAAFPq3ag=")</f>
        <v>#VALUE!</v>
      </c>
      <c r="FN81" t="e">
        <f>AND('SPR BARRANQUILLA'!CV95,"AAAAAFPq3ak=")</f>
        <v>#VALUE!</v>
      </c>
      <c r="FO81" t="e">
        <f>AND('SPR BARRANQUILLA'!CW95,"AAAAAFPq3ao=")</f>
        <v>#VALUE!</v>
      </c>
      <c r="FP81" t="e">
        <f>AND('SPR BARRANQUILLA'!CX95,"AAAAAFPq3as=")</f>
        <v>#VALUE!</v>
      </c>
      <c r="FQ81" t="e">
        <f>AND('SPR BARRANQUILLA'!CY95,"AAAAAFPq3aw=")</f>
        <v>#VALUE!</v>
      </c>
      <c r="FR81" t="e">
        <f>AND('SPR BARRANQUILLA'!CZ95,"AAAAAFPq3a0=")</f>
        <v>#VALUE!</v>
      </c>
      <c r="FS81" t="e">
        <f>AND('SPR BARRANQUILLA'!DA95,"AAAAAFPq3a4=")</f>
        <v>#VALUE!</v>
      </c>
      <c r="FT81" t="e">
        <f>AND('SPR BARRANQUILLA'!DB95,"AAAAAFPq3a8=")</f>
        <v>#VALUE!</v>
      </c>
      <c r="FU81" t="e">
        <f>AND('SPR BARRANQUILLA'!DC95,"AAAAAFPq3bA=")</f>
        <v>#VALUE!</v>
      </c>
      <c r="FV81" t="e">
        <f>AND('SPR BARRANQUILLA'!DD95,"AAAAAFPq3bE=")</f>
        <v>#VALUE!</v>
      </c>
      <c r="FW81" t="e">
        <f>AND('SPR BARRANQUILLA'!DE95,"AAAAAFPq3bI=")</f>
        <v>#VALUE!</v>
      </c>
      <c r="FX81" t="e">
        <f>AND('SPR BARRANQUILLA'!DF95,"AAAAAFPq3bM=")</f>
        <v>#VALUE!</v>
      </c>
      <c r="FY81" t="e">
        <f>AND('SPR BARRANQUILLA'!DG95,"AAAAAFPq3bQ=")</f>
        <v>#VALUE!</v>
      </c>
      <c r="FZ81" t="e">
        <f>AND('SPR BARRANQUILLA'!DH95,"AAAAAFPq3bU=")</f>
        <v>#VALUE!</v>
      </c>
      <c r="GA81" t="e">
        <f>AND('SPR BARRANQUILLA'!DI95,"AAAAAFPq3bY=")</f>
        <v>#VALUE!</v>
      </c>
      <c r="GB81" t="e">
        <f>AND('SPR BARRANQUILLA'!DJ95,"AAAAAFPq3bc=")</f>
        <v>#VALUE!</v>
      </c>
      <c r="GC81" t="e">
        <f>AND('SPR BARRANQUILLA'!DK95,"AAAAAFPq3bg=")</f>
        <v>#VALUE!</v>
      </c>
      <c r="GD81" t="e">
        <f>AND('SPR BARRANQUILLA'!DL95,"AAAAAFPq3bk=")</f>
        <v>#VALUE!</v>
      </c>
      <c r="GE81" t="e">
        <f>AND('SPR BARRANQUILLA'!DM95,"AAAAAFPq3bo=")</f>
        <v>#VALUE!</v>
      </c>
      <c r="GF81" t="e">
        <f>AND('SPR BARRANQUILLA'!DN95,"AAAAAFPq3bs=")</f>
        <v>#VALUE!</v>
      </c>
      <c r="GG81" t="e">
        <f>AND('SPR BARRANQUILLA'!DO95,"AAAAAFPq3bw=")</f>
        <v>#VALUE!</v>
      </c>
      <c r="GH81" t="e">
        <f>AND('SPR BARRANQUILLA'!DP95,"AAAAAFPq3b0=")</f>
        <v>#VALUE!</v>
      </c>
      <c r="GI81" t="e">
        <f>AND('SPR BARRANQUILLA'!DQ95,"AAAAAFPq3b4=")</f>
        <v>#VALUE!</v>
      </c>
      <c r="GJ81" t="e">
        <f>AND('SPR BARRANQUILLA'!DR95,"AAAAAFPq3b8=")</f>
        <v>#VALUE!</v>
      </c>
      <c r="GK81" t="e">
        <f>AND('SPR BARRANQUILLA'!DS95,"AAAAAFPq3cA=")</f>
        <v>#VALUE!</v>
      </c>
      <c r="GL81" t="e">
        <f>AND('SPR BARRANQUILLA'!DT95,"AAAAAFPq3cE=")</f>
        <v>#VALUE!</v>
      </c>
      <c r="GM81" t="e">
        <f>AND('SPR BARRANQUILLA'!DU95,"AAAAAFPq3cI=")</f>
        <v>#VALUE!</v>
      </c>
      <c r="GN81" t="e">
        <f>AND('SPR BARRANQUILLA'!DV95,"AAAAAFPq3cM=")</f>
        <v>#VALUE!</v>
      </c>
      <c r="GO81" t="e">
        <f>AND('SPR BARRANQUILLA'!DW95,"AAAAAFPq3cQ=")</f>
        <v>#VALUE!</v>
      </c>
      <c r="GP81" t="e">
        <f>AND('SPR BARRANQUILLA'!DX95,"AAAAAFPq3cU=")</f>
        <v>#VALUE!</v>
      </c>
      <c r="GQ81" t="e">
        <f>AND('SPR BARRANQUILLA'!DY95,"AAAAAFPq3cY=")</f>
        <v>#VALUE!</v>
      </c>
      <c r="GR81" t="e">
        <f>AND('SPR BARRANQUILLA'!DZ95,"AAAAAFPq3cc=")</f>
        <v>#VALUE!</v>
      </c>
      <c r="GS81" t="e">
        <f>AND('SPR BARRANQUILLA'!EA95,"AAAAAFPq3cg=")</f>
        <v>#VALUE!</v>
      </c>
      <c r="GT81" t="e">
        <f>AND('SPR BARRANQUILLA'!EB95,"AAAAAFPq3ck=")</f>
        <v>#VALUE!</v>
      </c>
      <c r="GU81" t="e">
        <f>AND('SPR BARRANQUILLA'!EC95,"AAAAAFPq3co=")</f>
        <v>#VALUE!</v>
      </c>
      <c r="GV81" t="e">
        <f>AND('SPR BARRANQUILLA'!ED95,"AAAAAFPq3cs=")</f>
        <v>#VALUE!</v>
      </c>
      <c r="GW81" t="e">
        <f>AND('SPR BARRANQUILLA'!EE95,"AAAAAFPq3cw=")</f>
        <v>#VALUE!</v>
      </c>
      <c r="GX81" t="e">
        <f>AND('SPR BARRANQUILLA'!EF95,"AAAAAFPq3c0=")</f>
        <v>#VALUE!</v>
      </c>
      <c r="GY81" t="e">
        <f>AND('SPR BARRANQUILLA'!EG95,"AAAAAFPq3c4=")</f>
        <v>#VALUE!</v>
      </c>
      <c r="GZ81" t="e">
        <f>AND('SPR BARRANQUILLA'!EH95,"AAAAAFPq3c8=")</f>
        <v>#VALUE!</v>
      </c>
      <c r="HA81" t="e">
        <f>AND('SPR BARRANQUILLA'!EI95,"AAAAAFPq3dA=")</f>
        <v>#VALUE!</v>
      </c>
      <c r="HB81" t="e">
        <f>AND('SPR BARRANQUILLA'!EJ95,"AAAAAFPq3dE=")</f>
        <v>#VALUE!</v>
      </c>
      <c r="HC81" t="e">
        <f>AND('SPR BARRANQUILLA'!EK95,"AAAAAFPq3dI=")</f>
        <v>#VALUE!</v>
      </c>
      <c r="HD81" t="e">
        <f>AND('SPR BARRANQUILLA'!EL95,"AAAAAFPq3dM=")</f>
        <v>#VALUE!</v>
      </c>
      <c r="HE81" t="e">
        <f>AND('SPR BARRANQUILLA'!EM95,"AAAAAFPq3dQ=")</f>
        <v>#VALUE!</v>
      </c>
      <c r="HF81" t="e">
        <f>AND('SPR BARRANQUILLA'!EN95,"AAAAAFPq3dU=")</f>
        <v>#VALUE!</v>
      </c>
      <c r="HG81" t="e">
        <f>AND('SPR BARRANQUILLA'!EO95,"AAAAAFPq3dY=")</f>
        <v>#VALUE!</v>
      </c>
      <c r="HH81" t="e">
        <f>AND('SPR BARRANQUILLA'!EP95,"AAAAAFPq3dc=")</f>
        <v>#VALUE!</v>
      </c>
      <c r="HI81" t="e">
        <f>AND('SPR BARRANQUILLA'!EQ95,"AAAAAFPq3dg=")</f>
        <v>#VALUE!</v>
      </c>
      <c r="HJ81" t="e">
        <f>AND('SPR BARRANQUILLA'!ER95,"AAAAAFPq3dk=")</f>
        <v>#VALUE!</v>
      </c>
      <c r="HK81" t="e">
        <f>AND('SPR BARRANQUILLA'!ES95,"AAAAAFPq3do=")</f>
        <v>#VALUE!</v>
      </c>
      <c r="HL81" t="e">
        <f>AND('SPR BARRANQUILLA'!ET95,"AAAAAFPq3ds=")</f>
        <v>#VALUE!</v>
      </c>
      <c r="HM81" t="e">
        <f>AND('SPR BARRANQUILLA'!EU95,"AAAAAFPq3dw=")</f>
        <v>#VALUE!</v>
      </c>
      <c r="HN81" t="e">
        <f>AND('SPR BARRANQUILLA'!EV95,"AAAAAFPq3d0=")</f>
        <v>#VALUE!</v>
      </c>
      <c r="HO81" t="e">
        <f>AND('SPR BARRANQUILLA'!EW95,"AAAAAFPq3d4=")</f>
        <v>#VALUE!</v>
      </c>
      <c r="HP81" t="e">
        <f>AND('SPR BARRANQUILLA'!EX95,"AAAAAFPq3d8=")</f>
        <v>#VALUE!</v>
      </c>
      <c r="HQ81" t="e">
        <f>AND('SPR BARRANQUILLA'!EY95,"AAAAAFPq3eA=")</f>
        <v>#VALUE!</v>
      </c>
      <c r="HR81" t="e">
        <f>AND('SPR BARRANQUILLA'!EZ95,"AAAAAFPq3eE=")</f>
        <v>#VALUE!</v>
      </c>
      <c r="HS81" t="e">
        <f>AND('SPR BARRANQUILLA'!FA95,"AAAAAFPq3eI=")</f>
        <v>#VALUE!</v>
      </c>
      <c r="HT81" t="e">
        <f>AND('SPR BARRANQUILLA'!FB95,"AAAAAFPq3eM=")</f>
        <v>#VALUE!</v>
      </c>
      <c r="HU81" t="e">
        <f>AND('SPR BARRANQUILLA'!FC95,"AAAAAFPq3eQ=")</f>
        <v>#VALUE!</v>
      </c>
      <c r="HV81" t="e">
        <f>AND('SPR BARRANQUILLA'!FD95,"AAAAAFPq3eU=")</f>
        <v>#VALUE!</v>
      </c>
      <c r="HW81" t="e">
        <f>AND('SPR BARRANQUILLA'!FE95,"AAAAAFPq3eY=")</f>
        <v>#VALUE!</v>
      </c>
      <c r="HX81" t="e">
        <f>AND('SPR BARRANQUILLA'!FF95,"AAAAAFPq3ec=")</f>
        <v>#VALUE!</v>
      </c>
      <c r="HY81" t="e">
        <f>AND('SPR BARRANQUILLA'!FG95,"AAAAAFPq3eg=")</f>
        <v>#VALUE!</v>
      </c>
      <c r="HZ81" t="e">
        <f>AND('SPR BARRANQUILLA'!FH95,"AAAAAFPq3ek=")</f>
        <v>#VALUE!</v>
      </c>
      <c r="IA81" t="e">
        <f>AND('SPR BARRANQUILLA'!FI95,"AAAAAFPq3eo=")</f>
        <v>#VALUE!</v>
      </c>
      <c r="IB81" t="e">
        <f>AND('SPR BARRANQUILLA'!FJ95,"AAAAAFPq3es=")</f>
        <v>#VALUE!</v>
      </c>
      <c r="IC81" t="e">
        <f>AND('SPR BARRANQUILLA'!FK95,"AAAAAFPq3ew=")</f>
        <v>#VALUE!</v>
      </c>
      <c r="ID81" t="e">
        <f>AND('SPR BARRANQUILLA'!FL95,"AAAAAFPq3e0=")</f>
        <v>#VALUE!</v>
      </c>
      <c r="IE81" t="e">
        <f>AND('SPR BARRANQUILLA'!FM95,"AAAAAFPq3e4=")</f>
        <v>#VALUE!</v>
      </c>
      <c r="IF81" t="e">
        <f>AND('SPR BARRANQUILLA'!FN95,"AAAAAFPq3e8=")</f>
        <v>#VALUE!</v>
      </c>
      <c r="IG81" t="e">
        <f>AND('SPR BARRANQUILLA'!FO95,"AAAAAFPq3fA=")</f>
        <v>#VALUE!</v>
      </c>
      <c r="IH81" t="e">
        <f>AND('SPR BARRANQUILLA'!FP95,"AAAAAFPq3fE=")</f>
        <v>#VALUE!</v>
      </c>
      <c r="II81" t="e">
        <f>AND('SPR BARRANQUILLA'!FQ95,"AAAAAFPq3fI=")</f>
        <v>#VALUE!</v>
      </c>
      <c r="IJ81" t="e">
        <f>AND('SPR BARRANQUILLA'!FR95,"AAAAAFPq3fM=")</f>
        <v>#VALUE!</v>
      </c>
      <c r="IK81" t="e">
        <f>AND('SPR BARRANQUILLA'!FS95,"AAAAAFPq3fQ=")</f>
        <v>#VALUE!</v>
      </c>
      <c r="IL81" t="e">
        <f>AND('SPR BARRANQUILLA'!FT95,"AAAAAFPq3fU=")</f>
        <v>#VALUE!</v>
      </c>
      <c r="IM81" t="e">
        <f>AND('SPR BARRANQUILLA'!FU95,"AAAAAFPq3fY=")</f>
        <v>#VALUE!</v>
      </c>
      <c r="IN81" t="e">
        <f>AND('SPR BARRANQUILLA'!FV95,"AAAAAFPq3fc=")</f>
        <v>#VALUE!</v>
      </c>
      <c r="IO81" t="e">
        <f>AND('SPR BARRANQUILLA'!FW95,"AAAAAFPq3fg=")</f>
        <v>#VALUE!</v>
      </c>
      <c r="IP81" t="e">
        <f>AND('SPR BARRANQUILLA'!FX95,"AAAAAFPq3fk=")</f>
        <v>#VALUE!</v>
      </c>
      <c r="IQ81" t="e">
        <f>AND('SPR BARRANQUILLA'!FY95,"AAAAAFPq3fo=")</f>
        <v>#VALUE!</v>
      </c>
      <c r="IR81" t="e">
        <f>AND('SPR BARRANQUILLA'!FZ95,"AAAAAFPq3fs=")</f>
        <v>#VALUE!</v>
      </c>
      <c r="IS81" t="e">
        <f>AND('SPR BARRANQUILLA'!GA95,"AAAAAFPq3fw=")</f>
        <v>#VALUE!</v>
      </c>
      <c r="IT81" t="e">
        <f>AND('SPR BARRANQUILLA'!GB95,"AAAAAFPq3f0=")</f>
        <v>#VALUE!</v>
      </c>
      <c r="IU81" t="e">
        <f>AND('SPR BARRANQUILLA'!GC95,"AAAAAFPq3f4=")</f>
        <v>#VALUE!</v>
      </c>
      <c r="IV81" t="e">
        <f>AND('SPR BARRANQUILLA'!GD95,"AAAAAFPq3f8=")</f>
        <v>#VALUE!</v>
      </c>
    </row>
    <row r="82" spans="1:256">
      <c r="A82" t="e">
        <f>AND('SPR BARRANQUILLA'!GE95,"AAAAAFbrewA=")</f>
        <v>#VALUE!</v>
      </c>
      <c r="B82" t="e">
        <f>AND('SPR BARRANQUILLA'!GF95,"AAAAAFbrewE=")</f>
        <v>#VALUE!</v>
      </c>
      <c r="C82" t="e">
        <f>AND('SPR BARRANQUILLA'!GG95,"AAAAAFbrewI=")</f>
        <v>#VALUE!</v>
      </c>
      <c r="D82" t="e">
        <f>AND('SPR BARRANQUILLA'!GH95,"AAAAAFbrewM=")</f>
        <v>#VALUE!</v>
      </c>
      <c r="E82" t="e">
        <f>AND('SPR BARRANQUILLA'!GI95,"AAAAAFbrewQ=")</f>
        <v>#VALUE!</v>
      </c>
      <c r="F82" t="e">
        <f>AND('SPR BARRANQUILLA'!GJ95,"AAAAAFbrewU=")</f>
        <v>#VALUE!</v>
      </c>
      <c r="G82" t="e">
        <f>AND('SPR BARRANQUILLA'!GK95,"AAAAAFbrewY=")</f>
        <v>#VALUE!</v>
      </c>
      <c r="H82" t="e">
        <f>AND('SPR BARRANQUILLA'!GL95,"AAAAAFbrewc=")</f>
        <v>#VALUE!</v>
      </c>
      <c r="I82" t="e">
        <f>AND('SPR BARRANQUILLA'!GM95,"AAAAAFbrewg=")</f>
        <v>#VALUE!</v>
      </c>
      <c r="J82" t="e">
        <f>AND('SPR BARRANQUILLA'!GN95,"AAAAAFbrewk=")</f>
        <v>#VALUE!</v>
      </c>
      <c r="K82" t="e">
        <f>AND('SPR BARRANQUILLA'!GO95,"AAAAAFbrewo=")</f>
        <v>#VALUE!</v>
      </c>
      <c r="L82" t="e">
        <f>AND('SPR BARRANQUILLA'!GP95,"AAAAAFbrews=")</f>
        <v>#VALUE!</v>
      </c>
      <c r="M82" t="e">
        <f>AND('SPR BARRANQUILLA'!GQ95,"AAAAAFbreww=")</f>
        <v>#VALUE!</v>
      </c>
      <c r="N82" t="e">
        <f>AND('SPR BARRANQUILLA'!GR95,"AAAAAFbrew0=")</f>
        <v>#VALUE!</v>
      </c>
      <c r="O82" t="e">
        <f>AND('SPR BARRANQUILLA'!GS95,"AAAAAFbrew4=")</f>
        <v>#VALUE!</v>
      </c>
      <c r="P82" t="e">
        <f>AND('SPR BARRANQUILLA'!GT95,"AAAAAFbrew8=")</f>
        <v>#VALUE!</v>
      </c>
      <c r="Q82" t="e">
        <f>AND('SPR BARRANQUILLA'!GU95,"AAAAAFbrexA=")</f>
        <v>#VALUE!</v>
      </c>
      <c r="R82" t="e">
        <f>AND('SPR BARRANQUILLA'!GV95,"AAAAAFbrexE=")</f>
        <v>#VALUE!</v>
      </c>
      <c r="S82" t="e">
        <f>AND('SPR BARRANQUILLA'!GW95,"AAAAAFbrexI=")</f>
        <v>#VALUE!</v>
      </c>
      <c r="T82" t="e">
        <f>AND('SPR BARRANQUILLA'!GX95,"AAAAAFbrexM=")</f>
        <v>#VALUE!</v>
      </c>
      <c r="U82" t="e">
        <f>AND('SPR BARRANQUILLA'!GY95,"AAAAAFbrexQ=")</f>
        <v>#VALUE!</v>
      </c>
      <c r="V82">
        <f>IF('SPR BARRANQUILLA'!96:96,"AAAAAFbrexU=",0)</f>
        <v>0</v>
      </c>
      <c r="W82" t="e">
        <f>AND('SPR BARRANQUILLA'!A96,"AAAAAFbrexY=")</f>
        <v>#VALUE!</v>
      </c>
      <c r="X82" t="e">
        <f>AND('SPR BARRANQUILLA'!B96,"AAAAAFbrexc=")</f>
        <v>#VALUE!</v>
      </c>
      <c r="Y82" t="e">
        <f>AND('SPR BARRANQUILLA'!C96,"AAAAAFbrexg=")</f>
        <v>#VALUE!</v>
      </c>
      <c r="Z82" t="e">
        <f>AND('SPR BARRANQUILLA'!D96,"AAAAAFbrexk=")</f>
        <v>#VALUE!</v>
      </c>
      <c r="AA82" t="e">
        <f>AND('SPR BARRANQUILLA'!E96,"AAAAAFbrexo=")</f>
        <v>#VALUE!</v>
      </c>
      <c r="AB82" t="e">
        <f>AND('SPR BARRANQUILLA'!F96,"AAAAAFbrexs=")</f>
        <v>#VALUE!</v>
      </c>
      <c r="AC82" t="e">
        <f>AND('SPR BARRANQUILLA'!G96,"AAAAAFbrexw=")</f>
        <v>#VALUE!</v>
      </c>
      <c r="AD82" t="e">
        <f>AND('SPR BARRANQUILLA'!H96,"AAAAAFbrex0=")</f>
        <v>#VALUE!</v>
      </c>
      <c r="AE82" t="e">
        <f>AND('SPR BARRANQUILLA'!I96,"AAAAAFbrex4=")</f>
        <v>#VALUE!</v>
      </c>
      <c r="AF82" t="e">
        <f>AND('SPR BARRANQUILLA'!J96,"AAAAAFbrex8=")</f>
        <v>#VALUE!</v>
      </c>
      <c r="AG82" t="e">
        <f>AND('SPR BARRANQUILLA'!K96,"AAAAAFbreyA=")</f>
        <v>#VALUE!</v>
      </c>
      <c r="AH82" t="e">
        <f>AND('SPR BARRANQUILLA'!L96,"AAAAAFbreyE=")</f>
        <v>#VALUE!</v>
      </c>
      <c r="AI82" t="e">
        <f>AND('SPR BARRANQUILLA'!M96,"AAAAAFbreyI=")</f>
        <v>#VALUE!</v>
      </c>
      <c r="AJ82" t="e">
        <f>AND('SPR BARRANQUILLA'!N96,"AAAAAFbreyM=")</f>
        <v>#VALUE!</v>
      </c>
      <c r="AK82" t="e">
        <f>AND('SPR BARRANQUILLA'!O96,"AAAAAFbreyQ=")</f>
        <v>#VALUE!</v>
      </c>
      <c r="AL82" t="e">
        <f>AND('SPR BARRANQUILLA'!P96,"AAAAAFbreyU=")</f>
        <v>#VALUE!</v>
      </c>
      <c r="AM82" t="e">
        <f>AND('SPR BARRANQUILLA'!Q96,"AAAAAFbreyY=")</f>
        <v>#VALUE!</v>
      </c>
      <c r="AN82" t="e">
        <f>AND('SPR BARRANQUILLA'!R96,"AAAAAFbreyc=")</f>
        <v>#VALUE!</v>
      </c>
      <c r="AO82" t="e">
        <f>AND('SPR BARRANQUILLA'!S96,"AAAAAFbreyg=")</f>
        <v>#VALUE!</v>
      </c>
      <c r="AP82" t="e">
        <f>AND('SPR BARRANQUILLA'!T96,"AAAAAFbreyk=")</f>
        <v>#VALUE!</v>
      </c>
      <c r="AQ82" t="e">
        <f>AND('SPR BARRANQUILLA'!U96,"AAAAAFbreyo=")</f>
        <v>#VALUE!</v>
      </c>
      <c r="AR82" t="e">
        <f>AND('SPR BARRANQUILLA'!V96,"AAAAAFbreys=")</f>
        <v>#VALUE!</v>
      </c>
      <c r="AS82" t="e">
        <f>AND('SPR BARRANQUILLA'!W96,"AAAAAFbreyw=")</f>
        <v>#VALUE!</v>
      </c>
      <c r="AT82" t="e">
        <f>AND('SPR BARRANQUILLA'!X96,"AAAAAFbrey0=")</f>
        <v>#VALUE!</v>
      </c>
      <c r="AU82" t="e">
        <f>AND('SPR BARRANQUILLA'!Y96,"AAAAAFbrey4=")</f>
        <v>#VALUE!</v>
      </c>
      <c r="AV82" t="e">
        <f>AND('SPR BARRANQUILLA'!Z96,"AAAAAFbrey8=")</f>
        <v>#VALUE!</v>
      </c>
      <c r="AW82" t="e">
        <f>AND('SPR BARRANQUILLA'!AA96,"AAAAAFbrezA=")</f>
        <v>#VALUE!</v>
      </c>
      <c r="AX82" t="e">
        <f>AND('SPR BARRANQUILLA'!AB96,"AAAAAFbrezE=")</f>
        <v>#VALUE!</v>
      </c>
      <c r="AY82" t="e">
        <f>AND('SPR BARRANQUILLA'!AC96,"AAAAAFbrezI=")</f>
        <v>#VALUE!</v>
      </c>
      <c r="AZ82" t="e">
        <f>AND('SPR BARRANQUILLA'!AD96,"AAAAAFbrezM=")</f>
        <v>#VALUE!</v>
      </c>
      <c r="BA82" t="e">
        <f>AND('SPR BARRANQUILLA'!AE96,"AAAAAFbrezQ=")</f>
        <v>#VALUE!</v>
      </c>
      <c r="BB82" t="e">
        <f>AND('SPR BARRANQUILLA'!AF96,"AAAAAFbrezU=")</f>
        <v>#VALUE!</v>
      </c>
      <c r="BC82" t="e">
        <f>AND('SPR BARRANQUILLA'!AG96,"AAAAAFbrezY=")</f>
        <v>#VALUE!</v>
      </c>
      <c r="BD82" t="e">
        <f>AND('SPR BARRANQUILLA'!AH96,"AAAAAFbrezc=")</f>
        <v>#VALUE!</v>
      </c>
      <c r="BE82" t="e">
        <f>AND('SPR BARRANQUILLA'!AI96,"AAAAAFbrezg=")</f>
        <v>#VALUE!</v>
      </c>
      <c r="BF82" t="e">
        <f>AND('SPR BARRANQUILLA'!AJ96,"AAAAAFbrezk=")</f>
        <v>#VALUE!</v>
      </c>
      <c r="BG82" t="e">
        <f>AND('SPR BARRANQUILLA'!AK96,"AAAAAFbrezo=")</f>
        <v>#VALUE!</v>
      </c>
      <c r="BH82" t="e">
        <f>AND('SPR BARRANQUILLA'!AL96,"AAAAAFbrezs=")</f>
        <v>#VALUE!</v>
      </c>
      <c r="BI82" t="e">
        <f>AND('SPR BARRANQUILLA'!AM96,"AAAAAFbrezw=")</f>
        <v>#VALUE!</v>
      </c>
      <c r="BJ82" t="e">
        <f>AND('SPR BARRANQUILLA'!AN96,"AAAAAFbrez0=")</f>
        <v>#VALUE!</v>
      </c>
      <c r="BK82" t="e">
        <f>AND('SPR BARRANQUILLA'!AO96,"AAAAAFbrez4=")</f>
        <v>#VALUE!</v>
      </c>
      <c r="BL82" t="e">
        <f>AND('SPR BARRANQUILLA'!AP96,"AAAAAFbrez8=")</f>
        <v>#VALUE!</v>
      </c>
      <c r="BM82" t="e">
        <f>AND('SPR BARRANQUILLA'!AQ96,"AAAAAFbre0A=")</f>
        <v>#VALUE!</v>
      </c>
      <c r="BN82" t="e">
        <f>AND('SPR BARRANQUILLA'!AR96,"AAAAAFbre0E=")</f>
        <v>#VALUE!</v>
      </c>
      <c r="BO82" t="e">
        <f>AND('SPR BARRANQUILLA'!AS96,"AAAAAFbre0I=")</f>
        <v>#VALUE!</v>
      </c>
      <c r="BP82" t="e">
        <f>AND('SPR BARRANQUILLA'!AT96,"AAAAAFbre0M=")</f>
        <v>#VALUE!</v>
      </c>
      <c r="BQ82" t="e">
        <f>AND('SPR BARRANQUILLA'!AU96,"AAAAAFbre0Q=")</f>
        <v>#VALUE!</v>
      </c>
      <c r="BR82" t="e">
        <f>AND('SPR BARRANQUILLA'!AV96,"AAAAAFbre0U=")</f>
        <v>#VALUE!</v>
      </c>
      <c r="BS82" t="e">
        <f>AND('SPR BARRANQUILLA'!AW96,"AAAAAFbre0Y=")</f>
        <v>#VALUE!</v>
      </c>
      <c r="BT82" t="e">
        <f>AND('SPR BARRANQUILLA'!AX96,"AAAAAFbre0c=")</f>
        <v>#VALUE!</v>
      </c>
      <c r="BU82" t="e">
        <f>AND('SPR BARRANQUILLA'!AY96,"AAAAAFbre0g=")</f>
        <v>#VALUE!</v>
      </c>
      <c r="BV82" t="e">
        <f>AND('SPR BARRANQUILLA'!AZ96,"AAAAAFbre0k=")</f>
        <v>#VALUE!</v>
      </c>
      <c r="BW82" t="e">
        <f>AND('SPR BARRANQUILLA'!BA96,"AAAAAFbre0o=")</f>
        <v>#VALUE!</v>
      </c>
      <c r="BX82" t="e">
        <f>AND('SPR BARRANQUILLA'!BB96,"AAAAAFbre0s=")</f>
        <v>#VALUE!</v>
      </c>
      <c r="BY82" t="e">
        <f>AND('SPR BARRANQUILLA'!BC96,"AAAAAFbre0w=")</f>
        <v>#VALUE!</v>
      </c>
      <c r="BZ82" t="e">
        <f>AND('SPR BARRANQUILLA'!BD96,"AAAAAFbre00=")</f>
        <v>#VALUE!</v>
      </c>
      <c r="CA82" t="e">
        <f>AND('SPR BARRANQUILLA'!BE96,"AAAAAFbre04=")</f>
        <v>#VALUE!</v>
      </c>
      <c r="CB82" t="e">
        <f>AND('SPR BARRANQUILLA'!BF96,"AAAAAFbre08=")</f>
        <v>#VALUE!</v>
      </c>
      <c r="CC82" t="e">
        <f>AND('SPR BARRANQUILLA'!BG96,"AAAAAFbre1A=")</f>
        <v>#VALUE!</v>
      </c>
      <c r="CD82" t="e">
        <f>AND('SPR BARRANQUILLA'!BH96,"AAAAAFbre1E=")</f>
        <v>#VALUE!</v>
      </c>
      <c r="CE82" t="e">
        <f>AND('SPR BARRANQUILLA'!BI96,"AAAAAFbre1I=")</f>
        <v>#VALUE!</v>
      </c>
      <c r="CF82" t="e">
        <f>AND('SPR BARRANQUILLA'!BJ96,"AAAAAFbre1M=")</f>
        <v>#VALUE!</v>
      </c>
      <c r="CG82" t="e">
        <f>AND('SPR BARRANQUILLA'!BK96,"AAAAAFbre1Q=")</f>
        <v>#VALUE!</v>
      </c>
      <c r="CH82" t="e">
        <f>AND('SPR BARRANQUILLA'!BL96,"AAAAAFbre1U=")</f>
        <v>#VALUE!</v>
      </c>
      <c r="CI82" t="e">
        <f>AND('SPR BARRANQUILLA'!BM96,"AAAAAFbre1Y=")</f>
        <v>#VALUE!</v>
      </c>
      <c r="CJ82" t="e">
        <f>AND('SPR BARRANQUILLA'!BN96,"AAAAAFbre1c=")</f>
        <v>#VALUE!</v>
      </c>
      <c r="CK82" t="e">
        <f>AND('SPR BARRANQUILLA'!BO96,"AAAAAFbre1g=")</f>
        <v>#VALUE!</v>
      </c>
      <c r="CL82" t="e">
        <f>AND('SPR BARRANQUILLA'!BP96,"AAAAAFbre1k=")</f>
        <v>#VALUE!</v>
      </c>
      <c r="CM82" t="e">
        <f>AND('SPR BARRANQUILLA'!BQ96,"AAAAAFbre1o=")</f>
        <v>#VALUE!</v>
      </c>
      <c r="CN82" t="e">
        <f>AND('SPR BARRANQUILLA'!BR96,"AAAAAFbre1s=")</f>
        <v>#VALUE!</v>
      </c>
      <c r="CO82" t="e">
        <f>AND('SPR BARRANQUILLA'!BS96,"AAAAAFbre1w=")</f>
        <v>#VALUE!</v>
      </c>
      <c r="CP82" t="e">
        <f>AND('SPR BARRANQUILLA'!BT96,"AAAAAFbre10=")</f>
        <v>#VALUE!</v>
      </c>
      <c r="CQ82" t="e">
        <f>AND('SPR BARRANQUILLA'!BU96,"AAAAAFbre14=")</f>
        <v>#VALUE!</v>
      </c>
      <c r="CR82" t="e">
        <f>AND('SPR BARRANQUILLA'!BV96,"AAAAAFbre18=")</f>
        <v>#VALUE!</v>
      </c>
      <c r="CS82" t="e">
        <f>AND('SPR BARRANQUILLA'!BW96,"AAAAAFbre2A=")</f>
        <v>#VALUE!</v>
      </c>
      <c r="CT82" t="e">
        <f>AND('SPR BARRANQUILLA'!BX96,"AAAAAFbre2E=")</f>
        <v>#VALUE!</v>
      </c>
      <c r="CU82" t="e">
        <f>AND('SPR BARRANQUILLA'!BY96,"AAAAAFbre2I=")</f>
        <v>#VALUE!</v>
      </c>
      <c r="CV82" t="e">
        <f>AND('SPR BARRANQUILLA'!BZ96,"AAAAAFbre2M=")</f>
        <v>#VALUE!</v>
      </c>
      <c r="CW82" t="e">
        <f>AND('SPR BARRANQUILLA'!CA96,"AAAAAFbre2Q=")</f>
        <v>#VALUE!</v>
      </c>
      <c r="CX82" t="e">
        <f>AND('SPR BARRANQUILLA'!CB96,"AAAAAFbre2U=")</f>
        <v>#VALUE!</v>
      </c>
      <c r="CY82" t="e">
        <f>AND('SPR BARRANQUILLA'!CC96,"AAAAAFbre2Y=")</f>
        <v>#VALUE!</v>
      </c>
      <c r="CZ82" t="e">
        <f>AND('SPR BARRANQUILLA'!CD96,"AAAAAFbre2c=")</f>
        <v>#VALUE!</v>
      </c>
      <c r="DA82" t="e">
        <f>AND('SPR BARRANQUILLA'!CE96,"AAAAAFbre2g=")</f>
        <v>#VALUE!</v>
      </c>
      <c r="DB82" t="e">
        <f>AND('SPR BARRANQUILLA'!CF96,"AAAAAFbre2k=")</f>
        <v>#VALUE!</v>
      </c>
      <c r="DC82" t="e">
        <f>AND('SPR BARRANQUILLA'!CG96,"AAAAAFbre2o=")</f>
        <v>#VALUE!</v>
      </c>
      <c r="DD82" t="e">
        <f>AND('SPR BARRANQUILLA'!CH96,"AAAAAFbre2s=")</f>
        <v>#VALUE!</v>
      </c>
      <c r="DE82" t="e">
        <f>AND('SPR BARRANQUILLA'!CI96,"AAAAAFbre2w=")</f>
        <v>#VALUE!</v>
      </c>
      <c r="DF82" t="e">
        <f>AND('SPR BARRANQUILLA'!CJ96,"AAAAAFbre20=")</f>
        <v>#VALUE!</v>
      </c>
      <c r="DG82" t="e">
        <f>AND('SPR BARRANQUILLA'!CK96,"AAAAAFbre24=")</f>
        <v>#VALUE!</v>
      </c>
      <c r="DH82" t="e">
        <f>AND('SPR BARRANQUILLA'!CL96,"AAAAAFbre28=")</f>
        <v>#VALUE!</v>
      </c>
      <c r="DI82" t="e">
        <f>AND('SPR BARRANQUILLA'!CM96,"AAAAAFbre3A=")</f>
        <v>#VALUE!</v>
      </c>
      <c r="DJ82" t="e">
        <f>AND('SPR BARRANQUILLA'!CN96,"AAAAAFbre3E=")</f>
        <v>#VALUE!</v>
      </c>
      <c r="DK82" t="e">
        <f>AND('SPR BARRANQUILLA'!CO96,"AAAAAFbre3I=")</f>
        <v>#VALUE!</v>
      </c>
      <c r="DL82" t="e">
        <f>AND('SPR BARRANQUILLA'!CP96,"AAAAAFbre3M=")</f>
        <v>#VALUE!</v>
      </c>
      <c r="DM82" t="e">
        <f>AND('SPR BARRANQUILLA'!CQ96,"AAAAAFbre3Q=")</f>
        <v>#VALUE!</v>
      </c>
      <c r="DN82" t="e">
        <f>AND('SPR BARRANQUILLA'!CR96,"AAAAAFbre3U=")</f>
        <v>#VALUE!</v>
      </c>
      <c r="DO82" t="e">
        <f>AND('SPR BARRANQUILLA'!CS96,"AAAAAFbre3Y=")</f>
        <v>#VALUE!</v>
      </c>
      <c r="DP82" t="e">
        <f>AND('SPR BARRANQUILLA'!CT96,"AAAAAFbre3c=")</f>
        <v>#VALUE!</v>
      </c>
      <c r="DQ82" t="e">
        <f>AND('SPR BARRANQUILLA'!CU96,"AAAAAFbre3g=")</f>
        <v>#VALUE!</v>
      </c>
      <c r="DR82" t="e">
        <f>AND('SPR BARRANQUILLA'!CV96,"AAAAAFbre3k=")</f>
        <v>#VALUE!</v>
      </c>
      <c r="DS82" t="e">
        <f>AND('SPR BARRANQUILLA'!CW96,"AAAAAFbre3o=")</f>
        <v>#VALUE!</v>
      </c>
      <c r="DT82" t="e">
        <f>AND('SPR BARRANQUILLA'!CX96,"AAAAAFbre3s=")</f>
        <v>#VALUE!</v>
      </c>
      <c r="DU82" t="e">
        <f>AND('SPR BARRANQUILLA'!CY96,"AAAAAFbre3w=")</f>
        <v>#VALUE!</v>
      </c>
      <c r="DV82" t="e">
        <f>AND('SPR BARRANQUILLA'!CZ96,"AAAAAFbre30=")</f>
        <v>#VALUE!</v>
      </c>
      <c r="DW82" t="e">
        <f>AND('SPR BARRANQUILLA'!DA96,"AAAAAFbre34=")</f>
        <v>#VALUE!</v>
      </c>
      <c r="DX82" t="e">
        <f>AND('SPR BARRANQUILLA'!DB96,"AAAAAFbre38=")</f>
        <v>#VALUE!</v>
      </c>
      <c r="DY82" t="e">
        <f>AND('SPR BARRANQUILLA'!DC96,"AAAAAFbre4A=")</f>
        <v>#VALUE!</v>
      </c>
      <c r="DZ82" t="e">
        <f>AND('SPR BARRANQUILLA'!DD96,"AAAAAFbre4E=")</f>
        <v>#VALUE!</v>
      </c>
      <c r="EA82" t="e">
        <f>AND('SPR BARRANQUILLA'!DE96,"AAAAAFbre4I=")</f>
        <v>#VALUE!</v>
      </c>
      <c r="EB82" t="e">
        <f>AND('SPR BARRANQUILLA'!DF96,"AAAAAFbre4M=")</f>
        <v>#VALUE!</v>
      </c>
      <c r="EC82" t="e">
        <f>AND('SPR BARRANQUILLA'!DG96,"AAAAAFbre4Q=")</f>
        <v>#VALUE!</v>
      </c>
      <c r="ED82" t="e">
        <f>AND('SPR BARRANQUILLA'!DH96,"AAAAAFbre4U=")</f>
        <v>#VALUE!</v>
      </c>
      <c r="EE82" t="e">
        <f>AND('SPR BARRANQUILLA'!DI96,"AAAAAFbre4Y=")</f>
        <v>#VALUE!</v>
      </c>
      <c r="EF82" t="e">
        <f>AND('SPR BARRANQUILLA'!DJ96,"AAAAAFbre4c=")</f>
        <v>#VALUE!</v>
      </c>
      <c r="EG82" t="e">
        <f>AND('SPR BARRANQUILLA'!DK96,"AAAAAFbre4g=")</f>
        <v>#VALUE!</v>
      </c>
      <c r="EH82" t="e">
        <f>AND('SPR BARRANQUILLA'!DL96,"AAAAAFbre4k=")</f>
        <v>#VALUE!</v>
      </c>
      <c r="EI82" t="e">
        <f>AND('SPR BARRANQUILLA'!DM96,"AAAAAFbre4o=")</f>
        <v>#VALUE!</v>
      </c>
      <c r="EJ82" t="e">
        <f>AND('SPR BARRANQUILLA'!DN96,"AAAAAFbre4s=")</f>
        <v>#VALUE!</v>
      </c>
      <c r="EK82" t="e">
        <f>AND('SPR BARRANQUILLA'!DO96,"AAAAAFbre4w=")</f>
        <v>#VALUE!</v>
      </c>
      <c r="EL82" t="e">
        <f>AND('SPR BARRANQUILLA'!DP96,"AAAAAFbre40=")</f>
        <v>#VALUE!</v>
      </c>
      <c r="EM82" t="e">
        <f>AND('SPR BARRANQUILLA'!DQ96,"AAAAAFbre44=")</f>
        <v>#VALUE!</v>
      </c>
      <c r="EN82" t="e">
        <f>AND('SPR BARRANQUILLA'!DR96,"AAAAAFbre48=")</f>
        <v>#VALUE!</v>
      </c>
      <c r="EO82" t="e">
        <f>AND('SPR BARRANQUILLA'!DS96,"AAAAAFbre5A=")</f>
        <v>#VALUE!</v>
      </c>
      <c r="EP82" t="e">
        <f>AND('SPR BARRANQUILLA'!DT96,"AAAAAFbre5E=")</f>
        <v>#VALUE!</v>
      </c>
      <c r="EQ82" t="e">
        <f>AND('SPR BARRANQUILLA'!DU96,"AAAAAFbre5I=")</f>
        <v>#VALUE!</v>
      </c>
      <c r="ER82" t="e">
        <f>AND('SPR BARRANQUILLA'!DV96,"AAAAAFbre5M=")</f>
        <v>#VALUE!</v>
      </c>
      <c r="ES82" t="e">
        <f>AND('SPR BARRANQUILLA'!DW96,"AAAAAFbre5Q=")</f>
        <v>#VALUE!</v>
      </c>
      <c r="ET82" t="e">
        <f>AND('SPR BARRANQUILLA'!DX96,"AAAAAFbre5U=")</f>
        <v>#VALUE!</v>
      </c>
      <c r="EU82" t="e">
        <f>AND('SPR BARRANQUILLA'!DY96,"AAAAAFbre5Y=")</f>
        <v>#VALUE!</v>
      </c>
      <c r="EV82" t="e">
        <f>AND('SPR BARRANQUILLA'!DZ96,"AAAAAFbre5c=")</f>
        <v>#VALUE!</v>
      </c>
      <c r="EW82" t="e">
        <f>AND('SPR BARRANQUILLA'!EA96,"AAAAAFbre5g=")</f>
        <v>#VALUE!</v>
      </c>
      <c r="EX82" t="e">
        <f>AND('SPR BARRANQUILLA'!EB96,"AAAAAFbre5k=")</f>
        <v>#VALUE!</v>
      </c>
      <c r="EY82" t="e">
        <f>AND('SPR BARRANQUILLA'!EC96,"AAAAAFbre5o=")</f>
        <v>#VALUE!</v>
      </c>
      <c r="EZ82" t="e">
        <f>AND('SPR BARRANQUILLA'!ED96,"AAAAAFbre5s=")</f>
        <v>#VALUE!</v>
      </c>
      <c r="FA82" t="e">
        <f>AND('SPR BARRANQUILLA'!EE96,"AAAAAFbre5w=")</f>
        <v>#VALUE!</v>
      </c>
      <c r="FB82" t="e">
        <f>AND('SPR BARRANQUILLA'!EF96,"AAAAAFbre50=")</f>
        <v>#VALUE!</v>
      </c>
      <c r="FC82" t="e">
        <f>AND('SPR BARRANQUILLA'!EG96,"AAAAAFbre54=")</f>
        <v>#VALUE!</v>
      </c>
      <c r="FD82" t="e">
        <f>AND('SPR BARRANQUILLA'!EH96,"AAAAAFbre58=")</f>
        <v>#VALUE!</v>
      </c>
      <c r="FE82" t="e">
        <f>AND('SPR BARRANQUILLA'!EI96,"AAAAAFbre6A=")</f>
        <v>#VALUE!</v>
      </c>
      <c r="FF82" t="e">
        <f>AND('SPR BARRANQUILLA'!EJ96,"AAAAAFbre6E=")</f>
        <v>#VALUE!</v>
      </c>
      <c r="FG82" t="e">
        <f>AND('SPR BARRANQUILLA'!EK96,"AAAAAFbre6I=")</f>
        <v>#VALUE!</v>
      </c>
      <c r="FH82" t="e">
        <f>AND('SPR BARRANQUILLA'!EL96,"AAAAAFbre6M=")</f>
        <v>#VALUE!</v>
      </c>
      <c r="FI82" t="e">
        <f>AND('SPR BARRANQUILLA'!EM96,"AAAAAFbre6Q=")</f>
        <v>#VALUE!</v>
      </c>
      <c r="FJ82" t="e">
        <f>AND('SPR BARRANQUILLA'!EN96,"AAAAAFbre6U=")</f>
        <v>#VALUE!</v>
      </c>
      <c r="FK82" t="e">
        <f>AND('SPR BARRANQUILLA'!EO96,"AAAAAFbre6Y=")</f>
        <v>#VALUE!</v>
      </c>
      <c r="FL82" t="e">
        <f>AND('SPR BARRANQUILLA'!EP96,"AAAAAFbre6c=")</f>
        <v>#VALUE!</v>
      </c>
      <c r="FM82" t="e">
        <f>AND('SPR BARRANQUILLA'!EQ96,"AAAAAFbre6g=")</f>
        <v>#VALUE!</v>
      </c>
      <c r="FN82" t="e">
        <f>AND('SPR BARRANQUILLA'!ER96,"AAAAAFbre6k=")</f>
        <v>#VALUE!</v>
      </c>
      <c r="FO82" t="e">
        <f>AND('SPR BARRANQUILLA'!ES96,"AAAAAFbre6o=")</f>
        <v>#VALUE!</v>
      </c>
      <c r="FP82" t="e">
        <f>AND('SPR BARRANQUILLA'!ET96,"AAAAAFbre6s=")</f>
        <v>#VALUE!</v>
      </c>
      <c r="FQ82" t="e">
        <f>AND('SPR BARRANQUILLA'!EU96,"AAAAAFbre6w=")</f>
        <v>#VALUE!</v>
      </c>
      <c r="FR82" t="e">
        <f>AND('SPR BARRANQUILLA'!EV96,"AAAAAFbre60=")</f>
        <v>#VALUE!</v>
      </c>
      <c r="FS82" t="e">
        <f>AND('SPR BARRANQUILLA'!EW96,"AAAAAFbre64=")</f>
        <v>#VALUE!</v>
      </c>
      <c r="FT82" t="e">
        <f>AND('SPR BARRANQUILLA'!EX96,"AAAAAFbre68=")</f>
        <v>#VALUE!</v>
      </c>
      <c r="FU82" t="e">
        <f>AND('SPR BARRANQUILLA'!EY96,"AAAAAFbre7A=")</f>
        <v>#VALUE!</v>
      </c>
      <c r="FV82" t="e">
        <f>AND('SPR BARRANQUILLA'!EZ96,"AAAAAFbre7E=")</f>
        <v>#VALUE!</v>
      </c>
      <c r="FW82" t="e">
        <f>AND('SPR BARRANQUILLA'!FA96,"AAAAAFbre7I=")</f>
        <v>#VALUE!</v>
      </c>
      <c r="FX82" t="e">
        <f>AND('SPR BARRANQUILLA'!FB96,"AAAAAFbre7M=")</f>
        <v>#VALUE!</v>
      </c>
      <c r="FY82" t="e">
        <f>AND('SPR BARRANQUILLA'!FC96,"AAAAAFbre7Q=")</f>
        <v>#VALUE!</v>
      </c>
      <c r="FZ82" t="e">
        <f>AND('SPR BARRANQUILLA'!FD96,"AAAAAFbre7U=")</f>
        <v>#VALUE!</v>
      </c>
      <c r="GA82" t="e">
        <f>AND('SPR BARRANQUILLA'!FE96,"AAAAAFbre7Y=")</f>
        <v>#VALUE!</v>
      </c>
      <c r="GB82" t="e">
        <f>AND('SPR BARRANQUILLA'!FF96,"AAAAAFbre7c=")</f>
        <v>#VALUE!</v>
      </c>
      <c r="GC82" t="e">
        <f>AND('SPR BARRANQUILLA'!FG96,"AAAAAFbre7g=")</f>
        <v>#VALUE!</v>
      </c>
      <c r="GD82" t="e">
        <f>AND('SPR BARRANQUILLA'!FH96,"AAAAAFbre7k=")</f>
        <v>#VALUE!</v>
      </c>
      <c r="GE82" t="e">
        <f>AND('SPR BARRANQUILLA'!FI96,"AAAAAFbre7o=")</f>
        <v>#VALUE!</v>
      </c>
      <c r="GF82" t="e">
        <f>AND('SPR BARRANQUILLA'!FJ96,"AAAAAFbre7s=")</f>
        <v>#VALUE!</v>
      </c>
      <c r="GG82" t="e">
        <f>AND('SPR BARRANQUILLA'!FK96,"AAAAAFbre7w=")</f>
        <v>#VALUE!</v>
      </c>
      <c r="GH82" t="e">
        <f>AND('SPR BARRANQUILLA'!FL96,"AAAAAFbre70=")</f>
        <v>#VALUE!</v>
      </c>
      <c r="GI82" t="e">
        <f>AND('SPR BARRANQUILLA'!FM96,"AAAAAFbre74=")</f>
        <v>#VALUE!</v>
      </c>
      <c r="GJ82" t="e">
        <f>AND('SPR BARRANQUILLA'!FN96,"AAAAAFbre78=")</f>
        <v>#VALUE!</v>
      </c>
      <c r="GK82" t="e">
        <f>AND('SPR BARRANQUILLA'!FO96,"AAAAAFbre8A=")</f>
        <v>#VALUE!</v>
      </c>
      <c r="GL82" t="e">
        <f>AND('SPR BARRANQUILLA'!FP96,"AAAAAFbre8E=")</f>
        <v>#VALUE!</v>
      </c>
      <c r="GM82" t="e">
        <f>AND('SPR BARRANQUILLA'!FQ96,"AAAAAFbre8I=")</f>
        <v>#VALUE!</v>
      </c>
      <c r="GN82" t="e">
        <f>AND('SPR BARRANQUILLA'!FR96,"AAAAAFbre8M=")</f>
        <v>#VALUE!</v>
      </c>
      <c r="GO82" t="e">
        <f>AND('SPR BARRANQUILLA'!FS96,"AAAAAFbre8Q=")</f>
        <v>#VALUE!</v>
      </c>
      <c r="GP82" t="e">
        <f>AND('SPR BARRANQUILLA'!FT96,"AAAAAFbre8U=")</f>
        <v>#VALUE!</v>
      </c>
      <c r="GQ82" t="e">
        <f>AND('SPR BARRANQUILLA'!FU96,"AAAAAFbre8Y=")</f>
        <v>#VALUE!</v>
      </c>
      <c r="GR82" t="e">
        <f>AND('SPR BARRANQUILLA'!FV96,"AAAAAFbre8c=")</f>
        <v>#VALUE!</v>
      </c>
      <c r="GS82" t="e">
        <f>AND('SPR BARRANQUILLA'!FW96,"AAAAAFbre8g=")</f>
        <v>#VALUE!</v>
      </c>
      <c r="GT82" t="e">
        <f>AND('SPR BARRANQUILLA'!FX96,"AAAAAFbre8k=")</f>
        <v>#VALUE!</v>
      </c>
      <c r="GU82" t="e">
        <f>AND('SPR BARRANQUILLA'!FY96,"AAAAAFbre8o=")</f>
        <v>#VALUE!</v>
      </c>
      <c r="GV82" t="e">
        <f>AND('SPR BARRANQUILLA'!FZ96,"AAAAAFbre8s=")</f>
        <v>#VALUE!</v>
      </c>
      <c r="GW82" t="e">
        <f>AND('SPR BARRANQUILLA'!GA96,"AAAAAFbre8w=")</f>
        <v>#VALUE!</v>
      </c>
      <c r="GX82" t="e">
        <f>AND('SPR BARRANQUILLA'!GB96,"AAAAAFbre80=")</f>
        <v>#VALUE!</v>
      </c>
      <c r="GY82" t="e">
        <f>AND('SPR BARRANQUILLA'!GC96,"AAAAAFbre84=")</f>
        <v>#VALUE!</v>
      </c>
      <c r="GZ82" t="e">
        <f>AND('SPR BARRANQUILLA'!GD96,"AAAAAFbre88=")</f>
        <v>#VALUE!</v>
      </c>
      <c r="HA82" t="e">
        <f>AND('SPR BARRANQUILLA'!GE96,"AAAAAFbre9A=")</f>
        <v>#VALUE!</v>
      </c>
      <c r="HB82" t="e">
        <f>AND('SPR BARRANQUILLA'!GF96,"AAAAAFbre9E=")</f>
        <v>#VALUE!</v>
      </c>
      <c r="HC82" t="e">
        <f>AND('SPR BARRANQUILLA'!GG96,"AAAAAFbre9I=")</f>
        <v>#VALUE!</v>
      </c>
      <c r="HD82" t="e">
        <f>AND('SPR BARRANQUILLA'!GH96,"AAAAAFbre9M=")</f>
        <v>#VALUE!</v>
      </c>
      <c r="HE82" t="e">
        <f>AND('SPR BARRANQUILLA'!GI96,"AAAAAFbre9Q=")</f>
        <v>#VALUE!</v>
      </c>
      <c r="HF82" t="e">
        <f>AND('SPR BARRANQUILLA'!GJ96,"AAAAAFbre9U=")</f>
        <v>#VALUE!</v>
      </c>
      <c r="HG82" t="e">
        <f>AND('SPR BARRANQUILLA'!GK96,"AAAAAFbre9Y=")</f>
        <v>#VALUE!</v>
      </c>
      <c r="HH82" t="e">
        <f>AND('SPR BARRANQUILLA'!GL96,"AAAAAFbre9c=")</f>
        <v>#VALUE!</v>
      </c>
      <c r="HI82" t="e">
        <f>AND('SPR BARRANQUILLA'!GM96,"AAAAAFbre9g=")</f>
        <v>#VALUE!</v>
      </c>
      <c r="HJ82" t="e">
        <f>AND('SPR BARRANQUILLA'!GN96,"AAAAAFbre9k=")</f>
        <v>#VALUE!</v>
      </c>
      <c r="HK82" t="e">
        <f>AND('SPR BARRANQUILLA'!GO96,"AAAAAFbre9o=")</f>
        <v>#VALUE!</v>
      </c>
      <c r="HL82" t="e">
        <f>AND('SPR BARRANQUILLA'!GP96,"AAAAAFbre9s=")</f>
        <v>#VALUE!</v>
      </c>
      <c r="HM82" t="e">
        <f>AND('SPR BARRANQUILLA'!GQ96,"AAAAAFbre9w=")</f>
        <v>#VALUE!</v>
      </c>
      <c r="HN82" t="e">
        <f>AND('SPR BARRANQUILLA'!GR96,"AAAAAFbre90=")</f>
        <v>#VALUE!</v>
      </c>
      <c r="HO82" t="e">
        <f>AND('SPR BARRANQUILLA'!GS96,"AAAAAFbre94=")</f>
        <v>#VALUE!</v>
      </c>
      <c r="HP82" t="e">
        <f>AND('SPR BARRANQUILLA'!GT96,"AAAAAFbre98=")</f>
        <v>#VALUE!</v>
      </c>
      <c r="HQ82" t="e">
        <f>AND('SPR BARRANQUILLA'!GU96,"AAAAAFbre+A=")</f>
        <v>#VALUE!</v>
      </c>
      <c r="HR82" t="e">
        <f>AND('SPR BARRANQUILLA'!GV96,"AAAAAFbre+E=")</f>
        <v>#VALUE!</v>
      </c>
      <c r="HS82" t="e">
        <f>AND('SPR BARRANQUILLA'!GW96,"AAAAAFbre+I=")</f>
        <v>#VALUE!</v>
      </c>
      <c r="HT82" t="e">
        <f>AND('SPR BARRANQUILLA'!GX96,"AAAAAFbre+M=")</f>
        <v>#VALUE!</v>
      </c>
      <c r="HU82" t="e">
        <f>AND('SPR BARRANQUILLA'!GY96,"AAAAAFbre+Q=")</f>
        <v>#VALUE!</v>
      </c>
      <c r="HV82">
        <f>IF('SPR BARRANQUILLA'!97:97,"AAAAAFbre+U=",0)</f>
        <v>0</v>
      </c>
      <c r="HW82" t="e">
        <f>AND('SPR BARRANQUILLA'!A97,"AAAAAFbre+Y=")</f>
        <v>#VALUE!</v>
      </c>
      <c r="HX82" t="e">
        <f>AND('SPR BARRANQUILLA'!B97,"AAAAAFbre+c=")</f>
        <v>#VALUE!</v>
      </c>
      <c r="HY82" t="e">
        <f>AND('SPR BARRANQUILLA'!C97,"AAAAAFbre+g=")</f>
        <v>#VALUE!</v>
      </c>
      <c r="HZ82" t="e">
        <f>AND('SPR BARRANQUILLA'!D97,"AAAAAFbre+k=")</f>
        <v>#VALUE!</v>
      </c>
      <c r="IA82" t="e">
        <f>AND('SPR BARRANQUILLA'!E97,"AAAAAFbre+o=")</f>
        <v>#VALUE!</v>
      </c>
      <c r="IB82" t="e">
        <f>AND('SPR BARRANQUILLA'!F97,"AAAAAFbre+s=")</f>
        <v>#VALUE!</v>
      </c>
      <c r="IC82" t="e">
        <f>AND('SPR BARRANQUILLA'!G97,"AAAAAFbre+w=")</f>
        <v>#VALUE!</v>
      </c>
      <c r="ID82" t="e">
        <f>AND('SPR BARRANQUILLA'!H97,"AAAAAFbre+0=")</f>
        <v>#VALUE!</v>
      </c>
      <c r="IE82" t="e">
        <f>AND('SPR BARRANQUILLA'!I97,"AAAAAFbre+4=")</f>
        <v>#VALUE!</v>
      </c>
      <c r="IF82" t="e">
        <f>AND('SPR BARRANQUILLA'!J97,"AAAAAFbre+8=")</f>
        <v>#VALUE!</v>
      </c>
      <c r="IG82" t="e">
        <f>AND('SPR BARRANQUILLA'!K97,"AAAAAFbre/A=")</f>
        <v>#VALUE!</v>
      </c>
      <c r="IH82" t="e">
        <f>AND('SPR BARRANQUILLA'!L97,"AAAAAFbre/E=")</f>
        <v>#VALUE!</v>
      </c>
      <c r="II82" t="e">
        <f>AND('SPR BARRANQUILLA'!M97,"AAAAAFbre/I=")</f>
        <v>#VALUE!</v>
      </c>
      <c r="IJ82" t="e">
        <f>AND('SPR BARRANQUILLA'!N97,"AAAAAFbre/M=")</f>
        <v>#VALUE!</v>
      </c>
      <c r="IK82" t="e">
        <f>AND('SPR BARRANQUILLA'!O97,"AAAAAFbre/Q=")</f>
        <v>#VALUE!</v>
      </c>
      <c r="IL82" t="e">
        <f>AND('SPR BARRANQUILLA'!P97,"AAAAAFbre/U=")</f>
        <v>#VALUE!</v>
      </c>
      <c r="IM82" t="e">
        <f>AND('SPR BARRANQUILLA'!Q97,"AAAAAFbre/Y=")</f>
        <v>#VALUE!</v>
      </c>
      <c r="IN82" t="e">
        <f>AND('SPR BARRANQUILLA'!R97,"AAAAAFbre/c=")</f>
        <v>#VALUE!</v>
      </c>
      <c r="IO82" t="e">
        <f>AND('SPR BARRANQUILLA'!S97,"AAAAAFbre/g=")</f>
        <v>#VALUE!</v>
      </c>
      <c r="IP82" t="e">
        <f>AND('SPR BARRANQUILLA'!T97,"AAAAAFbre/k=")</f>
        <v>#VALUE!</v>
      </c>
      <c r="IQ82" t="e">
        <f>AND('SPR BARRANQUILLA'!U97,"AAAAAFbre/o=")</f>
        <v>#VALUE!</v>
      </c>
      <c r="IR82" t="e">
        <f>AND('SPR BARRANQUILLA'!V97,"AAAAAFbre/s=")</f>
        <v>#VALUE!</v>
      </c>
      <c r="IS82" t="e">
        <f>AND('SPR BARRANQUILLA'!W97,"AAAAAFbre/w=")</f>
        <v>#VALUE!</v>
      </c>
      <c r="IT82" t="e">
        <f>AND('SPR BARRANQUILLA'!X97,"AAAAAFbre/0=")</f>
        <v>#VALUE!</v>
      </c>
      <c r="IU82" t="e">
        <f>AND('SPR BARRANQUILLA'!Y97,"AAAAAFbre/4=")</f>
        <v>#VALUE!</v>
      </c>
      <c r="IV82" t="e">
        <f>AND('SPR BARRANQUILLA'!Z97,"AAAAAFbre/8=")</f>
        <v>#VALUE!</v>
      </c>
    </row>
    <row r="83" spans="1:256">
      <c r="A83" t="e">
        <f>AND('SPR BARRANQUILLA'!AA97,"AAAAACjvfwA=")</f>
        <v>#VALUE!</v>
      </c>
      <c r="B83" t="e">
        <f>AND('SPR BARRANQUILLA'!AB97,"AAAAACjvfwE=")</f>
        <v>#VALUE!</v>
      </c>
      <c r="C83" t="e">
        <f>AND('SPR BARRANQUILLA'!AC97,"AAAAACjvfwI=")</f>
        <v>#VALUE!</v>
      </c>
      <c r="D83" t="e">
        <f>AND('SPR BARRANQUILLA'!AD97,"AAAAACjvfwM=")</f>
        <v>#VALUE!</v>
      </c>
      <c r="E83" t="e">
        <f>AND('SPR BARRANQUILLA'!AE97,"AAAAACjvfwQ=")</f>
        <v>#VALUE!</v>
      </c>
      <c r="F83" t="e">
        <f>AND('SPR BARRANQUILLA'!AF97,"AAAAACjvfwU=")</f>
        <v>#VALUE!</v>
      </c>
      <c r="G83" t="e">
        <f>AND('SPR BARRANQUILLA'!AG97,"AAAAACjvfwY=")</f>
        <v>#VALUE!</v>
      </c>
      <c r="H83" t="e">
        <f>AND('SPR BARRANQUILLA'!AH97,"AAAAACjvfwc=")</f>
        <v>#VALUE!</v>
      </c>
      <c r="I83" t="e">
        <f>AND('SPR BARRANQUILLA'!AI97,"AAAAACjvfwg=")</f>
        <v>#VALUE!</v>
      </c>
      <c r="J83" t="e">
        <f>AND('SPR BARRANQUILLA'!AJ97,"AAAAACjvfwk=")</f>
        <v>#VALUE!</v>
      </c>
      <c r="K83" t="e">
        <f>AND('SPR BARRANQUILLA'!AK97,"AAAAACjvfwo=")</f>
        <v>#VALUE!</v>
      </c>
      <c r="L83" t="e">
        <f>AND('SPR BARRANQUILLA'!AL97,"AAAAACjvfws=")</f>
        <v>#VALUE!</v>
      </c>
      <c r="M83" t="e">
        <f>AND('SPR BARRANQUILLA'!AM97,"AAAAACjvfww=")</f>
        <v>#VALUE!</v>
      </c>
      <c r="N83" t="e">
        <f>AND('SPR BARRANQUILLA'!AN97,"AAAAACjvfw0=")</f>
        <v>#VALUE!</v>
      </c>
      <c r="O83" t="e">
        <f>AND('SPR BARRANQUILLA'!AO97,"AAAAACjvfw4=")</f>
        <v>#VALUE!</v>
      </c>
      <c r="P83" t="e">
        <f>AND('SPR BARRANQUILLA'!AP97,"AAAAACjvfw8=")</f>
        <v>#VALUE!</v>
      </c>
      <c r="Q83" t="e">
        <f>AND('SPR BARRANQUILLA'!AQ97,"AAAAACjvfxA=")</f>
        <v>#VALUE!</v>
      </c>
      <c r="R83" t="e">
        <f>AND('SPR BARRANQUILLA'!AR97,"AAAAACjvfxE=")</f>
        <v>#VALUE!</v>
      </c>
      <c r="S83" t="e">
        <f>AND('SPR BARRANQUILLA'!AS97,"AAAAACjvfxI=")</f>
        <v>#VALUE!</v>
      </c>
      <c r="T83" t="e">
        <f>AND('SPR BARRANQUILLA'!AT97,"AAAAACjvfxM=")</f>
        <v>#VALUE!</v>
      </c>
      <c r="U83" t="e">
        <f>AND('SPR BARRANQUILLA'!AU97,"AAAAACjvfxQ=")</f>
        <v>#VALUE!</v>
      </c>
      <c r="V83" t="e">
        <f>AND('SPR BARRANQUILLA'!AV97,"AAAAACjvfxU=")</f>
        <v>#VALUE!</v>
      </c>
      <c r="W83" t="e">
        <f>AND('SPR BARRANQUILLA'!AW97,"AAAAACjvfxY=")</f>
        <v>#VALUE!</v>
      </c>
      <c r="X83" t="e">
        <f>AND('SPR BARRANQUILLA'!AX97,"AAAAACjvfxc=")</f>
        <v>#VALUE!</v>
      </c>
      <c r="Y83" t="e">
        <f>AND('SPR BARRANQUILLA'!AY97,"AAAAACjvfxg=")</f>
        <v>#VALUE!</v>
      </c>
      <c r="Z83" t="e">
        <f>AND('SPR BARRANQUILLA'!AZ97,"AAAAACjvfxk=")</f>
        <v>#VALUE!</v>
      </c>
      <c r="AA83" t="e">
        <f>AND('SPR BARRANQUILLA'!BA97,"AAAAACjvfxo=")</f>
        <v>#VALUE!</v>
      </c>
      <c r="AB83" t="e">
        <f>AND('SPR BARRANQUILLA'!BB97,"AAAAACjvfxs=")</f>
        <v>#VALUE!</v>
      </c>
      <c r="AC83" t="e">
        <f>AND('SPR BARRANQUILLA'!BC97,"AAAAACjvfxw=")</f>
        <v>#VALUE!</v>
      </c>
      <c r="AD83" t="e">
        <f>AND('SPR BARRANQUILLA'!BD97,"AAAAACjvfx0=")</f>
        <v>#VALUE!</v>
      </c>
      <c r="AE83" t="e">
        <f>AND('SPR BARRANQUILLA'!BE97,"AAAAACjvfx4=")</f>
        <v>#VALUE!</v>
      </c>
      <c r="AF83" t="e">
        <f>AND('SPR BARRANQUILLA'!BF97,"AAAAACjvfx8=")</f>
        <v>#VALUE!</v>
      </c>
      <c r="AG83" t="e">
        <f>AND('SPR BARRANQUILLA'!BG97,"AAAAACjvfyA=")</f>
        <v>#VALUE!</v>
      </c>
      <c r="AH83" t="e">
        <f>AND('SPR BARRANQUILLA'!BH97,"AAAAACjvfyE=")</f>
        <v>#VALUE!</v>
      </c>
      <c r="AI83" t="e">
        <f>AND('SPR BARRANQUILLA'!BI97,"AAAAACjvfyI=")</f>
        <v>#VALUE!</v>
      </c>
      <c r="AJ83" t="e">
        <f>AND('SPR BARRANQUILLA'!BJ97,"AAAAACjvfyM=")</f>
        <v>#VALUE!</v>
      </c>
      <c r="AK83" t="e">
        <f>AND('SPR BARRANQUILLA'!BK97,"AAAAACjvfyQ=")</f>
        <v>#VALUE!</v>
      </c>
      <c r="AL83" t="e">
        <f>AND('SPR BARRANQUILLA'!BL97,"AAAAACjvfyU=")</f>
        <v>#VALUE!</v>
      </c>
      <c r="AM83" t="e">
        <f>AND('SPR BARRANQUILLA'!BM97,"AAAAACjvfyY=")</f>
        <v>#VALUE!</v>
      </c>
      <c r="AN83" t="e">
        <f>AND('SPR BARRANQUILLA'!BN97,"AAAAACjvfyc=")</f>
        <v>#VALUE!</v>
      </c>
      <c r="AO83" t="e">
        <f>AND('SPR BARRANQUILLA'!BO97,"AAAAACjvfyg=")</f>
        <v>#VALUE!</v>
      </c>
      <c r="AP83" t="e">
        <f>AND('SPR BARRANQUILLA'!BP97,"AAAAACjvfyk=")</f>
        <v>#VALUE!</v>
      </c>
      <c r="AQ83" t="e">
        <f>AND('SPR BARRANQUILLA'!BQ97,"AAAAACjvfyo=")</f>
        <v>#VALUE!</v>
      </c>
      <c r="AR83" t="e">
        <f>AND('SPR BARRANQUILLA'!BR97,"AAAAACjvfys=")</f>
        <v>#VALUE!</v>
      </c>
      <c r="AS83" t="e">
        <f>AND('SPR BARRANQUILLA'!BS97,"AAAAACjvfyw=")</f>
        <v>#VALUE!</v>
      </c>
      <c r="AT83" t="e">
        <f>AND('SPR BARRANQUILLA'!BT97,"AAAAACjvfy0=")</f>
        <v>#VALUE!</v>
      </c>
      <c r="AU83" t="e">
        <f>AND('SPR BARRANQUILLA'!BU97,"AAAAACjvfy4=")</f>
        <v>#VALUE!</v>
      </c>
      <c r="AV83" t="e">
        <f>AND('SPR BARRANQUILLA'!BV97,"AAAAACjvfy8=")</f>
        <v>#VALUE!</v>
      </c>
      <c r="AW83" t="e">
        <f>AND('SPR BARRANQUILLA'!BW97,"AAAAACjvfzA=")</f>
        <v>#VALUE!</v>
      </c>
      <c r="AX83" t="e">
        <f>AND('SPR BARRANQUILLA'!BX97,"AAAAACjvfzE=")</f>
        <v>#VALUE!</v>
      </c>
      <c r="AY83" t="e">
        <f>AND('SPR BARRANQUILLA'!BY97,"AAAAACjvfzI=")</f>
        <v>#VALUE!</v>
      </c>
      <c r="AZ83" t="e">
        <f>AND('SPR BARRANQUILLA'!BZ97,"AAAAACjvfzM=")</f>
        <v>#VALUE!</v>
      </c>
      <c r="BA83" t="e">
        <f>AND('SPR BARRANQUILLA'!CA97,"AAAAACjvfzQ=")</f>
        <v>#VALUE!</v>
      </c>
      <c r="BB83" t="e">
        <f>AND('SPR BARRANQUILLA'!CB97,"AAAAACjvfzU=")</f>
        <v>#VALUE!</v>
      </c>
      <c r="BC83" t="e">
        <f>AND('SPR BARRANQUILLA'!CC97,"AAAAACjvfzY=")</f>
        <v>#VALUE!</v>
      </c>
      <c r="BD83" t="e">
        <f>AND('SPR BARRANQUILLA'!CD97,"AAAAACjvfzc=")</f>
        <v>#VALUE!</v>
      </c>
      <c r="BE83" t="e">
        <f>AND('SPR BARRANQUILLA'!CE97,"AAAAACjvfzg=")</f>
        <v>#VALUE!</v>
      </c>
      <c r="BF83" t="e">
        <f>AND('SPR BARRANQUILLA'!CF97,"AAAAACjvfzk=")</f>
        <v>#VALUE!</v>
      </c>
      <c r="BG83" t="e">
        <f>AND('SPR BARRANQUILLA'!CG97,"AAAAACjvfzo=")</f>
        <v>#VALUE!</v>
      </c>
      <c r="BH83" t="e">
        <f>AND('SPR BARRANQUILLA'!CH97,"AAAAACjvfzs=")</f>
        <v>#VALUE!</v>
      </c>
      <c r="BI83" t="e">
        <f>AND('SPR BARRANQUILLA'!CI97,"AAAAACjvfzw=")</f>
        <v>#VALUE!</v>
      </c>
      <c r="BJ83" t="e">
        <f>AND('SPR BARRANQUILLA'!CJ97,"AAAAACjvfz0=")</f>
        <v>#VALUE!</v>
      </c>
      <c r="BK83" t="e">
        <f>AND('SPR BARRANQUILLA'!CK97,"AAAAACjvfz4=")</f>
        <v>#VALUE!</v>
      </c>
      <c r="BL83" t="e">
        <f>AND('SPR BARRANQUILLA'!CL97,"AAAAACjvfz8=")</f>
        <v>#VALUE!</v>
      </c>
      <c r="BM83" t="e">
        <f>AND('SPR BARRANQUILLA'!CM97,"AAAAACjvf0A=")</f>
        <v>#VALUE!</v>
      </c>
      <c r="BN83" t="e">
        <f>AND('SPR BARRANQUILLA'!CN97,"AAAAACjvf0E=")</f>
        <v>#VALUE!</v>
      </c>
      <c r="BO83" t="e">
        <f>AND('SPR BARRANQUILLA'!CO97,"AAAAACjvf0I=")</f>
        <v>#VALUE!</v>
      </c>
      <c r="BP83" t="e">
        <f>AND('SPR BARRANQUILLA'!CP97,"AAAAACjvf0M=")</f>
        <v>#VALUE!</v>
      </c>
      <c r="BQ83" t="e">
        <f>AND('SPR BARRANQUILLA'!CQ97,"AAAAACjvf0Q=")</f>
        <v>#VALUE!</v>
      </c>
      <c r="BR83" t="e">
        <f>AND('SPR BARRANQUILLA'!CR97,"AAAAACjvf0U=")</f>
        <v>#VALUE!</v>
      </c>
      <c r="BS83" t="e">
        <f>AND('SPR BARRANQUILLA'!CS97,"AAAAACjvf0Y=")</f>
        <v>#VALUE!</v>
      </c>
      <c r="BT83" t="e">
        <f>AND('SPR BARRANQUILLA'!CT97,"AAAAACjvf0c=")</f>
        <v>#VALUE!</v>
      </c>
      <c r="BU83" t="e">
        <f>AND('SPR BARRANQUILLA'!CU97,"AAAAACjvf0g=")</f>
        <v>#VALUE!</v>
      </c>
      <c r="BV83" t="e">
        <f>AND('SPR BARRANQUILLA'!CV97,"AAAAACjvf0k=")</f>
        <v>#VALUE!</v>
      </c>
      <c r="BW83" t="e">
        <f>AND('SPR BARRANQUILLA'!CW97,"AAAAACjvf0o=")</f>
        <v>#VALUE!</v>
      </c>
      <c r="BX83" t="e">
        <f>AND('SPR BARRANQUILLA'!CX97,"AAAAACjvf0s=")</f>
        <v>#VALUE!</v>
      </c>
      <c r="BY83" t="e">
        <f>AND('SPR BARRANQUILLA'!CY97,"AAAAACjvf0w=")</f>
        <v>#VALUE!</v>
      </c>
      <c r="BZ83" t="e">
        <f>AND('SPR BARRANQUILLA'!CZ97,"AAAAACjvf00=")</f>
        <v>#VALUE!</v>
      </c>
      <c r="CA83" t="e">
        <f>AND('SPR BARRANQUILLA'!DA97,"AAAAACjvf04=")</f>
        <v>#VALUE!</v>
      </c>
      <c r="CB83" t="e">
        <f>AND('SPR BARRANQUILLA'!DB97,"AAAAACjvf08=")</f>
        <v>#VALUE!</v>
      </c>
      <c r="CC83" t="e">
        <f>AND('SPR BARRANQUILLA'!DC97,"AAAAACjvf1A=")</f>
        <v>#VALUE!</v>
      </c>
      <c r="CD83" t="e">
        <f>AND('SPR BARRANQUILLA'!DD97,"AAAAACjvf1E=")</f>
        <v>#VALUE!</v>
      </c>
      <c r="CE83" t="e">
        <f>AND('SPR BARRANQUILLA'!DE97,"AAAAACjvf1I=")</f>
        <v>#VALUE!</v>
      </c>
      <c r="CF83" t="e">
        <f>AND('SPR BARRANQUILLA'!DF97,"AAAAACjvf1M=")</f>
        <v>#VALUE!</v>
      </c>
      <c r="CG83" t="e">
        <f>AND('SPR BARRANQUILLA'!DG97,"AAAAACjvf1Q=")</f>
        <v>#VALUE!</v>
      </c>
      <c r="CH83" t="e">
        <f>AND('SPR BARRANQUILLA'!DH97,"AAAAACjvf1U=")</f>
        <v>#VALUE!</v>
      </c>
      <c r="CI83" t="e">
        <f>AND('SPR BARRANQUILLA'!DI97,"AAAAACjvf1Y=")</f>
        <v>#VALUE!</v>
      </c>
      <c r="CJ83" t="e">
        <f>AND('SPR BARRANQUILLA'!DJ97,"AAAAACjvf1c=")</f>
        <v>#VALUE!</v>
      </c>
      <c r="CK83" t="e">
        <f>AND('SPR BARRANQUILLA'!DK97,"AAAAACjvf1g=")</f>
        <v>#VALUE!</v>
      </c>
      <c r="CL83" t="e">
        <f>AND('SPR BARRANQUILLA'!DL97,"AAAAACjvf1k=")</f>
        <v>#VALUE!</v>
      </c>
      <c r="CM83" t="e">
        <f>AND('SPR BARRANQUILLA'!DM97,"AAAAACjvf1o=")</f>
        <v>#VALUE!</v>
      </c>
      <c r="CN83" t="e">
        <f>AND('SPR BARRANQUILLA'!DN97,"AAAAACjvf1s=")</f>
        <v>#VALUE!</v>
      </c>
      <c r="CO83" t="e">
        <f>AND('SPR BARRANQUILLA'!DO97,"AAAAACjvf1w=")</f>
        <v>#VALUE!</v>
      </c>
      <c r="CP83" t="e">
        <f>AND('SPR BARRANQUILLA'!DP97,"AAAAACjvf10=")</f>
        <v>#VALUE!</v>
      </c>
      <c r="CQ83" t="e">
        <f>AND('SPR BARRANQUILLA'!DQ97,"AAAAACjvf14=")</f>
        <v>#VALUE!</v>
      </c>
      <c r="CR83" t="e">
        <f>AND('SPR BARRANQUILLA'!DR97,"AAAAACjvf18=")</f>
        <v>#VALUE!</v>
      </c>
      <c r="CS83" t="e">
        <f>AND('SPR BARRANQUILLA'!DS97,"AAAAACjvf2A=")</f>
        <v>#VALUE!</v>
      </c>
      <c r="CT83" t="e">
        <f>AND('SPR BARRANQUILLA'!DT97,"AAAAACjvf2E=")</f>
        <v>#VALUE!</v>
      </c>
      <c r="CU83" t="e">
        <f>AND('SPR BARRANQUILLA'!DU97,"AAAAACjvf2I=")</f>
        <v>#VALUE!</v>
      </c>
      <c r="CV83" t="e">
        <f>AND('SPR BARRANQUILLA'!DV97,"AAAAACjvf2M=")</f>
        <v>#VALUE!</v>
      </c>
      <c r="CW83" t="e">
        <f>AND('SPR BARRANQUILLA'!DW97,"AAAAACjvf2Q=")</f>
        <v>#VALUE!</v>
      </c>
      <c r="CX83" t="e">
        <f>AND('SPR BARRANQUILLA'!DX97,"AAAAACjvf2U=")</f>
        <v>#VALUE!</v>
      </c>
      <c r="CY83" t="e">
        <f>AND('SPR BARRANQUILLA'!DY97,"AAAAACjvf2Y=")</f>
        <v>#VALUE!</v>
      </c>
      <c r="CZ83" t="e">
        <f>AND('SPR BARRANQUILLA'!DZ97,"AAAAACjvf2c=")</f>
        <v>#VALUE!</v>
      </c>
      <c r="DA83" t="e">
        <f>AND('SPR BARRANQUILLA'!EA97,"AAAAACjvf2g=")</f>
        <v>#VALUE!</v>
      </c>
      <c r="DB83" t="e">
        <f>AND('SPR BARRANQUILLA'!EB97,"AAAAACjvf2k=")</f>
        <v>#VALUE!</v>
      </c>
      <c r="DC83" t="e">
        <f>AND('SPR BARRANQUILLA'!EC97,"AAAAACjvf2o=")</f>
        <v>#VALUE!</v>
      </c>
      <c r="DD83" t="e">
        <f>AND('SPR BARRANQUILLA'!ED97,"AAAAACjvf2s=")</f>
        <v>#VALUE!</v>
      </c>
      <c r="DE83" t="e">
        <f>AND('SPR BARRANQUILLA'!EE97,"AAAAACjvf2w=")</f>
        <v>#VALUE!</v>
      </c>
      <c r="DF83" t="e">
        <f>AND('SPR BARRANQUILLA'!EF97,"AAAAACjvf20=")</f>
        <v>#VALUE!</v>
      </c>
      <c r="DG83" t="e">
        <f>AND('SPR BARRANQUILLA'!EG97,"AAAAACjvf24=")</f>
        <v>#VALUE!</v>
      </c>
      <c r="DH83" t="e">
        <f>AND('SPR BARRANQUILLA'!EH97,"AAAAACjvf28=")</f>
        <v>#VALUE!</v>
      </c>
      <c r="DI83" t="e">
        <f>AND('SPR BARRANQUILLA'!EI97,"AAAAACjvf3A=")</f>
        <v>#VALUE!</v>
      </c>
      <c r="DJ83" t="e">
        <f>AND('SPR BARRANQUILLA'!EJ97,"AAAAACjvf3E=")</f>
        <v>#VALUE!</v>
      </c>
      <c r="DK83" t="e">
        <f>AND('SPR BARRANQUILLA'!EK97,"AAAAACjvf3I=")</f>
        <v>#VALUE!</v>
      </c>
      <c r="DL83" t="e">
        <f>AND('SPR BARRANQUILLA'!EL97,"AAAAACjvf3M=")</f>
        <v>#VALUE!</v>
      </c>
      <c r="DM83" t="e">
        <f>AND('SPR BARRANQUILLA'!EM97,"AAAAACjvf3Q=")</f>
        <v>#VALUE!</v>
      </c>
      <c r="DN83" t="e">
        <f>AND('SPR BARRANQUILLA'!EN97,"AAAAACjvf3U=")</f>
        <v>#VALUE!</v>
      </c>
      <c r="DO83" t="e">
        <f>AND('SPR BARRANQUILLA'!EO97,"AAAAACjvf3Y=")</f>
        <v>#VALUE!</v>
      </c>
      <c r="DP83" t="e">
        <f>AND('SPR BARRANQUILLA'!EP97,"AAAAACjvf3c=")</f>
        <v>#VALUE!</v>
      </c>
      <c r="DQ83" t="e">
        <f>AND('SPR BARRANQUILLA'!EQ97,"AAAAACjvf3g=")</f>
        <v>#VALUE!</v>
      </c>
      <c r="DR83" t="e">
        <f>AND('SPR BARRANQUILLA'!ER97,"AAAAACjvf3k=")</f>
        <v>#VALUE!</v>
      </c>
      <c r="DS83" t="e">
        <f>AND('SPR BARRANQUILLA'!ES97,"AAAAACjvf3o=")</f>
        <v>#VALUE!</v>
      </c>
      <c r="DT83" t="e">
        <f>AND('SPR BARRANQUILLA'!ET97,"AAAAACjvf3s=")</f>
        <v>#VALUE!</v>
      </c>
      <c r="DU83" t="e">
        <f>AND('SPR BARRANQUILLA'!EU97,"AAAAACjvf3w=")</f>
        <v>#VALUE!</v>
      </c>
      <c r="DV83" t="e">
        <f>AND('SPR BARRANQUILLA'!EV97,"AAAAACjvf30=")</f>
        <v>#VALUE!</v>
      </c>
      <c r="DW83" t="e">
        <f>AND('SPR BARRANQUILLA'!EW97,"AAAAACjvf34=")</f>
        <v>#VALUE!</v>
      </c>
      <c r="DX83" t="e">
        <f>AND('SPR BARRANQUILLA'!EX97,"AAAAACjvf38=")</f>
        <v>#VALUE!</v>
      </c>
      <c r="DY83" t="e">
        <f>AND('SPR BARRANQUILLA'!EY97,"AAAAACjvf4A=")</f>
        <v>#VALUE!</v>
      </c>
      <c r="DZ83" t="e">
        <f>AND('SPR BARRANQUILLA'!EZ97,"AAAAACjvf4E=")</f>
        <v>#VALUE!</v>
      </c>
      <c r="EA83" t="e">
        <f>AND('SPR BARRANQUILLA'!FA97,"AAAAACjvf4I=")</f>
        <v>#VALUE!</v>
      </c>
      <c r="EB83" t="e">
        <f>AND('SPR BARRANQUILLA'!FB97,"AAAAACjvf4M=")</f>
        <v>#VALUE!</v>
      </c>
      <c r="EC83" t="e">
        <f>AND('SPR BARRANQUILLA'!FC97,"AAAAACjvf4Q=")</f>
        <v>#VALUE!</v>
      </c>
      <c r="ED83" t="e">
        <f>AND('SPR BARRANQUILLA'!FD97,"AAAAACjvf4U=")</f>
        <v>#VALUE!</v>
      </c>
      <c r="EE83" t="e">
        <f>AND('SPR BARRANQUILLA'!FE97,"AAAAACjvf4Y=")</f>
        <v>#VALUE!</v>
      </c>
      <c r="EF83" t="e">
        <f>AND('SPR BARRANQUILLA'!FF97,"AAAAACjvf4c=")</f>
        <v>#VALUE!</v>
      </c>
      <c r="EG83" t="e">
        <f>AND('SPR BARRANQUILLA'!FG97,"AAAAACjvf4g=")</f>
        <v>#VALUE!</v>
      </c>
      <c r="EH83" t="e">
        <f>AND('SPR BARRANQUILLA'!FH97,"AAAAACjvf4k=")</f>
        <v>#VALUE!</v>
      </c>
      <c r="EI83" t="e">
        <f>AND('SPR BARRANQUILLA'!FI97,"AAAAACjvf4o=")</f>
        <v>#VALUE!</v>
      </c>
      <c r="EJ83" t="e">
        <f>AND('SPR BARRANQUILLA'!FJ97,"AAAAACjvf4s=")</f>
        <v>#VALUE!</v>
      </c>
      <c r="EK83" t="e">
        <f>AND('SPR BARRANQUILLA'!FK97,"AAAAACjvf4w=")</f>
        <v>#VALUE!</v>
      </c>
      <c r="EL83" t="e">
        <f>AND('SPR BARRANQUILLA'!FL97,"AAAAACjvf40=")</f>
        <v>#VALUE!</v>
      </c>
      <c r="EM83" t="e">
        <f>AND('SPR BARRANQUILLA'!FM97,"AAAAACjvf44=")</f>
        <v>#VALUE!</v>
      </c>
      <c r="EN83" t="e">
        <f>AND('SPR BARRANQUILLA'!FN97,"AAAAACjvf48=")</f>
        <v>#VALUE!</v>
      </c>
      <c r="EO83" t="e">
        <f>AND('SPR BARRANQUILLA'!FO97,"AAAAACjvf5A=")</f>
        <v>#VALUE!</v>
      </c>
      <c r="EP83" t="e">
        <f>AND('SPR BARRANQUILLA'!FP97,"AAAAACjvf5E=")</f>
        <v>#VALUE!</v>
      </c>
      <c r="EQ83" t="e">
        <f>AND('SPR BARRANQUILLA'!FQ97,"AAAAACjvf5I=")</f>
        <v>#VALUE!</v>
      </c>
      <c r="ER83" t="e">
        <f>AND('SPR BARRANQUILLA'!FR97,"AAAAACjvf5M=")</f>
        <v>#VALUE!</v>
      </c>
      <c r="ES83" t="e">
        <f>AND('SPR BARRANQUILLA'!FS97,"AAAAACjvf5Q=")</f>
        <v>#VALUE!</v>
      </c>
      <c r="ET83" t="e">
        <f>AND('SPR BARRANQUILLA'!FT97,"AAAAACjvf5U=")</f>
        <v>#VALUE!</v>
      </c>
      <c r="EU83" t="e">
        <f>AND('SPR BARRANQUILLA'!FU97,"AAAAACjvf5Y=")</f>
        <v>#VALUE!</v>
      </c>
      <c r="EV83" t="e">
        <f>AND('SPR BARRANQUILLA'!FV97,"AAAAACjvf5c=")</f>
        <v>#VALUE!</v>
      </c>
      <c r="EW83" t="e">
        <f>AND('SPR BARRANQUILLA'!FW97,"AAAAACjvf5g=")</f>
        <v>#VALUE!</v>
      </c>
      <c r="EX83" t="e">
        <f>AND('SPR BARRANQUILLA'!FX97,"AAAAACjvf5k=")</f>
        <v>#VALUE!</v>
      </c>
      <c r="EY83" t="e">
        <f>AND('SPR BARRANQUILLA'!FY97,"AAAAACjvf5o=")</f>
        <v>#VALUE!</v>
      </c>
      <c r="EZ83" t="e">
        <f>AND('SPR BARRANQUILLA'!FZ97,"AAAAACjvf5s=")</f>
        <v>#VALUE!</v>
      </c>
      <c r="FA83" t="e">
        <f>AND('SPR BARRANQUILLA'!GA97,"AAAAACjvf5w=")</f>
        <v>#VALUE!</v>
      </c>
      <c r="FB83" t="e">
        <f>AND('SPR BARRANQUILLA'!GB97,"AAAAACjvf50=")</f>
        <v>#VALUE!</v>
      </c>
      <c r="FC83" t="e">
        <f>AND('SPR BARRANQUILLA'!GC97,"AAAAACjvf54=")</f>
        <v>#VALUE!</v>
      </c>
      <c r="FD83" t="e">
        <f>AND('SPR BARRANQUILLA'!GD97,"AAAAACjvf58=")</f>
        <v>#VALUE!</v>
      </c>
      <c r="FE83" t="e">
        <f>AND('SPR BARRANQUILLA'!GE97,"AAAAACjvf6A=")</f>
        <v>#VALUE!</v>
      </c>
      <c r="FF83" t="e">
        <f>AND('SPR BARRANQUILLA'!GF97,"AAAAACjvf6E=")</f>
        <v>#VALUE!</v>
      </c>
      <c r="FG83" t="e">
        <f>AND('SPR BARRANQUILLA'!GG97,"AAAAACjvf6I=")</f>
        <v>#VALUE!</v>
      </c>
      <c r="FH83" t="e">
        <f>AND('SPR BARRANQUILLA'!GH97,"AAAAACjvf6M=")</f>
        <v>#VALUE!</v>
      </c>
      <c r="FI83" t="e">
        <f>AND('SPR BARRANQUILLA'!GI97,"AAAAACjvf6Q=")</f>
        <v>#VALUE!</v>
      </c>
      <c r="FJ83" t="e">
        <f>AND('SPR BARRANQUILLA'!GJ97,"AAAAACjvf6U=")</f>
        <v>#VALUE!</v>
      </c>
      <c r="FK83" t="e">
        <f>AND('SPR BARRANQUILLA'!GK97,"AAAAACjvf6Y=")</f>
        <v>#VALUE!</v>
      </c>
      <c r="FL83" t="e">
        <f>AND('SPR BARRANQUILLA'!GL97,"AAAAACjvf6c=")</f>
        <v>#VALUE!</v>
      </c>
      <c r="FM83" t="e">
        <f>AND('SPR BARRANQUILLA'!GM97,"AAAAACjvf6g=")</f>
        <v>#VALUE!</v>
      </c>
      <c r="FN83" t="e">
        <f>AND('SPR BARRANQUILLA'!GN97,"AAAAACjvf6k=")</f>
        <v>#VALUE!</v>
      </c>
      <c r="FO83" t="e">
        <f>AND('SPR BARRANQUILLA'!GO97,"AAAAACjvf6o=")</f>
        <v>#VALUE!</v>
      </c>
      <c r="FP83" t="e">
        <f>AND('SPR BARRANQUILLA'!GP97,"AAAAACjvf6s=")</f>
        <v>#VALUE!</v>
      </c>
      <c r="FQ83" t="e">
        <f>AND('SPR BARRANQUILLA'!GQ97,"AAAAACjvf6w=")</f>
        <v>#VALUE!</v>
      </c>
      <c r="FR83" t="e">
        <f>AND('SPR BARRANQUILLA'!GR97,"AAAAACjvf60=")</f>
        <v>#VALUE!</v>
      </c>
      <c r="FS83" t="e">
        <f>AND('SPR BARRANQUILLA'!GS97,"AAAAACjvf64=")</f>
        <v>#VALUE!</v>
      </c>
      <c r="FT83" t="e">
        <f>AND('SPR BARRANQUILLA'!GT97,"AAAAACjvf68=")</f>
        <v>#VALUE!</v>
      </c>
      <c r="FU83" t="e">
        <f>AND('SPR BARRANQUILLA'!GU97,"AAAAACjvf7A=")</f>
        <v>#VALUE!</v>
      </c>
      <c r="FV83" t="e">
        <f>AND('SPR BARRANQUILLA'!GV97,"AAAAACjvf7E=")</f>
        <v>#VALUE!</v>
      </c>
      <c r="FW83" t="e">
        <f>AND('SPR BARRANQUILLA'!GW97,"AAAAACjvf7I=")</f>
        <v>#VALUE!</v>
      </c>
      <c r="FX83" t="e">
        <f>AND('SPR BARRANQUILLA'!GX97,"AAAAACjvf7M=")</f>
        <v>#VALUE!</v>
      </c>
      <c r="FY83" t="e">
        <f>AND('SPR BARRANQUILLA'!GY97,"AAAAACjvf7Q=")</f>
        <v>#VALUE!</v>
      </c>
      <c r="FZ83">
        <f>IF('SPR BARRANQUILLA'!98:98,"AAAAACjvf7U=",0)</f>
        <v>0</v>
      </c>
      <c r="GA83" t="e">
        <f>AND('SPR BARRANQUILLA'!A98,"AAAAACjvf7Y=")</f>
        <v>#VALUE!</v>
      </c>
      <c r="GB83" t="e">
        <f>AND('SPR BARRANQUILLA'!B98,"AAAAACjvf7c=")</f>
        <v>#VALUE!</v>
      </c>
      <c r="GC83" t="e">
        <f>AND('SPR BARRANQUILLA'!C98,"AAAAACjvf7g=")</f>
        <v>#VALUE!</v>
      </c>
      <c r="GD83" t="e">
        <f>AND('SPR BARRANQUILLA'!D98,"AAAAACjvf7k=")</f>
        <v>#VALUE!</v>
      </c>
      <c r="GE83" t="e">
        <f>AND('SPR BARRANQUILLA'!E98,"AAAAACjvf7o=")</f>
        <v>#VALUE!</v>
      </c>
      <c r="GF83" t="e">
        <f>AND('SPR BARRANQUILLA'!F98,"AAAAACjvf7s=")</f>
        <v>#VALUE!</v>
      </c>
      <c r="GG83" t="e">
        <f>AND('SPR BARRANQUILLA'!G98,"AAAAACjvf7w=")</f>
        <v>#VALUE!</v>
      </c>
      <c r="GH83" t="e">
        <f>AND('SPR BARRANQUILLA'!H98,"AAAAACjvf70=")</f>
        <v>#VALUE!</v>
      </c>
      <c r="GI83" t="e">
        <f>AND('SPR BARRANQUILLA'!I98,"AAAAACjvf74=")</f>
        <v>#VALUE!</v>
      </c>
      <c r="GJ83" t="e">
        <f>AND('SPR BARRANQUILLA'!J98,"AAAAACjvf78=")</f>
        <v>#VALUE!</v>
      </c>
      <c r="GK83" t="e">
        <f>AND('SPR BARRANQUILLA'!K98,"AAAAACjvf8A=")</f>
        <v>#VALUE!</v>
      </c>
      <c r="GL83" t="e">
        <f>AND('SPR BARRANQUILLA'!L98,"AAAAACjvf8E=")</f>
        <v>#VALUE!</v>
      </c>
      <c r="GM83" t="e">
        <f>AND('SPR BARRANQUILLA'!M98,"AAAAACjvf8I=")</f>
        <v>#VALUE!</v>
      </c>
      <c r="GN83" t="e">
        <f>AND('SPR BARRANQUILLA'!N98,"AAAAACjvf8M=")</f>
        <v>#VALUE!</v>
      </c>
      <c r="GO83" t="e">
        <f>AND('SPR BARRANQUILLA'!O98,"AAAAACjvf8Q=")</f>
        <v>#VALUE!</v>
      </c>
      <c r="GP83" t="e">
        <f>AND('SPR BARRANQUILLA'!P98,"AAAAACjvf8U=")</f>
        <v>#VALUE!</v>
      </c>
      <c r="GQ83" t="e">
        <f>AND('SPR BARRANQUILLA'!Q98,"AAAAACjvf8Y=")</f>
        <v>#VALUE!</v>
      </c>
      <c r="GR83" t="e">
        <f>AND('SPR BARRANQUILLA'!R98,"AAAAACjvf8c=")</f>
        <v>#VALUE!</v>
      </c>
      <c r="GS83" t="e">
        <f>AND('SPR BARRANQUILLA'!S98,"AAAAACjvf8g=")</f>
        <v>#VALUE!</v>
      </c>
      <c r="GT83" t="e">
        <f>AND('SPR BARRANQUILLA'!T98,"AAAAACjvf8k=")</f>
        <v>#VALUE!</v>
      </c>
      <c r="GU83" t="e">
        <f>AND('SPR BARRANQUILLA'!U98,"AAAAACjvf8o=")</f>
        <v>#VALUE!</v>
      </c>
      <c r="GV83" t="e">
        <f>AND('SPR BARRANQUILLA'!V98,"AAAAACjvf8s=")</f>
        <v>#VALUE!</v>
      </c>
      <c r="GW83" t="e">
        <f>AND('SPR BARRANQUILLA'!W98,"AAAAACjvf8w=")</f>
        <v>#VALUE!</v>
      </c>
      <c r="GX83" t="e">
        <f>AND('SPR BARRANQUILLA'!X98,"AAAAACjvf80=")</f>
        <v>#VALUE!</v>
      </c>
      <c r="GY83" t="e">
        <f>AND('SPR BARRANQUILLA'!Y98,"AAAAACjvf84=")</f>
        <v>#VALUE!</v>
      </c>
      <c r="GZ83" t="e">
        <f>AND('SPR BARRANQUILLA'!Z98,"AAAAACjvf88=")</f>
        <v>#VALUE!</v>
      </c>
      <c r="HA83" t="e">
        <f>AND('SPR BARRANQUILLA'!AA98,"AAAAACjvf9A=")</f>
        <v>#VALUE!</v>
      </c>
      <c r="HB83" t="e">
        <f>AND('SPR BARRANQUILLA'!AB98,"AAAAACjvf9E=")</f>
        <v>#VALUE!</v>
      </c>
      <c r="HC83" t="e">
        <f>AND('SPR BARRANQUILLA'!AC98,"AAAAACjvf9I=")</f>
        <v>#VALUE!</v>
      </c>
      <c r="HD83" t="e">
        <f>AND('SPR BARRANQUILLA'!AD98,"AAAAACjvf9M=")</f>
        <v>#VALUE!</v>
      </c>
      <c r="HE83" t="e">
        <f>AND('SPR BARRANQUILLA'!AE98,"AAAAACjvf9Q=")</f>
        <v>#VALUE!</v>
      </c>
      <c r="HF83" t="e">
        <f>AND('SPR BARRANQUILLA'!AF98,"AAAAACjvf9U=")</f>
        <v>#VALUE!</v>
      </c>
      <c r="HG83" t="e">
        <f>AND('SPR BARRANQUILLA'!AG98,"AAAAACjvf9Y=")</f>
        <v>#VALUE!</v>
      </c>
      <c r="HH83" t="e">
        <f>AND('SPR BARRANQUILLA'!AH98,"AAAAACjvf9c=")</f>
        <v>#VALUE!</v>
      </c>
      <c r="HI83" t="e">
        <f>AND('SPR BARRANQUILLA'!AI98,"AAAAACjvf9g=")</f>
        <v>#VALUE!</v>
      </c>
      <c r="HJ83" t="e">
        <f>AND('SPR BARRANQUILLA'!AJ98,"AAAAACjvf9k=")</f>
        <v>#VALUE!</v>
      </c>
      <c r="HK83" t="e">
        <f>AND('SPR BARRANQUILLA'!AK98,"AAAAACjvf9o=")</f>
        <v>#VALUE!</v>
      </c>
      <c r="HL83" t="e">
        <f>AND('SPR BARRANQUILLA'!AL98,"AAAAACjvf9s=")</f>
        <v>#VALUE!</v>
      </c>
      <c r="HM83" t="e">
        <f>AND('SPR BARRANQUILLA'!AM98,"AAAAACjvf9w=")</f>
        <v>#VALUE!</v>
      </c>
      <c r="HN83" t="e">
        <f>AND('SPR BARRANQUILLA'!AN98,"AAAAACjvf90=")</f>
        <v>#VALUE!</v>
      </c>
      <c r="HO83" t="e">
        <f>AND('SPR BARRANQUILLA'!AO98,"AAAAACjvf94=")</f>
        <v>#VALUE!</v>
      </c>
      <c r="HP83" t="e">
        <f>AND('SPR BARRANQUILLA'!AP98,"AAAAACjvf98=")</f>
        <v>#VALUE!</v>
      </c>
      <c r="HQ83" t="e">
        <f>AND('SPR BARRANQUILLA'!AQ98,"AAAAACjvf+A=")</f>
        <v>#VALUE!</v>
      </c>
      <c r="HR83" t="e">
        <f>AND('SPR BARRANQUILLA'!AR98,"AAAAACjvf+E=")</f>
        <v>#VALUE!</v>
      </c>
      <c r="HS83" t="e">
        <f>AND('SPR BARRANQUILLA'!AS98,"AAAAACjvf+I=")</f>
        <v>#VALUE!</v>
      </c>
      <c r="HT83" t="e">
        <f>AND('SPR BARRANQUILLA'!AT98,"AAAAACjvf+M=")</f>
        <v>#VALUE!</v>
      </c>
      <c r="HU83" t="e">
        <f>AND('SPR BARRANQUILLA'!AU98,"AAAAACjvf+Q=")</f>
        <v>#VALUE!</v>
      </c>
      <c r="HV83" t="e">
        <f>AND('SPR BARRANQUILLA'!AV98,"AAAAACjvf+U=")</f>
        <v>#VALUE!</v>
      </c>
      <c r="HW83" t="e">
        <f>AND('SPR BARRANQUILLA'!AW98,"AAAAACjvf+Y=")</f>
        <v>#VALUE!</v>
      </c>
      <c r="HX83" t="e">
        <f>AND('SPR BARRANQUILLA'!AX98,"AAAAACjvf+c=")</f>
        <v>#VALUE!</v>
      </c>
      <c r="HY83" t="e">
        <f>AND('SPR BARRANQUILLA'!AY98,"AAAAACjvf+g=")</f>
        <v>#VALUE!</v>
      </c>
      <c r="HZ83" t="e">
        <f>AND('SPR BARRANQUILLA'!AZ98,"AAAAACjvf+k=")</f>
        <v>#VALUE!</v>
      </c>
      <c r="IA83" t="e">
        <f>AND('SPR BARRANQUILLA'!BA98,"AAAAACjvf+o=")</f>
        <v>#VALUE!</v>
      </c>
      <c r="IB83" t="e">
        <f>AND('SPR BARRANQUILLA'!BB98,"AAAAACjvf+s=")</f>
        <v>#VALUE!</v>
      </c>
      <c r="IC83" t="e">
        <f>AND('SPR BARRANQUILLA'!BC98,"AAAAACjvf+w=")</f>
        <v>#VALUE!</v>
      </c>
      <c r="ID83" t="e">
        <f>AND('SPR BARRANQUILLA'!BD98,"AAAAACjvf+0=")</f>
        <v>#VALUE!</v>
      </c>
      <c r="IE83" t="e">
        <f>AND('SPR BARRANQUILLA'!BE98,"AAAAACjvf+4=")</f>
        <v>#VALUE!</v>
      </c>
      <c r="IF83" t="e">
        <f>AND('SPR BARRANQUILLA'!BF98,"AAAAACjvf+8=")</f>
        <v>#VALUE!</v>
      </c>
      <c r="IG83" t="e">
        <f>AND('SPR BARRANQUILLA'!BG98,"AAAAACjvf/A=")</f>
        <v>#VALUE!</v>
      </c>
      <c r="IH83" t="e">
        <f>AND('SPR BARRANQUILLA'!BH98,"AAAAACjvf/E=")</f>
        <v>#VALUE!</v>
      </c>
      <c r="II83" t="e">
        <f>AND('SPR BARRANQUILLA'!BI98,"AAAAACjvf/I=")</f>
        <v>#VALUE!</v>
      </c>
      <c r="IJ83" t="e">
        <f>AND('SPR BARRANQUILLA'!BJ98,"AAAAACjvf/M=")</f>
        <v>#VALUE!</v>
      </c>
      <c r="IK83" t="e">
        <f>AND('SPR BARRANQUILLA'!BK98,"AAAAACjvf/Q=")</f>
        <v>#VALUE!</v>
      </c>
      <c r="IL83" t="e">
        <f>AND('SPR BARRANQUILLA'!BL98,"AAAAACjvf/U=")</f>
        <v>#VALUE!</v>
      </c>
      <c r="IM83" t="e">
        <f>AND('SPR BARRANQUILLA'!BM98,"AAAAACjvf/Y=")</f>
        <v>#VALUE!</v>
      </c>
      <c r="IN83" t="e">
        <f>AND('SPR BARRANQUILLA'!BN98,"AAAAACjvf/c=")</f>
        <v>#VALUE!</v>
      </c>
      <c r="IO83" t="e">
        <f>AND('SPR BARRANQUILLA'!BO98,"AAAAACjvf/g=")</f>
        <v>#VALUE!</v>
      </c>
      <c r="IP83" t="e">
        <f>AND('SPR BARRANQUILLA'!BP98,"AAAAACjvf/k=")</f>
        <v>#VALUE!</v>
      </c>
      <c r="IQ83" t="e">
        <f>AND('SPR BARRANQUILLA'!BQ98,"AAAAACjvf/o=")</f>
        <v>#VALUE!</v>
      </c>
      <c r="IR83" t="e">
        <f>AND('SPR BARRANQUILLA'!BR98,"AAAAACjvf/s=")</f>
        <v>#VALUE!</v>
      </c>
      <c r="IS83" t="e">
        <f>AND('SPR BARRANQUILLA'!BS98,"AAAAACjvf/w=")</f>
        <v>#VALUE!</v>
      </c>
      <c r="IT83" t="e">
        <f>AND('SPR BARRANQUILLA'!BT98,"AAAAACjvf/0=")</f>
        <v>#VALUE!</v>
      </c>
      <c r="IU83" t="e">
        <f>AND('SPR BARRANQUILLA'!BU98,"AAAAACjvf/4=")</f>
        <v>#VALUE!</v>
      </c>
      <c r="IV83" t="e">
        <f>AND('SPR BARRANQUILLA'!BV98,"AAAAACjvf/8=")</f>
        <v>#VALUE!</v>
      </c>
    </row>
    <row r="84" spans="1:256">
      <c r="A84" t="e">
        <f>AND('SPR BARRANQUILLA'!BW98,"AAAAAEQ59wA=")</f>
        <v>#VALUE!</v>
      </c>
      <c r="B84" t="e">
        <f>AND('SPR BARRANQUILLA'!BX98,"AAAAAEQ59wE=")</f>
        <v>#VALUE!</v>
      </c>
      <c r="C84" t="e">
        <f>AND('SPR BARRANQUILLA'!BY98,"AAAAAEQ59wI=")</f>
        <v>#VALUE!</v>
      </c>
      <c r="D84" t="e">
        <f>AND('SPR BARRANQUILLA'!BZ98,"AAAAAEQ59wM=")</f>
        <v>#VALUE!</v>
      </c>
      <c r="E84" t="e">
        <f>AND('SPR BARRANQUILLA'!CA98,"AAAAAEQ59wQ=")</f>
        <v>#VALUE!</v>
      </c>
      <c r="F84" t="e">
        <f>AND('SPR BARRANQUILLA'!CB98,"AAAAAEQ59wU=")</f>
        <v>#VALUE!</v>
      </c>
      <c r="G84" t="e">
        <f>AND('SPR BARRANQUILLA'!CC98,"AAAAAEQ59wY=")</f>
        <v>#VALUE!</v>
      </c>
      <c r="H84" t="e">
        <f>AND('SPR BARRANQUILLA'!CD98,"AAAAAEQ59wc=")</f>
        <v>#VALUE!</v>
      </c>
      <c r="I84" t="e">
        <f>AND('SPR BARRANQUILLA'!CE98,"AAAAAEQ59wg=")</f>
        <v>#VALUE!</v>
      </c>
      <c r="J84" t="e">
        <f>AND('SPR BARRANQUILLA'!CF98,"AAAAAEQ59wk=")</f>
        <v>#VALUE!</v>
      </c>
      <c r="K84" t="e">
        <f>AND('SPR BARRANQUILLA'!CG98,"AAAAAEQ59wo=")</f>
        <v>#VALUE!</v>
      </c>
      <c r="L84" t="e">
        <f>AND('SPR BARRANQUILLA'!CH98,"AAAAAEQ59ws=")</f>
        <v>#VALUE!</v>
      </c>
      <c r="M84" t="e">
        <f>AND('SPR BARRANQUILLA'!CI98,"AAAAAEQ59ww=")</f>
        <v>#VALUE!</v>
      </c>
      <c r="N84" t="e">
        <f>AND('SPR BARRANQUILLA'!CJ98,"AAAAAEQ59w0=")</f>
        <v>#VALUE!</v>
      </c>
      <c r="O84" t="e">
        <f>AND('SPR BARRANQUILLA'!CK98,"AAAAAEQ59w4=")</f>
        <v>#VALUE!</v>
      </c>
      <c r="P84" t="e">
        <f>AND('SPR BARRANQUILLA'!CL98,"AAAAAEQ59w8=")</f>
        <v>#VALUE!</v>
      </c>
      <c r="Q84" t="e">
        <f>AND('SPR BARRANQUILLA'!CM98,"AAAAAEQ59xA=")</f>
        <v>#VALUE!</v>
      </c>
      <c r="R84" t="e">
        <f>AND('SPR BARRANQUILLA'!CN98,"AAAAAEQ59xE=")</f>
        <v>#VALUE!</v>
      </c>
      <c r="S84" t="e">
        <f>AND('SPR BARRANQUILLA'!CO98,"AAAAAEQ59xI=")</f>
        <v>#VALUE!</v>
      </c>
      <c r="T84" t="e">
        <f>AND('SPR BARRANQUILLA'!CP98,"AAAAAEQ59xM=")</f>
        <v>#VALUE!</v>
      </c>
      <c r="U84" t="e">
        <f>AND('SPR BARRANQUILLA'!CQ98,"AAAAAEQ59xQ=")</f>
        <v>#VALUE!</v>
      </c>
      <c r="V84" t="e">
        <f>AND('SPR BARRANQUILLA'!CR98,"AAAAAEQ59xU=")</f>
        <v>#VALUE!</v>
      </c>
      <c r="W84" t="e">
        <f>AND('SPR BARRANQUILLA'!CS98,"AAAAAEQ59xY=")</f>
        <v>#VALUE!</v>
      </c>
      <c r="X84" t="e">
        <f>AND('SPR BARRANQUILLA'!CT98,"AAAAAEQ59xc=")</f>
        <v>#VALUE!</v>
      </c>
      <c r="Y84" t="e">
        <f>AND('SPR BARRANQUILLA'!CU98,"AAAAAEQ59xg=")</f>
        <v>#VALUE!</v>
      </c>
      <c r="Z84" t="e">
        <f>AND('SPR BARRANQUILLA'!CV98,"AAAAAEQ59xk=")</f>
        <v>#VALUE!</v>
      </c>
      <c r="AA84" t="e">
        <f>AND('SPR BARRANQUILLA'!CW98,"AAAAAEQ59xo=")</f>
        <v>#VALUE!</v>
      </c>
      <c r="AB84" t="e">
        <f>AND('SPR BARRANQUILLA'!CX98,"AAAAAEQ59xs=")</f>
        <v>#VALUE!</v>
      </c>
      <c r="AC84" t="e">
        <f>AND('SPR BARRANQUILLA'!CY98,"AAAAAEQ59xw=")</f>
        <v>#VALUE!</v>
      </c>
      <c r="AD84" t="e">
        <f>AND('SPR BARRANQUILLA'!CZ98,"AAAAAEQ59x0=")</f>
        <v>#VALUE!</v>
      </c>
      <c r="AE84" t="e">
        <f>AND('SPR BARRANQUILLA'!DA98,"AAAAAEQ59x4=")</f>
        <v>#VALUE!</v>
      </c>
      <c r="AF84" t="e">
        <f>AND('SPR BARRANQUILLA'!DB98,"AAAAAEQ59x8=")</f>
        <v>#VALUE!</v>
      </c>
      <c r="AG84" t="e">
        <f>AND('SPR BARRANQUILLA'!DC98,"AAAAAEQ59yA=")</f>
        <v>#VALUE!</v>
      </c>
      <c r="AH84" t="e">
        <f>AND('SPR BARRANQUILLA'!DD98,"AAAAAEQ59yE=")</f>
        <v>#VALUE!</v>
      </c>
      <c r="AI84" t="e">
        <f>AND('SPR BARRANQUILLA'!DE98,"AAAAAEQ59yI=")</f>
        <v>#VALUE!</v>
      </c>
      <c r="AJ84" t="e">
        <f>AND('SPR BARRANQUILLA'!DF98,"AAAAAEQ59yM=")</f>
        <v>#VALUE!</v>
      </c>
      <c r="AK84" t="e">
        <f>AND('SPR BARRANQUILLA'!DG98,"AAAAAEQ59yQ=")</f>
        <v>#VALUE!</v>
      </c>
      <c r="AL84" t="e">
        <f>AND('SPR BARRANQUILLA'!DH98,"AAAAAEQ59yU=")</f>
        <v>#VALUE!</v>
      </c>
      <c r="AM84" t="e">
        <f>AND('SPR BARRANQUILLA'!DI98,"AAAAAEQ59yY=")</f>
        <v>#VALUE!</v>
      </c>
      <c r="AN84" t="e">
        <f>AND('SPR BARRANQUILLA'!DJ98,"AAAAAEQ59yc=")</f>
        <v>#VALUE!</v>
      </c>
      <c r="AO84" t="e">
        <f>AND('SPR BARRANQUILLA'!DK98,"AAAAAEQ59yg=")</f>
        <v>#VALUE!</v>
      </c>
      <c r="AP84" t="e">
        <f>AND('SPR BARRANQUILLA'!DL98,"AAAAAEQ59yk=")</f>
        <v>#VALUE!</v>
      </c>
      <c r="AQ84" t="e">
        <f>AND('SPR BARRANQUILLA'!DM98,"AAAAAEQ59yo=")</f>
        <v>#VALUE!</v>
      </c>
      <c r="AR84" t="e">
        <f>AND('SPR BARRANQUILLA'!DN98,"AAAAAEQ59ys=")</f>
        <v>#VALUE!</v>
      </c>
      <c r="AS84" t="e">
        <f>AND('SPR BARRANQUILLA'!DO98,"AAAAAEQ59yw=")</f>
        <v>#VALUE!</v>
      </c>
      <c r="AT84" t="e">
        <f>AND('SPR BARRANQUILLA'!DP98,"AAAAAEQ59y0=")</f>
        <v>#VALUE!</v>
      </c>
      <c r="AU84" t="e">
        <f>AND('SPR BARRANQUILLA'!DQ98,"AAAAAEQ59y4=")</f>
        <v>#VALUE!</v>
      </c>
      <c r="AV84" t="e">
        <f>AND('SPR BARRANQUILLA'!DR98,"AAAAAEQ59y8=")</f>
        <v>#VALUE!</v>
      </c>
      <c r="AW84" t="e">
        <f>AND('SPR BARRANQUILLA'!DS98,"AAAAAEQ59zA=")</f>
        <v>#VALUE!</v>
      </c>
      <c r="AX84" t="e">
        <f>AND('SPR BARRANQUILLA'!DT98,"AAAAAEQ59zE=")</f>
        <v>#VALUE!</v>
      </c>
      <c r="AY84" t="e">
        <f>AND('SPR BARRANQUILLA'!DU98,"AAAAAEQ59zI=")</f>
        <v>#VALUE!</v>
      </c>
      <c r="AZ84" t="e">
        <f>AND('SPR BARRANQUILLA'!DV98,"AAAAAEQ59zM=")</f>
        <v>#VALUE!</v>
      </c>
      <c r="BA84" t="e">
        <f>AND('SPR BARRANQUILLA'!DW98,"AAAAAEQ59zQ=")</f>
        <v>#VALUE!</v>
      </c>
      <c r="BB84" t="e">
        <f>AND('SPR BARRANQUILLA'!DX98,"AAAAAEQ59zU=")</f>
        <v>#VALUE!</v>
      </c>
      <c r="BC84" t="e">
        <f>AND('SPR BARRANQUILLA'!DY98,"AAAAAEQ59zY=")</f>
        <v>#VALUE!</v>
      </c>
      <c r="BD84" t="e">
        <f>AND('SPR BARRANQUILLA'!DZ98,"AAAAAEQ59zc=")</f>
        <v>#VALUE!</v>
      </c>
      <c r="BE84" t="e">
        <f>AND('SPR BARRANQUILLA'!EA98,"AAAAAEQ59zg=")</f>
        <v>#VALUE!</v>
      </c>
      <c r="BF84" t="e">
        <f>AND('SPR BARRANQUILLA'!EB98,"AAAAAEQ59zk=")</f>
        <v>#VALUE!</v>
      </c>
      <c r="BG84" t="e">
        <f>AND('SPR BARRANQUILLA'!EC98,"AAAAAEQ59zo=")</f>
        <v>#VALUE!</v>
      </c>
      <c r="BH84" t="e">
        <f>AND('SPR BARRANQUILLA'!ED98,"AAAAAEQ59zs=")</f>
        <v>#VALUE!</v>
      </c>
      <c r="BI84" t="e">
        <f>AND('SPR BARRANQUILLA'!EE98,"AAAAAEQ59zw=")</f>
        <v>#VALUE!</v>
      </c>
      <c r="BJ84" t="e">
        <f>AND('SPR BARRANQUILLA'!EF98,"AAAAAEQ59z0=")</f>
        <v>#VALUE!</v>
      </c>
      <c r="BK84" t="e">
        <f>AND('SPR BARRANQUILLA'!EG98,"AAAAAEQ59z4=")</f>
        <v>#VALUE!</v>
      </c>
      <c r="BL84" t="e">
        <f>AND('SPR BARRANQUILLA'!EH98,"AAAAAEQ59z8=")</f>
        <v>#VALUE!</v>
      </c>
      <c r="BM84" t="e">
        <f>AND('SPR BARRANQUILLA'!EI98,"AAAAAEQ590A=")</f>
        <v>#VALUE!</v>
      </c>
      <c r="BN84" t="e">
        <f>AND('SPR BARRANQUILLA'!EJ98,"AAAAAEQ590E=")</f>
        <v>#VALUE!</v>
      </c>
      <c r="BO84" t="e">
        <f>AND('SPR BARRANQUILLA'!EK98,"AAAAAEQ590I=")</f>
        <v>#VALUE!</v>
      </c>
      <c r="BP84" t="e">
        <f>AND('SPR BARRANQUILLA'!EL98,"AAAAAEQ590M=")</f>
        <v>#VALUE!</v>
      </c>
      <c r="BQ84" t="e">
        <f>AND('SPR BARRANQUILLA'!EM98,"AAAAAEQ590Q=")</f>
        <v>#VALUE!</v>
      </c>
      <c r="BR84" t="e">
        <f>AND('SPR BARRANQUILLA'!EN98,"AAAAAEQ590U=")</f>
        <v>#VALUE!</v>
      </c>
      <c r="BS84" t="e">
        <f>AND('SPR BARRANQUILLA'!EO98,"AAAAAEQ590Y=")</f>
        <v>#VALUE!</v>
      </c>
      <c r="BT84" t="e">
        <f>AND('SPR BARRANQUILLA'!EP98,"AAAAAEQ590c=")</f>
        <v>#VALUE!</v>
      </c>
      <c r="BU84" t="e">
        <f>AND('SPR BARRANQUILLA'!EQ98,"AAAAAEQ590g=")</f>
        <v>#VALUE!</v>
      </c>
      <c r="BV84" t="e">
        <f>AND('SPR BARRANQUILLA'!ER98,"AAAAAEQ590k=")</f>
        <v>#VALUE!</v>
      </c>
      <c r="BW84" t="e">
        <f>AND('SPR BARRANQUILLA'!ES98,"AAAAAEQ590o=")</f>
        <v>#VALUE!</v>
      </c>
      <c r="BX84" t="e">
        <f>AND('SPR BARRANQUILLA'!ET98,"AAAAAEQ590s=")</f>
        <v>#VALUE!</v>
      </c>
      <c r="BY84" t="e">
        <f>AND('SPR BARRANQUILLA'!EU98,"AAAAAEQ590w=")</f>
        <v>#VALUE!</v>
      </c>
      <c r="BZ84" t="e">
        <f>AND('SPR BARRANQUILLA'!EV98,"AAAAAEQ5900=")</f>
        <v>#VALUE!</v>
      </c>
      <c r="CA84" t="e">
        <f>AND('SPR BARRANQUILLA'!EW98,"AAAAAEQ5904=")</f>
        <v>#VALUE!</v>
      </c>
      <c r="CB84" t="e">
        <f>AND('SPR BARRANQUILLA'!EX98,"AAAAAEQ5908=")</f>
        <v>#VALUE!</v>
      </c>
      <c r="CC84" t="e">
        <f>AND('SPR BARRANQUILLA'!EY98,"AAAAAEQ591A=")</f>
        <v>#VALUE!</v>
      </c>
      <c r="CD84" t="e">
        <f>AND('SPR BARRANQUILLA'!EZ98,"AAAAAEQ591E=")</f>
        <v>#VALUE!</v>
      </c>
      <c r="CE84" t="e">
        <f>AND('SPR BARRANQUILLA'!FA98,"AAAAAEQ591I=")</f>
        <v>#VALUE!</v>
      </c>
      <c r="CF84" t="e">
        <f>AND('SPR BARRANQUILLA'!FB98,"AAAAAEQ591M=")</f>
        <v>#VALUE!</v>
      </c>
      <c r="CG84" t="e">
        <f>AND('SPR BARRANQUILLA'!FC98,"AAAAAEQ591Q=")</f>
        <v>#VALUE!</v>
      </c>
      <c r="CH84" t="e">
        <f>AND('SPR BARRANQUILLA'!FD98,"AAAAAEQ591U=")</f>
        <v>#VALUE!</v>
      </c>
      <c r="CI84" t="e">
        <f>AND('SPR BARRANQUILLA'!FE98,"AAAAAEQ591Y=")</f>
        <v>#VALUE!</v>
      </c>
      <c r="CJ84" t="e">
        <f>AND('SPR BARRANQUILLA'!FF98,"AAAAAEQ591c=")</f>
        <v>#VALUE!</v>
      </c>
      <c r="CK84" t="e">
        <f>AND('SPR BARRANQUILLA'!FG98,"AAAAAEQ591g=")</f>
        <v>#VALUE!</v>
      </c>
      <c r="CL84" t="e">
        <f>AND('SPR BARRANQUILLA'!FH98,"AAAAAEQ591k=")</f>
        <v>#VALUE!</v>
      </c>
      <c r="CM84" t="e">
        <f>AND('SPR BARRANQUILLA'!FI98,"AAAAAEQ591o=")</f>
        <v>#VALUE!</v>
      </c>
      <c r="CN84" t="e">
        <f>AND('SPR BARRANQUILLA'!FJ98,"AAAAAEQ591s=")</f>
        <v>#VALUE!</v>
      </c>
      <c r="CO84" t="e">
        <f>AND('SPR BARRANQUILLA'!FK98,"AAAAAEQ591w=")</f>
        <v>#VALUE!</v>
      </c>
      <c r="CP84" t="e">
        <f>AND('SPR BARRANQUILLA'!FL98,"AAAAAEQ5910=")</f>
        <v>#VALUE!</v>
      </c>
      <c r="CQ84" t="e">
        <f>AND('SPR BARRANQUILLA'!FM98,"AAAAAEQ5914=")</f>
        <v>#VALUE!</v>
      </c>
      <c r="CR84" t="e">
        <f>AND('SPR BARRANQUILLA'!FN98,"AAAAAEQ5918=")</f>
        <v>#VALUE!</v>
      </c>
      <c r="CS84" t="e">
        <f>AND('SPR BARRANQUILLA'!FO98,"AAAAAEQ592A=")</f>
        <v>#VALUE!</v>
      </c>
      <c r="CT84" t="e">
        <f>AND('SPR BARRANQUILLA'!FP98,"AAAAAEQ592E=")</f>
        <v>#VALUE!</v>
      </c>
      <c r="CU84" t="e">
        <f>AND('SPR BARRANQUILLA'!FQ98,"AAAAAEQ592I=")</f>
        <v>#VALUE!</v>
      </c>
      <c r="CV84" t="e">
        <f>AND('SPR BARRANQUILLA'!FR98,"AAAAAEQ592M=")</f>
        <v>#VALUE!</v>
      </c>
      <c r="CW84" t="e">
        <f>AND('SPR BARRANQUILLA'!FS98,"AAAAAEQ592Q=")</f>
        <v>#VALUE!</v>
      </c>
      <c r="CX84" t="e">
        <f>AND('SPR BARRANQUILLA'!FT98,"AAAAAEQ592U=")</f>
        <v>#VALUE!</v>
      </c>
      <c r="CY84" t="e">
        <f>AND('SPR BARRANQUILLA'!FU98,"AAAAAEQ592Y=")</f>
        <v>#VALUE!</v>
      </c>
      <c r="CZ84" t="e">
        <f>AND('SPR BARRANQUILLA'!FV98,"AAAAAEQ592c=")</f>
        <v>#VALUE!</v>
      </c>
      <c r="DA84" t="e">
        <f>AND('SPR BARRANQUILLA'!FW98,"AAAAAEQ592g=")</f>
        <v>#VALUE!</v>
      </c>
      <c r="DB84" t="e">
        <f>AND('SPR BARRANQUILLA'!FX98,"AAAAAEQ592k=")</f>
        <v>#VALUE!</v>
      </c>
      <c r="DC84" t="e">
        <f>AND('SPR BARRANQUILLA'!FY98,"AAAAAEQ592o=")</f>
        <v>#VALUE!</v>
      </c>
      <c r="DD84" t="e">
        <f>AND('SPR BARRANQUILLA'!FZ98,"AAAAAEQ592s=")</f>
        <v>#VALUE!</v>
      </c>
      <c r="DE84" t="e">
        <f>AND('SPR BARRANQUILLA'!GA98,"AAAAAEQ592w=")</f>
        <v>#VALUE!</v>
      </c>
      <c r="DF84" t="e">
        <f>AND('SPR BARRANQUILLA'!GB98,"AAAAAEQ5920=")</f>
        <v>#VALUE!</v>
      </c>
      <c r="DG84" t="e">
        <f>AND('SPR BARRANQUILLA'!GC98,"AAAAAEQ5924=")</f>
        <v>#VALUE!</v>
      </c>
      <c r="DH84" t="e">
        <f>AND('SPR BARRANQUILLA'!GD98,"AAAAAEQ5928=")</f>
        <v>#VALUE!</v>
      </c>
      <c r="DI84" t="e">
        <f>AND('SPR BARRANQUILLA'!GE98,"AAAAAEQ593A=")</f>
        <v>#VALUE!</v>
      </c>
      <c r="DJ84" t="e">
        <f>AND('SPR BARRANQUILLA'!GF98,"AAAAAEQ593E=")</f>
        <v>#VALUE!</v>
      </c>
      <c r="DK84" t="e">
        <f>AND('SPR BARRANQUILLA'!GG98,"AAAAAEQ593I=")</f>
        <v>#VALUE!</v>
      </c>
      <c r="DL84" t="e">
        <f>AND('SPR BARRANQUILLA'!GH98,"AAAAAEQ593M=")</f>
        <v>#VALUE!</v>
      </c>
      <c r="DM84" t="e">
        <f>AND('SPR BARRANQUILLA'!GI98,"AAAAAEQ593Q=")</f>
        <v>#VALUE!</v>
      </c>
      <c r="DN84" t="e">
        <f>AND('SPR BARRANQUILLA'!GJ98,"AAAAAEQ593U=")</f>
        <v>#VALUE!</v>
      </c>
      <c r="DO84" t="e">
        <f>AND('SPR BARRANQUILLA'!GK98,"AAAAAEQ593Y=")</f>
        <v>#VALUE!</v>
      </c>
      <c r="DP84" t="e">
        <f>AND('SPR BARRANQUILLA'!GL98,"AAAAAEQ593c=")</f>
        <v>#VALUE!</v>
      </c>
      <c r="DQ84" t="e">
        <f>AND('SPR BARRANQUILLA'!GM98,"AAAAAEQ593g=")</f>
        <v>#VALUE!</v>
      </c>
      <c r="DR84" t="e">
        <f>AND('SPR BARRANQUILLA'!GN98,"AAAAAEQ593k=")</f>
        <v>#VALUE!</v>
      </c>
      <c r="DS84" t="e">
        <f>AND('SPR BARRANQUILLA'!GO98,"AAAAAEQ593o=")</f>
        <v>#VALUE!</v>
      </c>
      <c r="DT84" t="e">
        <f>AND('SPR BARRANQUILLA'!GP98,"AAAAAEQ593s=")</f>
        <v>#VALUE!</v>
      </c>
      <c r="DU84" t="e">
        <f>AND('SPR BARRANQUILLA'!GQ98,"AAAAAEQ593w=")</f>
        <v>#VALUE!</v>
      </c>
      <c r="DV84" t="e">
        <f>AND('SPR BARRANQUILLA'!GR98,"AAAAAEQ5930=")</f>
        <v>#VALUE!</v>
      </c>
      <c r="DW84" t="e">
        <f>AND('SPR BARRANQUILLA'!GS98,"AAAAAEQ5934=")</f>
        <v>#VALUE!</v>
      </c>
      <c r="DX84" t="e">
        <f>AND('SPR BARRANQUILLA'!GT98,"AAAAAEQ5938=")</f>
        <v>#VALUE!</v>
      </c>
      <c r="DY84" t="e">
        <f>AND('SPR BARRANQUILLA'!GU98,"AAAAAEQ594A=")</f>
        <v>#VALUE!</v>
      </c>
      <c r="DZ84" t="e">
        <f>AND('SPR BARRANQUILLA'!GV98,"AAAAAEQ594E=")</f>
        <v>#VALUE!</v>
      </c>
      <c r="EA84" t="e">
        <f>AND('SPR BARRANQUILLA'!GW98,"AAAAAEQ594I=")</f>
        <v>#VALUE!</v>
      </c>
      <c r="EB84" t="e">
        <f>AND('SPR BARRANQUILLA'!GX98,"AAAAAEQ594M=")</f>
        <v>#VALUE!</v>
      </c>
      <c r="EC84" t="e">
        <f>AND('SPR BARRANQUILLA'!GY98,"AAAAAEQ594Q=")</f>
        <v>#VALUE!</v>
      </c>
      <c r="ED84">
        <f>IF('SPR BARRANQUILLA'!99:99,"AAAAAEQ594U=",0)</f>
        <v>0</v>
      </c>
      <c r="EE84" t="e">
        <f>AND('SPR BARRANQUILLA'!A99,"AAAAAEQ594Y=")</f>
        <v>#VALUE!</v>
      </c>
      <c r="EF84" t="e">
        <f>AND('SPR BARRANQUILLA'!B99,"AAAAAEQ594c=")</f>
        <v>#VALUE!</v>
      </c>
      <c r="EG84" t="e">
        <f>AND('SPR BARRANQUILLA'!C99,"AAAAAEQ594g=")</f>
        <v>#VALUE!</v>
      </c>
      <c r="EH84" t="e">
        <f>AND('SPR BARRANQUILLA'!D99,"AAAAAEQ594k=")</f>
        <v>#VALUE!</v>
      </c>
      <c r="EI84" t="e">
        <f>AND('SPR BARRANQUILLA'!E99,"AAAAAEQ594o=")</f>
        <v>#VALUE!</v>
      </c>
      <c r="EJ84" t="e">
        <f>AND('SPR BARRANQUILLA'!F99,"AAAAAEQ594s=")</f>
        <v>#VALUE!</v>
      </c>
      <c r="EK84" t="e">
        <f>AND('SPR BARRANQUILLA'!G99,"AAAAAEQ594w=")</f>
        <v>#VALUE!</v>
      </c>
      <c r="EL84" t="e">
        <f>AND('SPR BARRANQUILLA'!H99,"AAAAAEQ5940=")</f>
        <v>#VALUE!</v>
      </c>
      <c r="EM84" t="e">
        <f>AND('SPR BARRANQUILLA'!I99,"AAAAAEQ5944=")</f>
        <v>#VALUE!</v>
      </c>
      <c r="EN84" t="e">
        <f>AND('SPR BARRANQUILLA'!J99,"AAAAAEQ5948=")</f>
        <v>#VALUE!</v>
      </c>
      <c r="EO84" t="e">
        <f>AND('SPR BARRANQUILLA'!K99,"AAAAAEQ595A=")</f>
        <v>#VALUE!</v>
      </c>
      <c r="EP84" t="e">
        <f>AND('SPR BARRANQUILLA'!L99,"AAAAAEQ595E=")</f>
        <v>#VALUE!</v>
      </c>
      <c r="EQ84" t="e">
        <f>AND('SPR BARRANQUILLA'!M99,"AAAAAEQ595I=")</f>
        <v>#VALUE!</v>
      </c>
      <c r="ER84" t="e">
        <f>AND('SPR BARRANQUILLA'!N99,"AAAAAEQ595M=")</f>
        <v>#VALUE!</v>
      </c>
      <c r="ES84" t="e">
        <f>AND('SPR BARRANQUILLA'!O99,"AAAAAEQ595Q=")</f>
        <v>#VALUE!</v>
      </c>
      <c r="ET84" t="e">
        <f>AND('SPR BARRANQUILLA'!P99,"AAAAAEQ595U=")</f>
        <v>#VALUE!</v>
      </c>
      <c r="EU84" t="e">
        <f>AND('SPR BARRANQUILLA'!Q99,"AAAAAEQ595Y=")</f>
        <v>#VALUE!</v>
      </c>
      <c r="EV84" t="e">
        <f>AND('SPR BARRANQUILLA'!R99,"AAAAAEQ595c=")</f>
        <v>#VALUE!</v>
      </c>
      <c r="EW84" t="e">
        <f>AND('SPR BARRANQUILLA'!S99,"AAAAAEQ595g=")</f>
        <v>#VALUE!</v>
      </c>
      <c r="EX84" t="e">
        <f>AND('SPR BARRANQUILLA'!T99,"AAAAAEQ595k=")</f>
        <v>#VALUE!</v>
      </c>
      <c r="EY84" t="e">
        <f>AND('SPR BARRANQUILLA'!U99,"AAAAAEQ595o=")</f>
        <v>#VALUE!</v>
      </c>
      <c r="EZ84" t="e">
        <f>AND('SPR BARRANQUILLA'!V99,"AAAAAEQ595s=")</f>
        <v>#VALUE!</v>
      </c>
      <c r="FA84" t="e">
        <f>AND('SPR BARRANQUILLA'!W99,"AAAAAEQ595w=")</f>
        <v>#VALUE!</v>
      </c>
      <c r="FB84" t="e">
        <f>AND('SPR BARRANQUILLA'!X99,"AAAAAEQ5950=")</f>
        <v>#VALUE!</v>
      </c>
      <c r="FC84" t="e">
        <f>AND('SPR BARRANQUILLA'!Y99,"AAAAAEQ5954=")</f>
        <v>#VALUE!</v>
      </c>
      <c r="FD84" t="e">
        <f>AND('SPR BARRANQUILLA'!Z99,"AAAAAEQ5958=")</f>
        <v>#VALUE!</v>
      </c>
      <c r="FE84" t="e">
        <f>AND('SPR BARRANQUILLA'!AA99,"AAAAAEQ596A=")</f>
        <v>#VALUE!</v>
      </c>
      <c r="FF84" t="e">
        <f>AND('SPR BARRANQUILLA'!AB99,"AAAAAEQ596E=")</f>
        <v>#VALUE!</v>
      </c>
      <c r="FG84" t="e">
        <f>AND('SPR BARRANQUILLA'!AC99,"AAAAAEQ596I=")</f>
        <v>#VALUE!</v>
      </c>
      <c r="FH84" t="e">
        <f>AND('SPR BARRANQUILLA'!AD99,"AAAAAEQ596M=")</f>
        <v>#VALUE!</v>
      </c>
      <c r="FI84" t="e">
        <f>AND('SPR BARRANQUILLA'!AE99,"AAAAAEQ596Q=")</f>
        <v>#VALUE!</v>
      </c>
      <c r="FJ84" t="e">
        <f>AND('SPR BARRANQUILLA'!AF99,"AAAAAEQ596U=")</f>
        <v>#VALUE!</v>
      </c>
      <c r="FK84" t="e">
        <f>AND('SPR BARRANQUILLA'!AG99,"AAAAAEQ596Y=")</f>
        <v>#VALUE!</v>
      </c>
      <c r="FL84" t="e">
        <f>AND('SPR BARRANQUILLA'!AH99,"AAAAAEQ596c=")</f>
        <v>#VALUE!</v>
      </c>
      <c r="FM84" t="e">
        <f>AND('SPR BARRANQUILLA'!AI99,"AAAAAEQ596g=")</f>
        <v>#VALUE!</v>
      </c>
      <c r="FN84" t="e">
        <f>AND('SPR BARRANQUILLA'!AJ99,"AAAAAEQ596k=")</f>
        <v>#VALUE!</v>
      </c>
      <c r="FO84" t="e">
        <f>AND('SPR BARRANQUILLA'!AK99,"AAAAAEQ596o=")</f>
        <v>#VALUE!</v>
      </c>
      <c r="FP84" t="e">
        <f>AND('SPR BARRANQUILLA'!AL99,"AAAAAEQ596s=")</f>
        <v>#VALUE!</v>
      </c>
      <c r="FQ84" t="e">
        <f>AND('SPR BARRANQUILLA'!AM99,"AAAAAEQ596w=")</f>
        <v>#VALUE!</v>
      </c>
      <c r="FR84" t="e">
        <f>AND('SPR BARRANQUILLA'!AN99,"AAAAAEQ5960=")</f>
        <v>#VALUE!</v>
      </c>
      <c r="FS84" t="e">
        <f>AND('SPR BARRANQUILLA'!AO99,"AAAAAEQ5964=")</f>
        <v>#VALUE!</v>
      </c>
      <c r="FT84" t="e">
        <f>AND('SPR BARRANQUILLA'!AP99,"AAAAAEQ5968=")</f>
        <v>#VALUE!</v>
      </c>
      <c r="FU84" t="e">
        <f>AND('SPR BARRANQUILLA'!AQ99,"AAAAAEQ597A=")</f>
        <v>#VALUE!</v>
      </c>
      <c r="FV84" t="e">
        <f>AND('SPR BARRANQUILLA'!AR99,"AAAAAEQ597E=")</f>
        <v>#VALUE!</v>
      </c>
      <c r="FW84" t="e">
        <f>AND('SPR BARRANQUILLA'!AS99,"AAAAAEQ597I=")</f>
        <v>#VALUE!</v>
      </c>
      <c r="FX84" t="e">
        <f>AND('SPR BARRANQUILLA'!AT99,"AAAAAEQ597M=")</f>
        <v>#VALUE!</v>
      </c>
      <c r="FY84" t="e">
        <f>AND('SPR BARRANQUILLA'!AU99,"AAAAAEQ597Q=")</f>
        <v>#VALUE!</v>
      </c>
      <c r="FZ84" t="e">
        <f>AND('SPR BARRANQUILLA'!AV99,"AAAAAEQ597U=")</f>
        <v>#VALUE!</v>
      </c>
      <c r="GA84" t="e">
        <f>AND('SPR BARRANQUILLA'!AW99,"AAAAAEQ597Y=")</f>
        <v>#VALUE!</v>
      </c>
      <c r="GB84" t="e">
        <f>AND('SPR BARRANQUILLA'!AX99,"AAAAAEQ597c=")</f>
        <v>#VALUE!</v>
      </c>
      <c r="GC84" t="e">
        <f>AND('SPR BARRANQUILLA'!AY99,"AAAAAEQ597g=")</f>
        <v>#VALUE!</v>
      </c>
      <c r="GD84" t="e">
        <f>AND('SPR BARRANQUILLA'!AZ99,"AAAAAEQ597k=")</f>
        <v>#VALUE!</v>
      </c>
      <c r="GE84" t="e">
        <f>AND('SPR BARRANQUILLA'!BA99,"AAAAAEQ597o=")</f>
        <v>#VALUE!</v>
      </c>
      <c r="GF84" t="e">
        <f>AND('SPR BARRANQUILLA'!BB99,"AAAAAEQ597s=")</f>
        <v>#VALUE!</v>
      </c>
      <c r="GG84" t="e">
        <f>AND('SPR BARRANQUILLA'!BC99,"AAAAAEQ597w=")</f>
        <v>#VALUE!</v>
      </c>
      <c r="GH84" t="e">
        <f>AND('SPR BARRANQUILLA'!BD99,"AAAAAEQ5970=")</f>
        <v>#VALUE!</v>
      </c>
      <c r="GI84" t="e">
        <f>AND('SPR BARRANQUILLA'!BE99,"AAAAAEQ5974=")</f>
        <v>#VALUE!</v>
      </c>
      <c r="GJ84" t="e">
        <f>AND('SPR BARRANQUILLA'!BF99,"AAAAAEQ5978=")</f>
        <v>#VALUE!</v>
      </c>
      <c r="GK84" t="e">
        <f>AND('SPR BARRANQUILLA'!BG99,"AAAAAEQ598A=")</f>
        <v>#VALUE!</v>
      </c>
      <c r="GL84" t="e">
        <f>AND('SPR BARRANQUILLA'!BH99,"AAAAAEQ598E=")</f>
        <v>#VALUE!</v>
      </c>
      <c r="GM84" t="e">
        <f>AND('SPR BARRANQUILLA'!BI99,"AAAAAEQ598I=")</f>
        <v>#VALUE!</v>
      </c>
      <c r="GN84" t="e">
        <f>AND('SPR BARRANQUILLA'!BJ99,"AAAAAEQ598M=")</f>
        <v>#VALUE!</v>
      </c>
      <c r="GO84" t="e">
        <f>AND('SPR BARRANQUILLA'!BK99,"AAAAAEQ598Q=")</f>
        <v>#VALUE!</v>
      </c>
      <c r="GP84" t="e">
        <f>AND('SPR BARRANQUILLA'!BL99,"AAAAAEQ598U=")</f>
        <v>#VALUE!</v>
      </c>
      <c r="GQ84" t="e">
        <f>AND('SPR BARRANQUILLA'!BM99,"AAAAAEQ598Y=")</f>
        <v>#VALUE!</v>
      </c>
      <c r="GR84" t="e">
        <f>AND('SPR BARRANQUILLA'!BN99,"AAAAAEQ598c=")</f>
        <v>#VALUE!</v>
      </c>
      <c r="GS84" t="e">
        <f>AND('SPR BARRANQUILLA'!BO99,"AAAAAEQ598g=")</f>
        <v>#VALUE!</v>
      </c>
      <c r="GT84" t="e">
        <f>AND('SPR BARRANQUILLA'!BP99,"AAAAAEQ598k=")</f>
        <v>#VALUE!</v>
      </c>
      <c r="GU84" t="e">
        <f>AND('SPR BARRANQUILLA'!BQ99,"AAAAAEQ598o=")</f>
        <v>#VALUE!</v>
      </c>
      <c r="GV84" t="e">
        <f>AND('SPR BARRANQUILLA'!BR99,"AAAAAEQ598s=")</f>
        <v>#VALUE!</v>
      </c>
      <c r="GW84" t="e">
        <f>AND('SPR BARRANQUILLA'!BS99,"AAAAAEQ598w=")</f>
        <v>#VALUE!</v>
      </c>
      <c r="GX84" t="e">
        <f>AND('SPR BARRANQUILLA'!BT99,"AAAAAEQ5980=")</f>
        <v>#VALUE!</v>
      </c>
      <c r="GY84" t="e">
        <f>AND('SPR BARRANQUILLA'!BU99,"AAAAAEQ5984=")</f>
        <v>#VALUE!</v>
      </c>
      <c r="GZ84" t="e">
        <f>AND('SPR BARRANQUILLA'!BV99,"AAAAAEQ5988=")</f>
        <v>#VALUE!</v>
      </c>
      <c r="HA84" t="e">
        <f>AND('SPR BARRANQUILLA'!BW99,"AAAAAEQ599A=")</f>
        <v>#VALUE!</v>
      </c>
      <c r="HB84" t="e">
        <f>AND('SPR BARRANQUILLA'!BX99,"AAAAAEQ599E=")</f>
        <v>#VALUE!</v>
      </c>
      <c r="HC84" t="e">
        <f>AND('SPR BARRANQUILLA'!BY99,"AAAAAEQ599I=")</f>
        <v>#VALUE!</v>
      </c>
      <c r="HD84" t="e">
        <f>AND('SPR BARRANQUILLA'!BZ99,"AAAAAEQ599M=")</f>
        <v>#VALUE!</v>
      </c>
      <c r="HE84" t="e">
        <f>AND('SPR BARRANQUILLA'!CA99,"AAAAAEQ599Q=")</f>
        <v>#VALUE!</v>
      </c>
      <c r="HF84" t="e">
        <f>AND('SPR BARRANQUILLA'!CB99,"AAAAAEQ599U=")</f>
        <v>#VALUE!</v>
      </c>
      <c r="HG84" t="e">
        <f>AND('SPR BARRANQUILLA'!CC99,"AAAAAEQ599Y=")</f>
        <v>#VALUE!</v>
      </c>
      <c r="HH84" t="e">
        <f>AND('SPR BARRANQUILLA'!CD99,"AAAAAEQ599c=")</f>
        <v>#VALUE!</v>
      </c>
      <c r="HI84" t="e">
        <f>AND('SPR BARRANQUILLA'!CE99,"AAAAAEQ599g=")</f>
        <v>#VALUE!</v>
      </c>
      <c r="HJ84" t="e">
        <f>AND('SPR BARRANQUILLA'!CF99,"AAAAAEQ599k=")</f>
        <v>#VALUE!</v>
      </c>
      <c r="HK84" t="e">
        <f>AND('SPR BARRANQUILLA'!CG99,"AAAAAEQ599o=")</f>
        <v>#VALUE!</v>
      </c>
      <c r="HL84" t="e">
        <f>AND('SPR BARRANQUILLA'!CH99,"AAAAAEQ599s=")</f>
        <v>#VALUE!</v>
      </c>
      <c r="HM84" t="e">
        <f>AND('SPR BARRANQUILLA'!CI99,"AAAAAEQ599w=")</f>
        <v>#VALUE!</v>
      </c>
      <c r="HN84" t="e">
        <f>AND('SPR BARRANQUILLA'!CJ99,"AAAAAEQ5990=")</f>
        <v>#VALUE!</v>
      </c>
      <c r="HO84" t="e">
        <f>AND('SPR BARRANQUILLA'!CK99,"AAAAAEQ5994=")</f>
        <v>#VALUE!</v>
      </c>
      <c r="HP84" t="e">
        <f>AND('SPR BARRANQUILLA'!CL99,"AAAAAEQ5998=")</f>
        <v>#VALUE!</v>
      </c>
      <c r="HQ84" t="e">
        <f>AND('SPR BARRANQUILLA'!CM99,"AAAAAEQ59+A=")</f>
        <v>#VALUE!</v>
      </c>
      <c r="HR84" t="e">
        <f>AND('SPR BARRANQUILLA'!CN99,"AAAAAEQ59+E=")</f>
        <v>#VALUE!</v>
      </c>
      <c r="HS84" t="e">
        <f>AND('SPR BARRANQUILLA'!CO99,"AAAAAEQ59+I=")</f>
        <v>#VALUE!</v>
      </c>
      <c r="HT84" t="e">
        <f>AND('SPR BARRANQUILLA'!CP99,"AAAAAEQ59+M=")</f>
        <v>#VALUE!</v>
      </c>
      <c r="HU84" t="e">
        <f>AND('SPR BARRANQUILLA'!CQ99,"AAAAAEQ59+Q=")</f>
        <v>#VALUE!</v>
      </c>
      <c r="HV84" t="e">
        <f>AND('SPR BARRANQUILLA'!CR99,"AAAAAEQ59+U=")</f>
        <v>#VALUE!</v>
      </c>
      <c r="HW84" t="e">
        <f>AND('SPR BARRANQUILLA'!CS99,"AAAAAEQ59+Y=")</f>
        <v>#VALUE!</v>
      </c>
      <c r="HX84" t="e">
        <f>AND('SPR BARRANQUILLA'!CT99,"AAAAAEQ59+c=")</f>
        <v>#VALUE!</v>
      </c>
      <c r="HY84" t="e">
        <f>AND('SPR BARRANQUILLA'!CU99,"AAAAAEQ59+g=")</f>
        <v>#VALUE!</v>
      </c>
      <c r="HZ84" t="e">
        <f>AND('SPR BARRANQUILLA'!CV99,"AAAAAEQ59+k=")</f>
        <v>#VALUE!</v>
      </c>
      <c r="IA84" t="e">
        <f>AND('SPR BARRANQUILLA'!CW99,"AAAAAEQ59+o=")</f>
        <v>#VALUE!</v>
      </c>
      <c r="IB84" t="e">
        <f>AND('SPR BARRANQUILLA'!CX99,"AAAAAEQ59+s=")</f>
        <v>#VALUE!</v>
      </c>
      <c r="IC84" t="e">
        <f>AND('SPR BARRANQUILLA'!CY99,"AAAAAEQ59+w=")</f>
        <v>#VALUE!</v>
      </c>
      <c r="ID84" t="e">
        <f>AND('SPR BARRANQUILLA'!CZ99,"AAAAAEQ59+0=")</f>
        <v>#VALUE!</v>
      </c>
      <c r="IE84" t="e">
        <f>AND('SPR BARRANQUILLA'!DA99,"AAAAAEQ59+4=")</f>
        <v>#VALUE!</v>
      </c>
      <c r="IF84" t="e">
        <f>AND('SPR BARRANQUILLA'!DB99,"AAAAAEQ59+8=")</f>
        <v>#VALUE!</v>
      </c>
      <c r="IG84" t="e">
        <f>AND('SPR BARRANQUILLA'!DC99,"AAAAAEQ59/A=")</f>
        <v>#VALUE!</v>
      </c>
      <c r="IH84" t="e">
        <f>AND('SPR BARRANQUILLA'!DD99,"AAAAAEQ59/E=")</f>
        <v>#VALUE!</v>
      </c>
      <c r="II84" t="e">
        <f>AND('SPR BARRANQUILLA'!DE99,"AAAAAEQ59/I=")</f>
        <v>#VALUE!</v>
      </c>
      <c r="IJ84" t="e">
        <f>AND('SPR BARRANQUILLA'!DF99,"AAAAAEQ59/M=")</f>
        <v>#VALUE!</v>
      </c>
      <c r="IK84" t="e">
        <f>AND('SPR BARRANQUILLA'!DG99,"AAAAAEQ59/Q=")</f>
        <v>#VALUE!</v>
      </c>
      <c r="IL84" t="e">
        <f>AND('SPR BARRANQUILLA'!DH99,"AAAAAEQ59/U=")</f>
        <v>#VALUE!</v>
      </c>
      <c r="IM84" t="e">
        <f>AND('SPR BARRANQUILLA'!DI99,"AAAAAEQ59/Y=")</f>
        <v>#VALUE!</v>
      </c>
      <c r="IN84" t="e">
        <f>AND('SPR BARRANQUILLA'!DJ99,"AAAAAEQ59/c=")</f>
        <v>#VALUE!</v>
      </c>
      <c r="IO84" t="e">
        <f>AND('SPR BARRANQUILLA'!DK99,"AAAAAEQ59/g=")</f>
        <v>#VALUE!</v>
      </c>
      <c r="IP84" t="e">
        <f>AND('SPR BARRANQUILLA'!DL99,"AAAAAEQ59/k=")</f>
        <v>#VALUE!</v>
      </c>
      <c r="IQ84" t="e">
        <f>AND('SPR BARRANQUILLA'!DM99,"AAAAAEQ59/o=")</f>
        <v>#VALUE!</v>
      </c>
      <c r="IR84" t="e">
        <f>AND('SPR BARRANQUILLA'!DN99,"AAAAAEQ59/s=")</f>
        <v>#VALUE!</v>
      </c>
      <c r="IS84" t="e">
        <f>AND('SPR BARRANQUILLA'!DO99,"AAAAAEQ59/w=")</f>
        <v>#VALUE!</v>
      </c>
      <c r="IT84" t="e">
        <f>AND('SPR BARRANQUILLA'!DP99,"AAAAAEQ59/0=")</f>
        <v>#VALUE!</v>
      </c>
      <c r="IU84" t="e">
        <f>AND('SPR BARRANQUILLA'!DQ99,"AAAAAEQ59/4=")</f>
        <v>#VALUE!</v>
      </c>
      <c r="IV84" t="e">
        <f>AND('SPR BARRANQUILLA'!DR99,"AAAAAEQ59/8=")</f>
        <v>#VALUE!</v>
      </c>
    </row>
    <row r="85" spans="1:256">
      <c r="A85" t="e">
        <f>AND('SPR BARRANQUILLA'!DS99,"AAAAAH9zywA=")</f>
        <v>#VALUE!</v>
      </c>
      <c r="B85" t="e">
        <f>AND('SPR BARRANQUILLA'!DT99,"AAAAAH9zywE=")</f>
        <v>#VALUE!</v>
      </c>
      <c r="C85" t="e">
        <f>AND('SPR BARRANQUILLA'!DU99,"AAAAAH9zywI=")</f>
        <v>#VALUE!</v>
      </c>
      <c r="D85" t="e">
        <f>AND('SPR BARRANQUILLA'!DV99,"AAAAAH9zywM=")</f>
        <v>#VALUE!</v>
      </c>
      <c r="E85" t="e">
        <f>AND('SPR BARRANQUILLA'!DW99,"AAAAAH9zywQ=")</f>
        <v>#VALUE!</v>
      </c>
      <c r="F85" t="e">
        <f>AND('SPR BARRANQUILLA'!DX99,"AAAAAH9zywU=")</f>
        <v>#VALUE!</v>
      </c>
      <c r="G85" t="e">
        <f>AND('SPR BARRANQUILLA'!DY99,"AAAAAH9zywY=")</f>
        <v>#VALUE!</v>
      </c>
      <c r="H85" t="e">
        <f>AND('SPR BARRANQUILLA'!DZ99,"AAAAAH9zywc=")</f>
        <v>#VALUE!</v>
      </c>
      <c r="I85" t="e">
        <f>AND('SPR BARRANQUILLA'!EA99,"AAAAAH9zywg=")</f>
        <v>#VALUE!</v>
      </c>
      <c r="J85" t="e">
        <f>AND('SPR BARRANQUILLA'!EB99,"AAAAAH9zywk=")</f>
        <v>#VALUE!</v>
      </c>
      <c r="K85" t="e">
        <f>AND('SPR BARRANQUILLA'!EC99,"AAAAAH9zywo=")</f>
        <v>#VALUE!</v>
      </c>
      <c r="L85" t="e">
        <f>AND('SPR BARRANQUILLA'!ED99,"AAAAAH9zyws=")</f>
        <v>#VALUE!</v>
      </c>
      <c r="M85" t="e">
        <f>AND('SPR BARRANQUILLA'!EE99,"AAAAAH9zyww=")</f>
        <v>#VALUE!</v>
      </c>
      <c r="N85" t="e">
        <f>AND('SPR BARRANQUILLA'!EF99,"AAAAAH9zyw0=")</f>
        <v>#VALUE!</v>
      </c>
      <c r="O85" t="e">
        <f>AND('SPR BARRANQUILLA'!EG99,"AAAAAH9zyw4=")</f>
        <v>#VALUE!</v>
      </c>
      <c r="P85" t="e">
        <f>AND('SPR BARRANQUILLA'!EH99,"AAAAAH9zyw8=")</f>
        <v>#VALUE!</v>
      </c>
      <c r="Q85" t="e">
        <f>AND('SPR BARRANQUILLA'!EI99,"AAAAAH9zyxA=")</f>
        <v>#VALUE!</v>
      </c>
      <c r="R85" t="e">
        <f>AND('SPR BARRANQUILLA'!EJ99,"AAAAAH9zyxE=")</f>
        <v>#VALUE!</v>
      </c>
      <c r="S85" t="e">
        <f>AND('SPR BARRANQUILLA'!EK99,"AAAAAH9zyxI=")</f>
        <v>#VALUE!</v>
      </c>
      <c r="T85" t="e">
        <f>AND('SPR BARRANQUILLA'!EL99,"AAAAAH9zyxM=")</f>
        <v>#VALUE!</v>
      </c>
      <c r="U85" t="e">
        <f>AND('SPR BARRANQUILLA'!EM99,"AAAAAH9zyxQ=")</f>
        <v>#VALUE!</v>
      </c>
      <c r="V85" t="e">
        <f>AND('SPR BARRANQUILLA'!EN99,"AAAAAH9zyxU=")</f>
        <v>#VALUE!</v>
      </c>
      <c r="W85" t="e">
        <f>AND('SPR BARRANQUILLA'!EO99,"AAAAAH9zyxY=")</f>
        <v>#VALUE!</v>
      </c>
      <c r="X85" t="e">
        <f>AND('SPR BARRANQUILLA'!EP99,"AAAAAH9zyxc=")</f>
        <v>#VALUE!</v>
      </c>
      <c r="Y85" t="e">
        <f>AND('SPR BARRANQUILLA'!EQ99,"AAAAAH9zyxg=")</f>
        <v>#VALUE!</v>
      </c>
      <c r="Z85" t="e">
        <f>AND('SPR BARRANQUILLA'!ER99,"AAAAAH9zyxk=")</f>
        <v>#VALUE!</v>
      </c>
      <c r="AA85" t="e">
        <f>AND('SPR BARRANQUILLA'!ES99,"AAAAAH9zyxo=")</f>
        <v>#VALUE!</v>
      </c>
      <c r="AB85" t="e">
        <f>AND('SPR BARRANQUILLA'!ET99,"AAAAAH9zyxs=")</f>
        <v>#VALUE!</v>
      </c>
      <c r="AC85" t="e">
        <f>AND('SPR BARRANQUILLA'!EU99,"AAAAAH9zyxw=")</f>
        <v>#VALUE!</v>
      </c>
      <c r="AD85" t="e">
        <f>AND('SPR BARRANQUILLA'!EV99,"AAAAAH9zyx0=")</f>
        <v>#VALUE!</v>
      </c>
      <c r="AE85" t="e">
        <f>AND('SPR BARRANQUILLA'!EW99,"AAAAAH9zyx4=")</f>
        <v>#VALUE!</v>
      </c>
      <c r="AF85" t="e">
        <f>AND('SPR BARRANQUILLA'!EX99,"AAAAAH9zyx8=")</f>
        <v>#VALUE!</v>
      </c>
      <c r="AG85" t="e">
        <f>AND('SPR BARRANQUILLA'!EY99,"AAAAAH9zyyA=")</f>
        <v>#VALUE!</v>
      </c>
      <c r="AH85" t="e">
        <f>AND('SPR BARRANQUILLA'!EZ99,"AAAAAH9zyyE=")</f>
        <v>#VALUE!</v>
      </c>
      <c r="AI85" t="e">
        <f>AND('SPR BARRANQUILLA'!FA99,"AAAAAH9zyyI=")</f>
        <v>#VALUE!</v>
      </c>
      <c r="AJ85" t="e">
        <f>AND('SPR BARRANQUILLA'!FB99,"AAAAAH9zyyM=")</f>
        <v>#VALUE!</v>
      </c>
      <c r="AK85" t="e">
        <f>AND('SPR BARRANQUILLA'!FC99,"AAAAAH9zyyQ=")</f>
        <v>#VALUE!</v>
      </c>
      <c r="AL85" t="e">
        <f>AND('SPR BARRANQUILLA'!FD99,"AAAAAH9zyyU=")</f>
        <v>#VALUE!</v>
      </c>
      <c r="AM85" t="e">
        <f>AND('SPR BARRANQUILLA'!FE99,"AAAAAH9zyyY=")</f>
        <v>#VALUE!</v>
      </c>
      <c r="AN85" t="e">
        <f>AND('SPR BARRANQUILLA'!FF99,"AAAAAH9zyyc=")</f>
        <v>#VALUE!</v>
      </c>
      <c r="AO85" t="e">
        <f>AND('SPR BARRANQUILLA'!FG99,"AAAAAH9zyyg=")</f>
        <v>#VALUE!</v>
      </c>
      <c r="AP85" t="e">
        <f>AND('SPR BARRANQUILLA'!FH99,"AAAAAH9zyyk=")</f>
        <v>#VALUE!</v>
      </c>
      <c r="AQ85" t="e">
        <f>AND('SPR BARRANQUILLA'!FI99,"AAAAAH9zyyo=")</f>
        <v>#VALUE!</v>
      </c>
      <c r="AR85" t="e">
        <f>AND('SPR BARRANQUILLA'!FJ99,"AAAAAH9zyys=")</f>
        <v>#VALUE!</v>
      </c>
      <c r="AS85" t="e">
        <f>AND('SPR BARRANQUILLA'!FK99,"AAAAAH9zyyw=")</f>
        <v>#VALUE!</v>
      </c>
      <c r="AT85" t="e">
        <f>AND('SPR BARRANQUILLA'!FL99,"AAAAAH9zyy0=")</f>
        <v>#VALUE!</v>
      </c>
      <c r="AU85" t="e">
        <f>AND('SPR BARRANQUILLA'!FM99,"AAAAAH9zyy4=")</f>
        <v>#VALUE!</v>
      </c>
      <c r="AV85" t="e">
        <f>AND('SPR BARRANQUILLA'!FN99,"AAAAAH9zyy8=")</f>
        <v>#VALUE!</v>
      </c>
      <c r="AW85" t="e">
        <f>AND('SPR BARRANQUILLA'!FO99,"AAAAAH9zyzA=")</f>
        <v>#VALUE!</v>
      </c>
      <c r="AX85" t="e">
        <f>AND('SPR BARRANQUILLA'!FP99,"AAAAAH9zyzE=")</f>
        <v>#VALUE!</v>
      </c>
      <c r="AY85" t="e">
        <f>AND('SPR BARRANQUILLA'!FQ99,"AAAAAH9zyzI=")</f>
        <v>#VALUE!</v>
      </c>
      <c r="AZ85" t="e">
        <f>AND('SPR BARRANQUILLA'!FR99,"AAAAAH9zyzM=")</f>
        <v>#VALUE!</v>
      </c>
      <c r="BA85" t="e">
        <f>AND('SPR BARRANQUILLA'!FS99,"AAAAAH9zyzQ=")</f>
        <v>#VALUE!</v>
      </c>
      <c r="BB85" t="e">
        <f>AND('SPR BARRANQUILLA'!FT99,"AAAAAH9zyzU=")</f>
        <v>#VALUE!</v>
      </c>
      <c r="BC85" t="e">
        <f>AND('SPR BARRANQUILLA'!FU99,"AAAAAH9zyzY=")</f>
        <v>#VALUE!</v>
      </c>
      <c r="BD85" t="e">
        <f>AND('SPR BARRANQUILLA'!FV99,"AAAAAH9zyzc=")</f>
        <v>#VALUE!</v>
      </c>
      <c r="BE85" t="e">
        <f>AND('SPR BARRANQUILLA'!FW99,"AAAAAH9zyzg=")</f>
        <v>#VALUE!</v>
      </c>
      <c r="BF85" t="e">
        <f>AND('SPR BARRANQUILLA'!FX99,"AAAAAH9zyzk=")</f>
        <v>#VALUE!</v>
      </c>
      <c r="BG85" t="e">
        <f>AND('SPR BARRANQUILLA'!FY99,"AAAAAH9zyzo=")</f>
        <v>#VALUE!</v>
      </c>
      <c r="BH85" t="e">
        <f>AND('SPR BARRANQUILLA'!FZ99,"AAAAAH9zyzs=")</f>
        <v>#VALUE!</v>
      </c>
      <c r="BI85" t="e">
        <f>AND('SPR BARRANQUILLA'!GA99,"AAAAAH9zyzw=")</f>
        <v>#VALUE!</v>
      </c>
      <c r="BJ85" t="e">
        <f>AND('SPR BARRANQUILLA'!GB99,"AAAAAH9zyz0=")</f>
        <v>#VALUE!</v>
      </c>
      <c r="BK85" t="e">
        <f>AND('SPR BARRANQUILLA'!GC99,"AAAAAH9zyz4=")</f>
        <v>#VALUE!</v>
      </c>
      <c r="BL85" t="e">
        <f>AND('SPR BARRANQUILLA'!GD99,"AAAAAH9zyz8=")</f>
        <v>#VALUE!</v>
      </c>
      <c r="BM85" t="e">
        <f>AND('SPR BARRANQUILLA'!GE99,"AAAAAH9zy0A=")</f>
        <v>#VALUE!</v>
      </c>
      <c r="BN85" t="e">
        <f>AND('SPR BARRANQUILLA'!GF99,"AAAAAH9zy0E=")</f>
        <v>#VALUE!</v>
      </c>
      <c r="BO85" t="e">
        <f>AND('SPR BARRANQUILLA'!GG99,"AAAAAH9zy0I=")</f>
        <v>#VALUE!</v>
      </c>
      <c r="BP85" t="e">
        <f>AND('SPR BARRANQUILLA'!GH99,"AAAAAH9zy0M=")</f>
        <v>#VALUE!</v>
      </c>
      <c r="BQ85" t="e">
        <f>AND('SPR BARRANQUILLA'!GI99,"AAAAAH9zy0Q=")</f>
        <v>#VALUE!</v>
      </c>
      <c r="BR85" t="e">
        <f>AND('SPR BARRANQUILLA'!GJ99,"AAAAAH9zy0U=")</f>
        <v>#VALUE!</v>
      </c>
      <c r="BS85" t="e">
        <f>AND('SPR BARRANQUILLA'!GK99,"AAAAAH9zy0Y=")</f>
        <v>#VALUE!</v>
      </c>
      <c r="BT85" t="e">
        <f>AND('SPR BARRANQUILLA'!GL99,"AAAAAH9zy0c=")</f>
        <v>#VALUE!</v>
      </c>
      <c r="BU85" t="e">
        <f>AND('SPR BARRANQUILLA'!GM99,"AAAAAH9zy0g=")</f>
        <v>#VALUE!</v>
      </c>
      <c r="BV85" t="e">
        <f>AND('SPR BARRANQUILLA'!GN99,"AAAAAH9zy0k=")</f>
        <v>#VALUE!</v>
      </c>
      <c r="BW85" t="e">
        <f>AND('SPR BARRANQUILLA'!GO99,"AAAAAH9zy0o=")</f>
        <v>#VALUE!</v>
      </c>
      <c r="BX85" t="e">
        <f>AND('SPR BARRANQUILLA'!GP99,"AAAAAH9zy0s=")</f>
        <v>#VALUE!</v>
      </c>
      <c r="BY85" t="e">
        <f>AND('SPR BARRANQUILLA'!GQ99,"AAAAAH9zy0w=")</f>
        <v>#VALUE!</v>
      </c>
      <c r="BZ85" t="e">
        <f>AND('SPR BARRANQUILLA'!GR99,"AAAAAH9zy00=")</f>
        <v>#VALUE!</v>
      </c>
      <c r="CA85" t="e">
        <f>AND('SPR BARRANQUILLA'!GS99,"AAAAAH9zy04=")</f>
        <v>#VALUE!</v>
      </c>
      <c r="CB85" t="e">
        <f>AND('SPR BARRANQUILLA'!GT99,"AAAAAH9zy08=")</f>
        <v>#VALUE!</v>
      </c>
      <c r="CC85" t="e">
        <f>AND('SPR BARRANQUILLA'!GU99,"AAAAAH9zy1A=")</f>
        <v>#VALUE!</v>
      </c>
      <c r="CD85" t="e">
        <f>AND('SPR BARRANQUILLA'!GV99,"AAAAAH9zy1E=")</f>
        <v>#VALUE!</v>
      </c>
      <c r="CE85" t="e">
        <f>AND('SPR BARRANQUILLA'!GW99,"AAAAAH9zy1I=")</f>
        <v>#VALUE!</v>
      </c>
      <c r="CF85" t="e">
        <f>AND('SPR BARRANQUILLA'!GX99,"AAAAAH9zy1M=")</f>
        <v>#VALUE!</v>
      </c>
      <c r="CG85" t="e">
        <f>AND('SPR BARRANQUILLA'!GY99,"AAAAAH9zy1Q=")</f>
        <v>#VALUE!</v>
      </c>
      <c r="CH85">
        <f>IF('SPR BARRANQUILLA'!100:100,"AAAAAH9zy1U=",0)</f>
        <v>0</v>
      </c>
      <c r="CI85" t="e">
        <f>AND('SPR BARRANQUILLA'!A100,"AAAAAH9zy1Y=")</f>
        <v>#VALUE!</v>
      </c>
      <c r="CJ85" t="e">
        <f>AND('SPR BARRANQUILLA'!B100,"AAAAAH9zy1c=")</f>
        <v>#VALUE!</v>
      </c>
      <c r="CK85" t="e">
        <f>AND('SPR BARRANQUILLA'!C100,"AAAAAH9zy1g=")</f>
        <v>#VALUE!</v>
      </c>
      <c r="CL85" t="e">
        <f>AND('SPR BARRANQUILLA'!D100,"AAAAAH9zy1k=")</f>
        <v>#VALUE!</v>
      </c>
      <c r="CM85" t="e">
        <f>AND('SPR BARRANQUILLA'!E100,"AAAAAH9zy1o=")</f>
        <v>#VALUE!</v>
      </c>
      <c r="CN85" t="e">
        <f>AND('SPR BARRANQUILLA'!F100,"AAAAAH9zy1s=")</f>
        <v>#VALUE!</v>
      </c>
      <c r="CO85" t="e">
        <f>AND('SPR BARRANQUILLA'!G100,"AAAAAH9zy1w=")</f>
        <v>#VALUE!</v>
      </c>
      <c r="CP85" t="e">
        <f>AND('SPR BARRANQUILLA'!H100,"AAAAAH9zy10=")</f>
        <v>#VALUE!</v>
      </c>
      <c r="CQ85" t="e">
        <f>AND('SPR BARRANQUILLA'!I100,"AAAAAH9zy14=")</f>
        <v>#VALUE!</v>
      </c>
      <c r="CR85" t="e">
        <f>AND('SPR BARRANQUILLA'!J100,"AAAAAH9zy18=")</f>
        <v>#VALUE!</v>
      </c>
      <c r="CS85" t="e">
        <f>AND('SPR BARRANQUILLA'!K100,"AAAAAH9zy2A=")</f>
        <v>#VALUE!</v>
      </c>
      <c r="CT85" t="e">
        <f>AND('SPR BARRANQUILLA'!L100,"AAAAAH9zy2E=")</f>
        <v>#VALUE!</v>
      </c>
      <c r="CU85" t="e">
        <f>AND('SPR BARRANQUILLA'!M100,"AAAAAH9zy2I=")</f>
        <v>#VALUE!</v>
      </c>
      <c r="CV85" t="e">
        <f>AND('SPR BARRANQUILLA'!N100,"AAAAAH9zy2M=")</f>
        <v>#VALUE!</v>
      </c>
      <c r="CW85" t="e">
        <f>AND('SPR BARRANQUILLA'!O100,"AAAAAH9zy2Q=")</f>
        <v>#VALUE!</v>
      </c>
      <c r="CX85" t="e">
        <f>AND('SPR BARRANQUILLA'!P100,"AAAAAH9zy2U=")</f>
        <v>#VALUE!</v>
      </c>
      <c r="CY85" t="e">
        <f>AND('SPR BARRANQUILLA'!Q100,"AAAAAH9zy2Y=")</f>
        <v>#VALUE!</v>
      </c>
      <c r="CZ85" t="e">
        <f>AND('SPR BARRANQUILLA'!R100,"AAAAAH9zy2c=")</f>
        <v>#VALUE!</v>
      </c>
      <c r="DA85" t="e">
        <f>AND('SPR BARRANQUILLA'!S100,"AAAAAH9zy2g=")</f>
        <v>#VALUE!</v>
      </c>
      <c r="DB85" t="e">
        <f>AND('SPR BARRANQUILLA'!T100,"AAAAAH9zy2k=")</f>
        <v>#VALUE!</v>
      </c>
      <c r="DC85" t="e">
        <f>AND('SPR BARRANQUILLA'!U100,"AAAAAH9zy2o=")</f>
        <v>#VALUE!</v>
      </c>
      <c r="DD85" t="e">
        <f>AND('SPR BARRANQUILLA'!V100,"AAAAAH9zy2s=")</f>
        <v>#VALUE!</v>
      </c>
      <c r="DE85" t="e">
        <f>AND('SPR BARRANQUILLA'!W100,"AAAAAH9zy2w=")</f>
        <v>#VALUE!</v>
      </c>
      <c r="DF85" t="e">
        <f>AND('SPR BARRANQUILLA'!X100,"AAAAAH9zy20=")</f>
        <v>#VALUE!</v>
      </c>
      <c r="DG85" t="e">
        <f>AND('SPR BARRANQUILLA'!Y100,"AAAAAH9zy24=")</f>
        <v>#VALUE!</v>
      </c>
      <c r="DH85" t="e">
        <f>AND('SPR BARRANQUILLA'!Z100,"AAAAAH9zy28=")</f>
        <v>#VALUE!</v>
      </c>
      <c r="DI85" t="e">
        <f>AND('SPR BARRANQUILLA'!AA100,"AAAAAH9zy3A=")</f>
        <v>#VALUE!</v>
      </c>
      <c r="DJ85" t="e">
        <f>AND('SPR BARRANQUILLA'!AB100,"AAAAAH9zy3E=")</f>
        <v>#VALUE!</v>
      </c>
      <c r="DK85" t="e">
        <f>AND('SPR BARRANQUILLA'!AC100,"AAAAAH9zy3I=")</f>
        <v>#VALUE!</v>
      </c>
      <c r="DL85" t="e">
        <f>AND('SPR BARRANQUILLA'!AD100,"AAAAAH9zy3M=")</f>
        <v>#VALUE!</v>
      </c>
      <c r="DM85" t="e">
        <f>AND('SPR BARRANQUILLA'!AE100,"AAAAAH9zy3Q=")</f>
        <v>#VALUE!</v>
      </c>
      <c r="DN85" t="e">
        <f>AND('SPR BARRANQUILLA'!AF100,"AAAAAH9zy3U=")</f>
        <v>#VALUE!</v>
      </c>
      <c r="DO85" t="e">
        <f>AND('SPR BARRANQUILLA'!AG100,"AAAAAH9zy3Y=")</f>
        <v>#VALUE!</v>
      </c>
      <c r="DP85" t="e">
        <f>AND('SPR BARRANQUILLA'!AH100,"AAAAAH9zy3c=")</f>
        <v>#VALUE!</v>
      </c>
      <c r="DQ85" t="e">
        <f>AND('SPR BARRANQUILLA'!AI100,"AAAAAH9zy3g=")</f>
        <v>#VALUE!</v>
      </c>
      <c r="DR85" t="e">
        <f>AND('SPR BARRANQUILLA'!AJ100,"AAAAAH9zy3k=")</f>
        <v>#VALUE!</v>
      </c>
      <c r="DS85" t="e">
        <f>AND('SPR BARRANQUILLA'!AK100,"AAAAAH9zy3o=")</f>
        <v>#VALUE!</v>
      </c>
      <c r="DT85" t="e">
        <f>AND('SPR BARRANQUILLA'!AL100,"AAAAAH9zy3s=")</f>
        <v>#VALUE!</v>
      </c>
      <c r="DU85" t="e">
        <f>AND('SPR BARRANQUILLA'!AM100,"AAAAAH9zy3w=")</f>
        <v>#VALUE!</v>
      </c>
      <c r="DV85" t="e">
        <f>AND('SPR BARRANQUILLA'!AN100,"AAAAAH9zy30=")</f>
        <v>#VALUE!</v>
      </c>
      <c r="DW85" t="e">
        <f>AND('SPR BARRANQUILLA'!AO100,"AAAAAH9zy34=")</f>
        <v>#VALUE!</v>
      </c>
      <c r="DX85" t="e">
        <f>AND('SPR BARRANQUILLA'!AP100,"AAAAAH9zy38=")</f>
        <v>#VALUE!</v>
      </c>
      <c r="DY85" t="e">
        <f>AND('SPR BARRANQUILLA'!AQ100,"AAAAAH9zy4A=")</f>
        <v>#VALUE!</v>
      </c>
      <c r="DZ85" t="e">
        <f>AND('SPR BARRANQUILLA'!AR100,"AAAAAH9zy4E=")</f>
        <v>#VALUE!</v>
      </c>
      <c r="EA85" t="e">
        <f>AND('SPR BARRANQUILLA'!AS100,"AAAAAH9zy4I=")</f>
        <v>#VALUE!</v>
      </c>
      <c r="EB85" t="e">
        <f>AND('SPR BARRANQUILLA'!AT100,"AAAAAH9zy4M=")</f>
        <v>#VALUE!</v>
      </c>
      <c r="EC85" t="e">
        <f>AND('SPR BARRANQUILLA'!AU100,"AAAAAH9zy4Q=")</f>
        <v>#VALUE!</v>
      </c>
      <c r="ED85" t="e">
        <f>AND('SPR BARRANQUILLA'!AV100,"AAAAAH9zy4U=")</f>
        <v>#VALUE!</v>
      </c>
      <c r="EE85" t="e">
        <f>AND('SPR BARRANQUILLA'!AW100,"AAAAAH9zy4Y=")</f>
        <v>#VALUE!</v>
      </c>
      <c r="EF85" t="e">
        <f>AND('SPR BARRANQUILLA'!AX100,"AAAAAH9zy4c=")</f>
        <v>#VALUE!</v>
      </c>
      <c r="EG85" t="e">
        <f>AND('SPR BARRANQUILLA'!AY100,"AAAAAH9zy4g=")</f>
        <v>#VALUE!</v>
      </c>
      <c r="EH85" t="e">
        <f>AND('SPR BARRANQUILLA'!AZ100,"AAAAAH9zy4k=")</f>
        <v>#VALUE!</v>
      </c>
      <c r="EI85" t="e">
        <f>AND('SPR BARRANQUILLA'!BA100,"AAAAAH9zy4o=")</f>
        <v>#VALUE!</v>
      </c>
      <c r="EJ85" t="e">
        <f>AND('SPR BARRANQUILLA'!BB100,"AAAAAH9zy4s=")</f>
        <v>#VALUE!</v>
      </c>
      <c r="EK85" t="e">
        <f>AND('SPR BARRANQUILLA'!BC100,"AAAAAH9zy4w=")</f>
        <v>#VALUE!</v>
      </c>
      <c r="EL85" t="e">
        <f>AND('SPR BARRANQUILLA'!BD100,"AAAAAH9zy40=")</f>
        <v>#VALUE!</v>
      </c>
      <c r="EM85" t="e">
        <f>AND('SPR BARRANQUILLA'!BE100,"AAAAAH9zy44=")</f>
        <v>#VALUE!</v>
      </c>
      <c r="EN85" t="e">
        <f>AND('SPR BARRANQUILLA'!BF100,"AAAAAH9zy48=")</f>
        <v>#VALUE!</v>
      </c>
      <c r="EO85" t="e">
        <f>AND('SPR BARRANQUILLA'!BG100,"AAAAAH9zy5A=")</f>
        <v>#VALUE!</v>
      </c>
      <c r="EP85" t="e">
        <f>AND('SPR BARRANQUILLA'!BH100,"AAAAAH9zy5E=")</f>
        <v>#VALUE!</v>
      </c>
      <c r="EQ85" t="e">
        <f>AND('SPR BARRANQUILLA'!BI100,"AAAAAH9zy5I=")</f>
        <v>#VALUE!</v>
      </c>
      <c r="ER85" t="e">
        <f>AND('SPR BARRANQUILLA'!BJ100,"AAAAAH9zy5M=")</f>
        <v>#VALUE!</v>
      </c>
      <c r="ES85" t="e">
        <f>AND('SPR BARRANQUILLA'!BK100,"AAAAAH9zy5Q=")</f>
        <v>#VALUE!</v>
      </c>
      <c r="ET85" t="e">
        <f>AND('SPR BARRANQUILLA'!BL100,"AAAAAH9zy5U=")</f>
        <v>#VALUE!</v>
      </c>
      <c r="EU85" t="e">
        <f>AND('SPR BARRANQUILLA'!BM100,"AAAAAH9zy5Y=")</f>
        <v>#VALUE!</v>
      </c>
      <c r="EV85" t="e">
        <f>AND('SPR BARRANQUILLA'!BN100,"AAAAAH9zy5c=")</f>
        <v>#VALUE!</v>
      </c>
      <c r="EW85" t="e">
        <f>AND('SPR BARRANQUILLA'!BO100,"AAAAAH9zy5g=")</f>
        <v>#VALUE!</v>
      </c>
      <c r="EX85" t="e">
        <f>AND('SPR BARRANQUILLA'!BP100,"AAAAAH9zy5k=")</f>
        <v>#VALUE!</v>
      </c>
      <c r="EY85" t="e">
        <f>AND('SPR BARRANQUILLA'!BQ100,"AAAAAH9zy5o=")</f>
        <v>#VALUE!</v>
      </c>
      <c r="EZ85" t="e">
        <f>AND('SPR BARRANQUILLA'!BR100,"AAAAAH9zy5s=")</f>
        <v>#VALUE!</v>
      </c>
      <c r="FA85" t="e">
        <f>AND('SPR BARRANQUILLA'!BS100,"AAAAAH9zy5w=")</f>
        <v>#VALUE!</v>
      </c>
      <c r="FB85" t="e">
        <f>AND('SPR BARRANQUILLA'!BT100,"AAAAAH9zy50=")</f>
        <v>#VALUE!</v>
      </c>
      <c r="FC85" t="e">
        <f>AND('SPR BARRANQUILLA'!BU100,"AAAAAH9zy54=")</f>
        <v>#VALUE!</v>
      </c>
      <c r="FD85" t="e">
        <f>AND('SPR BARRANQUILLA'!BV100,"AAAAAH9zy58=")</f>
        <v>#VALUE!</v>
      </c>
      <c r="FE85" t="e">
        <f>AND('SPR BARRANQUILLA'!BW100,"AAAAAH9zy6A=")</f>
        <v>#VALUE!</v>
      </c>
      <c r="FF85" t="e">
        <f>AND('SPR BARRANQUILLA'!BX100,"AAAAAH9zy6E=")</f>
        <v>#VALUE!</v>
      </c>
      <c r="FG85" t="e">
        <f>AND('SPR BARRANQUILLA'!BY100,"AAAAAH9zy6I=")</f>
        <v>#VALUE!</v>
      </c>
      <c r="FH85" t="e">
        <f>AND('SPR BARRANQUILLA'!BZ100,"AAAAAH9zy6M=")</f>
        <v>#VALUE!</v>
      </c>
      <c r="FI85" t="e">
        <f>AND('SPR BARRANQUILLA'!CA100,"AAAAAH9zy6Q=")</f>
        <v>#VALUE!</v>
      </c>
      <c r="FJ85" t="e">
        <f>AND('SPR BARRANQUILLA'!CB100,"AAAAAH9zy6U=")</f>
        <v>#VALUE!</v>
      </c>
      <c r="FK85" t="e">
        <f>AND('SPR BARRANQUILLA'!CC100,"AAAAAH9zy6Y=")</f>
        <v>#VALUE!</v>
      </c>
      <c r="FL85" t="e">
        <f>AND('SPR BARRANQUILLA'!CD100,"AAAAAH9zy6c=")</f>
        <v>#VALUE!</v>
      </c>
      <c r="FM85" t="e">
        <f>AND('SPR BARRANQUILLA'!CE100,"AAAAAH9zy6g=")</f>
        <v>#VALUE!</v>
      </c>
      <c r="FN85" t="e">
        <f>AND('SPR BARRANQUILLA'!CF100,"AAAAAH9zy6k=")</f>
        <v>#VALUE!</v>
      </c>
      <c r="FO85" t="e">
        <f>AND('SPR BARRANQUILLA'!CG100,"AAAAAH9zy6o=")</f>
        <v>#VALUE!</v>
      </c>
      <c r="FP85" t="e">
        <f>AND('SPR BARRANQUILLA'!CH100,"AAAAAH9zy6s=")</f>
        <v>#VALUE!</v>
      </c>
      <c r="FQ85" t="e">
        <f>AND('SPR BARRANQUILLA'!CI100,"AAAAAH9zy6w=")</f>
        <v>#VALUE!</v>
      </c>
      <c r="FR85" t="e">
        <f>AND('SPR BARRANQUILLA'!CJ100,"AAAAAH9zy60=")</f>
        <v>#VALUE!</v>
      </c>
      <c r="FS85" t="e">
        <f>AND('SPR BARRANQUILLA'!CK100,"AAAAAH9zy64=")</f>
        <v>#VALUE!</v>
      </c>
      <c r="FT85" t="e">
        <f>AND('SPR BARRANQUILLA'!CL100,"AAAAAH9zy68=")</f>
        <v>#VALUE!</v>
      </c>
      <c r="FU85" t="e">
        <f>AND('SPR BARRANQUILLA'!CM100,"AAAAAH9zy7A=")</f>
        <v>#VALUE!</v>
      </c>
      <c r="FV85" t="e">
        <f>AND('SPR BARRANQUILLA'!CN100,"AAAAAH9zy7E=")</f>
        <v>#VALUE!</v>
      </c>
      <c r="FW85" t="e">
        <f>AND('SPR BARRANQUILLA'!CO100,"AAAAAH9zy7I=")</f>
        <v>#VALUE!</v>
      </c>
      <c r="FX85" t="e">
        <f>AND('SPR BARRANQUILLA'!CP100,"AAAAAH9zy7M=")</f>
        <v>#VALUE!</v>
      </c>
      <c r="FY85" t="e">
        <f>AND('SPR BARRANQUILLA'!CQ100,"AAAAAH9zy7Q=")</f>
        <v>#VALUE!</v>
      </c>
      <c r="FZ85" t="e">
        <f>AND('SPR BARRANQUILLA'!CR100,"AAAAAH9zy7U=")</f>
        <v>#VALUE!</v>
      </c>
      <c r="GA85" t="e">
        <f>AND('SPR BARRANQUILLA'!CS100,"AAAAAH9zy7Y=")</f>
        <v>#VALUE!</v>
      </c>
      <c r="GB85" t="e">
        <f>AND('SPR BARRANQUILLA'!CT100,"AAAAAH9zy7c=")</f>
        <v>#VALUE!</v>
      </c>
      <c r="GC85" t="e">
        <f>AND('SPR BARRANQUILLA'!CU100,"AAAAAH9zy7g=")</f>
        <v>#VALUE!</v>
      </c>
      <c r="GD85" t="e">
        <f>AND('SPR BARRANQUILLA'!CV100,"AAAAAH9zy7k=")</f>
        <v>#VALUE!</v>
      </c>
      <c r="GE85" t="e">
        <f>AND('SPR BARRANQUILLA'!CW100,"AAAAAH9zy7o=")</f>
        <v>#VALUE!</v>
      </c>
      <c r="GF85" t="e">
        <f>AND('SPR BARRANQUILLA'!CX100,"AAAAAH9zy7s=")</f>
        <v>#VALUE!</v>
      </c>
      <c r="GG85" t="e">
        <f>AND('SPR BARRANQUILLA'!CY100,"AAAAAH9zy7w=")</f>
        <v>#VALUE!</v>
      </c>
      <c r="GH85" t="e">
        <f>AND('SPR BARRANQUILLA'!CZ100,"AAAAAH9zy70=")</f>
        <v>#VALUE!</v>
      </c>
      <c r="GI85" t="e">
        <f>AND('SPR BARRANQUILLA'!DA100,"AAAAAH9zy74=")</f>
        <v>#VALUE!</v>
      </c>
      <c r="GJ85" t="e">
        <f>AND('SPR BARRANQUILLA'!DB100,"AAAAAH9zy78=")</f>
        <v>#VALUE!</v>
      </c>
      <c r="GK85" t="e">
        <f>AND('SPR BARRANQUILLA'!DC100,"AAAAAH9zy8A=")</f>
        <v>#VALUE!</v>
      </c>
      <c r="GL85" t="e">
        <f>AND('SPR BARRANQUILLA'!DD100,"AAAAAH9zy8E=")</f>
        <v>#VALUE!</v>
      </c>
      <c r="GM85" t="e">
        <f>AND('SPR BARRANQUILLA'!DE100,"AAAAAH9zy8I=")</f>
        <v>#VALUE!</v>
      </c>
      <c r="GN85" t="e">
        <f>AND('SPR BARRANQUILLA'!DF100,"AAAAAH9zy8M=")</f>
        <v>#VALUE!</v>
      </c>
      <c r="GO85" t="e">
        <f>AND('SPR BARRANQUILLA'!DG100,"AAAAAH9zy8Q=")</f>
        <v>#VALUE!</v>
      </c>
      <c r="GP85" t="e">
        <f>AND('SPR BARRANQUILLA'!DH100,"AAAAAH9zy8U=")</f>
        <v>#VALUE!</v>
      </c>
      <c r="GQ85" t="e">
        <f>AND('SPR BARRANQUILLA'!DI100,"AAAAAH9zy8Y=")</f>
        <v>#VALUE!</v>
      </c>
      <c r="GR85" t="e">
        <f>AND('SPR BARRANQUILLA'!DJ100,"AAAAAH9zy8c=")</f>
        <v>#VALUE!</v>
      </c>
      <c r="GS85" t="e">
        <f>AND('SPR BARRANQUILLA'!DK100,"AAAAAH9zy8g=")</f>
        <v>#VALUE!</v>
      </c>
      <c r="GT85" t="e">
        <f>AND('SPR BARRANQUILLA'!DL100,"AAAAAH9zy8k=")</f>
        <v>#VALUE!</v>
      </c>
      <c r="GU85" t="e">
        <f>AND('SPR BARRANQUILLA'!DM100,"AAAAAH9zy8o=")</f>
        <v>#VALUE!</v>
      </c>
      <c r="GV85" t="e">
        <f>AND('SPR BARRANQUILLA'!DN100,"AAAAAH9zy8s=")</f>
        <v>#VALUE!</v>
      </c>
      <c r="GW85" t="e">
        <f>AND('SPR BARRANQUILLA'!DO100,"AAAAAH9zy8w=")</f>
        <v>#VALUE!</v>
      </c>
      <c r="GX85" t="e">
        <f>AND('SPR BARRANQUILLA'!DP100,"AAAAAH9zy80=")</f>
        <v>#VALUE!</v>
      </c>
      <c r="GY85" t="e">
        <f>AND('SPR BARRANQUILLA'!DQ100,"AAAAAH9zy84=")</f>
        <v>#VALUE!</v>
      </c>
      <c r="GZ85" t="e">
        <f>AND('SPR BARRANQUILLA'!DR100,"AAAAAH9zy88=")</f>
        <v>#VALUE!</v>
      </c>
      <c r="HA85" t="e">
        <f>AND('SPR BARRANQUILLA'!DS100,"AAAAAH9zy9A=")</f>
        <v>#VALUE!</v>
      </c>
      <c r="HB85" t="e">
        <f>AND('SPR BARRANQUILLA'!DT100,"AAAAAH9zy9E=")</f>
        <v>#VALUE!</v>
      </c>
      <c r="HC85" t="e">
        <f>AND('SPR BARRANQUILLA'!DU100,"AAAAAH9zy9I=")</f>
        <v>#VALUE!</v>
      </c>
      <c r="HD85" t="e">
        <f>AND('SPR BARRANQUILLA'!DV100,"AAAAAH9zy9M=")</f>
        <v>#VALUE!</v>
      </c>
      <c r="HE85" t="e">
        <f>AND('SPR BARRANQUILLA'!DW100,"AAAAAH9zy9Q=")</f>
        <v>#VALUE!</v>
      </c>
      <c r="HF85" t="e">
        <f>AND('SPR BARRANQUILLA'!DX100,"AAAAAH9zy9U=")</f>
        <v>#VALUE!</v>
      </c>
      <c r="HG85" t="e">
        <f>AND('SPR BARRANQUILLA'!DY100,"AAAAAH9zy9Y=")</f>
        <v>#VALUE!</v>
      </c>
      <c r="HH85" t="e">
        <f>AND('SPR BARRANQUILLA'!DZ100,"AAAAAH9zy9c=")</f>
        <v>#VALUE!</v>
      </c>
      <c r="HI85" t="e">
        <f>AND('SPR BARRANQUILLA'!EA100,"AAAAAH9zy9g=")</f>
        <v>#VALUE!</v>
      </c>
      <c r="HJ85" t="e">
        <f>AND('SPR BARRANQUILLA'!EB100,"AAAAAH9zy9k=")</f>
        <v>#VALUE!</v>
      </c>
      <c r="HK85" t="e">
        <f>AND('SPR BARRANQUILLA'!EC100,"AAAAAH9zy9o=")</f>
        <v>#VALUE!</v>
      </c>
      <c r="HL85" t="e">
        <f>AND('SPR BARRANQUILLA'!ED100,"AAAAAH9zy9s=")</f>
        <v>#VALUE!</v>
      </c>
      <c r="HM85" t="e">
        <f>AND('SPR BARRANQUILLA'!EE100,"AAAAAH9zy9w=")</f>
        <v>#VALUE!</v>
      </c>
      <c r="HN85" t="e">
        <f>AND('SPR BARRANQUILLA'!EF100,"AAAAAH9zy90=")</f>
        <v>#VALUE!</v>
      </c>
      <c r="HO85" t="e">
        <f>AND('SPR BARRANQUILLA'!EG100,"AAAAAH9zy94=")</f>
        <v>#VALUE!</v>
      </c>
      <c r="HP85" t="e">
        <f>AND('SPR BARRANQUILLA'!EH100,"AAAAAH9zy98=")</f>
        <v>#VALUE!</v>
      </c>
      <c r="HQ85" t="e">
        <f>AND('SPR BARRANQUILLA'!EI100,"AAAAAH9zy+A=")</f>
        <v>#VALUE!</v>
      </c>
      <c r="HR85" t="e">
        <f>AND('SPR BARRANQUILLA'!EJ100,"AAAAAH9zy+E=")</f>
        <v>#VALUE!</v>
      </c>
      <c r="HS85" t="e">
        <f>AND('SPR BARRANQUILLA'!EK100,"AAAAAH9zy+I=")</f>
        <v>#VALUE!</v>
      </c>
      <c r="HT85" t="e">
        <f>AND('SPR BARRANQUILLA'!EL100,"AAAAAH9zy+M=")</f>
        <v>#VALUE!</v>
      </c>
      <c r="HU85" t="e">
        <f>AND('SPR BARRANQUILLA'!EM100,"AAAAAH9zy+Q=")</f>
        <v>#VALUE!</v>
      </c>
      <c r="HV85" t="e">
        <f>AND('SPR BARRANQUILLA'!EN100,"AAAAAH9zy+U=")</f>
        <v>#VALUE!</v>
      </c>
      <c r="HW85" t="e">
        <f>AND('SPR BARRANQUILLA'!EO100,"AAAAAH9zy+Y=")</f>
        <v>#VALUE!</v>
      </c>
      <c r="HX85" t="e">
        <f>AND('SPR BARRANQUILLA'!EP100,"AAAAAH9zy+c=")</f>
        <v>#VALUE!</v>
      </c>
      <c r="HY85" t="e">
        <f>AND('SPR BARRANQUILLA'!EQ100,"AAAAAH9zy+g=")</f>
        <v>#VALUE!</v>
      </c>
      <c r="HZ85" t="e">
        <f>AND('SPR BARRANQUILLA'!ER100,"AAAAAH9zy+k=")</f>
        <v>#VALUE!</v>
      </c>
      <c r="IA85" t="e">
        <f>AND('SPR BARRANQUILLA'!ES100,"AAAAAH9zy+o=")</f>
        <v>#VALUE!</v>
      </c>
      <c r="IB85" t="e">
        <f>AND('SPR BARRANQUILLA'!ET100,"AAAAAH9zy+s=")</f>
        <v>#VALUE!</v>
      </c>
      <c r="IC85" t="e">
        <f>AND('SPR BARRANQUILLA'!EU100,"AAAAAH9zy+w=")</f>
        <v>#VALUE!</v>
      </c>
      <c r="ID85" t="e">
        <f>AND('SPR BARRANQUILLA'!EV100,"AAAAAH9zy+0=")</f>
        <v>#VALUE!</v>
      </c>
      <c r="IE85" t="e">
        <f>AND('SPR BARRANQUILLA'!EW100,"AAAAAH9zy+4=")</f>
        <v>#VALUE!</v>
      </c>
      <c r="IF85" t="e">
        <f>AND('SPR BARRANQUILLA'!EX100,"AAAAAH9zy+8=")</f>
        <v>#VALUE!</v>
      </c>
      <c r="IG85" t="e">
        <f>AND('SPR BARRANQUILLA'!EY100,"AAAAAH9zy/A=")</f>
        <v>#VALUE!</v>
      </c>
      <c r="IH85" t="e">
        <f>AND('SPR BARRANQUILLA'!EZ100,"AAAAAH9zy/E=")</f>
        <v>#VALUE!</v>
      </c>
      <c r="II85" t="e">
        <f>AND('SPR BARRANQUILLA'!FA100,"AAAAAH9zy/I=")</f>
        <v>#VALUE!</v>
      </c>
      <c r="IJ85" t="e">
        <f>AND('SPR BARRANQUILLA'!FB100,"AAAAAH9zy/M=")</f>
        <v>#VALUE!</v>
      </c>
      <c r="IK85" t="e">
        <f>AND('SPR BARRANQUILLA'!FC100,"AAAAAH9zy/Q=")</f>
        <v>#VALUE!</v>
      </c>
      <c r="IL85" t="e">
        <f>AND('SPR BARRANQUILLA'!FD100,"AAAAAH9zy/U=")</f>
        <v>#VALUE!</v>
      </c>
      <c r="IM85" t="e">
        <f>AND('SPR BARRANQUILLA'!FE100,"AAAAAH9zy/Y=")</f>
        <v>#VALUE!</v>
      </c>
      <c r="IN85" t="e">
        <f>AND('SPR BARRANQUILLA'!FF100,"AAAAAH9zy/c=")</f>
        <v>#VALUE!</v>
      </c>
      <c r="IO85" t="e">
        <f>AND('SPR BARRANQUILLA'!FG100,"AAAAAH9zy/g=")</f>
        <v>#VALUE!</v>
      </c>
      <c r="IP85" t="e">
        <f>AND('SPR BARRANQUILLA'!FH100,"AAAAAH9zy/k=")</f>
        <v>#VALUE!</v>
      </c>
      <c r="IQ85" t="e">
        <f>AND('SPR BARRANQUILLA'!FI100,"AAAAAH9zy/o=")</f>
        <v>#VALUE!</v>
      </c>
      <c r="IR85" t="e">
        <f>AND('SPR BARRANQUILLA'!FJ100,"AAAAAH9zy/s=")</f>
        <v>#VALUE!</v>
      </c>
      <c r="IS85" t="e">
        <f>AND('SPR BARRANQUILLA'!FK100,"AAAAAH9zy/w=")</f>
        <v>#VALUE!</v>
      </c>
      <c r="IT85" t="e">
        <f>AND('SPR BARRANQUILLA'!FL100,"AAAAAH9zy/0=")</f>
        <v>#VALUE!</v>
      </c>
      <c r="IU85" t="e">
        <f>AND('SPR BARRANQUILLA'!FM100,"AAAAAH9zy/4=")</f>
        <v>#VALUE!</v>
      </c>
      <c r="IV85" t="e">
        <f>AND('SPR BARRANQUILLA'!FN100,"AAAAAH9zy/8=")</f>
        <v>#VALUE!</v>
      </c>
    </row>
    <row r="86" spans="1:256">
      <c r="A86" t="e">
        <f>AND('SPR BARRANQUILLA'!FO100,"AAAAAHdv+gA=")</f>
        <v>#VALUE!</v>
      </c>
      <c r="B86" t="e">
        <f>AND('SPR BARRANQUILLA'!FP100,"AAAAAHdv+gE=")</f>
        <v>#VALUE!</v>
      </c>
      <c r="C86" t="e">
        <f>AND('SPR BARRANQUILLA'!FQ100,"AAAAAHdv+gI=")</f>
        <v>#VALUE!</v>
      </c>
      <c r="D86" t="e">
        <f>AND('SPR BARRANQUILLA'!FR100,"AAAAAHdv+gM=")</f>
        <v>#VALUE!</v>
      </c>
      <c r="E86" t="e">
        <f>AND('SPR BARRANQUILLA'!FS100,"AAAAAHdv+gQ=")</f>
        <v>#VALUE!</v>
      </c>
      <c r="F86" t="e">
        <f>AND('SPR BARRANQUILLA'!FT100,"AAAAAHdv+gU=")</f>
        <v>#VALUE!</v>
      </c>
      <c r="G86" t="e">
        <f>AND('SPR BARRANQUILLA'!FU100,"AAAAAHdv+gY=")</f>
        <v>#VALUE!</v>
      </c>
      <c r="H86" t="e">
        <f>AND('SPR BARRANQUILLA'!FV100,"AAAAAHdv+gc=")</f>
        <v>#VALUE!</v>
      </c>
      <c r="I86" t="e">
        <f>AND('SPR BARRANQUILLA'!FW100,"AAAAAHdv+gg=")</f>
        <v>#VALUE!</v>
      </c>
      <c r="J86" t="e">
        <f>AND('SPR BARRANQUILLA'!FX100,"AAAAAHdv+gk=")</f>
        <v>#VALUE!</v>
      </c>
      <c r="K86" t="e">
        <f>AND('SPR BARRANQUILLA'!FY100,"AAAAAHdv+go=")</f>
        <v>#VALUE!</v>
      </c>
      <c r="L86" t="e">
        <f>AND('SPR BARRANQUILLA'!FZ100,"AAAAAHdv+gs=")</f>
        <v>#VALUE!</v>
      </c>
      <c r="M86" t="e">
        <f>AND('SPR BARRANQUILLA'!GA100,"AAAAAHdv+gw=")</f>
        <v>#VALUE!</v>
      </c>
      <c r="N86" t="e">
        <f>AND('SPR BARRANQUILLA'!GB100,"AAAAAHdv+g0=")</f>
        <v>#VALUE!</v>
      </c>
      <c r="O86" t="e">
        <f>AND('SPR BARRANQUILLA'!GC100,"AAAAAHdv+g4=")</f>
        <v>#VALUE!</v>
      </c>
      <c r="P86" t="e">
        <f>AND('SPR BARRANQUILLA'!GD100,"AAAAAHdv+g8=")</f>
        <v>#VALUE!</v>
      </c>
      <c r="Q86" t="e">
        <f>AND('SPR BARRANQUILLA'!GE100,"AAAAAHdv+hA=")</f>
        <v>#VALUE!</v>
      </c>
      <c r="R86" t="e">
        <f>AND('SPR BARRANQUILLA'!GF100,"AAAAAHdv+hE=")</f>
        <v>#VALUE!</v>
      </c>
      <c r="S86" t="e">
        <f>AND('SPR BARRANQUILLA'!GG100,"AAAAAHdv+hI=")</f>
        <v>#VALUE!</v>
      </c>
      <c r="T86" t="e">
        <f>AND('SPR BARRANQUILLA'!GH100,"AAAAAHdv+hM=")</f>
        <v>#VALUE!</v>
      </c>
      <c r="U86" t="e">
        <f>AND('SPR BARRANQUILLA'!GI100,"AAAAAHdv+hQ=")</f>
        <v>#VALUE!</v>
      </c>
      <c r="V86" t="e">
        <f>AND('SPR BARRANQUILLA'!GJ100,"AAAAAHdv+hU=")</f>
        <v>#VALUE!</v>
      </c>
      <c r="W86" t="e">
        <f>AND('SPR BARRANQUILLA'!GK100,"AAAAAHdv+hY=")</f>
        <v>#VALUE!</v>
      </c>
      <c r="X86" t="e">
        <f>AND('SPR BARRANQUILLA'!GL100,"AAAAAHdv+hc=")</f>
        <v>#VALUE!</v>
      </c>
      <c r="Y86" t="e">
        <f>AND('SPR BARRANQUILLA'!GM100,"AAAAAHdv+hg=")</f>
        <v>#VALUE!</v>
      </c>
      <c r="Z86" t="e">
        <f>AND('SPR BARRANQUILLA'!GN100,"AAAAAHdv+hk=")</f>
        <v>#VALUE!</v>
      </c>
      <c r="AA86" t="e">
        <f>AND('SPR BARRANQUILLA'!GO100,"AAAAAHdv+ho=")</f>
        <v>#VALUE!</v>
      </c>
      <c r="AB86" t="e">
        <f>AND('SPR BARRANQUILLA'!GP100,"AAAAAHdv+hs=")</f>
        <v>#VALUE!</v>
      </c>
      <c r="AC86" t="e">
        <f>AND('SPR BARRANQUILLA'!GQ100,"AAAAAHdv+hw=")</f>
        <v>#VALUE!</v>
      </c>
      <c r="AD86" t="e">
        <f>AND('SPR BARRANQUILLA'!GR100,"AAAAAHdv+h0=")</f>
        <v>#VALUE!</v>
      </c>
      <c r="AE86" t="e">
        <f>AND('SPR BARRANQUILLA'!GS100,"AAAAAHdv+h4=")</f>
        <v>#VALUE!</v>
      </c>
      <c r="AF86" t="e">
        <f>AND('SPR BARRANQUILLA'!GT100,"AAAAAHdv+h8=")</f>
        <v>#VALUE!</v>
      </c>
      <c r="AG86" t="e">
        <f>AND('SPR BARRANQUILLA'!GU100,"AAAAAHdv+iA=")</f>
        <v>#VALUE!</v>
      </c>
      <c r="AH86" t="e">
        <f>AND('SPR BARRANQUILLA'!GV100,"AAAAAHdv+iE=")</f>
        <v>#VALUE!</v>
      </c>
      <c r="AI86" t="e">
        <f>AND('SPR BARRANQUILLA'!GW100,"AAAAAHdv+iI=")</f>
        <v>#VALUE!</v>
      </c>
      <c r="AJ86" t="e">
        <f>AND('SPR BARRANQUILLA'!GX100,"AAAAAHdv+iM=")</f>
        <v>#VALUE!</v>
      </c>
      <c r="AK86" t="e">
        <f>AND('SPR BARRANQUILLA'!GY100,"AAAAAHdv+iQ=")</f>
        <v>#VALUE!</v>
      </c>
      <c r="AL86">
        <f>IF('SPR BARRANQUILLA'!101:101,"AAAAAHdv+iU=",0)</f>
        <v>0</v>
      </c>
      <c r="AM86" t="e">
        <f>AND('SPR BARRANQUILLA'!A101,"AAAAAHdv+iY=")</f>
        <v>#VALUE!</v>
      </c>
      <c r="AN86" t="e">
        <f>AND('SPR BARRANQUILLA'!B101,"AAAAAHdv+ic=")</f>
        <v>#VALUE!</v>
      </c>
      <c r="AO86" t="e">
        <f>AND('SPR BARRANQUILLA'!C101,"AAAAAHdv+ig=")</f>
        <v>#VALUE!</v>
      </c>
      <c r="AP86" t="e">
        <f>AND('SPR BARRANQUILLA'!D101,"AAAAAHdv+ik=")</f>
        <v>#VALUE!</v>
      </c>
      <c r="AQ86" t="e">
        <f>AND('SPR BARRANQUILLA'!E101,"AAAAAHdv+io=")</f>
        <v>#VALUE!</v>
      </c>
      <c r="AR86" t="e">
        <f>AND('SPR BARRANQUILLA'!F101,"AAAAAHdv+is=")</f>
        <v>#VALUE!</v>
      </c>
      <c r="AS86" t="e">
        <f>AND('SPR BARRANQUILLA'!G101,"AAAAAHdv+iw=")</f>
        <v>#VALUE!</v>
      </c>
      <c r="AT86" t="e">
        <f>AND('SPR BARRANQUILLA'!H101,"AAAAAHdv+i0=")</f>
        <v>#VALUE!</v>
      </c>
      <c r="AU86" t="e">
        <f>AND('SPR BARRANQUILLA'!I101,"AAAAAHdv+i4=")</f>
        <v>#VALUE!</v>
      </c>
      <c r="AV86" t="e">
        <f>AND('SPR BARRANQUILLA'!J101,"AAAAAHdv+i8=")</f>
        <v>#VALUE!</v>
      </c>
      <c r="AW86" t="e">
        <f>AND('SPR BARRANQUILLA'!K101,"AAAAAHdv+jA=")</f>
        <v>#VALUE!</v>
      </c>
      <c r="AX86" t="e">
        <f>AND('SPR BARRANQUILLA'!L101,"AAAAAHdv+jE=")</f>
        <v>#VALUE!</v>
      </c>
      <c r="AY86" t="e">
        <f>AND('SPR BARRANQUILLA'!M101,"AAAAAHdv+jI=")</f>
        <v>#VALUE!</v>
      </c>
      <c r="AZ86" t="e">
        <f>AND('SPR BARRANQUILLA'!N101,"AAAAAHdv+jM=")</f>
        <v>#VALUE!</v>
      </c>
      <c r="BA86" t="e">
        <f>AND('SPR BARRANQUILLA'!O101,"AAAAAHdv+jQ=")</f>
        <v>#VALUE!</v>
      </c>
      <c r="BB86" t="e">
        <f>AND('SPR BARRANQUILLA'!P101,"AAAAAHdv+jU=")</f>
        <v>#VALUE!</v>
      </c>
      <c r="BC86" t="e">
        <f>AND('SPR BARRANQUILLA'!Q101,"AAAAAHdv+jY=")</f>
        <v>#VALUE!</v>
      </c>
      <c r="BD86" t="e">
        <f>AND('SPR BARRANQUILLA'!R101,"AAAAAHdv+jc=")</f>
        <v>#VALUE!</v>
      </c>
      <c r="BE86" t="e">
        <f>AND('SPR BARRANQUILLA'!S101,"AAAAAHdv+jg=")</f>
        <v>#VALUE!</v>
      </c>
      <c r="BF86" t="e">
        <f>AND('SPR BARRANQUILLA'!T101,"AAAAAHdv+jk=")</f>
        <v>#VALUE!</v>
      </c>
      <c r="BG86" t="e">
        <f>AND('SPR BARRANQUILLA'!U101,"AAAAAHdv+jo=")</f>
        <v>#VALUE!</v>
      </c>
      <c r="BH86" t="e">
        <f>AND('SPR BARRANQUILLA'!V101,"AAAAAHdv+js=")</f>
        <v>#VALUE!</v>
      </c>
      <c r="BI86" t="e">
        <f>AND('SPR BARRANQUILLA'!W101,"AAAAAHdv+jw=")</f>
        <v>#VALUE!</v>
      </c>
      <c r="BJ86" t="e">
        <f>AND('SPR BARRANQUILLA'!X101,"AAAAAHdv+j0=")</f>
        <v>#VALUE!</v>
      </c>
      <c r="BK86" t="e">
        <f>AND('SPR BARRANQUILLA'!Y101,"AAAAAHdv+j4=")</f>
        <v>#VALUE!</v>
      </c>
      <c r="BL86" t="e">
        <f>AND('SPR BARRANQUILLA'!Z101,"AAAAAHdv+j8=")</f>
        <v>#VALUE!</v>
      </c>
      <c r="BM86" t="e">
        <f>AND('SPR BARRANQUILLA'!AA101,"AAAAAHdv+kA=")</f>
        <v>#VALUE!</v>
      </c>
      <c r="BN86" t="e">
        <f>AND('SPR BARRANQUILLA'!AB101,"AAAAAHdv+kE=")</f>
        <v>#VALUE!</v>
      </c>
      <c r="BO86" t="e">
        <f>AND('SPR BARRANQUILLA'!AC101,"AAAAAHdv+kI=")</f>
        <v>#VALUE!</v>
      </c>
      <c r="BP86" t="e">
        <f>AND('SPR BARRANQUILLA'!AD101,"AAAAAHdv+kM=")</f>
        <v>#VALUE!</v>
      </c>
      <c r="BQ86" t="e">
        <f>AND('SPR BARRANQUILLA'!AE101,"AAAAAHdv+kQ=")</f>
        <v>#VALUE!</v>
      </c>
      <c r="BR86" t="e">
        <f>AND('SPR BARRANQUILLA'!AF101,"AAAAAHdv+kU=")</f>
        <v>#VALUE!</v>
      </c>
      <c r="BS86" t="e">
        <f>AND('SPR BARRANQUILLA'!AG101,"AAAAAHdv+kY=")</f>
        <v>#VALUE!</v>
      </c>
      <c r="BT86" t="e">
        <f>AND('SPR BARRANQUILLA'!AH101,"AAAAAHdv+kc=")</f>
        <v>#VALUE!</v>
      </c>
      <c r="BU86" t="e">
        <f>AND('SPR BARRANQUILLA'!AI101,"AAAAAHdv+kg=")</f>
        <v>#VALUE!</v>
      </c>
      <c r="BV86" t="e">
        <f>AND('SPR BARRANQUILLA'!AJ101,"AAAAAHdv+kk=")</f>
        <v>#VALUE!</v>
      </c>
      <c r="BW86" t="e">
        <f>AND('SPR BARRANQUILLA'!AK101,"AAAAAHdv+ko=")</f>
        <v>#VALUE!</v>
      </c>
      <c r="BX86" t="e">
        <f>AND('SPR BARRANQUILLA'!AL101,"AAAAAHdv+ks=")</f>
        <v>#VALUE!</v>
      </c>
      <c r="BY86" t="e">
        <f>AND('SPR BARRANQUILLA'!AM101,"AAAAAHdv+kw=")</f>
        <v>#VALUE!</v>
      </c>
      <c r="BZ86" t="e">
        <f>AND('SPR BARRANQUILLA'!AN101,"AAAAAHdv+k0=")</f>
        <v>#VALUE!</v>
      </c>
      <c r="CA86" t="e">
        <f>AND('SPR BARRANQUILLA'!AO101,"AAAAAHdv+k4=")</f>
        <v>#VALUE!</v>
      </c>
      <c r="CB86" t="e">
        <f>AND('SPR BARRANQUILLA'!AP101,"AAAAAHdv+k8=")</f>
        <v>#VALUE!</v>
      </c>
      <c r="CC86" t="e">
        <f>AND('SPR BARRANQUILLA'!AQ101,"AAAAAHdv+lA=")</f>
        <v>#VALUE!</v>
      </c>
      <c r="CD86" t="e">
        <f>AND('SPR BARRANQUILLA'!AR101,"AAAAAHdv+lE=")</f>
        <v>#VALUE!</v>
      </c>
      <c r="CE86" t="e">
        <f>AND('SPR BARRANQUILLA'!AS101,"AAAAAHdv+lI=")</f>
        <v>#VALUE!</v>
      </c>
      <c r="CF86" t="e">
        <f>AND('SPR BARRANQUILLA'!AT101,"AAAAAHdv+lM=")</f>
        <v>#VALUE!</v>
      </c>
      <c r="CG86" t="e">
        <f>AND('SPR BARRANQUILLA'!AU101,"AAAAAHdv+lQ=")</f>
        <v>#VALUE!</v>
      </c>
      <c r="CH86" t="e">
        <f>AND('SPR BARRANQUILLA'!AV101,"AAAAAHdv+lU=")</f>
        <v>#VALUE!</v>
      </c>
      <c r="CI86" t="e">
        <f>AND('SPR BARRANQUILLA'!AW101,"AAAAAHdv+lY=")</f>
        <v>#VALUE!</v>
      </c>
      <c r="CJ86" t="e">
        <f>AND('SPR BARRANQUILLA'!AX101,"AAAAAHdv+lc=")</f>
        <v>#VALUE!</v>
      </c>
      <c r="CK86" t="e">
        <f>AND('SPR BARRANQUILLA'!AY101,"AAAAAHdv+lg=")</f>
        <v>#VALUE!</v>
      </c>
      <c r="CL86" t="e">
        <f>AND('SPR BARRANQUILLA'!AZ101,"AAAAAHdv+lk=")</f>
        <v>#VALUE!</v>
      </c>
      <c r="CM86" t="e">
        <f>AND('SPR BARRANQUILLA'!BA101,"AAAAAHdv+lo=")</f>
        <v>#VALUE!</v>
      </c>
      <c r="CN86" t="e">
        <f>AND('SPR BARRANQUILLA'!BB101,"AAAAAHdv+ls=")</f>
        <v>#VALUE!</v>
      </c>
      <c r="CO86" t="e">
        <f>AND('SPR BARRANQUILLA'!BC101,"AAAAAHdv+lw=")</f>
        <v>#VALUE!</v>
      </c>
      <c r="CP86" t="e">
        <f>AND('SPR BARRANQUILLA'!BD101,"AAAAAHdv+l0=")</f>
        <v>#VALUE!</v>
      </c>
      <c r="CQ86" t="e">
        <f>AND('SPR BARRANQUILLA'!BE101,"AAAAAHdv+l4=")</f>
        <v>#VALUE!</v>
      </c>
      <c r="CR86" t="e">
        <f>AND('SPR BARRANQUILLA'!BF101,"AAAAAHdv+l8=")</f>
        <v>#VALUE!</v>
      </c>
      <c r="CS86" t="e">
        <f>AND('SPR BARRANQUILLA'!BG101,"AAAAAHdv+mA=")</f>
        <v>#VALUE!</v>
      </c>
      <c r="CT86" t="e">
        <f>AND('SPR BARRANQUILLA'!BH101,"AAAAAHdv+mE=")</f>
        <v>#VALUE!</v>
      </c>
      <c r="CU86" t="e">
        <f>AND('SPR BARRANQUILLA'!BI101,"AAAAAHdv+mI=")</f>
        <v>#VALUE!</v>
      </c>
      <c r="CV86" t="e">
        <f>AND('SPR BARRANQUILLA'!BJ101,"AAAAAHdv+mM=")</f>
        <v>#VALUE!</v>
      </c>
      <c r="CW86" t="e">
        <f>AND('SPR BARRANQUILLA'!BK101,"AAAAAHdv+mQ=")</f>
        <v>#VALUE!</v>
      </c>
      <c r="CX86" t="e">
        <f>AND('SPR BARRANQUILLA'!BL101,"AAAAAHdv+mU=")</f>
        <v>#VALUE!</v>
      </c>
      <c r="CY86" t="e">
        <f>AND('SPR BARRANQUILLA'!BM101,"AAAAAHdv+mY=")</f>
        <v>#VALUE!</v>
      </c>
      <c r="CZ86" t="e">
        <f>AND('SPR BARRANQUILLA'!BN101,"AAAAAHdv+mc=")</f>
        <v>#VALUE!</v>
      </c>
      <c r="DA86" t="e">
        <f>AND('SPR BARRANQUILLA'!BO101,"AAAAAHdv+mg=")</f>
        <v>#VALUE!</v>
      </c>
      <c r="DB86" t="e">
        <f>AND('SPR BARRANQUILLA'!BP101,"AAAAAHdv+mk=")</f>
        <v>#VALUE!</v>
      </c>
      <c r="DC86" t="e">
        <f>AND('SPR BARRANQUILLA'!BQ101,"AAAAAHdv+mo=")</f>
        <v>#VALUE!</v>
      </c>
      <c r="DD86" t="e">
        <f>AND('SPR BARRANQUILLA'!BR101,"AAAAAHdv+ms=")</f>
        <v>#VALUE!</v>
      </c>
      <c r="DE86" t="e">
        <f>AND('SPR BARRANQUILLA'!BS101,"AAAAAHdv+mw=")</f>
        <v>#VALUE!</v>
      </c>
      <c r="DF86" t="e">
        <f>AND('SPR BARRANQUILLA'!BT101,"AAAAAHdv+m0=")</f>
        <v>#VALUE!</v>
      </c>
      <c r="DG86" t="e">
        <f>AND('SPR BARRANQUILLA'!BU101,"AAAAAHdv+m4=")</f>
        <v>#VALUE!</v>
      </c>
      <c r="DH86" t="e">
        <f>AND('SPR BARRANQUILLA'!BV101,"AAAAAHdv+m8=")</f>
        <v>#VALUE!</v>
      </c>
      <c r="DI86" t="e">
        <f>AND('SPR BARRANQUILLA'!BW101,"AAAAAHdv+nA=")</f>
        <v>#VALUE!</v>
      </c>
      <c r="DJ86" t="e">
        <f>AND('SPR BARRANQUILLA'!BX101,"AAAAAHdv+nE=")</f>
        <v>#VALUE!</v>
      </c>
      <c r="DK86" t="e">
        <f>AND('SPR BARRANQUILLA'!BY101,"AAAAAHdv+nI=")</f>
        <v>#VALUE!</v>
      </c>
      <c r="DL86" t="e">
        <f>AND('SPR BARRANQUILLA'!BZ101,"AAAAAHdv+nM=")</f>
        <v>#VALUE!</v>
      </c>
      <c r="DM86" t="e">
        <f>AND('SPR BARRANQUILLA'!CA101,"AAAAAHdv+nQ=")</f>
        <v>#VALUE!</v>
      </c>
      <c r="DN86" t="e">
        <f>AND('SPR BARRANQUILLA'!CB101,"AAAAAHdv+nU=")</f>
        <v>#VALUE!</v>
      </c>
      <c r="DO86" t="e">
        <f>AND('SPR BARRANQUILLA'!CC101,"AAAAAHdv+nY=")</f>
        <v>#VALUE!</v>
      </c>
      <c r="DP86" t="e">
        <f>AND('SPR BARRANQUILLA'!CD101,"AAAAAHdv+nc=")</f>
        <v>#VALUE!</v>
      </c>
      <c r="DQ86" t="e">
        <f>AND('SPR BARRANQUILLA'!CE101,"AAAAAHdv+ng=")</f>
        <v>#VALUE!</v>
      </c>
      <c r="DR86" t="e">
        <f>AND('SPR BARRANQUILLA'!CF101,"AAAAAHdv+nk=")</f>
        <v>#VALUE!</v>
      </c>
      <c r="DS86" t="e">
        <f>AND('SPR BARRANQUILLA'!CG101,"AAAAAHdv+no=")</f>
        <v>#VALUE!</v>
      </c>
      <c r="DT86" t="e">
        <f>AND('SPR BARRANQUILLA'!CH101,"AAAAAHdv+ns=")</f>
        <v>#VALUE!</v>
      </c>
      <c r="DU86" t="e">
        <f>AND('SPR BARRANQUILLA'!CI101,"AAAAAHdv+nw=")</f>
        <v>#VALUE!</v>
      </c>
      <c r="DV86" t="e">
        <f>AND('SPR BARRANQUILLA'!CJ101,"AAAAAHdv+n0=")</f>
        <v>#VALUE!</v>
      </c>
      <c r="DW86" t="e">
        <f>AND('SPR BARRANQUILLA'!CK101,"AAAAAHdv+n4=")</f>
        <v>#VALUE!</v>
      </c>
      <c r="DX86" t="e">
        <f>AND('SPR BARRANQUILLA'!CL101,"AAAAAHdv+n8=")</f>
        <v>#VALUE!</v>
      </c>
      <c r="DY86" t="e">
        <f>AND('SPR BARRANQUILLA'!CM101,"AAAAAHdv+oA=")</f>
        <v>#VALUE!</v>
      </c>
      <c r="DZ86" t="e">
        <f>AND('SPR BARRANQUILLA'!CN101,"AAAAAHdv+oE=")</f>
        <v>#VALUE!</v>
      </c>
      <c r="EA86" t="e">
        <f>AND('SPR BARRANQUILLA'!CO101,"AAAAAHdv+oI=")</f>
        <v>#VALUE!</v>
      </c>
      <c r="EB86" t="e">
        <f>AND('SPR BARRANQUILLA'!CP101,"AAAAAHdv+oM=")</f>
        <v>#VALUE!</v>
      </c>
      <c r="EC86" t="e">
        <f>AND('SPR BARRANQUILLA'!CQ101,"AAAAAHdv+oQ=")</f>
        <v>#VALUE!</v>
      </c>
      <c r="ED86" t="e">
        <f>AND('SPR BARRANQUILLA'!CR101,"AAAAAHdv+oU=")</f>
        <v>#VALUE!</v>
      </c>
      <c r="EE86" t="e">
        <f>AND('SPR BARRANQUILLA'!CS101,"AAAAAHdv+oY=")</f>
        <v>#VALUE!</v>
      </c>
      <c r="EF86" t="e">
        <f>AND('SPR BARRANQUILLA'!CT101,"AAAAAHdv+oc=")</f>
        <v>#VALUE!</v>
      </c>
      <c r="EG86" t="e">
        <f>AND('SPR BARRANQUILLA'!CU101,"AAAAAHdv+og=")</f>
        <v>#VALUE!</v>
      </c>
      <c r="EH86" t="e">
        <f>AND('SPR BARRANQUILLA'!CV101,"AAAAAHdv+ok=")</f>
        <v>#VALUE!</v>
      </c>
      <c r="EI86" t="e">
        <f>AND('SPR BARRANQUILLA'!CW101,"AAAAAHdv+oo=")</f>
        <v>#VALUE!</v>
      </c>
      <c r="EJ86" t="e">
        <f>AND('SPR BARRANQUILLA'!CX101,"AAAAAHdv+os=")</f>
        <v>#VALUE!</v>
      </c>
      <c r="EK86" t="e">
        <f>AND('SPR BARRANQUILLA'!CY101,"AAAAAHdv+ow=")</f>
        <v>#VALUE!</v>
      </c>
      <c r="EL86" t="e">
        <f>AND('SPR BARRANQUILLA'!CZ101,"AAAAAHdv+o0=")</f>
        <v>#VALUE!</v>
      </c>
      <c r="EM86" t="e">
        <f>AND('SPR BARRANQUILLA'!DA101,"AAAAAHdv+o4=")</f>
        <v>#VALUE!</v>
      </c>
      <c r="EN86" t="e">
        <f>AND('SPR BARRANQUILLA'!DB101,"AAAAAHdv+o8=")</f>
        <v>#VALUE!</v>
      </c>
      <c r="EO86" t="e">
        <f>AND('SPR BARRANQUILLA'!DC101,"AAAAAHdv+pA=")</f>
        <v>#VALUE!</v>
      </c>
      <c r="EP86" t="e">
        <f>AND('SPR BARRANQUILLA'!DD101,"AAAAAHdv+pE=")</f>
        <v>#VALUE!</v>
      </c>
      <c r="EQ86" t="e">
        <f>AND('SPR BARRANQUILLA'!DE101,"AAAAAHdv+pI=")</f>
        <v>#VALUE!</v>
      </c>
      <c r="ER86" t="e">
        <f>AND('SPR BARRANQUILLA'!DF101,"AAAAAHdv+pM=")</f>
        <v>#VALUE!</v>
      </c>
      <c r="ES86" t="e">
        <f>AND('SPR BARRANQUILLA'!DG101,"AAAAAHdv+pQ=")</f>
        <v>#VALUE!</v>
      </c>
      <c r="ET86" t="e">
        <f>AND('SPR BARRANQUILLA'!DH101,"AAAAAHdv+pU=")</f>
        <v>#VALUE!</v>
      </c>
      <c r="EU86" t="e">
        <f>AND('SPR BARRANQUILLA'!DI101,"AAAAAHdv+pY=")</f>
        <v>#VALUE!</v>
      </c>
      <c r="EV86" t="e">
        <f>AND('SPR BARRANQUILLA'!DJ101,"AAAAAHdv+pc=")</f>
        <v>#VALUE!</v>
      </c>
      <c r="EW86" t="e">
        <f>AND('SPR BARRANQUILLA'!DK101,"AAAAAHdv+pg=")</f>
        <v>#VALUE!</v>
      </c>
      <c r="EX86" t="e">
        <f>AND('SPR BARRANQUILLA'!DL101,"AAAAAHdv+pk=")</f>
        <v>#VALUE!</v>
      </c>
      <c r="EY86" t="e">
        <f>AND('SPR BARRANQUILLA'!DM101,"AAAAAHdv+po=")</f>
        <v>#VALUE!</v>
      </c>
      <c r="EZ86" t="e">
        <f>AND('SPR BARRANQUILLA'!DN101,"AAAAAHdv+ps=")</f>
        <v>#VALUE!</v>
      </c>
      <c r="FA86" t="e">
        <f>AND('SPR BARRANQUILLA'!DO101,"AAAAAHdv+pw=")</f>
        <v>#VALUE!</v>
      </c>
      <c r="FB86" t="e">
        <f>AND('SPR BARRANQUILLA'!DP101,"AAAAAHdv+p0=")</f>
        <v>#VALUE!</v>
      </c>
      <c r="FC86" t="e">
        <f>AND('SPR BARRANQUILLA'!DQ101,"AAAAAHdv+p4=")</f>
        <v>#VALUE!</v>
      </c>
      <c r="FD86" t="e">
        <f>AND('SPR BARRANQUILLA'!DR101,"AAAAAHdv+p8=")</f>
        <v>#VALUE!</v>
      </c>
      <c r="FE86" t="e">
        <f>AND('SPR BARRANQUILLA'!DS101,"AAAAAHdv+qA=")</f>
        <v>#VALUE!</v>
      </c>
      <c r="FF86" t="e">
        <f>AND('SPR BARRANQUILLA'!DT101,"AAAAAHdv+qE=")</f>
        <v>#VALUE!</v>
      </c>
      <c r="FG86" t="e">
        <f>AND('SPR BARRANQUILLA'!DU101,"AAAAAHdv+qI=")</f>
        <v>#VALUE!</v>
      </c>
      <c r="FH86" t="e">
        <f>AND('SPR BARRANQUILLA'!DV101,"AAAAAHdv+qM=")</f>
        <v>#VALUE!</v>
      </c>
      <c r="FI86" t="e">
        <f>AND('SPR BARRANQUILLA'!DW101,"AAAAAHdv+qQ=")</f>
        <v>#VALUE!</v>
      </c>
      <c r="FJ86" t="e">
        <f>AND('SPR BARRANQUILLA'!DX101,"AAAAAHdv+qU=")</f>
        <v>#VALUE!</v>
      </c>
      <c r="FK86" t="e">
        <f>AND('SPR BARRANQUILLA'!DY101,"AAAAAHdv+qY=")</f>
        <v>#VALUE!</v>
      </c>
      <c r="FL86" t="e">
        <f>AND('SPR BARRANQUILLA'!DZ101,"AAAAAHdv+qc=")</f>
        <v>#VALUE!</v>
      </c>
      <c r="FM86" t="e">
        <f>AND('SPR BARRANQUILLA'!EA101,"AAAAAHdv+qg=")</f>
        <v>#VALUE!</v>
      </c>
      <c r="FN86" t="e">
        <f>AND('SPR BARRANQUILLA'!EB101,"AAAAAHdv+qk=")</f>
        <v>#VALUE!</v>
      </c>
      <c r="FO86" t="e">
        <f>AND('SPR BARRANQUILLA'!EC101,"AAAAAHdv+qo=")</f>
        <v>#VALUE!</v>
      </c>
      <c r="FP86" t="e">
        <f>AND('SPR BARRANQUILLA'!ED101,"AAAAAHdv+qs=")</f>
        <v>#VALUE!</v>
      </c>
      <c r="FQ86" t="e">
        <f>AND('SPR BARRANQUILLA'!EE101,"AAAAAHdv+qw=")</f>
        <v>#VALUE!</v>
      </c>
      <c r="FR86" t="e">
        <f>AND('SPR BARRANQUILLA'!EF101,"AAAAAHdv+q0=")</f>
        <v>#VALUE!</v>
      </c>
      <c r="FS86" t="e">
        <f>AND('SPR BARRANQUILLA'!EG101,"AAAAAHdv+q4=")</f>
        <v>#VALUE!</v>
      </c>
      <c r="FT86" t="e">
        <f>AND('SPR BARRANQUILLA'!EH101,"AAAAAHdv+q8=")</f>
        <v>#VALUE!</v>
      </c>
      <c r="FU86" t="e">
        <f>AND('SPR BARRANQUILLA'!EI101,"AAAAAHdv+rA=")</f>
        <v>#VALUE!</v>
      </c>
      <c r="FV86" t="e">
        <f>AND('SPR BARRANQUILLA'!EJ101,"AAAAAHdv+rE=")</f>
        <v>#VALUE!</v>
      </c>
      <c r="FW86" t="e">
        <f>AND('SPR BARRANQUILLA'!EK101,"AAAAAHdv+rI=")</f>
        <v>#VALUE!</v>
      </c>
      <c r="FX86" t="e">
        <f>AND('SPR BARRANQUILLA'!EL101,"AAAAAHdv+rM=")</f>
        <v>#VALUE!</v>
      </c>
      <c r="FY86" t="e">
        <f>AND('SPR BARRANQUILLA'!EM101,"AAAAAHdv+rQ=")</f>
        <v>#VALUE!</v>
      </c>
      <c r="FZ86" t="e">
        <f>AND('SPR BARRANQUILLA'!EN101,"AAAAAHdv+rU=")</f>
        <v>#VALUE!</v>
      </c>
      <c r="GA86" t="e">
        <f>AND('SPR BARRANQUILLA'!EO101,"AAAAAHdv+rY=")</f>
        <v>#VALUE!</v>
      </c>
      <c r="GB86" t="e">
        <f>AND('SPR BARRANQUILLA'!EP101,"AAAAAHdv+rc=")</f>
        <v>#VALUE!</v>
      </c>
      <c r="GC86" t="e">
        <f>AND('SPR BARRANQUILLA'!EQ101,"AAAAAHdv+rg=")</f>
        <v>#VALUE!</v>
      </c>
      <c r="GD86" t="e">
        <f>AND('SPR BARRANQUILLA'!ER101,"AAAAAHdv+rk=")</f>
        <v>#VALUE!</v>
      </c>
      <c r="GE86" t="e">
        <f>AND('SPR BARRANQUILLA'!ES101,"AAAAAHdv+ro=")</f>
        <v>#VALUE!</v>
      </c>
      <c r="GF86" t="e">
        <f>AND('SPR BARRANQUILLA'!ET101,"AAAAAHdv+rs=")</f>
        <v>#VALUE!</v>
      </c>
      <c r="GG86" t="e">
        <f>AND('SPR BARRANQUILLA'!EU101,"AAAAAHdv+rw=")</f>
        <v>#VALUE!</v>
      </c>
      <c r="GH86" t="e">
        <f>AND('SPR BARRANQUILLA'!EV101,"AAAAAHdv+r0=")</f>
        <v>#VALUE!</v>
      </c>
      <c r="GI86" t="e">
        <f>AND('SPR BARRANQUILLA'!EW101,"AAAAAHdv+r4=")</f>
        <v>#VALUE!</v>
      </c>
      <c r="GJ86" t="e">
        <f>AND('SPR BARRANQUILLA'!EX101,"AAAAAHdv+r8=")</f>
        <v>#VALUE!</v>
      </c>
      <c r="GK86" t="e">
        <f>AND('SPR BARRANQUILLA'!EY101,"AAAAAHdv+sA=")</f>
        <v>#VALUE!</v>
      </c>
      <c r="GL86" t="e">
        <f>AND('SPR BARRANQUILLA'!EZ101,"AAAAAHdv+sE=")</f>
        <v>#VALUE!</v>
      </c>
      <c r="GM86" t="e">
        <f>AND('SPR BARRANQUILLA'!FA101,"AAAAAHdv+sI=")</f>
        <v>#VALUE!</v>
      </c>
      <c r="GN86" t="e">
        <f>AND('SPR BARRANQUILLA'!FB101,"AAAAAHdv+sM=")</f>
        <v>#VALUE!</v>
      </c>
      <c r="GO86" t="e">
        <f>AND('SPR BARRANQUILLA'!FC101,"AAAAAHdv+sQ=")</f>
        <v>#VALUE!</v>
      </c>
      <c r="GP86" t="e">
        <f>AND('SPR BARRANQUILLA'!FD101,"AAAAAHdv+sU=")</f>
        <v>#VALUE!</v>
      </c>
      <c r="GQ86" t="e">
        <f>AND('SPR BARRANQUILLA'!FE101,"AAAAAHdv+sY=")</f>
        <v>#VALUE!</v>
      </c>
      <c r="GR86" t="e">
        <f>AND('SPR BARRANQUILLA'!FF101,"AAAAAHdv+sc=")</f>
        <v>#VALUE!</v>
      </c>
      <c r="GS86" t="e">
        <f>AND('SPR BARRANQUILLA'!FG101,"AAAAAHdv+sg=")</f>
        <v>#VALUE!</v>
      </c>
      <c r="GT86" t="e">
        <f>AND('SPR BARRANQUILLA'!FH101,"AAAAAHdv+sk=")</f>
        <v>#VALUE!</v>
      </c>
      <c r="GU86" t="e">
        <f>AND('SPR BARRANQUILLA'!FI101,"AAAAAHdv+so=")</f>
        <v>#VALUE!</v>
      </c>
      <c r="GV86" t="e">
        <f>AND('SPR BARRANQUILLA'!FJ101,"AAAAAHdv+ss=")</f>
        <v>#VALUE!</v>
      </c>
      <c r="GW86" t="e">
        <f>AND('SPR BARRANQUILLA'!FK101,"AAAAAHdv+sw=")</f>
        <v>#VALUE!</v>
      </c>
      <c r="GX86" t="e">
        <f>AND('SPR BARRANQUILLA'!FL101,"AAAAAHdv+s0=")</f>
        <v>#VALUE!</v>
      </c>
      <c r="GY86" t="e">
        <f>AND('SPR BARRANQUILLA'!FM101,"AAAAAHdv+s4=")</f>
        <v>#VALUE!</v>
      </c>
      <c r="GZ86" t="e">
        <f>AND('SPR BARRANQUILLA'!FN101,"AAAAAHdv+s8=")</f>
        <v>#VALUE!</v>
      </c>
      <c r="HA86" t="e">
        <f>AND('SPR BARRANQUILLA'!FO101,"AAAAAHdv+tA=")</f>
        <v>#VALUE!</v>
      </c>
      <c r="HB86" t="e">
        <f>AND('SPR BARRANQUILLA'!FP101,"AAAAAHdv+tE=")</f>
        <v>#VALUE!</v>
      </c>
      <c r="HC86" t="e">
        <f>AND('SPR BARRANQUILLA'!FQ101,"AAAAAHdv+tI=")</f>
        <v>#VALUE!</v>
      </c>
      <c r="HD86" t="e">
        <f>AND('SPR BARRANQUILLA'!FR101,"AAAAAHdv+tM=")</f>
        <v>#VALUE!</v>
      </c>
      <c r="HE86" t="e">
        <f>AND('SPR BARRANQUILLA'!FS101,"AAAAAHdv+tQ=")</f>
        <v>#VALUE!</v>
      </c>
      <c r="HF86" t="e">
        <f>AND('SPR BARRANQUILLA'!FT101,"AAAAAHdv+tU=")</f>
        <v>#VALUE!</v>
      </c>
      <c r="HG86" t="e">
        <f>AND('SPR BARRANQUILLA'!FU101,"AAAAAHdv+tY=")</f>
        <v>#VALUE!</v>
      </c>
      <c r="HH86" t="e">
        <f>AND('SPR BARRANQUILLA'!FV101,"AAAAAHdv+tc=")</f>
        <v>#VALUE!</v>
      </c>
      <c r="HI86" t="e">
        <f>AND('SPR BARRANQUILLA'!FW101,"AAAAAHdv+tg=")</f>
        <v>#VALUE!</v>
      </c>
      <c r="HJ86" t="e">
        <f>AND('SPR BARRANQUILLA'!FX101,"AAAAAHdv+tk=")</f>
        <v>#VALUE!</v>
      </c>
      <c r="HK86" t="e">
        <f>AND('SPR BARRANQUILLA'!FY101,"AAAAAHdv+to=")</f>
        <v>#VALUE!</v>
      </c>
      <c r="HL86" t="e">
        <f>AND('SPR BARRANQUILLA'!FZ101,"AAAAAHdv+ts=")</f>
        <v>#VALUE!</v>
      </c>
      <c r="HM86" t="e">
        <f>AND('SPR BARRANQUILLA'!GA101,"AAAAAHdv+tw=")</f>
        <v>#VALUE!</v>
      </c>
      <c r="HN86" t="e">
        <f>AND('SPR BARRANQUILLA'!GB101,"AAAAAHdv+t0=")</f>
        <v>#VALUE!</v>
      </c>
      <c r="HO86" t="e">
        <f>AND('SPR BARRANQUILLA'!GC101,"AAAAAHdv+t4=")</f>
        <v>#VALUE!</v>
      </c>
      <c r="HP86" t="e">
        <f>AND('SPR BARRANQUILLA'!GD101,"AAAAAHdv+t8=")</f>
        <v>#VALUE!</v>
      </c>
      <c r="HQ86" t="e">
        <f>AND('SPR BARRANQUILLA'!GE101,"AAAAAHdv+uA=")</f>
        <v>#VALUE!</v>
      </c>
      <c r="HR86" t="e">
        <f>AND('SPR BARRANQUILLA'!GF101,"AAAAAHdv+uE=")</f>
        <v>#VALUE!</v>
      </c>
      <c r="HS86" t="e">
        <f>AND('SPR BARRANQUILLA'!GG101,"AAAAAHdv+uI=")</f>
        <v>#VALUE!</v>
      </c>
      <c r="HT86" t="e">
        <f>AND('SPR BARRANQUILLA'!GH101,"AAAAAHdv+uM=")</f>
        <v>#VALUE!</v>
      </c>
      <c r="HU86" t="e">
        <f>AND('SPR BARRANQUILLA'!GI101,"AAAAAHdv+uQ=")</f>
        <v>#VALUE!</v>
      </c>
      <c r="HV86" t="e">
        <f>AND('SPR BARRANQUILLA'!GJ101,"AAAAAHdv+uU=")</f>
        <v>#VALUE!</v>
      </c>
      <c r="HW86" t="e">
        <f>AND('SPR BARRANQUILLA'!GK101,"AAAAAHdv+uY=")</f>
        <v>#VALUE!</v>
      </c>
      <c r="HX86" t="e">
        <f>AND('SPR BARRANQUILLA'!GL101,"AAAAAHdv+uc=")</f>
        <v>#VALUE!</v>
      </c>
      <c r="HY86" t="e">
        <f>AND('SPR BARRANQUILLA'!GM101,"AAAAAHdv+ug=")</f>
        <v>#VALUE!</v>
      </c>
      <c r="HZ86" t="e">
        <f>AND('SPR BARRANQUILLA'!GN101,"AAAAAHdv+uk=")</f>
        <v>#VALUE!</v>
      </c>
      <c r="IA86" t="e">
        <f>AND('SPR BARRANQUILLA'!GO101,"AAAAAHdv+uo=")</f>
        <v>#VALUE!</v>
      </c>
      <c r="IB86" t="e">
        <f>AND('SPR BARRANQUILLA'!GP101,"AAAAAHdv+us=")</f>
        <v>#VALUE!</v>
      </c>
      <c r="IC86" t="e">
        <f>AND('SPR BARRANQUILLA'!GQ101,"AAAAAHdv+uw=")</f>
        <v>#VALUE!</v>
      </c>
      <c r="ID86" t="e">
        <f>AND('SPR BARRANQUILLA'!GR101,"AAAAAHdv+u0=")</f>
        <v>#VALUE!</v>
      </c>
      <c r="IE86" t="e">
        <f>AND('SPR BARRANQUILLA'!GS101,"AAAAAHdv+u4=")</f>
        <v>#VALUE!</v>
      </c>
      <c r="IF86" t="e">
        <f>AND('SPR BARRANQUILLA'!GT101,"AAAAAHdv+u8=")</f>
        <v>#VALUE!</v>
      </c>
      <c r="IG86" t="e">
        <f>AND('SPR BARRANQUILLA'!GU101,"AAAAAHdv+vA=")</f>
        <v>#VALUE!</v>
      </c>
      <c r="IH86" t="e">
        <f>AND('SPR BARRANQUILLA'!GV101,"AAAAAHdv+vE=")</f>
        <v>#VALUE!</v>
      </c>
      <c r="II86" t="e">
        <f>AND('SPR BARRANQUILLA'!GW101,"AAAAAHdv+vI=")</f>
        <v>#VALUE!</v>
      </c>
      <c r="IJ86" t="e">
        <f>AND('SPR BARRANQUILLA'!GX101,"AAAAAHdv+vM=")</f>
        <v>#VALUE!</v>
      </c>
      <c r="IK86" t="e">
        <f>AND('SPR BARRANQUILLA'!GY101,"AAAAAHdv+vQ=")</f>
        <v>#VALUE!</v>
      </c>
      <c r="IL86">
        <f>IF('SPR BARRANQUILLA'!102:102,"AAAAAHdv+vU=",0)</f>
        <v>0</v>
      </c>
      <c r="IM86" t="e">
        <f>AND('SPR BARRANQUILLA'!A102,"AAAAAHdv+vY=")</f>
        <v>#VALUE!</v>
      </c>
      <c r="IN86" t="e">
        <f>AND('SPR BARRANQUILLA'!B102,"AAAAAHdv+vc=")</f>
        <v>#VALUE!</v>
      </c>
      <c r="IO86" t="e">
        <f>AND('SPR BARRANQUILLA'!C102,"AAAAAHdv+vg=")</f>
        <v>#VALUE!</v>
      </c>
      <c r="IP86" t="e">
        <f>AND('SPR BARRANQUILLA'!D102,"AAAAAHdv+vk=")</f>
        <v>#VALUE!</v>
      </c>
      <c r="IQ86" t="e">
        <f>AND('SPR BARRANQUILLA'!E102,"AAAAAHdv+vo=")</f>
        <v>#VALUE!</v>
      </c>
      <c r="IR86" t="e">
        <f>AND('SPR BARRANQUILLA'!F102,"AAAAAHdv+vs=")</f>
        <v>#VALUE!</v>
      </c>
      <c r="IS86" t="e">
        <f>AND('SPR BARRANQUILLA'!G102,"AAAAAHdv+vw=")</f>
        <v>#VALUE!</v>
      </c>
      <c r="IT86" t="e">
        <f>AND('SPR BARRANQUILLA'!H102,"AAAAAHdv+v0=")</f>
        <v>#VALUE!</v>
      </c>
      <c r="IU86" t="e">
        <f>AND('SPR BARRANQUILLA'!I102,"AAAAAHdv+v4=")</f>
        <v>#VALUE!</v>
      </c>
      <c r="IV86" t="e">
        <f>AND('SPR BARRANQUILLA'!J102,"AAAAAHdv+v8=")</f>
        <v>#VALUE!</v>
      </c>
    </row>
    <row r="87" spans="1:256">
      <c r="A87" t="e">
        <f>AND('SPR BARRANQUILLA'!K102,"AAAAAHX5/QA=")</f>
        <v>#VALUE!</v>
      </c>
      <c r="B87" t="e">
        <f>AND('SPR BARRANQUILLA'!L102,"AAAAAHX5/QE=")</f>
        <v>#VALUE!</v>
      </c>
      <c r="C87" t="e">
        <f>AND('SPR BARRANQUILLA'!M102,"AAAAAHX5/QI=")</f>
        <v>#VALUE!</v>
      </c>
      <c r="D87" t="e">
        <f>AND('SPR BARRANQUILLA'!N102,"AAAAAHX5/QM=")</f>
        <v>#VALUE!</v>
      </c>
      <c r="E87" t="e">
        <f>AND('SPR BARRANQUILLA'!O102,"AAAAAHX5/QQ=")</f>
        <v>#VALUE!</v>
      </c>
      <c r="F87" t="e">
        <f>AND('SPR BARRANQUILLA'!P102,"AAAAAHX5/QU=")</f>
        <v>#VALUE!</v>
      </c>
      <c r="G87" t="e">
        <f>AND('SPR BARRANQUILLA'!Q102,"AAAAAHX5/QY=")</f>
        <v>#VALUE!</v>
      </c>
      <c r="H87" t="e">
        <f>AND('SPR BARRANQUILLA'!R102,"AAAAAHX5/Qc=")</f>
        <v>#VALUE!</v>
      </c>
      <c r="I87" t="e">
        <f>AND('SPR BARRANQUILLA'!S102,"AAAAAHX5/Qg=")</f>
        <v>#VALUE!</v>
      </c>
      <c r="J87" t="e">
        <f>AND('SPR BARRANQUILLA'!T102,"AAAAAHX5/Qk=")</f>
        <v>#VALUE!</v>
      </c>
      <c r="K87" t="e">
        <f>AND('SPR BARRANQUILLA'!U102,"AAAAAHX5/Qo=")</f>
        <v>#VALUE!</v>
      </c>
      <c r="L87" t="e">
        <f>AND('SPR BARRANQUILLA'!V102,"AAAAAHX5/Qs=")</f>
        <v>#VALUE!</v>
      </c>
      <c r="M87" t="e">
        <f>AND('SPR BARRANQUILLA'!W102,"AAAAAHX5/Qw=")</f>
        <v>#VALUE!</v>
      </c>
      <c r="N87" t="e">
        <f>AND('SPR BARRANQUILLA'!X102,"AAAAAHX5/Q0=")</f>
        <v>#VALUE!</v>
      </c>
      <c r="O87" t="e">
        <f>AND('SPR BARRANQUILLA'!Y102,"AAAAAHX5/Q4=")</f>
        <v>#VALUE!</v>
      </c>
      <c r="P87" t="e">
        <f>AND('SPR BARRANQUILLA'!Z102,"AAAAAHX5/Q8=")</f>
        <v>#VALUE!</v>
      </c>
      <c r="Q87" t="e">
        <f>AND('SPR BARRANQUILLA'!AA102,"AAAAAHX5/RA=")</f>
        <v>#VALUE!</v>
      </c>
      <c r="R87" t="e">
        <f>AND('SPR BARRANQUILLA'!AB102,"AAAAAHX5/RE=")</f>
        <v>#VALUE!</v>
      </c>
      <c r="S87" t="e">
        <f>AND('SPR BARRANQUILLA'!AC102,"AAAAAHX5/RI=")</f>
        <v>#VALUE!</v>
      </c>
      <c r="T87" t="e">
        <f>AND('SPR BARRANQUILLA'!AD102,"AAAAAHX5/RM=")</f>
        <v>#VALUE!</v>
      </c>
      <c r="U87" t="e">
        <f>AND('SPR BARRANQUILLA'!AE102,"AAAAAHX5/RQ=")</f>
        <v>#VALUE!</v>
      </c>
      <c r="V87" t="e">
        <f>AND('SPR BARRANQUILLA'!AF102,"AAAAAHX5/RU=")</f>
        <v>#VALUE!</v>
      </c>
      <c r="W87" t="e">
        <f>AND('SPR BARRANQUILLA'!AG102,"AAAAAHX5/RY=")</f>
        <v>#VALUE!</v>
      </c>
      <c r="X87" t="e">
        <f>AND('SPR BARRANQUILLA'!AH102,"AAAAAHX5/Rc=")</f>
        <v>#VALUE!</v>
      </c>
      <c r="Y87" t="e">
        <f>AND('SPR BARRANQUILLA'!AI102,"AAAAAHX5/Rg=")</f>
        <v>#VALUE!</v>
      </c>
      <c r="Z87" t="e">
        <f>AND('SPR BARRANQUILLA'!AJ102,"AAAAAHX5/Rk=")</f>
        <v>#VALUE!</v>
      </c>
      <c r="AA87" t="e">
        <f>AND('SPR BARRANQUILLA'!AK102,"AAAAAHX5/Ro=")</f>
        <v>#VALUE!</v>
      </c>
      <c r="AB87" t="e">
        <f>AND('SPR BARRANQUILLA'!AL102,"AAAAAHX5/Rs=")</f>
        <v>#VALUE!</v>
      </c>
      <c r="AC87" t="e">
        <f>AND('SPR BARRANQUILLA'!AM102,"AAAAAHX5/Rw=")</f>
        <v>#VALUE!</v>
      </c>
      <c r="AD87" t="e">
        <f>AND('SPR BARRANQUILLA'!AN102,"AAAAAHX5/R0=")</f>
        <v>#VALUE!</v>
      </c>
      <c r="AE87" t="e">
        <f>AND('SPR BARRANQUILLA'!AO102,"AAAAAHX5/R4=")</f>
        <v>#VALUE!</v>
      </c>
      <c r="AF87" t="e">
        <f>AND('SPR BARRANQUILLA'!AP102,"AAAAAHX5/R8=")</f>
        <v>#VALUE!</v>
      </c>
      <c r="AG87" t="e">
        <f>AND('SPR BARRANQUILLA'!AQ102,"AAAAAHX5/SA=")</f>
        <v>#VALUE!</v>
      </c>
      <c r="AH87" t="e">
        <f>AND('SPR BARRANQUILLA'!AR102,"AAAAAHX5/SE=")</f>
        <v>#VALUE!</v>
      </c>
      <c r="AI87" t="e">
        <f>AND('SPR BARRANQUILLA'!AS102,"AAAAAHX5/SI=")</f>
        <v>#VALUE!</v>
      </c>
      <c r="AJ87" t="e">
        <f>AND('SPR BARRANQUILLA'!AT102,"AAAAAHX5/SM=")</f>
        <v>#VALUE!</v>
      </c>
      <c r="AK87" t="e">
        <f>AND('SPR BARRANQUILLA'!AU102,"AAAAAHX5/SQ=")</f>
        <v>#VALUE!</v>
      </c>
      <c r="AL87" t="e">
        <f>AND('SPR BARRANQUILLA'!AV102,"AAAAAHX5/SU=")</f>
        <v>#VALUE!</v>
      </c>
      <c r="AM87" t="e">
        <f>AND('SPR BARRANQUILLA'!AW102,"AAAAAHX5/SY=")</f>
        <v>#VALUE!</v>
      </c>
      <c r="AN87" t="e">
        <f>AND('SPR BARRANQUILLA'!AX102,"AAAAAHX5/Sc=")</f>
        <v>#VALUE!</v>
      </c>
      <c r="AO87" t="e">
        <f>AND('SPR BARRANQUILLA'!AY102,"AAAAAHX5/Sg=")</f>
        <v>#VALUE!</v>
      </c>
      <c r="AP87" t="e">
        <f>AND('SPR BARRANQUILLA'!AZ102,"AAAAAHX5/Sk=")</f>
        <v>#VALUE!</v>
      </c>
      <c r="AQ87" t="e">
        <f>AND('SPR BARRANQUILLA'!BA102,"AAAAAHX5/So=")</f>
        <v>#VALUE!</v>
      </c>
      <c r="AR87" t="e">
        <f>AND('SPR BARRANQUILLA'!BB102,"AAAAAHX5/Ss=")</f>
        <v>#VALUE!</v>
      </c>
      <c r="AS87" t="e">
        <f>AND('SPR BARRANQUILLA'!BC102,"AAAAAHX5/Sw=")</f>
        <v>#VALUE!</v>
      </c>
      <c r="AT87" t="e">
        <f>AND('SPR BARRANQUILLA'!BD102,"AAAAAHX5/S0=")</f>
        <v>#VALUE!</v>
      </c>
      <c r="AU87" t="e">
        <f>AND('SPR BARRANQUILLA'!BE102,"AAAAAHX5/S4=")</f>
        <v>#VALUE!</v>
      </c>
      <c r="AV87" t="e">
        <f>AND('SPR BARRANQUILLA'!BF102,"AAAAAHX5/S8=")</f>
        <v>#VALUE!</v>
      </c>
      <c r="AW87" t="e">
        <f>AND('SPR BARRANQUILLA'!BG102,"AAAAAHX5/TA=")</f>
        <v>#VALUE!</v>
      </c>
      <c r="AX87" t="e">
        <f>AND('SPR BARRANQUILLA'!BH102,"AAAAAHX5/TE=")</f>
        <v>#VALUE!</v>
      </c>
      <c r="AY87" t="e">
        <f>AND('SPR BARRANQUILLA'!BI102,"AAAAAHX5/TI=")</f>
        <v>#VALUE!</v>
      </c>
      <c r="AZ87" t="e">
        <f>AND('SPR BARRANQUILLA'!BJ102,"AAAAAHX5/TM=")</f>
        <v>#VALUE!</v>
      </c>
      <c r="BA87" t="e">
        <f>AND('SPR BARRANQUILLA'!BK102,"AAAAAHX5/TQ=")</f>
        <v>#VALUE!</v>
      </c>
      <c r="BB87" t="e">
        <f>AND('SPR BARRANQUILLA'!BL102,"AAAAAHX5/TU=")</f>
        <v>#VALUE!</v>
      </c>
      <c r="BC87" t="e">
        <f>AND('SPR BARRANQUILLA'!BM102,"AAAAAHX5/TY=")</f>
        <v>#VALUE!</v>
      </c>
      <c r="BD87" t="e">
        <f>AND('SPR BARRANQUILLA'!BN102,"AAAAAHX5/Tc=")</f>
        <v>#VALUE!</v>
      </c>
      <c r="BE87" t="e">
        <f>AND('SPR BARRANQUILLA'!BO102,"AAAAAHX5/Tg=")</f>
        <v>#VALUE!</v>
      </c>
      <c r="BF87" t="e">
        <f>AND('SPR BARRANQUILLA'!BP102,"AAAAAHX5/Tk=")</f>
        <v>#VALUE!</v>
      </c>
      <c r="BG87" t="e">
        <f>AND('SPR BARRANQUILLA'!BQ102,"AAAAAHX5/To=")</f>
        <v>#VALUE!</v>
      </c>
      <c r="BH87" t="e">
        <f>AND('SPR BARRANQUILLA'!BR102,"AAAAAHX5/Ts=")</f>
        <v>#VALUE!</v>
      </c>
      <c r="BI87" t="e">
        <f>AND('SPR BARRANQUILLA'!BS102,"AAAAAHX5/Tw=")</f>
        <v>#VALUE!</v>
      </c>
      <c r="BJ87" t="e">
        <f>AND('SPR BARRANQUILLA'!BT102,"AAAAAHX5/T0=")</f>
        <v>#VALUE!</v>
      </c>
      <c r="BK87" t="e">
        <f>AND('SPR BARRANQUILLA'!BU102,"AAAAAHX5/T4=")</f>
        <v>#VALUE!</v>
      </c>
      <c r="BL87" t="e">
        <f>AND('SPR BARRANQUILLA'!BV102,"AAAAAHX5/T8=")</f>
        <v>#VALUE!</v>
      </c>
      <c r="BM87" t="e">
        <f>AND('SPR BARRANQUILLA'!BW102,"AAAAAHX5/UA=")</f>
        <v>#VALUE!</v>
      </c>
      <c r="BN87" t="e">
        <f>AND('SPR BARRANQUILLA'!BX102,"AAAAAHX5/UE=")</f>
        <v>#VALUE!</v>
      </c>
      <c r="BO87" t="e">
        <f>AND('SPR BARRANQUILLA'!BY102,"AAAAAHX5/UI=")</f>
        <v>#VALUE!</v>
      </c>
      <c r="BP87" t="e">
        <f>AND('SPR BARRANQUILLA'!BZ102,"AAAAAHX5/UM=")</f>
        <v>#VALUE!</v>
      </c>
      <c r="BQ87" t="e">
        <f>AND('SPR BARRANQUILLA'!CA102,"AAAAAHX5/UQ=")</f>
        <v>#VALUE!</v>
      </c>
      <c r="BR87" t="e">
        <f>AND('SPR BARRANQUILLA'!CB102,"AAAAAHX5/UU=")</f>
        <v>#VALUE!</v>
      </c>
      <c r="BS87" t="e">
        <f>AND('SPR BARRANQUILLA'!CC102,"AAAAAHX5/UY=")</f>
        <v>#VALUE!</v>
      </c>
      <c r="BT87" t="e">
        <f>AND('SPR BARRANQUILLA'!CD102,"AAAAAHX5/Uc=")</f>
        <v>#VALUE!</v>
      </c>
      <c r="BU87" t="e">
        <f>AND('SPR BARRANQUILLA'!CE102,"AAAAAHX5/Ug=")</f>
        <v>#VALUE!</v>
      </c>
      <c r="BV87" t="e">
        <f>AND('SPR BARRANQUILLA'!CF102,"AAAAAHX5/Uk=")</f>
        <v>#VALUE!</v>
      </c>
      <c r="BW87" t="e">
        <f>AND('SPR BARRANQUILLA'!CG102,"AAAAAHX5/Uo=")</f>
        <v>#VALUE!</v>
      </c>
      <c r="BX87" t="e">
        <f>AND('SPR BARRANQUILLA'!CH102,"AAAAAHX5/Us=")</f>
        <v>#VALUE!</v>
      </c>
      <c r="BY87" t="e">
        <f>AND('SPR BARRANQUILLA'!CI102,"AAAAAHX5/Uw=")</f>
        <v>#VALUE!</v>
      </c>
      <c r="BZ87" t="e">
        <f>AND('SPR BARRANQUILLA'!CJ102,"AAAAAHX5/U0=")</f>
        <v>#VALUE!</v>
      </c>
      <c r="CA87" t="e">
        <f>AND('SPR BARRANQUILLA'!CK102,"AAAAAHX5/U4=")</f>
        <v>#VALUE!</v>
      </c>
      <c r="CB87" t="e">
        <f>AND('SPR BARRANQUILLA'!CL102,"AAAAAHX5/U8=")</f>
        <v>#VALUE!</v>
      </c>
      <c r="CC87" t="e">
        <f>AND('SPR BARRANQUILLA'!CM102,"AAAAAHX5/VA=")</f>
        <v>#VALUE!</v>
      </c>
      <c r="CD87" t="e">
        <f>AND('SPR BARRANQUILLA'!CN102,"AAAAAHX5/VE=")</f>
        <v>#VALUE!</v>
      </c>
      <c r="CE87" t="e">
        <f>AND('SPR BARRANQUILLA'!CO102,"AAAAAHX5/VI=")</f>
        <v>#VALUE!</v>
      </c>
      <c r="CF87" t="e">
        <f>AND('SPR BARRANQUILLA'!CP102,"AAAAAHX5/VM=")</f>
        <v>#VALUE!</v>
      </c>
      <c r="CG87" t="e">
        <f>AND('SPR BARRANQUILLA'!CQ102,"AAAAAHX5/VQ=")</f>
        <v>#VALUE!</v>
      </c>
      <c r="CH87" t="e">
        <f>AND('SPR BARRANQUILLA'!CR102,"AAAAAHX5/VU=")</f>
        <v>#VALUE!</v>
      </c>
      <c r="CI87" t="e">
        <f>AND('SPR BARRANQUILLA'!CS102,"AAAAAHX5/VY=")</f>
        <v>#VALUE!</v>
      </c>
      <c r="CJ87" t="e">
        <f>AND('SPR BARRANQUILLA'!CT102,"AAAAAHX5/Vc=")</f>
        <v>#VALUE!</v>
      </c>
      <c r="CK87" t="e">
        <f>AND('SPR BARRANQUILLA'!CU102,"AAAAAHX5/Vg=")</f>
        <v>#VALUE!</v>
      </c>
      <c r="CL87" t="e">
        <f>AND('SPR BARRANQUILLA'!CV102,"AAAAAHX5/Vk=")</f>
        <v>#VALUE!</v>
      </c>
      <c r="CM87" t="e">
        <f>AND('SPR BARRANQUILLA'!CW102,"AAAAAHX5/Vo=")</f>
        <v>#VALUE!</v>
      </c>
      <c r="CN87" t="e">
        <f>AND('SPR BARRANQUILLA'!CX102,"AAAAAHX5/Vs=")</f>
        <v>#VALUE!</v>
      </c>
      <c r="CO87" t="e">
        <f>AND('SPR BARRANQUILLA'!CY102,"AAAAAHX5/Vw=")</f>
        <v>#VALUE!</v>
      </c>
      <c r="CP87" t="e">
        <f>AND('SPR BARRANQUILLA'!CZ102,"AAAAAHX5/V0=")</f>
        <v>#VALUE!</v>
      </c>
      <c r="CQ87" t="e">
        <f>AND('SPR BARRANQUILLA'!DA102,"AAAAAHX5/V4=")</f>
        <v>#VALUE!</v>
      </c>
      <c r="CR87" t="e">
        <f>AND('SPR BARRANQUILLA'!DB102,"AAAAAHX5/V8=")</f>
        <v>#VALUE!</v>
      </c>
      <c r="CS87" t="e">
        <f>AND('SPR BARRANQUILLA'!DC102,"AAAAAHX5/WA=")</f>
        <v>#VALUE!</v>
      </c>
      <c r="CT87" t="e">
        <f>AND('SPR BARRANQUILLA'!DD102,"AAAAAHX5/WE=")</f>
        <v>#VALUE!</v>
      </c>
      <c r="CU87" t="e">
        <f>AND('SPR BARRANQUILLA'!DE102,"AAAAAHX5/WI=")</f>
        <v>#VALUE!</v>
      </c>
      <c r="CV87" t="e">
        <f>AND('SPR BARRANQUILLA'!DF102,"AAAAAHX5/WM=")</f>
        <v>#VALUE!</v>
      </c>
      <c r="CW87" t="e">
        <f>AND('SPR BARRANQUILLA'!DG102,"AAAAAHX5/WQ=")</f>
        <v>#VALUE!</v>
      </c>
      <c r="CX87" t="e">
        <f>AND('SPR BARRANQUILLA'!DH102,"AAAAAHX5/WU=")</f>
        <v>#VALUE!</v>
      </c>
      <c r="CY87" t="e">
        <f>AND('SPR BARRANQUILLA'!DI102,"AAAAAHX5/WY=")</f>
        <v>#VALUE!</v>
      </c>
      <c r="CZ87" t="e">
        <f>AND('SPR BARRANQUILLA'!DJ102,"AAAAAHX5/Wc=")</f>
        <v>#VALUE!</v>
      </c>
      <c r="DA87" t="e">
        <f>AND('SPR BARRANQUILLA'!DK102,"AAAAAHX5/Wg=")</f>
        <v>#VALUE!</v>
      </c>
      <c r="DB87" t="e">
        <f>AND('SPR BARRANQUILLA'!DL102,"AAAAAHX5/Wk=")</f>
        <v>#VALUE!</v>
      </c>
      <c r="DC87" t="e">
        <f>AND('SPR BARRANQUILLA'!DM102,"AAAAAHX5/Wo=")</f>
        <v>#VALUE!</v>
      </c>
      <c r="DD87" t="e">
        <f>AND('SPR BARRANQUILLA'!DN102,"AAAAAHX5/Ws=")</f>
        <v>#VALUE!</v>
      </c>
      <c r="DE87" t="e">
        <f>AND('SPR BARRANQUILLA'!DO102,"AAAAAHX5/Ww=")</f>
        <v>#VALUE!</v>
      </c>
      <c r="DF87" t="e">
        <f>AND('SPR BARRANQUILLA'!DP102,"AAAAAHX5/W0=")</f>
        <v>#VALUE!</v>
      </c>
      <c r="DG87" t="e">
        <f>AND('SPR BARRANQUILLA'!DQ102,"AAAAAHX5/W4=")</f>
        <v>#VALUE!</v>
      </c>
      <c r="DH87" t="e">
        <f>AND('SPR BARRANQUILLA'!DR102,"AAAAAHX5/W8=")</f>
        <v>#VALUE!</v>
      </c>
      <c r="DI87" t="e">
        <f>AND('SPR BARRANQUILLA'!DS102,"AAAAAHX5/XA=")</f>
        <v>#VALUE!</v>
      </c>
      <c r="DJ87" t="e">
        <f>AND('SPR BARRANQUILLA'!DT102,"AAAAAHX5/XE=")</f>
        <v>#VALUE!</v>
      </c>
      <c r="DK87" t="e">
        <f>AND('SPR BARRANQUILLA'!DU102,"AAAAAHX5/XI=")</f>
        <v>#VALUE!</v>
      </c>
      <c r="DL87" t="e">
        <f>AND('SPR BARRANQUILLA'!DV102,"AAAAAHX5/XM=")</f>
        <v>#VALUE!</v>
      </c>
      <c r="DM87" t="e">
        <f>AND('SPR BARRANQUILLA'!DW102,"AAAAAHX5/XQ=")</f>
        <v>#VALUE!</v>
      </c>
      <c r="DN87" t="e">
        <f>AND('SPR BARRANQUILLA'!DX102,"AAAAAHX5/XU=")</f>
        <v>#VALUE!</v>
      </c>
      <c r="DO87" t="e">
        <f>AND('SPR BARRANQUILLA'!DY102,"AAAAAHX5/XY=")</f>
        <v>#VALUE!</v>
      </c>
      <c r="DP87" t="e">
        <f>AND('SPR BARRANQUILLA'!DZ102,"AAAAAHX5/Xc=")</f>
        <v>#VALUE!</v>
      </c>
      <c r="DQ87" t="e">
        <f>AND('SPR BARRANQUILLA'!EA102,"AAAAAHX5/Xg=")</f>
        <v>#VALUE!</v>
      </c>
      <c r="DR87" t="e">
        <f>AND('SPR BARRANQUILLA'!EB102,"AAAAAHX5/Xk=")</f>
        <v>#VALUE!</v>
      </c>
      <c r="DS87" t="e">
        <f>AND('SPR BARRANQUILLA'!EC102,"AAAAAHX5/Xo=")</f>
        <v>#VALUE!</v>
      </c>
      <c r="DT87" t="e">
        <f>AND('SPR BARRANQUILLA'!ED102,"AAAAAHX5/Xs=")</f>
        <v>#VALUE!</v>
      </c>
      <c r="DU87" t="e">
        <f>AND('SPR BARRANQUILLA'!EE102,"AAAAAHX5/Xw=")</f>
        <v>#VALUE!</v>
      </c>
      <c r="DV87" t="e">
        <f>AND('SPR BARRANQUILLA'!EF102,"AAAAAHX5/X0=")</f>
        <v>#VALUE!</v>
      </c>
      <c r="DW87" t="e">
        <f>AND('SPR BARRANQUILLA'!EG102,"AAAAAHX5/X4=")</f>
        <v>#VALUE!</v>
      </c>
      <c r="DX87" t="e">
        <f>AND('SPR BARRANQUILLA'!EH102,"AAAAAHX5/X8=")</f>
        <v>#VALUE!</v>
      </c>
      <c r="DY87" t="e">
        <f>AND('SPR BARRANQUILLA'!EI102,"AAAAAHX5/YA=")</f>
        <v>#VALUE!</v>
      </c>
      <c r="DZ87" t="e">
        <f>AND('SPR BARRANQUILLA'!EJ102,"AAAAAHX5/YE=")</f>
        <v>#VALUE!</v>
      </c>
      <c r="EA87" t="e">
        <f>AND('SPR BARRANQUILLA'!EK102,"AAAAAHX5/YI=")</f>
        <v>#VALUE!</v>
      </c>
      <c r="EB87" t="e">
        <f>AND('SPR BARRANQUILLA'!EL102,"AAAAAHX5/YM=")</f>
        <v>#VALUE!</v>
      </c>
      <c r="EC87" t="e">
        <f>AND('SPR BARRANQUILLA'!EM102,"AAAAAHX5/YQ=")</f>
        <v>#VALUE!</v>
      </c>
      <c r="ED87" t="e">
        <f>AND('SPR BARRANQUILLA'!EN102,"AAAAAHX5/YU=")</f>
        <v>#VALUE!</v>
      </c>
      <c r="EE87" t="e">
        <f>AND('SPR BARRANQUILLA'!EO102,"AAAAAHX5/YY=")</f>
        <v>#VALUE!</v>
      </c>
      <c r="EF87" t="e">
        <f>AND('SPR BARRANQUILLA'!EP102,"AAAAAHX5/Yc=")</f>
        <v>#VALUE!</v>
      </c>
      <c r="EG87" t="e">
        <f>AND('SPR BARRANQUILLA'!EQ102,"AAAAAHX5/Yg=")</f>
        <v>#VALUE!</v>
      </c>
      <c r="EH87" t="e">
        <f>AND('SPR BARRANQUILLA'!ER102,"AAAAAHX5/Yk=")</f>
        <v>#VALUE!</v>
      </c>
      <c r="EI87" t="e">
        <f>AND('SPR BARRANQUILLA'!ES102,"AAAAAHX5/Yo=")</f>
        <v>#VALUE!</v>
      </c>
      <c r="EJ87" t="e">
        <f>AND('SPR BARRANQUILLA'!ET102,"AAAAAHX5/Ys=")</f>
        <v>#VALUE!</v>
      </c>
      <c r="EK87" t="e">
        <f>AND('SPR BARRANQUILLA'!EU102,"AAAAAHX5/Yw=")</f>
        <v>#VALUE!</v>
      </c>
      <c r="EL87" t="e">
        <f>AND('SPR BARRANQUILLA'!EV102,"AAAAAHX5/Y0=")</f>
        <v>#VALUE!</v>
      </c>
      <c r="EM87" t="e">
        <f>AND('SPR BARRANQUILLA'!EW102,"AAAAAHX5/Y4=")</f>
        <v>#VALUE!</v>
      </c>
      <c r="EN87" t="e">
        <f>AND('SPR BARRANQUILLA'!EX102,"AAAAAHX5/Y8=")</f>
        <v>#VALUE!</v>
      </c>
      <c r="EO87" t="e">
        <f>AND('SPR BARRANQUILLA'!EY102,"AAAAAHX5/ZA=")</f>
        <v>#VALUE!</v>
      </c>
      <c r="EP87" t="e">
        <f>AND('SPR BARRANQUILLA'!EZ102,"AAAAAHX5/ZE=")</f>
        <v>#VALUE!</v>
      </c>
      <c r="EQ87" t="e">
        <f>AND('SPR BARRANQUILLA'!FA102,"AAAAAHX5/ZI=")</f>
        <v>#VALUE!</v>
      </c>
      <c r="ER87" t="e">
        <f>AND('SPR BARRANQUILLA'!FB102,"AAAAAHX5/ZM=")</f>
        <v>#VALUE!</v>
      </c>
      <c r="ES87" t="e">
        <f>AND('SPR BARRANQUILLA'!FC102,"AAAAAHX5/ZQ=")</f>
        <v>#VALUE!</v>
      </c>
      <c r="ET87" t="e">
        <f>AND('SPR BARRANQUILLA'!FD102,"AAAAAHX5/ZU=")</f>
        <v>#VALUE!</v>
      </c>
      <c r="EU87" t="e">
        <f>AND('SPR BARRANQUILLA'!FE102,"AAAAAHX5/ZY=")</f>
        <v>#VALUE!</v>
      </c>
      <c r="EV87" t="e">
        <f>AND('SPR BARRANQUILLA'!FF102,"AAAAAHX5/Zc=")</f>
        <v>#VALUE!</v>
      </c>
      <c r="EW87" t="e">
        <f>AND('SPR BARRANQUILLA'!FG102,"AAAAAHX5/Zg=")</f>
        <v>#VALUE!</v>
      </c>
      <c r="EX87" t="e">
        <f>AND('SPR BARRANQUILLA'!FH102,"AAAAAHX5/Zk=")</f>
        <v>#VALUE!</v>
      </c>
      <c r="EY87" t="e">
        <f>AND('SPR BARRANQUILLA'!FI102,"AAAAAHX5/Zo=")</f>
        <v>#VALUE!</v>
      </c>
      <c r="EZ87" t="e">
        <f>AND('SPR BARRANQUILLA'!FJ102,"AAAAAHX5/Zs=")</f>
        <v>#VALUE!</v>
      </c>
      <c r="FA87" t="e">
        <f>AND('SPR BARRANQUILLA'!FK102,"AAAAAHX5/Zw=")</f>
        <v>#VALUE!</v>
      </c>
      <c r="FB87" t="e">
        <f>AND('SPR BARRANQUILLA'!FL102,"AAAAAHX5/Z0=")</f>
        <v>#VALUE!</v>
      </c>
      <c r="FC87" t="e">
        <f>AND('SPR BARRANQUILLA'!FM102,"AAAAAHX5/Z4=")</f>
        <v>#VALUE!</v>
      </c>
      <c r="FD87" t="e">
        <f>AND('SPR BARRANQUILLA'!FN102,"AAAAAHX5/Z8=")</f>
        <v>#VALUE!</v>
      </c>
      <c r="FE87" t="e">
        <f>AND('SPR BARRANQUILLA'!FO102,"AAAAAHX5/aA=")</f>
        <v>#VALUE!</v>
      </c>
      <c r="FF87" t="e">
        <f>AND('SPR BARRANQUILLA'!FP102,"AAAAAHX5/aE=")</f>
        <v>#VALUE!</v>
      </c>
      <c r="FG87" t="e">
        <f>AND('SPR BARRANQUILLA'!FQ102,"AAAAAHX5/aI=")</f>
        <v>#VALUE!</v>
      </c>
      <c r="FH87" t="e">
        <f>AND('SPR BARRANQUILLA'!FR102,"AAAAAHX5/aM=")</f>
        <v>#VALUE!</v>
      </c>
      <c r="FI87" t="e">
        <f>AND('SPR BARRANQUILLA'!FS102,"AAAAAHX5/aQ=")</f>
        <v>#VALUE!</v>
      </c>
      <c r="FJ87" t="e">
        <f>AND('SPR BARRANQUILLA'!FT102,"AAAAAHX5/aU=")</f>
        <v>#VALUE!</v>
      </c>
      <c r="FK87" t="e">
        <f>AND('SPR BARRANQUILLA'!FU102,"AAAAAHX5/aY=")</f>
        <v>#VALUE!</v>
      </c>
      <c r="FL87" t="e">
        <f>AND('SPR BARRANQUILLA'!FV102,"AAAAAHX5/ac=")</f>
        <v>#VALUE!</v>
      </c>
      <c r="FM87" t="e">
        <f>AND('SPR BARRANQUILLA'!FW102,"AAAAAHX5/ag=")</f>
        <v>#VALUE!</v>
      </c>
      <c r="FN87" t="e">
        <f>AND('SPR BARRANQUILLA'!FX102,"AAAAAHX5/ak=")</f>
        <v>#VALUE!</v>
      </c>
      <c r="FO87" t="e">
        <f>AND('SPR BARRANQUILLA'!FY102,"AAAAAHX5/ao=")</f>
        <v>#VALUE!</v>
      </c>
      <c r="FP87" t="e">
        <f>AND('SPR BARRANQUILLA'!FZ102,"AAAAAHX5/as=")</f>
        <v>#VALUE!</v>
      </c>
      <c r="FQ87" t="e">
        <f>AND('SPR BARRANQUILLA'!GA102,"AAAAAHX5/aw=")</f>
        <v>#VALUE!</v>
      </c>
      <c r="FR87" t="e">
        <f>AND('SPR BARRANQUILLA'!GB102,"AAAAAHX5/a0=")</f>
        <v>#VALUE!</v>
      </c>
      <c r="FS87" t="e">
        <f>AND('SPR BARRANQUILLA'!GC102,"AAAAAHX5/a4=")</f>
        <v>#VALUE!</v>
      </c>
      <c r="FT87" t="e">
        <f>AND('SPR BARRANQUILLA'!GD102,"AAAAAHX5/a8=")</f>
        <v>#VALUE!</v>
      </c>
      <c r="FU87" t="e">
        <f>AND('SPR BARRANQUILLA'!GE102,"AAAAAHX5/bA=")</f>
        <v>#VALUE!</v>
      </c>
      <c r="FV87" t="e">
        <f>AND('SPR BARRANQUILLA'!GF102,"AAAAAHX5/bE=")</f>
        <v>#VALUE!</v>
      </c>
      <c r="FW87" t="e">
        <f>AND('SPR BARRANQUILLA'!GG102,"AAAAAHX5/bI=")</f>
        <v>#VALUE!</v>
      </c>
      <c r="FX87" t="e">
        <f>AND('SPR BARRANQUILLA'!GH102,"AAAAAHX5/bM=")</f>
        <v>#VALUE!</v>
      </c>
      <c r="FY87" t="e">
        <f>AND('SPR BARRANQUILLA'!GI102,"AAAAAHX5/bQ=")</f>
        <v>#VALUE!</v>
      </c>
      <c r="FZ87" t="e">
        <f>AND('SPR BARRANQUILLA'!GJ102,"AAAAAHX5/bU=")</f>
        <v>#VALUE!</v>
      </c>
      <c r="GA87" t="e">
        <f>AND('SPR BARRANQUILLA'!GK102,"AAAAAHX5/bY=")</f>
        <v>#VALUE!</v>
      </c>
      <c r="GB87" t="e">
        <f>AND('SPR BARRANQUILLA'!GL102,"AAAAAHX5/bc=")</f>
        <v>#VALUE!</v>
      </c>
      <c r="GC87" t="e">
        <f>AND('SPR BARRANQUILLA'!GM102,"AAAAAHX5/bg=")</f>
        <v>#VALUE!</v>
      </c>
      <c r="GD87" t="e">
        <f>AND('SPR BARRANQUILLA'!GN102,"AAAAAHX5/bk=")</f>
        <v>#VALUE!</v>
      </c>
      <c r="GE87" t="e">
        <f>AND('SPR BARRANQUILLA'!GO102,"AAAAAHX5/bo=")</f>
        <v>#VALUE!</v>
      </c>
      <c r="GF87" t="e">
        <f>AND('SPR BARRANQUILLA'!GP102,"AAAAAHX5/bs=")</f>
        <v>#VALUE!</v>
      </c>
      <c r="GG87" t="e">
        <f>AND('SPR BARRANQUILLA'!GQ102,"AAAAAHX5/bw=")</f>
        <v>#VALUE!</v>
      </c>
      <c r="GH87" t="e">
        <f>AND('SPR BARRANQUILLA'!GR102,"AAAAAHX5/b0=")</f>
        <v>#VALUE!</v>
      </c>
      <c r="GI87" t="e">
        <f>AND('SPR BARRANQUILLA'!GS102,"AAAAAHX5/b4=")</f>
        <v>#VALUE!</v>
      </c>
      <c r="GJ87" t="e">
        <f>AND('SPR BARRANQUILLA'!GT102,"AAAAAHX5/b8=")</f>
        <v>#VALUE!</v>
      </c>
      <c r="GK87" t="e">
        <f>AND('SPR BARRANQUILLA'!GU102,"AAAAAHX5/cA=")</f>
        <v>#VALUE!</v>
      </c>
      <c r="GL87" t="e">
        <f>AND('SPR BARRANQUILLA'!GV102,"AAAAAHX5/cE=")</f>
        <v>#VALUE!</v>
      </c>
      <c r="GM87" t="e">
        <f>AND('SPR BARRANQUILLA'!GW102,"AAAAAHX5/cI=")</f>
        <v>#VALUE!</v>
      </c>
      <c r="GN87" t="e">
        <f>AND('SPR BARRANQUILLA'!GX102,"AAAAAHX5/cM=")</f>
        <v>#VALUE!</v>
      </c>
      <c r="GO87" t="e">
        <f>AND('SPR BARRANQUILLA'!GY102,"AAAAAHX5/cQ=")</f>
        <v>#VALUE!</v>
      </c>
      <c r="GP87">
        <f>IF('SPR BARRANQUILLA'!103:103,"AAAAAHX5/cU=",0)</f>
        <v>0</v>
      </c>
      <c r="GQ87" t="e">
        <f>AND('SPR BARRANQUILLA'!A103,"AAAAAHX5/cY=")</f>
        <v>#VALUE!</v>
      </c>
      <c r="GR87" t="e">
        <f>AND('SPR BARRANQUILLA'!B103,"AAAAAHX5/cc=")</f>
        <v>#VALUE!</v>
      </c>
      <c r="GS87" t="e">
        <f>AND('SPR BARRANQUILLA'!C103,"AAAAAHX5/cg=")</f>
        <v>#VALUE!</v>
      </c>
      <c r="GT87" t="e">
        <f>AND('SPR BARRANQUILLA'!D103,"AAAAAHX5/ck=")</f>
        <v>#VALUE!</v>
      </c>
      <c r="GU87" t="e">
        <f>AND('SPR BARRANQUILLA'!E103,"AAAAAHX5/co=")</f>
        <v>#VALUE!</v>
      </c>
      <c r="GV87" t="e">
        <f>AND('SPR BARRANQUILLA'!F103,"AAAAAHX5/cs=")</f>
        <v>#VALUE!</v>
      </c>
      <c r="GW87" t="e">
        <f>AND('SPR BARRANQUILLA'!G103,"AAAAAHX5/cw=")</f>
        <v>#VALUE!</v>
      </c>
      <c r="GX87" t="e">
        <f>AND('SPR BARRANQUILLA'!H103,"AAAAAHX5/c0=")</f>
        <v>#VALUE!</v>
      </c>
      <c r="GY87" t="e">
        <f>AND('SPR BARRANQUILLA'!I103,"AAAAAHX5/c4=")</f>
        <v>#VALUE!</v>
      </c>
      <c r="GZ87" t="e">
        <f>AND('SPR BARRANQUILLA'!J103,"AAAAAHX5/c8=")</f>
        <v>#VALUE!</v>
      </c>
      <c r="HA87" t="e">
        <f>AND('SPR BARRANQUILLA'!K103,"AAAAAHX5/dA=")</f>
        <v>#VALUE!</v>
      </c>
      <c r="HB87" t="e">
        <f>AND('SPR BARRANQUILLA'!L103,"AAAAAHX5/dE=")</f>
        <v>#VALUE!</v>
      </c>
      <c r="HC87" t="e">
        <f>AND('SPR BARRANQUILLA'!M103,"AAAAAHX5/dI=")</f>
        <v>#VALUE!</v>
      </c>
      <c r="HD87" t="e">
        <f>AND('SPR BARRANQUILLA'!N103,"AAAAAHX5/dM=")</f>
        <v>#VALUE!</v>
      </c>
      <c r="HE87" t="e">
        <f>AND('SPR BARRANQUILLA'!O103,"AAAAAHX5/dQ=")</f>
        <v>#VALUE!</v>
      </c>
      <c r="HF87" t="e">
        <f>AND('SPR BARRANQUILLA'!P103,"AAAAAHX5/dU=")</f>
        <v>#VALUE!</v>
      </c>
      <c r="HG87" t="e">
        <f>AND('SPR BARRANQUILLA'!Q103,"AAAAAHX5/dY=")</f>
        <v>#VALUE!</v>
      </c>
      <c r="HH87" t="e">
        <f>AND('SPR BARRANQUILLA'!R103,"AAAAAHX5/dc=")</f>
        <v>#VALUE!</v>
      </c>
      <c r="HI87" t="e">
        <f>AND('SPR BARRANQUILLA'!S103,"AAAAAHX5/dg=")</f>
        <v>#VALUE!</v>
      </c>
      <c r="HJ87" t="e">
        <f>AND('SPR BARRANQUILLA'!T103,"AAAAAHX5/dk=")</f>
        <v>#VALUE!</v>
      </c>
      <c r="HK87" t="e">
        <f>AND('SPR BARRANQUILLA'!U103,"AAAAAHX5/do=")</f>
        <v>#VALUE!</v>
      </c>
      <c r="HL87" t="e">
        <f>AND('SPR BARRANQUILLA'!V103,"AAAAAHX5/ds=")</f>
        <v>#VALUE!</v>
      </c>
      <c r="HM87" t="e">
        <f>AND('SPR BARRANQUILLA'!W103,"AAAAAHX5/dw=")</f>
        <v>#VALUE!</v>
      </c>
      <c r="HN87" t="e">
        <f>AND('SPR BARRANQUILLA'!X103,"AAAAAHX5/d0=")</f>
        <v>#VALUE!</v>
      </c>
      <c r="HO87" t="e">
        <f>AND('SPR BARRANQUILLA'!Y103,"AAAAAHX5/d4=")</f>
        <v>#VALUE!</v>
      </c>
      <c r="HP87" t="e">
        <f>AND('SPR BARRANQUILLA'!Z103,"AAAAAHX5/d8=")</f>
        <v>#VALUE!</v>
      </c>
      <c r="HQ87" t="e">
        <f>AND('SPR BARRANQUILLA'!AA103,"AAAAAHX5/eA=")</f>
        <v>#VALUE!</v>
      </c>
      <c r="HR87" t="e">
        <f>AND('SPR BARRANQUILLA'!AB103,"AAAAAHX5/eE=")</f>
        <v>#VALUE!</v>
      </c>
      <c r="HS87" t="e">
        <f>AND('SPR BARRANQUILLA'!AC103,"AAAAAHX5/eI=")</f>
        <v>#VALUE!</v>
      </c>
      <c r="HT87" t="e">
        <f>AND('SPR BARRANQUILLA'!AD103,"AAAAAHX5/eM=")</f>
        <v>#VALUE!</v>
      </c>
      <c r="HU87" t="e">
        <f>AND('SPR BARRANQUILLA'!AE103,"AAAAAHX5/eQ=")</f>
        <v>#VALUE!</v>
      </c>
      <c r="HV87" t="e">
        <f>AND('SPR BARRANQUILLA'!AF103,"AAAAAHX5/eU=")</f>
        <v>#VALUE!</v>
      </c>
      <c r="HW87" t="e">
        <f>AND('SPR BARRANQUILLA'!AG103,"AAAAAHX5/eY=")</f>
        <v>#VALUE!</v>
      </c>
      <c r="HX87" t="e">
        <f>AND('SPR BARRANQUILLA'!AH103,"AAAAAHX5/ec=")</f>
        <v>#VALUE!</v>
      </c>
      <c r="HY87" t="e">
        <f>AND('SPR BARRANQUILLA'!AI103,"AAAAAHX5/eg=")</f>
        <v>#VALUE!</v>
      </c>
      <c r="HZ87" t="e">
        <f>AND('SPR BARRANQUILLA'!AJ103,"AAAAAHX5/ek=")</f>
        <v>#VALUE!</v>
      </c>
      <c r="IA87" t="e">
        <f>AND('SPR BARRANQUILLA'!AK103,"AAAAAHX5/eo=")</f>
        <v>#VALUE!</v>
      </c>
      <c r="IB87" t="e">
        <f>AND('SPR BARRANQUILLA'!AL103,"AAAAAHX5/es=")</f>
        <v>#VALUE!</v>
      </c>
      <c r="IC87" t="e">
        <f>AND('SPR BARRANQUILLA'!AM103,"AAAAAHX5/ew=")</f>
        <v>#VALUE!</v>
      </c>
      <c r="ID87" t="e">
        <f>AND('SPR BARRANQUILLA'!AN103,"AAAAAHX5/e0=")</f>
        <v>#VALUE!</v>
      </c>
      <c r="IE87" t="e">
        <f>AND('SPR BARRANQUILLA'!AO103,"AAAAAHX5/e4=")</f>
        <v>#VALUE!</v>
      </c>
      <c r="IF87" t="e">
        <f>AND('SPR BARRANQUILLA'!AP103,"AAAAAHX5/e8=")</f>
        <v>#VALUE!</v>
      </c>
      <c r="IG87" t="e">
        <f>AND('SPR BARRANQUILLA'!AQ103,"AAAAAHX5/fA=")</f>
        <v>#VALUE!</v>
      </c>
      <c r="IH87" t="e">
        <f>AND('SPR BARRANQUILLA'!AR103,"AAAAAHX5/fE=")</f>
        <v>#VALUE!</v>
      </c>
      <c r="II87" t="e">
        <f>AND('SPR BARRANQUILLA'!AS103,"AAAAAHX5/fI=")</f>
        <v>#VALUE!</v>
      </c>
      <c r="IJ87" t="e">
        <f>AND('SPR BARRANQUILLA'!AT103,"AAAAAHX5/fM=")</f>
        <v>#VALUE!</v>
      </c>
      <c r="IK87" t="e">
        <f>AND('SPR BARRANQUILLA'!AU103,"AAAAAHX5/fQ=")</f>
        <v>#VALUE!</v>
      </c>
      <c r="IL87" t="e">
        <f>AND('SPR BARRANQUILLA'!AV103,"AAAAAHX5/fU=")</f>
        <v>#VALUE!</v>
      </c>
      <c r="IM87" t="e">
        <f>AND('SPR BARRANQUILLA'!AW103,"AAAAAHX5/fY=")</f>
        <v>#VALUE!</v>
      </c>
      <c r="IN87" t="e">
        <f>AND('SPR BARRANQUILLA'!AX103,"AAAAAHX5/fc=")</f>
        <v>#VALUE!</v>
      </c>
      <c r="IO87" t="e">
        <f>AND('SPR BARRANQUILLA'!AY103,"AAAAAHX5/fg=")</f>
        <v>#VALUE!</v>
      </c>
      <c r="IP87" t="e">
        <f>AND('SPR BARRANQUILLA'!AZ103,"AAAAAHX5/fk=")</f>
        <v>#VALUE!</v>
      </c>
      <c r="IQ87" t="e">
        <f>AND('SPR BARRANQUILLA'!BA103,"AAAAAHX5/fo=")</f>
        <v>#VALUE!</v>
      </c>
      <c r="IR87" t="e">
        <f>AND('SPR BARRANQUILLA'!BB103,"AAAAAHX5/fs=")</f>
        <v>#VALUE!</v>
      </c>
      <c r="IS87" t="e">
        <f>AND('SPR BARRANQUILLA'!BC103,"AAAAAHX5/fw=")</f>
        <v>#VALUE!</v>
      </c>
      <c r="IT87" t="e">
        <f>AND('SPR BARRANQUILLA'!BD103,"AAAAAHX5/f0=")</f>
        <v>#VALUE!</v>
      </c>
      <c r="IU87" t="e">
        <f>AND('SPR BARRANQUILLA'!BE103,"AAAAAHX5/f4=")</f>
        <v>#VALUE!</v>
      </c>
      <c r="IV87" t="e">
        <f>AND('SPR BARRANQUILLA'!BF103,"AAAAAHX5/f8=")</f>
        <v>#VALUE!</v>
      </c>
    </row>
    <row r="88" spans="1:256">
      <c r="A88" t="e">
        <f>AND('SPR BARRANQUILLA'!BG103,"AAAAAGPbfQA=")</f>
        <v>#VALUE!</v>
      </c>
      <c r="B88" t="e">
        <f>AND('SPR BARRANQUILLA'!BH103,"AAAAAGPbfQE=")</f>
        <v>#VALUE!</v>
      </c>
      <c r="C88" t="e">
        <f>AND('SPR BARRANQUILLA'!BI103,"AAAAAGPbfQI=")</f>
        <v>#VALUE!</v>
      </c>
      <c r="D88" t="e">
        <f>AND('SPR BARRANQUILLA'!BJ103,"AAAAAGPbfQM=")</f>
        <v>#VALUE!</v>
      </c>
      <c r="E88" t="e">
        <f>AND('SPR BARRANQUILLA'!BK103,"AAAAAGPbfQQ=")</f>
        <v>#VALUE!</v>
      </c>
      <c r="F88" t="e">
        <f>AND('SPR BARRANQUILLA'!BL103,"AAAAAGPbfQU=")</f>
        <v>#VALUE!</v>
      </c>
      <c r="G88" t="e">
        <f>AND('SPR BARRANQUILLA'!BM103,"AAAAAGPbfQY=")</f>
        <v>#VALUE!</v>
      </c>
      <c r="H88" t="e">
        <f>AND('SPR BARRANQUILLA'!BN103,"AAAAAGPbfQc=")</f>
        <v>#VALUE!</v>
      </c>
      <c r="I88" t="e">
        <f>AND('SPR BARRANQUILLA'!BO103,"AAAAAGPbfQg=")</f>
        <v>#VALUE!</v>
      </c>
      <c r="J88" t="e">
        <f>AND('SPR BARRANQUILLA'!BP103,"AAAAAGPbfQk=")</f>
        <v>#VALUE!</v>
      </c>
      <c r="K88" t="e">
        <f>AND('SPR BARRANQUILLA'!BQ103,"AAAAAGPbfQo=")</f>
        <v>#VALUE!</v>
      </c>
      <c r="L88" t="e">
        <f>AND('SPR BARRANQUILLA'!BR103,"AAAAAGPbfQs=")</f>
        <v>#VALUE!</v>
      </c>
      <c r="M88" t="e">
        <f>AND('SPR BARRANQUILLA'!BS103,"AAAAAGPbfQw=")</f>
        <v>#VALUE!</v>
      </c>
      <c r="N88" t="e">
        <f>AND('SPR BARRANQUILLA'!BT103,"AAAAAGPbfQ0=")</f>
        <v>#VALUE!</v>
      </c>
      <c r="O88" t="e">
        <f>AND('SPR BARRANQUILLA'!BU103,"AAAAAGPbfQ4=")</f>
        <v>#VALUE!</v>
      </c>
      <c r="P88" t="e">
        <f>AND('SPR BARRANQUILLA'!BV103,"AAAAAGPbfQ8=")</f>
        <v>#VALUE!</v>
      </c>
      <c r="Q88" t="e">
        <f>AND('SPR BARRANQUILLA'!BW103,"AAAAAGPbfRA=")</f>
        <v>#VALUE!</v>
      </c>
      <c r="R88" t="e">
        <f>AND('SPR BARRANQUILLA'!BX103,"AAAAAGPbfRE=")</f>
        <v>#VALUE!</v>
      </c>
      <c r="S88" t="e">
        <f>AND('SPR BARRANQUILLA'!BY103,"AAAAAGPbfRI=")</f>
        <v>#VALUE!</v>
      </c>
      <c r="T88" t="e">
        <f>AND('SPR BARRANQUILLA'!BZ103,"AAAAAGPbfRM=")</f>
        <v>#VALUE!</v>
      </c>
      <c r="U88" t="e">
        <f>AND('SPR BARRANQUILLA'!CA103,"AAAAAGPbfRQ=")</f>
        <v>#VALUE!</v>
      </c>
      <c r="V88" t="e">
        <f>AND('SPR BARRANQUILLA'!CB103,"AAAAAGPbfRU=")</f>
        <v>#VALUE!</v>
      </c>
      <c r="W88" t="e">
        <f>AND('SPR BARRANQUILLA'!CC103,"AAAAAGPbfRY=")</f>
        <v>#VALUE!</v>
      </c>
      <c r="X88" t="e">
        <f>AND('SPR BARRANQUILLA'!CD103,"AAAAAGPbfRc=")</f>
        <v>#VALUE!</v>
      </c>
      <c r="Y88" t="e">
        <f>AND('SPR BARRANQUILLA'!CE103,"AAAAAGPbfRg=")</f>
        <v>#VALUE!</v>
      </c>
      <c r="Z88" t="e">
        <f>AND('SPR BARRANQUILLA'!CF103,"AAAAAGPbfRk=")</f>
        <v>#VALUE!</v>
      </c>
      <c r="AA88" t="e">
        <f>AND('SPR BARRANQUILLA'!CG103,"AAAAAGPbfRo=")</f>
        <v>#VALUE!</v>
      </c>
      <c r="AB88" t="e">
        <f>AND('SPR BARRANQUILLA'!CH103,"AAAAAGPbfRs=")</f>
        <v>#VALUE!</v>
      </c>
      <c r="AC88" t="e">
        <f>AND('SPR BARRANQUILLA'!CI103,"AAAAAGPbfRw=")</f>
        <v>#VALUE!</v>
      </c>
      <c r="AD88" t="e">
        <f>AND('SPR BARRANQUILLA'!CJ103,"AAAAAGPbfR0=")</f>
        <v>#VALUE!</v>
      </c>
      <c r="AE88" t="e">
        <f>AND('SPR BARRANQUILLA'!CK103,"AAAAAGPbfR4=")</f>
        <v>#VALUE!</v>
      </c>
      <c r="AF88" t="e">
        <f>AND('SPR BARRANQUILLA'!CL103,"AAAAAGPbfR8=")</f>
        <v>#VALUE!</v>
      </c>
      <c r="AG88" t="e">
        <f>AND('SPR BARRANQUILLA'!CM103,"AAAAAGPbfSA=")</f>
        <v>#VALUE!</v>
      </c>
      <c r="AH88" t="e">
        <f>AND('SPR BARRANQUILLA'!CN103,"AAAAAGPbfSE=")</f>
        <v>#VALUE!</v>
      </c>
      <c r="AI88" t="e">
        <f>AND('SPR BARRANQUILLA'!CO103,"AAAAAGPbfSI=")</f>
        <v>#VALUE!</v>
      </c>
      <c r="AJ88" t="e">
        <f>AND('SPR BARRANQUILLA'!CP103,"AAAAAGPbfSM=")</f>
        <v>#VALUE!</v>
      </c>
      <c r="AK88" t="e">
        <f>AND('SPR BARRANQUILLA'!CQ103,"AAAAAGPbfSQ=")</f>
        <v>#VALUE!</v>
      </c>
      <c r="AL88" t="e">
        <f>AND('SPR BARRANQUILLA'!CR103,"AAAAAGPbfSU=")</f>
        <v>#VALUE!</v>
      </c>
      <c r="AM88" t="e">
        <f>AND('SPR BARRANQUILLA'!CS103,"AAAAAGPbfSY=")</f>
        <v>#VALUE!</v>
      </c>
      <c r="AN88" t="e">
        <f>AND('SPR BARRANQUILLA'!CT103,"AAAAAGPbfSc=")</f>
        <v>#VALUE!</v>
      </c>
      <c r="AO88" t="e">
        <f>AND('SPR BARRANQUILLA'!CU103,"AAAAAGPbfSg=")</f>
        <v>#VALUE!</v>
      </c>
      <c r="AP88" t="e">
        <f>AND('SPR BARRANQUILLA'!CV103,"AAAAAGPbfSk=")</f>
        <v>#VALUE!</v>
      </c>
      <c r="AQ88" t="e">
        <f>AND('SPR BARRANQUILLA'!CW103,"AAAAAGPbfSo=")</f>
        <v>#VALUE!</v>
      </c>
      <c r="AR88" t="e">
        <f>AND('SPR BARRANQUILLA'!CX103,"AAAAAGPbfSs=")</f>
        <v>#VALUE!</v>
      </c>
      <c r="AS88" t="e">
        <f>AND('SPR BARRANQUILLA'!CY103,"AAAAAGPbfSw=")</f>
        <v>#VALUE!</v>
      </c>
      <c r="AT88" t="e">
        <f>AND('SPR BARRANQUILLA'!CZ103,"AAAAAGPbfS0=")</f>
        <v>#VALUE!</v>
      </c>
      <c r="AU88" t="e">
        <f>AND('SPR BARRANQUILLA'!DA103,"AAAAAGPbfS4=")</f>
        <v>#VALUE!</v>
      </c>
      <c r="AV88" t="e">
        <f>AND('SPR BARRANQUILLA'!DB103,"AAAAAGPbfS8=")</f>
        <v>#VALUE!</v>
      </c>
      <c r="AW88" t="e">
        <f>AND('SPR BARRANQUILLA'!DC103,"AAAAAGPbfTA=")</f>
        <v>#VALUE!</v>
      </c>
      <c r="AX88" t="e">
        <f>AND('SPR BARRANQUILLA'!DD103,"AAAAAGPbfTE=")</f>
        <v>#VALUE!</v>
      </c>
      <c r="AY88" t="e">
        <f>AND('SPR BARRANQUILLA'!DE103,"AAAAAGPbfTI=")</f>
        <v>#VALUE!</v>
      </c>
      <c r="AZ88" t="e">
        <f>AND('SPR BARRANQUILLA'!DF103,"AAAAAGPbfTM=")</f>
        <v>#VALUE!</v>
      </c>
      <c r="BA88" t="e">
        <f>AND('SPR BARRANQUILLA'!DG103,"AAAAAGPbfTQ=")</f>
        <v>#VALUE!</v>
      </c>
      <c r="BB88" t="e">
        <f>AND('SPR BARRANQUILLA'!DH103,"AAAAAGPbfTU=")</f>
        <v>#VALUE!</v>
      </c>
      <c r="BC88" t="e">
        <f>AND('SPR BARRANQUILLA'!DI103,"AAAAAGPbfTY=")</f>
        <v>#VALUE!</v>
      </c>
      <c r="BD88" t="e">
        <f>AND('SPR BARRANQUILLA'!DJ103,"AAAAAGPbfTc=")</f>
        <v>#VALUE!</v>
      </c>
      <c r="BE88" t="e">
        <f>AND('SPR BARRANQUILLA'!DK103,"AAAAAGPbfTg=")</f>
        <v>#VALUE!</v>
      </c>
      <c r="BF88" t="e">
        <f>AND('SPR BARRANQUILLA'!DL103,"AAAAAGPbfTk=")</f>
        <v>#VALUE!</v>
      </c>
      <c r="BG88" t="e">
        <f>AND('SPR BARRANQUILLA'!DM103,"AAAAAGPbfTo=")</f>
        <v>#VALUE!</v>
      </c>
      <c r="BH88" t="e">
        <f>AND('SPR BARRANQUILLA'!DN103,"AAAAAGPbfTs=")</f>
        <v>#VALUE!</v>
      </c>
      <c r="BI88" t="e">
        <f>AND('SPR BARRANQUILLA'!DO103,"AAAAAGPbfTw=")</f>
        <v>#VALUE!</v>
      </c>
      <c r="BJ88" t="e">
        <f>AND('SPR BARRANQUILLA'!DP103,"AAAAAGPbfT0=")</f>
        <v>#VALUE!</v>
      </c>
      <c r="BK88" t="e">
        <f>AND('SPR BARRANQUILLA'!DQ103,"AAAAAGPbfT4=")</f>
        <v>#VALUE!</v>
      </c>
      <c r="BL88" t="e">
        <f>AND('SPR BARRANQUILLA'!DR103,"AAAAAGPbfT8=")</f>
        <v>#VALUE!</v>
      </c>
      <c r="BM88" t="e">
        <f>AND('SPR BARRANQUILLA'!DS103,"AAAAAGPbfUA=")</f>
        <v>#VALUE!</v>
      </c>
      <c r="BN88" t="e">
        <f>AND('SPR BARRANQUILLA'!DT103,"AAAAAGPbfUE=")</f>
        <v>#VALUE!</v>
      </c>
      <c r="BO88" t="e">
        <f>AND('SPR BARRANQUILLA'!DU103,"AAAAAGPbfUI=")</f>
        <v>#VALUE!</v>
      </c>
      <c r="BP88" t="e">
        <f>AND('SPR BARRANQUILLA'!DV103,"AAAAAGPbfUM=")</f>
        <v>#VALUE!</v>
      </c>
      <c r="BQ88" t="e">
        <f>AND('SPR BARRANQUILLA'!DW103,"AAAAAGPbfUQ=")</f>
        <v>#VALUE!</v>
      </c>
      <c r="BR88" t="e">
        <f>AND('SPR BARRANQUILLA'!DX103,"AAAAAGPbfUU=")</f>
        <v>#VALUE!</v>
      </c>
      <c r="BS88" t="e">
        <f>AND('SPR BARRANQUILLA'!DY103,"AAAAAGPbfUY=")</f>
        <v>#VALUE!</v>
      </c>
      <c r="BT88" t="e">
        <f>AND('SPR BARRANQUILLA'!DZ103,"AAAAAGPbfUc=")</f>
        <v>#VALUE!</v>
      </c>
      <c r="BU88" t="e">
        <f>AND('SPR BARRANQUILLA'!EA103,"AAAAAGPbfUg=")</f>
        <v>#VALUE!</v>
      </c>
      <c r="BV88" t="e">
        <f>AND('SPR BARRANQUILLA'!EB103,"AAAAAGPbfUk=")</f>
        <v>#VALUE!</v>
      </c>
      <c r="BW88" t="e">
        <f>AND('SPR BARRANQUILLA'!EC103,"AAAAAGPbfUo=")</f>
        <v>#VALUE!</v>
      </c>
      <c r="BX88" t="e">
        <f>AND('SPR BARRANQUILLA'!ED103,"AAAAAGPbfUs=")</f>
        <v>#VALUE!</v>
      </c>
      <c r="BY88" t="e">
        <f>AND('SPR BARRANQUILLA'!EE103,"AAAAAGPbfUw=")</f>
        <v>#VALUE!</v>
      </c>
      <c r="BZ88" t="e">
        <f>AND('SPR BARRANQUILLA'!EF103,"AAAAAGPbfU0=")</f>
        <v>#VALUE!</v>
      </c>
      <c r="CA88" t="e">
        <f>AND('SPR BARRANQUILLA'!EG103,"AAAAAGPbfU4=")</f>
        <v>#VALUE!</v>
      </c>
      <c r="CB88" t="e">
        <f>AND('SPR BARRANQUILLA'!EH103,"AAAAAGPbfU8=")</f>
        <v>#VALUE!</v>
      </c>
      <c r="CC88" t="e">
        <f>AND('SPR BARRANQUILLA'!EI103,"AAAAAGPbfVA=")</f>
        <v>#VALUE!</v>
      </c>
      <c r="CD88" t="e">
        <f>AND('SPR BARRANQUILLA'!EJ103,"AAAAAGPbfVE=")</f>
        <v>#VALUE!</v>
      </c>
      <c r="CE88" t="e">
        <f>AND('SPR BARRANQUILLA'!EK103,"AAAAAGPbfVI=")</f>
        <v>#VALUE!</v>
      </c>
      <c r="CF88" t="e">
        <f>AND('SPR BARRANQUILLA'!EL103,"AAAAAGPbfVM=")</f>
        <v>#VALUE!</v>
      </c>
      <c r="CG88" t="e">
        <f>AND('SPR BARRANQUILLA'!EM103,"AAAAAGPbfVQ=")</f>
        <v>#VALUE!</v>
      </c>
      <c r="CH88" t="e">
        <f>AND('SPR BARRANQUILLA'!EN103,"AAAAAGPbfVU=")</f>
        <v>#VALUE!</v>
      </c>
      <c r="CI88" t="e">
        <f>AND('SPR BARRANQUILLA'!EO103,"AAAAAGPbfVY=")</f>
        <v>#VALUE!</v>
      </c>
      <c r="CJ88" t="e">
        <f>AND('SPR BARRANQUILLA'!EP103,"AAAAAGPbfVc=")</f>
        <v>#VALUE!</v>
      </c>
      <c r="CK88" t="e">
        <f>AND('SPR BARRANQUILLA'!EQ103,"AAAAAGPbfVg=")</f>
        <v>#VALUE!</v>
      </c>
      <c r="CL88" t="e">
        <f>AND('SPR BARRANQUILLA'!ER103,"AAAAAGPbfVk=")</f>
        <v>#VALUE!</v>
      </c>
      <c r="CM88" t="e">
        <f>AND('SPR BARRANQUILLA'!ES103,"AAAAAGPbfVo=")</f>
        <v>#VALUE!</v>
      </c>
      <c r="CN88" t="e">
        <f>AND('SPR BARRANQUILLA'!ET103,"AAAAAGPbfVs=")</f>
        <v>#VALUE!</v>
      </c>
      <c r="CO88" t="e">
        <f>AND('SPR BARRANQUILLA'!EU103,"AAAAAGPbfVw=")</f>
        <v>#VALUE!</v>
      </c>
      <c r="CP88" t="e">
        <f>AND('SPR BARRANQUILLA'!EV103,"AAAAAGPbfV0=")</f>
        <v>#VALUE!</v>
      </c>
      <c r="CQ88" t="e">
        <f>AND('SPR BARRANQUILLA'!EW103,"AAAAAGPbfV4=")</f>
        <v>#VALUE!</v>
      </c>
      <c r="CR88" t="e">
        <f>AND('SPR BARRANQUILLA'!EX103,"AAAAAGPbfV8=")</f>
        <v>#VALUE!</v>
      </c>
      <c r="CS88" t="e">
        <f>AND('SPR BARRANQUILLA'!EY103,"AAAAAGPbfWA=")</f>
        <v>#VALUE!</v>
      </c>
      <c r="CT88" t="e">
        <f>AND('SPR BARRANQUILLA'!EZ103,"AAAAAGPbfWE=")</f>
        <v>#VALUE!</v>
      </c>
      <c r="CU88" t="e">
        <f>AND('SPR BARRANQUILLA'!FA103,"AAAAAGPbfWI=")</f>
        <v>#VALUE!</v>
      </c>
      <c r="CV88" t="e">
        <f>AND('SPR BARRANQUILLA'!FB103,"AAAAAGPbfWM=")</f>
        <v>#VALUE!</v>
      </c>
      <c r="CW88" t="e">
        <f>AND('SPR BARRANQUILLA'!FC103,"AAAAAGPbfWQ=")</f>
        <v>#VALUE!</v>
      </c>
      <c r="CX88" t="e">
        <f>AND('SPR BARRANQUILLA'!FD103,"AAAAAGPbfWU=")</f>
        <v>#VALUE!</v>
      </c>
      <c r="CY88" t="e">
        <f>AND('SPR BARRANQUILLA'!FE103,"AAAAAGPbfWY=")</f>
        <v>#VALUE!</v>
      </c>
      <c r="CZ88" t="e">
        <f>AND('SPR BARRANQUILLA'!FF103,"AAAAAGPbfWc=")</f>
        <v>#VALUE!</v>
      </c>
      <c r="DA88" t="e">
        <f>AND('SPR BARRANQUILLA'!FG103,"AAAAAGPbfWg=")</f>
        <v>#VALUE!</v>
      </c>
      <c r="DB88" t="e">
        <f>AND('SPR BARRANQUILLA'!FH103,"AAAAAGPbfWk=")</f>
        <v>#VALUE!</v>
      </c>
      <c r="DC88" t="e">
        <f>AND('SPR BARRANQUILLA'!FI103,"AAAAAGPbfWo=")</f>
        <v>#VALUE!</v>
      </c>
      <c r="DD88" t="e">
        <f>AND('SPR BARRANQUILLA'!FJ103,"AAAAAGPbfWs=")</f>
        <v>#VALUE!</v>
      </c>
      <c r="DE88" t="e">
        <f>AND('SPR BARRANQUILLA'!FK103,"AAAAAGPbfWw=")</f>
        <v>#VALUE!</v>
      </c>
      <c r="DF88" t="e">
        <f>AND('SPR BARRANQUILLA'!FL103,"AAAAAGPbfW0=")</f>
        <v>#VALUE!</v>
      </c>
      <c r="DG88" t="e">
        <f>AND('SPR BARRANQUILLA'!FM103,"AAAAAGPbfW4=")</f>
        <v>#VALUE!</v>
      </c>
      <c r="DH88" t="e">
        <f>AND('SPR BARRANQUILLA'!FN103,"AAAAAGPbfW8=")</f>
        <v>#VALUE!</v>
      </c>
      <c r="DI88" t="e">
        <f>AND('SPR BARRANQUILLA'!FO103,"AAAAAGPbfXA=")</f>
        <v>#VALUE!</v>
      </c>
      <c r="DJ88" t="e">
        <f>AND('SPR BARRANQUILLA'!FP103,"AAAAAGPbfXE=")</f>
        <v>#VALUE!</v>
      </c>
      <c r="DK88" t="e">
        <f>AND('SPR BARRANQUILLA'!FQ103,"AAAAAGPbfXI=")</f>
        <v>#VALUE!</v>
      </c>
      <c r="DL88" t="e">
        <f>AND('SPR BARRANQUILLA'!FR103,"AAAAAGPbfXM=")</f>
        <v>#VALUE!</v>
      </c>
      <c r="DM88" t="e">
        <f>AND('SPR BARRANQUILLA'!FS103,"AAAAAGPbfXQ=")</f>
        <v>#VALUE!</v>
      </c>
      <c r="DN88" t="e">
        <f>AND('SPR BARRANQUILLA'!FT103,"AAAAAGPbfXU=")</f>
        <v>#VALUE!</v>
      </c>
      <c r="DO88" t="e">
        <f>AND('SPR BARRANQUILLA'!FU103,"AAAAAGPbfXY=")</f>
        <v>#VALUE!</v>
      </c>
      <c r="DP88" t="e">
        <f>AND('SPR BARRANQUILLA'!FV103,"AAAAAGPbfXc=")</f>
        <v>#VALUE!</v>
      </c>
      <c r="DQ88" t="e">
        <f>AND('SPR BARRANQUILLA'!FW103,"AAAAAGPbfXg=")</f>
        <v>#VALUE!</v>
      </c>
      <c r="DR88" t="e">
        <f>AND('SPR BARRANQUILLA'!FX103,"AAAAAGPbfXk=")</f>
        <v>#VALUE!</v>
      </c>
      <c r="DS88" t="e">
        <f>AND('SPR BARRANQUILLA'!FY103,"AAAAAGPbfXo=")</f>
        <v>#VALUE!</v>
      </c>
      <c r="DT88" t="e">
        <f>AND('SPR BARRANQUILLA'!FZ103,"AAAAAGPbfXs=")</f>
        <v>#VALUE!</v>
      </c>
      <c r="DU88" t="e">
        <f>AND('SPR BARRANQUILLA'!GA103,"AAAAAGPbfXw=")</f>
        <v>#VALUE!</v>
      </c>
      <c r="DV88" t="e">
        <f>AND('SPR BARRANQUILLA'!GB103,"AAAAAGPbfX0=")</f>
        <v>#VALUE!</v>
      </c>
      <c r="DW88" t="e">
        <f>AND('SPR BARRANQUILLA'!GC103,"AAAAAGPbfX4=")</f>
        <v>#VALUE!</v>
      </c>
      <c r="DX88" t="e">
        <f>AND('SPR BARRANQUILLA'!GD103,"AAAAAGPbfX8=")</f>
        <v>#VALUE!</v>
      </c>
      <c r="DY88" t="e">
        <f>AND('SPR BARRANQUILLA'!GE103,"AAAAAGPbfYA=")</f>
        <v>#VALUE!</v>
      </c>
      <c r="DZ88" t="e">
        <f>AND('SPR BARRANQUILLA'!GF103,"AAAAAGPbfYE=")</f>
        <v>#VALUE!</v>
      </c>
      <c r="EA88" t="e">
        <f>AND('SPR BARRANQUILLA'!GG103,"AAAAAGPbfYI=")</f>
        <v>#VALUE!</v>
      </c>
      <c r="EB88" t="e">
        <f>AND('SPR BARRANQUILLA'!GH103,"AAAAAGPbfYM=")</f>
        <v>#VALUE!</v>
      </c>
      <c r="EC88" t="e">
        <f>AND('SPR BARRANQUILLA'!GI103,"AAAAAGPbfYQ=")</f>
        <v>#VALUE!</v>
      </c>
      <c r="ED88" t="e">
        <f>AND('SPR BARRANQUILLA'!GJ103,"AAAAAGPbfYU=")</f>
        <v>#VALUE!</v>
      </c>
      <c r="EE88" t="e">
        <f>AND('SPR BARRANQUILLA'!GK103,"AAAAAGPbfYY=")</f>
        <v>#VALUE!</v>
      </c>
      <c r="EF88" t="e">
        <f>AND('SPR BARRANQUILLA'!GL103,"AAAAAGPbfYc=")</f>
        <v>#VALUE!</v>
      </c>
      <c r="EG88" t="e">
        <f>AND('SPR BARRANQUILLA'!GM103,"AAAAAGPbfYg=")</f>
        <v>#VALUE!</v>
      </c>
      <c r="EH88" t="e">
        <f>AND('SPR BARRANQUILLA'!GN103,"AAAAAGPbfYk=")</f>
        <v>#VALUE!</v>
      </c>
      <c r="EI88" t="e">
        <f>AND('SPR BARRANQUILLA'!GO103,"AAAAAGPbfYo=")</f>
        <v>#VALUE!</v>
      </c>
      <c r="EJ88" t="e">
        <f>AND('SPR BARRANQUILLA'!GP103,"AAAAAGPbfYs=")</f>
        <v>#VALUE!</v>
      </c>
      <c r="EK88" t="e">
        <f>AND('SPR BARRANQUILLA'!GQ103,"AAAAAGPbfYw=")</f>
        <v>#VALUE!</v>
      </c>
      <c r="EL88" t="e">
        <f>AND('SPR BARRANQUILLA'!GR103,"AAAAAGPbfY0=")</f>
        <v>#VALUE!</v>
      </c>
      <c r="EM88" t="e">
        <f>AND('SPR BARRANQUILLA'!GS103,"AAAAAGPbfY4=")</f>
        <v>#VALUE!</v>
      </c>
      <c r="EN88" t="e">
        <f>AND('SPR BARRANQUILLA'!GT103,"AAAAAGPbfY8=")</f>
        <v>#VALUE!</v>
      </c>
      <c r="EO88" t="e">
        <f>AND('SPR BARRANQUILLA'!GU103,"AAAAAGPbfZA=")</f>
        <v>#VALUE!</v>
      </c>
      <c r="EP88" t="e">
        <f>AND('SPR BARRANQUILLA'!GV103,"AAAAAGPbfZE=")</f>
        <v>#VALUE!</v>
      </c>
      <c r="EQ88" t="e">
        <f>AND('SPR BARRANQUILLA'!GW103,"AAAAAGPbfZI=")</f>
        <v>#VALUE!</v>
      </c>
      <c r="ER88" t="e">
        <f>AND('SPR BARRANQUILLA'!GX103,"AAAAAGPbfZM=")</f>
        <v>#VALUE!</v>
      </c>
      <c r="ES88" t="e">
        <f>AND('SPR BARRANQUILLA'!GY103,"AAAAAGPbfZQ=")</f>
        <v>#VALUE!</v>
      </c>
      <c r="ET88">
        <f>IF('SPR BARRANQUILLA'!104:104,"AAAAAGPbfZU=",0)</f>
        <v>0</v>
      </c>
      <c r="EU88" t="e">
        <f>AND('SPR BARRANQUILLA'!A104,"AAAAAGPbfZY=")</f>
        <v>#VALUE!</v>
      </c>
      <c r="EV88" t="e">
        <f>AND('SPR BARRANQUILLA'!B104,"AAAAAGPbfZc=")</f>
        <v>#VALUE!</v>
      </c>
      <c r="EW88" t="e">
        <f>AND('SPR BARRANQUILLA'!C104,"AAAAAGPbfZg=")</f>
        <v>#VALUE!</v>
      </c>
      <c r="EX88" t="e">
        <f>AND('SPR BARRANQUILLA'!D104,"AAAAAGPbfZk=")</f>
        <v>#VALUE!</v>
      </c>
      <c r="EY88" t="e">
        <f>AND('SPR BARRANQUILLA'!E104,"AAAAAGPbfZo=")</f>
        <v>#VALUE!</v>
      </c>
      <c r="EZ88" t="e">
        <f>AND('SPR BARRANQUILLA'!F104,"AAAAAGPbfZs=")</f>
        <v>#VALUE!</v>
      </c>
      <c r="FA88" t="e">
        <f>AND('SPR BARRANQUILLA'!G104,"AAAAAGPbfZw=")</f>
        <v>#VALUE!</v>
      </c>
      <c r="FB88" t="e">
        <f>AND('SPR BARRANQUILLA'!H104,"AAAAAGPbfZ0=")</f>
        <v>#VALUE!</v>
      </c>
      <c r="FC88" t="e">
        <f>AND('SPR BARRANQUILLA'!I104,"AAAAAGPbfZ4=")</f>
        <v>#VALUE!</v>
      </c>
      <c r="FD88" t="e">
        <f>AND('SPR BARRANQUILLA'!J104,"AAAAAGPbfZ8=")</f>
        <v>#VALUE!</v>
      </c>
      <c r="FE88" t="e">
        <f>AND('SPR BARRANQUILLA'!K104,"AAAAAGPbfaA=")</f>
        <v>#VALUE!</v>
      </c>
      <c r="FF88" t="e">
        <f>AND('SPR BARRANQUILLA'!L104,"AAAAAGPbfaE=")</f>
        <v>#VALUE!</v>
      </c>
      <c r="FG88" t="e">
        <f>AND('SPR BARRANQUILLA'!M104,"AAAAAGPbfaI=")</f>
        <v>#VALUE!</v>
      </c>
      <c r="FH88" t="e">
        <f>AND('SPR BARRANQUILLA'!N104,"AAAAAGPbfaM=")</f>
        <v>#VALUE!</v>
      </c>
      <c r="FI88" t="e">
        <f>AND('SPR BARRANQUILLA'!O104,"AAAAAGPbfaQ=")</f>
        <v>#VALUE!</v>
      </c>
      <c r="FJ88" t="e">
        <f>AND('SPR BARRANQUILLA'!P104,"AAAAAGPbfaU=")</f>
        <v>#VALUE!</v>
      </c>
      <c r="FK88" t="e">
        <f>AND('SPR BARRANQUILLA'!Q104,"AAAAAGPbfaY=")</f>
        <v>#VALUE!</v>
      </c>
      <c r="FL88" t="e">
        <f>AND('SPR BARRANQUILLA'!R104,"AAAAAGPbfac=")</f>
        <v>#VALUE!</v>
      </c>
      <c r="FM88" t="e">
        <f>AND('SPR BARRANQUILLA'!S104,"AAAAAGPbfag=")</f>
        <v>#VALUE!</v>
      </c>
      <c r="FN88" t="e">
        <f>AND('SPR BARRANQUILLA'!T104,"AAAAAGPbfak=")</f>
        <v>#VALUE!</v>
      </c>
      <c r="FO88" t="e">
        <f>AND('SPR BARRANQUILLA'!U104,"AAAAAGPbfao=")</f>
        <v>#VALUE!</v>
      </c>
      <c r="FP88" t="e">
        <f>AND('SPR BARRANQUILLA'!V104,"AAAAAGPbfas=")</f>
        <v>#VALUE!</v>
      </c>
      <c r="FQ88" t="e">
        <f>AND('SPR BARRANQUILLA'!W104,"AAAAAGPbfaw=")</f>
        <v>#VALUE!</v>
      </c>
      <c r="FR88" t="e">
        <f>AND('SPR BARRANQUILLA'!X104,"AAAAAGPbfa0=")</f>
        <v>#VALUE!</v>
      </c>
      <c r="FS88" t="e">
        <f>AND('SPR BARRANQUILLA'!Y104,"AAAAAGPbfa4=")</f>
        <v>#VALUE!</v>
      </c>
      <c r="FT88" t="e">
        <f>AND('SPR BARRANQUILLA'!Z104,"AAAAAGPbfa8=")</f>
        <v>#VALUE!</v>
      </c>
      <c r="FU88" t="e">
        <f>AND('SPR BARRANQUILLA'!AA104,"AAAAAGPbfbA=")</f>
        <v>#VALUE!</v>
      </c>
      <c r="FV88" t="e">
        <f>AND('SPR BARRANQUILLA'!AB104,"AAAAAGPbfbE=")</f>
        <v>#VALUE!</v>
      </c>
      <c r="FW88" t="e">
        <f>AND('SPR BARRANQUILLA'!AC104,"AAAAAGPbfbI=")</f>
        <v>#VALUE!</v>
      </c>
      <c r="FX88" t="e">
        <f>AND('SPR BARRANQUILLA'!AD104,"AAAAAGPbfbM=")</f>
        <v>#VALUE!</v>
      </c>
      <c r="FY88" t="e">
        <f>AND('SPR BARRANQUILLA'!AE104,"AAAAAGPbfbQ=")</f>
        <v>#VALUE!</v>
      </c>
      <c r="FZ88" t="e">
        <f>AND('SPR BARRANQUILLA'!AF104,"AAAAAGPbfbU=")</f>
        <v>#VALUE!</v>
      </c>
      <c r="GA88" t="e">
        <f>AND('SPR BARRANQUILLA'!AG104,"AAAAAGPbfbY=")</f>
        <v>#VALUE!</v>
      </c>
      <c r="GB88" t="e">
        <f>AND('SPR BARRANQUILLA'!AH104,"AAAAAGPbfbc=")</f>
        <v>#VALUE!</v>
      </c>
      <c r="GC88" t="e">
        <f>AND('SPR BARRANQUILLA'!AI104,"AAAAAGPbfbg=")</f>
        <v>#VALUE!</v>
      </c>
      <c r="GD88" t="e">
        <f>AND('SPR BARRANQUILLA'!AJ104,"AAAAAGPbfbk=")</f>
        <v>#VALUE!</v>
      </c>
      <c r="GE88" t="e">
        <f>AND('SPR BARRANQUILLA'!AK104,"AAAAAGPbfbo=")</f>
        <v>#VALUE!</v>
      </c>
      <c r="GF88" t="e">
        <f>AND('SPR BARRANQUILLA'!AL104,"AAAAAGPbfbs=")</f>
        <v>#VALUE!</v>
      </c>
      <c r="GG88" t="e">
        <f>AND('SPR BARRANQUILLA'!AM104,"AAAAAGPbfbw=")</f>
        <v>#VALUE!</v>
      </c>
      <c r="GH88" t="e">
        <f>AND('SPR BARRANQUILLA'!AN104,"AAAAAGPbfb0=")</f>
        <v>#VALUE!</v>
      </c>
      <c r="GI88" t="e">
        <f>AND('SPR BARRANQUILLA'!AO104,"AAAAAGPbfb4=")</f>
        <v>#VALUE!</v>
      </c>
      <c r="GJ88" t="e">
        <f>AND('SPR BARRANQUILLA'!AP104,"AAAAAGPbfb8=")</f>
        <v>#VALUE!</v>
      </c>
      <c r="GK88" t="e">
        <f>AND('SPR BARRANQUILLA'!AQ104,"AAAAAGPbfcA=")</f>
        <v>#VALUE!</v>
      </c>
      <c r="GL88" t="e">
        <f>AND('SPR BARRANQUILLA'!AR104,"AAAAAGPbfcE=")</f>
        <v>#VALUE!</v>
      </c>
      <c r="GM88" t="e">
        <f>AND('SPR BARRANQUILLA'!AS104,"AAAAAGPbfcI=")</f>
        <v>#VALUE!</v>
      </c>
      <c r="GN88" t="e">
        <f>AND('SPR BARRANQUILLA'!AT104,"AAAAAGPbfcM=")</f>
        <v>#VALUE!</v>
      </c>
      <c r="GO88" t="e">
        <f>AND('SPR BARRANQUILLA'!AU104,"AAAAAGPbfcQ=")</f>
        <v>#VALUE!</v>
      </c>
      <c r="GP88" t="e">
        <f>AND('SPR BARRANQUILLA'!AV104,"AAAAAGPbfcU=")</f>
        <v>#VALUE!</v>
      </c>
      <c r="GQ88" t="e">
        <f>AND('SPR BARRANQUILLA'!AW104,"AAAAAGPbfcY=")</f>
        <v>#VALUE!</v>
      </c>
      <c r="GR88" t="e">
        <f>AND('SPR BARRANQUILLA'!AX104,"AAAAAGPbfcc=")</f>
        <v>#VALUE!</v>
      </c>
      <c r="GS88" t="e">
        <f>AND('SPR BARRANQUILLA'!AY104,"AAAAAGPbfcg=")</f>
        <v>#VALUE!</v>
      </c>
      <c r="GT88" t="e">
        <f>AND('SPR BARRANQUILLA'!AZ104,"AAAAAGPbfck=")</f>
        <v>#VALUE!</v>
      </c>
      <c r="GU88" t="e">
        <f>AND('SPR BARRANQUILLA'!BA104,"AAAAAGPbfco=")</f>
        <v>#VALUE!</v>
      </c>
      <c r="GV88" t="e">
        <f>AND('SPR BARRANQUILLA'!BB104,"AAAAAGPbfcs=")</f>
        <v>#VALUE!</v>
      </c>
      <c r="GW88" t="e">
        <f>AND('SPR BARRANQUILLA'!BC104,"AAAAAGPbfcw=")</f>
        <v>#VALUE!</v>
      </c>
      <c r="GX88" t="e">
        <f>AND('SPR BARRANQUILLA'!BD104,"AAAAAGPbfc0=")</f>
        <v>#VALUE!</v>
      </c>
      <c r="GY88" t="e">
        <f>AND('SPR BARRANQUILLA'!BE104,"AAAAAGPbfc4=")</f>
        <v>#VALUE!</v>
      </c>
      <c r="GZ88" t="e">
        <f>AND('SPR BARRANQUILLA'!BF104,"AAAAAGPbfc8=")</f>
        <v>#VALUE!</v>
      </c>
      <c r="HA88" t="e">
        <f>AND('SPR BARRANQUILLA'!BG104,"AAAAAGPbfdA=")</f>
        <v>#VALUE!</v>
      </c>
      <c r="HB88" t="e">
        <f>AND('SPR BARRANQUILLA'!BH104,"AAAAAGPbfdE=")</f>
        <v>#VALUE!</v>
      </c>
      <c r="HC88" t="e">
        <f>AND('SPR BARRANQUILLA'!BI104,"AAAAAGPbfdI=")</f>
        <v>#VALUE!</v>
      </c>
      <c r="HD88" t="e">
        <f>AND('SPR BARRANQUILLA'!BJ104,"AAAAAGPbfdM=")</f>
        <v>#VALUE!</v>
      </c>
      <c r="HE88" t="e">
        <f>AND('SPR BARRANQUILLA'!BK104,"AAAAAGPbfdQ=")</f>
        <v>#VALUE!</v>
      </c>
      <c r="HF88" t="e">
        <f>AND('SPR BARRANQUILLA'!BL104,"AAAAAGPbfdU=")</f>
        <v>#VALUE!</v>
      </c>
      <c r="HG88" t="e">
        <f>AND('SPR BARRANQUILLA'!BM104,"AAAAAGPbfdY=")</f>
        <v>#VALUE!</v>
      </c>
      <c r="HH88" t="e">
        <f>AND('SPR BARRANQUILLA'!BN104,"AAAAAGPbfdc=")</f>
        <v>#VALUE!</v>
      </c>
      <c r="HI88" t="e">
        <f>AND('SPR BARRANQUILLA'!BO104,"AAAAAGPbfdg=")</f>
        <v>#VALUE!</v>
      </c>
      <c r="HJ88" t="e">
        <f>AND('SPR BARRANQUILLA'!BP104,"AAAAAGPbfdk=")</f>
        <v>#VALUE!</v>
      </c>
      <c r="HK88" t="e">
        <f>AND('SPR BARRANQUILLA'!BQ104,"AAAAAGPbfdo=")</f>
        <v>#VALUE!</v>
      </c>
      <c r="HL88" t="e">
        <f>AND('SPR BARRANQUILLA'!BR104,"AAAAAGPbfds=")</f>
        <v>#VALUE!</v>
      </c>
      <c r="HM88" t="e">
        <f>AND('SPR BARRANQUILLA'!BS104,"AAAAAGPbfdw=")</f>
        <v>#VALUE!</v>
      </c>
      <c r="HN88" t="e">
        <f>AND('SPR BARRANQUILLA'!BT104,"AAAAAGPbfd0=")</f>
        <v>#VALUE!</v>
      </c>
      <c r="HO88" t="e">
        <f>AND('SPR BARRANQUILLA'!BU104,"AAAAAGPbfd4=")</f>
        <v>#VALUE!</v>
      </c>
      <c r="HP88" t="e">
        <f>AND('SPR BARRANQUILLA'!BV104,"AAAAAGPbfd8=")</f>
        <v>#VALUE!</v>
      </c>
      <c r="HQ88" t="e">
        <f>AND('SPR BARRANQUILLA'!BW104,"AAAAAGPbfeA=")</f>
        <v>#VALUE!</v>
      </c>
      <c r="HR88" t="e">
        <f>AND('SPR BARRANQUILLA'!BX104,"AAAAAGPbfeE=")</f>
        <v>#VALUE!</v>
      </c>
      <c r="HS88" t="e">
        <f>AND('SPR BARRANQUILLA'!BY104,"AAAAAGPbfeI=")</f>
        <v>#VALUE!</v>
      </c>
      <c r="HT88" t="e">
        <f>AND('SPR BARRANQUILLA'!BZ104,"AAAAAGPbfeM=")</f>
        <v>#VALUE!</v>
      </c>
      <c r="HU88" t="e">
        <f>AND('SPR BARRANQUILLA'!CA104,"AAAAAGPbfeQ=")</f>
        <v>#VALUE!</v>
      </c>
      <c r="HV88" t="e">
        <f>AND('SPR BARRANQUILLA'!CB104,"AAAAAGPbfeU=")</f>
        <v>#VALUE!</v>
      </c>
      <c r="HW88" t="e">
        <f>AND('SPR BARRANQUILLA'!CC104,"AAAAAGPbfeY=")</f>
        <v>#VALUE!</v>
      </c>
      <c r="HX88" t="e">
        <f>AND('SPR BARRANQUILLA'!CD104,"AAAAAGPbfec=")</f>
        <v>#VALUE!</v>
      </c>
      <c r="HY88" t="e">
        <f>AND('SPR BARRANQUILLA'!CE104,"AAAAAGPbfeg=")</f>
        <v>#VALUE!</v>
      </c>
      <c r="HZ88" t="e">
        <f>AND('SPR BARRANQUILLA'!CF104,"AAAAAGPbfek=")</f>
        <v>#VALUE!</v>
      </c>
      <c r="IA88" t="e">
        <f>AND('SPR BARRANQUILLA'!CG104,"AAAAAGPbfeo=")</f>
        <v>#VALUE!</v>
      </c>
      <c r="IB88" t="e">
        <f>AND('SPR BARRANQUILLA'!CH104,"AAAAAGPbfes=")</f>
        <v>#VALUE!</v>
      </c>
      <c r="IC88" t="e">
        <f>AND('SPR BARRANQUILLA'!CI104,"AAAAAGPbfew=")</f>
        <v>#VALUE!</v>
      </c>
      <c r="ID88" t="e">
        <f>AND('SPR BARRANQUILLA'!CJ104,"AAAAAGPbfe0=")</f>
        <v>#VALUE!</v>
      </c>
      <c r="IE88" t="e">
        <f>AND('SPR BARRANQUILLA'!CK104,"AAAAAGPbfe4=")</f>
        <v>#VALUE!</v>
      </c>
      <c r="IF88" t="e">
        <f>AND('SPR BARRANQUILLA'!CL104,"AAAAAGPbfe8=")</f>
        <v>#VALUE!</v>
      </c>
      <c r="IG88" t="e">
        <f>AND('SPR BARRANQUILLA'!CM104,"AAAAAGPbffA=")</f>
        <v>#VALUE!</v>
      </c>
      <c r="IH88" t="e">
        <f>AND('SPR BARRANQUILLA'!CN104,"AAAAAGPbffE=")</f>
        <v>#VALUE!</v>
      </c>
      <c r="II88" t="e">
        <f>AND('SPR BARRANQUILLA'!CO104,"AAAAAGPbffI=")</f>
        <v>#VALUE!</v>
      </c>
      <c r="IJ88" t="e">
        <f>AND('SPR BARRANQUILLA'!CP104,"AAAAAGPbffM=")</f>
        <v>#VALUE!</v>
      </c>
      <c r="IK88" t="e">
        <f>AND('SPR BARRANQUILLA'!CQ104,"AAAAAGPbffQ=")</f>
        <v>#VALUE!</v>
      </c>
      <c r="IL88" t="e">
        <f>AND('SPR BARRANQUILLA'!CR104,"AAAAAGPbffU=")</f>
        <v>#VALUE!</v>
      </c>
      <c r="IM88" t="e">
        <f>AND('SPR BARRANQUILLA'!CS104,"AAAAAGPbffY=")</f>
        <v>#VALUE!</v>
      </c>
      <c r="IN88" t="e">
        <f>AND('SPR BARRANQUILLA'!CT104,"AAAAAGPbffc=")</f>
        <v>#VALUE!</v>
      </c>
      <c r="IO88" t="e">
        <f>AND('SPR BARRANQUILLA'!CU104,"AAAAAGPbffg=")</f>
        <v>#VALUE!</v>
      </c>
      <c r="IP88" t="e">
        <f>AND('SPR BARRANQUILLA'!CV104,"AAAAAGPbffk=")</f>
        <v>#VALUE!</v>
      </c>
      <c r="IQ88" t="e">
        <f>AND('SPR BARRANQUILLA'!CW104,"AAAAAGPbffo=")</f>
        <v>#VALUE!</v>
      </c>
      <c r="IR88" t="e">
        <f>AND('SPR BARRANQUILLA'!CX104,"AAAAAGPbffs=")</f>
        <v>#VALUE!</v>
      </c>
      <c r="IS88" t="e">
        <f>AND('SPR BARRANQUILLA'!CY104,"AAAAAGPbffw=")</f>
        <v>#VALUE!</v>
      </c>
      <c r="IT88" t="e">
        <f>AND('SPR BARRANQUILLA'!CZ104,"AAAAAGPbff0=")</f>
        <v>#VALUE!</v>
      </c>
      <c r="IU88" t="e">
        <f>AND('SPR BARRANQUILLA'!DA104,"AAAAAGPbff4=")</f>
        <v>#VALUE!</v>
      </c>
      <c r="IV88" t="e">
        <f>AND('SPR BARRANQUILLA'!DB104,"AAAAAGPbff8=")</f>
        <v>#VALUE!</v>
      </c>
    </row>
    <row r="89" spans="1:256">
      <c r="A89" t="e">
        <f>AND('SPR BARRANQUILLA'!DC104,"AAAAAGfu7gA=")</f>
        <v>#VALUE!</v>
      </c>
      <c r="B89" t="e">
        <f>AND('SPR BARRANQUILLA'!DD104,"AAAAAGfu7gE=")</f>
        <v>#VALUE!</v>
      </c>
      <c r="C89" t="e">
        <f>AND('SPR BARRANQUILLA'!DE104,"AAAAAGfu7gI=")</f>
        <v>#VALUE!</v>
      </c>
      <c r="D89" t="e">
        <f>AND('SPR BARRANQUILLA'!DF104,"AAAAAGfu7gM=")</f>
        <v>#VALUE!</v>
      </c>
      <c r="E89" t="e">
        <f>AND('SPR BARRANQUILLA'!DG104,"AAAAAGfu7gQ=")</f>
        <v>#VALUE!</v>
      </c>
      <c r="F89" t="e">
        <f>AND('SPR BARRANQUILLA'!DH104,"AAAAAGfu7gU=")</f>
        <v>#VALUE!</v>
      </c>
      <c r="G89" t="e">
        <f>AND('SPR BARRANQUILLA'!DI104,"AAAAAGfu7gY=")</f>
        <v>#VALUE!</v>
      </c>
      <c r="H89" t="e">
        <f>AND('SPR BARRANQUILLA'!DJ104,"AAAAAGfu7gc=")</f>
        <v>#VALUE!</v>
      </c>
      <c r="I89" t="e">
        <f>AND('SPR BARRANQUILLA'!DK104,"AAAAAGfu7gg=")</f>
        <v>#VALUE!</v>
      </c>
      <c r="J89" t="e">
        <f>AND('SPR BARRANQUILLA'!DL104,"AAAAAGfu7gk=")</f>
        <v>#VALUE!</v>
      </c>
      <c r="K89" t="e">
        <f>AND('SPR BARRANQUILLA'!DM104,"AAAAAGfu7go=")</f>
        <v>#VALUE!</v>
      </c>
      <c r="L89" t="e">
        <f>AND('SPR BARRANQUILLA'!DN104,"AAAAAGfu7gs=")</f>
        <v>#VALUE!</v>
      </c>
      <c r="M89" t="e">
        <f>AND('SPR BARRANQUILLA'!DO104,"AAAAAGfu7gw=")</f>
        <v>#VALUE!</v>
      </c>
      <c r="N89" t="e">
        <f>AND('SPR BARRANQUILLA'!DP104,"AAAAAGfu7g0=")</f>
        <v>#VALUE!</v>
      </c>
      <c r="O89" t="e">
        <f>AND('SPR BARRANQUILLA'!DQ104,"AAAAAGfu7g4=")</f>
        <v>#VALUE!</v>
      </c>
      <c r="P89" t="e">
        <f>AND('SPR BARRANQUILLA'!DR104,"AAAAAGfu7g8=")</f>
        <v>#VALUE!</v>
      </c>
      <c r="Q89" t="e">
        <f>AND('SPR BARRANQUILLA'!DS104,"AAAAAGfu7hA=")</f>
        <v>#VALUE!</v>
      </c>
      <c r="R89" t="e">
        <f>AND('SPR BARRANQUILLA'!DT104,"AAAAAGfu7hE=")</f>
        <v>#VALUE!</v>
      </c>
      <c r="S89" t="e">
        <f>AND('SPR BARRANQUILLA'!DU104,"AAAAAGfu7hI=")</f>
        <v>#VALUE!</v>
      </c>
      <c r="T89" t="e">
        <f>AND('SPR BARRANQUILLA'!DV104,"AAAAAGfu7hM=")</f>
        <v>#VALUE!</v>
      </c>
      <c r="U89" t="e">
        <f>AND('SPR BARRANQUILLA'!DW104,"AAAAAGfu7hQ=")</f>
        <v>#VALUE!</v>
      </c>
      <c r="V89" t="e">
        <f>AND('SPR BARRANQUILLA'!DX104,"AAAAAGfu7hU=")</f>
        <v>#VALUE!</v>
      </c>
      <c r="W89" t="e">
        <f>AND('SPR BARRANQUILLA'!DY104,"AAAAAGfu7hY=")</f>
        <v>#VALUE!</v>
      </c>
      <c r="X89" t="e">
        <f>AND('SPR BARRANQUILLA'!DZ104,"AAAAAGfu7hc=")</f>
        <v>#VALUE!</v>
      </c>
      <c r="Y89" t="e">
        <f>AND('SPR BARRANQUILLA'!EA104,"AAAAAGfu7hg=")</f>
        <v>#VALUE!</v>
      </c>
      <c r="Z89" t="e">
        <f>AND('SPR BARRANQUILLA'!EB104,"AAAAAGfu7hk=")</f>
        <v>#VALUE!</v>
      </c>
      <c r="AA89" t="e">
        <f>AND('SPR BARRANQUILLA'!EC104,"AAAAAGfu7ho=")</f>
        <v>#VALUE!</v>
      </c>
      <c r="AB89" t="e">
        <f>AND('SPR BARRANQUILLA'!ED104,"AAAAAGfu7hs=")</f>
        <v>#VALUE!</v>
      </c>
      <c r="AC89" t="e">
        <f>AND('SPR BARRANQUILLA'!EE104,"AAAAAGfu7hw=")</f>
        <v>#VALUE!</v>
      </c>
      <c r="AD89" t="e">
        <f>AND('SPR BARRANQUILLA'!EF104,"AAAAAGfu7h0=")</f>
        <v>#VALUE!</v>
      </c>
      <c r="AE89" t="e">
        <f>AND('SPR BARRANQUILLA'!EG104,"AAAAAGfu7h4=")</f>
        <v>#VALUE!</v>
      </c>
      <c r="AF89" t="e">
        <f>AND('SPR BARRANQUILLA'!EH104,"AAAAAGfu7h8=")</f>
        <v>#VALUE!</v>
      </c>
      <c r="AG89" t="e">
        <f>AND('SPR BARRANQUILLA'!EI104,"AAAAAGfu7iA=")</f>
        <v>#VALUE!</v>
      </c>
      <c r="AH89" t="e">
        <f>AND('SPR BARRANQUILLA'!EJ104,"AAAAAGfu7iE=")</f>
        <v>#VALUE!</v>
      </c>
      <c r="AI89" t="e">
        <f>AND('SPR BARRANQUILLA'!EK104,"AAAAAGfu7iI=")</f>
        <v>#VALUE!</v>
      </c>
      <c r="AJ89" t="e">
        <f>AND('SPR BARRANQUILLA'!EL104,"AAAAAGfu7iM=")</f>
        <v>#VALUE!</v>
      </c>
      <c r="AK89" t="e">
        <f>AND('SPR BARRANQUILLA'!EM104,"AAAAAGfu7iQ=")</f>
        <v>#VALUE!</v>
      </c>
      <c r="AL89" t="e">
        <f>AND('SPR BARRANQUILLA'!EN104,"AAAAAGfu7iU=")</f>
        <v>#VALUE!</v>
      </c>
      <c r="AM89" t="e">
        <f>AND('SPR BARRANQUILLA'!EO104,"AAAAAGfu7iY=")</f>
        <v>#VALUE!</v>
      </c>
      <c r="AN89" t="e">
        <f>AND('SPR BARRANQUILLA'!EP104,"AAAAAGfu7ic=")</f>
        <v>#VALUE!</v>
      </c>
      <c r="AO89" t="e">
        <f>AND('SPR BARRANQUILLA'!EQ104,"AAAAAGfu7ig=")</f>
        <v>#VALUE!</v>
      </c>
      <c r="AP89" t="e">
        <f>AND('SPR BARRANQUILLA'!ER104,"AAAAAGfu7ik=")</f>
        <v>#VALUE!</v>
      </c>
      <c r="AQ89" t="e">
        <f>AND('SPR BARRANQUILLA'!ES104,"AAAAAGfu7io=")</f>
        <v>#VALUE!</v>
      </c>
      <c r="AR89" t="e">
        <f>AND('SPR BARRANQUILLA'!ET104,"AAAAAGfu7is=")</f>
        <v>#VALUE!</v>
      </c>
      <c r="AS89" t="e">
        <f>AND('SPR BARRANQUILLA'!EU104,"AAAAAGfu7iw=")</f>
        <v>#VALUE!</v>
      </c>
      <c r="AT89" t="e">
        <f>AND('SPR BARRANQUILLA'!EV104,"AAAAAGfu7i0=")</f>
        <v>#VALUE!</v>
      </c>
      <c r="AU89" t="e">
        <f>AND('SPR BARRANQUILLA'!EW104,"AAAAAGfu7i4=")</f>
        <v>#VALUE!</v>
      </c>
      <c r="AV89" t="e">
        <f>AND('SPR BARRANQUILLA'!EX104,"AAAAAGfu7i8=")</f>
        <v>#VALUE!</v>
      </c>
      <c r="AW89" t="e">
        <f>AND('SPR BARRANQUILLA'!EY104,"AAAAAGfu7jA=")</f>
        <v>#VALUE!</v>
      </c>
      <c r="AX89" t="e">
        <f>AND('SPR BARRANQUILLA'!EZ104,"AAAAAGfu7jE=")</f>
        <v>#VALUE!</v>
      </c>
      <c r="AY89" t="e">
        <f>AND('SPR BARRANQUILLA'!FA104,"AAAAAGfu7jI=")</f>
        <v>#VALUE!</v>
      </c>
      <c r="AZ89" t="e">
        <f>AND('SPR BARRANQUILLA'!FB104,"AAAAAGfu7jM=")</f>
        <v>#VALUE!</v>
      </c>
      <c r="BA89" t="e">
        <f>AND('SPR BARRANQUILLA'!FC104,"AAAAAGfu7jQ=")</f>
        <v>#VALUE!</v>
      </c>
      <c r="BB89" t="e">
        <f>AND('SPR BARRANQUILLA'!FD104,"AAAAAGfu7jU=")</f>
        <v>#VALUE!</v>
      </c>
      <c r="BC89" t="e">
        <f>AND('SPR BARRANQUILLA'!FE104,"AAAAAGfu7jY=")</f>
        <v>#VALUE!</v>
      </c>
      <c r="BD89" t="e">
        <f>AND('SPR BARRANQUILLA'!FF104,"AAAAAGfu7jc=")</f>
        <v>#VALUE!</v>
      </c>
      <c r="BE89" t="e">
        <f>AND('SPR BARRANQUILLA'!FG104,"AAAAAGfu7jg=")</f>
        <v>#VALUE!</v>
      </c>
      <c r="BF89" t="e">
        <f>AND('SPR BARRANQUILLA'!FH104,"AAAAAGfu7jk=")</f>
        <v>#VALUE!</v>
      </c>
      <c r="BG89" t="e">
        <f>AND('SPR BARRANQUILLA'!FI104,"AAAAAGfu7jo=")</f>
        <v>#VALUE!</v>
      </c>
      <c r="BH89" t="e">
        <f>AND('SPR BARRANQUILLA'!FJ104,"AAAAAGfu7js=")</f>
        <v>#VALUE!</v>
      </c>
      <c r="BI89" t="e">
        <f>AND('SPR BARRANQUILLA'!FK104,"AAAAAGfu7jw=")</f>
        <v>#VALUE!</v>
      </c>
      <c r="BJ89" t="e">
        <f>AND('SPR BARRANQUILLA'!FL104,"AAAAAGfu7j0=")</f>
        <v>#VALUE!</v>
      </c>
      <c r="BK89" t="e">
        <f>AND('SPR BARRANQUILLA'!FM104,"AAAAAGfu7j4=")</f>
        <v>#VALUE!</v>
      </c>
      <c r="BL89" t="e">
        <f>AND('SPR BARRANQUILLA'!FN104,"AAAAAGfu7j8=")</f>
        <v>#VALUE!</v>
      </c>
      <c r="BM89" t="e">
        <f>AND('SPR BARRANQUILLA'!FO104,"AAAAAGfu7kA=")</f>
        <v>#VALUE!</v>
      </c>
      <c r="BN89" t="e">
        <f>AND('SPR BARRANQUILLA'!FP104,"AAAAAGfu7kE=")</f>
        <v>#VALUE!</v>
      </c>
      <c r="BO89" t="e">
        <f>AND('SPR BARRANQUILLA'!FQ104,"AAAAAGfu7kI=")</f>
        <v>#VALUE!</v>
      </c>
      <c r="BP89" t="e">
        <f>AND('SPR BARRANQUILLA'!FR104,"AAAAAGfu7kM=")</f>
        <v>#VALUE!</v>
      </c>
      <c r="BQ89" t="e">
        <f>AND('SPR BARRANQUILLA'!FS104,"AAAAAGfu7kQ=")</f>
        <v>#VALUE!</v>
      </c>
      <c r="BR89" t="e">
        <f>AND('SPR BARRANQUILLA'!FT104,"AAAAAGfu7kU=")</f>
        <v>#VALUE!</v>
      </c>
      <c r="BS89" t="e">
        <f>AND('SPR BARRANQUILLA'!FU104,"AAAAAGfu7kY=")</f>
        <v>#VALUE!</v>
      </c>
      <c r="BT89" t="e">
        <f>AND('SPR BARRANQUILLA'!FV104,"AAAAAGfu7kc=")</f>
        <v>#VALUE!</v>
      </c>
      <c r="BU89" t="e">
        <f>AND('SPR BARRANQUILLA'!FW104,"AAAAAGfu7kg=")</f>
        <v>#VALUE!</v>
      </c>
      <c r="BV89" t="e">
        <f>AND('SPR BARRANQUILLA'!FX104,"AAAAAGfu7kk=")</f>
        <v>#VALUE!</v>
      </c>
      <c r="BW89" t="e">
        <f>AND('SPR BARRANQUILLA'!FY104,"AAAAAGfu7ko=")</f>
        <v>#VALUE!</v>
      </c>
      <c r="BX89" t="e">
        <f>AND('SPR BARRANQUILLA'!FZ104,"AAAAAGfu7ks=")</f>
        <v>#VALUE!</v>
      </c>
      <c r="BY89" t="e">
        <f>AND('SPR BARRANQUILLA'!GA104,"AAAAAGfu7kw=")</f>
        <v>#VALUE!</v>
      </c>
      <c r="BZ89" t="e">
        <f>AND('SPR BARRANQUILLA'!GB104,"AAAAAGfu7k0=")</f>
        <v>#VALUE!</v>
      </c>
      <c r="CA89" t="e">
        <f>AND('SPR BARRANQUILLA'!GC104,"AAAAAGfu7k4=")</f>
        <v>#VALUE!</v>
      </c>
      <c r="CB89" t="e">
        <f>AND('SPR BARRANQUILLA'!GD104,"AAAAAGfu7k8=")</f>
        <v>#VALUE!</v>
      </c>
      <c r="CC89" t="e">
        <f>AND('SPR BARRANQUILLA'!GE104,"AAAAAGfu7lA=")</f>
        <v>#VALUE!</v>
      </c>
      <c r="CD89" t="e">
        <f>AND('SPR BARRANQUILLA'!GF104,"AAAAAGfu7lE=")</f>
        <v>#VALUE!</v>
      </c>
      <c r="CE89" t="e">
        <f>AND('SPR BARRANQUILLA'!GG104,"AAAAAGfu7lI=")</f>
        <v>#VALUE!</v>
      </c>
      <c r="CF89" t="e">
        <f>AND('SPR BARRANQUILLA'!GH104,"AAAAAGfu7lM=")</f>
        <v>#VALUE!</v>
      </c>
      <c r="CG89" t="e">
        <f>AND('SPR BARRANQUILLA'!GI104,"AAAAAGfu7lQ=")</f>
        <v>#VALUE!</v>
      </c>
      <c r="CH89" t="e">
        <f>AND('SPR BARRANQUILLA'!GJ104,"AAAAAGfu7lU=")</f>
        <v>#VALUE!</v>
      </c>
      <c r="CI89" t="e">
        <f>AND('SPR BARRANQUILLA'!GK104,"AAAAAGfu7lY=")</f>
        <v>#VALUE!</v>
      </c>
      <c r="CJ89" t="e">
        <f>AND('SPR BARRANQUILLA'!GL104,"AAAAAGfu7lc=")</f>
        <v>#VALUE!</v>
      </c>
      <c r="CK89" t="e">
        <f>AND('SPR BARRANQUILLA'!GM104,"AAAAAGfu7lg=")</f>
        <v>#VALUE!</v>
      </c>
      <c r="CL89" t="e">
        <f>AND('SPR BARRANQUILLA'!GN104,"AAAAAGfu7lk=")</f>
        <v>#VALUE!</v>
      </c>
      <c r="CM89" t="e">
        <f>AND('SPR BARRANQUILLA'!GO104,"AAAAAGfu7lo=")</f>
        <v>#VALUE!</v>
      </c>
      <c r="CN89" t="e">
        <f>AND('SPR BARRANQUILLA'!GP104,"AAAAAGfu7ls=")</f>
        <v>#VALUE!</v>
      </c>
      <c r="CO89" t="e">
        <f>AND('SPR BARRANQUILLA'!GQ104,"AAAAAGfu7lw=")</f>
        <v>#VALUE!</v>
      </c>
      <c r="CP89" t="e">
        <f>AND('SPR BARRANQUILLA'!GR104,"AAAAAGfu7l0=")</f>
        <v>#VALUE!</v>
      </c>
      <c r="CQ89" t="e">
        <f>AND('SPR BARRANQUILLA'!GS104,"AAAAAGfu7l4=")</f>
        <v>#VALUE!</v>
      </c>
      <c r="CR89" t="e">
        <f>AND('SPR BARRANQUILLA'!GT104,"AAAAAGfu7l8=")</f>
        <v>#VALUE!</v>
      </c>
      <c r="CS89" t="e">
        <f>AND('SPR BARRANQUILLA'!GU104,"AAAAAGfu7mA=")</f>
        <v>#VALUE!</v>
      </c>
      <c r="CT89" t="e">
        <f>AND('SPR BARRANQUILLA'!GV104,"AAAAAGfu7mE=")</f>
        <v>#VALUE!</v>
      </c>
      <c r="CU89" t="e">
        <f>AND('SPR BARRANQUILLA'!GW104,"AAAAAGfu7mI=")</f>
        <v>#VALUE!</v>
      </c>
      <c r="CV89" t="e">
        <f>AND('SPR BARRANQUILLA'!GX104,"AAAAAGfu7mM=")</f>
        <v>#VALUE!</v>
      </c>
      <c r="CW89" t="e">
        <f>AND('SPR BARRANQUILLA'!GY104,"AAAAAGfu7mQ=")</f>
        <v>#VALUE!</v>
      </c>
      <c r="CX89">
        <f>IF('SPR BARRANQUILLA'!105:105,"AAAAAGfu7mU=",0)</f>
        <v>0</v>
      </c>
      <c r="CY89" t="e">
        <f>AND('SPR BARRANQUILLA'!A105,"AAAAAGfu7mY=")</f>
        <v>#VALUE!</v>
      </c>
      <c r="CZ89" t="e">
        <f>AND('SPR BARRANQUILLA'!B105,"AAAAAGfu7mc=")</f>
        <v>#VALUE!</v>
      </c>
      <c r="DA89" t="e">
        <f>AND('SPR BARRANQUILLA'!C105,"AAAAAGfu7mg=")</f>
        <v>#VALUE!</v>
      </c>
      <c r="DB89" t="e">
        <f>AND('SPR BARRANQUILLA'!D105,"AAAAAGfu7mk=")</f>
        <v>#VALUE!</v>
      </c>
      <c r="DC89" t="e">
        <f>AND('SPR BARRANQUILLA'!E105,"AAAAAGfu7mo=")</f>
        <v>#VALUE!</v>
      </c>
      <c r="DD89" t="e">
        <f>AND('SPR BARRANQUILLA'!F105,"AAAAAGfu7ms=")</f>
        <v>#VALUE!</v>
      </c>
      <c r="DE89" t="e">
        <f>AND('SPR BARRANQUILLA'!G105,"AAAAAGfu7mw=")</f>
        <v>#VALUE!</v>
      </c>
      <c r="DF89" t="e">
        <f>AND('SPR BARRANQUILLA'!H105,"AAAAAGfu7m0=")</f>
        <v>#VALUE!</v>
      </c>
      <c r="DG89" t="e">
        <f>AND('SPR BARRANQUILLA'!I105,"AAAAAGfu7m4=")</f>
        <v>#VALUE!</v>
      </c>
      <c r="DH89" t="e">
        <f>AND('SPR BARRANQUILLA'!J105,"AAAAAGfu7m8=")</f>
        <v>#VALUE!</v>
      </c>
      <c r="DI89" t="e">
        <f>AND('SPR BARRANQUILLA'!K105,"AAAAAGfu7nA=")</f>
        <v>#VALUE!</v>
      </c>
      <c r="DJ89" t="e">
        <f>AND('SPR BARRANQUILLA'!L105,"AAAAAGfu7nE=")</f>
        <v>#VALUE!</v>
      </c>
      <c r="DK89" t="e">
        <f>AND('SPR BARRANQUILLA'!M105,"AAAAAGfu7nI=")</f>
        <v>#VALUE!</v>
      </c>
      <c r="DL89" t="e">
        <f>AND('SPR BARRANQUILLA'!N105,"AAAAAGfu7nM=")</f>
        <v>#VALUE!</v>
      </c>
      <c r="DM89" t="e">
        <f>AND('SPR BARRANQUILLA'!O105,"AAAAAGfu7nQ=")</f>
        <v>#VALUE!</v>
      </c>
      <c r="DN89" t="e">
        <f>AND('SPR BARRANQUILLA'!P105,"AAAAAGfu7nU=")</f>
        <v>#VALUE!</v>
      </c>
      <c r="DO89" t="e">
        <f>AND('SPR BARRANQUILLA'!Q105,"AAAAAGfu7nY=")</f>
        <v>#VALUE!</v>
      </c>
      <c r="DP89" t="e">
        <f>AND('SPR BARRANQUILLA'!R105,"AAAAAGfu7nc=")</f>
        <v>#VALUE!</v>
      </c>
      <c r="DQ89" t="e">
        <f>AND('SPR BARRANQUILLA'!S105,"AAAAAGfu7ng=")</f>
        <v>#VALUE!</v>
      </c>
      <c r="DR89" t="e">
        <f>AND('SPR BARRANQUILLA'!T105,"AAAAAGfu7nk=")</f>
        <v>#VALUE!</v>
      </c>
      <c r="DS89" t="e">
        <f>AND('SPR BARRANQUILLA'!U105,"AAAAAGfu7no=")</f>
        <v>#VALUE!</v>
      </c>
      <c r="DT89" t="e">
        <f>AND('SPR BARRANQUILLA'!V105,"AAAAAGfu7ns=")</f>
        <v>#VALUE!</v>
      </c>
      <c r="DU89" t="e">
        <f>AND('SPR BARRANQUILLA'!W105,"AAAAAGfu7nw=")</f>
        <v>#VALUE!</v>
      </c>
      <c r="DV89" t="e">
        <f>AND('SPR BARRANQUILLA'!X105,"AAAAAGfu7n0=")</f>
        <v>#VALUE!</v>
      </c>
      <c r="DW89" t="e">
        <f>AND('SPR BARRANQUILLA'!Y105,"AAAAAGfu7n4=")</f>
        <v>#VALUE!</v>
      </c>
      <c r="DX89" t="e">
        <f>AND('SPR BARRANQUILLA'!Z105,"AAAAAGfu7n8=")</f>
        <v>#VALUE!</v>
      </c>
      <c r="DY89" t="e">
        <f>AND('SPR BARRANQUILLA'!AA105,"AAAAAGfu7oA=")</f>
        <v>#VALUE!</v>
      </c>
      <c r="DZ89" t="e">
        <f>AND('SPR BARRANQUILLA'!AB105,"AAAAAGfu7oE=")</f>
        <v>#VALUE!</v>
      </c>
      <c r="EA89" t="e">
        <f>AND('SPR BARRANQUILLA'!AC105,"AAAAAGfu7oI=")</f>
        <v>#VALUE!</v>
      </c>
      <c r="EB89" t="e">
        <f>AND('SPR BARRANQUILLA'!AD105,"AAAAAGfu7oM=")</f>
        <v>#VALUE!</v>
      </c>
      <c r="EC89" t="e">
        <f>AND('SPR BARRANQUILLA'!AE105,"AAAAAGfu7oQ=")</f>
        <v>#VALUE!</v>
      </c>
      <c r="ED89" t="e">
        <f>AND('SPR BARRANQUILLA'!AF105,"AAAAAGfu7oU=")</f>
        <v>#VALUE!</v>
      </c>
      <c r="EE89" t="e">
        <f>AND('SPR BARRANQUILLA'!AG105,"AAAAAGfu7oY=")</f>
        <v>#VALUE!</v>
      </c>
      <c r="EF89" t="e">
        <f>AND('SPR BARRANQUILLA'!AH105,"AAAAAGfu7oc=")</f>
        <v>#VALUE!</v>
      </c>
      <c r="EG89" t="e">
        <f>AND('SPR BARRANQUILLA'!AI105,"AAAAAGfu7og=")</f>
        <v>#VALUE!</v>
      </c>
      <c r="EH89" t="e">
        <f>AND('SPR BARRANQUILLA'!AJ105,"AAAAAGfu7ok=")</f>
        <v>#VALUE!</v>
      </c>
      <c r="EI89" t="e">
        <f>AND('SPR BARRANQUILLA'!AK105,"AAAAAGfu7oo=")</f>
        <v>#VALUE!</v>
      </c>
      <c r="EJ89" t="e">
        <f>AND('SPR BARRANQUILLA'!AL105,"AAAAAGfu7os=")</f>
        <v>#VALUE!</v>
      </c>
      <c r="EK89" t="e">
        <f>AND('SPR BARRANQUILLA'!AM105,"AAAAAGfu7ow=")</f>
        <v>#VALUE!</v>
      </c>
      <c r="EL89" t="e">
        <f>AND('SPR BARRANQUILLA'!AN105,"AAAAAGfu7o0=")</f>
        <v>#VALUE!</v>
      </c>
      <c r="EM89" t="e">
        <f>AND('SPR BARRANQUILLA'!AO105,"AAAAAGfu7o4=")</f>
        <v>#VALUE!</v>
      </c>
      <c r="EN89" t="e">
        <f>AND('SPR BARRANQUILLA'!AP105,"AAAAAGfu7o8=")</f>
        <v>#VALUE!</v>
      </c>
      <c r="EO89" t="e">
        <f>AND('SPR BARRANQUILLA'!AQ105,"AAAAAGfu7pA=")</f>
        <v>#VALUE!</v>
      </c>
      <c r="EP89" t="e">
        <f>AND('SPR BARRANQUILLA'!AR105,"AAAAAGfu7pE=")</f>
        <v>#VALUE!</v>
      </c>
      <c r="EQ89" t="e">
        <f>AND('SPR BARRANQUILLA'!AS105,"AAAAAGfu7pI=")</f>
        <v>#VALUE!</v>
      </c>
      <c r="ER89" t="e">
        <f>AND('SPR BARRANQUILLA'!AT105,"AAAAAGfu7pM=")</f>
        <v>#VALUE!</v>
      </c>
      <c r="ES89" t="e">
        <f>AND('SPR BARRANQUILLA'!AU105,"AAAAAGfu7pQ=")</f>
        <v>#VALUE!</v>
      </c>
      <c r="ET89" t="e">
        <f>AND('SPR BARRANQUILLA'!AV105,"AAAAAGfu7pU=")</f>
        <v>#VALUE!</v>
      </c>
      <c r="EU89" t="e">
        <f>AND('SPR BARRANQUILLA'!AW105,"AAAAAGfu7pY=")</f>
        <v>#VALUE!</v>
      </c>
      <c r="EV89" t="e">
        <f>AND('SPR BARRANQUILLA'!AX105,"AAAAAGfu7pc=")</f>
        <v>#VALUE!</v>
      </c>
      <c r="EW89" t="e">
        <f>AND('SPR BARRANQUILLA'!AY105,"AAAAAGfu7pg=")</f>
        <v>#VALUE!</v>
      </c>
      <c r="EX89" t="e">
        <f>AND('SPR BARRANQUILLA'!AZ105,"AAAAAGfu7pk=")</f>
        <v>#VALUE!</v>
      </c>
      <c r="EY89" t="e">
        <f>AND('SPR BARRANQUILLA'!BA105,"AAAAAGfu7po=")</f>
        <v>#VALUE!</v>
      </c>
      <c r="EZ89" t="e">
        <f>AND('SPR BARRANQUILLA'!BB105,"AAAAAGfu7ps=")</f>
        <v>#VALUE!</v>
      </c>
      <c r="FA89" t="e">
        <f>AND('SPR BARRANQUILLA'!BC105,"AAAAAGfu7pw=")</f>
        <v>#VALUE!</v>
      </c>
      <c r="FB89" t="e">
        <f>AND('SPR BARRANQUILLA'!BD105,"AAAAAGfu7p0=")</f>
        <v>#VALUE!</v>
      </c>
      <c r="FC89" t="e">
        <f>AND('SPR BARRANQUILLA'!BE105,"AAAAAGfu7p4=")</f>
        <v>#VALUE!</v>
      </c>
      <c r="FD89" t="e">
        <f>AND('SPR BARRANQUILLA'!BF105,"AAAAAGfu7p8=")</f>
        <v>#VALUE!</v>
      </c>
      <c r="FE89" t="e">
        <f>AND('SPR BARRANQUILLA'!BG105,"AAAAAGfu7qA=")</f>
        <v>#VALUE!</v>
      </c>
      <c r="FF89" t="e">
        <f>AND('SPR BARRANQUILLA'!BH105,"AAAAAGfu7qE=")</f>
        <v>#VALUE!</v>
      </c>
      <c r="FG89" t="e">
        <f>AND('SPR BARRANQUILLA'!BI105,"AAAAAGfu7qI=")</f>
        <v>#VALUE!</v>
      </c>
      <c r="FH89" t="e">
        <f>AND('SPR BARRANQUILLA'!BJ105,"AAAAAGfu7qM=")</f>
        <v>#VALUE!</v>
      </c>
      <c r="FI89" t="e">
        <f>AND('SPR BARRANQUILLA'!BK105,"AAAAAGfu7qQ=")</f>
        <v>#VALUE!</v>
      </c>
      <c r="FJ89" t="e">
        <f>AND('SPR BARRANQUILLA'!BL105,"AAAAAGfu7qU=")</f>
        <v>#VALUE!</v>
      </c>
      <c r="FK89" t="e">
        <f>AND('SPR BARRANQUILLA'!BM105,"AAAAAGfu7qY=")</f>
        <v>#VALUE!</v>
      </c>
      <c r="FL89" t="e">
        <f>AND('SPR BARRANQUILLA'!BN105,"AAAAAGfu7qc=")</f>
        <v>#VALUE!</v>
      </c>
      <c r="FM89" t="e">
        <f>AND('SPR BARRANQUILLA'!BO105,"AAAAAGfu7qg=")</f>
        <v>#VALUE!</v>
      </c>
      <c r="FN89" t="e">
        <f>AND('SPR BARRANQUILLA'!BP105,"AAAAAGfu7qk=")</f>
        <v>#VALUE!</v>
      </c>
      <c r="FO89" t="e">
        <f>AND('SPR BARRANQUILLA'!BQ105,"AAAAAGfu7qo=")</f>
        <v>#VALUE!</v>
      </c>
      <c r="FP89" t="e">
        <f>AND('SPR BARRANQUILLA'!BR105,"AAAAAGfu7qs=")</f>
        <v>#VALUE!</v>
      </c>
      <c r="FQ89" t="e">
        <f>AND('SPR BARRANQUILLA'!BS105,"AAAAAGfu7qw=")</f>
        <v>#VALUE!</v>
      </c>
      <c r="FR89" t="e">
        <f>AND('SPR BARRANQUILLA'!BT105,"AAAAAGfu7q0=")</f>
        <v>#VALUE!</v>
      </c>
      <c r="FS89" t="e">
        <f>AND('SPR BARRANQUILLA'!BU105,"AAAAAGfu7q4=")</f>
        <v>#VALUE!</v>
      </c>
      <c r="FT89" t="e">
        <f>AND('SPR BARRANQUILLA'!BV105,"AAAAAGfu7q8=")</f>
        <v>#VALUE!</v>
      </c>
      <c r="FU89" t="e">
        <f>AND('SPR BARRANQUILLA'!BW105,"AAAAAGfu7rA=")</f>
        <v>#VALUE!</v>
      </c>
      <c r="FV89" t="e">
        <f>AND('SPR BARRANQUILLA'!BX105,"AAAAAGfu7rE=")</f>
        <v>#VALUE!</v>
      </c>
      <c r="FW89" t="e">
        <f>AND('SPR BARRANQUILLA'!BY105,"AAAAAGfu7rI=")</f>
        <v>#VALUE!</v>
      </c>
      <c r="FX89" t="e">
        <f>AND('SPR BARRANQUILLA'!BZ105,"AAAAAGfu7rM=")</f>
        <v>#VALUE!</v>
      </c>
      <c r="FY89" t="e">
        <f>AND('SPR BARRANQUILLA'!CA105,"AAAAAGfu7rQ=")</f>
        <v>#VALUE!</v>
      </c>
      <c r="FZ89" t="e">
        <f>AND('SPR BARRANQUILLA'!CB105,"AAAAAGfu7rU=")</f>
        <v>#VALUE!</v>
      </c>
      <c r="GA89" t="e">
        <f>AND('SPR BARRANQUILLA'!CC105,"AAAAAGfu7rY=")</f>
        <v>#VALUE!</v>
      </c>
      <c r="GB89" t="e">
        <f>AND('SPR BARRANQUILLA'!CD105,"AAAAAGfu7rc=")</f>
        <v>#VALUE!</v>
      </c>
      <c r="GC89" t="e">
        <f>AND('SPR BARRANQUILLA'!CE105,"AAAAAGfu7rg=")</f>
        <v>#VALUE!</v>
      </c>
      <c r="GD89" t="e">
        <f>AND('SPR BARRANQUILLA'!CF105,"AAAAAGfu7rk=")</f>
        <v>#VALUE!</v>
      </c>
      <c r="GE89" t="e">
        <f>AND('SPR BARRANQUILLA'!CG105,"AAAAAGfu7ro=")</f>
        <v>#VALUE!</v>
      </c>
      <c r="GF89" t="e">
        <f>AND('SPR BARRANQUILLA'!CH105,"AAAAAGfu7rs=")</f>
        <v>#VALUE!</v>
      </c>
      <c r="GG89" t="e">
        <f>AND('SPR BARRANQUILLA'!CI105,"AAAAAGfu7rw=")</f>
        <v>#VALUE!</v>
      </c>
      <c r="GH89" t="e">
        <f>AND('SPR BARRANQUILLA'!CJ105,"AAAAAGfu7r0=")</f>
        <v>#VALUE!</v>
      </c>
      <c r="GI89" t="e">
        <f>AND('SPR BARRANQUILLA'!CK105,"AAAAAGfu7r4=")</f>
        <v>#VALUE!</v>
      </c>
      <c r="GJ89" t="e">
        <f>AND('SPR BARRANQUILLA'!CL105,"AAAAAGfu7r8=")</f>
        <v>#VALUE!</v>
      </c>
      <c r="GK89" t="e">
        <f>AND('SPR BARRANQUILLA'!CM105,"AAAAAGfu7sA=")</f>
        <v>#VALUE!</v>
      </c>
      <c r="GL89" t="e">
        <f>AND('SPR BARRANQUILLA'!CN105,"AAAAAGfu7sE=")</f>
        <v>#VALUE!</v>
      </c>
      <c r="GM89" t="e">
        <f>AND('SPR BARRANQUILLA'!CO105,"AAAAAGfu7sI=")</f>
        <v>#VALUE!</v>
      </c>
      <c r="GN89" t="e">
        <f>AND('SPR BARRANQUILLA'!CP105,"AAAAAGfu7sM=")</f>
        <v>#VALUE!</v>
      </c>
      <c r="GO89" t="e">
        <f>AND('SPR BARRANQUILLA'!CQ105,"AAAAAGfu7sQ=")</f>
        <v>#VALUE!</v>
      </c>
      <c r="GP89" t="e">
        <f>AND('SPR BARRANQUILLA'!CR105,"AAAAAGfu7sU=")</f>
        <v>#VALUE!</v>
      </c>
      <c r="GQ89" t="e">
        <f>AND('SPR BARRANQUILLA'!CS105,"AAAAAGfu7sY=")</f>
        <v>#VALUE!</v>
      </c>
      <c r="GR89" t="e">
        <f>AND('SPR BARRANQUILLA'!CT105,"AAAAAGfu7sc=")</f>
        <v>#VALUE!</v>
      </c>
      <c r="GS89" t="e">
        <f>AND('SPR BARRANQUILLA'!CU105,"AAAAAGfu7sg=")</f>
        <v>#VALUE!</v>
      </c>
      <c r="GT89" t="e">
        <f>AND('SPR BARRANQUILLA'!CV105,"AAAAAGfu7sk=")</f>
        <v>#VALUE!</v>
      </c>
      <c r="GU89" t="e">
        <f>AND('SPR BARRANQUILLA'!CW105,"AAAAAGfu7so=")</f>
        <v>#VALUE!</v>
      </c>
      <c r="GV89" t="e">
        <f>AND('SPR BARRANQUILLA'!CX105,"AAAAAGfu7ss=")</f>
        <v>#VALUE!</v>
      </c>
      <c r="GW89" t="e">
        <f>AND('SPR BARRANQUILLA'!CY105,"AAAAAGfu7sw=")</f>
        <v>#VALUE!</v>
      </c>
      <c r="GX89" t="e">
        <f>AND('SPR BARRANQUILLA'!CZ105,"AAAAAGfu7s0=")</f>
        <v>#VALUE!</v>
      </c>
      <c r="GY89" t="e">
        <f>AND('SPR BARRANQUILLA'!DA105,"AAAAAGfu7s4=")</f>
        <v>#VALUE!</v>
      </c>
      <c r="GZ89" t="e">
        <f>AND('SPR BARRANQUILLA'!DB105,"AAAAAGfu7s8=")</f>
        <v>#VALUE!</v>
      </c>
      <c r="HA89" t="e">
        <f>AND('SPR BARRANQUILLA'!DC105,"AAAAAGfu7tA=")</f>
        <v>#VALUE!</v>
      </c>
      <c r="HB89" t="e">
        <f>AND('SPR BARRANQUILLA'!DD105,"AAAAAGfu7tE=")</f>
        <v>#VALUE!</v>
      </c>
      <c r="HC89" t="e">
        <f>AND('SPR BARRANQUILLA'!DE105,"AAAAAGfu7tI=")</f>
        <v>#VALUE!</v>
      </c>
      <c r="HD89" t="e">
        <f>AND('SPR BARRANQUILLA'!DF105,"AAAAAGfu7tM=")</f>
        <v>#VALUE!</v>
      </c>
      <c r="HE89" t="e">
        <f>AND('SPR BARRANQUILLA'!DG105,"AAAAAGfu7tQ=")</f>
        <v>#VALUE!</v>
      </c>
      <c r="HF89" t="e">
        <f>AND('SPR BARRANQUILLA'!DH105,"AAAAAGfu7tU=")</f>
        <v>#VALUE!</v>
      </c>
      <c r="HG89" t="e">
        <f>AND('SPR BARRANQUILLA'!DI105,"AAAAAGfu7tY=")</f>
        <v>#VALUE!</v>
      </c>
      <c r="HH89" t="e">
        <f>AND('SPR BARRANQUILLA'!DJ105,"AAAAAGfu7tc=")</f>
        <v>#VALUE!</v>
      </c>
      <c r="HI89" t="e">
        <f>AND('SPR BARRANQUILLA'!DK105,"AAAAAGfu7tg=")</f>
        <v>#VALUE!</v>
      </c>
      <c r="HJ89" t="e">
        <f>AND('SPR BARRANQUILLA'!DL105,"AAAAAGfu7tk=")</f>
        <v>#VALUE!</v>
      </c>
      <c r="HK89" t="e">
        <f>AND('SPR BARRANQUILLA'!DM105,"AAAAAGfu7to=")</f>
        <v>#VALUE!</v>
      </c>
      <c r="HL89" t="e">
        <f>AND('SPR BARRANQUILLA'!DN105,"AAAAAGfu7ts=")</f>
        <v>#VALUE!</v>
      </c>
      <c r="HM89" t="e">
        <f>AND('SPR BARRANQUILLA'!DO105,"AAAAAGfu7tw=")</f>
        <v>#VALUE!</v>
      </c>
      <c r="HN89" t="e">
        <f>AND('SPR BARRANQUILLA'!DP105,"AAAAAGfu7t0=")</f>
        <v>#VALUE!</v>
      </c>
      <c r="HO89" t="e">
        <f>AND('SPR BARRANQUILLA'!DQ105,"AAAAAGfu7t4=")</f>
        <v>#VALUE!</v>
      </c>
      <c r="HP89" t="e">
        <f>AND('SPR BARRANQUILLA'!DR105,"AAAAAGfu7t8=")</f>
        <v>#VALUE!</v>
      </c>
      <c r="HQ89" t="e">
        <f>AND('SPR BARRANQUILLA'!DS105,"AAAAAGfu7uA=")</f>
        <v>#VALUE!</v>
      </c>
      <c r="HR89" t="e">
        <f>AND('SPR BARRANQUILLA'!DT105,"AAAAAGfu7uE=")</f>
        <v>#VALUE!</v>
      </c>
      <c r="HS89" t="e">
        <f>AND('SPR BARRANQUILLA'!DU105,"AAAAAGfu7uI=")</f>
        <v>#VALUE!</v>
      </c>
      <c r="HT89" t="e">
        <f>AND('SPR BARRANQUILLA'!DV105,"AAAAAGfu7uM=")</f>
        <v>#VALUE!</v>
      </c>
      <c r="HU89" t="e">
        <f>AND('SPR BARRANQUILLA'!DW105,"AAAAAGfu7uQ=")</f>
        <v>#VALUE!</v>
      </c>
      <c r="HV89" t="e">
        <f>AND('SPR BARRANQUILLA'!DX105,"AAAAAGfu7uU=")</f>
        <v>#VALUE!</v>
      </c>
      <c r="HW89" t="e">
        <f>AND('SPR BARRANQUILLA'!DY105,"AAAAAGfu7uY=")</f>
        <v>#VALUE!</v>
      </c>
      <c r="HX89" t="e">
        <f>AND('SPR BARRANQUILLA'!DZ105,"AAAAAGfu7uc=")</f>
        <v>#VALUE!</v>
      </c>
      <c r="HY89" t="e">
        <f>AND('SPR BARRANQUILLA'!EA105,"AAAAAGfu7ug=")</f>
        <v>#VALUE!</v>
      </c>
      <c r="HZ89" t="e">
        <f>AND('SPR BARRANQUILLA'!EB105,"AAAAAGfu7uk=")</f>
        <v>#VALUE!</v>
      </c>
      <c r="IA89" t="e">
        <f>AND('SPR BARRANQUILLA'!EC105,"AAAAAGfu7uo=")</f>
        <v>#VALUE!</v>
      </c>
      <c r="IB89" t="e">
        <f>AND('SPR BARRANQUILLA'!ED105,"AAAAAGfu7us=")</f>
        <v>#VALUE!</v>
      </c>
      <c r="IC89" t="e">
        <f>AND('SPR BARRANQUILLA'!EE105,"AAAAAGfu7uw=")</f>
        <v>#VALUE!</v>
      </c>
      <c r="ID89" t="e">
        <f>AND('SPR BARRANQUILLA'!EF105,"AAAAAGfu7u0=")</f>
        <v>#VALUE!</v>
      </c>
      <c r="IE89" t="e">
        <f>AND('SPR BARRANQUILLA'!EG105,"AAAAAGfu7u4=")</f>
        <v>#VALUE!</v>
      </c>
      <c r="IF89" t="e">
        <f>AND('SPR BARRANQUILLA'!EH105,"AAAAAGfu7u8=")</f>
        <v>#VALUE!</v>
      </c>
      <c r="IG89" t="e">
        <f>AND('SPR BARRANQUILLA'!EI105,"AAAAAGfu7vA=")</f>
        <v>#VALUE!</v>
      </c>
      <c r="IH89" t="e">
        <f>AND('SPR BARRANQUILLA'!EJ105,"AAAAAGfu7vE=")</f>
        <v>#VALUE!</v>
      </c>
      <c r="II89" t="e">
        <f>AND('SPR BARRANQUILLA'!EK105,"AAAAAGfu7vI=")</f>
        <v>#VALUE!</v>
      </c>
      <c r="IJ89" t="e">
        <f>AND('SPR BARRANQUILLA'!EL105,"AAAAAGfu7vM=")</f>
        <v>#VALUE!</v>
      </c>
      <c r="IK89" t="e">
        <f>AND('SPR BARRANQUILLA'!EM105,"AAAAAGfu7vQ=")</f>
        <v>#VALUE!</v>
      </c>
      <c r="IL89" t="e">
        <f>AND('SPR BARRANQUILLA'!EN105,"AAAAAGfu7vU=")</f>
        <v>#VALUE!</v>
      </c>
      <c r="IM89" t="e">
        <f>AND('SPR BARRANQUILLA'!EO105,"AAAAAGfu7vY=")</f>
        <v>#VALUE!</v>
      </c>
      <c r="IN89" t="e">
        <f>AND('SPR BARRANQUILLA'!EP105,"AAAAAGfu7vc=")</f>
        <v>#VALUE!</v>
      </c>
      <c r="IO89" t="e">
        <f>AND('SPR BARRANQUILLA'!EQ105,"AAAAAGfu7vg=")</f>
        <v>#VALUE!</v>
      </c>
      <c r="IP89" t="e">
        <f>AND('SPR BARRANQUILLA'!ER105,"AAAAAGfu7vk=")</f>
        <v>#VALUE!</v>
      </c>
      <c r="IQ89" t="e">
        <f>AND('SPR BARRANQUILLA'!ES105,"AAAAAGfu7vo=")</f>
        <v>#VALUE!</v>
      </c>
      <c r="IR89" t="e">
        <f>AND('SPR BARRANQUILLA'!ET105,"AAAAAGfu7vs=")</f>
        <v>#VALUE!</v>
      </c>
      <c r="IS89" t="e">
        <f>AND('SPR BARRANQUILLA'!EU105,"AAAAAGfu7vw=")</f>
        <v>#VALUE!</v>
      </c>
      <c r="IT89" t="e">
        <f>AND('SPR BARRANQUILLA'!EV105,"AAAAAGfu7v0=")</f>
        <v>#VALUE!</v>
      </c>
      <c r="IU89" t="e">
        <f>AND('SPR BARRANQUILLA'!EW105,"AAAAAGfu7v4=")</f>
        <v>#VALUE!</v>
      </c>
      <c r="IV89" t="e">
        <f>AND('SPR BARRANQUILLA'!EX105,"AAAAAGfu7v8=")</f>
        <v>#VALUE!</v>
      </c>
    </row>
    <row r="90" spans="1:256">
      <c r="A90" t="e">
        <f>AND('SPR BARRANQUILLA'!EY105,"AAAAAH80ywA=")</f>
        <v>#VALUE!</v>
      </c>
      <c r="B90" t="e">
        <f>AND('SPR BARRANQUILLA'!EZ105,"AAAAAH80ywE=")</f>
        <v>#VALUE!</v>
      </c>
      <c r="C90" t="e">
        <f>AND('SPR BARRANQUILLA'!FA105,"AAAAAH80ywI=")</f>
        <v>#VALUE!</v>
      </c>
      <c r="D90" t="e">
        <f>AND('SPR BARRANQUILLA'!FB105,"AAAAAH80ywM=")</f>
        <v>#VALUE!</v>
      </c>
      <c r="E90" t="e">
        <f>AND('SPR BARRANQUILLA'!FC105,"AAAAAH80ywQ=")</f>
        <v>#VALUE!</v>
      </c>
      <c r="F90" t="e">
        <f>AND('SPR BARRANQUILLA'!FD105,"AAAAAH80ywU=")</f>
        <v>#VALUE!</v>
      </c>
      <c r="G90" t="e">
        <f>AND('SPR BARRANQUILLA'!FE105,"AAAAAH80ywY=")</f>
        <v>#VALUE!</v>
      </c>
      <c r="H90" t="e">
        <f>AND('SPR BARRANQUILLA'!FF105,"AAAAAH80ywc=")</f>
        <v>#VALUE!</v>
      </c>
      <c r="I90" t="e">
        <f>AND('SPR BARRANQUILLA'!FG105,"AAAAAH80ywg=")</f>
        <v>#VALUE!</v>
      </c>
      <c r="J90" t="e">
        <f>AND('SPR BARRANQUILLA'!FH105,"AAAAAH80ywk=")</f>
        <v>#VALUE!</v>
      </c>
      <c r="K90" t="e">
        <f>AND('SPR BARRANQUILLA'!FI105,"AAAAAH80ywo=")</f>
        <v>#VALUE!</v>
      </c>
      <c r="L90" t="e">
        <f>AND('SPR BARRANQUILLA'!FJ105,"AAAAAH80yws=")</f>
        <v>#VALUE!</v>
      </c>
      <c r="M90" t="e">
        <f>AND('SPR BARRANQUILLA'!FK105,"AAAAAH80yww=")</f>
        <v>#VALUE!</v>
      </c>
      <c r="N90" t="e">
        <f>AND('SPR BARRANQUILLA'!FL105,"AAAAAH80yw0=")</f>
        <v>#VALUE!</v>
      </c>
      <c r="O90" t="e">
        <f>AND('SPR BARRANQUILLA'!FM105,"AAAAAH80yw4=")</f>
        <v>#VALUE!</v>
      </c>
      <c r="P90" t="e">
        <f>AND('SPR BARRANQUILLA'!FN105,"AAAAAH80yw8=")</f>
        <v>#VALUE!</v>
      </c>
      <c r="Q90" t="e">
        <f>AND('SPR BARRANQUILLA'!FO105,"AAAAAH80yxA=")</f>
        <v>#VALUE!</v>
      </c>
      <c r="R90" t="e">
        <f>AND('SPR BARRANQUILLA'!FP105,"AAAAAH80yxE=")</f>
        <v>#VALUE!</v>
      </c>
      <c r="S90" t="e">
        <f>AND('SPR BARRANQUILLA'!FQ105,"AAAAAH80yxI=")</f>
        <v>#VALUE!</v>
      </c>
      <c r="T90" t="e">
        <f>AND('SPR BARRANQUILLA'!FR105,"AAAAAH80yxM=")</f>
        <v>#VALUE!</v>
      </c>
      <c r="U90" t="e">
        <f>AND('SPR BARRANQUILLA'!FS105,"AAAAAH80yxQ=")</f>
        <v>#VALUE!</v>
      </c>
      <c r="V90" t="e">
        <f>AND('SPR BARRANQUILLA'!FT105,"AAAAAH80yxU=")</f>
        <v>#VALUE!</v>
      </c>
      <c r="W90" t="e">
        <f>AND('SPR BARRANQUILLA'!FU105,"AAAAAH80yxY=")</f>
        <v>#VALUE!</v>
      </c>
      <c r="X90" t="e">
        <f>AND('SPR BARRANQUILLA'!FV105,"AAAAAH80yxc=")</f>
        <v>#VALUE!</v>
      </c>
      <c r="Y90" t="e">
        <f>AND('SPR BARRANQUILLA'!FW105,"AAAAAH80yxg=")</f>
        <v>#VALUE!</v>
      </c>
      <c r="Z90" t="e">
        <f>AND('SPR BARRANQUILLA'!FX105,"AAAAAH80yxk=")</f>
        <v>#VALUE!</v>
      </c>
      <c r="AA90" t="e">
        <f>AND('SPR BARRANQUILLA'!FY105,"AAAAAH80yxo=")</f>
        <v>#VALUE!</v>
      </c>
      <c r="AB90" t="e">
        <f>AND('SPR BARRANQUILLA'!FZ105,"AAAAAH80yxs=")</f>
        <v>#VALUE!</v>
      </c>
      <c r="AC90" t="e">
        <f>AND('SPR BARRANQUILLA'!GA105,"AAAAAH80yxw=")</f>
        <v>#VALUE!</v>
      </c>
      <c r="AD90" t="e">
        <f>AND('SPR BARRANQUILLA'!GB105,"AAAAAH80yx0=")</f>
        <v>#VALUE!</v>
      </c>
      <c r="AE90" t="e">
        <f>AND('SPR BARRANQUILLA'!GC105,"AAAAAH80yx4=")</f>
        <v>#VALUE!</v>
      </c>
      <c r="AF90" t="e">
        <f>AND('SPR BARRANQUILLA'!GD105,"AAAAAH80yx8=")</f>
        <v>#VALUE!</v>
      </c>
      <c r="AG90" t="e">
        <f>AND('SPR BARRANQUILLA'!GE105,"AAAAAH80yyA=")</f>
        <v>#VALUE!</v>
      </c>
      <c r="AH90" t="e">
        <f>AND('SPR BARRANQUILLA'!GF105,"AAAAAH80yyE=")</f>
        <v>#VALUE!</v>
      </c>
      <c r="AI90" t="e">
        <f>AND('SPR BARRANQUILLA'!GG105,"AAAAAH80yyI=")</f>
        <v>#VALUE!</v>
      </c>
      <c r="AJ90" t="e">
        <f>AND('SPR BARRANQUILLA'!GH105,"AAAAAH80yyM=")</f>
        <v>#VALUE!</v>
      </c>
      <c r="AK90" t="e">
        <f>AND('SPR BARRANQUILLA'!GI105,"AAAAAH80yyQ=")</f>
        <v>#VALUE!</v>
      </c>
      <c r="AL90" t="e">
        <f>AND('SPR BARRANQUILLA'!GJ105,"AAAAAH80yyU=")</f>
        <v>#VALUE!</v>
      </c>
      <c r="AM90" t="e">
        <f>AND('SPR BARRANQUILLA'!GK105,"AAAAAH80yyY=")</f>
        <v>#VALUE!</v>
      </c>
      <c r="AN90" t="e">
        <f>AND('SPR BARRANQUILLA'!GL105,"AAAAAH80yyc=")</f>
        <v>#VALUE!</v>
      </c>
      <c r="AO90" t="e">
        <f>AND('SPR BARRANQUILLA'!GM105,"AAAAAH80yyg=")</f>
        <v>#VALUE!</v>
      </c>
      <c r="AP90" t="e">
        <f>AND('SPR BARRANQUILLA'!GN105,"AAAAAH80yyk=")</f>
        <v>#VALUE!</v>
      </c>
      <c r="AQ90" t="e">
        <f>AND('SPR BARRANQUILLA'!GO105,"AAAAAH80yyo=")</f>
        <v>#VALUE!</v>
      </c>
      <c r="AR90" t="e">
        <f>AND('SPR BARRANQUILLA'!GP105,"AAAAAH80yys=")</f>
        <v>#VALUE!</v>
      </c>
      <c r="AS90" t="e">
        <f>AND('SPR BARRANQUILLA'!GQ105,"AAAAAH80yyw=")</f>
        <v>#VALUE!</v>
      </c>
      <c r="AT90" t="e">
        <f>AND('SPR BARRANQUILLA'!GR105,"AAAAAH80yy0=")</f>
        <v>#VALUE!</v>
      </c>
      <c r="AU90" t="e">
        <f>AND('SPR BARRANQUILLA'!GS105,"AAAAAH80yy4=")</f>
        <v>#VALUE!</v>
      </c>
      <c r="AV90" t="e">
        <f>AND('SPR BARRANQUILLA'!GT105,"AAAAAH80yy8=")</f>
        <v>#VALUE!</v>
      </c>
      <c r="AW90" t="e">
        <f>AND('SPR BARRANQUILLA'!GU105,"AAAAAH80yzA=")</f>
        <v>#VALUE!</v>
      </c>
      <c r="AX90" t="e">
        <f>AND('SPR BARRANQUILLA'!GV105,"AAAAAH80yzE=")</f>
        <v>#VALUE!</v>
      </c>
      <c r="AY90" t="e">
        <f>AND('SPR BARRANQUILLA'!GW105,"AAAAAH80yzI=")</f>
        <v>#VALUE!</v>
      </c>
      <c r="AZ90" t="e">
        <f>AND('SPR BARRANQUILLA'!GX105,"AAAAAH80yzM=")</f>
        <v>#VALUE!</v>
      </c>
      <c r="BA90" t="e">
        <f>AND('SPR BARRANQUILLA'!GY105,"AAAAAH80yzQ=")</f>
        <v>#VALUE!</v>
      </c>
      <c r="BB90">
        <f>IF('SPR BARRANQUILLA'!106:106,"AAAAAH80yzU=",0)</f>
        <v>0</v>
      </c>
      <c r="BC90" t="e">
        <f>AND('SPR BARRANQUILLA'!A106,"AAAAAH80yzY=")</f>
        <v>#VALUE!</v>
      </c>
      <c r="BD90" t="e">
        <f>AND('SPR BARRANQUILLA'!B106,"AAAAAH80yzc=")</f>
        <v>#VALUE!</v>
      </c>
      <c r="BE90" t="e">
        <f>AND('SPR BARRANQUILLA'!C106,"AAAAAH80yzg=")</f>
        <v>#VALUE!</v>
      </c>
      <c r="BF90" t="e">
        <f>AND('SPR BARRANQUILLA'!D106,"AAAAAH80yzk=")</f>
        <v>#VALUE!</v>
      </c>
      <c r="BG90" t="e">
        <f>AND('SPR BARRANQUILLA'!E106,"AAAAAH80yzo=")</f>
        <v>#VALUE!</v>
      </c>
      <c r="BH90" t="e">
        <f>AND('SPR BARRANQUILLA'!F106,"AAAAAH80yzs=")</f>
        <v>#VALUE!</v>
      </c>
      <c r="BI90" t="e">
        <f>AND('SPR BARRANQUILLA'!G106,"AAAAAH80yzw=")</f>
        <v>#VALUE!</v>
      </c>
      <c r="BJ90" t="e">
        <f>AND('SPR BARRANQUILLA'!H106,"AAAAAH80yz0=")</f>
        <v>#VALUE!</v>
      </c>
      <c r="BK90" t="e">
        <f>AND('SPR BARRANQUILLA'!I106,"AAAAAH80yz4=")</f>
        <v>#VALUE!</v>
      </c>
      <c r="BL90" t="e">
        <f>AND('SPR BARRANQUILLA'!J106,"AAAAAH80yz8=")</f>
        <v>#VALUE!</v>
      </c>
      <c r="BM90" t="e">
        <f>AND('SPR BARRANQUILLA'!K106,"AAAAAH80y0A=")</f>
        <v>#VALUE!</v>
      </c>
      <c r="BN90" t="e">
        <f>AND('SPR BARRANQUILLA'!L106,"AAAAAH80y0E=")</f>
        <v>#VALUE!</v>
      </c>
      <c r="BO90" t="e">
        <f>AND('SPR BARRANQUILLA'!M106,"AAAAAH80y0I=")</f>
        <v>#VALUE!</v>
      </c>
      <c r="BP90" t="e">
        <f>AND('SPR BARRANQUILLA'!N106,"AAAAAH80y0M=")</f>
        <v>#VALUE!</v>
      </c>
      <c r="BQ90" t="e">
        <f>AND('SPR BARRANQUILLA'!O106,"AAAAAH80y0Q=")</f>
        <v>#VALUE!</v>
      </c>
      <c r="BR90" t="e">
        <f>AND('SPR BARRANQUILLA'!P106,"AAAAAH80y0U=")</f>
        <v>#VALUE!</v>
      </c>
      <c r="BS90" t="e">
        <f>AND('SPR BARRANQUILLA'!Q106,"AAAAAH80y0Y=")</f>
        <v>#VALUE!</v>
      </c>
      <c r="BT90" t="e">
        <f>AND('SPR BARRANQUILLA'!R106,"AAAAAH80y0c=")</f>
        <v>#VALUE!</v>
      </c>
      <c r="BU90" t="e">
        <f>AND('SPR BARRANQUILLA'!S106,"AAAAAH80y0g=")</f>
        <v>#VALUE!</v>
      </c>
      <c r="BV90" t="e">
        <f>AND('SPR BARRANQUILLA'!T106,"AAAAAH80y0k=")</f>
        <v>#VALUE!</v>
      </c>
      <c r="BW90" t="e">
        <f>AND('SPR BARRANQUILLA'!U106,"AAAAAH80y0o=")</f>
        <v>#VALUE!</v>
      </c>
      <c r="BX90" t="e">
        <f>AND('SPR BARRANQUILLA'!V106,"AAAAAH80y0s=")</f>
        <v>#VALUE!</v>
      </c>
      <c r="BY90" t="e">
        <f>AND('SPR BARRANQUILLA'!W106,"AAAAAH80y0w=")</f>
        <v>#VALUE!</v>
      </c>
      <c r="BZ90" t="e">
        <f>AND('SPR BARRANQUILLA'!X106,"AAAAAH80y00=")</f>
        <v>#VALUE!</v>
      </c>
      <c r="CA90" t="e">
        <f>AND('SPR BARRANQUILLA'!Y106,"AAAAAH80y04=")</f>
        <v>#VALUE!</v>
      </c>
      <c r="CB90" t="e">
        <f>AND('SPR BARRANQUILLA'!Z106,"AAAAAH80y08=")</f>
        <v>#VALUE!</v>
      </c>
      <c r="CC90" t="e">
        <f>AND('SPR BARRANQUILLA'!AA106,"AAAAAH80y1A=")</f>
        <v>#VALUE!</v>
      </c>
      <c r="CD90" t="e">
        <f>AND('SPR BARRANQUILLA'!AB106,"AAAAAH80y1E=")</f>
        <v>#VALUE!</v>
      </c>
      <c r="CE90" t="e">
        <f>AND('SPR BARRANQUILLA'!AC106,"AAAAAH80y1I=")</f>
        <v>#VALUE!</v>
      </c>
      <c r="CF90" t="e">
        <f>AND('SPR BARRANQUILLA'!AD106,"AAAAAH80y1M=")</f>
        <v>#VALUE!</v>
      </c>
      <c r="CG90" t="e">
        <f>AND('SPR BARRANQUILLA'!AE106,"AAAAAH80y1Q=")</f>
        <v>#VALUE!</v>
      </c>
      <c r="CH90" t="e">
        <f>AND('SPR BARRANQUILLA'!AF106,"AAAAAH80y1U=")</f>
        <v>#VALUE!</v>
      </c>
      <c r="CI90" t="e">
        <f>AND('SPR BARRANQUILLA'!AG106,"AAAAAH80y1Y=")</f>
        <v>#VALUE!</v>
      </c>
      <c r="CJ90" t="e">
        <f>AND('SPR BARRANQUILLA'!AH106,"AAAAAH80y1c=")</f>
        <v>#VALUE!</v>
      </c>
      <c r="CK90" t="e">
        <f>AND('SPR BARRANQUILLA'!AI106,"AAAAAH80y1g=")</f>
        <v>#VALUE!</v>
      </c>
      <c r="CL90" t="e">
        <f>AND('SPR BARRANQUILLA'!AJ106,"AAAAAH80y1k=")</f>
        <v>#VALUE!</v>
      </c>
      <c r="CM90" t="e">
        <f>AND('SPR BARRANQUILLA'!AK106,"AAAAAH80y1o=")</f>
        <v>#VALUE!</v>
      </c>
      <c r="CN90" t="e">
        <f>AND('SPR BARRANQUILLA'!AL106,"AAAAAH80y1s=")</f>
        <v>#VALUE!</v>
      </c>
      <c r="CO90" t="e">
        <f>AND('SPR BARRANQUILLA'!AM106,"AAAAAH80y1w=")</f>
        <v>#VALUE!</v>
      </c>
      <c r="CP90" t="e">
        <f>AND('SPR BARRANQUILLA'!AN106,"AAAAAH80y10=")</f>
        <v>#VALUE!</v>
      </c>
      <c r="CQ90" t="e">
        <f>AND('SPR BARRANQUILLA'!AO106,"AAAAAH80y14=")</f>
        <v>#VALUE!</v>
      </c>
      <c r="CR90" t="e">
        <f>AND('SPR BARRANQUILLA'!AP106,"AAAAAH80y18=")</f>
        <v>#VALUE!</v>
      </c>
      <c r="CS90" t="e">
        <f>AND('SPR BARRANQUILLA'!AQ106,"AAAAAH80y2A=")</f>
        <v>#VALUE!</v>
      </c>
      <c r="CT90" t="e">
        <f>AND('SPR BARRANQUILLA'!AR106,"AAAAAH80y2E=")</f>
        <v>#VALUE!</v>
      </c>
      <c r="CU90" t="e">
        <f>AND('SPR BARRANQUILLA'!AS106,"AAAAAH80y2I=")</f>
        <v>#VALUE!</v>
      </c>
      <c r="CV90" t="e">
        <f>AND('SPR BARRANQUILLA'!AT106,"AAAAAH80y2M=")</f>
        <v>#VALUE!</v>
      </c>
      <c r="CW90" t="e">
        <f>AND('SPR BARRANQUILLA'!AU106,"AAAAAH80y2Q=")</f>
        <v>#VALUE!</v>
      </c>
      <c r="CX90" t="e">
        <f>AND('SPR BARRANQUILLA'!AV106,"AAAAAH80y2U=")</f>
        <v>#VALUE!</v>
      </c>
      <c r="CY90" t="e">
        <f>AND('SPR BARRANQUILLA'!AW106,"AAAAAH80y2Y=")</f>
        <v>#VALUE!</v>
      </c>
      <c r="CZ90" t="e">
        <f>AND('SPR BARRANQUILLA'!AX106,"AAAAAH80y2c=")</f>
        <v>#VALUE!</v>
      </c>
      <c r="DA90" t="e">
        <f>AND('SPR BARRANQUILLA'!AY106,"AAAAAH80y2g=")</f>
        <v>#VALUE!</v>
      </c>
      <c r="DB90" t="e">
        <f>AND('SPR BARRANQUILLA'!AZ106,"AAAAAH80y2k=")</f>
        <v>#VALUE!</v>
      </c>
      <c r="DC90" t="e">
        <f>AND('SPR BARRANQUILLA'!BA106,"AAAAAH80y2o=")</f>
        <v>#VALUE!</v>
      </c>
      <c r="DD90" t="e">
        <f>AND('SPR BARRANQUILLA'!BB106,"AAAAAH80y2s=")</f>
        <v>#VALUE!</v>
      </c>
      <c r="DE90" t="e">
        <f>AND('SPR BARRANQUILLA'!BC106,"AAAAAH80y2w=")</f>
        <v>#VALUE!</v>
      </c>
      <c r="DF90" t="e">
        <f>AND('SPR BARRANQUILLA'!BD106,"AAAAAH80y20=")</f>
        <v>#VALUE!</v>
      </c>
      <c r="DG90" t="e">
        <f>AND('SPR BARRANQUILLA'!BE106,"AAAAAH80y24=")</f>
        <v>#VALUE!</v>
      </c>
      <c r="DH90" t="e">
        <f>AND('SPR BARRANQUILLA'!BF106,"AAAAAH80y28=")</f>
        <v>#VALUE!</v>
      </c>
      <c r="DI90" t="e">
        <f>AND('SPR BARRANQUILLA'!BG106,"AAAAAH80y3A=")</f>
        <v>#VALUE!</v>
      </c>
      <c r="DJ90" t="e">
        <f>AND('SPR BARRANQUILLA'!BH106,"AAAAAH80y3E=")</f>
        <v>#VALUE!</v>
      </c>
      <c r="DK90" t="e">
        <f>AND('SPR BARRANQUILLA'!BI106,"AAAAAH80y3I=")</f>
        <v>#VALUE!</v>
      </c>
      <c r="DL90" t="e">
        <f>AND('SPR BARRANQUILLA'!BJ106,"AAAAAH80y3M=")</f>
        <v>#VALUE!</v>
      </c>
      <c r="DM90" t="e">
        <f>AND('SPR BARRANQUILLA'!BK106,"AAAAAH80y3Q=")</f>
        <v>#VALUE!</v>
      </c>
      <c r="DN90" t="e">
        <f>AND('SPR BARRANQUILLA'!BL106,"AAAAAH80y3U=")</f>
        <v>#VALUE!</v>
      </c>
      <c r="DO90" t="e">
        <f>AND('SPR BARRANQUILLA'!BM106,"AAAAAH80y3Y=")</f>
        <v>#VALUE!</v>
      </c>
      <c r="DP90" t="e">
        <f>AND('SPR BARRANQUILLA'!BN106,"AAAAAH80y3c=")</f>
        <v>#VALUE!</v>
      </c>
      <c r="DQ90" t="e">
        <f>AND('SPR BARRANQUILLA'!BO106,"AAAAAH80y3g=")</f>
        <v>#VALUE!</v>
      </c>
      <c r="DR90" t="e">
        <f>AND('SPR BARRANQUILLA'!BP106,"AAAAAH80y3k=")</f>
        <v>#VALUE!</v>
      </c>
      <c r="DS90" t="e">
        <f>AND('SPR BARRANQUILLA'!BQ106,"AAAAAH80y3o=")</f>
        <v>#VALUE!</v>
      </c>
      <c r="DT90" t="e">
        <f>AND('SPR BARRANQUILLA'!BR106,"AAAAAH80y3s=")</f>
        <v>#VALUE!</v>
      </c>
      <c r="DU90" t="e">
        <f>AND('SPR BARRANQUILLA'!BS106,"AAAAAH80y3w=")</f>
        <v>#VALUE!</v>
      </c>
      <c r="DV90" t="e">
        <f>AND('SPR BARRANQUILLA'!BT106,"AAAAAH80y30=")</f>
        <v>#VALUE!</v>
      </c>
      <c r="DW90" t="e">
        <f>AND('SPR BARRANQUILLA'!BU106,"AAAAAH80y34=")</f>
        <v>#VALUE!</v>
      </c>
      <c r="DX90" t="e">
        <f>AND('SPR BARRANQUILLA'!BV106,"AAAAAH80y38=")</f>
        <v>#VALUE!</v>
      </c>
      <c r="DY90" t="e">
        <f>AND('SPR BARRANQUILLA'!BW106,"AAAAAH80y4A=")</f>
        <v>#VALUE!</v>
      </c>
      <c r="DZ90" t="e">
        <f>AND('SPR BARRANQUILLA'!BX106,"AAAAAH80y4E=")</f>
        <v>#VALUE!</v>
      </c>
      <c r="EA90" t="e">
        <f>AND('SPR BARRANQUILLA'!BY106,"AAAAAH80y4I=")</f>
        <v>#VALUE!</v>
      </c>
      <c r="EB90" t="e">
        <f>AND('SPR BARRANQUILLA'!BZ106,"AAAAAH80y4M=")</f>
        <v>#VALUE!</v>
      </c>
      <c r="EC90" t="e">
        <f>AND('SPR BARRANQUILLA'!CA106,"AAAAAH80y4Q=")</f>
        <v>#VALUE!</v>
      </c>
      <c r="ED90" t="e">
        <f>AND('SPR BARRANQUILLA'!CB106,"AAAAAH80y4U=")</f>
        <v>#VALUE!</v>
      </c>
      <c r="EE90" t="e">
        <f>AND('SPR BARRANQUILLA'!CC106,"AAAAAH80y4Y=")</f>
        <v>#VALUE!</v>
      </c>
      <c r="EF90" t="e">
        <f>AND('SPR BARRANQUILLA'!CD106,"AAAAAH80y4c=")</f>
        <v>#VALUE!</v>
      </c>
      <c r="EG90" t="e">
        <f>AND('SPR BARRANQUILLA'!CE106,"AAAAAH80y4g=")</f>
        <v>#VALUE!</v>
      </c>
      <c r="EH90" t="e">
        <f>AND('SPR BARRANQUILLA'!CF106,"AAAAAH80y4k=")</f>
        <v>#VALUE!</v>
      </c>
      <c r="EI90" t="e">
        <f>AND('SPR BARRANQUILLA'!CG106,"AAAAAH80y4o=")</f>
        <v>#VALUE!</v>
      </c>
      <c r="EJ90" t="e">
        <f>AND('SPR BARRANQUILLA'!CH106,"AAAAAH80y4s=")</f>
        <v>#VALUE!</v>
      </c>
      <c r="EK90" t="e">
        <f>AND('SPR BARRANQUILLA'!CI106,"AAAAAH80y4w=")</f>
        <v>#VALUE!</v>
      </c>
      <c r="EL90" t="e">
        <f>AND('SPR BARRANQUILLA'!CJ106,"AAAAAH80y40=")</f>
        <v>#VALUE!</v>
      </c>
      <c r="EM90" t="e">
        <f>AND('SPR BARRANQUILLA'!CK106,"AAAAAH80y44=")</f>
        <v>#VALUE!</v>
      </c>
      <c r="EN90" t="e">
        <f>AND('SPR BARRANQUILLA'!CL106,"AAAAAH80y48=")</f>
        <v>#VALUE!</v>
      </c>
      <c r="EO90" t="e">
        <f>AND('SPR BARRANQUILLA'!CM106,"AAAAAH80y5A=")</f>
        <v>#VALUE!</v>
      </c>
      <c r="EP90" t="e">
        <f>AND('SPR BARRANQUILLA'!CN106,"AAAAAH80y5E=")</f>
        <v>#VALUE!</v>
      </c>
      <c r="EQ90" t="e">
        <f>AND('SPR BARRANQUILLA'!CO106,"AAAAAH80y5I=")</f>
        <v>#VALUE!</v>
      </c>
      <c r="ER90" t="e">
        <f>AND('SPR BARRANQUILLA'!CP106,"AAAAAH80y5M=")</f>
        <v>#VALUE!</v>
      </c>
      <c r="ES90" t="e">
        <f>AND('SPR BARRANQUILLA'!CQ106,"AAAAAH80y5Q=")</f>
        <v>#VALUE!</v>
      </c>
      <c r="ET90" t="e">
        <f>AND('SPR BARRANQUILLA'!CR106,"AAAAAH80y5U=")</f>
        <v>#VALUE!</v>
      </c>
      <c r="EU90" t="e">
        <f>AND('SPR BARRANQUILLA'!CS106,"AAAAAH80y5Y=")</f>
        <v>#VALUE!</v>
      </c>
      <c r="EV90" t="e">
        <f>AND('SPR BARRANQUILLA'!CT106,"AAAAAH80y5c=")</f>
        <v>#VALUE!</v>
      </c>
      <c r="EW90" t="e">
        <f>AND('SPR BARRANQUILLA'!CU106,"AAAAAH80y5g=")</f>
        <v>#VALUE!</v>
      </c>
      <c r="EX90" t="e">
        <f>AND('SPR BARRANQUILLA'!CV106,"AAAAAH80y5k=")</f>
        <v>#VALUE!</v>
      </c>
      <c r="EY90" t="e">
        <f>AND('SPR BARRANQUILLA'!CW106,"AAAAAH80y5o=")</f>
        <v>#VALUE!</v>
      </c>
      <c r="EZ90" t="e">
        <f>AND('SPR BARRANQUILLA'!CX106,"AAAAAH80y5s=")</f>
        <v>#VALUE!</v>
      </c>
      <c r="FA90" t="e">
        <f>AND('SPR BARRANQUILLA'!CY106,"AAAAAH80y5w=")</f>
        <v>#VALUE!</v>
      </c>
      <c r="FB90" t="e">
        <f>AND('SPR BARRANQUILLA'!CZ106,"AAAAAH80y50=")</f>
        <v>#VALUE!</v>
      </c>
      <c r="FC90" t="e">
        <f>AND('SPR BARRANQUILLA'!DA106,"AAAAAH80y54=")</f>
        <v>#VALUE!</v>
      </c>
      <c r="FD90" t="e">
        <f>AND('SPR BARRANQUILLA'!DB106,"AAAAAH80y58=")</f>
        <v>#VALUE!</v>
      </c>
      <c r="FE90" t="e">
        <f>AND('SPR BARRANQUILLA'!DC106,"AAAAAH80y6A=")</f>
        <v>#VALUE!</v>
      </c>
      <c r="FF90" t="e">
        <f>AND('SPR BARRANQUILLA'!DD106,"AAAAAH80y6E=")</f>
        <v>#VALUE!</v>
      </c>
      <c r="FG90" t="e">
        <f>AND('SPR BARRANQUILLA'!DE106,"AAAAAH80y6I=")</f>
        <v>#VALUE!</v>
      </c>
      <c r="FH90" t="e">
        <f>AND('SPR BARRANQUILLA'!DF106,"AAAAAH80y6M=")</f>
        <v>#VALUE!</v>
      </c>
      <c r="FI90" t="e">
        <f>AND('SPR BARRANQUILLA'!DG106,"AAAAAH80y6Q=")</f>
        <v>#VALUE!</v>
      </c>
      <c r="FJ90" t="e">
        <f>AND('SPR BARRANQUILLA'!DH106,"AAAAAH80y6U=")</f>
        <v>#VALUE!</v>
      </c>
      <c r="FK90" t="e">
        <f>AND('SPR BARRANQUILLA'!DI106,"AAAAAH80y6Y=")</f>
        <v>#VALUE!</v>
      </c>
      <c r="FL90" t="e">
        <f>AND('SPR BARRANQUILLA'!DJ106,"AAAAAH80y6c=")</f>
        <v>#VALUE!</v>
      </c>
      <c r="FM90" t="e">
        <f>AND('SPR BARRANQUILLA'!DK106,"AAAAAH80y6g=")</f>
        <v>#VALUE!</v>
      </c>
      <c r="FN90" t="e">
        <f>AND('SPR BARRANQUILLA'!DL106,"AAAAAH80y6k=")</f>
        <v>#VALUE!</v>
      </c>
      <c r="FO90" t="e">
        <f>AND('SPR BARRANQUILLA'!DM106,"AAAAAH80y6o=")</f>
        <v>#VALUE!</v>
      </c>
      <c r="FP90" t="e">
        <f>AND('SPR BARRANQUILLA'!DN106,"AAAAAH80y6s=")</f>
        <v>#VALUE!</v>
      </c>
      <c r="FQ90" t="e">
        <f>AND('SPR BARRANQUILLA'!DO106,"AAAAAH80y6w=")</f>
        <v>#VALUE!</v>
      </c>
      <c r="FR90" t="e">
        <f>AND('SPR BARRANQUILLA'!DP106,"AAAAAH80y60=")</f>
        <v>#VALUE!</v>
      </c>
      <c r="FS90" t="e">
        <f>AND('SPR BARRANQUILLA'!DQ106,"AAAAAH80y64=")</f>
        <v>#VALUE!</v>
      </c>
      <c r="FT90" t="e">
        <f>AND('SPR BARRANQUILLA'!DR106,"AAAAAH80y68=")</f>
        <v>#VALUE!</v>
      </c>
      <c r="FU90" t="e">
        <f>AND('SPR BARRANQUILLA'!DS106,"AAAAAH80y7A=")</f>
        <v>#VALUE!</v>
      </c>
      <c r="FV90" t="e">
        <f>AND('SPR BARRANQUILLA'!DT106,"AAAAAH80y7E=")</f>
        <v>#VALUE!</v>
      </c>
      <c r="FW90" t="e">
        <f>AND('SPR BARRANQUILLA'!DU106,"AAAAAH80y7I=")</f>
        <v>#VALUE!</v>
      </c>
      <c r="FX90" t="e">
        <f>AND('SPR BARRANQUILLA'!DV106,"AAAAAH80y7M=")</f>
        <v>#VALUE!</v>
      </c>
      <c r="FY90" t="e">
        <f>AND('SPR BARRANQUILLA'!DW106,"AAAAAH80y7Q=")</f>
        <v>#VALUE!</v>
      </c>
      <c r="FZ90" t="e">
        <f>AND('SPR BARRANQUILLA'!DX106,"AAAAAH80y7U=")</f>
        <v>#VALUE!</v>
      </c>
      <c r="GA90" t="e">
        <f>AND('SPR BARRANQUILLA'!DY106,"AAAAAH80y7Y=")</f>
        <v>#VALUE!</v>
      </c>
      <c r="GB90" t="e">
        <f>AND('SPR BARRANQUILLA'!DZ106,"AAAAAH80y7c=")</f>
        <v>#VALUE!</v>
      </c>
      <c r="GC90" t="e">
        <f>AND('SPR BARRANQUILLA'!EA106,"AAAAAH80y7g=")</f>
        <v>#VALUE!</v>
      </c>
      <c r="GD90" t="e">
        <f>AND('SPR BARRANQUILLA'!EB106,"AAAAAH80y7k=")</f>
        <v>#VALUE!</v>
      </c>
      <c r="GE90" t="e">
        <f>AND('SPR BARRANQUILLA'!EC106,"AAAAAH80y7o=")</f>
        <v>#VALUE!</v>
      </c>
      <c r="GF90" t="e">
        <f>AND('SPR BARRANQUILLA'!ED106,"AAAAAH80y7s=")</f>
        <v>#VALUE!</v>
      </c>
      <c r="GG90" t="e">
        <f>AND('SPR BARRANQUILLA'!EE106,"AAAAAH80y7w=")</f>
        <v>#VALUE!</v>
      </c>
      <c r="GH90" t="e">
        <f>AND('SPR BARRANQUILLA'!EF106,"AAAAAH80y70=")</f>
        <v>#VALUE!</v>
      </c>
      <c r="GI90" t="e">
        <f>AND('SPR BARRANQUILLA'!EG106,"AAAAAH80y74=")</f>
        <v>#VALUE!</v>
      </c>
      <c r="GJ90" t="e">
        <f>AND('SPR BARRANQUILLA'!EH106,"AAAAAH80y78=")</f>
        <v>#VALUE!</v>
      </c>
      <c r="GK90" t="e">
        <f>AND('SPR BARRANQUILLA'!EI106,"AAAAAH80y8A=")</f>
        <v>#VALUE!</v>
      </c>
      <c r="GL90" t="e">
        <f>AND('SPR BARRANQUILLA'!EJ106,"AAAAAH80y8E=")</f>
        <v>#VALUE!</v>
      </c>
      <c r="GM90" t="e">
        <f>AND('SPR BARRANQUILLA'!EK106,"AAAAAH80y8I=")</f>
        <v>#VALUE!</v>
      </c>
      <c r="GN90" t="e">
        <f>AND('SPR BARRANQUILLA'!EL106,"AAAAAH80y8M=")</f>
        <v>#VALUE!</v>
      </c>
      <c r="GO90" t="e">
        <f>AND('SPR BARRANQUILLA'!EM106,"AAAAAH80y8Q=")</f>
        <v>#VALUE!</v>
      </c>
      <c r="GP90" t="e">
        <f>AND('SPR BARRANQUILLA'!EN106,"AAAAAH80y8U=")</f>
        <v>#VALUE!</v>
      </c>
      <c r="GQ90" t="e">
        <f>AND('SPR BARRANQUILLA'!EO106,"AAAAAH80y8Y=")</f>
        <v>#VALUE!</v>
      </c>
      <c r="GR90" t="e">
        <f>AND('SPR BARRANQUILLA'!EP106,"AAAAAH80y8c=")</f>
        <v>#VALUE!</v>
      </c>
      <c r="GS90" t="e">
        <f>AND('SPR BARRANQUILLA'!EQ106,"AAAAAH80y8g=")</f>
        <v>#VALUE!</v>
      </c>
      <c r="GT90" t="e">
        <f>AND('SPR BARRANQUILLA'!ER106,"AAAAAH80y8k=")</f>
        <v>#VALUE!</v>
      </c>
      <c r="GU90" t="e">
        <f>AND('SPR BARRANQUILLA'!ES106,"AAAAAH80y8o=")</f>
        <v>#VALUE!</v>
      </c>
      <c r="GV90" t="e">
        <f>AND('SPR BARRANQUILLA'!ET106,"AAAAAH80y8s=")</f>
        <v>#VALUE!</v>
      </c>
      <c r="GW90" t="e">
        <f>AND('SPR BARRANQUILLA'!EU106,"AAAAAH80y8w=")</f>
        <v>#VALUE!</v>
      </c>
      <c r="GX90" t="e">
        <f>AND('SPR BARRANQUILLA'!EV106,"AAAAAH80y80=")</f>
        <v>#VALUE!</v>
      </c>
      <c r="GY90" t="e">
        <f>AND('SPR BARRANQUILLA'!EW106,"AAAAAH80y84=")</f>
        <v>#VALUE!</v>
      </c>
      <c r="GZ90" t="e">
        <f>AND('SPR BARRANQUILLA'!EX106,"AAAAAH80y88=")</f>
        <v>#VALUE!</v>
      </c>
      <c r="HA90" t="e">
        <f>AND('SPR BARRANQUILLA'!EY106,"AAAAAH80y9A=")</f>
        <v>#VALUE!</v>
      </c>
      <c r="HB90" t="e">
        <f>AND('SPR BARRANQUILLA'!EZ106,"AAAAAH80y9E=")</f>
        <v>#VALUE!</v>
      </c>
      <c r="HC90" t="e">
        <f>AND('SPR BARRANQUILLA'!FA106,"AAAAAH80y9I=")</f>
        <v>#VALUE!</v>
      </c>
      <c r="HD90" t="e">
        <f>AND('SPR BARRANQUILLA'!FB106,"AAAAAH80y9M=")</f>
        <v>#VALUE!</v>
      </c>
      <c r="HE90" t="e">
        <f>AND('SPR BARRANQUILLA'!FC106,"AAAAAH80y9Q=")</f>
        <v>#VALUE!</v>
      </c>
      <c r="HF90" t="e">
        <f>AND('SPR BARRANQUILLA'!FD106,"AAAAAH80y9U=")</f>
        <v>#VALUE!</v>
      </c>
      <c r="HG90" t="e">
        <f>AND('SPR BARRANQUILLA'!FE106,"AAAAAH80y9Y=")</f>
        <v>#VALUE!</v>
      </c>
      <c r="HH90" t="e">
        <f>AND('SPR BARRANQUILLA'!FF106,"AAAAAH80y9c=")</f>
        <v>#VALUE!</v>
      </c>
      <c r="HI90" t="e">
        <f>AND('SPR BARRANQUILLA'!FG106,"AAAAAH80y9g=")</f>
        <v>#VALUE!</v>
      </c>
      <c r="HJ90" t="e">
        <f>AND('SPR BARRANQUILLA'!FH106,"AAAAAH80y9k=")</f>
        <v>#VALUE!</v>
      </c>
      <c r="HK90" t="e">
        <f>AND('SPR BARRANQUILLA'!FI106,"AAAAAH80y9o=")</f>
        <v>#VALUE!</v>
      </c>
      <c r="HL90" t="e">
        <f>AND('SPR BARRANQUILLA'!FJ106,"AAAAAH80y9s=")</f>
        <v>#VALUE!</v>
      </c>
      <c r="HM90" t="e">
        <f>AND('SPR BARRANQUILLA'!FK106,"AAAAAH80y9w=")</f>
        <v>#VALUE!</v>
      </c>
      <c r="HN90" t="e">
        <f>AND('SPR BARRANQUILLA'!FL106,"AAAAAH80y90=")</f>
        <v>#VALUE!</v>
      </c>
      <c r="HO90" t="e">
        <f>AND('SPR BARRANQUILLA'!FM106,"AAAAAH80y94=")</f>
        <v>#VALUE!</v>
      </c>
      <c r="HP90" t="e">
        <f>AND('SPR BARRANQUILLA'!FN106,"AAAAAH80y98=")</f>
        <v>#VALUE!</v>
      </c>
      <c r="HQ90" t="e">
        <f>AND('SPR BARRANQUILLA'!FO106,"AAAAAH80y+A=")</f>
        <v>#VALUE!</v>
      </c>
      <c r="HR90" t="e">
        <f>AND('SPR BARRANQUILLA'!FP106,"AAAAAH80y+E=")</f>
        <v>#VALUE!</v>
      </c>
      <c r="HS90" t="e">
        <f>AND('SPR BARRANQUILLA'!FQ106,"AAAAAH80y+I=")</f>
        <v>#VALUE!</v>
      </c>
      <c r="HT90" t="e">
        <f>AND('SPR BARRANQUILLA'!FR106,"AAAAAH80y+M=")</f>
        <v>#VALUE!</v>
      </c>
      <c r="HU90" t="e">
        <f>AND('SPR BARRANQUILLA'!FS106,"AAAAAH80y+Q=")</f>
        <v>#VALUE!</v>
      </c>
      <c r="HV90" t="e">
        <f>AND('SPR BARRANQUILLA'!FT106,"AAAAAH80y+U=")</f>
        <v>#VALUE!</v>
      </c>
      <c r="HW90" t="e">
        <f>AND('SPR BARRANQUILLA'!FU106,"AAAAAH80y+Y=")</f>
        <v>#VALUE!</v>
      </c>
      <c r="HX90" t="e">
        <f>AND('SPR BARRANQUILLA'!FV106,"AAAAAH80y+c=")</f>
        <v>#VALUE!</v>
      </c>
      <c r="HY90" t="e">
        <f>AND('SPR BARRANQUILLA'!FW106,"AAAAAH80y+g=")</f>
        <v>#VALUE!</v>
      </c>
      <c r="HZ90" t="e">
        <f>AND('SPR BARRANQUILLA'!FX106,"AAAAAH80y+k=")</f>
        <v>#VALUE!</v>
      </c>
      <c r="IA90" t="e">
        <f>AND('SPR BARRANQUILLA'!FY106,"AAAAAH80y+o=")</f>
        <v>#VALUE!</v>
      </c>
      <c r="IB90" t="e">
        <f>AND('SPR BARRANQUILLA'!FZ106,"AAAAAH80y+s=")</f>
        <v>#VALUE!</v>
      </c>
      <c r="IC90" t="e">
        <f>AND('SPR BARRANQUILLA'!GA106,"AAAAAH80y+w=")</f>
        <v>#VALUE!</v>
      </c>
      <c r="ID90" t="e">
        <f>AND('SPR BARRANQUILLA'!GB106,"AAAAAH80y+0=")</f>
        <v>#VALUE!</v>
      </c>
      <c r="IE90" t="e">
        <f>AND('SPR BARRANQUILLA'!GC106,"AAAAAH80y+4=")</f>
        <v>#VALUE!</v>
      </c>
      <c r="IF90" t="e">
        <f>AND('SPR BARRANQUILLA'!GD106,"AAAAAH80y+8=")</f>
        <v>#VALUE!</v>
      </c>
      <c r="IG90" t="e">
        <f>AND('SPR BARRANQUILLA'!GE106,"AAAAAH80y/A=")</f>
        <v>#VALUE!</v>
      </c>
      <c r="IH90" t="e">
        <f>AND('SPR BARRANQUILLA'!GF106,"AAAAAH80y/E=")</f>
        <v>#VALUE!</v>
      </c>
      <c r="II90" t="e">
        <f>AND('SPR BARRANQUILLA'!GG106,"AAAAAH80y/I=")</f>
        <v>#VALUE!</v>
      </c>
      <c r="IJ90" t="e">
        <f>AND('SPR BARRANQUILLA'!GH106,"AAAAAH80y/M=")</f>
        <v>#VALUE!</v>
      </c>
      <c r="IK90" t="e">
        <f>AND('SPR BARRANQUILLA'!GI106,"AAAAAH80y/Q=")</f>
        <v>#VALUE!</v>
      </c>
      <c r="IL90" t="e">
        <f>AND('SPR BARRANQUILLA'!GJ106,"AAAAAH80y/U=")</f>
        <v>#VALUE!</v>
      </c>
      <c r="IM90" t="e">
        <f>AND('SPR BARRANQUILLA'!GK106,"AAAAAH80y/Y=")</f>
        <v>#VALUE!</v>
      </c>
      <c r="IN90" t="e">
        <f>AND('SPR BARRANQUILLA'!GL106,"AAAAAH80y/c=")</f>
        <v>#VALUE!</v>
      </c>
      <c r="IO90" t="e">
        <f>AND('SPR BARRANQUILLA'!GM106,"AAAAAH80y/g=")</f>
        <v>#VALUE!</v>
      </c>
      <c r="IP90" t="e">
        <f>AND('SPR BARRANQUILLA'!GN106,"AAAAAH80y/k=")</f>
        <v>#VALUE!</v>
      </c>
      <c r="IQ90" t="e">
        <f>AND('SPR BARRANQUILLA'!GO106,"AAAAAH80y/o=")</f>
        <v>#VALUE!</v>
      </c>
      <c r="IR90" t="e">
        <f>AND('SPR BARRANQUILLA'!GP106,"AAAAAH80y/s=")</f>
        <v>#VALUE!</v>
      </c>
      <c r="IS90" t="e">
        <f>AND('SPR BARRANQUILLA'!GQ106,"AAAAAH80y/w=")</f>
        <v>#VALUE!</v>
      </c>
      <c r="IT90" t="e">
        <f>AND('SPR BARRANQUILLA'!GR106,"AAAAAH80y/0=")</f>
        <v>#VALUE!</v>
      </c>
      <c r="IU90" t="e">
        <f>AND('SPR BARRANQUILLA'!GS106,"AAAAAH80y/4=")</f>
        <v>#VALUE!</v>
      </c>
      <c r="IV90" t="e">
        <f>AND('SPR BARRANQUILLA'!GT106,"AAAAAH80y/8=")</f>
        <v>#VALUE!</v>
      </c>
    </row>
    <row r="91" spans="1:256">
      <c r="A91" t="e">
        <f>AND('SPR BARRANQUILLA'!GU106,"AAAAAGq5dAA=")</f>
        <v>#VALUE!</v>
      </c>
      <c r="B91" t="e">
        <f>AND('SPR BARRANQUILLA'!GV106,"AAAAAGq5dAE=")</f>
        <v>#VALUE!</v>
      </c>
      <c r="C91" t="e">
        <f>AND('SPR BARRANQUILLA'!GW106,"AAAAAGq5dAI=")</f>
        <v>#VALUE!</v>
      </c>
      <c r="D91" t="e">
        <f>AND('SPR BARRANQUILLA'!GX106,"AAAAAGq5dAM=")</f>
        <v>#VALUE!</v>
      </c>
      <c r="E91" t="e">
        <f>AND('SPR BARRANQUILLA'!GY106,"AAAAAGq5dAQ=")</f>
        <v>#VALUE!</v>
      </c>
      <c r="F91">
        <f>IF('SPR BARRANQUILLA'!107:107,"AAAAAGq5dAU=",0)</f>
        <v>0</v>
      </c>
      <c r="G91" t="e">
        <f>AND('SPR BARRANQUILLA'!A107,"AAAAAGq5dAY=")</f>
        <v>#VALUE!</v>
      </c>
      <c r="H91" t="e">
        <f>AND('SPR BARRANQUILLA'!B107,"AAAAAGq5dAc=")</f>
        <v>#VALUE!</v>
      </c>
      <c r="I91" t="e">
        <f>AND('SPR BARRANQUILLA'!C107,"AAAAAGq5dAg=")</f>
        <v>#VALUE!</v>
      </c>
      <c r="J91" t="e">
        <f>AND('SPR BARRANQUILLA'!D107,"AAAAAGq5dAk=")</f>
        <v>#VALUE!</v>
      </c>
      <c r="K91" t="e">
        <f>AND('SPR BARRANQUILLA'!E107,"AAAAAGq5dAo=")</f>
        <v>#VALUE!</v>
      </c>
      <c r="L91" t="e">
        <f>AND('SPR BARRANQUILLA'!F107,"AAAAAGq5dAs=")</f>
        <v>#VALUE!</v>
      </c>
      <c r="M91" t="e">
        <f>AND('SPR BARRANQUILLA'!G107,"AAAAAGq5dAw=")</f>
        <v>#VALUE!</v>
      </c>
      <c r="N91" t="e">
        <f>AND('SPR BARRANQUILLA'!H107,"AAAAAGq5dA0=")</f>
        <v>#VALUE!</v>
      </c>
      <c r="O91" t="e">
        <f>AND('SPR BARRANQUILLA'!I107,"AAAAAGq5dA4=")</f>
        <v>#VALUE!</v>
      </c>
      <c r="P91" t="e">
        <f>AND('SPR BARRANQUILLA'!J107,"AAAAAGq5dA8=")</f>
        <v>#VALUE!</v>
      </c>
      <c r="Q91" t="e">
        <f>AND('SPR BARRANQUILLA'!K107,"AAAAAGq5dBA=")</f>
        <v>#VALUE!</v>
      </c>
      <c r="R91" t="e">
        <f>AND('SPR BARRANQUILLA'!L107,"AAAAAGq5dBE=")</f>
        <v>#VALUE!</v>
      </c>
      <c r="S91" t="e">
        <f>AND('SPR BARRANQUILLA'!M107,"AAAAAGq5dBI=")</f>
        <v>#VALUE!</v>
      </c>
      <c r="T91" t="e">
        <f>AND('SPR BARRANQUILLA'!N107,"AAAAAGq5dBM=")</f>
        <v>#VALUE!</v>
      </c>
      <c r="U91" t="e">
        <f>AND('SPR BARRANQUILLA'!O107,"AAAAAGq5dBQ=")</f>
        <v>#VALUE!</v>
      </c>
      <c r="V91" t="e">
        <f>AND('SPR BARRANQUILLA'!P107,"AAAAAGq5dBU=")</f>
        <v>#VALUE!</v>
      </c>
      <c r="W91" t="e">
        <f>AND('SPR BARRANQUILLA'!Q107,"AAAAAGq5dBY=")</f>
        <v>#VALUE!</v>
      </c>
      <c r="X91" t="e">
        <f>AND('SPR BARRANQUILLA'!R107,"AAAAAGq5dBc=")</f>
        <v>#VALUE!</v>
      </c>
      <c r="Y91" t="e">
        <f>AND('SPR BARRANQUILLA'!S107,"AAAAAGq5dBg=")</f>
        <v>#VALUE!</v>
      </c>
      <c r="Z91" t="e">
        <f>AND('SPR BARRANQUILLA'!T107,"AAAAAGq5dBk=")</f>
        <v>#VALUE!</v>
      </c>
      <c r="AA91" t="e">
        <f>AND('SPR BARRANQUILLA'!U107,"AAAAAGq5dBo=")</f>
        <v>#VALUE!</v>
      </c>
      <c r="AB91" t="e">
        <f>AND('SPR BARRANQUILLA'!V107,"AAAAAGq5dBs=")</f>
        <v>#VALUE!</v>
      </c>
      <c r="AC91" t="e">
        <f>AND('SPR BARRANQUILLA'!W107,"AAAAAGq5dBw=")</f>
        <v>#VALUE!</v>
      </c>
      <c r="AD91" t="e">
        <f>AND('SPR BARRANQUILLA'!X107,"AAAAAGq5dB0=")</f>
        <v>#VALUE!</v>
      </c>
      <c r="AE91" t="e">
        <f>AND('SPR BARRANQUILLA'!Y107,"AAAAAGq5dB4=")</f>
        <v>#VALUE!</v>
      </c>
      <c r="AF91" t="e">
        <f>AND('SPR BARRANQUILLA'!Z107,"AAAAAGq5dB8=")</f>
        <v>#VALUE!</v>
      </c>
      <c r="AG91" t="e">
        <f>AND('SPR BARRANQUILLA'!AA107,"AAAAAGq5dCA=")</f>
        <v>#VALUE!</v>
      </c>
      <c r="AH91" t="e">
        <f>AND('SPR BARRANQUILLA'!AB107,"AAAAAGq5dCE=")</f>
        <v>#VALUE!</v>
      </c>
      <c r="AI91" t="e">
        <f>AND('SPR BARRANQUILLA'!AC107,"AAAAAGq5dCI=")</f>
        <v>#VALUE!</v>
      </c>
      <c r="AJ91" t="e">
        <f>AND('SPR BARRANQUILLA'!AD107,"AAAAAGq5dCM=")</f>
        <v>#VALUE!</v>
      </c>
      <c r="AK91" t="e">
        <f>AND('SPR BARRANQUILLA'!AE107,"AAAAAGq5dCQ=")</f>
        <v>#VALUE!</v>
      </c>
      <c r="AL91" t="e">
        <f>AND('SPR BARRANQUILLA'!AF107,"AAAAAGq5dCU=")</f>
        <v>#VALUE!</v>
      </c>
      <c r="AM91" t="e">
        <f>AND('SPR BARRANQUILLA'!AG107,"AAAAAGq5dCY=")</f>
        <v>#VALUE!</v>
      </c>
      <c r="AN91" t="e">
        <f>AND('SPR BARRANQUILLA'!AH107,"AAAAAGq5dCc=")</f>
        <v>#VALUE!</v>
      </c>
      <c r="AO91" t="e">
        <f>AND('SPR BARRANQUILLA'!AI107,"AAAAAGq5dCg=")</f>
        <v>#VALUE!</v>
      </c>
      <c r="AP91" t="e">
        <f>AND('SPR BARRANQUILLA'!AJ107,"AAAAAGq5dCk=")</f>
        <v>#VALUE!</v>
      </c>
      <c r="AQ91" t="e">
        <f>AND('SPR BARRANQUILLA'!AK107,"AAAAAGq5dCo=")</f>
        <v>#VALUE!</v>
      </c>
      <c r="AR91" t="e">
        <f>AND('SPR BARRANQUILLA'!AL107,"AAAAAGq5dCs=")</f>
        <v>#VALUE!</v>
      </c>
      <c r="AS91" t="e">
        <f>AND('SPR BARRANQUILLA'!AM107,"AAAAAGq5dCw=")</f>
        <v>#VALUE!</v>
      </c>
      <c r="AT91" t="e">
        <f>AND('SPR BARRANQUILLA'!AN107,"AAAAAGq5dC0=")</f>
        <v>#VALUE!</v>
      </c>
      <c r="AU91" t="e">
        <f>AND('SPR BARRANQUILLA'!AO107,"AAAAAGq5dC4=")</f>
        <v>#VALUE!</v>
      </c>
      <c r="AV91" t="e">
        <f>AND('SPR BARRANQUILLA'!AP107,"AAAAAGq5dC8=")</f>
        <v>#VALUE!</v>
      </c>
      <c r="AW91" t="e">
        <f>AND('SPR BARRANQUILLA'!AQ107,"AAAAAGq5dDA=")</f>
        <v>#VALUE!</v>
      </c>
      <c r="AX91" t="e">
        <f>AND('SPR BARRANQUILLA'!AR107,"AAAAAGq5dDE=")</f>
        <v>#VALUE!</v>
      </c>
      <c r="AY91" t="e">
        <f>AND('SPR BARRANQUILLA'!AS107,"AAAAAGq5dDI=")</f>
        <v>#VALUE!</v>
      </c>
      <c r="AZ91" t="e">
        <f>AND('SPR BARRANQUILLA'!AT107,"AAAAAGq5dDM=")</f>
        <v>#VALUE!</v>
      </c>
      <c r="BA91" t="e">
        <f>AND('SPR BARRANQUILLA'!AU107,"AAAAAGq5dDQ=")</f>
        <v>#VALUE!</v>
      </c>
      <c r="BB91" t="e">
        <f>AND('SPR BARRANQUILLA'!AV107,"AAAAAGq5dDU=")</f>
        <v>#VALUE!</v>
      </c>
      <c r="BC91" t="e">
        <f>AND('SPR BARRANQUILLA'!AW107,"AAAAAGq5dDY=")</f>
        <v>#VALUE!</v>
      </c>
      <c r="BD91" t="e">
        <f>AND('SPR BARRANQUILLA'!AX107,"AAAAAGq5dDc=")</f>
        <v>#VALUE!</v>
      </c>
      <c r="BE91" t="e">
        <f>AND('SPR BARRANQUILLA'!AY107,"AAAAAGq5dDg=")</f>
        <v>#VALUE!</v>
      </c>
      <c r="BF91" t="e">
        <f>AND('SPR BARRANQUILLA'!AZ107,"AAAAAGq5dDk=")</f>
        <v>#VALUE!</v>
      </c>
      <c r="BG91" t="e">
        <f>AND('SPR BARRANQUILLA'!BA107,"AAAAAGq5dDo=")</f>
        <v>#VALUE!</v>
      </c>
      <c r="BH91" t="e">
        <f>AND('SPR BARRANQUILLA'!BB107,"AAAAAGq5dDs=")</f>
        <v>#VALUE!</v>
      </c>
      <c r="BI91" t="e">
        <f>AND('SPR BARRANQUILLA'!BC107,"AAAAAGq5dDw=")</f>
        <v>#VALUE!</v>
      </c>
      <c r="BJ91" t="e">
        <f>AND('SPR BARRANQUILLA'!BD107,"AAAAAGq5dD0=")</f>
        <v>#VALUE!</v>
      </c>
      <c r="BK91" t="e">
        <f>AND('SPR BARRANQUILLA'!BE107,"AAAAAGq5dD4=")</f>
        <v>#VALUE!</v>
      </c>
      <c r="BL91" t="e">
        <f>AND('SPR BARRANQUILLA'!BF107,"AAAAAGq5dD8=")</f>
        <v>#VALUE!</v>
      </c>
      <c r="BM91" t="e">
        <f>AND('SPR BARRANQUILLA'!BG107,"AAAAAGq5dEA=")</f>
        <v>#VALUE!</v>
      </c>
      <c r="BN91" t="e">
        <f>AND('SPR BARRANQUILLA'!BH107,"AAAAAGq5dEE=")</f>
        <v>#VALUE!</v>
      </c>
      <c r="BO91" t="e">
        <f>AND('SPR BARRANQUILLA'!BI107,"AAAAAGq5dEI=")</f>
        <v>#VALUE!</v>
      </c>
      <c r="BP91" t="e">
        <f>AND('SPR BARRANQUILLA'!BJ107,"AAAAAGq5dEM=")</f>
        <v>#VALUE!</v>
      </c>
      <c r="BQ91" t="e">
        <f>AND('SPR BARRANQUILLA'!BK107,"AAAAAGq5dEQ=")</f>
        <v>#VALUE!</v>
      </c>
      <c r="BR91" t="e">
        <f>AND('SPR BARRANQUILLA'!BL107,"AAAAAGq5dEU=")</f>
        <v>#VALUE!</v>
      </c>
      <c r="BS91" t="e">
        <f>AND('SPR BARRANQUILLA'!BM107,"AAAAAGq5dEY=")</f>
        <v>#VALUE!</v>
      </c>
      <c r="BT91" t="e">
        <f>AND('SPR BARRANQUILLA'!BN107,"AAAAAGq5dEc=")</f>
        <v>#VALUE!</v>
      </c>
      <c r="BU91" t="e">
        <f>AND('SPR BARRANQUILLA'!BO107,"AAAAAGq5dEg=")</f>
        <v>#VALUE!</v>
      </c>
      <c r="BV91" t="e">
        <f>AND('SPR BARRANQUILLA'!BP107,"AAAAAGq5dEk=")</f>
        <v>#VALUE!</v>
      </c>
      <c r="BW91" t="e">
        <f>AND('SPR BARRANQUILLA'!BQ107,"AAAAAGq5dEo=")</f>
        <v>#VALUE!</v>
      </c>
      <c r="BX91" t="e">
        <f>AND('SPR BARRANQUILLA'!BR107,"AAAAAGq5dEs=")</f>
        <v>#VALUE!</v>
      </c>
      <c r="BY91" t="e">
        <f>AND('SPR BARRANQUILLA'!BS107,"AAAAAGq5dEw=")</f>
        <v>#VALUE!</v>
      </c>
      <c r="BZ91" t="e">
        <f>AND('SPR BARRANQUILLA'!BT107,"AAAAAGq5dE0=")</f>
        <v>#VALUE!</v>
      </c>
      <c r="CA91" t="e">
        <f>AND('SPR BARRANQUILLA'!BU107,"AAAAAGq5dE4=")</f>
        <v>#VALUE!</v>
      </c>
      <c r="CB91" t="e">
        <f>AND('SPR BARRANQUILLA'!BV107,"AAAAAGq5dE8=")</f>
        <v>#VALUE!</v>
      </c>
      <c r="CC91" t="e">
        <f>AND('SPR BARRANQUILLA'!BW107,"AAAAAGq5dFA=")</f>
        <v>#VALUE!</v>
      </c>
      <c r="CD91" t="e">
        <f>AND('SPR BARRANQUILLA'!BX107,"AAAAAGq5dFE=")</f>
        <v>#VALUE!</v>
      </c>
      <c r="CE91" t="e">
        <f>AND('SPR BARRANQUILLA'!BY107,"AAAAAGq5dFI=")</f>
        <v>#VALUE!</v>
      </c>
      <c r="CF91" t="e">
        <f>AND('SPR BARRANQUILLA'!BZ107,"AAAAAGq5dFM=")</f>
        <v>#VALUE!</v>
      </c>
      <c r="CG91" t="e">
        <f>AND('SPR BARRANQUILLA'!CA107,"AAAAAGq5dFQ=")</f>
        <v>#VALUE!</v>
      </c>
      <c r="CH91" t="e">
        <f>AND('SPR BARRANQUILLA'!CB107,"AAAAAGq5dFU=")</f>
        <v>#VALUE!</v>
      </c>
      <c r="CI91" t="e">
        <f>AND('SPR BARRANQUILLA'!CC107,"AAAAAGq5dFY=")</f>
        <v>#VALUE!</v>
      </c>
      <c r="CJ91" t="e">
        <f>AND('SPR BARRANQUILLA'!CD107,"AAAAAGq5dFc=")</f>
        <v>#VALUE!</v>
      </c>
      <c r="CK91" t="e">
        <f>AND('SPR BARRANQUILLA'!CE107,"AAAAAGq5dFg=")</f>
        <v>#VALUE!</v>
      </c>
      <c r="CL91" t="e">
        <f>AND('SPR BARRANQUILLA'!CF107,"AAAAAGq5dFk=")</f>
        <v>#VALUE!</v>
      </c>
      <c r="CM91" t="e">
        <f>AND('SPR BARRANQUILLA'!CG107,"AAAAAGq5dFo=")</f>
        <v>#VALUE!</v>
      </c>
      <c r="CN91" t="e">
        <f>AND('SPR BARRANQUILLA'!CH107,"AAAAAGq5dFs=")</f>
        <v>#VALUE!</v>
      </c>
      <c r="CO91" t="e">
        <f>AND('SPR BARRANQUILLA'!CI107,"AAAAAGq5dFw=")</f>
        <v>#VALUE!</v>
      </c>
      <c r="CP91" t="e">
        <f>AND('SPR BARRANQUILLA'!CJ107,"AAAAAGq5dF0=")</f>
        <v>#VALUE!</v>
      </c>
      <c r="CQ91" t="e">
        <f>AND('SPR BARRANQUILLA'!CK107,"AAAAAGq5dF4=")</f>
        <v>#VALUE!</v>
      </c>
      <c r="CR91" t="e">
        <f>AND('SPR BARRANQUILLA'!CL107,"AAAAAGq5dF8=")</f>
        <v>#VALUE!</v>
      </c>
      <c r="CS91" t="e">
        <f>AND('SPR BARRANQUILLA'!CM107,"AAAAAGq5dGA=")</f>
        <v>#VALUE!</v>
      </c>
      <c r="CT91" t="e">
        <f>AND('SPR BARRANQUILLA'!CN107,"AAAAAGq5dGE=")</f>
        <v>#VALUE!</v>
      </c>
      <c r="CU91" t="e">
        <f>AND('SPR BARRANQUILLA'!CO107,"AAAAAGq5dGI=")</f>
        <v>#VALUE!</v>
      </c>
      <c r="CV91" t="e">
        <f>AND('SPR BARRANQUILLA'!CP107,"AAAAAGq5dGM=")</f>
        <v>#VALUE!</v>
      </c>
      <c r="CW91" t="e">
        <f>AND('SPR BARRANQUILLA'!CQ107,"AAAAAGq5dGQ=")</f>
        <v>#VALUE!</v>
      </c>
      <c r="CX91" t="e">
        <f>AND('SPR BARRANQUILLA'!CR107,"AAAAAGq5dGU=")</f>
        <v>#VALUE!</v>
      </c>
      <c r="CY91" t="e">
        <f>AND('SPR BARRANQUILLA'!CS107,"AAAAAGq5dGY=")</f>
        <v>#VALUE!</v>
      </c>
      <c r="CZ91" t="e">
        <f>AND('SPR BARRANQUILLA'!CT107,"AAAAAGq5dGc=")</f>
        <v>#VALUE!</v>
      </c>
      <c r="DA91" t="e">
        <f>AND('SPR BARRANQUILLA'!CU107,"AAAAAGq5dGg=")</f>
        <v>#VALUE!</v>
      </c>
      <c r="DB91" t="e">
        <f>AND('SPR BARRANQUILLA'!CV107,"AAAAAGq5dGk=")</f>
        <v>#VALUE!</v>
      </c>
      <c r="DC91" t="e">
        <f>AND('SPR BARRANQUILLA'!CW107,"AAAAAGq5dGo=")</f>
        <v>#VALUE!</v>
      </c>
      <c r="DD91" t="e">
        <f>AND('SPR BARRANQUILLA'!CX107,"AAAAAGq5dGs=")</f>
        <v>#VALUE!</v>
      </c>
      <c r="DE91" t="e">
        <f>AND('SPR BARRANQUILLA'!CY107,"AAAAAGq5dGw=")</f>
        <v>#VALUE!</v>
      </c>
      <c r="DF91" t="e">
        <f>AND('SPR BARRANQUILLA'!CZ107,"AAAAAGq5dG0=")</f>
        <v>#VALUE!</v>
      </c>
      <c r="DG91" t="e">
        <f>AND('SPR BARRANQUILLA'!DA107,"AAAAAGq5dG4=")</f>
        <v>#VALUE!</v>
      </c>
      <c r="DH91" t="e">
        <f>AND('SPR BARRANQUILLA'!DB107,"AAAAAGq5dG8=")</f>
        <v>#VALUE!</v>
      </c>
      <c r="DI91" t="e">
        <f>AND('SPR BARRANQUILLA'!DC107,"AAAAAGq5dHA=")</f>
        <v>#VALUE!</v>
      </c>
      <c r="DJ91" t="e">
        <f>AND('SPR BARRANQUILLA'!DD107,"AAAAAGq5dHE=")</f>
        <v>#VALUE!</v>
      </c>
      <c r="DK91" t="e">
        <f>AND('SPR BARRANQUILLA'!DE107,"AAAAAGq5dHI=")</f>
        <v>#VALUE!</v>
      </c>
      <c r="DL91" t="e">
        <f>AND('SPR BARRANQUILLA'!DF107,"AAAAAGq5dHM=")</f>
        <v>#VALUE!</v>
      </c>
      <c r="DM91" t="e">
        <f>AND('SPR BARRANQUILLA'!DG107,"AAAAAGq5dHQ=")</f>
        <v>#VALUE!</v>
      </c>
      <c r="DN91" t="e">
        <f>AND('SPR BARRANQUILLA'!DH107,"AAAAAGq5dHU=")</f>
        <v>#VALUE!</v>
      </c>
      <c r="DO91" t="e">
        <f>AND('SPR BARRANQUILLA'!DI107,"AAAAAGq5dHY=")</f>
        <v>#VALUE!</v>
      </c>
      <c r="DP91" t="e">
        <f>AND('SPR BARRANQUILLA'!DJ107,"AAAAAGq5dHc=")</f>
        <v>#VALUE!</v>
      </c>
      <c r="DQ91" t="e">
        <f>AND('SPR BARRANQUILLA'!DK107,"AAAAAGq5dHg=")</f>
        <v>#VALUE!</v>
      </c>
      <c r="DR91" t="e">
        <f>AND('SPR BARRANQUILLA'!DL107,"AAAAAGq5dHk=")</f>
        <v>#VALUE!</v>
      </c>
      <c r="DS91" t="e">
        <f>AND('SPR BARRANQUILLA'!DM107,"AAAAAGq5dHo=")</f>
        <v>#VALUE!</v>
      </c>
      <c r="DT91" t="e">
        <f>AND('SPR BARRANQUILLA'!DN107,"AAAAAGq5dHs=")</f>
        <v>#VALUE!</v>
      </c>
      <c r="DU91" t="e">
        <f>AND('SPR BARRANQUILLA'!DO107,"AAAAAGq5dHw=")</f>
        <v>#VALUE!</v>
      </c>
      <c r="DV91" t="e">
        <f>AND('SPR BARRANQUILLA'!DP107,"AAAAAGq5dH0=")</f>
        <v>#VALUE!</v>
      </c>
      <c r="DW91" t="e">
        <f>AND('SPR BARRANQUILLA'!DQ107,"AAAAAGq5dH4=")</f>
        <v>#VALUE!</v>
      </c>
      <c r="DX91" t="e">
        <f>AND('SPR BARRANQUILLA'!DR107,"AAAAAGq5dH8=")</f>
        <v>#VALUE!</v>
      </c>
      <c r="DY91" t="e">
        <f>AND('SPR BARRANQUILLA'!DS107,"AAAAAGq5dIA=")</f>
        <v>#VALUE!</v>
      </c>
      <c r="DZ91" t="e">
        <f>AND('SPR BARRANQUILLA'!DT107,"AAAAAGq5dIE=")</f>
        <v>#VALUE!</v>
      </c>
      <c r="EA91" t="e">
        <f>AND('SPR BARRANQUILLA'!DU107,"AAAAAGq5dII=")</f>
        <v>#VALUE!</v>
      </c>
      <c r="EB91" t="e">
        <f>AND('SPR BARRANQUILLA'!DV107,"AAAAAGq5dIM=")</f>
        <v>#VALUE!</v>
      </c>
      <c r="EC91" t="e">
        <f>AND('SPR BARRANQUILLA'!DW107,"AAAAAGq5dIQ=")</f>
        <v>#VALUE!</v>
      </c>
      <c r="ED91" t="e">
        <f>AND('SPR BARRANQUILLA'!DX107,"AAAAAGq5dIU=")</f>
        <v>#VALUE!</v>
      </c>
      <c r="EE91" t="e">
        <f>AND('SPR BARRANQUILLA'!DY107,"AAAAAGq5dIY=")</f>
        <v>#VALUE!</v>
      </c>
      <c r="EF91" t="e">
        <f>AND('SPR BARRANQUILLA'!DZ107,"AAAAAGq5dIc=")</f>
        <v>#VALUE!</v>
      </c>
      <c r="EG91" t="e">
        <f>AND('SPR BARRANQUILLA'!EA107,"AAAAAGq5dIg=")</f>
        <v>#VALUE!</v>
      </c>
      <c r="EH91" t="e">
        <f>AND('SPR BARRANQUILLA'!EB107,"AAAAAGq5dIk=")</f>
        <v>#VALUE!</v>
      </c>
      <c r="EI91" t="e">
        <f>AND('SPR BARRANQUILLA'!EC107,"AAAAAGq5dIo=")</f>
        <v>#VALUE!</v>
      </c>
      <c r="EJ91" t="e">
        <f>AND('SPR BARRANQUILLA'!ED107,"AAAAAGq5dIs=")</f>
        <v>#VALUE!</v>
      </c>
      <c r="EK91" t="e">
        <f>AND('SPR BARRANQUILLA'!EE107,"AAAAAGq5dIw=")</f>
        <v>#VALUE!</v>
      </c>
      <c r="EL91" t="e">
        <f>AND('SPR BARRANQUILLA'!EF107,"AAAAAGq5dI0=")</f>
        <v>#VALUE!</v>
      </c>
      <c r="EM91" t="e">
        <f>AND('SPR BARRANQUILLA'!EG107,"AAAAAGq5dI4=")</f>
        <v>#VALUE!</v>
      </c>
      <c r="EN91" t="e">
        <f>AND('SPR BARRANQUILLA'!EH107,"AAAAAGq5dI8=")</f>
        <v>#VALUE!</v>
      </c>
      <c r="EO91" t="e">
        <f>AND('SPR BARRANQUILLA'!EI107,"AAAAAGq5dJA=")</f>
        <v>#VALUE!</v>
      </c>
      <c r="EP91" t="e">
        <f>AND('SPR BARRANQUILLA'!EJ107,"AAAAAGq5dJE=")</f>
        <v>#VALUE!</v>
      </c>
      <c r="EQ91" t="e">
        <f>AND('SPR BARRANQUILLA'!EK107,"AAAAAGq5dJI=")</f>
        <v>#VALUE!</v>
      </c>
      <c r="ER91" t="e">
        <f>AND('SPR BARRANQUILLA'!EL107,"AAAAAGq5dJM=")</f>
        <v>#VALUE!</v>
      </c>
      <c r="ES91" t="e">
        <f>AND('SPR BARRANQUILLA'!EM107,"AAAAAGq5dJQ=")</f>
        <v>#VALUE!</v>
      </c>
      <c r="ET91" t="e">
        <f>AND('SPR BARRANQUILLA'!EN107,"AAAAAGq5dJU=")</f>
        <v>#VALUE!</v>
      </c>
      <c r="EU91" t="e">
        <f>AND('SPR BARRANQUILLA'!EO107,"AAAAAGq5dJY=")</f>
        <v>#VALUE!</v>
      </c>
      <c r="EV91" t="e">
        <f>AND('SPR BARRANQUILLA'!EP107,"AAAAAGq5dJc=")</f>
        <v>#VALUE!</v>
      </c>
      <c r="EW91" t="e">
        <f>AND('SPR BARRANQUILLA'!EQ107,"AAAAAGq5dJg=")</f>
        <v>#VALUE!</v>
      </c>
      <c r="EX91" t="e">
        <f>AND('SPR BARRANQUILLA'!ER107,"AAAAAGq5dJk=")</f>
        <v>#VALUE!</v>
      </c>
      <c r="EY91" t="e">
        <f>AND('SPR BARRANQUILLA'!ES107,"AAAAAGq5dJo=")</f>
        <v>#VALUE!</v>
      </c>
      <c r="EZ91" t="e">
        <f>AND('SPR BARRANQUILLA'!ET107,"AAAAAGq5dJs=")</f>
        <v>#VALUE!</v>
      </c>
      <c r="FA91" t="e">
        <f>AND('SPR BARRANQUILLA'!EU107,"AAAAAGq5dJw=")</f>
        <v>#VALUE!</v>
      </c>
      <c r="FB91" t="e">
        <f>AND('SPR BARRANQUILLA'!EV107,"AAAAAGq5dJ0=")</f>
        <v>#VALUE!</v>
      </c>
      <c r="FC91" t="e">
        <f>AND('SPR BARRANQUILLA'!EW107,"AAAAAGq5dJ4=")</f>
        <v>#VALUE!</v>
      </c>
      <c r="FD91" t="e">
        <f>AND('SPR BARRANQUILLA'!EX107,"AAAAAGq5dJ8=")</f>
        <v>#VALUE!</v>
      </c>
      <c r="FE91" t="e">
        <f>AND('SPR BARRANQUILLA'!EY107,"AAAAAGq5dKA=")</f>
        <v>#VALUE!</v>
      </c>
      <c r="FF91" t="e">
        <f>AND('SPR BARRANQUILLA'!EZ107,"AAAAAGq5dKE=")</f>
        <v>#VALUE!</v>
      </c>
      <c r="FG91" t="e">
        <f>AND('SPR BARRANQUILLA'!FA107,"AAAAAGq5dKI=")</f>
        <v>#VALUE!</v>
      </c>
      <c r="FH91" t="e">
        <f>AND('SPR BARRANQUILLA'!FB107,"AAAAAGq5dKM=")</f>
        <v>#VALUE!</v>
      </c>
      <c r="FI91" t="e">
        <f>AND('SPR BARRANQUILLA'!FC107,"AAAAAGq5dKQ=")</f>
        <v>#VALUE!</v>
      </c>
      <c r="FJ91" t="e">
        <f>AND('SPR BARRANQUILLA'!FD107,"AAAAAGq5dKU=")</f>
        <v>#VALUE!</v>
      </c>
      <c r="FK91" t="e">
        <f>AND('SPR BARRANQUILLA'!FE107,"AAAAAGq5dKY=")</f>
        <v>#VALUE!</v>
      </c>
      <c r="FL91" t="e">
        <f>AND('SPR BARRANQUILLA'!FF107,"AAAAAGq5dKc=")</f>
        <v>#VALUE!</v>
      </c>
      <c r="FM91" t="e">
        <f>AND('SPR BARRANQUILLA'!FG107,"AAAAAGq5dKg=")</f>
        <v>#VALUE!</v>
      </c>
      <c r="FN91" t="e">
        <f>AND('SPR BARRANQUILLA'!FH107,"AAAAAGq5dKk=")</f>
        <v>#VALUE!</v>
      </c>
      <c r="FO91" t="e">
        <f>AND('SPR BARRANQUILLA'!FI107,"AAAAAGq5dKo=")</f>
        <v>#VALUE!</v>
      </c>
      <c r="FP91" t="e">
        <f>AND('SPR BARRANQUILLA'!FJ107,"AAAAAGq5dKs=")</f>
        <v>#VALUE!</v>
      </c>
      <c r="FQ91" t="e">
        <f>AND('SPR BARRANQUILLA'!FK107,"AAAAAGq5dKw=")</f>
        <v>#VALUE!</v>
      </c>
      <c r="FR91" t="e">
        <f>AND('SPR BARRANQUILLA'!FL107,"AAAAAGq5dK0=")</f>
        <v>#VALUE!</v>
      </c>
      <c r="FS91" t="e">
        <f>AND('SPR BARRANQUILLA'!FM107,"AAAAAGq5dK4=")</f>
        <v>#VALUE!</v>
      </c>
      <c r="FT91" t="e">
        <f>AND('SPR BARRANQUILLA'!FN107,"AAAAAGq5dK8=")</f>
        <v>#VALUE!</v>
      </c>
      <c r="FU91" t="e">
        <f>AND('SPR BARRANQUILLA'!FO107,"AAAAAGq5dLA=")</f>
        <v>#VALUE!</v>
      </c>
      <c r="FV91" t="e">
        <f>AND('SPR BARRANQUILLA'!FP107,"AAAAAGq5dLE=")</f>
        <v>#VALUE!</v>
      </c>
      <c r="FW91" t="e">
        <f>AND('SPR BARRANQUILLA'!FQ107,"AAAAAGq5dLI=")</f>
        <v>#VALUE!</v>
      </c>
      <c r="FX91" t="e">
        <f>AND('SPR BARRANQUILLA'!FR107,"AAAAAGq5dLM=")</f>
        <v>#VALUE!</v>
      </c>
      <c r="FY91" t="e">
        <f>AND('SPR BARRANQUILLA'!FS107,"AAAAAGq5dLQ=")</f>
        <v>#VALUE!</v>
      </c>
      <c r="FZ91" t="e">
        <f>AND('SPR BARRANQUILLA'!FT107,"AAAAAGq5dLU=")</f>
        <v>#VALUE!</v>
      </c>
      <c r="GA91" t="e">
        <f>AND('SPR BARRANQUILLA'!FU107,"AAAAAGq5dLY=")</f>
        <v>#VALUE!</v>
      </c>
      <c r="GB91" t="e">
        <f>AND('SPR BARRANQUILLA'!FV107,"AAAAAGq5dLc=")</f>
        <v>#VALUE!</v>
      </c>
      <c r="GC91" t="e">
        <f>AND('SPR BARRANQUILLA'!FW107,"AAAAAGq5dLg=")</f>
        <v>#VALUE!</v>
      </c>
      <c r="GD91" t="e">
        <f>AND('SPR BARRANQUILLA'!FX107,"AAAAAGq5dLk=")</f>
        <v>#VALUE!</v>
      </c>
      <c r="GE91" t="e">
        <f>AND('SPR BARRANQUILLA'!FY107,"AAAAAGq5dLo=")</f>
        <v>#VALUE!</v>
      </c>
      <c r="GF91" t="e">
        <f>AND('SPR BARRANQUILLA'!FZ107,"AAAAAGq5dLs=")</f>
        <v>#VALUE!</v>
      </c>
      <c r="GG91" t="e">
        <f>AND('SPR BARRANQUILLA'!GA107,"AAAAAGq5dLw=")</f>
        <v>#VALUE!</v>
      </c>
      <c r="GH91" t="e">
        <f>AND('SPR BARRANQUILLA'!GB107,"AAAAAGq5dL0=")</f>
        <v>#VALUE!</v>
      </c>
      <c r="GI91" t="e">
        <f>AND('SPR BARRANQUILLA'!GC107,"AAAAAGq5dL4=")</f>
        <v>#VALUE!</v>
      </c>
      <c r="GJ91" t="e">
        <f>AND('SPR BARRANQUILLA'!GD107,"AAAAAGq5dL8=")</f>
        <v>#VALUE!</v>
      </c>
      <c r="GK91" t="e">
        <f>AND('SPR BARRANQUILLA'!GE107,"AAAAAGq5dMA=")</f>
        <v>#VALUE!</v>
      </c>
      <c r="GL91" t="e">
        <f>AND('SPR BARRANQUILLA'!GF107,"AAAAAGq5dME=")</f>
        <v>#VALUE!</v>
      </c>
      <c r="GM91" t="e">
        <f>AND('SPR BARRANQUILLA'!GG107,"AAAAAGq5dMI=")</f>
        <v>#VALUE!</v>
      </c>
      <c r="GN91" t="e">
        <f>AND('SPR BARRANQUILLA'!GH107,"AAAAAGq5dMM=")</f>
        <v>#VALUE!</v>
      </c>
      <c r="GO91" t="e">
        <f>AND('SPR BARRANQUILLA'!GI107,"AAAAAGq5dMQ=")</f>
        <v>#VALUE!</v>
      </c>
      <c r="GP91" t="e">
        <f>AND('SPR BARRANQUILLA'!GJ107,"AAAAAGq5dMU=")</f>
        <v>#VALUE!</v>
      </c>
      <c r="GQ91" t="e">
        <f>AND('SPR BARRANQUILLA'!GK107,"AAAAAGq5dMY=")</f>
        <v>#VALUE!</v>
      </c>
      <c r="GR91" t="e">
        <f>AND('SPR BARRANQUILLA'!GL107,"AAAAAGq5dMc=")</f>
        <v>#VALUE!</v>
      </c>
      <c r="GS91" t="e">
        <f>AND('SPR BARRANQUILLA'!GM107,"AAAAAGq5dMg=")</f>
        <v>#VALUE!</v>
      </c>
      <c r="GT91" t="e">
        <f>AND('SPR BARRANQUILLA'!GN107,"AAAAAGq5dMk=")</f>
        <v>#VALUE!</v>
      </c>
      <c r="GU91" t="e">
        <f>AND('SPR BARRANQUILLA'!GO107,"AAAAAGq5dMo=")</f>
        <v>#VALUE!</v>
      </c>
      <c r="GV91" t="e">
        <f>AND('SPR BARRANQUILLA'!GP107,"AAAAAGq5dMs=")</f>
        <v>#VALUE!</v>
      </c>
      <c r="GW91" t="e">
        <f>AND('SPR BARRANQUILLA'!GQ107,"AAAAAGq5dMw=")</f>
        <v>#VALUE!</v>
      </c>
      <c r="GX91" t="e">
        <f>AND('SPR BARRANQUILLA'!GR107,"AAAAAGq5dM0=")</f>
        <v>#VALUE!</v>
      </c>
      <c r="GY91" t="e">
        <f>AND('SPR BARRANQUILLA'!GS107,"AAAAAGq5dM4=")</f>
        <v>#VALUE!</v>
      </c>
      <c r="GZ91" t="e">
        <f>AND('SPR BARRANQUILLA'!GT107,"AAAAAGq5dM8=")</f>
        <v>#VALUE!</v>
      </c>
      <c r="HA91" t="e">
        <f>AND('SPR BARRANQUILLA'!GU107,"AAAAAGq5dNA=")</f>
        <v>#VALUE!</v>
      </c>
      <c r="HB91" t="e">
        <f>AND('SPR BARRANQUILLA'!GV107,"AAAAAGq5dNE=")</f>
        <v>#VALUE!</v>
      </c>
      <c r="HC91" t="e">
        <f>AND('SPR BARRANQUILLA'!GW107,"AAAAAGq5dNI=")</f>
        <v>#VALUE!</v>
      </c>
      <c r="HD91" t="e">
        <f>AND('SPR BARRANQUILLA'!GX107,"AAAAAGq5dNM=")</f>
        <v>#VALUE!</v>
      </c>
      <c r="HE91" t="e">
        <f>AND('SPR BARRANQUILLA'!GY107,"AAAAAGq5dNQ=")</f>
        <v>#VALUE!</v>
      </c>
      <c r="HF91">
        <f>IF('SPR BARRANQUILLA'!108:108,"AAAAAGq5dNU=",0)</f>
        <v>0</v>
      </c>
      <c r="HG91" t="e">
        <f>AND('SPR BARRANQUILLA'!A108,"AAAAAGq5dNY=")</f>
        <v>#VALUE!</v>
      </c>
      <c r="HH91" t="e">
        <f>AND('SPR BARRANQUILLA'!B108,"AAAAAGq5dNc=")</f>
        <v>#VALUE!</v>
      </c>
      <c r="HI91" t="e">
        <f>AND('SPR BARRANQUILLA'!C108,"AAAAAGq5dNg=")</f>
        <v>#VALUE!</v>
      </c>
      <c r="HJ91" t="e">
        <f>AND('SPR BARRANQUILLA'!D108,"AAAAAGq5dNk=")</f>
        <v>#VALUE!</v>
      </c>
      <c r="HK91" t="e">
        <f>AND('SPR BARRANQUILLA'!E108,"AAAAAGq5dNo=")</f>
        <v>#VALUE!</v>
      </c>
      <c r="HL91" t="e">
        <f>AND('SPR BARRANQUILLA'!F108,"AAAAAGq5dNs=")</f>
        <v>#VALUE!</v>
      </c>
      <c r="HM91" t="e">
        <f>AND('SPR BARRANQUILLA'!G108,"AAAAAGq5dNw=")</f>
        <v>#VALUE!</v>
      </c>
      <c r="HN91" t="e">
        <f>AND('SPR BARRANQUILLA'!H108,"AAAAAGq5dN0=")</f>
        <v>#VALUE!</v>
      </c>
      <c r="HO91" t="e">
        <f>AND('SPR BARRANQUILLA'!I108,"AAAAAGq5dN4=")</f>
        <v>#VALUE!</v>
      </c>
      <c r="HP91" t="e">
        <f>AND('SPR BARRANQUILLA'!J108,"AAAAAGq5dN8=")</f>
        <v>#VALUE!</v>
      </c>
      <c r="HQ91" t="e">
        <f>AND('SPR BARRANQUILLA'!K108,"AAAAAGq5dOA=")</f>
        <v>#VALUE!</v>
      </c>
      <c r="HR91" t="e">
        <f>AND('SPR BARRANQUILLA'!L108,"AAAAAGq5dOE=")</f>
        <v>#VALUE!</v>
      </c>
      <c r="HS91" t="e">
        <f>AND('SPR BARRANQUILLA'!M108,"AAAAAGq5dOI=")</f>
        <v>#VALUE!</v>
      </c>
      <c r="HT91" t="e">
        <f>AND('SPR BARRANQUILLA'!N108,"AAAAAGq5dOM=")</f>
        <v>#VALUE!</v>
      </c>
      <c r="HU91" t="e">
        <f>AND('SPR BARRANQUILLA'!O108,"AAAAAGq5dOQ=")</f>
        <v>#VALUE!</v>
      </c>
      <c r="HV91" t="e">
        <f>AND('SPR BARRANQUILLA'!P108,"AAAAAGq5dOU=")</f>
        <v>#VALUE!</v>
      </c>
      <c r="HW91" t="e">
        <f>AND('SPR BARRANQUILLA'!Q108,"AAAAAGq5dOY=")</f>
        <v>#VALUE!</v>
      </c>
      <c r="HX91" t="e">
        <f>AND('SPR BARRANQUILLA'!R108,"AAAAAGq5dOc=")</f>
        <v>#VALUE!</v>
      </c>
      <c r="HY91" t="e">
        <f>AND('SPR BARRANQUILLA'!S108,"AAAAAGq5dOg=")</f>
        <v>#VALUE!</v>
      </c>
      <c r="HZ91" t="e">
        <f>AND('SPR BARRANQUILLA'!T108,"AAAAAGq5dOk=")</f>
        <v>#VALUE!</v>
      </c>
      <c r="IA91" t="e">
        <f>AND('SPR BARRANQUILLA'!U108,"AAAAAGq5dOo=")</f>
        <v>#VALUE!</v>
      </c>
      <c r="IB91" t="e">
        <f>AND('SPR BARRANQUILLA'!V108,"AAAAAGq5dOs=")</f>
        <v>#VALUE!</v>
      </c>
      <c r="IC91" t="e">
        <f>AND('SPR BARRANQUILLA'!W108,"AAAAAGq5dOw=")</f>
        <v>#VALUE!</v>
      </c>
      <c r="ID91" t="e">
        <f>AND('SPR BARRANQUILLA'!X108,"AAAAAGq5dO0=")</f>
        <v>#VALUE!</v>
      </c>
      <c r="IE91" t="e">
        <f>AND('SPR BARRANQUILLA'!Y108,"AAAAAGq5dO4=")</f>
        <v>#VALUE!</v>
      </c>
      <c r="IF91" t="e">
        <f>AND('SPR BARRANQUILLA'!Z108,"AAAAAGq5dO8=")</f>
        <v>#VALUE!</v>
      </c>
      <c r="IG91" t="e">
        <f>AND('SPR BARRANQUILLA'!AA108,"AAAAAGq5dPA=")</f>
        <v>#VALUE!</v>
      </c>
      <c r="IH91" t="e">
        <f>AND('SPR BARRANQUILLA'!AB108,"AAAAAGq5dPE=")</f>
        <v>#VALUE!</v>
      </c>
      <c r="II91" t="e">
        <f>AND('SPR BARRANQUILLA'!AC108,"AAAAAGq5dPI=")</f>
        <v>#VALUE!</v>
      </c>
      <c r="IJ91" t="e">
        <f>AND('SPR BARRANQUILLA'!AD108,"AAAAAGq5dPM=")</f>
        <v>#VALUE!</v>
      </c>
      <c r="IK91" t="e">
        <f>AND('SPR BARRANQUILLA'!AE108,"AAAAAGq5dPQ=")</f>
        <v>#VALUE!</v>
      </c>
      <c r="IL91" t="e">
        <f>AND('SPR BARRANQUILLA'!AF108,"AAAAAGq5dPU=")</f>
        <v>#VALUE!</v>
      </c>
      <c r="IM91" t="e">
        <f>AND('SPR BARRANQUILLA'!AG108,"AAAAAGq5dPY=")</f>
        <v>#VALUE!</v>
      </c>
      <c r="IN91" t="e">
        <f>AND('SPR BARRANQUILLA'!AH108,"AAAAAGq5dPc=")</f>
        <v>#VALUE!</v>
      </c>
      <c r="IO91" t="e">
        <f>AND('SPR BARRANQUILLA'!AI108,"AAAAAGq5dPg=")</f>
        <v>#VALUE!</v>
      </c>
      <c r="IP91" t="e">
        <f>AND('SPR BARRANQUILLA'!AJ108,"AAAAAGq5dPk=")</f>
        <v>#VALUE!</v>
      </c>
      <c r="IQ91" t="e">
        <f>AND('SPR BARRANQUILLA'!AK108,"AAAAAGq5dPo=")</f>
        <v>#VALUE!</v>
      </c>
      <c r="IR91" t="e">
        <f>AND('SPR BARRANQUILLA'!AL108,"AAAAAGq5dPs=")</f>
        <v>#VALUE!</v>
      </c>
      <c r="IS91" t="e">
        <f>AND('SPR BARRANQUILLA'!AM108,"AAAAAGq5dPw=")</f>
        <v>#VALUE!</v>
      </c>
      <c r="IT91" t="e">
        <f>AND('SPR BARRANQUILLA'!AN108,"AAAAAGq5dP0=")</f>
        <v>#VALUE!</v>
      </c>
      <c r="IU91" t="e">
        <f>AND('SPR BARRANQUILLA'!AO108,"AAAAAGq5dP4=")</f>
        <v>#VALUE!</v>
      </c>
      <c r="IV91" t="e">
        <f>AND('SPR BARRANQUILLA'!AP108,"AAAAAGq5dP8=")</f>
        <v>#VALUE!</v>
      </c>
    </row>
    <row r="92" spans="1:256">
      <c r="A92" t="e">
        <f>AND('SPR BARRANQUILLA'!AQ108,"AAAAAHf76wA=")</f>
        <v>#VALUE!</v>
      </c>
      <c r="B92" t="e">
        <f>AND('SPR BARRANQUILLA'!AR108,"AAAAAHf76wE=")</f>
        <v>#VALUE!</v>
      </c>
      <c r="C92" t="e">
        <f>AND('SPR BARRANQUILLA'!AS108,"AAAAAHf76wI=")</f>
        <v>#VALUE!</v>
      </c>
      <c r="D92" t="e">
        <f>AND('SPR BARRANQUILLA'!AT108,"AAAAAHf76wM=")</f>
        <v>#VALUE!</v>
      </c>
      <c r="E92" t="e">
        <f>AND('SPR BARRANQUILLA'!AU108,"AAAAAHf76wQ=")</f>
        <v>#VALUE!</v>
      </c>
      <c r="F92" t="e">
        <f>AND('SPR BARRANQUILLA'!AV108,"AAAAAHf76wU=")</f>
        <v>#VALUE!</v>
      </c>
      <c r="G92" t="e">
        <f>AND('SPR BARRANQUILLA'!AW108,"AAAAAHf76wY=")</f>
        <v>#VALUE!</v>
      </c>
      <c r="H92" t="e">
        <f>AND('SPR BARRANQUILLA'!AX108,"AAAAAHf76wc=")</f>
        <v>#VALUE!</v>
      </c>
      <c r="I92" t="e">
        <f>AND('SPR BARRANQUILLA'!AY108,"AAAAAHf76wg=")</f>
        <v>#VALUE!</v>
      </c>
      <c r="J92" t="e">
        <f>AND('SPR BARRANQUILLA'!AZ108,"AAAAAHf76wk=")</f>
        <v>#VALUE!</v>
      </c>
      <c r="K92" t="e">
        <f>AND('SPR BARRANQUILLA'!BA108,"AAAAAHf76wo=")</f>
        <v>#VALUE!</v>
      </c>
      <c r="L92" t="e">
        <f>AND('SPR BARRANQUILLA'!BB108,"AAAAAHf76ws=")</f>
        <v>#VALUE!</v>
      </c>
      <c r="M92" t="e">
        <f>AND('SPR BARRANQUILLA'!BC108,"AAAAAHf76ww=")</f>
        <v>#VALUE!</v>
      </c>
      <c r="N92" t="e">
        <f>AND('SPR BARRANQUILLA'!BD108,"AAAAAHf76w0=")</f>
        <v>#VALUE!</v>
      </c>
      <c r="O92" t="e">
        <f>AND('SPR BARRANQUILLA'!BE108,"AAAAAHf76w4=")</f>
        <v>#VALUE!</v>
      </c>
      <c r="P92" t="e">
        <f>AND('SPR BARRANQUILLA'!BF108,"AAAAAHf76w8=")</f>
        <v>#VALUE!</v>
      </c>
      <c r="Q92" t="e">
        <f>AND('SPR BARRANQUILLA'!BG108,"AAAAAHf76xA=")</f>
        <v>#VALUE!</v>
      </c>
      <c r="R92" t="e">
        <f>AND('SPR BARRANQUILLA'!BH108,"AAAAAHf76xE=")</f>
        <v>#VALUE!</v>
      </c>
      <c r="S92" t="e">
        <f>AND('SPR BARRANQUILLA'!BI108,"AAAAAHf76xI=")</f>
        <v>#VALUE!</v>
      </c>
      <c r="T92" t="e">
        <f>AND('SPR BARRANQUILLA'!BJ108,"AAAAAHf76xM=")</f>
        <v>#VALUE!</v>
      </c>
      <c r="U92" t="e">
        <f>AND('SPR BARRANQUILLA'!BK108,"AAAAAHf76xQ=")</f>
        <v>#VALUE!</v>
      </c>
      <c r="V92" t="e">
        <f>AND('SPR BARRANQUILLA'!BL108,"AAAAAHf76xU=")</f>
        <v>#VALUE!</v>
      </c>
      <c r="W92" t="e">
        <f>AND('SPR BARRANQUILLA'!BM108,"AAAAAHf76xY=")</f>
        <v>#VALUE!</v>
      </c>
      <c r="X92" t="e">
        <f>AND('SPR BARRANQUILLA'!BN108,"AAAAAHf76xc=")</f>
        <v>#VALUE!</v>
      </c>
      <c r="Y92" t="e">
        <f>AND('SPR BARRANQUILLA'!BO108,"AAAAAHf76xg=")</f>
        <v>#VALUE!</v>
      </c>
      <c r="Z92" t="e">
        <f>AND('SPR BARRANQUILLA'!BP108,"AAAAAHf76xk=")</f>
        <v>#VALUE!</v>
      </c>
      <c r="AA92" t="e">
        <f>AND('SPR BARRANQUILLA'!BQ108,"AAAAAHf76xo=")</f>
        <v>#VALUE!</v>
      </c>
      <c r="AB92" t="e">
        <f>AND('SPR BARRANQUILLA'!BR108,"AAAAAHf76xs=")</f>
        <v>#VALUE!</v>
      </c>
      <c r="AC92" t="e">
        <f>AND('SPR BARRANQUILLA'!BS108,"AAAAAHf76xw=")</f>
        <v>#VALUE!</v>
      </c>
      <c r="AD92" t="e">
        <f>AND('SPR BARRANQUILLA'!BT108,"AAAAAHf76x0=")</f>
        <v>#VALUE!</v>
      </c>
      <c r="AE92" t="e">
        <f>AND('SPR BARRANQUILLA'!BU108,"AAAAAHf76x4=")</f>
        <v>#VALUE!</v>
      </c>
      <c r="AF92" t="e">
        <f>AND('SPR BARRANQUILLA'!BV108,"AAAAAHf76x8=")</f>
        <v>#VALUE!</v>
      </c>
      <c r="AG92" t="e">
        <f>AND('SPR BARRANQUILLA'!BW108,"AAAAAHf76yA=")</f>
        <v>#VALUE!</v>
      </c>
      <c r="AH92" t="e">
        <f>AND('SPR BARRANQUILLA'!BX108,"AAAAAHf76yE=")</f>
        <v>#VALUE!</v>
      </c>
      <c r="AI92" t="e">
        <f>AND('SPR BARRANQUILLA'!BY108,"AAAAAHf76yI=")</f>
        <v>#VALUE!</v>
      </c>
      <c r="AJ92" t="e">
        <f>AND('SPR BARRANQUILLA'!BZ108,"AAAAAHf76yM=")</f>
        <v>#VALUE!</v>
      </c>
      <c r="AK92" t="e">
        <f>AND('SPR BARRANQUILLA'!CA108,"AAAAAHf76yQ=")</f>
        <v>#VALUE!</v>
      </c>
      <c r="AL92" t="e">
        <f>AND('SPR BARRANQUILLA'!CB108,"AAAAAHf76yU=")</f>
        <v>#VALUE!</v>
      </c>
      <c r="AM92" t="e">
        <f>AND('SPR BARRANQUILLA'!CC108,"AAAAAHf76yY=")</f>
        <v>#VALUE!</v>
      </c>
      <c r="AN92" t="e">
        <f>AND('SPR BARRANQUILLA'!CD108,"AAAAAHf76yc=")</f>
        <v>#VALUE!</v>
      </c>
      <c r="AO92" t="e">
        <f>AND('SPR BARRANQUILLA'!CE108,"AAAAAHf76yg=")</f>
        <v>#VALUE!</v>
      </c>
      <c r="AP92" t="e">
        <f>AND('SPR BARRANQUILLA'!CF108,"AAAAAHf76yk=")</f>
        <v>#VALUE!</v>
      </c>
      <c r="AQ92" t="e">
        <f>AND('SPR BARRANQUILLA'!CG108,"AAAAAHf76yo=")</f>
        <v>#VALUE!</v>
      </c>
      <c r="AR92" t="e">
        <f>AND('SPR BARRANQUILLA'!CH108,"AAAAAHf76ys=")</f>
        <v>#VALUE!</v>
      </c>
      <c r="AS92" t="e">
        <f>AND('SPR BARRANQUILLA'!CI108,"AAAAAHf76yw=")</f>
        <v>#VALUE!</v>
      </c>
      <c r="AT92" t="e">
        <f>AND('SPR BARRANQUILLA'!CJ108,"AAAAAHf76y0=")</f>
        <v>#VALUE!</v>
      </c>
      <c r="AU92" t="e">
        <f>AND('SPR BARRANQUILLA'!CK108,"AAAAAHf76y4=")</f>
        <v>#VALUE!</v>
      </c>
      <c r="AV92" t="e">
        <f>AND('SPR BARRANQUILLA'!CL108,"AAAAAHf76y8=")</f>
        <v>#VALUE!</v>
      </c>
      <c r="AW92" t="e">
        <f>AND('SPR BARRANQUILLA'!CM108,"AAAAAHf76zA=")</f>
        <v>#VALUE!</v>
      </c>
      <c r="AX92" t="e">
        <f>AND('SPR BARRANQUILLA'!CN108,"AAAAAHf76zE=")</f>
        <v>#VALUE!</v>
      </c>
      <c r="AY92" t="e">
        <f>AND('SPR BARRANQUILLA'!CO108,"AAAAAHf76zI=")</f>
        <v>#VALUE!</v>
      </c>
      <c r="AZ92" t="e">
        <f>AND('SPR BARRANQUILLA'!CP108,"AAAAAHf76zM=")</f>
        <v>#VALUE!</v>
      </c>
      <c r="BA92" t="e">
        <f>AND('SPR BARRANQUILLA'!CQ108,"AAAAAHf76zQ=")</f>
        <v>#VALUE!</v>
      </c>
      <c r="BB92" t="e">
        <f>AND('SPR BARRANQUILLA'!CR108,"AAAAAHf76zU=")</f>
        <v>#VALUE!</v>
      </c>
      <c r="BC92" t="e">
        <f>AND('SPR BARRANQUILLA'!CS108,"AAAAAHf76zY=")</f>
        <v>#VALUE!</v>
      </c>
      <c r="BD92" t="e">
        <f>AND('SPR BARRANQUILLA'!CT108,"AAAAAHf76zc=")</f>
        <v>#VALUE!</v>
      </c>
      <c r="BE92" t="e">
        <f>AND('SPR BARRANQUILLA'!CU108,"AAAAAHf76zg=")</f>
        <v>#VALUE!</v>
      </c>
      <c r="BF92" t="e">
        <f>AND('SPR BARRANQUILLA'!CV108,"AAAAAHf76zk=")</f>
        <v>#VALUE!</v>
      </c>
      <c r="BG92" t="e">
        <f>AND('SPR BARRANQUILLA'!CW108,"AAAAAHf76zo=")</f>
        <v>#VALUE!</v>
      </c>
      <c r="BH92" t="e">
        <f>AND('SPR BARRANQUILLA'!CX108,"AAAAAHf76zs=")</f>
        <v>#VALUE!</v>
      </c>
      <c r="BI92" t="e">
        <f>AND('SPR BARRANQUILLA'!CY108,"AAAAAHf76zw=")</f>
        <v>#VALUE!</v>
      </c>
      <c r="BJ92" t="e">
        <f>AND('SPR BARRANQUILLA'!CZ108,"AAAAAHf76z0=")</f>
        <v>#VALUE!</v>
      </c>
      <c r="BK92" t="e">
        <f>AND('SPR BARRANQUILLA'!DA108,"AAAAAHf76z4=")</f>
        <v>#VALUE!</v>
      </c>
      <c r="BL92" t="e">
        <f>AND('SPR BARRANQUILLA'!DB108,"AAAAAHf76z8=")</f>
        <v>#VALUE!</v>
      </c>
      <c r="BM92" t="e">
        <f>AND('SPR BARRANQUILLA'!DC108,"AAAAAHf760A=")</f>
        <v>#VALUE!</v>
      </c>
      <c r="BN92" t="e">
        <f>AND('SPR BARRANQUILLA'!DD108,"AAAAAHf760E=")</f>
        <v>#VALUE!</v>
      </c>
      <c r="BO92" t="e">
        <f>AND('SPR BARRANQUILLA'!DE108,"AAAAAHf760I=")</f>
        <v>#VALUE!</v>
      </c>
      <c r="BP92" t="e">
        <f>AND('SPR BARRANQUILLA'!DF108,"AAAAAHf760M=")</f>
        <v>#VALUE!</v>
      </c>
      <c r="BQ92" t="e">
        <f>AND('SPR BARRANQUILLA'!DG108,"AAAAAHf760Q=")</f>
        <v>#VALUE!</v>
      </c>
      <c r="BR92" t="e">
        <f>AND('SPR BARRANQUILLA'!DH108,"AAAAAHf760U=")</f>
        <v>#VALUE!</v>
      </c>
      <c r="BS92" t="e">
        <f>AND('SPR BARRANQUILLA'!DI108,"AAAAAHf760Y=")</f>
        <v>#VALUE!</v>
      </c>
      <c r="BT92" t="e">
        <f>AND('SPR BARRANQUILLA'!DJ108,"AAAAAHf760c=")</f>
        <v>#VALUE!</v>
      </c>
      <c r="BU92" t="e">
        <f>AND('SPR BARRANQUILLA'!DK108,"AAAAAHf760g=")</f>
        <v>#VALUE!</v>
      </c>
      <c r="BV92" t="e">
        <f>AND('SPR BARRANQUILLA'!DL108,"AAAAAHf760k=")</f>
        <v>#VALUE!</v>
      </c>
      <c r="BW92" t="e">
        <f>AND('SPR BARRANQUILLA'!DM108,"AAAAAHf760o=")</f>
        <v>#VALUE!</v>
      </c>
      <c r="BX92" t="e">
        <f>AND('SPR BARRANQUILLA'!DN108,"AAAAAHf760s=")</f>
        <v>#VALUE!</v>
      </c>
      <c r="BY92" t="e">
        <f>AND('SPR BARRANQUILLA'!DO108,"AAAAAHf760w=")</f>
        <v>#VALUE!</v>
      </c>
      <c r="BZ92" t="e">
        <f>AND('SPR BARRANQUILLA'!DP108,"AAAAAHf7600=")</f>
        <v>#VALUE!</v>
      </c>
      <c r="CA92" t="e">
        <f>AND('SPR BARRANQUILLA'!DQ108,"AAAAAHf7604=")</f>
        <v>#VALUE!</v>
      </c>
      <c r="CB92" t="e">
        <f>AND('SPR BARRANQUILLA'!DR108,"AAAAAHf7608=")</f>
        <v>#VALUE!</v>
      </c>
      <c r="CC92" t="e">
        <f>AND('SPR BARRANQUILLA'!DS108,"AAAAAHf761A=")</f>
        <v>#VALUE!</v>
      </c>
      <c r="CD92" t="e">
        <f>AND('SPR BARRANQUILLA'!DT108,"AAAAAHf761E=")</f>
        <v>#VALUE!</v>
      </c>
      <c r="CE92" t="e">
        <f>AND('SPR BARRANQUILLA'!DU108,"AAAAAHf761I=")</f>
        <v>#VALUE!</v>
      </c>
      <c r="CF92" t="e">
        <f>AND('SPR BARRANQUILLA'!DV108,"AAAAAHf761M=")</f>
        <v>#VALUE!</v>
      </c>
      <c r="CG92" t="e">
        <f>AND('SPR BARRANQUILLA'!DW108,"AAAAAHf761Q=")</f>
        <v>#VALUE!</v>
      </c>
      <c r="CH92" t="e">
        <f>AND('SPR BARRANQUILLA'!DX108,"AAAAAHf761U=")</f>
        <v>#VALUE!</v>
      </c>
      <c r="CI92" t="e">
        <f>AND('SPR BARRANQUILLA'!DY108,"AAAAAHf761Y=")</f>
        <v>#VALUE!</v>
      </c>
      <c r="CJ92" t="e">
        <f>AND('SPR BARRANQUILLA'!DZ108,"AAAAAHf761c=")</f>
        <v>#VALUE!</v>
      </c>
      <c r="CK92" t="e">
        <f>AND('SPR BARRANQUILLA'!EA108,"AAAAAHf761g=")</f>
        <v>#VALUE!</v>
      </c>
      <c r="CL92" t="e">
        <f>AND('SPR BARRANQUILLA'!EB108,"AAAAAHf761k=")</f>
        <v>#VALUE!</v>
      </c>
      <c r="CM92" t="e">
        <f>AND('SPR BARRANQUILLA'!EC108,"AAAAAHf761o=")</f>
        <v>#VALUE!</v>
      </c>
      <c r="CN92" t="e">
        <f>AND('SPR BARRANQUILLA'!ED108,"AAAAAHf761s=")</f>
        <v>#VALUE!</v>
      </c>
      <c r="CO92" t="e">
        <f>AND('SPR BARRANQUILLA'!EE108,"AAAAAHf761w=")</f>
        <v>#VALUE!</v>
      </c>
      <c r="CP92" t="e">
        <f>AND('SPR BARRANQUILLA'!EF108,"AAAAAHf7610=")</f>
        <v>#VALUE!</v>
      </c>
      <c r="CQ92" t="e">
        <f>AND('SPR BARRANQUILLA'!EG108,"AAAAAHf7614=")</f>
        <v>#VALUE!</v>
      </c>
      <c r="CR92" t="e">
        <f>AND('SPR BARRANQUILLA'!EH108,"AAAAAHf7618=")</f>
        <v>#VALUE!</v>
      </c>
      <c r="CS92" t="e">
        <f>AND('SPR BARRANQUILLA'!EI108,"AAAAAHf762A=")</f>
        <v>#VALUE!</v>
      </c>
      <c r="CT92" t="e">
        <f>AND('SPR BARRANQUILLA'!EJ108,"AAAAAHf762E=")</f>
        <v>#VALUE!</v>
      </c>
      <c r="CU92" t="e">
        <f>AND('SPR BARRANQUILLA'!EK108,"AAAAAHf762I=")</f>
        <v>#VALUE!</v>
      </c>
      <c r="CV92" t="e">
        <f>AND('SPR BARRANQUILLA'!EL108,"AAAAAHf762M=")</f>
        <v>#VALUE!</v>
      </c>
      <c r="CW92" t="e">
        <f>AND('SPR BARRANQUILLA'!EM108,"AAAAAHf762Q=")</f>
        <v>#VALUE!</v>
      </c>
      <c r="CX92" t="e">
        <f>AND('SPR BARRANQUILLA'!EN108,"AAAAAHf762U=")</f>
        <v>#VALUE!</v>
      </c>
      <c r="CY92" t="e">
        <f>AND('SPR BARRANQUILLA'!EO108,"AAAAAHf762Y=")</f>
        <v>#VALUE!</v>
      </c>
      <c r="CZ92" t="e">
        <f>AND('SPR BARRANQUILLA'!EP108,"AAAAAHf762c=")</f>
        <v>#VALUE!</v>
      </c>
      <c r="DA92" t="e">
        <f>AND('SPR BARRANQUILLA'!EQ108,"AAAAAHf762g=")</f>
        <v>#VALUE!</v>
      </c>
      <c r="DB92" t="e">
        <f>AND('SPR BARRANQUILLA'!ER108,"AAAAAHf762k=")</f>
        <v>#VALUE!</v>
      </c>
      <c r="DC92" t="e">
        <f>AND('SPR BARRANQUILLA'!ES108,"AAAAAHf762o=")</f>
        <v>#VALUE!</v>
      </c>
      <c r="DD92" t="e">
        <f>AND('SPR BARRANQUILLA'!ET108,"AAAAAHf762s=")</f>
        <v>#VALUE!</v>
      </c>
      <c r="DE92" t="e">
        <f>AND('SPR BARRANQUILLA'!EU108,"AAAAAHf762w=")</f>
        <v>#VALUE!</v>
      </c>
      <c r="DF92" t="e">
        <f>AND('SPR BARRANQUILLA'!EV108,"AAAAAHf7620=")</f>
        <v>#VALUE!</v>
      </c>
      <c r="DG92" t="e">
        <f>AND('SPR BARRANQUILLA'!EW108,"AAAAAHf7624=")</f>
        <v>#VALUE!</v>
      </c>
      <c r="DH92" t="e">
        <f>AND('SPR BARRANQUILLA'!EX108,"AAAAAHf7628=")</f>
        <v>#VALUE!</v>
      </c>
      <c r="DI92" t="e">
        <f>AND('SPR BARRANQUILLA'!EY108,"AAAAAHf763A=")</f>
        <v>#VALUE!</v>
      </c>
      <c r="DJ92" t="e">
        <f>AND('SPR BARRANQUILLA'!EZ108,"AAAAAHf763E=")</f>
        <v>#VALUE!</v>
      </c>
      <c r="DK92" t="e">
        <f>AND('SPR BARRANQUILLA'!FA108,"AAAAAHf763I=")</f>
        <v>#VALUE!</v>
      </c>
      <c r="DL92" t="e">
        <f>AND('SPR BARRANQUILLA'!FB108,"AAAAAHf763M=")</f>
        <v>#VALUE!</v>
      </c>
      <c r="DM92" t="e">
        <f>AND('SPR BARRANQUILLA'!FC108,"AAAAAHf763Q=")</f>
        <v>#VALUE!</v>
      </c>
      <c r="DN92" t="e">
        <f>AND('SPR BARRANQUILLA'!FD108,"AAAAAHf763U=")</f>
        <v>#VALUE!</v>
      </c>
      <c r="DO92" t="e">
        <f>AND('SPR BARRANQUILLA'!FE108,"AAAAAHf763Y=")</f>
        <v>#VALUE!</v>
      </c>
      <c r="DP92" t="e">
        <f>AND('SPR BARRANQUILLA'!FF108,"AAAAAHf763c=")</f>
        <v>#VALUE!</v>
      </c>
      <c r="DQ92" t="e">
        <f>AND('SPR BARRANQUILLA'!FG108,"AAAAAHf763g=")</f>
        <v>#VALUE!</v>
      </c>
      <c r="DR92" t="e">
        <f>AND('SPR BARRANQUILLA'!FH108,"AAAAAHf763k=")</f>
        <v>#VALUE!</v>
      </c>
      <c r="DS92" t="e">
        <f>AND('SPR BARRANQUILLA'!FI108,"AAAAAHf763o=")</f>
        <v>#VALUE!</v>
      </c>
      <c r="DT92" t="e">
        <f>AND('SPR BARRANQUILLA'!FJ108,"AAAAAHf763s=")</f>
        <v>#VALUE!</v>
      </c>
      <c r="DU92" t="e">
        <f>AND('SPR BARRANQUILLA'!FK108,"AAAAAHf763w=")</f>
        <v>#VALUE!</v>
      </c>
      <c r="DV92" t="e">
        <f>AND('SPR BARRANQUILLA'!FL108,"AAAAAHf7630=")</f>
        <v>#VALUE!</v>
      </c>
      <c r="DW92" t="e">
        <f>AND('SPR BARRANQUILLA'!FM108,"AAAAAHf7634=")</f>
        <v>#VALUE!</v>
      </c>
      <c r="DX92" t="e">
        <f>AND('SPR BARRANQUILLA'!FN108,"AAAAAHf7638=")</f>
        <v>#VALUE!</v>
      </c>
      <c r="DY92" t="e">
        <f>AND('SPR BARRANQUILLA'!FO108,"AAAAAHf764A=")</f>
        <v>#VALUE!</v>
      </c>
      <c r="DZ92" t="e">
        <f>AND('SPR BARRANQUILLA'!FP108,"AAAAAHf764E=")</f>
        <v>#VALUE!</v>
      </c>
      <c r="EA92" t="e">
        <f>AND('SPR BARRANQUILLA'!FQ108,"AAAAAHf764I=")</f>
        <v>#VALUE!</v>
      </c>
      <c r="EB92" t="e">
        <f>AND('SPR BARRANQUILLA'!FR108,"AAAAAHf764M=")</f>
        <v>#VALUE!</v>
      </c>
      <c r="EC92" t="e">
        <f>AND('SPR BARRANQUILLA'!FS108,"AAAAAHf764Q=")</f>
        <v>#VALUE!</v>
      </c>
      <c r="ED92" t="e">
        <f>AND('SPR BARRANQUILLA'!FT108,"AAAAAHf764U=")</f>
        <v>#VALUE!</v>
      </c>
      <c r="EE92" t="e">
        <f>AND('SPR BARRANQUILLA'!FU108,"AAAAAHf764Y=")</f>
        <v>#VALUE!</v>
      </c>
      <c r="EF92" t="e">
        <f>AND('SPR BARRANQUILLA'!FV108,"AAAAAHf764c=")</f>
        <v>#VALUE!</v>
      </c>
      <c r="EG92" t="e">
        <f>AND('SPR BARRANQUILLA'!FW108,"AAAAAHf764g=")</f>
        <v>#VALUE!</v>
      </c>
      <c r="EH92" t="e">
        <f>AND('SPR BARRANQUILLA'!FX108,"AAAAAHf764k=")</f>
        <v>#VALUE!</v>
      </c>
      <c r="EI92" t="e">
        <f>AND('SPR BARRANQUILLA'!FY108,"AAAAAHf764o=")</f>
        <v>#VALUE!</v>
      </c>
      <c r="EJ92" t="e">
        <f>AND('SPR BARRANQUILLA'!FZ108,"AAAAAHf764s=")</f>
        <v>#VALUE!</v>
      </c>
      <c r="EK92" t="e">
        <f>AND('SPR BARRANQUILLA'!GA108,"AAAAAHf764w=")</f>
        <v>#VALUE!</v>
      </c>
      <c r="EL92" t="e">
        <f>AND('SPR BARRANQUILLA'!GB108,"AAAAAHf7640=")</f>
        <v>#VALUE!</v>
      </c>
      <c r="EM92" t="e">
        <f>AND('SPR BARRANQUILLA'!GC108,"AAAAAHf7644=")</f>
        <v>#VALUE!</v>
      </c>
      <c r="EN92" t="e">
        <f>AND('SPR BARRANQUILLA'!GD108,"AAAAAHf7648=")</f>
        <v>#VALUE!</v>
      </c>
      <c r="EO92" t="e">
        <f>AND('SPR BARRANQUILLA'!GE108,"AAAAAHf765A=")</f>
        <v>#VALUE!</v>
      </c>
      <c r="EP92" t="e">
        <f>AND('SPR BARRANQUILLA'!GF108,"AAAAAHf765E=")</f>
        <v>#VALUE!</v>
      </c>
      <c r="EQ92" t="e">
        <f>AND('SPR BARRANQUILLA'!GG108,"AAAAAHf765I=")</f>
        <v>#VALUE!</v>
      </c>
      <c r="ER92" t="e">
        <f>AND('SPR BARRANQUILLA'!GH108,"AAAAAHf765M=")</f>
        <v>#VALUE!</v>
      </c>
      <c r="ES92" t="e">
        <f>AND('SPR BARRANQUILLA'!GI108,"AAAAAHf765Q=")</f>
        <v>#VALUE!</v>
      </c>
      <c r="ET92" t="e">
        <f>AND('SPR BARRANQUILLA'!GJ108,"AAAAAHf765U=")</f>
        <v>#VALUE!</v>
      </c>
      <c r="EU92" t="e">
        <f>AND('SPR BARRANQUILLA'!GK108,"AAAAAHf765Y=")</f>
        <v>#VALUE!</v>
      </c>
      <c r="EV92" t="e">
        <f>AND('SPR BARRANQUILLA'!GL108,"AAAAAHf765c=")</f>
        <v>#VALUE!</v>
      </c>
      <c r="EW92" t="e">
        <f>AND('SPR BARRANQUILLA'!GM108,"AAAAAHf765g=")</f>
        <v>#VALUE!</v>
      </c>
      <c r="EX92" t="e">
        <f>AND('SPR BARRANQUILLA'!GN108,"AAAAAHf765k=")</f>
        <v>#VALUE!</v>
      </c>
      <c r="EY92" t="e">
        <f>AND('SPR BARRANQUILLA'!GO108,"AAAAAHf765o=")</f>
        <v>#VALUE!</v>
      </c>
      <c r="EZ92" t="e">
        <f>AND('SPR BARRANQUILLA'!GP108,"AAAAAHf765s=")</f>
        <v>#VALUE!</v>
      </c>
      <c r="FA92" t="e">
        <f>AND('SPR BARRANQUILLA'!GQ108,"AAAAAHf765w=")</f>
        <v>#VALUE!</v>
      </c>
      <c r="FB92" t="e">
        <f>AND('SPR BARRANQUILLA'!GR108,"AAAAAHf7650=")</f>
        <v>#VALUE!</v>
      </c>
      <c r="FC92" t="e">
        <f>AND('SPR BARRANQUILLA'!GS108,"AAAAAHf7654=")</f>
        <v>#VALUE!</v>
      </c>
      <c r="FD92" t="e">
        <f>AND('SPR BARRANQUILLA'!GT108,"AAAAAHf7658=")</f>
        <v>#VALUE!</v>
      </c>
      <c r="FE92" t="e">
        <f>AND('SPR BARRANQUILLA'!GU108,"AAAAAHf766A=")</f>
        <v>#VALUE!</v>
      </c>
      <c r="FF92" t="e">
        <f>AND('SPR BARRANQUILLA'!GV108,"AAAAAHf766E=")</f>
        <v>#VALUE!</v>
      </c>
      <c r="FG92" t="e">
        <f>AND('SPR BARRANQUILLA'!GW108,"AAAAAHf766I=")</f>
        <v>#VALUE!</v>
      </c>
      <c r="FH92" t="e">
        <f>AND('SPR BARRANQUILLA'!GX108,"AAAAAHf766M=")</f>
        <v>#VALUE!</v>
      </c>
      <c r="FI92" t="e">
        <f>AND('SPR BARRANQUILLA'!GY108,"AAAAAHf766Q=")</f>
        <v>#VALUE!</v>
      </c>
      <c r="FJ92">
        <f>IF('SPR BARRANQUILLA'!109:109,"AAAAAHf766U=",0)</f>
        <v>0</v>
      </c>
      <c r="FK92" t="e">
        <f>AND('SPR BARRANQUILLA'!A109,"AAAAAHf766Y=")</f>
        <v>#VALUE!</v>
      </c>
      <c r="FL92" t="e">
        <f>AND('SPR BARRANQUILLA'!B109,"AAAAAHf766c=")</f>
        <v>#VALUE!</v>
      </c>
      <c r="FM92" t="e">
        <f>AND('SPR BARRANQUILLA'!C109,"AAAAAHf766g=")</f>
        <v>#VALUE!</v>
      </c>
      <c r="FN92" t="e">
        <f>AND('SPR BARRANQUILLA'!D109,"AAAAAHf766k=")</f>
        <v>#VALUE!</v>
      </c>
      <c r="FO92" t="e">
        <f>AND('SPR BARRANQUILLA'!E109,"AAAAAHf766o=")</f>
        <v>#VALUE!</v>
      </c>
      <c r="FP92" t="e">
        <f>AND('SPR BARRANQUILLA'!F109,"AAAAAHf766s=")</f>
        <v>#VALUE!</v>
      </c>
      <c r="FQ92" t="e">
        <f>AND('SPR BARRANQUILLA'!G109,"AAAAAHf766w=")</f>
        <v>#VALUE!</v>
      </c>
      <c r="FR92" t="e">
        <f>AND('SPR BARRANQUILLA'!H109,"AAAAAHf7660=")</f>
        <v>#VALUE!</v>
      </c>
      <c r="FS92" t="e">
        <f>AND('SPR BARRANQUILLA'!I109,"AAAAAHf7664=")</f>
        <v>#VALUE!</v>
      </c>
      <c r="FT92" t="e">
        <f>AND('SPR BARRANQUILLA'!J109,"AAAAAHf7668=")</f>
        <v>#VALUE!</v>
      </c>
      <c r="FU92" t="e">
        <f>AND('SPR BARRANQUILLA'!K109,"AAAAAHf767A=")</f>
        <v>#VALUE!</v>
      </c>
      <c r="FV92" t="e">
        <f>AND('SPR BARRANQUILLA'!L109,"AAAAAHf767E=")</f>
        <v>#VALUE!</v>
      </c>
      <c r="FW92" t="e">
        <f>AND('SPR BARRANQUILLA'!M109,"AAAAAHf767I=")</f>
        <v>#VALUE!</v>
      </c>
      <c r="FX92" t="e">
        <f>AND('SPR BARRANQUILLA'!N109,"AAAAAHf767M=")</f>
        <v>#VALUE!</v>
      </c>
      <c r="FY92" t="e">
        <f>AND('SPR BARRANQUILLA'!O109,"AAAAAHf767Q=")</f>
        <v>#VALUE!</v>
      </c>
      <c r="FZ92" t="e">
        <f>AND('SPR BARRANQUILLA'!P109,"AAAAAHf767U=")</f>
        <v>#VALUE!</v>
      </c>
      <c r="GA92" t="e">
        <f>AND('SPR BARRANQUILLA'!Q109,"AAAAAHf767Y=")</f>
        <v>#VALUE!</v>
      </c>
      <c r="GB92" t="e">
        <f>AND('SPR BARRANQUILLA'!R109,"AAAAAHf767c=")</f>
        <v>#VALUE!</v>
      </c>
      <c r="GC92" t="e">
        <f>AND('SPR BARRANQUILLA'!S109,"AAAAAHf767g=")</f>
        <v>#VALUE!</v>
      </c>
      <c r="GD92" t="e">
        <f>AND('SPR BARRANQUILLA'!T109,"AAAAAHf767k=")</f>
        <v>#VALUE!</v>
      </c>
      <c r="GE92" t="e">
        <f>AND('SPR BARRANQUILLA'!U109,"AAAAAHf767o=")</f>
        <v>#VALUE!</v>
      </c>
      <c r="GF92" t="e">
        <f>AND('SPR BARRANQUILLA'!V109,"AAAAAHf767s=")</f>
        <v>#VALUE!</v>
      </c>
      <c r="GG92" t="e">
        <f>AND('SPR BARRANQUILLA'!W109,"AAAAAHf767w=")</f>
        <v>#VALUE!</v>
      </c>
      <c r="GH92" t="e">
        <f>AND('SPR BARRANQUILLA'!X109,"AAAAAHf7670=")</f>
        <v>#VALUE!</v>
      </c>
      <c r="GI92" t="e">
        <f>AND('SPR BARRANQUILLA'!Y109,"AAAAAHf7674=")</f>
        <v>#VALUE!</v>
      </c>
      <c r="GJ92" t="e">
        <f>AND('SPR BARRANQUILLA'!Z109,"AAAAAHf7678=")</f>
        <v>#VALUE!</v>
      </c>
      <c r="GK92" t="e">
        <f>AND('SPR BARRANQUILLA'!AA109,"AAAAAHf768A=")</f>
        <v>#VALUE!</v>
      </c>
      <c r="GL92" t="e">
        <f>AND('SPR BARRANQUILLA'!AB109,"AAAAAHf768E=")</f>
        <v>#VALUE!</v>
      </c>
      <c r="GM92" t="e">
        <f>AND('SPR BARRANQUILLA'!AC109,"AAAAAHf768I=")</f>
        <v>#VALUE!</v>
      </c>
      <c r="GN92" t="e">
        <f>AND('SPR BARRANQUILLA'!AD109,"AAAAAHf768M=")</f>
        <v>#VALUE!</v>
      </c>
      <c r="GO92" t="e">
        <f>AND('SPR BARRANQUILLA'!AE109,"AAAAAHf768Q=")</f>
        <v>#VALUE!</v>
      </c>
      <c r="GP92" t="e">
        <f>AND('SPR BARRANQUILLA'!AF109,"AAAAAHf768U=")</f>
        <v>#VALUE!</v>
      </c>
      <c r="GQ92" t="e">
        <f>AND('SPR BARRANQUILLA'!AG109,"AAAAAHf768Y=")</f>
        <v>#VALUE!</v>
      </c>
      <c r="GR92" t="e">
        <f>AND('SPR BARRANQUILLA'!AH109,"AAAAAHf768c=")</f>
        <v>#VALUE!</v>
      </c>
      <c r="GS92" t="e">
        <f>AND('SPR BARRANQUILLA'!AI109,"AAAAAHf768g=")</f>
        <v>#VALUE!</v>
      </c>
      <c r="GT92" t="e">
        <f>AND('SPR BARRANQUILLA'!AJ109,"AAAAAHf768k=")</f>
        <v>#VALUE!</v>
      </c>
      <c r="GU92" t="e">
        <f>AND('SPR BARRANQUILLA'!AK109,"AAAAAHf768o=")</f>
        <v>#VALUE!</v>
      </c>
      <c r="GV92" t="e">
        <f>AND('SPR BARRANQUILLA'!AL109,"AAAAAHf768s=")</f>
        <v>#VALUE!</v>
      </c>
      <c r="GW92" t="e">
        <f>AND('SPR BARRANQUILLA'!AM109,"AAAAAHf768w=")</f>
        <v>#VALUE!</v>
      </c>
      <c r="GX92" t="e">
        <f>AND('SPR BARRANQUILLA'!AN109,"AAAAAHf7680=")</f>
        <v>#VALUE!</v>
      </c>
      <c r="GY92" t="e">
        <f>AND('SPR BARRANQUILLA'!AO109,"AAAAAHf7684=")</f>
        <v>#VALUE!</v>
      </c>
      <c r="GZ92" t="e">
        <f>AND('SPR BARRANQUILLA'!AP109,"AAAAAHf7688=")</f>
        <v>#VALUE!</v>
      </c>
      <c r="HA92" t="e">
        <f>AND('SPR BARRANQUILLA'!AQ109,"AAAAAHf769A=")</f>
        <v>#VALUE!</v>
      </c>
      <c r="HB92" t="e">
        <f>AND('SPR BARRANQUILLA'!AR109,"AAAAAHf769E=")</f>
        <v>#VALUE!</v>
      </c>
      <c r="HC92" t="e">
        <f>AND('SPR BARRANQUILLA'!AS109,"AAAAAHf769I=")</f>
        <v>#VALUE!</v>
      </c>
      <c r="HD92" t="e">
        <f>AND('SPR BARRANQUILLA'!AT109,"AAAAAHf769M=")</f>
        <v>#VALUE!</v>
      </c>
      <c r="HE92" t="e">
        <f>AND('SPR BARRANQUILLA'!AU109,"AAAAAHf769Q=")</f>
        <v>#VALUE!</v>
      </c>
      <c r="HF92" t="e">
        <f>AND('SPR BARRANQUILLA'!AV109,"AAAAAHf769U=")</f>
        <v>#VALUE!</v>
      </c>
      <c r="HG92" t="e">
        <f>AND('SPR BARRANQUILLA'!AW109,"AAAAAHf769Y=")</f>
        <v>#VALUE!</v>
      </c>
      <c r="HH92" t="e">
        <f>AND('SPR BARRANQUILLA'!AX109,"AAAAAHf769c=")</f>
        <v>#VALUE!</v>
      </c>
      <c r="HI92" t="e">
        <f>AND('SPR BARRANQUILLA'!AY109,"AAAAAHf769g=")</f>
        <v>#VALUE!</v>
      </c>
      <c r="HJ92" t="e">
        <f>AND('SPR BARRANQUILLA'!AZ109,"AAAAAHf769k=")</f>
        <v>#VALUE!</v>
      </c>
      <c r="HK92" t="e">
        <f>AND('SPR BARRANQUILLA'!BA109,"AAAAAHf769o=")</f>
        <v>#VALUE!</v>
      </c>
      <c r="HL92" t="e">
        <f>AND('SPR BARRANQUILLA'!BB109,"AAAAAHf769s=")</f>
        <v>#VALUE!</v>
      </c>
      <c r="HM92" t="e">
        <f>AND('SPR BARRANQUILLA'!BC109,"AAAAAHf769w=")</f>
        <v>#VALUE!</v>
      </c>
      <c r="HN92" t="e">
        <f>AND('SPR BARRANQUILLA'!BD109,"AAAAAHf7690=")</f>
        <v>#VALUE!</v>
      </c>
      <c r="HO92" t="e">
        <f>AND('SPR BARRANQUILLA'!BE109,"AAAAAHf7694=")</f>
        <v>#VALUE!</v>
      </c>
      <c r="HP92" t="e">
        <f>AND('SPR BARRANQUILLA'!BF109,"AAAAAHf7698=")</f>
        <v>#VALUE!</v>
      </c>
      <c r="HQ92" t="e">
        <f>AND('SPR BARRANQUILLA'!BG109,"AAAAAHf76+A=")</f>
        <v>#VALUE!</v>
      </c>
      <c r="HR92" t="e">
        <f>AND('SPR BARRANQUILLA'!BH109,"AAAAAHf76+E=")</f>
        <v>#VALUE!</v>
      </c>
      <c r="HS92" t="e">
        <f>AND('SPR BARRANQUILLA'!BI109,"AAAAAHf76+I=")</f>
        <v>#VALUE!</v>
      </c>
      <c r="HT92" t="e">
        <f>AND('SPR BARRANQUILLA'!BJ109,"AAAAAHf76+M=")</f>
        <v>#VALUE!</v>
      </c>
      <c r="HU92" t="e">
        <f>AND('SPR BARRANQUILLA'!BK109,"AAAAAHf76+Q=")</f>
        <v>#VALUE!</v>
      </c>
      <c r="HV92" t="e">
        <f>AND('SPR BARRANQUILLA'!BL109,"AAAAAHf76+U=")</f>
        <v>#VALUE!</v>
      </c>
      <c r="HW92" t="e">
        <f>AND('SPR BARRANQUILLA'!BM109,"AAAAAHf76+Y=")</f>
        <v>#VALUE!</v>
      </c>
      <c r="HX92" t="e">
        <f>AND('SPR BARRANQUILLA'!BN109,"AAAAAHf76+c=")</f>
        <v>#VALUE!</v>
      </c>
      <c r="HY92" t="e">
        <f>AND('SPR BARRANQUILLA'!BO109,"AAAAAHf76+g=")</f>
        <v>#VALUE!</v>
      </c>
      <c r="HZ92" t="e">
        <f>AND('SPR BARRANQUILLA'!BP109,"AAAAAHf76+k=")</f>
        <v>#VALUE!</v>
      </c>
      <c r="IA92" t="e">
        <f>AND('SPR BARRANQUILLA'!BQ109,"AAAAAHf76+o=")</f>
        <v>#VALUE!</v>
      </c>
      <c r="IB92" t="e">
        <f>AND('SPR BARRANQUILLA'!BR109,"AAAAAHf76+s=")</f>
        <v>#VALUE!</v>
      </c>
      <c r="IC92" t="e">
        <f>AND('SPR BARRANQUILLA'!BS109,"AAAAAHf76+w=")</f>
        <v>#VALUE!</v>
      </c>
      <c r="ID92" t="e">
        <f>AND('SPR BARRANQUILLA'!BT109,"AAAAAHf76+0=")</f>
        <v>#VALUE!</v>
      </c>
      <c r="IE92" t="e">
        <f>AND('SPR BARRANQUILLA'!BU109,"AAAAAHf76+4=")</f>
        <v>#VALUE!</v>
      </c>
      <c r="IF92" t="e">
        <f>AND('SPR BARRANQUILLA'!BV109,"AAAAAHf76+8=")</f>
        <v>#VALUE!</v>
      </c>
      <c r="IG92" t="e">
        <f>AND('SPR BARRANQUILLA'!BW109,"AAAAAHf76/A=")</f>
        <v>#VALUE!</v>
      </c>
      <c r="IH92" t="e">
        <f>AND('SPR BARRANQUILLA'!BX109,"AAAAAHf76/E=")</f>
        <v>#VALUE!</v>
      </c>
      <c r="II92" t="e">
        <f>AND('SPR BARRANQUILLA'!BY109,"AAAAAHf76/I=")</f>
        <v>#VALUE!</v>
      </c>
      <c r="IJ92" t="e">
        <f>AND('SPR BARRANQUILLA'!BZ109,"AAAAAHf76/M=")</f>
        <v>#VALUE!</v>
      </c>
      <c r="IK92" t="e">
        <f>AND('SPR BARRANQUILLA'!CA109,"AAAAAHf76/Q=")</f>
        <v>#VALUE!</v>
      </c>
      <c r="IL92" t="e">
        <f>AND('SPR BARRANQUILLA'!CB109,"AAAAAHf76/U=")</f>
        <v>#VALUE!</v>
      </c>
      <c r="IM92" t="e">
        <f>AND('SPR BARRANQUILLA'!CC109,"AAAAAHf76/Y=")</f>
        <v>#VALUE!</v>
      </c>
      <c r="IN92" t="e">
        <f>AND('SPR BARRANQUILLA'!CD109,"AAAAAHf76/c=")</f>
        <v>#VALUE!</v>
      </c>
      <c r="IO92" t="e">
        <f>AND('SPR BARRANQUILLA'!CE109,"AAAAAHf76/g=")</f>
        <v>#VALUE!</v>
      </c>
      <c r="IP92" t="e">
        <f>AND('SPR BARRANQUILLA'!CF109,"AAAAAHf76/k=")</f>
        <v>#VALUE!</v>
      </c>
      <c r="IQ92" t="e">
        <f>AND('SPR BARRANQUILLA'!CG109,"AAAAAHf76/o=")</f>
        <v>#VALUE!</v>
      </c>
      <c r="IR92" t="e">
        <f>AND('SPR BARRANQUILLA'!CH109,"AAAAAHf76/s=")</f>
        <v>#VALUE!</v>
      </c>
      <c r="IS92" t="e">
        <f>AND('SPR BARRANQUILLA'!CI109,"AAAAAHf76/w=")</f>
        <v>#VALUE!</v>
      </c>
      <c r="IT92" t="e">
        <f>AND('SPR BARRANQUILLA'!CJ109,"AAAAAHf76/0=")</f>
        <v>#VALUE!</v>
      </c>
      <c r="IU92" t="e">
        <f>AND('SPR BARRANQUILLA'!CK109,"AAAAAHf76/4=")</f>
        <v>#VALUE!</v>
      </c>
      <c r="IV92" t="e">
        <f>AND('SPR BARRANQUILLA'!CL109,"AAAAAHf76/8=")</f>
        <v>#VALUE!</v>
      </c>
    </row>
    <row r="93" spans="1:256">
      <c r="A93" t="e">
        <f>AND('SPR BARRANQUILLA'!CM109,"AAAAAHvJ/wA=")</f>
        <v>#VALUE!</v>
      </c>
      <c r="B93" t="e">
        <f>AND('SPR BARRANQUILLA'!CN109,"AAAAAHvJ/wE=")</f>
        <v>#VALUE!</v>
      </c>
      <c r="C93" t="e">
        <f>AND('SPR BARRANQUILLA'!CO109,"AAAAAHvJ/wI=")</f>
        <v>#VALUE!</v>
      </c>
      <c r="D93" t="e">
        <f>AND('SPR BARRANQUILLA'!CP109,"AAAAAHvJ/wM=")</f>
        <v>#VALUE!</v>
      </c>
      <c r="E93" t="e">
        <f>AND('SPR BARRANQUILLA'!CQ109,"AAAAAHvJ/wQ=")</f>
        <v>#VALUE!</v>
      </c>
      <c r="F93" t="e">
        <f>AND('SPR BARRANQUILLA'!CR109,"AAAAAHvJ/wU=")</f>
        <v>#VALUE!</v>
      </c>
      <c r="G93" t="e">
        <f>AND('SPR BARRANQUILLA'!CS109,"AAAAAHvJ/wY=")</f>
        <v>#VALUE!</v>
      </c>
      <c r="H93" t="e">
        <f>AND('SPR BARRANQUILLA'!CT109,"AAAAAHvJ/wc=")</f>
        <v>#VALUE!</v>
      </c>
      <c r="I93" t="e">
        <f>AND('SPR BARRANQUILLA'!CU109,"AAAAAHvJ/wg=")</f>
        <v>#VALUE!</v>
      </c>
      <c r="J93" t="e">
        <f>AND('SPR BARRANQUILLA'!CV109,"AAAAAHvJ/wk=")</f>
        <v>#VALUE!</v>
      </c>
      <c r="K93" t="e">
        <f>AND('SPR BARRANQUILLA'!CW109,"AAAAAHvJ/wo=")</f>
        <v>#VALUE!</v>
      </c>
      <c r="L93" t="e">
        <f>AND('SPR BARRANQUILLA'!CX109,"AAAAAHvJ/ws=")</f>
        <v>#VALUE!</v>
      </c>
      <c r="M93" t="e">
        <f>AND('SPR BARRANQUILLA'!CY109,"AAAAAHvJ/ww=")</f>
        <v>#VALUE!</v>
      </c>
      <c r="N93" t="e">
        <f>AND('SPR BARRANQUILLA'!CZ109,"AAAAAHvJ/w0=")</f>
        <v>#VALUE!</v>
      </c>
      <c r="O93" t="e">
        <f>AND('SPR BARRANQUILLA'!DA109,"AAAAAHvJ/w4=")</f>
        <v>#VALUE!</v>
      </c>
      <c r="P93" t="e">
        <f>AND('SPR BARRANQUILLA'!DB109,"AAAAAHvJ/w8=")</f>
        <v>#VALUE!</v>
      </c>
      <c r="Q93" t="e">
        <f>AND('SPR BARRANQUILLA'!DC109,"AAAAAHvJ/xA=")</f>
        <v>#VALUE!</v>
      </c>
      <c r="R93" t="e">
        <f>AND('SPR BARRANQUILLA'!DD109,"AAAAAHvJ/xE=")</f>
        <v>#VALUE!</v>
      </c>
      <c r="S93" t="e">
        <f>AND('SPR BARRANQUILLA'!DE109,"AAAAAHvJ/xI=")</f>
        <v>#VALUE!</v>
      </c>
      <c r="T93" t="e">
        <f>AND('SPR BARRANQUILLA'!DF109,"AAAAAHvJ/xM=")</f>
        <v>#VALUE!</v>
      </c>
      <c r="U93" t="e">
        <f>AND('SPR BARRANQUILLA'!DG109,"AAAAAHvJ/xQ=")</f>
        <v>#VALUE!</v>
      </c>
      <c r="V93" t="e">
        <f>AND('SPR BARRANQUILLA'!DH109,"AAAAAHvJ/xU=")</f>
        <v>#VALUE!</v>
      </c>
      <c r="W93" t="e">
        <f>AND('SPR BARRANQUILLA'!DI109,"AAAAAHvJ/xY=")</f>
        <v>#VALUE!</v>
      </c>
      <c r="X93" t="e">
        <f>AND('SPR BARRANQUILLA'!DJ109,"AAAAAHvJ/xc=")</f>
        <v>#VALUE!</v>
      </c>
      <c r="Y93" t="e">
        <f>AND('SPR BARRANQUILLA'!DK109,"AAAAAHvJ/xg=")</f>
        <v>#VALUE!</v>
      </c>
      <c r="Z93" t="e">
        <f>AND('SPR BARRANQUILLA'!DL109,"AAAAAHvJ/xk=")</f>
        <v>#VALUE!</v>
      </c>
      <c r="AA93" t="e">
        <f>AND('SPR BARRANQUILLA'!DM109,"AAAAAHvJ/xo=")</f>
        <v>#VALUE!</v>
      </c>
      <c r="AB93" t="e">
        <f>AND('SPR BARRANQUILLA'!DN109,"AAAAAHvJ/xs=")</f>
        <v>#VALUE!</v>
      </c>
      <c r="AC93" t="e">
        <f>AND('SPR BARRANQUILLA'!DO109,"AAAAAHvJ/xw=")</f>
        <v>#VALUE!</v>
      </c>
      <c r="AD93" t="e">
        <f>AND('SPR BARRANQUILLA'!DP109,"AAAAAHvJ/x0=")</f>
        <v>#VALUE!</v>
      </c>
      <c r="AE93" t="e">
        <f>AND('SPR BARRANQUILLA'!DQ109,"AAAAAHvJ/x4=")</f>
        <v>#VALUE!</v>
      </c>
      <c r="AF93" t="e">
        <f>AND('SPR BARRANQUILLA'!DR109,"AAAAAHvJ/x8=")</f>
        <v>#VALUE!</v>
      </c>
      <c r="AG93" t="e">
        <f>AND('SPR BARRANQUILLA'!DS109,"AAAAAHvJ/yA=")</f>
        <v>#VALUE!</v>
      </c>
      <c r="AH93" t="e">
        <f>AND('SPR BARRANQUILLA'!DT109,"AAAAAHvJ/yE=")</f>
        <v>#VALUE!</v>
      </c>
      <c r="AI93" t="e">
        <f>AND('SPR BARRANQUILLA'!DU109,"AAAAAHvJ/yI=")</f>
        <v>#VALUE!</v>
      </c>
      <c r="AJ93" t="e">
        <f>AND('SPR BARRANQUILLA'!DV109,"AAAAAHvJ/yM=")</f>
        <v>#VALUE!</v>
      </c>
      <c r="AK93" t="e">
        <f>AND('SPR BARRANQUILLA'!DW109,"AAAAAHvJ/yQ=")</f>
        <v>#VALUE!</v>
      </c>
      <c r="AL93" t="e">
        <f>AND('SPR BARRANQUILLA'!DX109,"AAAAAHvJ/yU=")</f>
        <v>#VALUE!</v>
      </c>
      <c r="AM93" t="e">
        <f>AND('SPR BARRANQUILLA'!DY109,"AAAAAHvJ/yY=")</f>
        <v>#VALUE!</v>
      </c>
      <c r="AN93" t="e">
        <f>AND('SPR BARRANQUILLA'!DZ109,"AAAAAHvJ/yc=")</f>
        <v>#VALUE!</v>
      </c>
      <c r="AO93" t="e">
        <f>AND('SPR BARRANQUILLA'!EA109,"AAAAAHvJ/yg=")</f>
        <v>#VALUE!</v>
      </c>
      <c r="AP93" t="e">
        <f>AND('SPR BARRANQUILLA'!EB109,"AAAAAHvJ/yk=")</f>
        <v>#VALUE!</v>
      </c>
      <c r="AQ93" t="e">
        <f>AND('SPR BARRANQUILLA'!EC109,"AAAAAHvJ/yo=")</f>
        <v>#VALUE!</v>
      </c>
      <c r="AR93" t="e">
        <f>AND('SPR BARRANQUILLA'!ED109,"AAAAAHvJ/ys=")</f>
        <v>#VALUE!</v>
      </c>
      <c r="AS93" t="e">
        <f>AND('SPR BARRANQUILLA'!EE109,"AAAAAHvJ/yw=")</f>
        <v>#VALUE!</v>
      </c>
      <c r="AT93" t="e">
        <f>AND('SPR BARRANQUILLA'!EF109,"AAAAAHvJ/y0=")</f>
        <v>#VALUE!</v>
      </c>
      <c r="AU93" t="e">
        <f>AND('SPR BARRANQUILLA'!EG109,"AAAAAHvJ/y4=")</f>
        <v>#VALUE!</v>
      </c>
      <c r="AV93" t="e">
        <f>AND('SPR BARRANQUILLA'!EH109,"AAAAAHvJ/y8=")</f>
        <v>#VALUE!</v>
      </c>
      <c r="AW93" t="e">
        <f>AND('SPR BARRANQUILLA'!EI109,"AAAAAHvJ/zA=")</f>
        <v>#VALUE!</v>
      </c>
      <c r="AX93" t="e">
        <f>AND('SPR BARRANQUILLA'!EJ109,"AAAAAHvJ/zE=")</f>
        <v>#VALUE!</v>
      </c>
      <c r="AY93" t="e">
        <f>AND('SPR BARRANQUILLA'!EK109,"AAAAAHvJ/zI=")</f>
        <v>#VALUE!</v>
      </c>
      <c r="AZ93" t="e">
        <f>AND('SPR BARRANQUILLA'!EL109,"AAAAAHvJ/zM=")</f>
        <v>#VALUE!</v>
      </c>
      <c r="BA93" t="e">
        <f>AND('SPR BARRANQUILLA'!EM109,"AAAAAHvJ/zQ=")</f>
        <v>#VALUE!</v>
      </c>
      <c r="BB93" t="e">
        <f>AND('SPR BARRANQUILLA'!EN109,"AAAAAHvJ/zU=")</f>
        <v>#VALUE!</v>
      </c>
      <c r="BC93" t="e">
        <f>AND('SPR BARRANQUILLA'!EO109,"AAAAAHvJ/zY=")</f>
        <v>#VALUE!</v>
      </c>
      <c r="BD93" t="e">
        <f>AND('SPR BARRANQUILLA'!EP109,"AAAAAHvJ/zc=")</f>
        <v>#VALUE!</v>
      </c>
      <c r="BE93" t="e">
        <f>AND('SPR BARRANQUILLA'!EQ109,"AAAAAHvJ/zg=")</f>
        <v>#VALUE!</v>
      </c>
      <c r="BF93" t="e">
        <f>AND('SPR BARRANQUILLA'!ER109,"AAAAAHvJ/zk=")</f>
        <v>#VALUE!</v>
      </c>
      <c r="BG93" t="e">
        <f>AND('SPR BARRANQUILLA'!ES109,"AAAAAHvJ/zo=")</f>
        <v>#VALUE!</v>
      </c>
      <c r="BH93" t="e">
        <f>AND('SPR BARRANQUILLA'!ET109,"AAAAAHvJ/zs=")</f>
        <v>#VALUE!</v>
      </c>
      <c r="BI93" t="e">
        <f>AND('SPR BARRANQUILLA'!EU109,"AAAAAHvJ/zw=")</f>
        <v>#VALUE!</v>
      </c>
      <c r="BJ93" t="e">
        <f>AND('SPR BARRANQUILLA'!EV109,"AAAAAHvJ/z0=")</f>
        <v>#VALUE!</v>
      </c>
      <c r="BK93" t="e">
        <f>AND('SPR BARRANQUILLA'!EW109,"AAAAAHvJ/z4=")</f>
        <v>#VALUE!</v>
      </c>
      <c r="BL93" t="e">
        <f>AND('SPR BARRANQUILLA'!EX109,"AAAAAHvJ/z8=")</f>
        <v>#VALUE!</v>
      </c>
      <c r="BM93" t="e">
        <f>AND('SPR BARRANQUILLA'!EY109,"AAAAAHvJ/0A=")</f>
        <v>#VALUE!</v>
      </c>
      <c r="BN93" t="e">
        <f>AND('SPR BARRANQUILLA'!EZ109,"AAAAAHvJ/0E=")</f>
        <v>#VALUE!</v>
      </c>
      <c r="BO93" t="e">
        <f>AND('SPR BARRANQUILLA'!FA109,"AAAAAHvJ/0I=")</f>
        <v>#VALUE!</v>
      </c>
      <c r="BP93" t="e">
        <f>AND('SPR BARRANQUILLA'!FB109,"AAAAAHvJ/0M=")</f>
        <v>#VALUE!</v>
      </c>
      <c r="BQ93" t="e">
        <f>AND('SPR BARRANQUILLA'!FC109,"AAAAAHvJ/0Q=")</f>
        <v>#VALUE!</v>
      </c>
      <c r="BR93" t="e">
        <f>AND('SPR BARRANQUILLA'!FD109,"AAAAAHvJ/0U=")</f>
        <v>#VALUE!</v>
      </c>
      <c r="BS93" t="e">
        <f>AND('SPR BARRANQUILLA'!FE109,"AAAAAHvJ/0Y=")</f>
        <v>#VALUE!</v>
      </c>
      <c r="BT93" t="e">
        <f>AND('SPR BARRANQUILLA'!FF109,"AAAAAHvJ/0c=")</f>
        <v>#VALUE!</v>
      </c>
      <c r="BU93" t="e">
        <f>AND('SPR BARRANQUILLA'!FG109,"AAAAAHvJ/0g=")</f>
        <v>#VALUE!</v>
      </c>
      <c r="BV93" t="e">
        <f>AND('SPR BARRANQUILLA'!FH109,"AAAAAHvJ/0k=")</f>
        <v>#VALUE!</v>
      </c>
      <c r="BW93" t="e">
        <f>AND('SPR BARRANQUILLA'!FI109,"AAAAAHvJ/0o=")</f>
        <v>#VALUE!</v>
      </c>
      <c r="BX93" t="e">
        <f>AND('SPR BARRANQUILLA'!FJ109,"AAAAAHvJ/0s=")</f>
        <v>#VALUE!</v>
      </c>
      <c r="BY93" t="e">
        <f>AND('SPR BARRANQUILLA'!FK109,"AAAAAHvJ/0w=")</f>
        <v>#VALUE!</v>
      </c>
      <c r="BZ93" t="e">
        <f>AND('SPR BARRANQUILLA'!FL109,"AAAAAHvJ/00=")</f>
        <v>#VALUE!</v>
      </c>
      <c r="CA93" t="e">
        <f>AND('SPR BARRANQUILLA'!FM109,"AAAAAHvJ/04=")</f>
        <v>#VALUE!</v>
      </c>
      <c r="CB93" t="e">
        <f>AND('SPR BARRANQUILLA'!FN109,"AAAAAHvJ/08=")</f>
        <v>#VALUE!</v>
      </c>
      <c r="CC93" t="e">
        <f>AND('SPR BARRANQUILLA'!FO109,"AAAAAHvJ/1A=")</f>
        <v>#VALUE!</v>
      </c>
      <c r="CD93" t="e">
        <f>AND('SPR BARRANQUILLA'!FP109,"AAAAAHvJ/1E=")</f>
        <v>#VALUE!</v>
      </c>
      <c r="CE93" t="e">
        <f>AND('SPR BARRANQUILLA'!FQ109,"AAAAAHvJ/1I=")</f>
        <v>#VALUE!</v>
      </c>
      <c r="CF93" t="e">
        <f>AND('SPR BARRANQUILLA'!FR109,"AAAAAHvJ/1M=")</f>
        <v>#VALUE!</v>
      </c>
      <c r="CG93" t="e">
        <f>AND('SPR BARRANQUILLA'!FS109,"AAAAAHvJ/1Q=")</f>
        <v>#VALUE!</v>
      </c>
      <c r="CH93" t="e">
        <f>AND('SPR BARRANQUILLA'!FT109,"AAAAAHvJ/1U=")</f>
        <v>#VALUE!</v>
      </c>
      <c r="CI93" t="e">
        <f>AND('SPR BARRANQUILLA'!FU109,"AAAAAHvJ/1Y=")</f>
        <v>#VALUE!</v>
      </c>
      <c r="CJ93" t="e">
        <f>AND('SPR BARRANQUILLA'!FV109,"AAAAAHvJ/1c=")</f>
        <v>#VALUE!</v>
      </c>
      <c r="CK93" t="e">
        <f>AND('SPR BARRANQUILLA'!FW109,"AAAAAHvJ/1g=")</f>
        <v>#VALUE!</v>
      </c>
      <c r="CL93" t="e">
        <f>AND('SPR BARRANQUILLA'!FX109,"AAAAAHvJ/1k=")</f>
        <v>#VALUE!</v>
      </c>
      <c r="CM93" t="e">
        <f>AND('SPR BARRANQUILLA'!FY109,"AAAAAHvJ/1o=")</f>
        <v>#VALUE!</v>
      </c>
      <c r="CN93" t="e">
        <f>AND('SPR BARRANQUILLA'!FZ109,"AAAAAHvJ/1s=")</f>
        <v>#VALUE!</v>
      </c>
      <c r="CO93" t="e">
        <f>AND('SPR BARRANQUILLA'!GA109,"AAAAAHvJ/1w=")</f>
        <v>#VALUE!</v>
      </c>
      <c r="CP93" t="e">
        <f>AND('SPR BARRANQUILLA'!GB109,"AAAAAHvJ/10=")</f>
        <v>#VALUE!</v>
      </c>
      <c r="CQ93" t="e">
        <f>AND('SPR BARRANQUILLA'!GC109,"AAAAAHvJ/14=")</f>
        <v>#VALUE!</v>
      </c>
      <c r="CR93" t="e">
        <f>AND('SPR BARRANQUILLA'!GD109,"AAAAAHvJ/18=")</f>
        <v>#VALUE!</v>
      </c>
      <c r="CS93" t="e">
        <f>AND('SPR BARRANQUILLA'!GE109,"AAAAAHvJ/2A=")</f>
        <v>#VALUE!</v>
      </c>
      <c r="CT93" t="e">
        <f>AND('SPR BARRANQUILLA'!GF109,"AAAAAHvJ/2E=")</f>
        <v>#VALUE!</v>
      </c>
      <c r="CU93" t="e">
        <f>AND('SPR BARRANQUILLA'!GG109,"AAAAAHvJ/2I=")</f>
        <v>#VALUE!</v>
      </c>
      <c r="CV93" t="e">
        <f>AND('SPR BARRANQUILLA'!GH109,"AAAAAHvJ/2M=")</f>
        <v>#VALUE!</v>
      </c>
      <c r="CW93" t="e">
        <f>AND('SPR BARRANQUILLA'!GI109,"AAAAAHvJ/2Q=")</f>
        <v>#VALUE!</v>
      </c>
      <c r="CX93" t="e">
        <f>AND('SPR BARRANQUILLA'!GJ109,"AAAAAHvJ/2U=")</f>
        <v>#VALUE!</v>
      </c>
      <c r="CY93" t="e">
        <f>AND('SPR BARRANQUILLA'!GK109,"AAAAAHvJ/2Y=")</f>
        <v>#VALUE!</v>
      </c>
      <c r="CZ93" t="e">
        <f>AND('SPR BARRANQUILLA'!GL109,"AAAAAHvJ/2c=")</f>
        <v>#VALUE!</v>
      </c>
      <c r="DA93" t="e">
        <f>AND('SPR BARRANQUILLA'!GM109,"AAAAAHvJ/2g=")</f>
        <v>#VALUE!</v>
      </c>
      <c r="DB93" t="e">
        <f>AND('SPR BARRANQUILLA'!GN109,"AAAAAHvJ/2k=")</f>
        <v>#VALUE!</v>
      </c>
      <c r="DC93" t="e">
        <f>AND('SPR BARRANQUILLA'!GO109,"AAAAAHvJ/2o=")</f>
        <v>#VALUE!</v>
      </c>
      <c r="DD93" t="e">
        <f>AND('SPR BARRANQUILLA'!GP109,"AAAAAHvJ/2s=")</f>
        <v>#VALUE!</v>
      </c>
      <c r="DE93" t="e">
        <f>AND('SPR BARRANQUILLA'!GQ109,"AAAAAHvJ/2w=")</f>
        <v>#VALUE!</v>
      </c>
      <c r="DF93" t="e">
        <f>AND('SPR BARRANQUILLA'!GR109,"AAAAAHvJ/20=")</f>
        <v>#VALUE!</v>
      </c>
      <c r="DG93" t="e">
        <f>AND('SPR BARRANQUILLA'!GS109,"AAAAAHvJ/24=")</f>
        <v>#VALUE!</v>
      </c>
      <c r="DH93" t="e">
        <f>AND('SPR BARRANQUILLA'!GT109,"AAAAAHvJ/28=")</f>
        <v>#VALUE!</v>
      </c>
      <c r="DI93" t="e">
        <f>AND('SPR BARRANQUILLA'!GU109,"AAAAAHvJ/3A=")</f>
        <v>#VALUE!</v>
      </c>
      <c r="DJ93" t="e">
        <f>AND('SPR BARRANQUILLA'!GV109,"AAAAAHvJ/3E=")</f>
        <v>#VALUE!</v>
      </c>
      <c r="DK93" t="e">
        <f>AND('SPR BARRANQUILLA'!GW109,"AAAAAHvJ/3I=")</f>
        <v>#VALUE!</v>
      </c>
      <c r="DL93" t="e">
        <f>AND('SPR BARRANQUILLA'!GX109,"AAAAAHvJ/3M=")</f>
        <v>#VALUE!</v>
      </c>
      <c r="DM93" t="e">
        <f>AND('SPR BARRANQUILLA'!GY109,"AAAAAHvJ/3Q=")</f>
        <v>#VALUE!</v>
      </c>
      <c r="DN93">
        <f>IF('SPR BARRANQUILLA'!110:110,"AAAAAHvJ/3U=",0)</f>
        <v>0</v>
      </c>
      <c r="DO93" t="e">
        <f>AND('SPR BARRANQUILLA'!A110,"AAAAAHvJ/3Y=")</f>
        <v>#VALUE!</v>
      </c>
      <c r="DP93" t="e">
        <f>AND('SPR BARRANQUILLA'!B110,"AAAAAHvJ/3c=")</f>
        <v>#VALUE!</v>
      </c>
      <c r="DQ93" t="e">
        <f>AND('SPR BARRANQUILLA'!C110,"AAAAAHvJ/3g=")</f>
        <v>#VALUE!</v>
      </c>
      <c r="DR93" t="e">
        <f>AND('SPR BARRANQUILLA'!D110,"AAAAAHvJ/3k=")</f>
        <v>#VALUE!</v>
      </c>
      <c r="DS93" t="e">
        <f>AND('SPR BARRANQUILLA'!E110,"AAAAAHvJ/3o=")</f>
        <v>#VALUE!</v>
      </c>
      <c r="DT93" t="e">
        <f>AND('SPR BARRANQUILLA'!F110,"AAAAAHvJ/3s=")</f>
        <v>#VALUE!</v>
      </c>
      <c r="DU93" t="e">
        <f>AND('SPR BARRANQUILLA'!G110,"AAAAAHvJ/3w=")</f>
        <v>#VALUE!</v>
      </c>
      <c r="DV93" t="e">
        <f>AND('SPR BARRANQUILLA'!H110,"AAAAAHvJ/30=")</f>
        <v>#VALUE!</v>
      </c>
      <c r="DW93" t="e">
        <f>AND('SPR BARRANQUILLA'!I110,"AAAAAHvJ/34=")</f>
        <v>#VALUE!</v>
      </c>
      <c r="DX93" t="e">
        <f>AND('SPR BARRANQUILLA'!J110,"AAAAAHvJ/38=")</f>
        <v>#VALUE!</v>
      </c>
      <c r="DY93" t="e">
        <f>AND('SPR BARRANQUILLA'!K110,"AAAAAHvJ/4A=")</f>
        <v>#VALUE!</v>
      </c>
      <c r="DZ93" t="e">
        <f>AND('SPR BARRANQUILLA'!L110,"AAAAAHvJ/4E=")</f>
        <v>#VALUE!</v>
      </c>
      <c r="EA93" t="e">
        <f>AND('SPR BARRANQUILLA'!M110,"AAAAAHvJ/4I=")</f>
        <v>#VALUE!</v>
      </c>
      <c r="EB93" t="e">
        <f>AND('SPR BARRANQUILLA'!N110,"AAAAAHvJ/4M=")</f>
        <v>#VALUE!</v>
      </c>
      <c r="EC93" t="e">
        <f>AND('SPR BARRANQUILLA'!O110,"AAAAAHvJ/4Q=")</f>
        <v>#VALUE!</v>
      </c>
      <c r="ED93" t="e">
        <f>AND('SPR BARRANQUILLA'!P110,"AAAAAHvJ/4U=")</f>
        <v>#VALUE!</v>
      </c>
      <c r="EE93" t="e">
        <f>AND('SPR BARRANQUILLA'!Q110,"AAAAAHvJ/4Y=")</f>
        <v>#VALUE!</v>
      </c>
      <c r="EF93" t="e">
        <f>AND('SPR BARRANQUILLA'!R110,"AAAAAHvJ/4c=")</f>
        <v>#VALUE!</v>
      </c>
      <c r="EG93" t="e">
        <f>AND('SPR BARRANQUILLA'!S110,"AAAAAHvJ/4g=")</f>
        <v>#VALUE!</v>
      </c>
      <c r="EH93" t="e">
        <f>AND('SPR BARRANQUILLA'!T110,"AAAAAHvJ/4k=")</f>
        <v>#VALUE!</v>
      </c>
      <c r="EI93" t="e">
        <f>AND('SPR BARRANQUILLA'!U110,"AAAAAHvJ/4o=")</f>
        <v>#VALUE!</v>
      </c>
      <c r="EJ93" t="e">
        <f>AND('SPR BARRANQUILLA'!V110,"AAAAAHvJ/4s=")</f>
        <v>#VALUE!</v>
      </c>
      <c r="EK93" t="e">
        <f>AND('SPR BARRANQUILLA'!W110,"AAAAAHvJ/4w=")</f>
        <v>#VALUE!</v>
      </c>
      <c r="EL93" t="e">
        <f>AND('SPR BARRANQUILLA'!X110,"AAAAAHvJ/40=")</f>
        <v>#VALUE!</v>
      </c>
      <c r="EM93" t="e">
        <f>AND('SPR BARRANQUILLA'!Y110,"AAAAAHvJ/44=")</f>
        <v>#VALUE!</v>
      </c>
      <c r="EN93" t="e">
        <f>AND('SPR BARRANQUILLA'!Z110,"AAAAAHvJ/48=")</f>
        <v>#VALUE!</v>
      </c>
      <c r="EO93" t="e">
        <f>AND('SPR BARRANQUILLA'!AA110,"AAAAAHvJ/5A=")</f>
        <v>#VALUE!</v>
      </c>
      <c r="EP93" t="e">
        <f>AND('SPR BARRANQUILLA'!AB110,"AAAAAHvJ/5E=")</f>
        <v>#VALUE!</v>
      </c>
      <c r="EQ93" t="e">
        <f>AND('SPR BARRANQUILLA'!AC110,"AAAAAHvJ/5I=")</f>
        <v>#VALUE!</v>
      </c>
      <c r="ER93" t="e">
        <f>AND('SPR BARRANQUILLA'!AD110,"AAAAAHvJ/5M=")</f>
        <v>#VALUE!</v>
      </c>
      <c r="ES93" t="e">
        <f>AND('SPR BARRANQUILLA'!AE110,"AAAAAHvJ/5Q=")</f>
        <v>#VALUE!</v>
      </c>
      <c r="ET93" t="e">
        <f>AND('SPR BARRANQUILLA'!AF110,"AAAAAHvJ/5U=")</f>
        <v>#VALUE!</v>
      </c>
      <c r="EU93" t="e">
        <f>AND('SPR BARRANQUILLA'!AG110,"AAAAAHvJ/5Y=")</f>
        <v>#VALUE!</v>
      </c>
      <c r="EV93" t="e">
        <f>AND('SPR BARRANQUILLA'!AH110,"AAAAAHvJ/5c=")</f>
        <v>#VALUE!</v>
      </c>
      <c r="EW93" t="e">
        <f>AND('SPR BARRANQUILLA'!AI110,"AAAAAHvJ/5g=")</f>
        <v>#VALUE!</v>
      </c>
      <c r="EX93" t="e">
        <f>AND('SPR BARRANQUILLA'!AJ110,"AAAAAHvJ/5k=")</f>
        <v>#VALUE!</v>
      </c>
      <c r="EY93" t="e">
        <f>AND('SPR BARRANQUILLA'!AK110,"AAAAAHvJ/5o=")</f>
        <v>#VALUE!</v>
      </c>
      <c r="EZ93" t="e">
        <f>AND('SPR BARRANQUILLA'!AL110,"AAAAAHvJ/5s=")</f>
        <v>#VALUE!</v>
      </c>
      <c r="FA93" t="e">
        <f>AND('SPR BARRANQUILLA'!AM110,"AAAAAHvJ/5w=")</f>
        <v>#VALUE!</v>
      </c>
      <c r="FB93" t="e">
        <f>AND('SPR BARRANQUILLA'!AN110,"AAAAAHvJ/50=")</f>
        <v>#VALUE!</v>
      </c>
      <c r="FC93" t="e">
        <f>AND('SPR BARRANQUILLA'!AO110,"AAAAAHvJ/54=")</f>
        <v>#VALUE!</v>
      </c>
      <c r="FD93" t="e">
        <f>AND('SPR BARRANQUILLA'!AP110,"AAAAAHvJ/58=")</f>
        <v>#VALUE!</v>
      </c>
      <c r="FE93" t="e">
        <f>AND('SPR BARRANQUILLA'!AQ110,"AAAAAHvJ/6A=")</f>
        <v>#VALUE!</v>
      </c>
      <c r="FF93" t="e">
        <f>AND('SPR BARRANQUILLA'!AR110,"AAAAAHvJ/6E=")</f>
        <v>#VALUE!</v>
      </c>
      <c r="FG93" t="e">
        <f>AND('SPR BARRANQUILLA'!AS110,"AAAAAHvJ/6I=")</f>
        <v>#VALUE!</v>
      </c>
      <c r="FH93" t="e">
        <f>AND('SPR BARRANQUILLA'!AT110,"AAAAAHvJ/6M=")</f>
        <v>#VALUE!</v>
      </c>
      <c r="FI93" t="e">
        <f>AND('SPR BARRANQUILLA'!AU110,"AAAAAHvJ/6Q=")</f>
        <v>#VALUE!</v>
      </c>
      <c r="FJ93" t="e">
        <f>AND('SPR BARRANQUILLA'!AV110,"AAAAAHvJ/6U=")</f>
        <v>#VALUE!</v>
      </c>
      <c r="FK93" t="e">
        <f>AND('SPR BARRANQUILLA'!AW110,"AAAAAHvJ/6Y=")</f>
        <v>#VALUE!</v>
      </c>
      <c r="FL93" t="e">
        <f>AND('SPR BARRANQUILLA'!AX110,"AAAAAHvJ/6c=")</f>
        <v>#VALUE!</v>
      </c>
      <c r="FM93" t="e">
        <f>AND('SPR BARRANQUILLA'!AY110,"AAAAAHvJ/6g=")</f>
        <v>#VALUE!</v>
      </c>
      <c r="FN93" t="e">
        <f>AND('SPR BARRANQUILLA'!AZ110,"AAAAAHvJ/6k=")</f>
        <v>#VALUE!</v>
      </c>
      <c r="FO93" t="e">
        <f>AND('SPR BARRANQUILLA'!BA110,"AAAAAHvJ/6o=")</f>
        <v>#VALUE!</v>
      </c>
      <c r="FP93" t="e">
        <f>AND('SPR BARRANQUILLA'!BB110,"AAAAAHvJ/6s=")</f>
        <v>#VALUE!</v>
      </c>
      <c r="FQ93" t="e">
        <f>AND('SPR BARRANQUILLA'!BC110,"AAAAAHvJ/6w=")</f>
        <v>#VALUE!</v>
      </c>
      <c r="FR93" t="e">
        <f>AND('SPR BARRANQUILLA'!BD110,"AAAAAHvJ/60=")</f>
        <v>#VALUE!</v>
      </c>
      <c r="FS93" t="e">
        <f>AND('SPR BARRANQUILLA'!BE110,"AAAAAHvJ/64=")</f>
        <v>#VALUE!</v>
      </c>
      <c r="FT93" t="e">
        <f>AND('SPR BARRANQUILLA'!BF110,"AAAAAHvJ/68=")</f>
        <v>#VALUE!</v>
      </c>
      <c r="FU93" t="e">
        <f>AND('SPR BARRANQUILLA'!BG110,"AAAAAHvJ/7A=")</f>
        <v>#VALUE!</v>
      </c>
      <c r="FV93" t="e">
        <f>AND('SPR BARRANQUILLA'!BH110,"AAAAAHvJ/7E=")</f>
        <v>#VALUE!</v>
      </c>
      <c r="FW93" t="e">
        <f>AND('SPR BARRANQUILLA'!BI110,"AAAAAHvJ/7I=")</f>
        <v>#VALUE!</v>
      </c>
      <c r="FX93" t="e">
        <f>AND('SPR BARRANQUILLA'!BJ110,"AAAAAHvJ/7M=")</f>
        <v>#VALUE!</v>
      </c>
      <c r="FY93" t="e">
        <f>AND('SPR BARRANQUILLA'!BK110,"AAAAAHvJ/7Q=")</f>
        <v>#VALUE!</v>
      </c>
      <c r="FZ93" t="e">
        <f>AND('SPR BARRANQUILLA'!BL110,"AAAAAHvJ/7U=")</f>
        <v>#VALUE!</v>
      </c>
      <c r="GA93" t="e">
        <f>AND('SPR BARRANQUILLA'!BM110,"AAAAAHvJ/7Y=")</f>
        <v>#VALUE!</v>
      </c>
      <c r="GB93" t="e">
        <f>AND('SPR BARRANQUILLA'!BN110,"AAAAAHvJ/7c=")</f>
        <v>#VALUE!</v>
      </c>
      <c r="GC93" t="e">
        <f>AND('SPR BARRANQUILLA'!BO110,"AAAAAHvJ/7g=")</f>
        <v>#VALUE!</v>
      </c>
      <c r="GD93" t="e">
        <f>AND('SPR BARRANQUILLA'!BP110,"AAAAAHvJ/7k=")</f>
        <v>#VALUE!</v>
      </c>
      <c r="GE93" t="e">
        <f>AND('SPR BARRANQUILLA'!BQ110,"AAAAAHvJ/7o=")</f>
        <v>#VALUE!</v>
      </c>
      <c r="GF93" t="e">
        <f>AND('SPR BARRANQUILLA'!BR110,"AAAAAHvJ/7s=")</f>
        <v>#VALUE!</v>
      </c>
      <c r="GG93" t="e">
        <f>AND('SPR BARRANQUILLA'!BS110,"AAAAAHvJ/7w=")</f>
        <v>#VALUE!</v>
      </c>
      <c r="GH93" t="e">
        <f>AND('SPR BARRANQUILLA'!BT110,"AAAAAHvJ/70=")</f>
        <v>#VALUE!</v>
      </c>
      <c r="GI93" t="e">
        <f>AND('SPR BARRANQUILLA'!BU110,"AAAAAHvJ/74=")</f>
        <v>#VALUE!</v>
      </c>
      <c r="GJ93" t="e">
        <f>AND('SPR BARRANQUILLA'!BV110,"AAAAAHvJ/78=")</f>
        <v>#VALUE!</v>
      </c>
      <c r="GK93" t="e">
        <f>AND('SPR BARRANQUILLA'!BW110,"AAAAAHvJ/8A=")</f>
        <v>#VALUE!</v>
      </c>
      <c r="GL93" t="e">
        <f>AND('SPR BARRANQUILLA'!BX110,"AAAAAHvJ/8E=")</f>
        <v>#VALUE!</v>
      </c>
      <c r="GM93" t="e">
        <f>AND('SPR BARRANQUILLA'!BY110,"AAAAAHvJ/8I=")</f>
        <v>#VALUE!</v>
      </c>
      <c r="GN93" t="e">
        <f>AND('SPR BARRANQUILLA'!BZ110,"AAAAAHvJ/8M=")</f>
        <v>#VALUE!</v>
      </c>
      <c r="GO93" t="e">
        <f>AND('SPR BARRANQUILLA'!CA110,"AAAAAHvJ/8Q=")</f>
        <v>#VALUE!</v>
      </c>
      <c r="GP93" t="e">
        <f>AND('SPR BARRANQUILLA'!CB110,"AAAAAHvJ/8U=")</f>
        <v>#VALUE!</v>
      </c>
      <c r="GQ93" t="e">
        <f>AND('SPR BARRANQUILLA'!CC110,"AAAAAHvJ/8Y=")</f>
        <v>#VALUE!</v>
      </c>
      <c r="GR93" t="e">
        <f>AND('SPR BARRANQUILLA'!CD110,"AAAAAHvJ/8c=")</f>
        <v>#VALUE!</v>
      </c>
      <c r="GS93" t="e">
        <f>AND('SPR BARRANQUILLA'!CE110,"AAAAAHvJ/8g=")</f>
        <v>#VALUE!</v>
      </c>
      <c r="GT93" t="e">
        <f>AND('SPR BARRANQUILLA'!CF110,"AAAAAHvJ/8k=")</f>
        <v>#VALUE!</v>
      </c>
      <c r="GU93" t="e">
        <f>AND('SPR BARRANQUILLA'!CG110,"AAAAAHvJ/8o=")</f>
        <v>#VALUE!</v>
      </c>
      <c r="GV93" t="e">
        <f>AND('SPR BARRANQUILLA'!CH110,"AAAAAHvJ/8s=")</f>
        <v>#VALUE!</v>
      </c>
      <c r="GW93" t="e">
        <f>AND('SPR BARRANQUILLA'!CI110,"AAAAAHvJ/8w=")</f>
        <v>#VALUE!</v>
      </c>
      <c r="GX93" t="e">
        <f>AND('SPR BARRANQUILLA'!CJ110,"AAAAAHvJ/80=")</f>
        <v>#VALUE!</v>
      </c>
      <c r="GY93" t="e">
        <f>AND('SPR BARRANQUILLA'!CK110,"AAAAAHvJ/84=")</f>
        <v>#VALUE!</v>
      </c>
      <c r="GZ93" t="e">
        <f>AND('SPR BARRANQUILLA'!CL110,"AAAAAHvJ/88=")</f>
        <v>#VALUE!</v>
      </c>
      <c r="HA93" t="e">
        <f>AND('SPR BARRANQUILLA'!CM110,"AAAAAHvJ/9A=")</f>
        <v>#VALUE!</v>
      </c>
      <c r="HB93" t="e">
        <f>AND('SPR BARRANQUILLA'!CN110,"AAAAAHvJ/9E=")</f>
        <v>#VALUE!</v>
      </c>
      <c r="HC93" t="e">
        <f>AND('SPR BARRANQUILLA'!CO110,"AAAAAHvJ/9I=")</f>
        <v>#VALUE!</v>
      </c>
      <c r="HD93" t="e">
        <f>AND('SPR BARRANQUILLA'!CP110,"AAAAAHvJ/9M=")</f>
        <v>#VALUE!</v>
      </c>
      <c r="HE93" t="e">
        <f>AND('SPR BARRANQUILLA'!CQ110,"AAAAAHvJ/9Q=")</f>
        <v>#VALUE!</v>
      </c>
      <c r="HF93" t="e">
        <f>AND('SPR BARRANQUILLA'!CR110,"AAAAAHvJ/9U=")</f>
        <v>#VALUE!</v>
      </c>
      <c r="HG93" t="e">
        <f>AND('SPR BARRANQUILLA'!CS110,"AAAAAHvJ/9Y=")</f>
        <v>#VALUE!</v>
      </c>
      <c r="HH93" t="e">
        <f>AND('SPR BARRANQUILLA'!CT110,"AAAAAHvJ/9c=")</f>
        <v>#VALUE!</v>
      </c>
      <c r="HI93" t="e">
        <f>AND('SPR BARRANQUILLA'!CU110,"AAAAAHvJ/9g=")</f>
        <v>#VALUE!</v>
      </c>
      <c r="HJ93" t="e">
        <f>AND('SPR BARRANQUILLA'!CV110,"AAAAAHvJ/9k=")</f>
        <v>#VALUE!</v>
      </c>
      <c r="HK93" t="e">
        <f>AND('SPR BARRANQUILLA'!CW110,"AAAAAHvJ/9o=")</f>
        <v>#VALUE!</v>
      </c>
      <c r="HL93" t="e">
        <f>AND('SPR BARRANQUILLA'!CX110,"AAAAAHvJ/9s=")</f>
        <v>#VALUE!</v>
      </c>
      <c r="HM93" t="e">
        <f>AND('SPR BARRANQUILLA'!CY110,"AAAAAHvJ/9w=")</f>
        <v>#VALUE!</v>
      </c>
      <c r="HN93" t="e">
        <f>AND('SPR BARRANQUILLA'!CZ110,"AAAAAHvJ/90=")</f>
        <v>#VALUE!</v>
      </c>
      <c r="HO93" t="e">
        <f>AND('SPR BARRANQUILLA'!DA110,"AAAAAHvJ/94=")</f>
        <v>#VALUE!</v>
      </c>
      <c r="HP93" t="e">
        <f>AND('SPR BARRANQUILLA'!DB110,"AAAAAHvJ/98=")</f>
        <v>#VALUE!</v>
      </c>
      <c r="HQ93" t="e">
        <f>AND('SPR BARRANQUILLA'!DC110,"AAAAAHvJ/+A=")</f>
        <v>#VALUE!</v>
      </c>
      <c r="HR93" t="e">
        <f>AND('SPR BARRANQUILLA'!DD110,"AAAAAHvJ/+E=")</f>
        <v>#VALUE!</v>
      </c>
      <c r="HS93" t="e">
        <f>AND('SPR BARRANQUILLA'!DE110,"AAAAAHvJ/+I=")</f>
        <v>#VALUE!</v>
      </c>
      <c r="HT93" t="e">
        <f>AND('SPR BARRANQUILLA'!DF110,"AAAAAHvJ/+M=")</f>
        <v>#VALUE!</v>
      </c>
      <c r="HU93" t="e">
        <f>AND('SPR BARRANQUILLA'!DG110,"AAAAAHvJ/+Q=")</f>
        <v>#VALUE!</v>
      </c>
      <c r="HV93" t="e">
        <f>AND('SPR BARRANQUILLA'!DH110,"AAAAAHvJ/+U=")</f>
        <v>#VALUE!</v>
      </c>
      <c r="HW93" t="e">
        <f>AND('SPR BARRANQUILLA'!DI110,"AAAAAHvJ/+Y=")</f>
        <v>#VALUE!</v>
      </c>
      <c r="HX93" t="e">
        <f>AND('SPR BARRANQUILLA'!DJ110,"AAAAAHvJ/+c=")</f>
        <v>#VALUE!</v>
      </c>
      <c r="HY93" t="e">
        <f>AND('SPR BARRANQUILLA'!DK110,"AAAAAHvJ/+g=")</f>
        <v>#VALUE!</v>
      </c>
      <c r="HZ93" t="e">
        <f>AND('SPR BARRANQUILLA'!DL110,"AAAAAHvJ/+k=")</f>
        <v>#VALUE!</v>
      </c>
      <c r="IA93" t="e">
        <f>AND('SPR BARRANQUILLA'!DM110,"AAAAAHvJ/+o=")</f>
        <v>#VALUE!</v>
      </c>
      <c r="IB93" t="e">
        <f>AND('SPR BARRANQUILLA'!DN110,"AAAAAHvJ/+s=")</f>
        <v>#VALUE!</v>
      </c>
      <c r="IC93" t="e">
        <f>AND('SPR BARRANQUILLA'!DO110,"AAAAAHvJ/+w=")</f>
        <v>#VALUE!</v>
      </c>
      <c r="ID93" t="e">
        <f>AND('SPR BARRANQUILLA'!DP110,"AAAAAHvJ/+0=")</f>
        <v>#VALUE!</v>
      </c>
      <c r="IE93" t="e">
        <f>AND('SPR BARRANQUILLA'!DQ110,"AAAAAHvJ/+4=")</f>
        <v>#VALUE!</v>
      </c>
      <c r="IF93" t="e">
        <f>AND('SPR BARRANQUILLA'!DR110,"AAAAAHvJ/+8=")</f>
        <v>#VALUE!</v>
      </c>
      <c r="IG93" t="e">
        <f>AND('SPR BARRANQUILLA'!DS110,"AAAAAHvJ//A=")</f>
        <v>#VALUE!</v>
      </c>
      <c r="IH93" t="e">
        <f>AND('SPR BARRANQUILLA'!DT110,"AAAAAHvJ//E=")</f>
        <v>#VALUE!</v>
      </c>
      <c r="II93" t="e">
        <f>AND('SPR BARRANQUILLA'!DU110,"AAAAAHvJ//I=")</f>
        <v>#VALUE!</v>
      </c>
      <c r="IJ93" t="e">
        <f>AND('SPR BARRANQUILLA'!DV110,"AAAAAHvJ//M=")</f>
        <v>#VALUE!</v>
      </c>
      <c r="IK93" t="e">
        <f>AND('SPR BARRANQUILLA'!DW110,"AAAAAHvJ//Q=")</f>
        <v>#VALUE!</v>
      </c>
      <c r="IL93" t="e">
        <f>AND('SPR BARRANQUILLA'!DX110,"AAAAAHvJ//U=")</f>
        <v>#VALUE!</v>
      </c>
      <c r="IM93" t="e">
        <f>AND('SPR BARRANQUILLA'!DY110,"AAAAAHvJ//Y=")</f>
        <v>#VALUE!</v>
      </c>
      <c r="IN93" t="e">
        <f>AND('SPR BARRANQUILLA'!DZ110,"AAAAAHvJ//c=")</f>
        <v>#VALUE!</v>
      </c>
      <c r="IO93" t="e">
        <f>AND('SPR BARRANQUILLA'!EA110,"AAAAAHvJ//g=")</f>
        <v>#VALUE!</v>
      </c>
      <c r="IP93" t="e">
        <f>AND('SPR BARRANQUILLA'!EB110,"AAAAAHvJ//k=")</f>
        <v>#VALUE!</v>
      </c>
      <c r="IQ93" t="e">
        <f>AND('SPR BARRANQUILLA'!EC110,"AAAAAHvJ//o=")</f>
        <v>#VALUE!</v>
      </c>
      <c r="IR93" t="e">
        <f>AND('SPR BARRANQUILLA'!ED110,"AAAAAHvJ//s=")</f>
        <v>#VALUE!</v>
      </c>
      <c r="IS93" t="e">
        <f>AND('SPR BARRANQUILLA'!EE110,"AAAAAHvJ//w=")</f>
        <v>#VALUE!</v>
      </c>
      <c r="IT93" t="e">
        <f>AND('SPR BARRANQUILLA'!EF110,"AAAAAHvJ//0=")</f>
        <v>#VALUE!</v>
      </c>
      <c r="IU93" t="e">
        <f>AND('SPR BARRANQUILLA'!EG110,"AAAAAHvJ//4=")</f>
        <v>#VALUE!</v>
      </c>
      <c r="IV93" t="e">
        <f>AND('SPR BARRANQUILLA'!EH110,"AAAAAHvJ//8=")</f>
        <v>#VALUE!</v>
      </c>
    </row>
    <row r="94" spans="1:256">
      <c r="A94" t="e">
        <f>AND('SPR BARRANQUILLA'!EI110,"AAAAADP//wA=")</f>
        <v>#VALUE!</v>
      </c>
      <c r="B94" t="e">
        <f>AND('SPR BARRANQUILLA'!EJ110,"AAAAADP//wE=")</f>
        <v>#VALUE!</v>
      </c>
      <c r="C94" t="e">
        <f>AND('SPR BARRANQUILLA'!EK110,"AAAAADP//wI=")</f>
        <v>#VALUE!</v>
      </c>
      <c r="D94" t="e">
        <f>AND('SPR BARRANQUILLA'!EL110,"AAAAADP//wM=")</f>
        <v>#VALUE!</v>
      </c>
      <c r="E94" t="e">
        <f>AND('SPR BARRANQUILLA'!EM110,"AAAAADP//wQ=")</f>
        <v>#VALUE!</v>
      </c>
      <c r="F94" t="e">
        <f>AND('SPR BARRANQUILLA'!EN110,"AAAAADP//wU=")</f>
        <v>#VALUE!</v>
      </c>
      <c r="G94" t="e">
        <f>AND('SPR BARRANQUILLA'!EO110,"AAAAADP//wY=")</f>
        <v>#VALUE!</v>
      </c>
      <c r="H94" t="e">
        <f>AND('SPR BARRANQUILLA'!EP110,"AAAAADP//wc=")</f>
        <v>#VALUE!</v>
      </c>
      <c r="I94" t="e">
        <f>AND('SPR BARRANQUILLA'!EQ110,"AAAAADP//wg=")</f>
        <v>#VALUE!</v>
      </c>
      <c r="J94" t="e">
        <f>AND('SPR BARRANQUILLA'!ER110,"AAAAADP//wk=")</f>
        <v>#VALUE!</v>
      </c>
      <c r="K94" t="e">
        <f>AND('SPR BARRANQUILLA'!ES110,"AAAAADP//wo=")</f>
        <v>#VALUE!</v>
      </c>
      <c r="L94" t="e">
        <f>AND('SPR BARRANQUILLA'!ET110,"AAAAADP//ws=")</f>
        <v>#VALUE!</v>
      </c>
      <c r="M94" t="e">
        <f>AND('SPR BARRANQUILLA'!EU110,"AAAAADP//ww=")</f>
        <v>#VALUE!</v>
      </c>
      <c r="N94" t="e">
        <f>AND('SPR BARRANQUILLA'!EV110,"AAAAADP//w0=")</f>
        <v>#VALUE!</v>
      </c>
      <c r="O94" t="e">
        <f>AND('SPR BARRANQUILLA'!EW110,"AAAAADP//w4=")</f>
        <v>#VALUE!</v>
      </c>
      <c r="P94" t="e">
        <f>AND('SPR BARRANQUILLA'!EX110,"AAAAADP//w8=")</f>
        <v>#VALUE!</v>
      </c>
      <c r="Q94" t="e">
        <f>AND('SPR BARRANQUILLA'!EY110,"AAAAADP//xA=")</f>
        <v>#VALUE!</v>
      </c>
      <c r="R94" t="e">
        <f>AND('SPR BARRANQUILLA'!EZ110,"AAAAADP//xE=")</f>
        <v>#VALUE!</v>
      </c>
      <c r="S94" t="e">
        <f>AND('SPR BARRANQUILLA'!FA110,"AAAAADP//xI=")</f>
        <v>#VALUE!</v>
      </c>
      <c r="T94" t="e">
        <f>AND('SPR BARRANQUILLA'!FB110,"AAAAADP//xM=")</f>
        <v>#VALUE!</v>
      </c>
      <c r="U94" t="e">
        <f>AND('SPR BARRANQUILLA'!FC110,"AAAAADP//xQ=")</f>
        <v>#VALUE!</v>
      </c>
      <c r="V94" t="e">
        <f>AND('SPR BARRANQUILLA'!FD110,"AAAAADP//xU=")</f>
        <v>#VALUE!</v>
      </c>
      <c r="W94" t="e">
        <f>AND('SPR BARRANQUILLA'!FE110,"AAAAADP//xY=")</f>
        <v>#VALUE!</v>
      </c>
      <c r="X94" t="e">
        <f>AND('SPR BARRANQUILLA'!FF110,"AAAAADP//xc=")</f>
        <v>#VALUE!</v>
      </c>
      <c r="Y94" t="e">
        <f>AND('SPR BARRANQUILLA'!FG110,"AAAAADP//xg=")</f>
        <v>#VALUE!</v>
      </c>
      <c r="Z94" t="e">
        <f>AND('SPR BARRANQUILLA'!FH110,"AAAAADP//xk=")</f>
        <v>#VALUE!</v>
      </c>
      <c r="AA94" t="e">
        <f>AND('SPR BARRANQUILLA'!FI110,"AAAAADP//xo=")</f>
        <v>#VALUE!</v>
      </c>
      <c r="AB94" t="e">
        <f>AND('SPR BARRANQUILLA'!FJ110,"AAAAADP//xs=")</f>
        <v>#VALUE!</v>
      </c>
      <c r="AC94" t="e">
        <f>AND('SPR BARRANQUILLA'!FK110,"AAAAADP//xw=")</f>
        <v>#VALUE!</v>
      </c>
      <c r="AD94" t="e">
        <f>AND('SPR BARRANQUILLA'!FL110,"AAAAADP//x0=")</f>
        <v>#VALUE!</v>
      </c>
      <c r="AE94" t="e">
        <f>AND('SPR BARRANQUILLA'!FM110,"AAAAADP//x4=")</f>
        <v>#VALUE!</v>
      </c>
      <c r="AF94" t="e">
        <f>AND('SPR BARRANQUILLA'!FN110,"AAAAADP//x8=")</f>
        <v>#VALUE!</v>
      </c>
      <c r="AG94" t="e">
        <f>AND('SPR BARRANQUILLA'!FO110,"AAAAADP//yA=")</f>
        <v>#VALUE!</v>
      </c>
      <c r="AH94" t="e">
        <f>AND('SPR BARRANQUILLA'!FP110,"AAAAADP//yE=")</f>
        <v>#VALUE!</v>
      </c>
      <c r="AI94" t="e">
        <f>AND('SPR BARRANQUILLA'!FQ110,"AAAAADP//yI=")</f>
        <v>#VALUE!</v>
      </c>
      <c r="AJ94" t="e">
        <f>AND('SPR BARRANQUILLA'!FR110,"AAAAADP//yM=")</f>
        <v>#VALUE!</v>
      </c>
      <c r="AK94" t="e">
        <f>AND('SPR BARRANQUILLA'!FS110,"AAAAADP//yQ=")</f>
        <v>#VALUE!</v>
      </c>
      <c r="AL94" t="e">
        <f>AND('SPR BARRANQUILLA'!FT110,"AAAAADP//yU=")</f>
        <v>#VALUE!</v>
      </c>
      <c r="AM94" t="e">
        <f>AND('SPR BARRANQUILLA'!FU110,"AAAAADP//yY=")</f>
        <v>#VALUE!</v>
      </c>
      <c r="AN94" t="e">
        <f>AND('SPR BARRANQUILLA'!FV110,"AAAAADP//yc=")</f>
        <v>#VALUE!</v>
      </c>
      <c r="AO94" t="e">
        <f>AND('SPR BARRANQUILLA'!FW110,"AAAAADP//yg=")</f>
        <v>#VALUE!</v>
      </c>
      <c r="AP94" t="e">
        <f>AND('SPR BARRANQUILLA'!FX110,"AAAAADP//yk=")</f>
        <v>#VALUE!</v>
      </c>
      <c r="AQ94" t="e">
        <f>AND('SPR BARRANQUILLA'!FY110,"AAAAADP//yo=")</f>
        <v>#VALUE!</v>
      </c>
      <c r="AR94" t="e">
        <f>AND('SPR BARRANQUILLA'!FZ110,"AAAAADP//ys=")</f>
        <v>#VALUE!</v>
      </c>
      <c r="AS94" t="e">
        <f>AND('SPR BARRANQUILLA'!GA110,"AAAAADP//yw=")</f>
        <v>#VALUE!</v>
      </c>
      <c r="AT94" t="e">
        <f>AND('SPR BARRANQUILLA'!GB110,"AAAAADP//y0=")</f>
        <v>#VALUE!</v>
      </c>
      <c r="AU94" t="e">
        <f>AND('SPR BARRANQUILLA'!GC110,"AAAAADP//y4=")</f>
        <v>#VALUE!</v>
      </c>
      <c r="AV94" t="e">
        <f>AND('SPR BARRANQUILLA'!GD110,"AAAAADP//y8=")</f>
        <v>#VALUE!</v>
      </c>
      <c r="AW94" t="e">
        <f>AND('SPR BARRANQUILLA'!GE110,"AAAAADP//zA=")</f>
        <v>#VALUE!</v>
      </c>
      <c r="AX94" t="e">
        <f>AND('SPR BARRANQUILLA'!GF110,"AAAAADP//zE=")</f>
        <v>#VALUE!</v>
      </c>
      <c r="AY94" t="e">
        <f>AND('SPR BARRANQUILLA'!GG110,"AAAAADP//zI=")</f>
        <v>#VALUE!</v>
      </c>
      <c r="AZ94" t="e">
        <f>AND('SPR BARRANQUILLA'!GH110,"AAAAADP//zM=")</f>
        <v>#VALUE!</v>
      </c>
      <c r="BA94" t="e">
        <f>AND('SPR BARRANQUILLA'!GI110,"AAAAADP//zQ=")</f>
        <v>#VALUE!</v>
      </c>
      <c r="BB94" t="e">
        <f>AND('SPR BARRANQUILLA'!GJ110,"AAAAADP//zU=")</f>
        <v>#VALUE!</v>
      </c>
      <c r="BC94" t="e">
        <f>AND('SPR BARRANQUILLA'!GK110,"AAAAADP//zY=")</f>
        <v>#VALUE!</v>
      </c>
      <c r="BD94" t="e">
        <f>AND('SPR BARRANQUILLA'!GL110,"AAAAADP//zc=")</f>
        <v>#VALUE!</v>
      </c>
      <c r="BE94" t="e">
        <f>AND('SPR BARRANQUILLA'!GM110,"AAAAADP//zg=")</f>
        <v>#VALUE!</v>
      </c>
      <c r="BF94" t="e">
        <f>AND('SPR BARRANQUILLA'!GN110,"AAAAADP//zk=")</f>
        <v>#VALUE!</v>
      </c>
      <c r="BG94" t="e">
        <f>AND('SPR BARRANQUILLA'!GO110,"AAAAADP//zo=")</f>
        <v>#VALUE!</v>
      </c>
      <c r="BH94" t="e">
        <f>AND('SPR BARRANQUILLA'!GP110,"AAAAADP//zs=")</f>
        <v>#VALUE!</v>
      </c>
      <c r="BI94" t="e">
        <f>AND('SPR BARRANQUILLA'!GQ110,"AAAAADP//zw=")</f>
        <v>#VALUE!</v>
      </c>
      <c r="BJ94" t="e">
        <f>AND('SPR BARRANQUILLA'!GR110,"AAAAADP//z0=")</f>
        <v>#VALUE!</v>
      </c>
      <c r="BK94" t="e">
        <f>AND('SPR BARRANQUILLA'!GS110,"AAAAADP//z4=")</f>
        <v>#VALUE!</v>
      </c>
      <c r="BL94" t="e">
        <f>AND('SPR BARRANQUILLA'!GT110,"AAAAADP//z8=")</f>
        <v>#VALUE!</v>
      </c>
      <c r="BM94" t="e">
        <f>AND('SPR BARRANQUILLA'!GU110,"AAAAADP//0A=")</f>
        <v>#VALUE!</v>
      </c>
      <c r="BN94" t="e">
        <f>AND('SPR BARRANQUILLA'!GV110,"AAAAADP//0E=")</f>
        <v>#VALUE!</v>
      </c>
      <c r="BO94" t="e">
        <f>AND('SPR BARRANQUILLA'!GW110,"AAAAADP//0I=")</f>
        <v>#VALUE!</v>
      </c>
      <c r="BP94" t="e">
        <f>AND('SPR BARRANQUILLA'!GX110,"AAAAADP//0M=")</f>
        <v>#VALUE!</v>
      </c>
      <c r="BQ94" t="e">
        <f>AND('SPR BARRANQUILLA'!GY110,"AAAAADP//0Q=")</f>
        <v>#VALUE!</v>
      </c>
      <c r="BR94">
        <f>IF('SPR BARRANQUILLA'!111:111,"AAAAADP//0U=",0)</f>
        <v>0</v>
      </c>
      <c r="BS94" t="e">
        <f>AND('SPR BARRANQUILLA'!A111,"AAAAADP//0Y=")</f>
        <v>#VALUE!</v>
      </c>
      <c r="BT94" t="e">
        <f>AND('SPR BARRANQUILLA'!B111,"AAAAADP//0c=")</f>
        <v>#VALUE!</v>
      </c>
      <c r="BU94" t="e">
        <f>AND('SPR BARRANQUILLA'!C111,"AAAAADP//0g=")</f>
        <v>#VALUE!</v>
      </c>
      <c r="BV94" t="e">
        <f>AND('SPR BARRANQUILLA'!D111,"AAAAADP//0k=")</f>
        <v>#VALUE!</v>
      </c>
      <c r="BW94" t="e">
        <f>AND('SPR BARRANQUILLA'!E111,"AAAAADP//0o=")</f>
        <v>#VALUE!</v>
      </c>
      <c r="BX94" t="e">
        <f>AND('SPR BARRANQUILLA'!F111,"AAAAADP//0s=")</f>
        <v>#VALUE!</v>
      </c>
      <c r="BY94" t="e">
        <f>AND('SPR BARRANQUILLA'!G111,"AAAAADP//0w=")</f>
        <v>#VALUE!</v>
      </c>
      <c r="BZ94" t="e">
        <f>AND('SPR BARRANQUILLA'!H111,"AAAAADP//00=")</f>
        <v>#VALUE!</v>
      </c>
      <c r="CA94" t="e">
        <f>AND('SPR BARRANQUILLA'!I111,"AAAAADP//04=")</f>
        <v>#VALUE!</v>
      </c>
      <c r="CB94" t="e">
        <f>AND('SPR BARRANQUILLA'!J111,"AAAAADP//08=")</f>
        <v>#VALUE!</v>
      </c>
      <c r="CC94" t="e">
        <f>AND('SPR BARRANQUILLA'!K111,"AAAAADP//1A=")</f>
        <v>#VALUE!</v>
      </c>
      <c r="CD94" t="e">
        <f>AND('SPR BARRANQUILLA'!L111,"AAAAADP//1E=")</f>
        <v>#VALUE!</v>
      </c>
      <c r="CE94" t="e">
        <f>AND('SPR BARRANQUILLA'!M111,"AAAAADP//1I=")</f>
        <v>#VALUE!</v>
      </c>
      <c r="CF94" t="e">
        <f>AND('SPR BARRANQUILLA'!N111,"AAAAADP//1M=")</f>
        <v>#VALUE!</v>
      </c>
      <c r="CG94" t="e">
        <f>AND('SPR BARRANQUILLA'!O111,"AAAAADP//1Q=")</f>
        <v>#VALUE!</v>
      </c>
      <c r="CH94" t="e">
        <f>AND('SPR BARRANQUILLA'!P111,"AAAAADP//1U=")</f>
        <v>#VALUE!</v>
      </c>
      <c r="CI94" t="e">
        <f>AND('SPR BARRANQUILLA'!Q111,"AAAAADP//1Y=")</f>
        <v>#VALUE!</v>
      </c>
      <c r="CJ94" t="e">
        <f>AND('SPR BARRANQUILLA'!R111,"AAAAADP//1c=")</f>
        <v>#VALUE!</v>
      </c>
      <c r="CK94" t="e">
        <f>AND('SPR BARRANQUILLA'!S111,"AAAAADP//1g=")</f>
        <v>#VALUE!</v>
      </c>
      <c r="CL94" t="e">
        <f>AND('SPR BARRANQUILLA'!T111,"AAAAADP//1k=")</f>
        <v>#VALUE!</v>
      </c>
      <c r="CM94" t="e">
        <f>AND('SPR BARRANQUILLA'!U111,"AAAAADP//1o=")</f>
        <v>#VALUE!</v>
      </c>
      <c r="CN94" t="e">
        <f>AND('SPR BARRANQUILLA'!V111,"AAAAADP//1s=")</f>
        <v>#VALUE!</v>
      </c>
      <c r="CO94" t="e">
        <f>AND('SPR BARRANQUILLA'!W111,"AAAAADP//1w=")</f>
        <v>#VALUE!</v>
      </c>
      <c r="CP94" t="e">
        <f>AND('SPR BARRANQUILLA'!X111,"AAAAADP//10=")</f>
        <v>#VALUE!</v>
      </c>
      <c r="CQ94" t="e">
        <f>AND('SPR BARRANQUILLA'!Y111,"AAAAADP//14=")</f>
        <v>#VALUE!</v>
      </c>
      <c r="CR94" t="e">
        <f>AND('SPR BARRANQUILLA'!Z111,"AAAAADP//18=")</f>
        <v>#VALUE!</v>
      </c>
      <c r="CS94" t="e">
        <f>AND('SPR BARRANQUILLA'!AA111,"AAAAADP//2A=")</f>
        <v>#VALUE!</v>
      </c>
      <c r="CT94" t="e">
        <f>AND('SPR BARRANQUILLA'!AB111,"AAAAADP//2E=")</f>
        <v>#VALUE!</v>
      </c>
      <c r="CU94" t="e">
        <f>AND('SPR BARRANQUILLA'!AC111,"AAAAADP//2I=")</f>
        <v>#VALUE!</v>
      </c>
      <c r="CV94" t="e">
        <f>AND('SPR BARRANQUILLA'!AD111,"AAAAADP//2M=")</f>
        <v>#VALUE!</v>
      </c>
      <c r="CW94" t="e">
        <f>AND('SPR BARRANQUILLA'!AE111,"AAAAADP//2Q=")</f>
        <v>#VALUE!</v>
      </c>
      <c r="CX94" t="e">
        <f>AND('SPR BARRANQUILLA'!AF111,"AAAAADP//2U=")</f>
        <v>#VALUE!</v>
      </c>
      <c r="CY94" t="e">
        <f>AND('SPR BARRANQUILLA'!AG111,"AAAAADP//2Y=")</f>
        <v>#VALUE!</v>
      </c>
      <c r="CZ94" t="e">
        <f>AND('SPR BARRANQUILLA'!AH111,"AAAAADP//2c=")</f>
        <v>#VALUE!</v>
      </c>
      <c r="DA94" t="e">
        <f>AND('SPR BARRANQUILLA'!AI111,"AAAAADP//2g=")</f>
        <v>#VALUE!</v>
      </c>
      <c r="DB94" t="e">
        <f>AND('SPR BARRANQUILLA'!AJ111,"AAAAADP//2k=")</f>
        <v>#VALUE!</v>
      </c>
      <c r="DC94" t="e">
        <f>AND('SPR BARRANQUILLA'!AK111,"AAAAADP//2o=")</f>
        <v>#VALUE!</v>
      </c>
      <c r="DD94" t="e">
        <f>AND('SPR BARRANQUILLA'!AL111,"AAAAADP//2s=")</f>
        <v>#VALUE!</v>
      </c>
      <c r="DE94" t="e">
        <f>AND('SPR BARRANQUILLA'!AM111,"AAAAADP//2w=")</f>
        <v>#VALUE!</v>
      </c>
      <c r="DF94" t="e">
        <f>AND('SPR BARRANQUILLA'!AN111,"AAAAADP//20=")</f>
        <v>#VALUE!</v>
      </c>
      <c r="DG94" t="e">
        <f>AND('SPR BARRANQUILLA'!AO111,"AAAAADP//24=")</f>
        <v>#VALUE!</v>
      </c>
      <c r="DH94" t="e">
        <f>AND('SPR BARRANQUILLA'!AP111,"AAAAADP//28=")</f>
        <v>#VALUE!</v>
      </c>
      <c r="DI94" t="e">
        <f>AND('SPR BARRANQUILLA'!AQ111,"AAAAADP//3A=")</f>
        <v>#VALUE!</v>
      </c>
      <c r="DJ94" t="e">
        <f>AND('SPR BARRANQUILLA'!AR111,"AAAAADP//3E=")</f>
        <v>#VALUE!</v>
      </c>
      <c r="DK94" t="e">
        <f>AND('SPR BARRANQUILLA'!AS111,"AAAAADP//3I=")</f>
        <v>#VALUE!</v>
      </c>
      <c r="DL94" t="e">
        <f>AND('SPR BARRANQUILLA'!AT111,"AAAAADP//3M=")</f>
        <v>#VALUE!</v>
      </c>
      <c r="DM94" t="e">
        <f>AND('SPR BARRANQUILLA'!AU111,"AAAAADP//3Q=")</f>
        <v>#VALUE!</v>
      </c>
      <c r="DN94" t="e">
        <f>AND('SPR BARRANQUILLA'!AV111,"AAAAADP//3U=")</f>
        <v>#VALUE!</v>
      </c>
      <c r="DO94" t="e">
        <f>AND('SPR BARRANQUILLA'!AW111,"AAAAADP//3Y=")</f>
        <v>#VALUE!</v>
      </c>
      <c r="DP94" t="e">
        <f>AND('SPR BARRANQUILLA'!AX111,"AAAAADP//3c=")</f>
        <v>#VALUE!</v>
      </c>
      <c r="DQ94" t="e">
        <f>AND('SPR BARRANQUILLA'!AY111,"AAAAADP//3g=")</f>
        <v>#VALUE!</v>
      </c>
      <c r="DR94" t="e">
        <f>AND('SPR BARRANQUILLA'!AZ111,"AAAAADP//3k=")</f>
        <v>#VALUE!</v>
      </c>
      <c r="DS94" t="e">
        <f>AND('SPR BARRANQUILLA'!BA111,"AAAAADP//3o=")</f>
        <v>#VALUE!</v>
      </c>
      <c r="DT94" t="e">
        <f>AND('SPR BARRANQUILLA'!BB111,"AAAAADP//3s=")</f>
        <v>#VALUE!</v>
      </c>
      <c r="DU94" t="e">
        <f>AND('SPR BARRANQUILLA'!BC111,"AAAAADP//3w=")</f>
        <v>#VALUE!</v>
      </c>
      <c r="DV94" t="e">
        <f>AND('SPR BARRANQUILLA'!BD111,"AAAAADP//30=")</f>
        <v>#VALUE!</v>
      </c>
      <c r="DW94" t="e">
        <f>AND('SPR BARRANQUILLA'!BE111,"AAAAADP//34=")</f>
        <v>#VALUE!</v>
      </c>
      <c r="DX94" t="e">
        <f>AND('SPR BARRANQUILLA'!BF111,"AAAAADP//38=")</f>
        <v>#VALUE!</v>
      </c>
      <c r="DY94" t="e">
        <f>AND('SPR BARRANQUILLA'!BG111,"AAAAADP//4A=")</f>
        <v>#VALUE!</v>
      </c>
      <c r="DZ94" t="e">
        <f>AND('SPR BARRANQUILLA'!BH111,"AAAAADP//4E=")</f>
        <v>#VALUE!</v>
      </c>
      <c r="EA94" t="e">
        <f>AND('SPR BARRANQUILLA'!BI111,"AAAAADP//4I=")</f>
        <v>#VALUE!</v>
      </c>
      <c r="EB94" t="e">
        <f>AND('SPR BARRANQUILLA'!BJ111,"AAAAADP//4M=")</f>
        <v>#VALUE!</v>
      </c>
      <c r="EC94" t="e">
        <f>AND('SPR BARRANQUILLA'!BK111,"AAAAADP//4Q=")</f>
        <v>#VALUE!</v>
      </c>
      <c r="ED94" t="e">
        <f>AND('SPR BARRANQUILLA'!BL111,"AAAAADP//4U=")</f>
        <v>#VALUE!</v>
      </c>
      <c r="EE94" t="e">
        <f>AND('SPR BARRANQUILLA'!BM111,"AAAAADP//4Y=")</f>
        <v>#VALUE!</v>
      </c>
      <c r="EF94" t="e">
        <f>AND('SPR BARRANQUILLA'!BN111,"AAAAADP//4c=")</f>
        <v>#VALUE!</v>
      </c>
      <c r="EG94" t="e">
        <f>AND('SPR BARRANQUILLA'!BO111,"AAAAADP//4g=")</f>
        <v>#VALUE!</v>
      </c>
      <c r="EH94" t="e">
        <f>AND('SPR BARRANQUILLA'!BP111,"AAAAADP//4k=")</f>
        <v>#VALUE!</v>
      </c>
      <c r="EI94" t="e">
        <f>AND('SPR BARRANQUILLA'!BQ111,"AAAAADP//4o=")</f>
        <v>#VALUE!</v>
      </c>
      <c r="EJ94" t="e">
        <f>AND('SPR BARRANQUILLA'!BR111,"AAAAADP//4s=")</f>
        <v>#VALUE!</v>
      </c>
      <c r="EK94" t="e">
        <f>AND('SPR BARRANQUILLA'!BS111,"AAAAADP//4w=")</f>
        <v>#VALUE!</v>
      </c>
      <c r="EL94" t="e">
        <f>AND('SPR BARRANQUILLA'!BT111,"AAAAADP//40=")</f>
        <v>#VALUE!</v>
      </c>
      <c r="EM94" t="e">
        <f>AND('SPR BARRANQUILLA'!BU111,"AAAAADP//44=")</f>
        <v>#VALUE!</v>
      </c>
      <c r="EN94" t="e">
        <f>AND('SPR BARRANQUILLA'!BV111,"AAAAADP//48=")</f>
        <v>#VALUE!</v>
      </c>
      <c r="EO94" t="e">
        <f>AND('SPR BARRANQUILLA'!BW111,"AAAAADP//5A=")</f>
        <v>#VALUE!</v>
      </c>
      <c r="EP94" t="e">
        <f>AND('SPR BARRANQUILLA'!BX111,"AAAAADP//5E=")</f>
        <v>#VALUE!</v>
      </c>
      <c r="EQ94" t="e">
        <f>AND('SPR BARRANQUILLA'!BY111,"AAAAADP//5I=")</f>
        <v>#VALUE!</v>
      </c>
      <c r="ER94" t="e">
        <f>AND('SPR BARRANQUILLA'!BZ111,"AAAAADP//5M=")</f>
        <v>#VALUE!</v>
      </c>
      <c r="ES94" t="e">
        <f>AND('SPR BARRANQUILLA'!CA111,"AAAAADP//5Q=")</f>
        <v>#VALUE!</v>
      </c>
      <c r="ET94" t="e">
        <f>AND('SPR BARRANQUILLA'!CB111,"AAAAADP//5U=")</f>
        <v>#VALUE!</v>
      </c>
      <c r="EU94" t="e">
        <f>AND('SPR BARRANQUILLA'!CC111,"AAAAADP//5Y=")</f>
        <v>#VALUE!</v>
      </c>
      <c r="EV94" t="e">
        <f>AND('SPR BARRANQUILLA'!CD111,"AAAAADP//5c=")</f>
        <v>#VALUE!</v>
      </c>
      <c r="EW94" t="e">
        <f>AND('SPR BARRANQUILLA'!CE111,"AAAAADP//5g=")</f>
        <v>#VALUE!</v>
      </c>
      <c r="EX94" t="e">
        <f>AND('SPR BARRANQUILLA'!CF111,"AAAAADP//5k=")</f>
        <v>#VALUE!</v>
      </c>
      <c r="EY94" t="e">
        <f>AND('SPR BARRANQUILLA'!CG111,"AAAAADP//5o=")</f>
        <v>#VALUE!</v>
      </c>
      <c r="EZ94" t="e">
        <f>AND('SPR BARRANQUILLA'!CH111,"AAAAADP//5s=")</f>
        <v>#VALUE!</v>
      </c>
      <c r="FA94" t="e">
        <f>AND('SPR BARRANQUILLA'!CI111,"AAAAADP//5w=")</f>
        <v>#VALUE!</v>
      </c>
      <c r="FB94" t="e">
        <f>AND('SPR BARRANQUILLA'!CJ111,"AAAAADP//50=")</f>
        <v>#VALUE!</v>
      </c>
      <c r="FC94" t="e">
        <f>AND('SPR BARRANQUILLA'!CK111,"AAAAADP//54=")</f>
        <v>#VALUE!</v>
      </c>
      <c r="FD94" t="e">
        <f>AND('SPR BARRANQUILLA'!CL111,"AAAAADP//58=")</f>
        <v>#VALUE!</v>
      </c>
      <c r="FE94" t="e">
        <f>AND('SPR BARRANQUILLA'!CM111,"AAAAADP//6A=")</f>
        <v>#VALUE!</v>
      </c>
      <c r="FF94" t="e">
        <f>AND('SPR BARRANQUILLA'!CN111,"AAAAADP//6E=")</f>
        <v>#VALUE!</v>
      </c>
      <c r="FG94" t="e">
        <f>AND('SPR BARRANQUILLA'!CO111,"AAAAADP//6I=")</f>
        <v>#VALUE!</v>
      </c>
      <c r="FH94" t="e">
        <f>AND('SPR BARRANQUILLA'!CP111,"AAAAADP//6M=")</f>
        <v>#VALUE!</v>
      </c>
      <c r="FI94" t="e">
        <f>AND('SPR BARRANQUILLA'!CQ111,"AAAAADP//6Q=")</f>
        <v>#VALUE!</v>
      </c>
      <c r="FJ94" t="e">
        <f>AND('SPR BARRANQUILLA'!CR111,"AAAAADP//6U=")</f>
        <v>#VALUE!</v>
      </c>
      <c r="FK94" t="e">
        <f>AND('SPR BARRANQUILLA'!CS111,"AAAAADP//6Y=")</f>
        <v>#VALUE!</v>
      </c>
      <c r="FL94" t="e">
        <f>AND('SPR BARRANQUILLA'!CT111,"AAAAADP//6c=")</f>
        <v>#VALUE!</v>
      </c>
      <c r="FM94" t="e">
        <f>AND('SPR BARRANQUILLA'!CU111,"AAAAADP//6g=")</f>
        <v>#VALUE!</v>
      </c>
      <c r="FN94" t="e">
        <f>AND('SPR BARRANQUILLA'!CV111,"AAAAADP//6k=")</f>
        <v>#VALUE!</v>
      </c>
      <c r="FO94" t="e">
        <f>AND('SPR BARRANQUILLA'!CW111,"AAAAADP//6o=")</f>
        <v>#VALUE!</v>
      </c>
      <c r="FP94" t="e">
        <f>AND('SPR BARRANQUILLA'!CX111,"AAAAADP//6s=")</f>
        <v>#VALUE!</v>
      </c>
      <c r="FQ94" t="e">
        <f>AND('SPR BARRANQUILLA'!CY111,"AAAAADP//6w=")</f>
        <v>#VALUE!</v>
      </c>
      <c r="FR94" t="e">
        <f>AND('SPR BARRANQUILLA'!CZ111,"AAAAADP//60=")</f>
        <v>#VALUE!</v>
      </c>
      <c r="FS94" t="e">
        <f>AND('SPR BARRANQUILLA'!DA111,"AAAAADP//64=")</f>
        <v>#VALUE!</v>
      </c>
      <c r="FT94" t="e">
        <f>AND('SPR BARRANQUILLA'!DB111,"AAAAADP//68=")</f>
        <v>#VALUE!</v>
      </c>
      <c r="FU94" t="e">
        <f>AND('SPR BARRANQUILLA'!DC111,"AAAAADP//7A=")</f>
        <v>#VALUE!</v>
      </c>
      <c r="FV94" t="e">
        <f>AND('SPR BARRANQUILLA'!DD111,"AAAAADP//7E=")</f>
        <v>#VALUE!</v>
      </c>
      <c r="FW94" t="e">
        <f>AND('SPR BARRANQUILLA'!DE111,"AAAAADP//7I=")</f>
        <v>#VALUE!</v>
      </c>
      <c r="FX94" t="e">
        <f>AND('SPR BARRANQUILLA'!DF111,"AAAAADP//7M=")</f>
        <v>#VALUE!</v>
      </c>
      <c r="FY94" t="e">
        <f>AND('SPR BARRANQUILLA'!DG111,"AAAAADP//7Q=")</f>
        <v>#VALUE!</v>
      </c>
      <c r="FZ94" t="e">
        <f>AND('SPR BARRANQUILLA'!DH111,"AAAAADP//7U=")</f>
        <v>#VALUE!</v>
      </c>
      <c r="GA94" t="e">
        <f>AND('SPR BARRANQUILLA'!DI111,"AAAAADP//7Y=")</f>
        <v>#VALUE!</v>
      </c>
      <c r="GB94" t="e">
        <f>AND('SPR BARRANQUILLA'!DJ111,"AAAAADP//7c=")</f>
        <v>#VALUE!</v>
      </c>
      <c r="GC94" t="e">
        <f>AND('SPR BARRANQUILLA'!DK111,"AAAAADP//7g=")</f>
        <v>#VALUE!</v>
      </c>
      <c r="GD94" t="e">
        <f>AND('SPR BARRANQUILLA'!DL111,"AAAAADP//7k=")</f>
        <v>#VALUE!</v>
      </c>
      <c r="GE94" t="e">
        <f>AND('SPR BARRANQUILLA'!DM111,"AAAAADP//7o=")</f>
        <v>#VALUE!</v>
      </c>
      <c r="GF94" t="e">
        <f>AND('SPR BARRANQUILLA'!DN111,"AAAAADP//7s=")</f>
        <v>#VALUE!</v>
      </c>
      <c r="GG94" t="e">
        <f>AND('SPR BARRANQUILLA'!DO111,"AAAAADP//7w=")</f>
        <v>#VALUE!</v>
      </c>
      <c r="GH94" t="e">
        <f>AND('SPR BARRANQUILLA'!DP111,"AAAAADP//70=")</f>
        <v>#VALUE!</v>
      </c>
      <c r="GI94" t="e">
        <f>AND('SPR BARRANQUILLA'!DQ111,"AAAAADP//74=")</f>
        <v>#VALUE!</v>
      </c>
      <c r="GJ94" t="e">
        <f>AND('SPR BARRANQUILLA'!DR111,"AAAAADP//78=")</f>
        <v>#VALUE!</v>
      </c>
      <c r="GK94" t="e">
        <f>AND('SPR BARRANQUILLA'!DS111,"AAAAADP//8A=")</f>
        <v>#VALUE!</v>
      </c>
      <c r="GL94" t="e">
        <f>AND('SPR BARRANQUILLA'!DT111,"AAAAADP//8E=")</f>
        <v>#VALUE!</v>
      </c>
      <c r="GM94" t="e">
        <f>AND('SPR BARRANQUILLA'!DU111,"AAAAADP//8I=")</f>
        <v>#VALUE!</v>
      </c>
      <c r="GN94" t="e">
        <f>AND('SPR BARRANQUILLA'!DV111,"AAAAADP//8M=")</f>
        <v>#VALUE!</v>
      </c>
      <c r="GO94" t="e">
        <f>AND('SPR BARRANQUILLA'!DW111,"AAAAADP//8Q=")</f>
        <v>#VALUE!</v>
      </c>
      <c r="GP94" t="e">
        <f>AND('SPR BARRANQUILLA'!DX111,"AAAAADP//8U=")</f>
        <v>#VALUE!</v>
      </c>
      <c r="GQ94" t="e">
        <f>AND('SPR BARRANQUILLA'!DY111,"AAAAADP//8Y=")</f>
        <v>#VALUE!</v>
      </c>
      <c r="GR94" t="e">
        <f>AND('SPR BARRANQUILLA'!DZ111,"AAAAADP//8c=")</f>
        <v>#VALUE!</v>
      </c>
      <c r="GS94" t="e">
        <f>AND('SPR BARRANQUILLA'!EA111,"AAAAADP//8g=")</f>
        <v>#VALUE!</v>
      </c>
      <c r="GT94" t="e">
        <f>AND('SPR BARRANQUILLA'!EB111,"AAAAADP//8k=")</f>
        <v>#VALUE!</v>
      </c>
      <c r="GU94" t="e">
        <f>AND('SPR BARRANQUILLA'!EC111,"AAAAADP//8o=")</f>
        <v>#VALUE!</v>
      </c>
      <c r="GV94" t="e">
        <f>AND('SPR BARRANQUILLA'!ED111,"AAAAADP//8s=")</f>
        <v>#VALUE!</v>
      </c>
      <c r="GW94" t="e">
        <f>AND('SPR BARRANQUILLA'!EE111,"AAAAADP//8w=")</f>
        <v>#VALUE!</v>
      </c>
      <c r="GX94" t="e">
        <f>AND('SPR BARRANQUILLA'!EF111,"AAAAADP//80=")</f>
        <v>#VALUE!</v>
      </c>
      <c r="GY94" t="e">
        <f>AND('SPR BARRANQUILLA'!EG111,"AAAAADP//84=")</f>
        <v>#VALUE!</v>
      </c>
      <c r="GZ94" t="e">
        <f>AND('SPR BARRANQUILLA'!EH111,"AAAAADP//88=")</f>
        <v>#VALUE!</v>
      </c>
      <c r="HA94" t="e">
        <f>AND('SPR BARRANQUILLA'!EI111,"AAAAADP//9A=")</f>
        <v>#VALUE!</v>
      </c>
      <c r="HB94" t="e">
        <f>AND('SPR BARRANQUILLA'!EJ111,"AAAAADP//9E=")</f>
        <v>#VALUE!</v>
      </c>
      <c r="HC94" t="e">
        <f>AND('SPR BARRANQUILLA'!EK111,"AAAAADP//9I=")</f>
        <v>#VALUE!</v>
      </c>
      <c r="HD94" t="e">
        <f>AND('SPR BARRANQUILLA'!EL111,"AAAAADP//9M=")</f>
        <v>#VALUE!</v>
      </c>
      <c r="HE94" t="e">
        <f>AND('SPR BARRANQUILLA'!EM111,"AAAAADP//9Q=")</f>
        <v>#VALUE!</v>
      </c>
      <c r="HF94" t="e">
        <f>AND('SPR BARRANQUILLA'!EN111,"AAAAADP//9U=")</f>
        <v>#VALUE!</v>
      </c>
      <c r="HG94" t="e">
        <f>AND('SPR BARRANQUILLA'!EO111,"AAAAADP//9Y=")</f>
        <v>#VALUE!</v>
      </c>
      <c r="HH94" t="e">
        <f>AND('SPR BARRANQUILLA'!EP111,"AAAAADP//9c=")</f>
        <v>#VALUE!</v>
      </c>
      <c r="HI94" t="e">
        <f>AND('SPR BARRANQUILLA'!EQ111,"AAAAADP//9g=")</f>
        <v>#VALUE!</v>
      </c>
      <c r="HJ94" t="e">
        <f>AND('SPR BARRANQUILLA'!ER111,"AAAAADP//9k=")</f>
        <v>#VALUE!</v>
      </c>
      <c r="HK94" t="e">
        <f>AND('SPR BARRANQUILLA'!ES111,"AAAAADP//9o=")</f>
        <v>#VALUE!</v>
      </c>
      <c r="HL94" t="e">
        <f>AND('SPR BARRANQUILLA'!ET111,"AAAAADP//9s=")</f>
        <v>#VALUE!</v>
      </c>
      <c r="HM94" t="e">
        <f>AND('SPR BARRANQUILLA'!EU111,"AAAAADP//9w=")</f>
        <v>#VALUE!</v>
      </c>
      <c r="HN94" t="e">
        <f>AND('SPR BARRANQUILLA'!EV111,"AAAAADP//90=")</f>
        <v>#VALUE!</v>
      </c>
      <c r="HO94" t="e">
        <f>AND('SPR BARRANQUILLA'!EW111,"AAAAADP//94=")</f>
        <v>#VALUE!</v>
      </c>
      <c r="HP94" t="e">
        <f>AND('SPR BARRANQUILLA'!EX111,"AAAAADP//98=")</f>
        <v>#VALUE!</v>
      </c>
      <c r="HQ94" t="e">
        <f>AND('SPR BARRANQUILLA'!EY111,"AAAAADP//+A=")</f>
        <v>#VALUE!</v>
      </c>
      <c r="HR94" t="e">
        <f>AND('SPR BARRANQUILLA'!EZ111,"AAAAADP//+E=")</f>
        <v>#VALUE!</v>
      </c>
      <c r="HS94" t="e">
        <f>AND('SPR BARRANQUILLA'!FA111,"AAAAADP//+I=")</f>
        <v>#VALUE!</v>
      </c>
      <c r="HT94" t="e">
        <f>AND('SPR BARRANQUILLA'!FB111,"AAAAADP//+M=")</f>
        <v>#VALUE!</v>
      </c>
      <c r="HU94" t="e">
        <f>AND('SPR BARRANQUILLA'!FC111,"AAAAADP//+Q=")</f>
        <v>#VALUE!</v>
      </c>
      <c r="HV94" t="e">
        <f>AND('SPR BARRANQUILLA'!FD111,"AAAAADP//+U=")</f>
        <v>#VALUE!</v>
      </c>
      <c r="HW94" t="e">
        <f>AND('SPR BARRANQUILLA'!FE111,"AAAAADP//+Y=")</f>
        <v>#VALUE!</v>
      </c>
      <c r="HX94" t="e">
        <f>AND('SPR BARRANQUILLA'!FF111,"AAAAADP//+c=")</f>
        <v>#VALUE!</v>
      </c>
      <c r="HY94" t="e">
        <f>AND('SPR BARRANQUILLA'!FG111,"AAAAADP//+g=")</f>
        <v>#VALUE!</v>
      </c>
      <c r="HZ94" t="e">
        <f>AND('SPR BARRANQUILLA'!FH111,"AAAAADP//+k=")</f>
        <v>#VALUE!</v>
      </c>
      <c r="IA94" t="e">
        <f>AND('SPR BARRANQUILLA'!FI111,"AAAAADP//+o=")</f>
        <v>#VALUE!</v>
      </c>
      <c r="IB94" t="e">
        <f>AND('SPR BARRANQUILLA'!FJ111,"AAAAADP//+s=")</f>
        <v>#VALUE!</v>
      </c>
      <c r="IC94" t="e">
        <f>AND('SPR BARRANQUILLA'!FK111,"AAAAADP//+w=")</f>
        <v>#VALUE!</v>
      </c>
      <c r="ID94" t="e">
        <f>AND('SPR BARRANQUILLA'!FL111,"AAAAADP//+0=")</f>
        <v>#VALUE!</v>
      </c>
      <c r="IE94" t="e">
        <f>AND('SPR BARRANQUILLA'!FM111,"AAAAADP//+4=")</f>
        <v>#VALUE!</v>
      </c>
      <c r="IF94" t="e">
        <f>AND('SPR BARRANQUILLA'!FN111,"AAAAADP//+8=")</f>
        <v>#VALUE!</v>
      </c>
      <c r="IG94" t="e">
        <f>AND('SPR BARRANQUILLA'!FO111,"AAAAADP///A=")</f>
        <v>#VALUE!</v>
      </c>
      <c r="IH94" t="e">
        <f>AND('SPR BARRANQUILLA'!FP111,"AAAAADP///E=")</f>
        <v>#VALUE!</v>
      </c>
      <c r="II94" t="e">
        <f>AND('SPR BARRANQUILLA'!FQ111,"AAAAADP///I=")</f>
        <v>#VALUE!</v>
      </c>
      <c r="IJ94" t="e">
        <f>AND('SPR BARRANQUILLA'!FR111,"AAAAADP///M=")</f>
        <v>#VALUE!</v>
      </c>
      <c r="IK94" t="e">
        <f>AND('SPR BARRANQUILLA'!FS111,"AAAAADP///Q=")</f>
        <v>#VALUE!</v>
      </c>
      <c r="IL94" t="e">
        <f>AND('SPR BARRANQUILLA'!FT111,"AAAAADP///U=")</f>
        <v>#VALUE!</v>
      </c>
      <c r="IM94" t="e">
        <f>AND('SPR BARRANQUILLA'!FU111,"AAAAADP///Y=")</f>
        <v>#VALUE!</v>
      </c>
      <c r="IN94" t="e">
        <f>AND('SPR BARRANQUILLA'!FV111,"AAAAADP///c=")</f>
        <v>#VALUE!</v>
      </c>
      <c r="IO94" t="e">
        <f>AND('SPR BARRANQUILLA'!FW111,"AAAAADP///g=")</f>
        <v>#VALUE!</v>
      </c>
      <c r="IP94" t="e">
        <f>AND('SPR BARRANQUILLA'!FX111,"AAAAADP///k=")</f>
        <v>#VALUE!</v>
      </c>
      <c r="IQ94" t="e">
        <f>AND('SPR BARRANQUILLA'!FY111,"AAAAADP///o=")</f>
        <v>#VALUE!</v>
      </c>
      <c r="IR94" t="e">
        <f>AND('SPR BARRANQUILLA'!FZ111,"AAAAADP///s=")</f>
        <v>#VALUE!</v>
      </c>
      <c r="IS94" t="e">
        <f>AND('SPR BARRANQUILLA'!GA111,"AAAAADP///w=")</f>
        <v>#VALUE!</v>
      </c>
      <c r="IT94" t="e">
        <f>AND('SPR BARRANQUILLA'!GB111,"AAAAADP///0=")</f>
        <v>#VALUE!</v>
      </c>
      <c r="IU94" t="e">
        <f>AND('SPR BARRANQUILLA'!GC111,"AAAAADP///4=")</f>
        <v>#VALUE!</v>
      </c>
      <c r="IV94" t="e">
        <f>AND('SPR BARRANQUILLA'!GD111,"AAAAADP///8=")</f>
        <v>#VALUE!</v>
      </c>
    </row>
    <row r="95" spans="1:256">
      <c r="A95" t="e">
        <f>AND('SPR BARRANQUILLA'!GE111,"AAAAAG/v/QA=")</f>
        <v>#VALUE!</v>
      </c>
      <c r="B95" t="e">
        <f>AND('SPR BARRANQUILLA'!GF111,"AAAAAG/v/QE=")</f>
        <v>#VALUE!</v>
      </c>
      <c r="C95" t="e">
        <f>AND('SPR BARRANQUILLA'!GG111,"AAAAAG/v/QI=")</f>
        <v>#VALUE!</v>
      </c>
      <c r="D95" t="e">
        <f>AND('SPR BARRANQUILLA'!GH111,"AAAAAG/v/QM=")</f>
        <v>#VALUE!</v>
      </c>
      <c r="E95" t="e">
        <f>AND('SPR BARRANQUILLA'!GI111,"AAAAAG/v/QQ=")</f>
        <v>#VALUE!</v>
      </c>
      <c r="F95" t="e">
        <f>AND('SPR BARRANQUILLA'!GJ111,"AAAAAG/v/QU=")</f>
        <v>#VALUE!</v>
      </c>
      <c r="G95" t="e">
        <f>AND('SPR BARRANQUILLA'!GK111,"AAAAAG/v/QY=")</f>
        <v>#VALUE!</v>
      </c>
      <c r="H95" t="e">
        <f>AND('SPR BARRANQUILLA'!GL111,"AAAAAG/v/Qc=")</f>
        <v>#VALUE!</v>
      </c>
      <c r="I95" t="e">
        <f>AND('SPR BARRANQUILLA'!GM111,"AAAAAG/v/Qg=")</f>
        <v>#VALUE!</v>
      </c>
      <c r="J95" t="e">
        <f>AND('SPR BARRANQUILLA'!GN111,"AAAAAG/v/Qk=")</f>
        <v>#VALUE!</v>
      </c>
      <c r="K95" t="e">
        <f>AND('SPR BARRANQUILLA'!GO111,"AAAAAG/v/Qo=")</f>
        <v>#VALUE!</v>
      </c>
      <c r="L95" t="e">
        <f>AND('SPR BARRANQUILLA'!GP111,"AAAAAG/v/Qs=")</f>
        <v>#VALUE!</v>
      </c>
      <c r="M95" t="e">
        <f>AND('SPR BARRANQUILLA'!GQ111,"AAAAAG/v/Qw=")</f>
        <v>#VALUE!</v>
      </c>
      <c r="N95" t="e">
        <f>AND('SPR BARRANQUILLA'!GR111,"AAAAAG/v/Q0=")</f>
        <v>#VALUE!</v>
      </c>
      <c r="O95" t="e">
        <f>AND('SPR BARRANQUILLA'!GS111,"AAAAAG/v/Q4=")</f>
        <v>#VALUE!</v>
      </c>
      <c r="P95" t="e">
        <f>AND('SPR BARRANQUILLA'!GT111,"AAAAAG/v/Q8=")</f>
        <v>#VALUE!</v>
      </c>
      <c r="Q95" t="e">
        <f>AND('SPR BARRANQUILLA'!GU111,"AAAAAG/v/RA=")</f>
        <v>#VALUE!</v>
      </c>
      <c r="R95" t="e">
        <f>AND('SPR BARRANQUILLA'!GV111,"AAAAAG/v/RE=")</f>
        <v>#VALUE!</v>
      </c>
      <c r="S95" t="e">
        <f>AND('SPR BARRANQUILLA'!GW111,"AAAAAG/v/RI=")</f>
        <v>#VALUE!</v>
      </c>
      <c r="T95" t="e">
        <f>AND('SPR BARRANQUILLA'!GX111,"AAAAAG/v/RM=")</f>
        <v>#VALUE!</v>
      </c>
      <c r="U95" t="e">
        <f>AND('SPR BARRANQUILLA'!GY111,"AAAAAG/v/RQ=")</f>
        <v>#VALUE!</v>
      </c>
      <c r="V95">
        <f>IF('SPR BARRANQUILLA'!112:112,"AAAAAG/v/RU=",0)</f>
        <v>0</v>
      </c>
      <c r="W95" t="e">
        <f>AND('SPR BARRANQUILLA'!A112,"AAAAAG/v/RY=")</f>
        <v>#VALUE!</v>
      </c>
      <c r="X95" t="e">
        <f>AND('SPR BARRANQUILLA'!B112,"AAAAAG/v/Rc=")</f>
        <v>#VALUE!</v>
      </c>
      <c r="Y95" t="e">
        <f>AND('SPR BARRANQUILLA'!C112,"AAAAAG/v/Rg=")</f>
        <v>#VALUE!</v>
      </c>
      <c r="Z95" t="e">
        <f>AND('SPR BARRANQUILLA'!D112,"AAAAAG/v/Rk=")</f>
        <v>#VALUE!</v>
      </c>
      <c r="AA95" t="e">
        <f>AND('SPR BARRANQUILLA'!E112,"AAAAAG/v/Ro=")</f>
        <v>#VALUE!</v>
      </c>
      <c r="AB95" t="e">
        <f>AND('SPR BARRANQUILLA'!F112,"AAAAAG/v/Rs=")</f>
        <v>#VALUE!</v>
      </c>
      <c r="AC95" t="e">
        <f>AND('SPR BARRANQUILLA'!G112,"AAAAAG/v/Rw=")</f>
        <v>#VALUE!</v>
      </c>
      <c r="AD95" t="e">
        <f>AND('SPR BARRANQUILLA'!H112,"AAAAAG/v/R0=")</f>
        <v>#VALUE!</v>
      </c>
      <c r="AE95" t="e">
        <f>AND('SPR BARRANQUILLA'!I112,"AAAAAG/v/R4=")</f>
        <v>#VALUE!</v>
      </c>
      <c r="AF95" t="e">
        <f>AND('SPR BARRANQUILLA'!J112,"AAAAAG/v/R8=")</f>
        <v>#VALUE!</v>
      </c>
      <c r="AG95" t="e">
        <f>AND('SPR BARRANQUILLA'!K112,"AAAAAG/v/SA=")</f>
        <v>#VALUE!</v>
      </c>
      <c r="AH95" t="e">
        <f>AND('SPR BARRANQUILLA'!L112,"AAAAAG/v/SE=")</f>
        <v>#VALUE!</v>
      </c>
      <c r="AI95" t="e">
        <f>AND('SPR BARRANQUILLA'!M112,"AAAAAG/v/SI=")</f>
        <v>#VALUE!</v>
      </c>
      <c r="AJ95" t="e">
        <f>AND('SPR BARRANQUILLA'!N112,"AAAAAG/v/SM=")</f>
        <v>#VALUE!</v>
      </c>
      <c r="AK95" t="e">
        <f>AND('SPR BARRANQUILLA'!O112,"AAAAAG/v/SQ=")</f>
        <v>#VALUE!</v>
      </c>
      <c r="AL95" t="e">
        <f>AND('SPR BARRANQUILLA'!P112,"AAAAAG/v/SU=")</f>
        <v>#VALUE!</v>
      </c>
      <c r="AM95" t="e">
        <f>AND('SPR BARRANQUILLA'!Q112,"AAAAAG/v/SY=")</f>
        <v>#VALUE!</v>
      </c>
      <c r="AN95" t="e">
        <f>AND('SPR BARRANQUILLA'!R112,"AAAAAG/v/Sc=")</f>
        <v>#VALUE!</v>
      </c>
      <c r="AO95" t="e">
        <f>AND('SPR BARRANQUILLA'!S112,"AAAAAG/v/Sg=")</f>
        <v>#VALUE!</v>
      </c>
      <c r="AP95" t="e">
        <f>AND('SPR BARRANQUILLA'!T112,"AAAAAG/v/Sk=")</f>
        <v>#VALUE!</v>
      </c>
      <c r="AQ95" t="e">
        <f>AND('SPR BARRANQUILLA'!U112,"AAAAAG/v/So=")</f>
        <v>#VALUE!</v>
      </c>
      <c r="AR95" t="e">
        <f>AND('SPR BARRANQUILLA'!V112,"AAAAAG/v/Ss=")</f>
        <v>#VALUE!</v>
      </c>
      <c r="AS95" t="e">
        <f>AND('SPR BARRANQUILLA'!W112,"AAAAAG/v/Sw=")</f>
        <v>#VALUE!</v>
      </c>
      <c r="AT95" t="e">
        <f>AND('SPR BARRANQUILLA'!X112,"AAAAAG/v/S0=")</f>
        <v>#VALUE!</v>
      </c>
      <c r="AU95" t="e">
        <f>AND('SPR BARRANQUILLA'!Y112,"AAAAAG/v/S4=")</f>
        <v>#VALUE!</v>
      </c>
      <c r="AV95" t="e">
        <f>AND('SPR BARRANQUILLA'!Z112,"AAAAAG/v/S8=")</f>
        <v>#VALUE!</v>
      </c>
      <c r="AW95" t="e">
        <f>AND('SPR BARRANQUILLA'!AA112,"AAAAAG/v/TA=")</f>
        <v>#VALUE!</v>
      </c>
      <c r="AX95" t="e">
        <f>AND('SPR BARRANQUILLA'!AB112,"AAAAAG/v/TE=")</f>
        <v>#VALUE!</v>
      </c>
      <c r="AY95" t="e">
        <f>AND('SPR BARRANQUILLA'!AC112,"AAAAAG/v/TI=")</f>
        <v>#VALUE!</v>
      </c>
      <c r="AZ95" t="e">
        <f>AND('SPR BARRANQUILLA'!AD112,"AAAAAG/v/TM=")</f>
        <v>#VALUE!</v>
      </c>
      <c r="BA95" t="e">
        <f>AND('SPR BARRANQUILLA'!AE112,"AAAAAG/v/TQ=")</f>
        <v>#VALUE!</v>
      </c>
      <c r="BB95" t="e">
        <f>AND('SPR BARRANQUILLA'!AF112,"AAAAAG/v/TU=")</f>
        <v>#VALUE!</v>
      </c>
      <c r="BC95" t="e">
        <f>AND('SPR BARRANQUILLA'!AG112,"AAAAAG/v/TY=")</f>
        <v>#VALUE!</v>
      </c>
      <c r="BD95" t="e">
        <f>AND('SPR BARRANQUILLA'!AH112,"AAAAAG/v/Tc=")</f>
        <v>#VALUE!</v>
      </c>
      <c r="BE95" t="e">
        <f>AND('SPR BARRANQUILLA'!AI112,"AAAAAG/v/Tg=")</f>
        <v>#VALUE!</v>
      </c>
      <c r="BF95" t="e">
        <f>AND('SPR BARRANQUILLA'!AJ112,"AAAAAG/v/Tk=")</f>
        <v>#VALUE!</v>
      </c>
      <c r="BG95" t="e">
        <f>AND('SPR BARRANQUILLA'!AK112,"AAAAAG/v/To=")</f>
        <v>#VALUE!</v>
      </c>
      <c r="BH95" t="e">
        <f>AND('SPR BARRANQUILLA'!AL112,"AAAAAG/v/Ts=")</f>
        <v>#VALUE!</v>
      </c>
      <c r="BI95" t="e">
        <f>AND('SPR BARRANQUILLA'!AM112,"AAAAAG/v/Tw=")</f>
        <v>#VALUE!</v>
      </c>
      <c r="BJ95" t="e">
        <f>AND('SPR BARRANQUILLA'!AN112,"AAAAAG/v/T0=")</f>
        <v>#VALUE!</v>
      </c>
      <c r="BK95" t="e">
        <f>AND('SPR BARRANQUILLA'!AO112,"AAAAAG/v/T4=")</f>
        <v>#VALUE!</v>
      </c>
      <c r="BL95" t="e">
        <f>AND('SPR BARRANQUILLA'!AP112,"AAAAAG/v/T8=")</f>
        <v>#VALUE!</v>
      </c>
      <c r="BM95" t="e">
        <f>AND('SPR BARRANQUILLA'!AQ112,"AAAAAG/v/UA=")</f>
        <v>#VALUE!</v>
      </c>
      <c r="BN95" t="e">
        <f>AND('SPR BARRANQUILLA'!AR112,"AAAAAG/v/UE=")</f>
        <v>#VALUE!</v>
      </c>
      <c r="BO95" t="e">
        <f>AND('SPR BARRANQUILLA'!AS112,"AAAAAG/v/UI=")</f>
        <v>#VALUE!</v>
      </c>
      <c r="BP95" t="e">
        <f>AND('SPR BARRANQUILLA'!AT112,"AAAAAG/v/UM=")</f>
        <v>#VALUE!</v>
      </c>
      <c r="BQ95" t="e">
        <f>AND('SPR BARRANQUILLA'!AU112,"AAAAAG/v/UQ=")</f>
        <v>#VALUE!</v>
      </c>
      <c r="BR95" t="e">
        <f>AND('SPR BARRANQUILLA'!AV112,"AAAAAG/v/UU=")</f>
        <v>#VALUE!</v>
      </c>
      <c r="BS95" t="e">
        <f>AND('SPR BARRANQUILLA'!AW112,"AAAAAG/v/UY=")</f>
        <v>#VALUE!</v>
      </c>
      <c r="BT95" t="e">
        <f>AND('SPR BARRANQUILLA'!AX112,"AAAAAG/v/Uc=")</f>
        <v>#VALUE!</v>
      </c>
      <c r="BU95" t="e">
        <f>AND('SPR BARRANQUILLA'!AY112,"AAAAAG/v/Ug=")</f>
        <v>#VALUE!</v>
      </c>
      <c r="BV95" t="e">
        <f>AND('SPR BARRANQUILLA'!AZ112,"AAAAAG/v/Uk=")</f>
        <v>#VALUE!</v>
      </c>
      <c r="BW95" t="e">
        <f>AND('SPR BARRANQUILLA'!BA112,"AAAAAG/v/Uo=")</f>
        <v>#VALUE!</v>
      </c>
      <c r="BX95" t="e">
        <f>AND('SPR BARRANQUILLA'!BB112,"AAAAAG/v/Us=")</f>
        <v>#VALUE!</v>
      </c>
      <c r="BY95" t="e">
        <f>AND('SPR BARRANQUILLA'!BC112,"AAAAAG/v/Uw=")</f>
        <v>#VALUE!</v>
      </c>
      <c r="BZ95" t="e">
        <f>AND('SPR BARRANQUILLA'!BD112,"AAAAAG/v/U0=")</f>
        <v>#VALUE!</v>
      </c>
      <c r="CA95" t="e">
        <f>AND('SPR BARRANQUILLA'!BE112,"AAAAAG/v/U4=")</f>
        <v>#VALUE!</v>
      </c>
      <c r="CB95" t="e">
        <f>AND('SPR BARRANQUILLA'!BF112,"AAAAAG/v/U8=")</f>
        <v>#VALUE!</v>
      </c>
      <c r="CC95" t="e">
        <f>AND('SPR BARRANQUILLA'!BG112,"AAAAAG/v/VA=")</f>
        <v>#VALUE!</v>
      </c>
      <c r="CD95" t="e">
        <f>AND('SPR BARRANQUILLA'!BH112,"AAAAAG/v/VE=")</f>
        <v>#VALUE!</v>
      </c>
      <c r="CE95" t="e">
        <f>AND('SPR BARRANQUILLA'!BI112,"AAAAAG/v/VI=")</f>
        <v>#VALUE!</v>
      </c>
      <c r="CF95" t="e">
        <f>AND('SPR BARRANQUILLA'!BJ112,"AAAAAG/v/VM=")</f>
        <v>#VALUE!</v>
      </c>
      <c r="CG95" t="e">
        <f>AND('SPR BARRANQUILLA'!BK112,"AAAAAG/v/VQ=")</f>
        <v>#VALUE!</v>
      </c>
      <c r="CH95" t="e">
        <f>AND('SPR BARRANQUILLA'!BL112,"AAAAAG/v/VU=")</f>
        <v>#VALUE!</v>
      </c>
      <c r="CI95" t="e">
        <f>AND('SPR BARRANQUILLA'!BM112,"AAAAAG/v/VY=")</f>
        <v>#VALUE!</v>
      </c>
      <c r="CJ95" t="e">
        <f>AND('SPR BARRANQUILLA'!BN112,"AAAAAG/v/Vc=")</f>
        <v>#VALUE!</v>
      </c>
      <c r="CK95" t="e">
        <f>AND('SPR BARRANQUILLA'!BO112,"AAAAAG/v/Vg=")</f>
        <v>#VALUE!</v>
      </c>
      <c r="CL95" t="e">
        <f>AND('SPR BARRANQUILLA'!BP112,"AAAAAG/v/Vk=")</f>
        <v>#VALUE!</v>
      </c>
      <c r="CM95" t="e">
        <f>AND('SPR BARRANQUILLA'!BQ112,"AAAAAG/v/Vo=")</f>
        <v>#VALUE!</v>
      </c>
      <c r="CN95" t="e">
        <f>AND('SPR BARRANQUILLA'!BR112,"AAAAAG/v/Vs=")</f>
        <v>#VALUE!</v>
      </c>
      <c r="CO95" t="e">
        <f>AND('SPR BARRANQUILLA'!BS112,"AAAAAG/v/Vw=")</f>
        <v>#VALUE!</v>
      </c>
      <c r="CP95" t="e">
        <f>AND('SPR BARRANQUILLA'!BT112,"AAAAAG/v/V0=")</f>
        <v>#VALUE!</v>
      </c>
      <c r="CQ95" t="e">
        <f>AND('SPR BARRANQUILLA'!BU112,"AAAAAG/v/V4=")</f>
        <v>#VALUE!</v>
      </c>
      <c r="CR95" t="e">
        <f>AND('SPR BARRANQUILLA'!BV112,"AAAAAG/v/V8=")</f>
        <v>#VALUE!</v>
      </c>
      <c r="CS95" t="e">
        <f>AND('SPR BARRANQUILLA'!BW112,"AAAAAG/v/WA=")</f>
        <v>#VALUE!</v>
      </c>
      <c r="CT95" t="e">
        <f>AND('SPR BARRANQUILLA'!BX112,"AAAAAG/v/WE=")</f>
        <v>#VALUE!</v>
      </c>
      <c r="CU95" t="e">
        <f>AND('SPR BARRANQUILLA'!BY112,"AAAAAG/v/WI=")</f>
        <v>#VALUE!</v>
      </c>
      <c r="CV95" t="e">
        <f>AND('SPR BARRANQUILLA'!BZ112,"AAAAAG/v/WM=")</f>
        <v>#VALUE!</v>
      </c>
      <c r="CW95" t="e">
        <f>AND('SPR BARRANQUILLA'!CA112,"AAAAAG/v/WQ=")</f>
        <v>#VALUE!</v>
      </c>
      <c r="CX95" t="e">
        <f>AND('SPR BARRANQUILLA'!CB112,"AAAAAG/v/WU=")</f>
        <v>#VALUE!</v>
      </c>
      <c r="CY95" t="e">
        <f>AND('SPR BARRANQUILLA'!CC112,"AAAAAG/v/WY=")</f>
        <v>#VALUE!</v>
      </c>
      <c r="CZ95" t="e">
        <f>AND('SPR BARRANQUILLA'!CD112,"AAAAAG/v/Wc=")</f>
        <v>#VALUE!</v>
      </c>
      <c r="DA95" t="e">
        <f>AND('SPR BARRANQUILLA'!CE112,"AAAAAG/v/Wg=")</f>
        <v>#VALUE!</v>
      </c>
      <c r="DB95" t="e">
        <f>AND('SPR BARRANQUILLA'!CF112,"AAAAAG/v/Wk=")</f>
        <v>#VALUE!</v>
      </c>
      <c r="DC95" t="e">
        <f>AND('SPR BARRANQUILLA'!CG112,"AAAAAG/v/Wo=")</f>
        <v>#VALUE!</v>
      </c>
      <c r="DD95" t="e">
        <f>AND('SPR BARRANQUILLA'!CH112,"AAAAAG/v/Ws=")</f>
        <v>#VALUE!</v>
      </c>
      <c r="DE95" t="e">
        <f>AND('SPR BARRANQUILLA'!CI112,"AAAAAG/v/Ww=")</f>
        <v>#VALUE!</v>
      </c>
      <c r="DF95" t="e">
        <f>AND('SPR BARRANQUILLA'!CJ112,"AAAAAG/v/W0=")</f>
        <v>#VALUE!</v>
      </c>
      <c r="DG95" t="e">
        <f>AND('SPR BARRANQUILLA'!CK112,"AAAAAG/v/W4=")</f>
        <v>#VALUE!</v>
      </c>
      <c r="DH95" t="e">
        <f>AND('SPR BARRANQUILLA'!CL112,"AAAAAG/v/W8=")</f>
        <v>#VALUE!</v>
      </c>
      <c r="DI95" t="e">
        <f>AND('SPR BARRANQUILLA'!CM112,"AAAAAG/v/XA=")</f>
        <v>#VALUE!</v>
      </c>
      <c r="DJ95" t="e">
        <f>AND('SPR BARRANQUILLA'!CN112,"AAAAAG/v/XE=")</f>
        <v>#VALUE!</v>
      </c>
      <c r="DK95" t="e">
        <f>AND('SPR BARRANQUILLA'!CO112,"AAAAAG/v/XI=")</f>
        <v>#VALUE!</v>
      </c>
      <c r="DL95" t="e">
        <f>AND('SPR BARRANQUILLA'!CP112,"AAAAAG/v/XM=")</f>
        <v>#VALUE!</v>
      </c>
      <c r="DM95" t="e">
        <f>AND('SPR BARRANQUILLA'!CQ112,"AAAAAG/v/XQ=")</f>
        <v>#VALUE!</v>
      </c>
      <c r="DN95" t="e">
        <f>AND('SPR BARRANQUILLA'!CR112,"AAAAAG/v/XU=")</f>
        <v>#VALUE!</v>
      </c>
      <c r="DO95" t="e">
        <f>AND('SPR BARRANQUILLA'!CS112,"AAAAAG/v/XY=")</f>
        <v>#VALUE!</v>
      </c>
      <c r="DP95" t="e">
        <f>AND('SPR BARRANQUILLA'!CT112,"AAAAAG/v/Xc=")</f>
        <v>#VALUE!</v>
      </c>
      <c r="DQ95" t="e">
        <f>AND('SPR BARRANQUILLA'!CU112,"AAAAAG/v/Xg=")</f>
        <v>#VALUE!</v>
      </c>
      <c r="DR95" t="e">
        <f>AND('SPR BARRANQUILLA'!CV112,"AAAAAG/v/Xk=")</f>
        <v>#VALUE!</v>
      </c>
      <c r="DS95" t="e">
        <f>AND('SPR BARRANQUILLA'!CW112,"AAAAAG/v/Xo=")</f>
        <v>#VALUE!</v>
      </c>
      <c r="DT95" t="e">
        <f>AND('SPR BARRANQUILLA'!CX112,"AAAAAG/v/Xs=")</f>
        <v>#VALUE!</v>
      </c>
      <c r="DU95" t="e">
        <f>AND('SPR BARRANQUILLA'!CY112,"AAAAAG/v/Xw=")</f>
        <v>#VALUE!</v>
      </c>
      <c r="DV95" t="e">
        <f>AND('SPR BARRANQUILLA'!CZ112,"AAAAAG/v/X0=")</f>
        <v>#VALUE!</v>
      </c>
      <c r="DW95" t="e">
        <f>AND('SPR BARRANQUILLA'!DA112,"AAAAAG/v/X4=")</f>
        <v>#VALUE!</v>
      </c>
      <c r="DX95" t="e">
        <f>AND('SPR BARRANQUILLA'!DB112,"AAAAAG/v/X8=")</f>
        <v>#VALUE!</v>
      </c>
      <c r="DY95" t="e">
        <f>AND('SPR BARRANQUILLA'!DC112,"AAAAAG/v/YA=")</f>
        <v>#VALUE!</v>
      </c>
      <c r="DZ95" t="e">
        <f>AND('SPR BARRANQUILLA'!DD112,"AAAAAG/v/YE=")</f>
        <v>#VALUE!</v>
      </c>
      <c r="EA95" t="e">
        <f>AND('SPR BARRANQUILLA'!DE112,"AAAAAG/v/YI=")</f>
        <v>#VALUE!</v>
      </c>
      <c r="EB95" t="e">
        <f>AND('SPR BARRANQUILLA'!DF112,"AAAAAG/v/YM=")</f>
        <v>#VALUE!</v>
      </c>
      <c r="EC95" t="e">
        <f>AND('SPR BARRANQUILLA'!DG112,"AAAAAG/v/YQ=")</f>
        <v>#VALUE!</v>
      </c>
      <c r="ED95" t="e">
        <f>AND('SPR BARRANQUILLA'!DH112,"AAAAAG/v/YU=")</f>
        <v>#VALUE!</v>
      </c>
      <c r="EE95" t="e">
        <f>AND('SPR BARRANQUILLA'!DI112,"AAAAAG/v/YY=")</f>
        <v>#VALUE!</v>
      </c>
      <c r="EF95" t="e">
        <f>AND('SPR BARRANQUILLA'!DJ112,"AAAAAG/v/Yc=")</f>
        <v>#VALUE!</v>
      </c>
      <c r="EG95" t="e">
        <f>AND('SPR BARRANQUILLA'!DK112,"AAAAAG/v/Yg=")</f>
        <v>#VALUE!</v>
      </c>
      <c r="EH95" t="e">
        <f>AND('SPR BARRANQUILLA'!DL112,"AAAAAG/v/Yk=")</f>
        <v>#VALUE!</v>
      </c>
      <c r="EI95" t="e">
        <f>AND('SPR BARRANQUILLA'!DM112,"AAAAAG/v/Yo=")</f>
        <v>#VALUE!</v>
      </c>
      <c r="EJ95" t="e">
        <f>AND('SPR BARRANQUILLA'!DN112,"AAAAAG/v/Ys=")</f>
        <v>#VALUE!</v>
      </c>
      <c r="EK95" t="e">
        <f>AND('SPR BARRANQUILLA'!DO112,"AAAAAG/v/Yw=")</f>
        <v>#VALUE!</v>
      </c>
      <c r="EL95" t="e">
        <f>AND('SPR BARRANQUILLA'!DP112,"AAAAAG/v/Y0=")</f>
        <v>#VALUE!</v>
      </c>
      <c r="EM95" t="e">
        <f>AND('SPR BARRANQUILLA'!DQ112,"AAAAAG/v/Y4=")</f>
        <v>#VALUE!</v>
      </c>
      <c r="EN95" t="e">
        <f>AND('SPR BARRANQUILLA'!DR112,"AAAAAG/v/Y8=")</f>
        <v>#VALUE!</v>
      </c>
      <c r="EO95" t="e">
        <f>AND('SPR BARRANQUILLA'!DS112,"AAAAAG/v/ZA=")</f>
        <v>#VALUE!</v>
      </c>
      <c r="EP95" t="e">
        <f>AND('SPR BARRANQUILLA'!DT112,"AAAAAG/v/ZE=")</f>
        <v>#VALUE!</v>
      </c>
      <c r="EQ95" t="e">
        <f>AND('SPR BARRANQUILLA'!DU112,"AAAAAG/v/ZI=")</f>
        <v>#VALUE!</v>
      </c>
      <c r="ER95" t="e">
        <f>AND('SPR BARRANQUILLA'!DV112,"AAAAAG/v/ZM=")</f>
        <v>#VALUE!</v>
      </c>
      <c r="ES95" t="e">
        <f>AND('SPR BARRANQUILLA'!DW112,"AAAAAG/v/ZQ=")</f>
        <v>#VALUE!</v>
      </c>
      <c r="ET95" t="e">
        <f>AND('SPR BARRANQUILLA'!DX112,"AAAAAG/v/ZU=")</f>
        <v>#VALUE!</v>
      </c>
      <c r="EU95" t="e">
        <f>AND('SPR BARRANQUILLA'!DY112,"AAAAAG/v/ZY=")</f>
        <v>#VALUE!</v>
      </c>
      <c r="EV95" t="e">
        <f>AND('SPR BARRANQUILLA'!DZ112,"AAAAAG/v/Zc=")</f>
        <v>#VALUE!</v>
      </c>
      <c r="EW95" t="e">
        <f>AND('SPR BARRANQUILLA'!EA112,"AAAAAG/v/Zg=")</f>
        <v>#VALUE!</v>
      </c>
      <c r="EX95" t="e">
        <f>AND('SPR BARRANQUILLA'!EB112,"AAAAAG/v/Zk=")</f>
        <v>#VALUE!</v>
      </c>
      <c r="EY95" t="e">
        <f>AND('SPR BARRANQUILLA'!EC112,"AAAAAG/v/Zo=")</f>
        <v>#VALUE!</v>
      </c>
      <c r="EZ95" t="e">
        <f>AND('SPR BARRANQUILLA'!ED112,"AAAAAG/v/Zs=")</f>
        <v>#VALUE!</v>
      </c>
      <c r="FA95" t="e">
        <f>AND('SPR BARRANQUILLA'!EE112,"AAAAAG/v/Zw=")</f>
        <v>#VALUE!</v>
      </c>
      <c r="FB95" t="e">
        <f>AND('SPR BARRANQUILLA'!EF112,"AAAAAG/v/Z0=")</f>
        <v>#VALUE!</v>
      </c>
      <c r="FC95" t="e">
        <f>AND('SPR BARRANQUILLA'!EG112,"AAAAAG/v/Z4=")</f>
        <v>#VALUE!</v>
      </c>
      <c r="FD95" t="e">
        <f>AND('SPR BARRANQUILLA'!EH112,"AAAAAG/v/Z8=")</f>
        <v>#VALUE!</v>
      </c>
      <c r="FE95" t="e">
        <f>AND('SPR BARRANQUILLA'!EI112,"AAAAAG/v/aA=")</f>
        <v>#VALUE!</v>
      </c>
      <c r="FF95" t="e">
        <f>AND('SPR BARRANQUILLA'!EJ112,"AAAAAG/v/aE=")</f>
        <v>#VALUE!</v>
      </c>
      <c r="FG95" t="e">
        <f>AND('SPR BARRANQUILLA'!EK112,"AAAAAG/v/aI=")</f>
        <v>#VALUE!</v>
      </c>
      <c r="FH95" t="e">
        <f>AND('SPR BARRANQUILLA'!EL112,"AAAAAG/v/aM=")</f>
        <v>#VALUE!</v>
      </c>
      <c r="FI95" t="e">
        <f>AND('SPR BARRANQUILLA'!EM112,"AAAAAG/v/aQ=")</f>
        <v>#VALUE!</v>
      </c>
      <c r="FJ95" t="e">
        <f>AND('SPR BARRANQUILLA'!EN112,"AAAAAG/v/aU=")</f>
        <v>#VALUE!</v>
      </c>
      <c r="FK95" t="e">
        <f>AND('SPR BARRANQUILLA'!EO112,"AAAAAG/v/aY=")</f>
        <v>#VALUE!</v>
      </c>
      <c r="FL95" t="e">
        <f>AND('SPR BARRANQUILLA'!EP112,"AAAAAG/v/ac=")</f>
        <v>#VALUE!</v>
      </c>
      <c r="FM95" t="e">
        <f>AND('SPR BARRANQUILLA'!EQ112,"AAAAAG/v/ag=")</f>
        <v>#VALUE!</v>
      </c>
      <c r="FN95" t="e">
        <f>AND('SPR BARRANQUILLA'!ER112,"AAAAAG/v/ak=")</f>
        <v>#VALUE!</v>
      </c>
      <c r="FO95" t="e">
        <f>AND('SPR BARRANQUILLA'!ES112,"AAAAAG/v/ao=")</f>
        <v>#VALUE!</v>
      </c>
      <c r="FP95" t="e">
        <f>AND('SPR BARRANQUILLA'!ET112,"AAAAAG/v/as=")</f>
        <v>#VALUE!</v>
      </c>
      <c r="FQ95" t="e">
        <f>AND('SPR BARRANQUILLA'!EU112,"AAAAAG/v/aw=")</f>
        <v>#VALUE!</v>
      </c>
      <c r="FR95" t="e">
        <f>AND('SPR BARRANQUILLA'!EV112,"AAAAAG/v/a0=")</f>
        <v>#VALUE!</v>
      </c>
      <c r="FS95" t="e">
        <f>AND('SPR BARRANQUILLA'!EW112,"AAAAAG/v/a4=")</f>
        <v>#VALUE!</v>
      </c>
      <c r="FT95" t="e">
        <f>AND('SPR BARRANQUILLA'!EX112,"AAAAAG/v/a8=")</f>
        <v>#VALUE!</v>
      </c>
      <c r="FU95" t="e">
        <f>AND('SPR BARRANQUILLA'!EY112,"AAAAAG/v/bA=")</f>
        <v>#VALUE!</v>
      </c>
      <c r="FV95" t="e">
        <f>AND('SPR BARRANQUILLA'!EZ112,"AAAAAG/v/bE=")</f>
        <v>#VALUE!</v>
      </c>
      <c r="FW95" t="e">
        <f>AND('SPR BARRANQUILLA'!FA112,"AAAAAG/v/bI=")</f>
        <v>#VALUE!</v>
      </c>
      <c r="FX95" t="e">
        <f>AND('SPR BARRANQUILLA'!FB112,"AAAAAG/v/bM=")</f>
        <v>#VALUE!</v>
      </c>
      <c r="FY95" t="e">
        <f>AND('SPR BARRANQUILLA'!FC112,"AAAAAG/v/bQ=")</f>
        <v>#VALUE!</v>
      </c>
      <c r="FZ95" t="e">
        <f>AND('SPR BARRANQUILLA'!FD112,"AAAAAG/v/bU=")</f>
        <v>#VALUE!</v>
      </c>
      <c r="GA95" t="e">
        <f>AND('SPR BARRANQUILLA'!FE112,"AAAAAG/v/bY=")</f>
        <v>#VALUE!</v>
      </c>
      <c r="GB95" t="e">
        <f>AND('SPR BARRANQUILLA'!FF112,"AAAAAG/v/bc=")</f>
        <v>#VALUE!</v>
      </c>
      <c r="GC95" t="e">
        <f>AND('SPR BARRANQUILLA'!FG112,"AAAAAG/v/bg=")</f>
        <v>#VALUE!</v>
      </c>
      <c r="GD95" t="e">
        <f>AND('SPR BARRANQUILLA'!FH112,"AAAAAG/v/bk=")</f>
        <v>#VALUE!</v>
      </c>
      <c r="GE95" t="e">
        <f>AND('SPR BARRANQUILLA'!FI112,"AAAAAG/v/bo=")</f>
        <v>#VALUE!</v>
      </c>
      <c r="GF95" t="e">
        <f>AND('SPR BARRANQUILLA'!FJ112,"AAAAAG/v/bs=")</f>
        <v>#VALUE!</v>
      </c>
      <c r="GG95" t="e">
        <f>AND('SPR BARRANQUILLA'!FK112,"AAAAAG/v/bw=")</f>
        <v>#VALUE!</v>
      </c>
      <c r="GH95" t="e">
        <f>AND('SPR BARRANQUILLA'!FL112,"AAAAAG/v/b0=")</f>
        <v>#VALUE!</v>
      </c>
      <c r="GI95" t="e">
        <f>AND('SPR BARRANQUILLA'!FM112,"AAAAAG/v/b4=")</f>
        <v>#VALUE!</v>
      </c>
      <c r="GJ95" t="e">
        <f>AND('SPR BARRANQUILLA'!FN112,"AAAAAG/v/b8=")</f>
        <v>#VALUE!</v>
      </c>
      <c r="GK95" t="e">
        <f>AND('SPR BARRANQUILLA'!FO112,"AAAAAG/v/cA=")</f>
        <v>#VALUE!</v>
      </c>
      <c r="GL95" t="e">
        <f>AND('SPR BARRANQUILLA'!FP112,"AAAAAG/v/cE=")</f>
        <v>#VALUE!</v>
      </c>
      <c r="GM95" t="e">
        <f>AND('SPR BARRANQUILLA'!FQ112,"AAAAAG/v/cI=")</f>
        <v>#VALUE!</v>
      </c>
      <c r="GN95" t="e">
        <f>AND('SPR BARRANQUILLA'!FR112,"AAAAAG/v/cM=")</f>
        <v>#VALUE!</v>
      </c>
      <c r="GO95" t="e">
        <f>AND('SPR BARRANQUILLA'!FS112,"AAAAAG/v/cQ=")</f>
        <v>#VALUE!</v>
      </c>
      <c r="GP95" t="e">
        <f>AND('SPR BARRANQUILLA'!FT112,"AAAAAG/v/cU=")</f>
        <v>#VALUE!</v>
      </c>
      <c r="GQ95" t="e">
        <f>AND('SPR BARRANQUILLA'!FU112,"AAAAAG/v/cY=")</f>
        <v>#VALUE!</v>
      </c>
      <c r="GR95" t="e">
        <f>AND('SPR BARRANQUILLA'!FV112,"AAAAAG/v/cc=")</f>
        <v>#VALUE!</v>
      </c>
      <c r="GS95" t="e">
        <f>AND('SPR BARRANQUILLA'!FW112,"AAAAAG/v/cg=")</f>
        <v>#VALUE!</v>
      </c>
      <c r="GT95" t="e">
        <f>AND('SPR BARRANQUILLA'!FX112,"AAAAAG/v/ck=")</f>
        <v>#VALUE!</v>
      </c>
      <c r="GU95" t="e">
        <f>AND('SPR BARRANQUILLA'!FY112,"AAAAAG/v/co=")</f>
        <v>#VALUE!</v>
      </c>
      <c r="GV95" t="e">
        <f>AND('SPR BARRANQUILLA'!FZ112,"AAAAAG/v/cs=")</f>
        <v>#VALUE!</v>
      </c>
      <c r="GW95" t="e">
        <f>AND('SPR BARRANQUILLA'!GA112,"AAAAAG/v/cw=")</f>
        <v>#VALUE!</v>
      </c>
      <c r="GX95" t="e">
        <f>AND('SPR BARRANQUILLA'!GB112,"AAAAAG/v/c0=")</f>
        <v>#VALUE!</v>
      </c>
      <c r="GY95" t="e">
        <f>AND('SPR BARRANQUILLA'!GC112,"AAAAAG/v/c4=")</f>
        <v>#VALUE!</v>
      </c>
      <c r="GZ95" t="e">
        <f>AND('SPR BARRANQUILLA'!GD112,"AAAAAG/v/c8=")</f>
        <v>#VALUE!</v>
      </c>
      <c r="HA95" t="e">
        <f>AND('SPR BARRANQUILLA'!GE112,"AAAAAG/v/dA=")</f>
        <v>#VALUE!</v>
      </c>
      <c r="HB95" t="e">
        <f>AND('SPR BARRANQUILLA'!GF112,"AAAAAG/v/dE=")</f>
        <v>#VALUE!</v>
      </c>
      <c r="HC95" t="e">
        <f>AND('SPR BARRANQUILLA'!GG112,"AAAAAG/v/dI=")</f>
        <v>#VALUE!</v>
      </c>
      <c r="HD95" t="e">
        <f>AND('SPR BARRANQUILLA'!GH112,"AAAAAG/v/dM=")</f>
        <v>#VALUE!</v>
      </c>
      <c r="HE95" t="e">
        <f>AND('SPR BARRANQUILLA'!GI112,"AAAAAG/v/dQ=")</f>
        <v>#VALUE!</v>
      </c>
      <c r="HF95" t="e">
        <f>AND('SPR BARRANQUILLA'!GJ112,"AAAAAG/v/dU=")</f>
        <v>#VALUE!</v>
      </c>
      <c r="HG95" t="e">
        <f>AND('SPR BARRANQUILLA'!GK112,"AAAAAG/v/dY=")</f>
        <v>#VALUE!</v>
      </c>
      <c r="HH95" t="e">
        <f>AND('SPR BARRANQUILLA'!GL112,"AAAAAG/v/dc=")</f>
        <v>#VALUE!</v>
      </c>
      <c r="HI95" t="e">
        <f>AND('SPR BARRANQUILLA'!GM112,"AAAAAG/v/dg=")</f>
        <v>#VALUE!</v>
      </c>
      <c r="HJ95" t="e">
        <f>AND('SPR BARRANQUILLA'!GN112,"AAAAAG/v/dk=")</f>
        <v>#VALUE!</v>
      </c>
      <c r="HK95" t="e">
        <f>AND('SPR BARRANQUILLA'!GO112,"AAAAAG/v/do=")</f>
        <v>#VALUE!</v>
      </c>
      <c r="HL95" t="e">
        <f>AND('SPR BARRANQUILLA'!GP112,"AAAAAG/v/ds=")</f>
        <v>#VALUE!</v>
      </c>
      <c r="HM95" t="e">
        <f>AND('SPR BARRANQUILLA'!GQ112,"AAAAAG/v/dw=")</f>
        <v>#VALUE!</v>
      </c>
      <c r="HN95" t="e">
        <f>AND('SPR BARRANQUILLA'!GR112,"AAAAAG/v/d0=")</f>
        <v>#VALUE!</v>
      </c>
      <c r="HO95" t="e">
        <f>AND('SPR BARRANQUILLA'!GS112,"AAAAAG/v/d4=")</f>
        <v>#VALUE!</v>
      </c>
      <c r="HP95" t="e">
        <f>AND('SPR BARRANQUILLA'!GT112,"AAAAAG/v/d8=")</f>
        <v>#VALUE!</v>
      </c>
      <c r="HQ95" t="e">
        <f>AND('SPR BARRANQUILLA'!GU112,"AAAAAG/v/eA=")</f>
        <v>#VALUE!</v>
      </c>
      <c r="HR95" t="e">
        <f>AND('SPR BARRANQUILLA'!GV112,"AAAAAG/v/eE=")</f>
        <v>#VALUE!</v>
      </c>
      <c r="HS95" t="e">
        <f>AND('SPR BARRANQUILLA'!GW112,"AAAAAG/v/eI=")</f>
        <v>#VALUE!</v>
      </c>
      <c r="HT95" t="e">
        <f>AND('SPR BARRANQUILLA'!GX112,"AAAAAG/v/eM=")</f>
        <v>#VALUE!</v>
      </c>
      <c r="HU95" t="e">
        <f>AND('SPR BARRANQUILLA'!GY112,"AAAAAG/v/eQ=")</f>
        <v>#VALUE!</v>
      </c>
      <c r="HV95">
        <f>IF('SPR BARRANQUILLA'!113:113,"AAAAAG/v/eU=",0)</f>
        <v>0</v>
      </c>
      <c r="HW95" t="e">
        <f>AND('SPR BARRANQUILLA'!A113,"AAAAAG/v/eY=")</f>
        <v>#VALUE!</v>
      </c>
      <c r="HX95" t="e">
        <f>AND('SPR BARRANQUILLA'!B113,"AAAAAG/v/ec=")</f>
        <v>#VALUE!</v>
      </c>
      <c r="HY95" t="e">
        <f>AND('SPR BARRANQUILLA'!C113,"AAAAAG/v/eg=")</f>
        <v>#VALUE!</v>
      </c>
      <c r="HZ95" t="e">
        <f>AND('SPR BARRANQUILLA'!D113,"AAAAAG/v/ek=")</f>
        <v>#VALUE!</v>
      </c>
      <c r="IA95" t="e">
        <f>AND('SPR BARRANQUILLA'!E113,"AAAAAG/v/eo=")</f>
        <v>#VALUE!</v>
      </c>
      <c r="IB95" t="e">
        <f>AND('SPR BARRANQUILLA'!F113,"AAAAAG/v/es=")</f>
        <v>#VALUE!</v>
      </c>
      <c r="IC95" t="e">
        <f>AND('SPR BARRANQUILLA'!G113,"AAAAAG/v/ew=")</f>
        <v>#VALUE!</v>
      </c>
      <c r="ID95" t="e">
        <f>AND('SPR BARRANQUILLA'!H113,"AAAAAG/v/e0=")</f>
        <v>#VALUE!</v>
      </c>
      <c r="IE95" t="e">
        <f>AND('SPR BARRANQUILLA'!I113,"AAAAAG/v/e4=")</f>
        <v>#VALUE!</v>
      </c>
      <c r="IF95" t="e">
        <f>AND('SPR BARRANQUILLA'!J113,"AAAAAG/v/e8=")</f>
        <v>#VALUE!</v>
      </c>
      <c r="IG95" t="e">
        <f>AND('SPR BARRANQUILLA'!K113,"AAAAAG/v/fA=")</f>
        <v>#VALUE!</v>
      </c>
      <c r="IH95" t="e">
        <f>AND('SPR BARRANQUILLA'!L113,"AAAAAG/v/fE=")</f>
        <v>#VALUE!</v>
      </c>
      <c r="II95" t="e">
        <f>AND('SPR BARRANQUILLA'!M113,"AAAAAG/v/fI=")</f>
        <v>#VALUE!</v>
      </c>
      <c r="IJ95" t="e">
        <f>AND('SPR BARRANQUILLA'!N113,"AAAAAG/v/fM=")</f>
        <v>#VALUE!</v>
      </c>
      <c r="IK95" t="e">
        <f>AND('SPR BARRANQUILLA'!O113,"AAAAAG/v/fQ=")</f>
        <v>#VALUE!</v>
      </c>
      <c r="IL95" t="e">
        <f>AND('SPR BARRANQUILLA'!P113,"AAAAAG/v/fU=")</f>
        <v>#VALUE!</v>
      </c>
      <c r="IM95" t="e">
        <f>AND('SPR BARRANQUILLA'!Q113,"AAAAAG/v/fY=")</f>
        <v>#VALUE!</v>
      </c>
      <c r="IN95" t="e">
        <f>AND('SPR BARRANQUILLA'!R113,"AAAAAG/v/fc=")</f>
        <v>#VALUE!</v>
      </c>
      <c r="IO95" t="e">
        <f>AND('SPR BARRANQUILLA'!S113,"AAAAAG/v/fg=")</f>
        <v>#VALUE!</v>
      </c>
      <c r="IP95" t="e">
        <f>AND('SPR BARRANQUILLA'!T113,"AAAAAG/v/fk=")</f>
        <v>#VALUE!</v>
      </c>
      <c r="IQ95" t="e">
        <f>AND('SPR BARRANQUILLA'!U113,"AAAAAG/v/fo=")</f>
        <v>#VALUE!</v>
      </c>
      <c r="IR95" t="e">
        <f>AND('SPR BARRANQUILLA'!V113,"AAAAAG/v/fs=")</f>
        <v>#VALUE!</v>
      </c>
      <c r="IS95" t="e">
        <f>AND('SPR BARRANQUILLA'!W113,"AAAAAG/v/fw=")</f>
        <v>#VALUE!</v>
      </c>
      <c r="IT95" t="e">
        <f>AND('SPR BARRANQUILLA'!X113,"AAAAAG/v/f0=")</f>
        <v>#VALUE!</v>
      </c>
      <c r="IU95" t="e">
        <f>AND('SPR BARRANQUILLA'!Y113,"AAAAAG/v/f4=")</f>
        <v>#VALUE!</v>
      </c>
      <c r="IV95" t="e">
        <f>AND('SPR BARRANQUILLA'!Z113,"AAAAAG/v/f8=")</f>
        <v>#VALUE!</v>
      </c>
    </row>
    <row r="96" spans="1:256">
      <c r="A96" t="e">
        <f>AND('SPR BARRANQUILLA'!AA113,"AAAAAF8cvwA=")</f>
        <v>#VALUE!</v>
      </c>
      <c r="B96" t="e">
        <f>AND('SPR BARRANQUILLA'!AB113,"AAAAAF8cvwE=")</f>
        <v>#VALUE!</v>
      </c>
      <c r="C96" t="e">
        <f>AND('SPR BARRANQUILLA'!AC113,"AAAAAF8cvwI=")</f>
        <v>#VALUE!</v>
      </c>
      <c r="D96" t="e">
        <f>AND('SPR BARRANQUILLA'!AD113,"AAAAAF8cvwM=")</f>
        <v>#VALUE!</v>
      </c>
      <c r="E96" t="e">
        <f>AND('SPR BARRANQUILLA'!AE113,"AAAAAF8cvwQ=")</f>
        <v>#VALUE!</v>
      </c>
      <c r="F96" t="e">
        <f>AND('SPR BARRANQUILLA'!AF113,"AAAAAF8cvwU=")</f>
        <v>#VALUE!</v>
      </c>
      <c r="G96" t="e">
        <f>AND('SPR BARRANQUILLA'!AG113,"AAAAAF8cvwY=")</f>
        <v>#VALUE!</v>
      </c>
      <c r="H96" t="e">
        <f>AND('SPR BARRANQUILLA'!AH113,"AAAAAF8cvwc=")</f>
        <v>#VALUE!</v>
      </c>
      <c r="I96" t="e">
        <f>AND('SPR BARRANQUILLA'!AI113,"AAAAAF8cvwg=")</f>
        <v>#VALUE!</v>
      </c>
      <c r="J96" t="e">
        <f>AND('SPR BARRANQUILLA'!AJ113,"AAAAAF8cvwk=")</f>
        <v>#VALUE!</v>
      </c>
      <c r="K96" t="e">
        <f>AND('SPR BARRANQUILLA'!AK113,"AAAAAF8cvwo=")</f>
        <v>#VALUE!</v>
      </c>
      <c r="L96" t="e">
        <f>AND('SPR BARRANQUILLA'!AL113,"AAAAAF8cvws=")</f>
        <v>#VALUE!</v>
      </c>
      <c r="M96" t="e">
        <f>AND('SPR BARRANQUILLA'!AM113,"AAAAAF8cvww=")</f>
        <v>#VALUE!</v>
      </c>
      <c r="N96" t="e">
        <f>AND('SPR BARRANQUILLA'!AN113,"AAAAAF8cvw0=")</f>
        <v>#VALUE!</v>
      </c>
      <c r="O96" t="e">
        <f>AND('SPR BARRANQUILLA'!AO113,"AAAAAF8cvw4=")</f>
        <v>#VALUE!</v>
      </c>
      <c r="P96" t="e">
        <f>AND('SPR BARRANQUILLA'!AP113,"AAAAAF8cvw8=")</f>
        <v>#VALUE!</v>
      </c>
      <c r="Q96" t="e">
        <f>AND('SPR BARRANQUILLA'!AQ113,"AAAAAF8cvxA=")</f>
        <v>#VALUE!</v>
      </c>
      <c r="R96" t="e">
        <f>AND('SPR BARRANQUILLA'!AR113,"AAAAAF8cvxE=")</f>
        <v>#VALUE!</v>
      </c>
      <c r="S96" t="e">
        <f>AND('SPR BARRANQUILLA'!AS113,"AAAAAF8cvxI=")</f>
        <v>#VALUE!</v>
      </c>
      <c r="T96" t="e">
        <f>AND('SPR BARRANQUILLA'!AT113,"AAAAAF8cvxM=")</f>
        <v>#VALUE!</v>
      </c>
      <c r="U96" t="e">
        <f>AND('SPR BARRANQUILLA'!AU113,"AAAAAF8cvxQ=")</f>
        <v>#VALUE!</v>
      </c>
      <c r="V96" t="e">
        <f>AND('SPR BARRANQUILLA'!AV113,"AAAAAF8cvxU=")</f>
        <v>#VALUE!</v>
      </c>
      <c r="W96" t="e">
        <f>AND('SPR BARRANQUILLA'!AW113,"AAAAAF8cvxY=")</f>
        <v>#VALUE!</v>
      </c>
      <c r="X96" t="e">
        <f>AND('SPR BARRANQUILLA'!AX113,"AAAAAF8cvxc=")</f>
        <v>#VALUE!</v>
      </c>
      <c r="Y96" t="e">
        <f>AND('SPR BARRANQUILLA'!AY113,"AAAAAF8cvxg=")</f>
        <v>#VALUE!</v>
      </c>
      <c r="Z96" t="e">
        <f>AND('SPR BARRANQUILLA'!AZ113,"AAAAAF8cvxk=")</f>
        <v>#VALUE!</v>
      </c>
      <c r="AA96" t="e">
        <f>AND('SPR BARRANQUILLA'!BA113,"AAAAAF8cvxo=")</f>
        <v>#VALUE!</v>
      </c>
      <c r="AB96" t="e">
        <f>AND('SPR BARRANQUILLA'!BB113,"AAAAAF8cvxs=")</f>
        <v>#VALUE!</v>
      </c>
      <c r="AC96" t="e">
        <f>AND('SPR BARRANQUILLA'!BC113,"AAAAAF8cvxw=")</f>
        <v>#VALUE!</v>
      </c>
      <c r="AD96" t="e">
        <f>AND('SPR BARRANQUILLA'!BD113,"AAAAAF8cvx0=")</f>
        <v>#VALUE!</v>
      </c>
      <c r="AE96" t="e">
        <f>AND('SPR BARRANQUILLA'!BE113,"AAAAAF8cvx4=")</f>
        <v>#VALUE!</v>
      </c>
      <c r="AF96" t="e">
        <f>AND('SPR BARRANQUILLA'!BF113,"AAAAAF8cvx8=")</f>
        <v>#VALUE!</v>
      </c>
      <c r="AG96" t="e">
        <f>AND('SPR BARRANQUILLA'!BG113,"AAAAAF8cvyA=")</f>
        <v>#VALUE!</v>
      </c>
      <c r="AH96" t="e">
        <f>AND('SPR BARRANQUILLA'!BH113,"AAAAAF8cvyE=")</f>
        <v>#VALUE!</v>
      </c>
      <c r="AI96" t="e">
        <f>AND('SPR BARRANQUILLA'!BI113,"AAAAAF8cvyI=")</f>
        <v>#VALUE!</v>
      </c>
      <c r="AJ96" t="e">
        <f>AND('SPR BARRANQUILLA'!BJ113,"AAAAAF8cvyM=")</f>
        <v>#VALUE!</v>
      </c>
      <c r="AK96" t="e">
        <f>AND('SPR BARRANQUILLA'!BK113,"AAAAAF8cvyQ=")</f>
        <v>#VALUE!</v>
      </c>
      <c r="AL96" t="e">
        <f>AND('SPR BARRANQUILLA'!BL113,"AAAAAF8cvyU=")</f>
        <v>#VALUE!</v>
      </c>
      <c r="AM96" t="e">
        <f>AND('SPR BARRANQUILLA'!BM113,"AAAAAF8cvyY=")</f>
        <v>#VALUE!</v>
      </c>
      <c r="AN96" t="e">
        <f>AND('SPR BARRANQUILLA'!BN113,"AAAAAF8cvyc=")</f>
        <v>#VALUE!</v>
      </c>
      <c r="AO96" t="e">
        <f>AND('SPR BARRANQUILLA'!BO113,"AAAAAF8cvyg=")</f>
        <v>#VALUE!</v>
      </c>
      <c r="AP96" t="e">
        <f>AND('SPR BARRANQUILLA'!BP113,"AAAAAF8cvyk=")</f>
        <v>#VALUE!</v>
      </c>
      <c r="AQ96" t="e">
        <f>AND('SPR BARRANQUILLA'!BQ113,"AAAAAF8cvyo=")</f>
        <v>#VALUE!</v>
      </c>
      <c r="AR96" t="e">
        <f>AND('SPR BARRANQUILLA'!BR113,"AAAAAF8cvys=")</f>
        <v>#VALUE!</v>
      </c>
      <c r="AS96" t="e">
        <f>AND('SPR BARRANQUILLA'!BS113,"AAAAAF8cvyw=")</f>
        <v>#VALUE!</v>
      </c>
      <c r="AT96" t="e">
        <f>AND('SPR BARRANQUILLA'!BT113,"AAAAAF8cvy0=")</f>
        <v>#VALUE!</v>
      </c>
      <c r="AU96" t="e">
        <f>AND('SPR BARRANQUILLA'!BU113,"AAAAAF8cvy4=")</f>
        <v>#VALUE!</v>
      </c>
      <c r="AV96" t="e">
        <f>AND('SPR BARRANQUILLA'!BV113,"AAAAAF8cvy8=")</f>
        <v>#VALUE!</v>
      </c>
      <c r="AW96" t="e">
        <f>AND('SPR BARRANQUILLA'!BW113,"AAAAAF8cvzA=")</f>
        <v>#VALUE!</v>
      </c>
      <c r="AX96" t="e">
        <f>AND('SPR BARRANQUILLA'!BX113,"AAAAAF8cvzE=")</f>
        <v>#VALUE!</v>
      </c>
      <c r="AY96" t="e">
        <f>AND('SPR BARRANQUILLA'!BY113,"AAAAAF8cvzI=")</f>
        <v>#VALUE!</v>
      </c>
      <c r="AZ96" t="e">
        <f>AND('SPR BARRANQUILLA'!BZ113,"AAAAAF8cvzM=")</f>
        <v>#VALUE!</v>
      </c>
      <c r="BA96" t="e">
        <f>AND('SPR BARRANQUILLA'!CA113,"AAAAAF8cvzQ=")</f>
        <v>#VALUE!</v>
      </c>
      <c r="BB96" t="e">
        <f>AND('SPR BARRANQUILLA'!CB113,"AAAAAF8cvzU=")</f>
        <v>#VALUE!</v>
      </c>
      <c r="BC96" t="e">
        <f>AND('SPR BARRANQUILLA'!CC113,"AAAAAF8cvzY=")</f>
        <v>#VALUE!</v>
      </c>
      <c r="BD96" t="e">
        <f>AND('SPR BARRANQUILLA'!CD113,"AAAAAF8cvzc=")</f>
        <v>#VALUE!</v>
      </c>
      <c r="BE96" t="e">
        <f>AND('SPR BARRANQUILLA'!CE113,"AAAAAF8cvzg=")</f>
        <v>#VALUE!</v>
      </c>
      <c r="BF96" t="e">
        <f>AND('SPR BARRANQUILLA'!CF113,"AAAAAF8cvzk=")</f>
        <v>#VALUE!</v>
      </c>
      <c r="BG96" t="e">
        <f>AND('SPR BARRANQUILLA'!CG113,"AAAAAF8cvzo=")</f>
        <v>#VALUE!</v>
      </c>
      <c r="BH96" t="e">
        <f>AND('SPR BARRANQUILLA'!CH113,"AAAAAF8cvzs=")</f>
        <v>#VALUE!</v>
      </c>
      <c r="BI96" t="e">
        <f>AND('SPR BARRANQUILLA'!CI113,"AAAAAF8cvzw=")</f>
        <v>#VALUE!</v>
      </c>
      <c r="BJ96" t="e">
        <f>AND('SPR BARRANQUILLA'!CJ113,"AAAAAF8cvz0=")</f>
        <v>#VALUE!</v>
      </c>
      <c r="BK96" t="e">
        <f>AND('SPR BARRANQUILLA'!CK113,"AAAAAF8cvz4=")</f>
        <v>#VALUE!</v>
      </c>
      <c r="BL96" t="e">
        <f>AND('SPR BARRANQUILLA'!CL113,"AAAAAF8cvz8=")</f>
        <v>#VALUE!</v>
      </c>
      <c r="BM96" t="e">
        <f>AND('SPR BARRANQUILLA'!CM113,"AAAAAF8cv0A=")</f>
        <v>#VALUE!</v>
      </c>
      <c r="BN96" t="e">
        <f>AND('SPR BARRANQUILLA'!CN113,"AAAAAF8cv0E=")</f>
        <v>#VALUE!</v>
      </c>
      <c r="BO96" t="e">
        <f>AND('SPR BARRANQUILLA'!CO113,"AAAAAF8cv0I=")</f>
        <v>#VALUE!</v>
      </c>
      <c r="BP96" t="e">
        <f>AND('SPR BARRANQUILLA'!CP113,"AAAAAF8cv0M=")</f>
        <v>#VALUE!</v>
      </c>
      <c r="BQ96" t="e">
        <f>AND('SPR BARRANQUILLA'!CQ113,"AAAAAF8cv0Q=")</f>
        <v>#VALUE!</v>
      </c>
      <c r="BR96" t="e">
        <f>AND('SPR BARRANQUILLA'!CR113,"AAAAAF8cv0U=")</f>
        <v>#VALUE!</v>
      </c>
      <c r="BS96" t="e">
        <f>AND('SPR BARRANQUILLA'!CS113,"AAAAAF8cv0Y=")</f>
        <v>#VALUE!</v>
      </c>
      <c r="BT96" t="e">
        <f>AND('SPR BARRANQUILLA'!CT113,"AAAAAF8cv0c=")</f>
        <v>#VALUE!</v>
      </c>
      <c r="BU96" t="e">
        <f>AND('SPR BARRANQUILLA'!CU113,"AAAAAF8cv0g=")</f>
        <v>#VALUE!</v>
      </c>
      <c r="BV96" t="e">
        <f>AND('SPR BARRANQUILLA'!CV113,"AAAAAF8cv0k=")</f>
        <v>#VALUE!</v>
      </c>
      <c r="BW96" t="e">
        <f>AND('SPR BARRANQUILLA'!CW113,"AAAAAF8cv0o=")</f>
        <v>#VALUE!</v>
      </c>
      <c r="BX96" t="e">
        <f>AND('SPR BARRANQUILLA'!CX113,"AAAAAF8cv0s=")</f>
        <v>#VALUE!</v>
      </c>
      <c r="BY96" t="e">
        <f>AND('SPR BARRANQUILLA'!CY113,"AAAAAF8cv0w=")</f>
        <v>#VALUE!</v>
      </c>
      <c r="BZ96" t="e">
        <f>AND('SPR BARRANQUILLA'!CZ113,"AAAAAF8cv00=")</f>
        <v>#VALUE!</v>
      </c>
      <c r="CA96" t="e">
        <f>AND('SPR BARRANQUILLA'!DA113,"AAAAAF8cv04=")</f>
        <v>#VALUE!</v>
      </c>
      <c r="CB96" t="e">
        <f>AND('SPR BARRANQUILLA'!DB113,"AAAAAF8cv08=")</f>
        <v>#VALUE!</v>
      </c>
      <c r="CC96" t="e">
        <f>AND('SPR BARRANQUILLA'!DC113,"AAAAAF8cv1A=")</f>
        <v>#VALUE!</v>
      </c>
      <c r="CD96" t="e">
        <f>AND('SPR BARRANQUILLA'!DD113,"AAAAAF8cv1E=")</f>
        <v>#VALUE!</v>
      </c>
      <c r="CE96" t="e">
        <f>AND('SPR BARRANQUILLA'!DE113,"AAAAAF8cv1I=")</f>
        <v>#VALUE!</v>
      </c>
      <c r="CF96" t="e">
        <f>AND('SPR BARRANQUILLA'!DF113,"AAAAAF8cv1M=")</f>
        <v>#VALUE!</v>
      </c>
      <c r="CG96" t="e">
        <f>AND('SPR BARRANQUILLA'!DG113,"AAAAAF8cv1Q=")</f>
        <v>#VALUE!</v>
      </c>
      <c r="CH96" t="e">
        <f>AND('SPR BARRANQUILLA'!DH113,"AAAAAF8cv1U=")</f>
        <v>#VALUE!</v>
      </c>
      <c r="CI96" t="e">
        <f>AND('SPR BARRANQUILLA'!DI113,"AAAAAF8cv1Y=")</f>
        <v>#VALUE!</v>
      </c>
      <c r="CJ96" t="e">
        <f>AND('SPR BARRANQUILLA'!DJ113,"AAAAAF8cv1c=")</f>
        <v>#VALUE!</v>
      </c>
      <c r="CK96" t="e">
        <f>AND('SPR BARRANQUILLA'!DK113,"AAAAAF8cv1g=")</f>
        <v>#VALUE!</v>
      </c>
      <c r="CL96" t="e">
        <f>AND('SPR BARRANQUILLA'!DL113,"AAAAAF8cv1k=")</f>
        <v>#VALUE!</v>
      </c>
      <c r="CM96" t="e">
        <f>AND('SPR BARRANQUILLA'!DM113,"AAAAAF8cv1o=")</f>
        <v>#VALUE!</v>
      </c>
      <c r="CN96" t="e">
        <f>AND('SPR BARRANQUILLA'!DN113,"AAAAAF8cv1s=")</f>
        <v>#VALUE!</v>
      </c>
      <c r="CO96" t="e">
        <f>AND('SPR BARRANQUILLA'!DO113,"AAAAAF8cv1w=")</f>
        <v>#VALUE!</v>
      </c>
      <c r="CP96" t="e">
        <f>AND('SPR BARRANQUILLA'!DP113,"AAAAAF8cv10=")</f>
        <v>#VALUE!</v>
      </c>
      <c r="CQ96" t="e">
        <f>AND('SPR BARRANQUILLA'!DQ113,"AAAAAF8cv14=")</f>
        <v>#VALUE!</v>
      </c>
      <c r="CR96" t="e">
        <f>AND('SPR BARRANQUILLA'!DR113,"AAAAAF8cv18=")</f>
        <v>#VALUE!</v>
      </c>
      <c r="CS96" t="e">
        <f>AND('SPR BARRANQUILLA'!DS113,"AAAAAF8cv2A=")</f>
        <v>#VALUE!</v>
      </c>
      <c r="CT96" t="e">
        <f>AND('SPR BARRANQUILLA'!DT113,"AAAAAF8cv2E=")</f>
        <v>#VALUE!</v>
      </c>
      <c r="CU96" t="e">
        <f>AND('SPR BARRANQUILLA'!DU113,"AAAAAF8cv2I=")</f>
        <v>#VALUE!</v>
      </c>
      <c r="CV96" t="e">
        <f>AND('SPR BARRANQUILLA'!DV113,"AAAAAF8cv2M=")</f>
        <v>#VALUE!</v>
      </c>
      <c r="CW96" t="e">
        <f>AND('SPR BARRANQUILLA'!DW113,"AAAAAF8cv2Q=")</f>
        <v>#VALUE!</v>
      </c>
      <c r="CX96" t="e">
        <f>AND('SPR BARRANQUILLA'!DX113,"AAAAAF8cv2U=")</f>
        <v>#VALUE!</v>
      </c>
      <c r="CY96" t="e">
        <f>AND('SPR BARRANQUILLA'!DY113,"AAAAAF8cv2Y=")</f>
        <v>#VALUE!</v>
      </c>
      <c r="CZ96" t="e">
        <f>AND('SPR BARRANQUILLA'!DZ113,"AAAAAF8cv2c=")</f>
        <v>#VALUE!</v>
      </c>
      <c r="DA96" t="e">
        <f>AND('SPR BARRANQUILLA'!EA113,"AAAAAF8cv2g=")</f>
        <v>#VALUE!</v>
      </c>
      <c r="DB96" t="e">
        <f>AND('SPR BARRANQUILLA'!EB113,"AAAAAF8cv2k=")</f>
        <v>#VALUE!</v>
      </c>
      <c r="DC96" t="e">
        <f>AND('SPR BARRANQUILLA'!EC113,"AAAAAF8cv2o=")</f>
        <v>#VALUE!</v>
      </c>
      <c r="DD96" t="e">
        <f>AND('SPR BARRANQUILLA'!ED113,"AAAAAF8cv2s=")</f>
        <v>#VALUE!</v>
      </c>
      <c r="DE96" t="e">
        <f>AND('SPR BARRANQUILLA'!EE113,"AAAAAF8cv2w=")</f>
        <v>#VALUE!</v>
      </c>
      <c r="DF96" t="e">
        <f>AND('SPR BARRANQUILLA'!EF113,"AAAAAF8cv20=")</f>
        <v>#VALUE!</v>
      </c>
      <c r="DG96" t="e">
        <f>AND('SPR BARRANQUILLA'!EG113,"AAAAAF8cv24=")</f>
        <v>#VALUE!</v>
      </c>
      <c r="DH96" t="e">
        <f>AND('SPR BARRANQUILLA'!EH113,"AAAAAF8cv28=")</f>
        <v>#VALUE!</v>
      </c>
      <c r="DI96" t="e">
        <f>AND('SPR BARRANQUILLA'!EI113,"AAAAAF8cv3A=")</f>
        <v>#VALUE!</v>
      </c>
      <c r="DJ96" t="e">
        <f>AND('SPR BARRANQUILLA'!EJ113,"AAAAAF8cv3E=")</f>
        <v>#VALUE!</v>
      </c>
      <c r="DK96" t="e">
        <f>AND('SPR BARRANQUILLA'!EK113,"AAAAAF8cv3I=")</f>
        <v>#VALUE!</v>
      </c>
      <c r="DL96" t="e">
        <f>AND('SPR BARRANQUILLA'!EL113,"AAAAAF8cv3M=")</f>
        <v>#VALUE!</v>
      </c>
      <c r="DM96" t="e">
        <f>AND('SPR BARRANQUILLA'!EM113,"AAAAAF8cv3Q=")</f>
        <v>#VALUE!</v>
      </c>
      <c r="DN96" t="e">
        <f>AND('SPR BARRANQUILLA'!EN113,"AAAAAF8cv3U=")</f>
        <v>#VALUE!</v>
      </c>
      <c r="DO96" t="e">
        <f>AND('SPR BARRANQUILLA'!EO113,"AAAAAF8cv3Y=")</f>
        <v>#VALUE!</v>
      </c>
      <c r="DP96" t="e">
        <f>AND('SPR BARRANQUILLA'!EP113,"AAAAAF8cv3c=")</f>
        <v>#VALUE!</v>
      </c>
      <c r="DQ96" t="e">
        <f>AND('SPR BARRANQUILLA'!EQ113,"AAAAAF8cv3g=")</f>
        <v>#VALUE!</v>
      </c>
      <c r="DR96" t="e">
        <f>AND('SPR BARRANQUILLA'!ER113,"AAAAAF8cv3k=")</f>
        <v>#VALUE!</v>
      </c>
      <c r="DS96" t="e">
        <f>AND('SPR BARRANQUILLA'!ES113,"AAAAAF8cv3o=")</f>
        <v>#VALUE!</v>
      </c>
      <c r="DT96" t="e">
        <f>AND('SPR BARRANQUILLA'!ET113,"AAAAAF8cv3s=")</f>
        <v>#VALUE!</v>
      </c>
      <c r="DU96" t="e">
        <f>AND('SPR BARRANQUILLA'!EU113,"AAAAAF8cv3w=")</f>
        <v>#VALUE!</v>
      </c>
      <c r="DV96" t="e">
        <f>AND('SPR BARRANQUILLA'!EV113,"AAAAAF8cv30=")</f>
        <v>#VALUE!</v>
      </c>
      <c r="DW96" t="e">
        <f>AND('SPR BARRANQUILLA'!EW113,"AAAAAF8cv34=")</f>
        <v>#VALUE!</v>
      </c>
      <c r="DX96" t="e">
        <f>AND('SPR BARRANQUILLA'!EX113,"AAAAAF8cv38=")</f>
        <v>#VALUE!</v>
      </c>
      <c r="DY96" t="e">
        <f>AND('SPR BARRANQUILLA'!EY113,"AAAAAF8cv4A=")</f>
        <v>#VALUE!</v>
      </c>
      <c r="DZ96" t="e">
        <f>AND('SPR BARRANQUILLA'!EZ113,"AAAAAF8cv4E=")</f>
        <v>#VALUE!</v>
      </c>
      <c r="EA96" t="e">
        <f>AND('SPR BARRANQUILLA'!FA113,"AAAAAF8cv4I=")</f>
        <v>#VALUE!</v>
      </c>
      <c r="EB96" t="e">
        <f>AND('SPR BARRANQUILLA'!FB113,"AAAAAF8cv4M=")</f>
        <v>#VALUE!</v>
      </c>
      <c r="EC96" t="e">
        <f>AND('SPR BARRANQUILLA'!FC113,"AAAAAF8cv4Q=")</f>
        <v>#VALUE!</v>
      </c>
      <c r="ED96" t="e">
        <f>AND('SPR BARRANQUILLA'!FD113,"AAAAAF8cv4U=")</f>
        <v>#VALUE!</v>
      </c>
      <c r="EE96" t="e">
        <f>AND('SPR BARRANQUILLA'!FE113,"AAAAAF8cv4Y=")</f>
        <v>#VALUE!</v>
      </c>
      <c r="EF96" t="e">
        <f>AND('SPR BARRANQUILLA'!FF113,"AAAAAF8cv4c=")</f>
        <v>#VALUE!</v>
      </c>
      <c r="EG96" t="e">
        <f>AND('SPR BARRANQUILLA'!FG113,"AAAAAF8cv4g=")</f>
        <v>#VALUE!</v>
      </c>
      <c r="EH96" t="e">
        <f>AND('SPR BARRANQUILLA'!FH113,"AAAAAF8cv4k=")</f>
        <v>#VALUE!</v>
      </c>
      <c r="EI96" t="e">
        <f>AND('SPR BARRANQUILLA'!FI113,"AAAAAF8cv4o=")</f>
        <v>#VALUE!</v>
      </c>
      <c r="EJ96" t="e">
        <f>AND('SPR BARRANQUILLA'!FJ113,"AAAAAF8cv4s=")</f>
        <v>#VALUE!</v>
      </c>
      <c r="EK96" t="e">
        <f>AND('SPR BARRANQUILLA'!FK113,"AAAAAF8cv4w=")</f>
        <v>#VALUE!</v>
      </c>
      <c r="EL96" t="e">
        <f>AND('SPR BARRANQUILLA'!FL113,"AAAAAF8cv40=")</f>
        <v>#VALUE!</v>
      </c>
      <c r="EM96" t="e">
        <f>AND('SPR BARRANQUILLA'!FM113,"AAAAAF8cv44=")</f>
        <v>#VALUE!</v>
      </c>
      <c r="EN96" t="e">
        <f>AND('SPR BARRANQUILLA'!FN113,"AAAAAF8cv48=")</f>
        <v>#VALUE!</v>
      </c>
      <c r="EO96" t="e">
        <f>AND('SPR BARRANQUILLA'!FO113,"AAAAAF8cv5A=")</f>
        <v>#VALUE!</v>
      </c>
      <c r="EP96" t="e">
        <f>AND('SPR BARRANQUILLA'!FP113,"AAAAAF8cv5E=")</f>
        <v>#VALUE!</v>
      </c>
      <c r="EQ96" t="e">
        <f>AND('SPR BARRANQUILLA'!FQ113,"AAAAAF8cv5I=")</f>
        <v>#VALUE!</v>
      </c>
      <c r="ER96" t="e">
        <f>AND('SPR BARRANQUILLA'!FR113,"AAAAAF8cv5M=")</f>
        <v>#VALUE!</v>
      </c>
      <c r="ES96" t="e">
        <f>AND('SPR BARRANQUILLA'!FS113,"AAAAAF8cv5Q=")</f>
        <v>#VALUE!</v>
      </c>
      <c r="ET96" t="e">
        <f>AND('SPR BARRANQUILLA'!FT113,"AAAAAF8cv5U=")</f>
        <v>#VALUE!</v>
      </c>
      <c r="EU96" t="e">
        <f>AND('SPR BARRANQUILLA'!FU113,"AAAAAF8cv5Y=")</f>
        <v>#VALUE!</v>
      </c>
      <c r="EV96" t="e">
        <f>AND('SPR BARRANQUILLA'!FV113,"AAAAAF8cv5c=")</f>
        <v>#VALUE!</v>
      </c>
      <c r="EW96" t="e">
        <f>AND('SPR BARRANQUILLA'!FW113,"AAAAAF8cv5g=")</f>
        <v>#VALUE!</v>
      </c>
      <c r="EX96" t="e">
        <f>AND('SPR BARRANQUILLA'!FX113,"AAAAAF8cv5k=")</f>
        <v>#VALUE!</v>
      </c>
      <c r="EY96" t="e">
        <f>AND('SPR BARRANQUILLA'!FY113,"AAAAAF8cv5o=")</f>
        <v>#VALUE!</v>
      </c>
      <c r="EZ96" t="e">
        <f>AND('SPR BARRANQUILLA'!FZ113,"AAAAAF8cv5s=")</f>
        <v>#VALUE!</v>
      </c>
      <c r="FA96" t="e">
        <f>AND('SPR BARRANQUILLA'!GA113,"AAAAAF8cv5w=")</f>
        <v>#VALUE!</v>
      </c>
      <c r="FB96" t="e">
        <f>AND('SPR BARRANQUILLA'!GB113,"AAAAAF8cv50=")</f>
        <v>#VALUE!</v>
      </c>
      <c r="FC96" t="e">
        <f>AND('SPR BARRANQUILLA'!GC113,"AAAAAF8cv54=")</f>
        <v>#VALUE!</v>
      </c>
      <c r="FD96" t="e">
        <f>AND('SPR BARRANQUILLA'!GD113,"AAAAAF8cv58=")</f>
        <v>#VALUE!</v>
      </c>
      <c r="FE96" t="e">
        <f>AND('SPR BARRANQUILLA'!GE113,"AAAAAF8cv6A=")</f>
        <v>#VALUE!</v>
      </c>
      <c r="FF96" t="e">
        <f>AND('SPR BARRANQUILLA'!GF113,"AAAAAF8cv6E=")</f>
        <v>#VALUE!</v>
      </c>
      <c r="FG96" t="e">
        <f>AND('SPR BARRANQUILLA'!GG113,"AAAAAF8cv6I=")</f>
        <v>#VALUE!</v>
      </c>
      <c r="FH96" t="e">
        <f>AND('SPR BARRANQUILLA'!GH113,"AAAAAF8cv6M=")</f>
        <v>#VALUE!</v>
      </c>
      <c r="FI96" t="e">
        <f>AND('SPR BARRANQUILLA'!GI113,"AAAAAF8cv6Q=")</f>
        <v>#VALUE!</v>
      </c>
      <c r="FJ96" t="e">
        <f>AND('SPR BARRANQUILLA'!GJ113,"AAAAAF8cv6U=")</f>
        <v>#VALUE!</v>
      </c>
      <c r="FK96" t="e">
        <f>AND('SPR BARRANQUILLA'!GK113,"AAAAAF8cv6Y=")</f>
        <v>#VALUE!</v>
      </c>
      <c r="FL96" t="e">
        <f>AND('SPR BARRANQUILLA'!GL113,"AAAAAF8cv6c=")</f>
        <v>#VALUE!</v>
      </c>
      <c r="FM96" t="e">
        <f>AND('SPR BARRANQUILLA'!GM113,"AAAAAF8cv6g=")</f>
        <v>#VALUE!</v>
      </c>
      <c r="FN96" t="e">
        <f>AND('SPR BARRANQUILLA'!GN113,"AAAAAF8cv6k=")</f>
        <v>#VALUE!</v>
      </c>
      <c r="FO96" t="e">
        <f>AND('SPR BARRANQUILLA'!GO113,"AAAAAF8cv6o=")</f>
        <v>#VALUE!</v>
      </c>
      <c r="FP96" t="e">
        <f>AND('SPR BARRANQUILLA'!GP113,"AAAAAF8cv6s=")</f>
        <v>#VALUE!</v>
      </c>
      <c r="FQ96" t="e">
        <f>AND('SPR BARRANQUILLA'!GQ113,"AAAAAF8cv6w=")</f>
        <v>#VALUE!</v>
      </c>
      <c r="FR96" t="e">
        <f>AND('SPR BARRANQUILLA'!GR113,"AAAAAF8cv60=")</f>
        <v>#VALUE!</v>
      </c>
      <c r="FS96" t="e">
        <f>AND('SPR BARRANQUILLA'!GS113,"AAAAAF8cv64=")</f>
        <v>#VALUE!</v>
      </c>
      <c r="FT96" t="e">
        <f>AND('SPR BARRANQUILLA'!GT113,"AAAAAF8cv68=")</f>
        <v>#VALUE!</v>
      </c>
      <c r="FU96" t="e">
        <f>AND('SPR BARRANQUILLA'!GU113,"AAAAAF8cv7A=")</f>
        <v>#VALUE!</v>
      </c>
      <c r="FV96" t="e">
        <f>AND('SPR BARRANQUILLA'!GV113,"AAAAAF8cv7E=")</f>
        <v>#VALUE!</v>
      </c>
      <c r="FW96" t="e">
        <f>AND('SPR BARRANQUILLA'!GW113,"AAAAAF8cv7I=")</f>
        <v>#VALUE!</v>
      </c>
      <c r="FX96" t="e">
        <f>AND('SPR BARRANQUILLA'!GX113,"AAAAAF8cv7M=")</f>
        <v>#VALUE!</v>
      </c>
      <c r="FY96" t="e">
        <f>AND('SPR BARRANQUILLA'!GY113,"AAAAAF8cv7Q=")</f>
        <v>#VALUE!</v>
      </c>
      <c r="FZ96">
        <f>IF('SPR BARRANQUILLA'!114:114,"AAAAAF8cv7U=",0)</f>
        <v>0</v>
      </c>
      <c r="GA96" t="e">
        <f>AND('SPR BARRANQUILLA'!A114,"AAAAAF8cv7Y=")</f>
        <v>#VALUE!</v>
      </c>
      <c r="GB96" t="e">
        <f>AND('SPR BARRANQUILLA'!B114,"AAAAAF8cv7c=")</f>
        <v>#VALUE!</v>
      </c>
      <c r="GC96" t="e">
        <f>AND('SPR BARRANQUILLA'!C114,"AAAAAF8cv7g=")</f>
        <v>#VALUE!</v>
      </c>
      <c r="GD96" t="e">
        <f>AND('SPR BARRANQUILLA'!D114,"AAAAAF8cv7k=")</f>
        <v>#VALUE!</v>
      </c>
      <c r="GE96" t="e">
        <f>AND('SPR BARRANQUILLA'!E114,"AAAAAF8cv7o=")</f>
        <v>#VALUE!</v>
      </c>
      <c r="GF96" t="e">
        <f>AND('SPR BARRANQUILLA'!F114,"AAAAAF8cv7s=")</f>
        <v>#VALUE!</v>
      </c>
      <c r="GG96" t="e">
        <f>AND('SPR BARRANQUILLA'!G114,"AAAAAF8cv7w=")</f>
        <v>#VALUE!</v>
      </c>
      <c r="GH96" t="e">
        <f>AND('SPR BARRANQUILLA'!H114,"AAAAAF8cv70=")</f>
        <v>#VALUE!</v>
      </c>
      <c r="GI96" t="e">
        <f>AND('SPR BARRANQUILLA'!I114,"AAAAAF8cv74=")</f>
        <v>#VALUE!</v>
      </c>
      <c r="GJ96" t="e">
        <f>AND('SPR BARRANQUILLA'!J114,"AAAAAF8cv78=")</f>
        <v>#VALUE!</v>
      </c>
      <c r="GK96" t="e">
        <f>AND('SPR BARRANQUILLA'!K114,"AAAAAF8cv8A=")</f>
        <v>#VALUE!</v>
      </c>
      <c r="GL96" t="e">
        <f>AND('SPR BARRANQUILLA'!L114,"AAAAAF8cv8E=")</f>
        <v>#VALUE!</v>
      </c>
      <c r="GM96" t="e">
        <f>AND('SPR BARRANQUILLA'!M114,"AAAAAF8cv8I=")</f>
        <v>#VALUE!</v>
      </c>
      <c r="GN96" t="e">
        <f>AND('SPR BARRANQUILLA'!N114,"AAAAAF8cv8M=")</f>
        <v>#VALUE!</v>
      </c>
      <c r="GO96" t="e">
        <f>AND('SPR BARRANQUILLA'!O114,"AAAAAF8cv8Q=")</f>
        <v>#VALUE!</v>
      </c>
      <c r="GP96" t="e">
        <f>AND('SPR BARRANQUILLA'!P114,"AAAAAF8cv8U=")</f>
        <v>#VALUE!</v>
      </c>
      <c r="GQ96" t="e">
        <f>AND('SPR BARRANQUILLA'!Q114,"AAAAAF8cv8Y=")</f>
        <v>#VALUE!</v>
      </c>
      <c r="GR96" t="e">
        <f>AND('SPR BARRANQUILLA'!R114,"AAAAAF8cv8c=")</f>
        <v>#VALUE!</v>
      </c>
      <c r="GS96" t="e">
        <f>AND('SPR BARRANQUILLA'!S114,"AAAAAF8cv8g=")</f>
        <v>#VALUE!</v>
      </c>
      <c r="GT96" t="e">
        <f>AND('SPR BARRANQUILLA'!T114,"AAAAAF8cv8k=")</f>
        <v>#VALUE!</v>
      </c>
      <c r="GU96" t="e">
        <f>AND('SPR BARRANQUILLA'!U114,"AAAAAF8cv8o=")</f>
        <v>#VALUE!</v>
      </c>
      <c r="GV96" t="e">
        <f>AND('SPR BARRANQUILLA'!V114,"AAAAAF8cv8s=")</f>
        <v>#VALUE!</v>
      </c>
      <c r="GW96" t="e">
        <f>AND('SPR BARRANQUILLA'!W114,"AAAAAF8cv8w=")</f>
        <v>#VALUE!</v>
      </c>
      <c r="GX96" t="e">
        <f>AND('SPR BARRANQUILLA'!X114,"AAAAAF8cv80=")</f>
        <v>#VALUE!</v>
      </c>
      <c r="GY96" t="e">
        <f>AND('SPR BARRANQUILLA'!Y114,"AAAAAF8cv84=")</f>
        <v>#VALUE!</v>
      </c>
      <c r="GZ96" t="e">
        <f>AND('SPR BARRANQUILLA'!Z114,"AAAAAF8cv88=")</f>
        <v>#VALUE!</v>
      </c>
      <c r="HA96" t="e">
        <f>AND('SPR BARRANQUILLA'!AA114,"AAAAAF8cv9A=")</f>
        <v>#VALUE!</v>
      </c>
      <c r="HB96" t="e">
        <f>AND('SPR BARRANQUILLA'!AB114,"AAAAAF8cv9E=")</f>
        <v>#VALUE!</v>
      </c>
      <c r="HC96" t="e">
        <f>AND('SPR BARRANQUILLA'!AC114,"AAAAAF8cv9I=")</f>
        <v>#VALUE!</v>
      </c>
      <c r="HD96" t="e">
        <f>AND('SPR BARRANQUILLA'!AD114,"AAAAAF8cv9M=")</f>
        <v>#VALUE!</v>
      </c>
      <c r="HE96" t="e">
        <f>AND('SPR BARRANQUILLA'!AE114,"AAAAAF8cv9Q=")</f>
        <v>#VALUE!</v>
      </c>
      <c r="HF96" t="e">
        <f>AND('SPR BARRANQUILLA'!AF114,"AAAAAF8cv9U=")</f>
        <v>#VALUE!</v>
      </c>
      <c r="HG96" t="e">
        <f>AND('SPR BARRANQUILLA'!AG114,"AAAAAF8cv9Y=")</f>
        <v>#VALUE!</v>
      </c>
      <c r="HH96" t="e">
        <f>AND('SPR BARRANQUILLA'!AH114,"AAAAAF8cv9c=")</f>
        <v>#VALUE!</v>
      </c>
      <c r="HI96" t="e">
        <f>AND('SPR BARRANQUILLA'!AI114,"AAAAAF8cv9g=")</f>
        <v>#VALUE!</v>
      </c>
      <c r="HJ96" t="e">
        <f>AND('SPR BARRANQUILLA'!AJ114,"AAAAAF8cv9k=")</f>
        <v>#VALUE!</v>
      </c>
      <c r="HK96" t="e">
        <f>AND('SPR BARRANQUILLA'!AK114,"AAAAAF8cv9o=")</f>
        <v>#VALUE!</v>
      </c>
      <c r="HL96" t="e">
        <f>AND('SPR BARRANQUILLA'!AL114,"AAAAAF8cv9s=")</f>
        <v>#VALUE!</v>
      </c>
      <c r="HM96" t="e">
        <f>AND('SPR BARRANQUILLA'!AM114,"AAAAAF8cv9w=")</f>
        <v>#VALUE!</v>
      </c>
      <c r="HN96" t="e">
        <f>AND('SPR BARRANQUILLA'!AN114,"AAAAAF8cv90=")</f>
        <v>#VALUE!</v>
      </c>
      <c r="HO96" t="e">
        <f>AND('SPR BARRANQUILLA'!AO114,"AAAAAF8cv94=")</f>
        <v>#VALUE!</v>
      </c>
      <c r="HP96" t="e">
        <f>AND('SPR BARRANQUILLA'!AP114,"AAAAAF8cv98=")</f>
        <v>#VALUE!</v>
      </c>
      <c r="HQ96" t="e">
        <f>AND('SPR BARRANQUILLA'!AQ114,"AAAAAF8cv+A=")</f>
        <v>#VALUE!</v>
      </c>
      <c r="HR96" t="e">
        <f>AND('SPR BARRANQUILLA'!AR114,"AAAAAF8cv+E=")</f>
        <v>#VALUE!</v>
      </c>
      <c r="HS96" t="e">
        <f>AND('SPR BARRANQUILLA'!AS114,"AAAAAF8cv+I=")</f>
        <v>#VALUE!</v>
      </c>
      <c r="HT96" t="e">
        <f>AND('SPR BARRANQUILLA'!AT114,"AAAAAF8cv+M=")</f>
        <v>#VALUE!</v>
      </c>
      <c r="HU96" t="e">
        <f>AND('SPR BARRANQUILLA'!AU114,"AAAAAF8cv+Q=")</f>
        <v>#VALUE!</v>
      </c>
      <c r="HV96" t="e">
        <f>AND('SPR BARRANQUILLA'!AV114,"AAAAAF8cv+U=")</f>
        <v>#VALUE!</v>
      </c>
      <c r="HW96" t="e">
        <f>AND('SPR BARRANQUILLA'!AW114,"AAAAAF8cv+Y=")</f>
        <v>#VALUE!</v>
      </c>
      <c r="HX96" t="e">
        <f>AND('SPR BARRANQUILLA'!AX114,"AAAAAF8cv+c=")</f>
        <v>#VALUE!</v>
      </c>
      <c r="HY96" t="e">
        <f>AND('SPR BARRANQUILLA'!AY114,"AAAAAF8cv+g=")</f>
        <v>#VALUE!</v>
      </c>
      <c r="HZ96" t="e">
        <f>AND('SPR BARRANQUILLA'!AZ114,"AAAAAF8cv+k=")</f>
        <v>#VALUE!</v>
      </c>
      <c r="IA96" t="e">
        <f>AND('SPR BARRANQUILLA'!BA114,"AAAAAF8cv+o=")</f>
        <v>#VALUE!</v>
      </c>
      <c r="IB96" t="e">
        <f>AND('SPR BARRANQUILLA'!BB114,"AAAAAF8cv+s=")</f>
        <v>#VALUE!</v>
      </c>
      <c r="IC96" t="e">
        <f>AND('SPR BARRANQUILLA'!BC114,"AAAAAF8cv+w=")</f>
        <v>#VALUE!</v>
      </c>
      <c r="ID96" t="e">
        <f>AND('SPR BARRANQUILLA'!BD114,"AAAAAF8cv+0=")</f>
        <v>#VALUE!</v>
      </c>
      <c r="IE96" t="e">
        <f>AND('SPR BARRANQUILLA'!BE114,"AAAAAF8cv+4=")</f>
        <v>#VALUE!</v>
      </c>
      <c r="IF96" t="e">
        <f>AND('SPR BARRANQUILLA'!BF114,"AAAAAF8cv+8=")</f>
        <v>#VALUE!</v>
      </c>
      <c r="IG96" t="e">
        <f>AND('SPR BARRANQUILLA'!BG114,"AAAAAF8cv/A=")</f>
        <v>#VALUE!</v>
      </c>
      <c r="IH96" t="e">
        <f>AND('SPR BARRANQUILLA'!BH114,"AAAAAF8cv/E=")</f>
        <v>#VALUE!</v>
      </c>
      <c r="II96" t="e">
        <f>AND('SPR BARRANQUILLA'!BI114,"AAAAAF8cv/I=")</f>
        <v>#VALUE!</v>
      </c>
      <c r="IJ96" t="e">
        <f>AND('SPR BARRANQUILLA'!BJ114,"AAAAAF8cv/M=")</f>
        <v>#VALUE!</v>
      </c>
      <c r="IK96" t="e">
        <f>AND('SPR BARRANQUILLA'!BK114,"AAAAAF8cv/Q=")</f>
        <v>#VALUE!</v>
      </c>
      <c r="IL96" t="e">
        <f>AND('SPR BARRANQUILLA'!BL114,"AAAAAF8cv/U=")</f>
        <v>#VALUE!</v>
      </c>
      <c r="IM96" t="e">
        <f>AND('SPR BARRANQUILLA'!BM114,"AAAAAF8cv/Y=")</f>
        <v>#VALUE!</v>
      </c>
      <c r="IN96" t="e">
        <f>AND('SPR BARRANQUILLA'!BN114,"AAAAAF8cv/c=")</f>
        <v>#VALUE!</v>
      </c>
      <c r="IO96" t="e">
        <f>AND('SPR BARRANQUILLA'!BO114,"AAAAAF8cv/g=")</f>
        <v>#VALUE!</v>
      </c>
      <c r="IP96" t="e">
        <f>AND('SPR BARRANQUILLA'!BP114,"AAAAAF8cv/k=")</f>
        <v>#VALUE!</v>
      </c>
      <c r="IQ96" t="e">
        <f>AND('SPR BARRANQUILLA'!BQ114,"AAAAAF8cv/o=")</f>
        <v>#VALUE!</v>
      </c>
      <c r="IR96" t="e">
        <f>AND('SPR BARRANQUILLA'!BR114,"AAAAAF8cv/s=")</f>
        <v>#VALUE!</v>
      </c>
      <c r="IS96" t="e">
        <f>AND('SPR BARRANQUILLA'!BS114,"AAAAAF8cv/w=")</f>
        <v>#VALUE!</v>
      </c>
      <c r="IT96" t="e">
        <f>AND('SPR BARRANQUILLA'!BT114,"AAAAAF8cv/0=")</f>
        <v>#VALUE!</v>
      </c>
      <c r="IU96" t="e">
        <f>AND('SPR BARRANQUILLA'!BU114,"AAAAAF8cv/4=")</f>
        <v>#VALUE!</v>
      </c>
      <c r="IV96" t="e">
        <f>AND('SPR BARRANQUILLA'!BV114,"AAAAAF8cv/8=")</f>
        <v>#VALUE!</v>
      </c>
    </row>
    <row r="97" spans="1:256">
      <c r="A97" t="e">
        <f>AND('SPR BARRANQUILLA'!BW114,"AAAAAH33bwA=")</f>
        <v>#VALUE!</v>
      </c>
      <c r="B97" t="e">
        <f>AND('SPR BARRANQUILLA'!BX114,"AAAAAH33bwE=")</f>
        <v>#VALUE!</v>
      </c>
      <c r="C97" t="e">
        <f>AND('SPR BARRANQUILLA'!BY114,"AAAAAH33bwI=")</f>
        <v>#VALUE!</v>
      </c>
      <c r="D97" t="e">
        <f>AND('SPR BARRANQUILLA'!BZ114,"AAAAAH33bwM=")</f>
        <v>#VALUE!</v>
      </c>
      <c r="E97" t="e">
        <f>AND('SPR BARRANQUILLA'!CA114,"AAAAAH33bwQ=")</f>
        <v>#VALUE!</v>
      </c>
      <c r="F97" t="e">
        <f>AND('SPR BARRANQUILLA'!CB114,"AAAAAH33bwU=")</f>
        <v>#VALUE!</v>
      </c>
      <c r="G97" t="e">
        <f>AND('SPR BARRANQUILLA'!CC114,"AAAAAH33bwY=")</f>
        <v>#VALUE!</v>
      </c>
      <c r="H97" t="e">
        <f>AND('SPR BARRANQUILLA'!CD114,"AAAAAH33bwc=")</f>
        <v>#VALUE!</v>
      </c>
      <c r="I97" t="e">
        <f>AND('SPR BARRANQUILLA'!CE114,"AAAAAH33bwg=")</f>
        <v>#VALUE!</v>
      </c>
      <c r="J97" t="e">
        <f>AND('SPR BARRANQUILLA'!CF114,"AAAAAH33bwk=")</f>
        <v>#VALUE!</v>
      </c>
      <c r="K97" t="e">
        <f>AND('SPR BARRANQUILLA'!CG114,"AAAAAH33bwo=")</f>
        <v>#VALUE!</v>
      </c>
      <c r="L97" t="e">
        <f>AND('SPR BARRANQUILLA'!CH114,"AAAAAH33bws=")</f>
        <v>#VALUE!</v>
      </c>
      <c r="M97" t="e">
        <f>AND('SPR BARRANQUILLA'!CI114,"AAAAAH33bww=")</f>
        <v>#VALUE!</v>
      </c>
      <c r="N97" t="e">
        <f>AND('SPR BARRANQUILLA'!CJ114,"AAAAAH33bw0=")</f>
        <v>#VALUE!</v>
      </c>
      <c r="O97" t="e">
        <f>AND('SPR BARRANQUILLA'!CK114,"AAAAAH33bw4=")</f>
        <v>#VALUE!</v>
      </c>
      <c r="P97" t="e">
        <f>AND('SPR BARRANQUILLA'!CL114,"AAAAAH33bw8=")</f>
        <v>#VALUE!</v>
      </c>
      <c r="Q97" t="e">
        <f>AND('SPR BARRANQUILLA'!CM114,"AAAAAH33bxA=")</f>
        <v>#VALUE!</v>
      </c>
      <c r="R97" t="e">
        <f>AND('SPR BARRANQUILLA'!CN114,"AAAAAH33bxE=")</f>
        <v>#VALUE!</v>
      </c>
      <c r="S97" t="e">
        <f>AND('SPR BARRANQUILLA'!CO114,"AAAAAH33bxI=")</f>
        <v>#VALUE!</v>
      </c>
      <c r="T97" t="e">
        <f>AND('SPR BARRANQUILLA'!CP114,"AAAAAH33bxM=")</f>
        <v>#VALUE!</v>
      </c>
      <c r="U97" t="e">
        <f>AND('SPR BARRANQUILLA'!CQ114,"AAAAAH33bxQ=")</f>
        <v>#VALUE!</v>
      </c>
      <c r="V97" t="e">
        <f>AND('SPR BARRANQUILLA'!CR114,"AAAAAH33bxU=")</f>
        <v>#VALUE!</v>
      </c>
      <c r="W97" t="e">
        <f>AND('SPR BARRANQUILLA'!CS114,"AAAAAH33bxY=")</f>
        <v>#VALUE!</v>
      </c>
      <c r="X97" t="e">
        <f>AND('SPR BARRANQUILLA'!CT114,"AAAAAH33bxc=")</f>
        <v>#VALUE!</v>
      </c>
      <c r="Y97" t="e">
        <f>AND('SPR BARRANQUILLA'!CU114,"AAAAAH33bxg=")</f>
        <v>#VALUE!</v>
      </c>
      <c r="Z97" t="e">
        <f>AND('SPR BARRANQUILLA'!CV114,"AAAAAH33bxk=")</f>
        <v>#VALUE!</v>
      </c>
      <c r="AA97" t="e">
        <f>AND('SPR BARRANQUILLA'!CW114,"AAAAAH33bxo=")</f>
        <v>#VALUE!</v>
      </c>
      <c r="AB97" t="e">
        <f>AND('SPR BARRANQUILLA'!CX114,"AAAAAH33bxs=")</f>
        <v>#VALUE!</v>
      </c>
      <c r="AC97" t="e">
        <f>AND('SPR BARRANQUILLA'!CY114,"AAAAAH33bxw=")</f>
        <v>#VALUE!</v>
      </c>
      <c r="AD97" t="e">
        <f>AND('SPR BARRANQUILLA'!CZ114,"AAAAAH33bx0=")</f>
        <v>#VALUE!</v>
      </c>
      <c r="AE97" t="e">
        <f>AND('SPR BARRANQUILLA'!DA114,"AAAAAH33bx4=")</f>
        <v>#VALUE!</v>
      </c>
      <c r="AF97" t="e">
        <f>AND('SPR BARRANQUILLA'!DB114,"AAAAAH33bx8=")</f>
        <v>#VALUE!</v>
      </c>
      <c r="AG97" t="e">
        <f>AND('SPR BARRANQUILLA'!DC114,"AAAAAH33byA=")</f>
        <v>#VALUE!</v>
      </c>
      <c r="AH97" t="e">
        <f>AND('SPR BARRANQUILLA'!DD114,"AAAAAH33byE=")</f>
        <v>#VALUE!</v>
      </c>
      <c r="AI97" t="e">
        <f>AND('SPR BARRANQUILLA'!DE114,"AAAAAH33byI=")</f>
        <v>#VALUE!</v>
      </c>
      <c r="AJ97" t="e">
        <f>AND('SPR BARRANQUILLA'!DF114,"AAAAAH33byM=")</f>
        <v>#VALUE!</v>
      </c>
      <c r="AK97" t="e">
        <f>AND('SPR BARRANQUILLA'!DG114,"AAAAAH33byQ=")</f>
        <v>#VALUE!</v>
      </c>
      <c r="AL97" t="e">
        <f>AND('SPR BARRANQUILLA'!DH114,"AAAAAH33byU=")</f>
        <v>#VALUE!</v>
      </c>
      <c r="AM97" t="e">
        <f>AND('SPR BARRANQUILLA'!DI114,"AAAAAH33byY=")</f>
        <v>#VALUE!</v>
      </c>
      <c r="AN97" t="e">
        <f>AND('SPR BARRANQUILLA'!DJ114,"AAAAAH33byc=")</f>
        <v>#VALUE!</v>
      </c>
      <c r="AO97" t="e">
        <f>AND('SPR BARRANQUILLA'!DK114,"AAAAAH33byg=")</f>
        <v>#VALUE!</v>
      </c>
      <c r="AP97" t="e">
        <f>AND('SPR BARRANQUILLA'!DL114,"AAAAAH33byk=")</f>
        <v>#VALUE!</v>
      </c>
      <c r="AQ97" t="e">
        <f>AND('SPR BARRANQUILLA'!DM114,"AAAAAH33byo=")</f>
        <v>#VALUE!</v>
      </c>
      <c r="AR97" t="e">
        <f>AND('SPR BARRANQUILLA'!DN114,"AAAAAH33bys=")</f>
        <v>#VALUE!</v>
      </c>
      <c r="AS97" t="e">
        <f>AND('SPR BARRANQUILLA'!DO114,"AAAAAH33byw=")</f>
        <v>#VALUE!</v>
      </c>
      <c r="AT97" t="e">
        <f>AND('SPR BARRANQUILLA'!DP114,"AAAAAH33by0=")</f>
        <v>#VALUE!</v>
      </c>
      <c r="AU97" t="e">
        <f>AND('SPR BARRANQUILLA'!DQ114,"AAAAAH33by4=")</f>
        <v>#VALUE!</v>
      </c>
      <c r="AV97" t="e">
        <f>AND('SPR BARRANQUILLA'!DR114,"AAAAAH33by8=")</f>
        <v>#VALUE!</v>
      </c>
      <c r="AW97" t="e">
        <f>AND('SPR BARRANQUILLA'!DS114,"AAAAAH33bzA=")</f>
        <v>#VALUE!</v>
      </c>
      <c r="AX97" t="e">
        <f>AND('SPR BARRANQUILLA'!DT114,"AAAAAH33bzE=")</f>
        <v>#VALUE!</v>
      </c>
      <c r="AY97" t="e">
        <f>AND('SPR BARRANQUILLA'!DU114,"AAAAAH33bzI=")</f>
        <v>#VALUE!</v>
      </c>
      <c r="AZ97" t="e">
        <f>AND('SPR BARRANQUILLA'!DV114,"AAAAAH33bzM=")</f>
        <v>#VALUE!</v>
      </c>
      <c r="BA97" t="e">
        <f>AND('SPR BARRANQUILLA'!DW114,"AAAAAH33bzQ=")</f>
        <v>#VALUE!</v>
      </c>
      <c r="BB97" t="e">
        <f>AND('SPR BARRANQUILLA'!DX114,"AAAAAH33bzU=")</f>
        <v>#VALUE!</v>
      </c>
      <c r="BC97" t="e">
        <f>AND('SPR BARRANQUILLA'!DY114,"AAAAAH33bzY=")</f>
        <v>#VALUE!</v>
      </c>
      <c r="BD97" t="e">
        <f>AND('SPR BARRANQUILLA'!DZ114,"AAAAAH33bzc=")</f>
        <v>#VALUE!</v>
      </c>
      <c r="BE97" t="e">
        <f>AND('SPR BARRANQUILLA'!EA114,"AAAAAH33bzg=")</f>
        <v>#VALUE!</v>
      </c>
      <c r="BF97" t="e">
        <f>AND('SPR BARRANQUILLA'!EB114,"AAAAAH33bzk=")</f>
        <v>#VALUE!</v>
      </c>
      <c r="BG97" t="e">
        <f>AND('SPR BARRANQUILLA'!EC114,"AAAAAH33bzo=")</f>
        <v>#VALUE!</v>
      </c>
      <c r="BH97" t="e">
        <f>AND('SPR BARRANQUILLA'!ED114,"AAAAAH33bzs=")</f>
        <v>#VALUE!</v>
      </c>
      <c r="BI97" t="e">
        <f>AND('SPR BARRANQUILLA'!EE114,"AAAAAH33bzw=")</f>
        <v>#VALUE!</v>
      </c>
      <c r="BJ97" t="e">
        <f>AND('SPR BARRANQUILLA'!EF114,"AAAAAH33bz0=")</f>
        <v>#VALUE!</v>
      </c>
      <c r="BK97" t="e">
        <f>AND('SPR BARRANQUILLA'!EG114,"AAAAAH33bz4=")</f>
        <v>#VALUE!</v>
      </c>
      <c r="BL97" t="e">
        <f>AND('SPR BARRANQUILLA'!EH114,"AAAAAH33bz8=")</f>
        <v>#VALUE!</v>
      </c>
      <c r="BM97" t="e">
        <f>AND('SPR BARRANQUILLA'!EI114,"AAAAAH33b0A=")</f>
        <v>#VALUE!</v>
      </c>
      <c r="BN97" t="e">
        <f>AND('SPR BARRANQUILLA'!EJ114,"AAAAAH33b0E=")</f>
        <v>#VALUE!</v>
      </c>
      <c r="BO97" t="e">
        <f>AND('SPR BARRANQUILLA'!EK114,"AAAAAH33b0I=")</f>
        <v>#VALUE!</v>
      </c>
      <c r="BP97" t="e">
        <f>AND('SPR BARRANQUILLA'!EL114,"AAAAAH33b0M=")</f>
        <v>#VALUE!</v>
      </c>
      <c r="BQ97" t="e">
        <f>AND('SPR BARRANQUILLA'!EM114,"AAAAAH33b0Q=")</f>
        <v>#VALUE!</v>
      </c>
      <c r="BR97" t="e">
        <f>AND('SPR BARRANQUILLA'!EN114,"AAAAAH33b0U=")</f>
        <v>#VALUE!</v>
      </c>
      <c r="BS97" t="e">
        <f>AND('SPR BARRANQUILLA'!EO114,"AAAAAH33b0Y=")</f>
        <v>#VALUE!</v>
      </c>
      <c r="BT97" t="e">
        <f>AND('SPR BARRANQUILLA'!EP114,"AAAAAH33b0c=")</f>
        <v>#VALUE!</v>
      </c>
      <c r="BU97" t="e">
        <f>AND('SPR BARRANQUILLA'!EQ114,"AAAAAH33b0g=")</f>
        <v>#VALUE!</v>
      </c>
      <c r="BV97" t="e">
        <f>AND('SPR BARRANQUILLA'!ER114,"AAAAAH33b0k=")</f>
        <v>#VALUE!</v>
      </c>
      <c r="BW97" t="e">
        <f>AND('SPR BARRANQUILLA'!ES114,"AAAAAH33b0o=")</f>
        <v>#VALUE!</v>
      </c>
      <c r="BX97" t="e">
        <f>AND('SPR BARRANQUILLA'!ET114,"AAAAAH33b0s=")</f>
        <v>#VALUE!</v>
      </c>
      <c r="BY97" t="e">
        <f>AND('SPR BARRANQUILLA'!EU114,"AAAAAH33b0w=")</f>
        <v>#VALUE!</v>
      </c>
      <c r="BZ97" t="e">
        <f>AND('SPR BARRANQUILLA'!EV114,"AAAAAH33b00=")</f>
        <v>#VALUE!</v>
      </c>
      <c r="CA97" t="e">
        <f>AND('SPR BARRANQUILLA'!EW114,"AAAAAH33b04=")</f>
        <v>#VALUE!</v>
      </c>
      <c r="CB97" t="e">
        <f>AND('SPR BARRANQUILLA'!EX114,"AAAAAH33b08=")</f>
        <v>#VALUE!</v>
      </c>
      <c r="CC97" t="e">
        <f>AND('SPR BARRANQUILLA'!EY114,"AAAAAH33b1A=")</f>
        <v>#VALUE!</v>
      </c>
      <c r="CD97" t="e">
        <f>AND('SPR BARRANQUILLA'!EZ114,"AAAAAH33b1E=")</f>
        <v>#VALUE!</v>
      </c>
      <c r="CE97" t="e">
        <f>AND('SPR BARRANQUILLA'!FA114,"AAAAAH33b1I=")</f>
        <v>#VALUE!</v>
      </c>
      <c r="CF97" t="e">
        <f>AND('SPR BARRANQUILLA'!FB114,"AAAAAH33b1M=")</f>
        <v>#VALUE!</v>
      </c>
      <c r="CG97" t="e">
        <f>AND('SPR BARRANQUILLA'!FC114,"AAAAAH33b1Q=")</f>
        <v>#VALUE!</v>
      </c>
      <c r="CH97" t="e">
        <f>AND('SPR BARRANQUILLA'!FD114,"AAAAAH33b1U=")</f>
        <v>#VALUE!</v>
      </c>
      <c r="CI97" t="e">
        <f>AND('SPR BARRANQUILLA'!FE114,"AAAAAH33b1Y=")</f>
        <v>#VALUE!</v>
      </c>
      <c r="CJ97" t="e">
        <f>AND('SPR BARRANQUILLA'!FF114,"AAAAAH33b1c=")</f>
        <v>#VALUE!</v>
      </c>
      <c r="CK97" t="e">
        <f>AND('SPR BARRANQUILLA'!FG114,"AAAAAH33b1g=")</f>
        <v>#VALUE!</v>
      </c>
      <c r="CL97" t="e">
        <f>AND('SPR BARRANQUILLA'!FH114,"AAAAAH33b1k=")</f>
        <v>#VALUE!</v>
      </c>
      <c r="CM97" t="e">
        <f>AND('SPR BARRANQUILLA'!FI114,"AAAAAH33b1o=")</f>
        <v>#VALUE!</v>
      </c>
      <c r="CN97" t="e">
        <f>AND('SPR BARRANQUILLA'!FJ114,"AAAAAH33b1s=")</f>
        <v>#VALUE!</v>
      </c>
      <c r="CO97" t="e">
        <f>AND('SPR BARRANQUILLA'!FK114,"AAAAAH33b1w=")</f>
        <v>#VALUE!</v>
      </c>
      <c r="CP97" t="e">
        <f>AND('SPR BARRANQUILLA'!FL114,"AAAAAH33b10=")</f>
        <v>#VALUE!</v>
      </c>
      <c r="CQ97" t="e">
        <f>AND('SPR BARRANQUILLA'!FM114,"AAAAAH33b14=")</f>
        <v>#VALUE!</v>
      </c>
      <c r="CR97" t="e">
        <f>AND('SPR BARRANQUILLA'!FN114,"AAAAAH33b18=")</f>
        <v>#VALUE!</v>
      </c>
      <c r="CS97" t="e">
        <f>AND('SPR BARRANQUILLA'!FO114,"AAAAAH33b2A=")</f>
        <v>#VALUE!</v>
      </c>
      <c r="CT97" t="e">
        <f>AND('SPR BARRANQUILLA'!FP114,"AAAAAH33b2E=")</f>
        <v>#VALUE!</v>
      </c>
      <c r="CU97" t="e">
        <f>AND('SPR BARRANQUILLA'!FQ114,"AAAAAH33b2I=")</f>
        <v>#VALUE!</v>
      </c>
      <c r="CV97" t="e">
        <f>AND('SPR BARRANQUILLA'!FR114,"AAAAAH33b2M=")</f>
        <v>#VALUE!</v>
      </c>
      <c r="CW97" t="e">
        <f>AND('SPR BARRANQUILLA'!FS114,"AAAAAH33b2Q=")</f>
        <v>#VALUE!</v>
      </c>
      <c r="CX97" t="e">
        <f>AND('SPR BARRANQUILLA'!FT114,"AAAAAH33b2U=")</f>
        <v>#VALUE!</v>
      </c>
      <c r="CY97" t="e">
        <f>AND('SPR BARRANQUILLA'!FU114,"AAAAAH33b2Y=")</f>
        <v>#VALUE!</v>
      </c>
      <c r="CZ97" t="e">
        <f>AND('SPR BARRANQUILLA'!FV114,"AAAAAH33b2c=")</f>
        <v>#VALUE!</v>
      </c>
      <c r="DA97" t="e">
        <f>AND('SPR BARRANQUILLA'!FW114,"AAAAAH33b2g=")</f>
        <v>#VALUE!</v>
      </c>
      <c r="DB97" t="e">
        <f>AND('SPR BARRANQUILLA'!FX114,"AAAAAH33b2k=")</f>
        <v>#VALUE!</v>
      </c>
      <c r="DC97" t="e">
        <f>AND('SPR BARRANQUILLA'!FY114,"AAAAAH33b2o=")</f>
        <v>#VALUE!</v>
      </c>
      <c r="DD97" t="e">
        <f>AND('SPR BARRANQUILLA'!FZ114,"AAAAAH33b2s=")</f>
        <v>#VALUE!</v>
      </c>
      <c r="DE97" t="e">
        <f>AND('SPR BARRANQUILLA'!GA114,"AAAAAH33b2w=")</f>
        <v>#VALUE!</v>
      </c>
      <c r="DF97" t="e">
        <f>AND('SPR BARRANQUILLA'!GB114,"AAAAAH33b20=")</f>
        <v>#VALUE!</v>
      </c>
      <c r="DG97" t="e">
        <f>AND('SPR BARRANQUILLA'!GC114,"AAAAAH33b24=")</f>
        <v>#VALUE!</v>
      </c>
      <c r="DH97" t="e">
        <f>AND('SPR BARRANQUILLA'!GD114,"AAAAAH33b28=")</f>
        <v>#VALUE!</v>
      </c>
      <c r="DI97" t="e">
        <f>AND('SPR BARRANQUILLA'!GE114,"AAAAAH33b3A=")</f>
        <v>#VALUE!</v>
      </c>
      <c r="DJ97" t="e">
        <f>AND('SPR BARRANQUILLA'!GF114,"AAAAAH33b3E=")</f>
        <v>#VALUE!</v>
      </c>
      <c r="DK97" t="e">
        <f>AND('SPR BARRANQUILLA'!GG114,"AAAAAH33b3I=")</f>
        <v>#VALUE!</v>
      </c>
      <c r="DL97" t="e">
        <f>AND('SPR BARRANQUILLA'!GH114,"AAAAAH33b3M=")</f>
        <v>#VALUE!</v>
      </c>
      <c r="DM97" t="e">
        <f>AND('SPR BARRANQUILLA'!GI114,"AAAAAH33b3Q=")</f>
        <v>#VALUE!</v>
      </c>
      <c r="DN97" t="e">
        <f>AND('SPR BARRANQUILLA'!GJ114,"AAAAAH33b3U=")</f>
        <v>#VALUE!</v>
      </c>
      <c r="DO97" t="e">
        <f>AND('SPR BARRANQUILLA'!GK114,"AAAAAH33b3Y=")</f>
        <v>#VALUE!</v>
      </c>
      <c r="DP97" t="e">
        <f>AND('SPR BARRANQUILLA'!GL114,"AAAAAH33b3c=")</f>
        <v>#VALUE!</v>
      </c>
      <c r="DQ97" t="e">
        <f>AND('SPR BARRANQUILLA'!GM114,"AAAAAH33b3g=")</f>
        <v>#VALUE!</v>
      </c>
      <c r="DR97" t="e">
        <f>AND('SPR BARRANQUILLA'!GN114,"AAAAAH33b3k=")</f>
        <v>#VALUE!</v>
      </c>
      <c r="DS97" t="e">
        <f>AND('SPR BARRANQUILLA'!GO114,"AAAAAH33b3o=")</f>
        <v>#VALUE!</v>
      </c>
      <c r="DT97" t="e">
        <f>AND('SPR BARRANQUILLA'!GP114,"AAAAAH33b3s=")</f>
        <v>#VALUE!</v>
      </c>
      <c r="DU97" t="e">
        <f>AND('SPR BARRANQUILLA'!GQ114,"AAAAAH33b3w=")</f>
        <v>#VALUE!</v>
      </c>
      <c r="DV97" t="e">
        <f>AND('SPR BARRANQUILLA'!GR114,"AAAAAH33b30=")</f>
        <v>#VALUE!</v>
      </c>
      <c r="DW97" t="e">
        <f>AND('SPR BARRANQUILLA'!GS114,"AAAAAH33b34=")</f>
        <v>#VALUE!</v>
      </c>
      <c r="DX97" t="e">
        <f>AND('SPR BARRANQUILLA'!GT114,"AAAAAH33b38=")</f>
        <v>#VALUE!</v>
      </c>
      <c r="DY97" t="e">
        <f>AND('SPR BARRANQUILLA'!GU114,"AAAAAH33b4A=")</f>
        <v>#VALUE!</v>
      </c>
      <c r="DZ97" t="e">
        <f>AND('SPR BARRANQUILLA'!GV114,"AAAAAH33b4E=")</f>
        <v>#VALUE!</v>
      </c>
      <c r="EA97" t="e">
        <f>AND('SPR BARRANQUILLA'!GW114,"AAAAAH33b4I=")</f>
        <v>#VALUE!</v>
      </c>
      <c r="EB97" t="e">
        <f>AND('SPR BARRANQUILLA'!GX114,"AAAAAH33b4M=")</f>
        <v>#VALUE!</v>
      </c>
      <c r="EC97" t="e">
        <f>AND('SPR BARRANQUILLA'!GY114,"AAAAAH33b4Q=")</f>
        <v>#VALUE!</v>
      </c>
      <c r="ED97">
        <f>IF('SPR BARRANQUILLA'!115:115,"AAAAAH33b4U=",0)</f>
        <v>0</v>
      </c>
      <c r="EE97" t="e">
        <f>AND('SPR BARRANQUILLA'!A115,"AAAAAH33b4Y=")</f>
        <v>#VALUE!</v>
      </c>
      <c r="EF97" t="e">
        <f>AND('SPR BARRANQUILLA'!B115,"AAAAAH33b4c=")</f>
        <v>#VALUE!</v>
      </c>
      <c r="EG97" t="e">
        <f>AND('SPR BARRANQUILLA'!C115,"AAAAAH33b4g=")</f>
        <v>#VALUE!</v>
      </c>
      <c r="EH97" t="e">
        <f>AND('SPR BARRANQUILLA'!D115,"AAAAAH33b4k=")</f>
        <v>#VALUE!</v>
      </c>
      <c r="EI97" t="e">
        <f>AND('SPR BARRANQUILLA'!E115,"AAAAAH33b4o=")</f>
        <v>#VALUE!</v>
      </c>
      <c r="EJ97" t="e">
        <f>AND('SPR BARRANQUILLA'!F115,"AAAAAH33b4s=")</f>
        <v>#VALUE!</v>
      </c>
      <c r="EK97" t="e">
        <f>AND('SPR BARRANQUILLA'!G115,"AAAAAH33b4w=")</f>
        <v>#VALUE!</v>
      </c>
      <c r="EL97" t="e">
        <f>AND('SPR BARRANQUILLA'!H115,"AAAAAH33b40=")</f>
        <v>#VALUE!</v>
      </c>
      <c r="EM97" t="e">
        <f>AND('SPR BARRANQUILLA'!I115,"AAAAAH33b44=")</f>
        <v>#VALUE!</v>
      </c>
      <c r="EN97" t="e">
        <f>AND('SPR BARRANQUILLA'!J115,"AAAAAH33b48=")</f>
        <v>#VALUE!</v>
      </c>
      <c r="EO97" t="e">
        <f>AND('SPR BARRANQUILLA'!K115,"AAAAAH33b5A=")</f>
        <v>#VALUE!</v>
      </c>
      <c r="EP97" t="e">
        <f>AND('SPR BARRANQUILLA'!L115,"AAAAAH33b5E=")</f>
        <v>#VALUE!</v>
      </c>
      <c r="EQ97" t="e">
        <f>AND('SPR BARRANQUILLA'!M115,"AAAAAH33b5I=")</f>
        <v>#VALUE!</v>
      </c>
      <c r="ER97" t="e">
        <f>AND('SPR BARRANQUILLA'!N115,"AAAAAH33b5M=")</f>
        <v>#VALUE!</v>
      </c>
      <c r="ES97" t="e">
        <f>AND('SPR BARRANQUILLA'!O115,"AAAAAH33b5Q=")</f>
        <v>#VALUE!</v>
      </c>
      <c r="ET97" t="e">
        <f>AND('SPR BARRANQUILLA'!P115,"AAAAAH33b5U=")</f>
        <v>#VALUE!</v>
      </c>
      <c r="EU97" t="e">
        <f>AND('SPR BARRANQUILLA'!Q115,"AAAAAH33b5Y=")</f>
        <v>#VALUE!</v>
      </c>
      <c r="EV97" t="e">
        <f>AND('SPR BARRANQUILLA'!R115,"AAAAAH33b5c=")</f>
        <v>#VALUE!</v>
      </c>
      <c r="EW97" t="e">
        <f>AND('SPR BARRANQUILLA'!S115,"AAAAAH33b5g=")</f>
        <v>#VALUE!</v>
      </c>
      <c r="EX97" t="e">
        <f>AND('SPR BARRANQUILLA'!T115,"AAAAAH33b5k=")</f>
        <v>#VALUE!</v>
      </c>
      <c r="EY97" t="e">
        <f>AND('SPR BARRANQUILLA'!U115,"AAAAAH33b5o=")</f>
        <v>#VALUE!</v>
      </c>
      <c r="EZ97" t="e">
        <f>AND('SPR BARRANQUILLA'!V115,"AAAAAH33b5s=")</f>
        <v>#VALUE!</v>
      </c>
      <c r="FA97" t="e">
        <f>AND('SPR BARRANQUILLA'!W115,"AAAAAH33b5w=")</f>
        <v>#VALUE!</v>
      </c>
      <c r="FB97" t="e">
        <f>AND('SPR BARRANQUILLA'!X115,"AAAAAH33b50=")</f>
        <v>#VALUE!</v>
      </c>
      <c r="FC97" t="e">
        <f>AND('SPR BARRANQUILLA'!Y115,"AAAAAH33b54=")</f>
        <v>#VALUE!</v>
      </c>
      <c r="FD97" t="e">
        <f>AND('SPR BARRANQUILLA'!Z115,"AAAAAH33b58=")</f>
        <v>#VALUE!</v>
      </c>
      <c r="FE97" t="e">
        <f>AND('SPR BARRANQUILLA'!AA115,"AAAAAH33b6A=")</f>
        <v>#VALUE!</v>
      </c>
      <c r="FF97" t="e">
        <f>AND('SPR BARRANQUILLA'!AB115,"AAAAAH33b6E=")</f>
        <v>#VALUE!</v>
      </c>
      <c r="FG97" t="e">
        <f>AND('SPR BARRANQUILLA'!AC115,"AAAAAH33b6I=")</f>
        <v>#VALUE!</v>
      </c>
      <c r="FH97" t="e">
        <f>AND('SPR BARRANQUILLA'!AD115,"AAAAAH33b6M=")</f>
        <v>#VALUE!</v>
      </c>
      <c r="FI97" t="e">
        <f>AND('SPR BARRANQUILLA'!AE115,"AAAAAH33b6Q=")</f>
        <v>#VALUE!</v>
      </c>
      <c r="FJ97" t="e">
        <f>AND('SPR BARRANQUILLA'!AF115,"AAAAAH33b6U=")</f>
        <v>#VALUE!</v>
      </c>
      <c r="FK97" t="e">
        <f>AND('SPR BARRANQUILLA'!AG115,"AAAAAH33b6Y=")</f>
        <v>#VALUE!</v>
      </c>
      <c r="FL97" t="e">
        <f>AND('SPR BARRANQUILLA'!AH115,"AAAAAH33b6c=")</f>
        <v>#VALUE!</v>
      </c>
      <c r="FM97" t="e">
        <f>AND('SPR BARRANQUILLA'!AI115,"AAAAAH33b6g=")</f>
        <v>#VALUE!</v>
      </c>
      <c r="FN97" t="e">
        <f>AND('SPR BARRANQUILLA'!AJ115,"AAAAAH33b6k=")</f>
        <v>#VALUE!</v>
      </c>
      <c r="FO97" t="e">
        <f>AND('SPR BARRANQUILLA'!AK115,"AAAAAH33b6o=")</f>
        <v>#VALUE!</v>
      </c>
      <c r="FP97" t="e">
        <f>AND('SPR BARRANQUILLA'!AL115,"AAAAAH33b6s=")</f>
        <v>#VALUE!</v>
      </c>
      <c r="FQ97" t="e">
        <f>AND('SPR BARRANQUILLA'!AM115,"AAAAAH33b6w=")</f>
        <v>#VALUE!</v>
      </c>
      <c r="FR97" t="e">
        <f>AND('SPR BARRANQUILLA'!AN115,"AAAAAH33b60=")</f>
        <v>#VALUE!</v>
      </c>
      <c r="FS97" t="e">
        <f>AND('SPR BARRANQUILLA'!AO115,"AAAAAH33b64=")</f>
        <v>#VALUE!</v>
      </c>
      <c r="FT97" t="e">
        <f>AND('SPR BARRANQUILLA'!AP115,"AAAAAH33b68=")</f>
        <v>#VALUE!</v>
      </c>
      <c r="FU97" t="e">
        <f>AND('SPR BARRANQUILLA'!AQ115,"AAAAAH33b7A=")</f>
        <v>#VALUE!</v>
      </c>
      <c r="FV97" t="e">
        <f>AND('SPR BARRANQUILLA'!AR115,"AAAAAH33b7E=")</f>
        <v>#VALUE!</v>
      </c>
      <c r="FW97" t="e">
        <f>AND('SPR BARRANQUILLA'!AS115,"AAAAAH33b7I=")</f>
        <v>#VALUE!</v>
      </c>
      <c r="FX97" t="e">
        <f>AND('SPR BARRANQUILLA'!AT115,"AAAAAH33b7M=")</f>
        <v>#VALUE!</v>
      </c>
      <c r="FY97" t="e">
        <f>AND('SPR BARRANQUILLA'!AU115,"AAAAAH33b7Q=")</f>
        <v>#VALUE!</v>
      </c>
      <c r="FZ97" t="e">
        <f>AND('SPR BARRANQUILLA'!AV115,"AAAAAH33b7U=")</f>
        <v>#VALUE!</v>
      </c>
      <c r="GA97" t="e">
        <f>AND('SPR BARRANQUILLA'!AW115,"AAAAAH33b7Y=")</f>
        <v>#VALUE!</v>
      </c>
      <c r="GB97" t="e">
        <f>AND('SPR BARRANQUILLA'!AX115,"AAAAAH33b7c=")</f>
        <v>#VALUE!</v>
      </c>
      <c r="GC97" t="e">
        <f>AND('SPR BARRANQUILLA'!AY115,"AAAAAH33b7g=")</f>
        <v>#VALUE!</v>
      </c>
      <c r="GD97" t="e">
        <f>AND('SPR BARRANQUILLA'!AZ115,"AAAAAH33b7k=")</f>
        <v>#VALUE!</v>
      </c>
      <c r="GE97" t="e">
        <f>AND('SPR BARRANQUILLA'!BA115,"AAAAAH33b7o=")</f>
        <v>#VALUE!</v>
      </c>
      <c r="GF97" t="e">
        <f>AND('SPR BARRANQUILLA'!BB115,"AAAAAH33b7s=")</f>
        <v>#VALUE!</v>
      </c>
      <c r="GG97" t="e">
        <f>AND('SPR BARRANQUILLA'!BC115,"AAAAAH33b7w=")</f>
        <v>#VALUE!</v>
      </c>
      <c r="GH97" t="e">
        <f>AND('SPR BARRANQUILLA'!BD115,"AAAAAH33b70=")</f>
        <v>#VALUE!</v>
      </c>
      <c r="GI97" t="e">
        <f>AND('SPR BARRANQUILLA'!BE115,"AAAAAH33b74=")</f>
        <v>#VALUE!</v>
      </c>
      <c r="GJ97" t="e">
        <f>AND('SPR BARRANQUILLA'!BF115,"AAAAAH33b78=")</f>
        <v>#VALUE!</v>
      </c>
      <c r="GK97" t="e">
        <f>AND('SPR BARRANQUILLA'!BG115,"AAAAAH33b8A=")</f>
        <v>#VALUE!</v>
      </c>
      <c r="GL97" t="e">
        <f>AND('SPR BARRANQUILLA'!BH115,"AAAAAH33b8E=")</f>
        <v>#VALUE!</v>
      </c>
      <c r="GM97" t="e">
        <f>AND('SPR BARRANQUILLA'!BI115,"AAAAAH33b8I=")</f>
        <v>#VALUE!</v>
      </c>
      <c r="GN97" t="e">
        <f>AND('SPR BARRANQUILLA'!BJ115,"AAAAAH33b8M=")</f>
        <v>#VALUE!</v>
      </c>
      <c r="GO97" t="e">
        <f>AND('SPR BARRANQUILLA'!BK115,"AAAAAH33b8Q=")</f>
        <v>#VALUE!</v>
      </c>
      <c r="GP97" t="e">
        <f>AND('SPR BARRANQUILLA'!BL115,"AAAAAH33b8U=")</f>
        <v>#VALUE!</v>
      </c>
      <c r="GQ97" t="e">
        <f>AND('SPR BARRANQUILLA'!BM115,"AAAAAH33b8Y=")</f>
        <v>#VALUE!</v>
      </c>
      <c r="GR97" t="e">
        <f>AND('SPR BARRANQUILLA'!BN115,"AAAAAH33b8c=")</f>
        <v>#VALUE!</v>
      </c>
      <c r="GS97" t="e">
        <f>AND('SPR BARRANQUILLA'!BO115,"AAAAAH33b8g=")</f>
        <v>#VALUE!</v>
      </c>
      <c r="GT97" t="e">
        <f>AND('SPR BARRANQUILLA'!BP115,"AAAAAH33b8k=")</f>
        <v>#VALUE!</v>
      </c>
      <c r="GU97" t="e">
        <f>AND('SPR BARRANQUILLA'!BQ115,"AAAAAH33b8o=")</f>
        <v>#VALUE!</v>
      </c>
      <c r="GV97" t="e">
        <f>AND('SPR BARRANQUILLA'!BR115,"AAAAAH33b8s=")</f>
        <v>#VALUE!</v>
      </c>
      <c r="GW97" t="e">
        <f>AND('SPR BARRANQUILLA'!BS115,"AAAAAH33b8w=")</f>
        <v>#VALUE!</v>
      </c>
      <c r="GX97" t="e">
        <f>AND('SPR BARRANQUILLA'!BT115,"AAAAAH33b80=")</f>
        <v>#VALUE!</v>
      </c>
      <c r="GY97" t="e">
        <f>AND('SPR BARRANQUILLA'!BU115,"AAAAAH33b84=")</f>
        <v>#VALUE!</v>
      </c>
      <c r="GZ97" t="e">
        <f>AND('SPR BARRANQUILLA'!BV115,"AAAAAH33b88=")</f>
        <v>#VALUE!</v>
      </c>
      <c r="HA97" t="e">
        <f>AND('SPR BARRANQUILLA'!BW115,"AAAAAH33b9A=")</f>
        <v>#VALUE!</v>
      </c>
      <c r="HB97" t="e">
        <f>AND('SPR BARRANQUILLA'!BX115,"AAAAAH33b9E=")</f>
        <v>#VALUE!</v>
      </c>
      <c r="HC97" t="e">
        <f>AND('SPR BARRANQUILLA'!BY115,"AAAAAH33b9I=")</f>
        <v>#VALUE!</v>
      </c>
      <c r="HD97" t="e">
        <f>AND('SPR BARRANQUILLA'!BZ115,"AAAAAH33b9M=")</f>
        <v>#VALUE!</v>
      </c>
      <c r="HE97" t="e">
        <f>AND('SPR BARRANQUILLA'!CA115,"AAAAAH33b9Q=")</f>
        <v>#VALUE!</v>
      </c>
      <c r="HF97" t="e">
        <f>AND('SPR BARRANQUILLA'!CB115,"AAAAAH33b9U=")</f>
        <v>#VALUE!</v>
      </c>
      <c r="HG97" t="e">
        <f>AND('SPR BARRANQUILLA'!CC115,"AAAAAH33b9Y=")</f>
        <v>#VALUE!</v>
      </c>
      <c r="HH97" t="e">
        <f>AND('SPR BARRANQUILLA'!CD115,"AAAAAH33b9c=")</f>
        <v>#VALUE!</v>
      </c>
      <c r="HI97" t="e">
        <f>AND('SPR BARRANQUILLA'!CE115,"AAAAAH33b9g=")</f>
        <v>#VALUE!</v>
      </c>
      <c r="HJ97" t="e">
        <f>AND('SPR BARRANQUILLA'!CF115,"AAAAAH33b9k=")</f>
        <v>#VALUE!</v>
      </c>
      <c r="HK97" t="e">
        <f>AND('SPR BARRANQUILLA'!CG115,"AAAAAH33b9o=")</f>
        <v>#VALUE!</v>
      </c>
      <c r="HL97" t="e">
        <f>AND('SPR BARRANQUILLA'!CH115,"AAAAAH33b9s=")</f>
        <v>#VALUE!</v>
      </c>
      <c r="HM97" t="e">
        <f>AND('SPR BARRANQUILLA'!CI115,"AAAAAH33b9w=")</f>
        <v>#VALUE!</v>
      </c>
      <c r="HN97" t="e">
        <f>AND('SPR BARRANQUILLA'!CJ115,"AAAAAH33b90=")</f>
        <v>#VALUE!</v>
      </c>
      <c r="HO97" t="e">
        <f>AND('SPR BARRANQUILLA'!CK115,"AAAAAH33b94=")</f>
        <v>#VALUE!</v>
      </c>
      <c r="HP97" t="e">
        <f>AND('SPR BARRANQUILLA'!CL115,"AAAAAH33b98=")</f>
        <v>#VALUE!</v>
      </c>
      <c r="HQ97" t="e">
        <f>AND('SPR BARRANQUILLA'!CM115,"AAAAAH33b+A=")</f>
        <v>#VALUE!</v>
      </c>
      <c r="HR97" t="e">
        <f>AND('SPR BARRANQUILLA'!CN115,"AAAAAH33b+E=")</f>
        <v>#VALUE!</v>
      </c>
      <c r="HS97" t="e">
        <f>AND('SPR BARRANQUILLA'!CO115,"AAAAAH33b+I=")</f>
        <v>#VALUE!</v>
      </c>
      <c r="HT97" t="e">
        <f>AND('SPR BARRANQUILLA'!CP115,"AAAAAH33b+M=")</f>
        <v>#VALUE!</v>
      </c>
      <c r="HU97" t="e">
        <f>AND('SPR BARRANQUILLA'!CQ115,"AAAAAH33b+Q=")</f>
        <v>#VALUE!</v>
      </c>
      <c r="HV97" t="e">
        <f>AND('SPR BARRANQUILLA'!CR115,"AAAAAH33b+U=")</f>
        <v>#VALUE!</v>
      </c>
      <c r="HW97" t="e">
        <f>AND('SPR BARRANQUILLA'!CS115,"AAAAAH33b+Y=")</f>
        <v>#VALUE!</v>
      </c>
      <c r="HX97" t="e">
        <f>AND('SPR BARRANQUILLA'!CT115,"AAAAAH33b+c=")</f>
        <v>#VALUE!</v>
      </c>
      <c r="HY97" t="e">
        <f>AND('SPR BARRANQUILLA'!CU115,"AAAAAH33b+g=")</f>
        <v>#VALUE!</v>
      </c>
      <c r="HZ97" t="e">
        <f>AND('SPR BARRANQUILLA'!CV115,"AAAAAH33b+k=")</f>
        <v>#VALUE!</v>
      </c>
      <c r="IA97" t="e">
        <f>AND('SPR BARRANQUILLA'!CW115,"AAAAAH33b+o=")</f>
        <v>#VALUE!</v>
      </c>
      <c r="IB97" t="e">
        <f>AND('SPR BARRANQUILLA'!CX115,"AAAAAH33b+s=")</f>
        <v>#VALUE!</v>
      </c>
      <c r="IC97" t="e">
        <f>AND('SPR BARRANQUILLA'!CY115,"AAAAAH33b+w=")</f>
        <v>#VALUE!</v>
      </c>
      <c r="ID97" t="e">
        <f>AND('SPR BARRANQUILLA'!CZ115,"AAAAAH33b+0=")</f>
        <v>#VALUE!</v>
      </c>
      <c r="IE97" t="e">
        <f>AND('SPR BARRANQUILLA'!DA115,"AAAAAH33b+4=")</f>
        <v>#VALUE!</v>
      </c>
      <c r="IF97" t="e">
        <f>AND('SPR BARRANQUILLA'!DB115,"AAAAAH33b+8=")</f>
        <v>#VALUE!</v>
      </c>
      <c r="IG97" t="e">
        <f>AND('SPR BARRANQUILLA'!DC115,"AAAAAH33b/A=")</f>
        <v>#VALUE!</v>
      </c>
      <c r="IH97" t="e">
        <f>AND('SPR BARRANQUILLA'!DD115,"AAAAAH33b/E=")</f>
        <v>#VALUE!</v>
      </c>
      <c r="II97" t="e">
        <f>AND('SPR BARRANQUILLA'!DE115,"AAAAAH33b/I=")</f>
        <v>#VALUE!</v>
      </c>
      <c r="IJ97" t="e">
        <f>AND('SPR BARRANQUILLA'!DF115,"AAAAAH33b/M=")</f>
        <v>#VALUE!</v>
      </c>
      <c r="IK97" t="e">
        <f>AND('SPR BARRANQUILLA'!DG115,"AAAAAH33b/Q=")</f>
        <v>#VALUE!</v>
      </c>
      <c r="IL97" t="e">
        <f>AND('SPR BARRANQUILLA'!DH115,"AAAAAH33b/U=")</f>
        <v>#VALUE!</v>
      </c>
      <c r="IM97" t="e">
        <f>AND('SPR BARRANQUILLA'!DI115,"AAAAAH33b/Y=")</f>
        <v>#VALUE!</v>
      </c>
      <c r="IN97" t="e">
        <f>AND('SPR BARRANQUILLA'!DJ115,"AAAAAH33b/c=")</f>
        <v>#VALUE!</v>
      </c>
      <c r="IO97" t="e">
        <f>AND('SPR BARRANQUILLA'!DK115,"AAAAAH33b/g=")</f>
        <v>#VALUE!</v>
      </c>
      <c r="IP97" t="e">
        <f>AND('SPR BARRANQUILLA'!DL115,"AAAAAH33b/k=")</f>
        <v>#VALUE!</v>
      </c>
      <c r="IQ97" t="e">
        <f>AND('SPR BARRANQUILLA'!DM115,"AAAAAH33b/o=")</f>
        <v>#VALUE!</v>
      </c>
      <c r="IR97" t="e">
        <f>AND('SPR BARRANQUILLA'!DN115,"AAAAAH33b/s=")</f>
        <v>#VALUE!</v>
      </c>
      <c r="IS97" t="e">
        <f>AND('SPR BARRANQUILLA'!DO115,"AAAAAH33b/w=")</f>
        <v>#VALUE!</v>
      </c>
      <c r="IT97" t="e">
        <f>AND('SPR BARRANQUILLA'!DP115,"AAAAAH33b/0=")</f>
        <v>#VALUE!</v>
      </c>
      <c r="IU97" t="e">
        <f>AND('SPR BARRANQUILLA'!DQ115,"AAAAAH33b/4=")</f>
        <v>#VALUE!</v>
      </c>
      <c r="IV97" t="e">
        <f>AND('SPR BARRANQUILLA'!DR115,"AAAAAH33b/8=")</f>
        <v>#VALUE!</v>
      </c>
    </row>
    <row r="98" spans="1:256">
      <c r="A98" t="e">
        <f>AND('SPR BARRANQUILLA'!DS115,"AAAAAG3+3wA=")</f>
        <v>#VALUE!</v>
      </c>
      <c r="B98" t="e">
        <f>AND('SPR BARRANQUILLA'!DT115,"AAAAAG3+3wE=")</f>
        <v>#VALUE!</v>
      </c>
      <c r="C98" t="e">
        <f>AND('SPR BARRANQUILLA'!DU115,"AAAAAG3+3wI=")</f>
        <v>#VALUE!</v>
      </c>
      <c r="D98" t="e">
        <f>AND('SPR BARRANQUILLA'!DV115,"AAAAAG3+3wM=")</f>
        <v>#VALUE!</v>
      </c>
      <c r="E98" t="e">
        <f>AND('SPR BARRANQUILLA'!DW115,"AAAAAG3+3wQ=")</f>
        <v>#VALUE!</v>
      </c>
      <c r="F98" t="e">
        <f>AND('SPR BARRANQUILLA'!DX115,"AAAAAG3+3wU=")</f>
        <v>#VALUE!</v>
      </c>
      <c r="G98" t="e">
        <f>AND('SPR BARRANQUILLA'!DY115,"AAAAAG3+3wY=")</f>
        <v>#VALUE!</v>
      </c>
      <c r="H98" t="e">
        <f>AND('SPR BARRANQUILLA'!DZ115,"AAAAAG3+3wc=")</f>
        <v>#VALUE!</v>
      </c>
      <c r="I98" t="e">
        <f>AND('SPR BARRANQUILLA'!EA115,"AAAAAG3+3wg=")</f>
        <v>#VALUE!</v>
      </c>
      <c r="J98" t="e">
        <f>AND('SPR BARRANQUILLA'!EB115,"AAAAAG3+3wk=")</f>
        <v>#VALUE!</v>
      </c>
      <c r="K98" t="e">
        <f>AND('SPR BARRANQUILLA'!EC115,"AAAAAG3+3wo=")</f>
        <v>#VALUE!</v>
      </c>
      <c r="L98" t="e">
        <f>AND('SPR BARRANQUILLA'!ED115,"AAAAAG3+3ws=")</f>
        <v>#VALUE!</v>
      </c>
      <c r="M98" t="e">
        <f>AND('SPR BARRANQUILLA'!EE115,"AAAAAG3+3ww=")</f>
        <v>#VALUE!</v>
      </c>
      <c r="N98" t="e">
        <f>AND('SPR BARRANQUILLA'!EF115,"AAAAAG3+3w0=")</f>
        <v>#VALUE!</v>
      </c>
      <c r="O98" t="e">
        <f>AND('SPR BARRANQUILLA'!EG115,"AAAAAG3+3w4=")</f>
        <v>#VALUE!</v>
      </c>
      <c r="P98" t="e">
        <f>AND('SPR BARRANQUILLA'!EH115,"AAAAAG3+3w8=")</f>
        <v>#VALUE!</v>
      </c>
      <c r="Q98" t="e">
        <f>AND('SPR BARRANQUILLA'!EI115,"AAAAAG3+3xA=")</f>
        <v>#VALUE!</v>
      </c>
      <c r="R98" t="e">
        <f>AND('SPR BARRANQUILLA'!EJ115,"AAAAAG3+3xE=")</f>
        <v>#VALUE!</v>
      </c>
      <c r="S98" t="e">
        <f>AND('SPR BARRANQUILLA'!EK115,"AAAAAG3+3xI=")</f>
        <v>#VALUE!</v>
      </c>
      <c r="T98" t="e">
        <f>AND('SPR BARRANQUILLA'!EL115,"AAAAAG3+3xM=")</f>
        <v>#VALUE!</v>
      </c>
      <c r="U98" t="e">
        <f>AND('SPR BARRANQUILLA'!EM115,"AAAAAG3+3xQ=")</f>
        <v>#VALUE!</v>
      </c>
      <c r="V98" t="e">
        <f>AND('SPR BARRANQUILLA'!EN115,"AAAAAG3+3xU=")</f>
        <v>#VALUE!</v>
      </c>
      <c r="W98" t="e">
        <f>AND('SPR BARRANQUILLA'!EO115,"AAAAAG3+3xY=")</f>
        <v>#VALUE!</v>
      </c>
      <c r="X98" t="e">
        <f>AND('SPR BARRANQUILLA'!EP115,"AAAAAG3+3xc=")</f>
        <v>#VALUE!</v>
      </c>
      <c r="Y98" t="e">
        <f>AND('SPR BARRANQUILLA'!EQ115,"AAAAAG3+3xg=")</f>
        <v>#VALUE!</v>
      </c>
      <c r="Z98" t="e">
        <f>AND('SPR BARRANQUILLA'!ER115,"AAAAAG3+3xk=")</f>
        <v>#VALUE!</v>
      </c>
      <c r="AA98" t="e">
        <f>AND('SPR BARRANQUILLA'!ES115,"AAAAAG3+3xo=")</f>
        <v>#VALUE!</v>
      </c>
      <c r="AB98" t="e">
        <f>AND('SPR BARRANQUILLA'!ET115,"AAAAAG3+3xs=")</f>
        <v>#VALUE!</v>
      </c>
      <c r="AC98" t="e">
        <f>AND('SPR BARRANQUILLA'!EU115,"AAAAAG3+3xw=")</f>
        <v>#VALUE!</v>
      </c>
      <c r="AD98" t="e">
        <f>AND('SPR BARRANQUILLA'!EV115,"AAAAAG3+3x0=")</f>
        <v>#VALUE!</v>
      </c>
      <c r="AE98" t="e">
        <f>AND('SPR BARRANQUILLA'!EW115,"AAAAAG3+3x4=")</f>
        <v>#VALUE!</v>
      </c>
      <c r="AF98" t="e">
        <f>AND('SPR BARRANQUILLA'!EX115,"AAAAAG3+3x8=")</f>
        <v>#VALUE!</v>
      </c>
      <c r="AG98" t="e">
        <f>AND('SPR BARRANQUILLA'!EY115,"AAAAAG3+3yA=")</f>
        <v>#VALUE!</v>
      </c>
      <c r="AH98" t="e">
        <f>AND('SPR BARRANQUILLA'!EZ115,"AAAAAG3+3yE=")</f>
        <v>#VALUE!</v>
      </c>
      <c r="AI98" t="e">
        <f>AND('SPR BARRANQUILLA'!FA115,"AAAAAG3+3yI=")</f>
        <v>#VALUE!</v>
      </c>
      <c r="AJ98" t="e">
        <f>AND('SPR BARRANQUILLA'!FB115,"AAAAAG3+3yM=")</f>
        <v>#VALUE!</v>
      </c>
      <c r="AK98" t="e">
        <f>AND('SPR BARRANQUILLA'!FC115,"AAAAAG3+3yQ=")</f>
        <v>#VALUE!</v>
      </c>
      <c r="AL98" t="e">
        <f>AND('SPR BARRANQUILLA'!FD115,"AAAAAG3+3yU=")</f>
        <v>#VALUE!</v>
      </c>
      <c r="AM98" t="e">
        <f>AND('SPR BARRANQUILLA'!FE115,"AAAAAG3+3yY=")</f>
        <v>#VALUE!</v>
      </c>
      <c r="AN98" t="e">
        <f>AND('SPR BARRANQUILLA'!FF115,"AAAAAG3+3yc=")</f>
        <v>#VALUE!</v>
      </c>
      <c r="AO98" t="e">
        <f>AND('SPR BARRANQUILLA'!FG115,"AAAAAG3+3yg=")</f>
        <v>#VALUE!</v>
      </c>
      <c r="AP98" t="e">
        <f>AND('SPR BARRANQUILLA'!FH115,"AAAAAG3+3yk=")</f>
        <v>#VALUE!</v>
      </c>
      <c r="AQ98" t="e">
        <f>AND('SPR BARRANQUILLA'!FI115,"AAAAAG3+3yo=")</f>
        <v>#VALUE!</v>
      </c>
      <c r="AR98" t="e">
        <f>AND('SPR BARRANQUILLA'!FJ115,"AAAAAG3+3ys=")</f>
        <v>#VALUE!</v>
      </c>
      <c r="AS98" t="e">
        <f>AND('SPR BARRANQUILLA'!FK115,"AAAAAG3+3yw=")</f>
        <v>#VALUE!</v>
      </c>
      <c r="AT98" t="e">
        <f>AND('SPR BARRANQUILLA'!FL115,"AAAAAG3+3y0=")</f>
        <v>#VALUE!</v>
      </c>
      <c r="AU98" t="e">
        <f>AND('SPR BARRANQUILLA'!FM115,"AAAAAG3+3y4=")</f>
        <v>#VALUE!</v>
      </c>
      <c r="AV98" t="e">
        <f>AND('SPR BARRANQUILLA'!FN115,"AAAAAG3+3y8=")</f>
        <v>#VALUE!</v>
      </c>
      <c r="AW98" t="e">
        <f>AND('SPR BARRANQUILLA'!FO115,"AAAAAG3+3zA=")</f>
        <v>#VALUE!</v>
      </c>
      <c r="AX98" t="e">
        <f>AND('SPR BARRANQUILLA'!FP115,"AAAAAG3+3zE=")</f>
        <v>#VALUE!</v>
      </c>
      <c r="AY98" t="e">
        <f>AND('SPR BARRANQUILLA'!FQ115,"AAAAAG3+3zI=")</f>
        <v>#VALUE!</v>
      </c>
      <c r="AZ98" t="e">
        <f>AND('SPR BARRANQUILLA'!FR115,"AAAAAG3+3zM=")</f>
        <v>#VALUE!</v>
      </c>
      <c r="BA98" t="e">
        <f>AND('SPR BARRANQUILLA'!FS115,"AAAAAG3+3zQ=")</f>
        <v>#VALUE!</v>
      </c>
      <c r="BB98" t="e">
        <f>AND('SPR BARRANQUILLA'!FT115,"AAAAAG3+3zU=")</f>
        <v>#VALUE!</v>
      </c>
      <c r="BC98" t="e">
        <f>AND('SPR BARRANQUILLA'!FU115,"AAAAAG3+3zY=")</f>
        <v>#VALUE!</v>
      </c>
      <c r="BD98" t="e">
        <f>AND('SPR BARRANQUILLA'!FV115,"AAAAAG3+3zc=")</f>
        <v>#VALUE!</v>
      </c>
      <c r="BE98" t="e">
        <f>AND('SPR BARRANQUILLA'!FW115,"AAAAAG3+3zg=")</f>
        <v>#VALUE!</v>
      </c>
      <c r="BF98" t="e">
        <f>AND('SPR BARRANQUILLA'!FX115,"AAAAAG3+3zk=")</f>
        <v>#VALUE!</v>
      </c>
      <c r="BG98" t="e">
        <f>AND('SPR BARRANQUILLA'!FY115,"AAAAAG3+3zo=")</f>
        <v>#VALUE!</v>
      </c>
      <c r="BH98" t="e">
        <f>AND('SPR BARRANQUILLA'!FZ115,"AAAAAG3+3zs=")</f>
        <v>#VALUE!</v>
      </c>
      <c r="BI98" t="e">
        <f>AND('SPR BARRANQUILLA'!GA115,"AAAAAG3+3zw=")</f>
        <v>#VALUE!</v>
      </c>
      <c r="BJ98" t="e">
        <f>AND('SPR BARRANQUILLA'!GB115,"AAAAAG3+3z0=")</f>
        <v>#VALUE!</v>
      </c>
      <c r="BK98" t="e">
        <f>AND('SPR BARRANQUILLA'!GC115,"AAAAAG3+3z4=")</f>
        <v>#VALUE!</v>
      </c>
      <c r="BL98" t="e">
        <f>AND('SPR BARRANQUILLA'!GD115,"AAAAAG3+3z8=")</f>
        <v>#VALUE!</v>
      </c>
      <c r="BM98" t="e">
        <f>AND('SPR BARRANQUILLA'!GE115,"AAAAAG3+30A=")</f>
        <v>#VALUE!</v>
      </c>
      <c r="BN98" t="e">
        <f>AND('SPR BARRANQUILLA'!GF115,"AAAAAG3+30E=")</f>
        <v>#VALUE!</v>
      </c>
      <c r="BO98" t="e">
        <f>AND('SPR BARRANQUILLA'!GG115,"AAAAAG3+30I=")</f>
        <v>#VALUE!</v>
      </c>
      <c r="BP98" t="e">
        <f>AND('SPR BARRANQUILLA'!GH115,"AAAAAG3+30M=")</f>
        <v>#VALUE!</v>
      </c>
      <c r="BQ98" t="e">
        <f>AND('SPR BARRANQUILLA'!GI115,"AAAAAG3+30Q=")</f>
        <v>#VALUE!</v>
      </c>
      <c r="BR98" t="e">
        <f>AND('SPR BARRANQUILLA'!GJ115,"AAAAAG3+30U=")</f>
        <v>#VALUE!</v>
      </c>
      <c r="BS98" t="e">
        <f>AND('SPR BARRANQUILLA'!GK115,"AAAAAG3+30Y=")</f>
        <v>#VALUE!</v>
      </c>
      <c r="BT98" t="e">
        <f>AND('SPR BARRANQUILLA'!GL115,"AAAAAG3+30c=")</f>
        <v>#VALUE!</v>
      </c>
      <c r="BU98" t="e">
        <f>AND('SPR BARRANQUILLA'!GM115,"AAAAAG3+30g=")</f>
        <v>#VALUE!</v>
      </c>
      <c r="BV98" t="e">
        <f>AND('SPR BARRANQUILLA'!GN115,"AAAAAG3+30k=")</f>
        <v>#VALUE!</v>
      </c>
      <c r="BW98" t="e">
        <f>AND('SPR BARRANQUILLA'!GO115,"AAAAAG3+30o=")</f>
        <v>#VALUE!</v>
      </c>
      <c r="BX98" t="e">
        <f>AND('SPR BARRANQUILLA'!GP115,"AAAAAG3+30s=")</f>
        <v>#VALUE!</v>
      </c>
      <c r="BY98" t="e">
        <f>AND('SPR BARRANQUILLA'!GQ115,"AAAAAG3+30w=")</f>
        <v>#VALUE!</v>
      </c>
      <c r="BZ98" t="e">
        <f>AND('SPR BARRANQUILLA'!GR115,"AAAAAG3+300=")</f>
        <v>#VALUE!</v>
      </c>
      <c r="CA98" t="e">
        <f>AND('SPR BARRANQUILLA'!GS115,"AAAAAG3+304=")</f>
        <v>#VALUE!</v>
      </c>
      <c r="CB98" t="e">
        <f>AND('SPR BARRANQUILLA'!GT115,"AAAAAG3+308=")</f>
        <v>#VALUE!</v>
      </c>
      <c r="CC98" t="e">
        <f>AND('SPR BARRANQUILLA'!GU115,"AAAAAG3+31A=")</f>
        <v>#VALUE!</v>
      </c>
      <c r="CD98" t="e">
        <f>AND('SPR BARRANQUILLA'!GV115,"AAAAAG3+31E=")</f>
        <v>#VALUE!</v>
      </c>
      <c r="CE98" t="e">
        <f>AND('SPR BARRANQUILLA'!GW115,"AAAAAG3+31I=")</f>
        <v>#VALUE!</v>
      </c>
      <c r="CF98" t="e">
        <f>AND('SPR BARRANQUILLA'!GX115,"AAAAAG3+31M=")</f>
        <v>#VALUE!</v>
      </c>
      <c r="CG98" t="e">
        <f>AND('SPR BARRANQUILLA'!GY115,"AAAAAG3+31Q=")</f>
        <v>#VALUE!</v>
      </c>
      <c r="CH98">
        <f>IF('SPR BARRANQUILLA'!116:116,"AAAAAG3+31U=",0)</f>
        <v>0</v>
      </c>
      <c r="CI98" t="e">
        <f>AND('SPR BARRANQUILLA'!A116,"AAAAAG3+31Y=")</f>
        <v>#VALUE!</v>
      </c>
      <c r="CJ98" t="e">
        <f>AND('SPR BARRANQUILLA'!B116,"AAAAAG3+31c=")</f>
        <v>#VALUE!</v>
      </c>
      <c r="CK98" t="e">
        <f>AND('SPR BARRANQUILLA'!C116,"AAAAAG3+31g=")</f>
        <v>#VALUE!</v>
      </c>
      <c r="CL98" t="e">
        <f>AND('SPR BARRANQUILLA'!D116,"AAAAAG3+31k=")</f>
        <v>#VALUE!</v>
      </c>
      <c r="CM98" t="e">
        <f>AND('SPR BARRANQUILLA'!E116,"AAAAAG3+31o=")</f>
        <v>#VALUE!</v>
      </c>
      <c r="CN98" t="e">
        <f>AND('SPR BARRANQUILLA'!F116,"AAAAAG3+31s=")</f>
        <v>#VALUE!</v>
      </c>
      <c r="CO98" t="e">
        <f>AND('SPR BARRANQUILLA'!G116,"AAAAAG3+31w=")</f>
        <v>#VALUE!</v>
      </c>
      <c r="CP98" t="e">
        <f>AND('SPR BARRANQUILLA'!H116,"AAAAAG3+310=")</f>
        <v>#VALUE!</v>
      </c>
      <c r="CQ98" t="e">
        <f>AND('SPR BARRANQUILLA'!I116,"AAAAAG3+314=")</f>
        <v>#VALUE!</v>
      </c>
      <c r="CR98" t="e">
        <f>AND('SPR BARRANQUILLA'!J116,"AAAAAG3+318=")</f>
        <v>#VALUE!</v>
      </c>
      <c r="CS98" t="e">
        <f>AND('SPR BARRANQUILLA'!K116,"AAAAAG3+32A=")</f>
        <v>#VALUE!</v>
      </c>
      <c r="CT98" t="e">
        <f>AND('SPR BARRANQUILLA'!L116,"AAAAAG3+32E=")</f>
        <v>#VALUE!</v>
      </c>
      <c r="CU98" t="e">
        <f>AND('SPR BARRANQUILLA'!M116,"AAAAAG3+32I=")</f>
        <v>#VALUE!</v>
      </c>
      <c r="CV98" t="e">
        <f>AND('SPR BARRANQUILLA'!N116,"AAAAAG3+32M=")</f>
        <v>#VALUE!</v>
      </c>
      <c r="CW98" t="e">
        <f>AND('SPR BARRANQUILLA'!O116,"AAAAAG3+32Q=")</f>
        <v>#VALUE!</v>
      </c>
      <c r="CX98" t="e">
        <f>AND('SPR BARRANQUILLA'!P116,"AAAAAG3+32U=")</f>
        <v>#VALUE!</v>
      </c>
      <c r="CY98" t="e">
        <f>AND('SPR BARRANQUILLA'!Q116,"AAAAAG3+32Y=")</f>
        <v>#VALUE!</v>
      </c>
      <c r="CZ98" t="e">
        <f>AND('SPR BARRANQUILLA'!R116,"AAAAAG3+32c=")</f>
        <v>#VALUE!</v>
      </c>
      <c r="DA98" t="e">
        <f>AND('SPR BARRANQUILLA'!S116,"AAAAAG3+32g=")</f>
        <v>#VALUE!</v>
      </c>
      <c r="DB98" t="e">
        <f>AND('SPR BARRANQUILLA'!T116,"AAAAAG3+32k=")</f>
        <v>#VALUE!</v>
      </c>
      <c r="DC98" t="e">
        <f>AND('SPR BARRANQUILLA'!U116,"AAAAAG3+32o=")</f>
        <v>#VALUE!</v>
      </c>
      <c r="DD98" t="e">
        <f>AND('SPR BARRANQUILLA'!V116,"AAAAAG3+32s=")</f>
        <v>#VALUE!</v>
      </c>
      <c r="DE98" t="e">
        <f>AND('SPR BARRANQUILLA'!W116,"AAAAAG3+32w=")</f>
        <v>#VALUE!</v>
      </c>
      <c r="DF98" t="e">
        <f>AND('SPR BARRANQUILLA'!X116,"AAAAAG3+320=")</f>
        <v>#VALUE!</v>
      </c>
      <c r="DG98" t="e">
        <f>AND('SPR BARRANQUILLA'!Y116,"AAAAAG3+324=")</f>
        <v>#VALUE!</v>
      </c>
      <c r="DH98" t="e">
        <f>AND('SPR BARRANQUILLA'!Z116,"AAAAAG3+328=")</f>
        <v>#VALUE!</v>
      </c>
      <c r="DI98" t="e">
        <f>AND('SPR BARRANQUILLA'!AA116,"AAAAAG3+33A=")</f>
        <v>#VALUE!</v>
      </c>
      <c r="DJ98" t="e">
        <f>AND('SPR BARRANQUILLA'!AB116,"AAAAAG3+33E=")</f>
        <v>#VALUE!</v>
      </c>
      <c r="DK98" t="e">
        <f>AND('SPR BARRANQUILLA'!AC116,"AAAAAG3+33I=")</f>
        <v>#VALUE!</v>
      </c>
      <c r="DL98" t="e">
        <f>AND('SPR BARRANQUILLA'!AD116,"AAAAAG3+33M=")</f>
        <v>#VALUE!</v>
      </c>
      <c r="DM98" t="e">
        <f>AND('SPR BARRANQUILLA'!AE116,"AAAAAG3+33Q=")</f>
        <v>#VALUE!</v>
      </c>
      <c r="DN98" t="e">
        <f>AND('SPR BARRANQUILLA'!AF116,"AAAAAG3+33U=")</f>
        <v>#VALUE!</v>
      </c>
      <c r="DO98" t="e">
        <f>AND('SPR BARRANQUILLA'!AG116,"AAAAAG3+33Y=")</f>
        <v>#VALUE!</v>
      </c>
      <c r="DP98" t="e">
        <f>AND('SPR BARRANQUILLA'!AH116,"AAAAAG3+33c=")</f>
        <v>#VALUE!</v>
      </c>
      <c r="DQ98" t="e">
        <f>AND('SPR BARRANQUILLA'!AI116,"AAAAAG3+33g=")</f>
        <v>#VALUE!</v>
      </c>
      <c r="DR98" t="e">
        <f>AND('SPR BARRANQUILLA'!AJ116,"AAAAAG3+33k=")</f>
        <v>#VALUE!</v>
      </c>
      <c r="DS98" t="e">
        <f>AND('SPR BARRANQUILLA'!AK116,"AAAAAG3+33o=")</f>
        <v>#VALUE!</v>
      </c>
      <c r="DT98" t="e">
        <f>AND('SPR BARRANQUILLA'!AL116,"AAAAAG3+33s=")</f>
        <v>#VALUE!</v>
      </c>
      <c r="DU98" t="e">
        <f>AND('SPR BARRANQUILLA'!AM116,"AAAAAG3+33w=")</f>
        <v>#VALUE!</v>
      </c>
      <c r="DV98" t="e">
        <f>AND('SPR BARRANQUILLA'!AN116,"AAAAAG3+330=")</f>
        <v>#VALUE!</v>
      </c>
      <c r="DW98" t="e">
        <f>AND('SPR BARRANQUILLA'!AO116,"AAAAAG3+334=")</f>
        <v>#VALUE!</v>
      </c>
      <c r="DX98" t="e">
        <f>AND('SPR BARRANQUILLA'!AP116,"AAAAAG3+338=")</f>
        <v>#VALUE!</v>
      </c>
      <c r="DY98" t="e">
        <f>AND('SPR BARRANQUILLA'!AQ116,"AAAAAG3+34A=")</f>
        <v>#VALUE!</v>
      </c>
      <c r="DZ98" t="e">
        <f>AND('SPR BARRANQUILLA'!AR116,"AAAAAG3+34E=")</f>
        <v>#VALUE!</v>
      </c>
      <c r="EA98" t="e">
        <f>AND('SPR BARRANQUILLA'!AS116,"AAAAAG3+34I=")</f>
        <v>#VALUE!</v>
      </c>
      <c r="EB98" t="e">
        <f>AND('SPR BARRANQUILLA'!AT116,"AAAAAG3+34M=")</f>
        <v>#VALUE!</v>
      </c>
      <c r="EC98" t="e">
        <f>AND('SPR BARRANQUILLA'!AU116,"AAAAAG3+34Q=")</f>
        <v>#VALUE!</v>
      </c>
      <c r="ED98" t="e">
        <f>AND('SPR BARRANQUILLA'!AV116,"AAAAAG3+34U=")</f>
        <v>#VALUE!</v>
      </c>
      <c r="EE98" t="e">
        <f>AND('SPR BARRANQUILLA'!AW116,"AAAAAG3+34Y=")</f>
        <v>#VALUE!</v>
      </c>
      <c r="EF98" t="e">
        <f>AND('SPR BARRANQUILLA'!AX116,"AAAAAG3+34c=")</f>
        <v>#VALUE!</v>
      </c>
      <c r="EG98" t="e">
        <f>AND('SPR BARRANQUILLA'!AY116,"AAAAAG3+34g=")</f>
        <v>#VALUE!</v>
      </c>
      <c r="EH98" t="e">
        <f>AND('SPR BARRANQUILLA'!AZ116,"AAAAAG3+34k=")</f>
        <v>#VALUE!</v>
      </c>
      <c r="EI98" t="e">
        <f>AND('SPR BARRANQUILLA'!BA116,"AAAAAG3+34o=")</f>
        <v>#VALUE!</v>
      </c>
      <c r="EJ98" t="e">
        <f>AND('SPR BARRANQUILLA'!BB116,"AAAAAG3+34s=")</f>
        <v>#VALUE!</v>
      </c>
      <c r="EK98" t="e">
        <f>AND('SPR BARRANQUILLA'!BC116,"AAAAAG3+34w=")</f>
        <v>#VALUE!</v>
      </c>
      <c r="EL98" t="e">
        <f>AND('SPR BARRANQUILLA'!BD116,"AAAAAG3+340=")</f>
        <v>#VALUE!</v>
      </c>
      <c r="EM98" t="e">
        <f>AND('SPR BARRANQUILLA'!BE116,"AAAAAG3+344=")</f>
        <v>#VALUE!</v>
      </c>
      <c r="EN98" t="e">
        <f>AND('SPR BARRANQUILLA'!BF116,"AAAAAG3+348=")</f>
        <v>#VALUE!</v>
      </c>
      <c r="EO98" t="e">
        <f>AND('SPR BARRANQUILLA'!BG116,"AAAAAG3+35A=")</f>
        <v>#VALUE!</v>
      </c>
      <c r="EP98" t="e">
        <f>AND('SPR BARRANQUILLA'!BH116,"AAAAAG3+35E=")</f>
        <v>#VALUE!</v>
      </c>
      <c r="EQ98" t="e">
        <f>AND('SPR BARRANQUILLA'!BI116,"AAAAAG3+35I=")</f>
        <v>#VALUE!</v>
      </c>
      <c r="ER98" t="e">
        <f>AND('SPR BARRANQUILLA'!BJ116,"AAAAAG3+35M=")</f>
        <v>#VALUE!</v>
      </c>
      <c r="ES98" t="e">
        <f>AND('SPR BARRANQUILLA'!BK116,"AAAAAG3+35Q=")</f>
        <v>#VALUE!</v>
      </c>
      <c r="ET98" t="e">
        <f>AND('SPR BARRANQUILLA'!BL116,"AAAAAG3+35U=")</f>
        <v>#VALUE!</v>
      </c>
      <c r="EU98" t="e">
        <f>AND('SPR BARRANQUILLA'!BM116,"AAAAAG3+35Y=")</f>
        <v>#VALUE!</v>
      </c>
      <c r="EV98" t="e">
        <f>AND('SPR BARRANQUILLA'!BN116,"AAAAAG3+35c=")</f>
        <v>#VALUE!</v>
      </c>
      <c r="EW98" t="e">
        <f>AND('SPR BARRANQUILLA'!BO116,"AAAAAG3+35g=")</f>
        <v>#VALUE!</v>
      </c>
      <c r="EX98" t="e">
        <f>AND('SPR BARRANQUILLA'!BP116,"AAAAAG3+35k=")</f>
        <v>#VALUE!</v>
      </c>
      <c r="EY98" t="e">
        <f>AND('SPR BARRANQUILLA'!BQ116,"AAAAAG3+35o=")</f>
        <v>#VALUE!</v>
      </c>
      <c r="EZ98" t="e">
        <f>AND('SPR BARRANQUILLA'!BR116,"AAAAAG3+35s=")</f>
        <v>#VALUE!</v>
      </c>
      <c r="FA98" t="e">
        <f>AND('SPR BARRANQUILLA'!BS116,"AAAAAG3+35w=")</f>
        <v>#VALUE!</v>
      </c>
      <c r="FB98" t="e">
        <f>AND('SPR BARRANQUILLA'!BT116,"AAAAAG3+350=")</f>
        <v>#VALUE!</v>
      </c>
      <c r="FC98" t="e">
        <f>AND('SPR BARRANQUILLA'!BU116,"AAAAAG3+354=")</f>
        <v>#VALUE!</v>
      </c>
      <c r="FD98" t="e">
        <f>AND('SPR BARRANQUILLA'!BV116,"AAAAAG3+358=")</f>
        <v>#VALUE!</v>
      </c>
      <c r="FE98" t="e">
        <f>AND('SPR BARRANQUILLA'!BW116,"AAAAAG3+36A=")</f>
        <v>#VALUE!</v>
      </c>
      <c r="FF98" t="e">
        <f>AND('SPR BARRANQUILLA'!BX116,"AAAAAG3+36E=")</f>
        <v>#VALUE!</v>
      </c>
      <c r="FG98" t="e">
        <f>AND('SPR BARRANQUILLA'!BY116,"AAAAAG3+36I=")</f>
        <v>#VALUE!</v>
      </c>
      <c r="FH98" t="e">
        <f>AND('SPR BARRANQUILLA'!BZ116,"AAAAAG3+36M=")</f>
        <v>#VALUE!</v>
      </c>
      <c r="FI98" t="e">
        <f>AND('SPR BARRANQUILLA'!CA116,"AAAAAG3+36Q=")</f>
        <v>#VALUE!</v>
      </c>
      <c r="FJ98" t="e">
        <f>AND('SPR BARRANQUILLA'!CB116,"AAAAAG3+36U=")</f>
        <v>#VALUE!</v>
      </c>
      <c r="FK98" t="e">
        <f>AND('SPR BARRANQUILLA'!CC116,"AAAAAG3+36Y=")</f>
        <v>#VALUE!</v>
      </c>
      <c r="FL98" t="e">
        <f>AND('SPR BARRANQUILLA'!CD116,"AAAAAG3+36c=")</f>
        <v>#VALUE!</v>
      </c>
      <c r="FM98" t="e">
        <f>AND('SPR BARRANQUILLA'!CE116,"AAAAAG3+36g=")</f>
        <v>#VALUE!</v>
      </c>
      <c r="FN98" t="e">
        <f>AND('SPR BARRANQUILLA'!CF116,"AAAAAG3+36k=")</f>
        <v>#VALUE!</v>
      </c>
      <c r="FO98" t="e">
        <f>AND('SPR BARRANQUILLA'!CG116,"AAAAAG3+36o=")</f>
        <v>#VALUE!</v>
      </c>
      <c r="FP98" t="e">
        <f>AND('SPR BARRANQUILLA'!CH116,"AAAAAG3+36s=")</f>
        <v>#VALUE!</v>
      </c>
      <c r="FQ98" t="e">
        <f>AND('SPR BARRANQUILLA'!CI116,"AAAAAG3+36w=")</f>
        <v>#VALUE!</v>
      </c>
      <c r="FR98" t="e">
        <f>AND('SPR BARRANQUILLA'!CJ116,"AAAAAG3+360=")</f>
        <v>#VALUE!</v>
      </c>
      <c r="FS98" t="e">
        <f>AND('SPR BARRANQUILLA'!CK116,"AAAAAG3+364=")</f>
        <v>#VALUE!</v>
      </c>
      <c r="FT98" t="e">
        <f>AND('SPR BARRANQUILLA'!CL116,"AAAAAG3+368=")</f>
        <v>#VALUE!</v>
      </c>
      <c r="FU98" t="e">
        <f>AND('SPR BARRANQUILLA'!CM116,"AAAAAG3+37A=")</f>
        <v>#VALUE!</v>
      </c>
      <c r="FV98" t="e">
        <f>AND('SPR BARRANQUILLA'!CN116,"AAAAAG3+37E=")</f>
        <v>#VALUE!</v>
      </c>
      <c r="FW98" t="e">
        <f>AND('SPR BARRANQUILLA'!CO116,"AAAAAG3+37I=")</f>
        <v>#VALUE!</v>
      </c>
      <c r="FX98" t="e">
        <f>AND('SPR BARRANQUILLA'!CP116,"AAAAAG3+37M=")</f>
        <v>#VALUE!</v>
      </c>
      <c r="FY98" t="e">
        <f>AND('SPR BARRANQUILLA'!CQ116,"AAAAAG3+37Q=")</f>
        <v>#VALUE!</v>
      </c>
      <c r="FZ98" t="e">
        <f>AND('SPR BARRANQUILLA'!CR116,"AAAAAG3+37U=")</f>
        <v>#VALUE!</v>
      </c>
      <c r="GA98" t="e">
        <f>AND('SPR BARRANQUILLA'!CS116,"AAAAAG3+37Y=")</f>
        <v>#VALUE!</v>
      </c>
      <c r="GB98" t="e">
        <f>AND('SPR BARRANQUILLA'!CT116,"AAAAAG3+37c=")</f>
        <v>#VALUE!</v>
      </c>
      <c r="GC98" t="e">
        <f>AND('SPR BARRANQUILLA'!CU116,"AAAAAG3+37g=")</f>
        <v>#VALUE!</v>
      </c>
      <c r="GD98" t="e">
        <f>AND('SPR BARRANQUILLA'!CV116,"AAAAAG3+37k=")</f>
        <v>#VALUE!</v>
      </c>
      <c r="GE98" t="e">
        <f>AND('SPR BARRANQUILLA'!CW116,"AAAAAG3+37o=")</f>
        <v>#VALUE!</v>
      </c>
      <c r="GF98" t="e">
        <f>AND('SPR BARRANQUILLA'!CX116,"AAAAAG3+37s=")</f>
        <v>#VALUE!</v>
      </c>
      <c r="GG98" t="e">
        <f>AND('SPR BARRANQUILLA'!CY116,"AAAAAG3+37w=")</f>
        <v>#VALUE!</v>
      </c>
      <c r="GH98" t="e">
        <f>AND('SPR BARRANQUILLA'!CZ116,"AAAAAG3+370=")</f>
        <v>#VALUE!</v>
      </c>
      <c r="GI98" t="e">
        <f>AND('SPR BARRANQUILLA'!DA116,"AAAAAG3+374=")</f>
        <v>#VALUE!</v>
      </c>
      <c r="GJ98" t="e">
        <f>AND('SPR BARRANQUILLA'!DB116,"AAAAAG3+378=")</f>
        <v>#VALUE!</v>
      </c>
      <c r="GK98" t="e">
        <f>AND('SPR BARRANQUILLA'!DC116,"AAAAAG3+38A=")</f>
        <v>#VALUE!</v>
      </c>
      <c r="GL98" t="e">
        <f>AND('SPR BARRANQUILLA'!DD116,"AAAAAG3+38E=")</f>
        <v>#VALUE!</v>
      </c>
      <c r="GM98" t="e">
        <f>AND('SPR BARRANQUILLA'!DE116,"AAAAAG3+38I=")</f>
        <v>#VALUE!</v>
      </c>
      <c r="GN98" t="e">
        <f>AND('SPR BARRANQUILLA'!DF116,"AAAAAG3+38M=")</f>
        <v>#VALUE!</v>
      </c>
      <c r="GO98" t="e">
        <f>AND('SPR BARRANQUILLA'!DG116,"AAAAAG3+38Q=")</f>
        <v>#VALUE!</v>
      </c>
      <c r="GP98" t="e">
        <f>AND('SPR BARRANQUILLA'!DH116,"AAAAAG3+38U=")</f>
        <v>#VALUE!</v>
      </c>
      <c r="GQ98" t="e">
        <f>AND('SPR BARRANQUILLA'!DI116,"AAAAAG3+38Y=")</f>
        <v>#VALUE!</v>
      </c>
      <c r="GR98" t="e">
        <f>AND('SPR BARRANQUILLA'!DJ116,"AAAAAG3+38c=")</f>
        <v>#VALUE!</v>
      </c>
      <c r="GS98" t="e">
        <f>AND('SPR BARRANQUILLA'!DK116,"AAAAAG3+38g=")</f>
        <v>#VALUE!</v>
      </c>
      <c r="GT98" t="e">
        <f>AND('SPR BARRANQUILLA'!DL116,"AAAAAG3+38k=")</f>
        <v>#VALUE!</v>
      </c>
      <c r="GU98" t="e">
        <f>AND('SPR BARRANQUILLA'!DM116,"AAAAAG3+38o=")</f>
        <v>#VALUE!</v>
      </c>
      <c r="GV98" t="e">
        <f>AND('SPR BARRANQUILLA'!DN116,"AAAAAG3+38s=")</f>
        <v>#VALUE!</v>
      </c>
      <c r="GW98" t="e">
        <f>AND('SPR BARRANQUILLA'!DO116,"AAAAAG3+38w=")</f>
        <v>#VALUE!</v>
      </c>
      <c r="GX98" t="e">
        <f>AND('SPR BARRANQUILLA'!DP116,"AAAAAG3+380=")</f>
        <v>#VALUE!</v>
      </c>
      <c r="GY98" t="e">
        <f>AND('SPR BARRANQUILLA'!DQ116,"AAAAAG3+384=")</f>
        <v>#VALUE!</v>
      </c>
      <c r="GZ98" t="e">
        <f>AND('SPR BARRANQUILLA'!DR116,"AAAAAG3+388=")</f>
        <v>#VALUE!</v>
      </c>
      <c r="HA98" t="e">
        <f>AND('SPR BARRANQUILLA'!DS116,"AAAAAG3+39A=")</f>
        <v>#VALUE!</v>
      </c>
      <c r="HB98" t="e">
        <f>AND('SPR BARRANQUILLA'!DT116,"AAAAAG3+39E=")</f>
        <v>#VALUE!</v>
      </c>
      <c r="HC98" t="e">
        <f>AND('SPR BARRANQUILLA'!DU116,"AAAAAG3+39I=")</f>
        <v>#VALUE!</v>
      </c>
      <c r="HD98" t="e">
        <f>AND('SPR BARRANQUILLA'!DV116,"AAAAAG3+39M=")</f>
        <v>#VALUE!</v>
      </c>
      <c r="HE98" t="e">
        <f>AND('SPR BARRANQUILLA'!DW116,"AAAAAG3+39Q=")</f>
        <v>#VALUE!</v>
      </c>
      <c r="HF98" t="e">
        <f>AND('SPR BARRANQUILLA'!DX116,"AAAAAG3+39U=")</f>
        <v>#VALUE!</v>
      </c>
      <c r="HG98" t="e">
        <f>AND('SPR BARRANQUILLA'!DY116,"AAAAAG3+39Y=")</f>
        <v>#VALUE!</v>
      </c>
      <c r="HH98" t="e">
        <f>AND('SPR BARRANQUILLA'!DZ116,"AAAAAG3+39c=")</f>
        <v>#VALUE!</v>
      </c>
      <c r="HI98" t="e">
        <f>AND('SPR BARRANQUILLA'!EA116,"AAAAAG3+39g=")</f>
        <v>#VALUE!</v>
      </c>
      <c r="HJ98" t="e">
        <f>AND('SPR BARRANQUILLA'!EB116,"AAAAAG3+39k=")</f>
        <v>#VALUE!</v>
      </c>
      <c r="HK98" t="e">
        <f>AND('SPR BARRANQUILLA'!EC116,"AAAAAG3+39o=")</f>
        <v>#VALUE!</v>
      </c>
      <c r="HL98" t="e">
        <f>AND('SPR BARRANQUILLA'!ED116,"AAAAAG3+39s=")</f>
        <v>#VALUE!</v>
      </c>
      <c r="HM98" t="e">
        <f>AND('SPR BARRANQUILLA'!EE116,"AAAAAG3+39w=")</f>
        <v>#VALUE!</v>
      </c>
      <c r="HN98" t="e">
        <f>AND('SPR BARRANQUILLA'!EF116,"AAAAAG3+390=")</f>
        <v>#VALUE!</v>
      </c>
      <c r="HO98" t="e">
        <f>AND('SPR BARRANQUILLA'!EG116,"AAAAAG3+394=")</f>
        <v>#VALUE!</v>
      </c>
      <c r="HP98" t="e">
        <f>AND('SPR BARRANQUILLA'!EH116,"AAAAAG3+398=")</f>
        <v>#VALUE!</v>
      </c>
      <c r="HQ98" t="e">
        <f>AND('SPR BARRANQUILLA'!EI116,"AAAAAG3+3+A=")</f>
        <v>#VALUE!</v>
      </c>
      <c r="HR98" t="e">
        <f>AND('SPR BARRANQUILLA'!EJ116,"AAAAAG3+3+E=")</f>
        <v>#VALUE!</v>
      </c>
      <c r="HS98" t="e">
        <f>AND('SPR BARRANQUILLA'!EK116,"AAAAAG3+3+I=")</f>
        <v>#VALUE!</v>
      </c>
      <c r="HT98" t="e">
        <f>AND('SPR BARRANQUILLA'!EL116,"AAAAAG3+3+M=")</f>
        <v>#VALUE!</v>
      </c>
      <c r="HU98" t="e">
        <f>AND('SPR BARRANQUILLA'!EM116,"AAAAAG3+3+Q=")</f>
        <v>#VALUE!</v>
      </c>
      <c r="HV98" t="e">
        <f>AND('SPR BARRANQUILLA'!EN116,"AAAAAG3+3+U=")</f>
        <v>#VALUE!</v>
      </c>
      <c r="HW98" t="e">
        <f>AND('SPR BARRANQUILLA'!EO116,"AAAAAG3+3+Y=")</f>
        <v>#VALUE!</v>
      </c>
      <c r="HX98" t="e">
        <f>AND('SPR BARRANQUILLA'!EP116,"AAAAAG3+3+c=")</f>
        <v>#VALUE!</v>
      </c>
      <c r="HY98" t="e">
        <f>AND('SPR BARRANQUILLA'!EQ116,"AAAAAG3+3+g=")</f>
        <v>#VALUE!</v>
      </c>
      <c r="HZ98" t="e">
        <f>AND('SPR BARRANQUILLA'!ER116,"AAAAAG3+3+k=")</f>
        <v>#VALUE!</v>
      </c>
      <c r="IA98" t="e">
        <f>AND('SPR BARRANQUILLA'!ES116,"AAAAAG3+3+o=")</f>
        <v>#VALUE!</v>
      </c>
      <c r="IB98" t="e">
        <f>AND('SPR BARRANQUILLA'!ET116,"AAAAAG3+3+s=")</f>
        <v>#VALUE!</v>
      </c>
      <c r="IC98" t="e">
        <f>AND('SPR BARRANQUILLA'!EU116,"AAAAAG3+3+w=")</f>
        <v>#VALUE!</v>
      </c>
      <c r="ID98" t="e">
        <f>AND('SPR BARRANQUILLA'!EV116,"AAAAAG3+3+0=")</f>
        <v>#VALUE!</v>
      </c>
      <c r="IE98" t="e">
        <f>AND('SPR BARRANQUILLA'!EW116,"AAAAAG3+3+4=")</f>
        <v>#VALUE!</v>
      </c>
      <c r="IF98" t="e">
        <f>AND('SPR BARRANQUILLA'!EX116,"AAAAAG3+3+8=")</f>
        <v>#VALUE!</v>
      </c>
      <c r="IG98" t="e">
        <f>AND('SPR BARRANQUILLA'!EY116,"AAAAAG3+3/A=")</f>
        <v>#VALUE!</v>
      </c>
      <c r="IH98" t="e">
        <f>AND('SPR BARRANQUILLA'!EZ116,"AAAAAG3+3/E=")</f>
        <v>#VALUE!</v>
      </c>
      <c r="II98" t="e">
        <f>AND('SPR BARRANQUILLA'!FA116,"AAAAAG3+3/I=")</f>
        <v>#VALUE!</v>
      </c>
      <c r="IJ98" t="e">
        <f>AND('SPR BARRANQUILLA'!FB116,"AAAAAG3+3/M=")</f>
        <v>#VALUE!</v>
      </c>
      <c r="IK98" t="e">
        <f>AND('SPR BARRANQUILLA'!FC116,"AAAAAG3+3/Q=")</f>
        <v>#VALUE!</v>
      </c>
      <c r="IL98" t="e">
        <f>AND('SPR BARRANQUILLA'!FD116,"AAAAAG3+3/U=")</f>
        <v>#VALUE!</v>
      </c>
      <c r="IM98" t="e">
        <f>AND('SPR BARRANQUILLA'!FE116,"AAAAAG3+3/Y=")</f>
        <v>#VALUE!</v>
      </c>
      <c r="IN98" t="e">
        <f>AND('SPR BARRANQUILLA'!FF116,"AAAAAG3+3/c=")</f>
        <v>#VALUE!</v>
      </c>
      <c r="IO98" t="e">
        <f>AND('SPR BARRANQUILLA'!FG116,"AAAAAG3+3/g=")</f>
        <v>#VALUE!</v>
      </c>
      <c r="IP98" t="e">
        <f>AND('SPR BARRANQUILLA'!FH116,"AAAAAG3+3/k=")</f>
        <v>#VALUE!</v>
      </c>
      <c r="IQ98" t="e">
        <f>AND('SPR BARRANQUILLA'!FI116,"AAAAAG3+3/o=")</f>
        <v>#VALUE!</v>
      </c>
      <c r="IR98" t="e">
        <f>AND('SPR BARRANQUILLA'!FJ116,"AAAAAG3+3/s=")</f>
        <v>#VALUE!</v>
      </c>
      <c r="IS98" t="e">
        <f>AND('SPR BARRANQUILLA'!FK116,"AAAAAG3+3/w=")</f>
        <v>#VALUE!</v>
      </c>
      <c r="IT98" t="e">
        <f>AND('SPR BARRANQUILLA'!FL116,"AAAAAG3+3/0=")</f>
        <v>#VALUE!</v>
      </c>
      <c r="IU98" t="e">
        <f>AND('SPR BARRANQUILLA'!FM116,"AAAAAG3+3/4=")</f>
        <v>#VALUE!</v>
      </c>
      <c r="IV98" t="e">
        <f>AND('SPR BARRANQUILLA'!FN116,"AAAAAG3+3/8=")</f>
        <v>#VALUE!</v>
      </c>
    </row>
    <row r="99" spans="1:256">
      <c r="A99" t="e">
        <f>AND('SPR BARRANQUILLA'!FO116,"AAAAAG93PgA=")</f>
        <v>#VALUE!</v>
      </c>
      <c r="B99" t="e">
        <f>AND('SPR BARRANQUILLA'!FP116,"AAAAAG93PgE=")</f>
        <v>#VALUE!</v>
      </c>
      <c r="C99" t="e">
        <f>AND('SPR BARRANQUILLA'!FQ116,"AAAAAG93PgI=")</f>
        <v>#VALUE!</v>
      </c>
      <c r="D99" t="e">
        <f>AND('SPR BARRANQUILLA'!FR116,"AAAAAG93PgM=")</f>
        <v>#VALUE!</v>
      </c>
      <c r="E99" t="e">
        <f>AND('SPR BARRANQUILLA'!FS116,"AAAAAG93PgQ=")</f>
        <v>#VALUE!</v>
      </c>
      <c r="F99" t="e">
        <f>AND('SPR BARRANQUILLA'!FT116,"AAAAAG93PgU=")</f>
        <v>#VALUE!</v>
      </c>
      <c r="G99" t="e">
        <f>AND('SPR BARRANQUILLA'!FU116,"AAAAAG93PgY=")</f>
        <v>#VALUE!</v>
      </c>
      <c r="H99" t="e">
        <f>AND('SPR BARRANQUILLA'!FV116,"AAAAAG93Pgc=")</f>
        <v>#VALUE!</v>
      </c>
      <c r="I99" t="e">
        <f>AND('SPR BARRANQUILLA'!FW116,"AAAAAG93Pgg=")</f>
        <v>#VALUE!</v>
      </c>
      <c r="J99" t="e">
        <f>AND('SPR BARRANQUILLA'!FX116,"AAAAAG93Pgk=")</f>
        <v>#VALUE!</v>
      </c>
      <c r="K99" t="e">
        <f>AND('SPR BARRANQUILLA'!FY116,"AAAAAG93Pgo=")</f>
        <v>#VALUE!</v>
      </c>
      <c r="L99" t="e">
        <f>AND('SPR BARRANQUILLA'!FZ116,"AAAAAG93Pgs=")</f>
        <v>#VALUE!</v>
      </c>
      <c r="M99" t="e">
        <f>AND('SPR BARRANQUILLA'!GA116,"AAAAAG93Pgw=")</f>
        <v>#VALUE!</v>
      </c>
      <c r="N99" t="e">
        <f>AND('SPR BARRANQUILLA'!GB116,"AAAAAG93Pg0=")</f>
        <v>#VALUE!</v>
      </c>
      <c r="O99" t="e">
        <f>AND('SPR BARRANQUILLA'!GC116,"AAAAAG93Pg4=")</f>
        <v>#VALUE!</v>
      </c>
      <c r="P99" t="e">
        <f>AND('SPR BARRANQUILLA'!GD116,"AAAAAG93Pg8=")</f>
        <v>#VALUE!</v>
      </c>
      <c r="Q99" t="e">
        <f>AND('SPR BARRANQUILLA'!GE116,"AAAAAG93PhA=")</f>
        <v>#VALUE!</v>
      </c>
      <c r="R99" t="e">
        <f>AND('SPR BARRANQUILLA'!GF116,"AAAAAG93PhE=")</f>
        <v>#VALUE!</v>
      </c>
      <c r="S99" t="e">
        <f>AND('SPR BARRANQUILLA'!GG116,"AAAAAG93PhI=")</f>
        <v>#VALUE!</v>
      </c>
      <c r="T99" t="e">
        <f>AND('SPR BARRANQUILLA'!GH116,"AAAAAG93PhM=")</f>
        <v>#VALUE!</v>
      </c>
      <c r="U99" t="e">
        <f>AND('SPR BARRANQUILLA'!GI116,"AAAAAG93PhQ=")</f>
        <v>#VALUE!</v>
      </c>
      <c r="V99" t="e">
        <f>AND('SPR BARRANQUILLA'!GJ116,"AAAAAG93PhU=")</f>
        <v>#VALUE!</v>
      </c>
      <c r="W99" t="e">
        <f>AND('SPR BARRANQUILLA'!GK116,"AAAAAG93PhY=")</f>
        <v>#VALUE!</v>
      </c>
      <c r="X99" t="e">
        <f>AND('SPR BARRANQUILLA'!GL116,"AAAAAG93Phc=")</f>
        <v>#VALUE!</v>
      </c>
      <c r="Y99" t="e">
        <f>AND('SPR BARRANQUILLA'!GM116,"AAAAAG93Phg=")</f>
        <v>#VALUE!</v>
      </c>
      <c r="Z99" t="e">
        <f>AND('SPR BARRANQUILLA'!GN116,"AAAAAG93Phk=")</f>
        <v>#VALUE!</v>
      </c>
      <c r="AA99" t="e">
        <f>AND('SPR BARRANQUILLA'!GO116,"AAAAAG93Pho=")</f>
        <v>#VALUE!</v>
      </c>
      <c r="AB99" t="e">
        <f>AND('SPR BARRANQUILLA'!GP116,"AAAAAG93Phs=")</f>
        <v>#VALUE!</v>
      </c>
      <c r="AC99" t="e">
        <f>AND('SPR BARRANQUILLA'!GQ116,"AAAAAG93Phw=")</f>
        <v>#VALUE!</v>
      </c>
      <c r="AD99" t="e">
        <f>AND('SPR BARRANQUILLA'!GR116,"AAAAAG93Ph0=")</f>
        <v>#VALUE!</v>
      </c>
      <c r="AE99" t="e">
        <f>AND('SPR BARRANQUILLA'!GS116,"AAAAAG93Ph4=")</f>
        <v>#VALUE!</v>
      </c>
      <c r="AF99" t="e">
        <f>AND('SPR BARRANQUILLA'!GT116,"AAAAAG93Ph8=")</f>
        <v>#VALUE!</v>
      </c>
      <c r="AG99" t="e">
        <f>AND('SPR BARRANQUILLA'!GU116,"AAAAAG93PiA=")</f>
        <v>#VALUE!</v>
      </c>
      <c r="AH99" t="e">
        <f>AND('SPR BARRANQUILLA'!GV116,"AAAAAG93PiE=")</f>
        <v>#VALUE!</v>
      </c>
      <c r="AI99" t="e">
        <f>AND('SPR BARRANQUILLA'!GW116,"AAAAAG93PiI=")</f>
        <v>#VALUE!</v>
      </c>
      <c r="AJ99" t="e">
        <f>AND('SPR BARRANQUILLA'!GX116,"AAAAAG93PiM=")</f>
        <v>#VALUE!</v>
      </c>
      <c r="AK99" t="e">
        <f>AND('SPR BARRANQUILLA'!GY116,"AAAAAG93PiQ=")</f>
        <v>#VALUE!</v>
      </c>
      <c r="AL99">
        <f>IF('SPR BARRANQUILLA'!117:117,"AAAAAG93PiU=",0)</f>
        <v>0</v>
      </c>
      <c r="AM99" t="e">
        <f>AND('SPR BARRANQUILLA'!A117,"AAAAAG93PiY=")</f>
        <v>#VALUE!</v>
      </c>
      <c r="AN99" t="e">
        <f>AND('SPR BARRANQUILLA'!B117,"AAAAAG93Pic=")</f>
        <v>#VALUE!</v>
      </c>
      <c r="AO99" t="e">
        <f>AND('SPR BARRANQUILLA'!C117,"AAAAAG93Pig=")</f>
        <v>#VALUE!</v>
      </c>
      <c r="AP99" t="e">
        <f>AND('SPR BARRANQUILLA'!D117,"AAAAAG93Pik=")</f>
        <v>#VALUE!</v>
      </c>
      <c r="AQ99" t="e">
        <f>AND('SPR BARRANQUILLA'!E117,"AAAAAG93Pio=")</f>
        <v>#VALUE!</v>
      </c>
      <c r="AR99" t="e">
        <f>AND('SPR BARRANQUILLA'!F117,"AAAAAG93Pis=")</f>
        <v>#VALUE!</v>
      </c>
      <c r="AS99" t="e">
        <f>AND('SPR BARRANQUILLA'!G117,"AAAAAG93Piw=")</f>
        <v>#VALUE!</v>
      </c>
      <c r="AT99" t="e">
        <f>AND('SPR BARRANQUILLA'!H117,"AAAAAG93Pi0=")</f>
        <v>#VALUE!</v>
      </c>
      <c r="AU99" t="e">
        <f>AND('SPR BARRANQUILLA'!I117,"AAAAAG93Pi4=")</f>
        <v>#VALUE!</v>
      </c>
      <c r="AV99" t="e">
        <f>AND('SPR BARRANQUILLA'!J117,"AAAAAG93Pi8=")</f>
        <v>#VALUE!</v>
      </c>
      <c r="AW99" t="e">
        <f>AND('SPR BARRANQUILLA'!K117,"AAAAAG93PjA=")</f>
        <v>#VALUE!</v>
      </c>
      <c r="AX99" t="e">
        <f>AND('SPR BARRANQUILLA'!L117,"AAAAAG93PjE=")</f>
        <v>#VALUE!</v>
      </c>
      <c r="AY99" t="e">
        <f>AND('SPR BARRANQUILLA'!M117,"AAAAAG93PjI=")</f>
        <v>#VALUE!</v>
      </c>
      <c r="AZ99" t="e">
        <f>AND('SPR BARRANQUILLA'!N117,"AAAAAG93PjM=")</f>
        <v>#VALUE!</v>
      </c>
      <c r="BA99" t="e">
        <f>AND('SPR BARRANQUILLA'!O117,"AAAAAG93PjQ=")</f>
        <v>#VALUE!</v>
      </c>
      <c r="BB99" t="e">
        <f>AND('SPR BARRANQUILLA'!P117,"AAAAAG93PjU=")</f>
        <v>#VALUE!</v>
      </c>
      <c r="BC99" t="e">
        <f>AND('SPR BARRANQUILLA'!Q117,"AAAAAG93PjY=")</f>
        <v>#VALUE!</v>
      </c>
      <c r="BD99" t="e">
        <f>AND('SPR BARRANQUILLA'!R117,"AAAAAG93Pjc=")</f>
        <v>#VALUE!</v>
      </c>
      <c r="BE99" t="e">
        <f>AND('SPR BARRANQUILLA'!S117,"AAAAAG93Pjg=")</f>
        <v>#VALUE!</v>
      </c>
      <c r="BF99" t="e">
        <f>AND('SPR BARRANQUILLA'!T117,"AAAAAG93Pjk=")</f>
        <v>#VALUE!</v>
      </c>
      <c r="BG99" t="e">
        <f>AND('SPR BARRANQUILLA'!U117,"AAAAAG93Pjo=")</f>
        <v>#VALUE!</v>
      </c>
      <c r="BH99" t="e">
        <f>AND('SPR BARRANQUILLA'!V117,"AAAAAG93Pjs=")</f>
        <v>#VALUE!</v>
      </c>
      <c r="BI99" t="e">
        <f>AND('SPR BARRANQUILLA'!W117,"AAAAAG93Pjw=")</f>
        <v>#VALUE!</v>
      </c>
      <c r="BJ99" t="e">
        <f>AND('SPR BARRANQUILLA'!X117,"AAAAAG93Pj0=")</f>
        <v>#VALUE!</v>
      </c>
      <c r="BK99" t="e">
        <f>AND('SPR BARRANQUILLA'!Y117,"AAAAAG93Pj4=")</f>
        <v>#VALUE!</v>
      </c>
      <c r="BL99" t="e">
        <f>AND('SPR BARRANQUILLA'!Z117,"AAAAAG93Pj8=")</f>
        <v>#VALUE!</v>
      </c>
      <c r="BM99" t="e">
        <f>AND('SPR BARRANQUILLA'!AA117,"AAAAAG93PkA=")</f>
        <v>#VALUE!</v>
      </c>
      <c r="BN99" t="e">
        <f>AND('SPR BARRANQUILLA'!AB117,"AAAAAG93PkE=")</f>
        <v>#VALUE!</v>
      </c>
      <c r="BO99" t="e">
        <f>AND('SPR BARRANQUILLA'!AC117,"AAAAAG93PkI=")</f>
        <v>#VALUE!</v>
      </c>
      <c r="BP99" t="e">
        <f>AND('SPR BARRANQUILLA'!AD117,"AAAAAG93PkM=")</f>
        <v>#VALUE!</v>
      </c>
      <c r="BQ99" t="e">
        <f>AND('SPR BARRANQUILLA'!AE117,"AAAAAG93PkQ=")</f>
        <v>#VALUE!</v>
      </c>
      <c r="BR99" t="e">
        <f>AND('SPR BARRANQUILLA'!AF117,"AAAAAG93PkU=")</f>
        <v>#VALUE!</v>
      </c>
      <c r="BS99" t="e">
        <f>AND('SPR BARRANQUILLA'!AG117,"AAAAAG93PkY=")</f>
        <v>#VALUE!</v>
      </c>
      <c r="BT99" t="e">
        <f>AND('SPR BARRANQUILLA'!AH117,"AAAAAG93Pkc=")</f>
        <v>#VALUE!</v>
      </c>
      <c r="BU99" t="e">
        <f>AND('SPR BARRANQUILLA'!AI117,"AAAAAG93Pkg=")</f>
        <v>#VALUE!</v>
      </c>
      <c r="BV99" t="e">
        <f>AND('SPR BARRANQUILLA'!AJ117,"AAAAAG93Pkk=")</f>
        <v>#VALUE!</v>
      </c>
      <c r="BW99" t="e">
        <f>AND('SPR BARRANQUILLA'!AK117,"AAAAAG93Pko=")</f>
        <v>#VALUE!</v>
      </c>
      <c r="BX99" t="e">
        <f>AND('SPR BARRANQUILLA'!AL117,"AAAAAG93Pks=")</f>
        <v>#VALUE!</v>
      </c>
      <c r="BY99" t="e">
        <f>AND('SPR BARRANQUILLA'!AM117,"AAAAAG93Pkw=")</f>
        <v>#VALUE!</v>
      </c>
      <c r="BZ99" t="e">
        <f>AND('SPR BARRANQUILLA'!AN117,"AAAAAG93Pk0=")</f>
        <v>#VALUE!</v>
      </c>
      <c r="CA99" t="e">
        <f>AND('SPR BARRANQUILLA'!AO117,"AAAAAG93Pk4=")</f>
        <v>#VALUE!</v>
      </c>
      <c r="CB99" t="e">
        <f>AND('SPR BARRANQUILLA'!AP117,"AAAAAG93Pk8=")</f>
        <v>#VALUE!</v>
      </c>
      <c r="CC99" t="e">
        <f>AND('SPR BARRANQUILLA'!AQ117,"AAAAAG93PlA=")</f>
        <v>#VALUE!</v>
      </c>
      <c r="CD99" t="e">
        <f>AND('SPR BARRANQUILLA'!AR117,"AAAAAG93PlE=")</f>
        <v>#VALUE!</v>
      </c>
      <c r="CE99" t="e">
        <f>AND('SPR BARRANQUILLA'!AS117,"AAAAAG93PlI=")</f>
        <v>#VALUE!</v>
      </c>
      <c r="CF99" t="e">
        <f>AND('SPR BARRANQUILLA'!AT117,"AAAAAG93PlM=")</f>
        <v>#VALUE!</v>
      </c>
      <c r="CG99" t="e">
        <f>AND('SPR BARRANQUILLA'!AU117,"AAAAAG93PlQ=")</f>
        <v>#VALUE!</v>
      </c>
      <c r="CH99" t="e">
        <f>AND('SPR BARRANQUILLA'!AV117,"AAAAAG93PlU=")</f>
        <v>#VALUE!</v>
      </c>
      <c r="CI99" t="e">
        <f>AND('SPR BARRANQUILLA'!AW117,"AAAAAG93PlY=")</f>
        <v>#VALUE!</v>
      </c>
      <c r="CJ99" t="e">
        <f>AND('SPR BARRANQUILLA'!AX117,"AAAAAG93Plc=")</f>
        <v>#VALUE!</v>
      </c>
      <c r="CK99" t="e">
        <f>AND('SPR BARRANQUILLA'!AY117,"AAAAAG93Plg=")</f>
        <v>#VALUE!</v>
      </c>
      <c r="CL99" t="e">
        <f>AND('SPR BARRANQUILLA'!AZ117,"AAAAAG93Plk=")</f>
        <v>#VALUE!</v>
      </c>
      <c r="CM99" t="e">
        <f>AND('SPR BARRANQUILLA'!BA117,"AAAAAG93Plo=")</f>
        <v>#VALUE!</v>
      </c>
      <c r="CN99" t="e">
        <f>AND('SPR BARRANQUILLA'!BB117,"AAAAAG93Pls=")</f>
        <v>#VALUE!</v>
      </c>
      <c r="CO99" t="e">
        <f>AND('SPR BARRANQUILLA'!BC117,"AAAAAG93Plw=")</f>
        <v>#VALUE!</v>
      </c>
      <c r="CP99" t="e">
        <f>AND('SPR BARRANQUILLA'!BD117,"AAAAAG93Pl0=")</f>
        <v>#VALUE!</v>
      </c>
      <c r="CQ99" t="e">
        <f>AND('SPR BARRANQUILLA'!BE117,"AAAAAG93Pl4=")</f>
        <v>#VALUE!</v>
      </c>
      <c r="CR99" t="e">
        <f>AND('SPR BARRANQUILLA'!BF117,"AAAAAG93Pl8=")</f>
        <v>#VALUE!</v>
      </c>
      <c r="CS99" t="e">
        <f>AND('SPR BARRANQUILLA'!BG117,"AAAAAG93PmA=")</f>
        <v>#VALUE!</v>
      </c>
      <c r="CT99" t="e">
        <f>AND('SPR BARRANQUILLA'!BH117,"AAAAAG93PmE=")</f>
        <v>#VALUE!</v>
      </c>
      <c r="CU99" t="e">
        <f>AND('SPR BARRANQUILLA'!BI117,"AAAAAG93PmI=")</f>
        <v>#VALUE!</v>
      </c>
      <c r="CV99" t="e">
        <f>AND('SPR BARRANQUILLA'!BJ117,"AAAAAG93PmM=")</f>
        <v>#VALUE!</v>
      </c>
      <c r="CW99" t="e">
        <f>AND('SPR BARRANQUILLA'!BK117,"AAAAAG93PmQ=")</f>
        <v>#VALUE!</v>
      </c>
      <c r="CX99" t="e">
        <f>AND('SPR BARRANQUILLA'!BL117,"AAAAAG93PmU=")</f>
        <v>#VALUE!</v>
      </c>
      <c r="CY99" t="e">
        <f>AND('SPR BARRANQUILLA'!BM117,"AAAAAG93PmY=")</f>
        <v>#VALUE!</v>
      </c>
      <c r="CZ99" t="e">
        <f>AND('SPR BARRANQUILLA'!BN117,"AAAAAG93Pmc=")</f>
        <v>#VALUE!</v>
      </c>
      <c r="DA99" t="e">
        <f>AND('SPR BARRANQUILLA'!BO117,"AAAAAG93Pmg=")</f>
        <v>#VALUE!</v>
      </c>
      <c r="DB99" t="e">
        <f>AND('SPR BARRANQUILLA'!BP117,"AAAAAG93Pmk=")</f>
        <v>#VALUE!</v>
      </c>
      <c r="DC99" t="e">
        <f>AND('SPR BARRANQUILLA'!BQ117,"AAAAAG93Pmo=")</f>
        <v>#VALUE!</v>
      </c>
      <c r="DD99" t="e">
        <f>AND('SPR BARRANQUILLA'!BR117,"AAAAAG93Pms=")</f>
        <v>#VALUE!</v>
      </c>
      <c r="DE99" t="e">
        <f>AND('SPR BARRANQUILLA'!BS117,"AAAAAG93Pmw=")</f>
        <v>#VALUE!</v>
      </c>
      <c r="DF99" t="e">
        <f>AND('SPR BARRANQUILLA'!BT117,"AAAAAG93Pm0=")</f>
        <v>#VALUE!</v>
      </c>
      <c r="DG99" t="e">
        <f>AND('SPR BARRANQUILLA'!BU117,"AAAAAG93Pm4=")</f>
        <v>#VALUE!</v>
      </c>
      <c r="DH99" t="e">
        <f>AND('SPR BARRANQUILLA'!BV117,"AAAAAG93Pm8=")</f>
        <v>#VALUE!</v>
      </c>
      <c r="DI99" t="e">
        <f>AND('SPR BARRANQUILLA'!BW117,"AAAAAG93PnA=")</f>
        <v>#VALUE!</v>
      </c>
      <c r="DJ99" t="e">
        <f>AND('SPR BARRANQUILLA'!BX117,"AAAAAG93PnE=")</f>
        <v>#VALUE!</v>
      </c>
      <c r="DK99" t="e">
        <f>AND('SPR BARRANQUILLA'!BY117,"AAAAAG93PnI=")</f>
        <v>#VALUE!</v>
      </c>
      <c r="DL99" t="e">
        <f>AND('SPR BARRANQUILLA'!BZ117,"AAAAAG93PnM=")</f>
        <v>#VALUE!</v>
      </c>
      <c r="DM99" t="e">
        <f>AND('SPR BARRANQUILLA'!CA117,"AAAAAG93PnQ=")</f>
        <v>#VALUE!</v>
      </c>
      <c r="DN99" t="e">
        <f>AND('SPR BARRANQUILLA'!CB117,"AAAAAG93PnU=")</f>
        <v>#VALUE!</v>
      </c>
      <c r="DO99" t="e">
        <f>AND('SPR BARRANQUILLA'!CC117,"AAAAAG93PnY=")</f>
        <v>#VALUE!</v>
      </c>
      <c r="DP99" t="e">
        <f>AND('SPR BARRANQUILLA'!CD117,"AAAAAG93Pnc=")</f>
        <v>#VALUE!</v>
      </c>
      <c r="DQ99" t="e">
        <f>AND('SPR BARRANQUILLA'!CE117,"AAAAAG93Png=")</f>
        <v>#VALUE!</v>
      </c>
      <c r="DR99" t="e">
        <f>AND('SPR BARRANQUILLA'!CF117,"AAAAAG93Pnk=")</f>
        <v>#VALUE!</v>
      </c>
      <c r="DS99" t="e">
        <f>AND('SPR BARRANQUILLA'!CG117,"AAAAAG93Pno=")</f>
        <v>#VALUE!</v>
      </c>
      <c r="DT99" t="e">
        <f>AND('SPR BARRANQUILLA'!CH117,"AAAAAG93Pns=")</f>
        <v>#VALUE!</v>
      </c>
      <c r="DU99" t="e">
        <f>AND('SPR BARRANQUILLA'!CI117,"AAAAAG93Pnw=")</f>
        <v>#VALUE!</v>
      </c>
      <c r="DV99" t="e">
        <f>AND('SPR BARRANQUILLA'!CJ117,"AAAAAG93Pn0=")</f>
        <v>#VALUE!</v>
      </c>
      <c r="DW99" t="e">
        <f>AND('SPR BARRANQUILLA'!CK117,"AAAAAG93Pn4=")</f>
        <v>#VALUE!</v>
      </c>
      <c r="DX99" t="e">
        <f>AND('SPR BARRANQUILLA'!CL117,"AAAAAG93Pn8=")</f>
        <v>#VALUE!</v>
      </c>
      <c r="DY99" t="e">
        <f>AND('SPR BARRANQUILLA'!CM117,"AAAAAG93PoA=")</f>
        <v>#VALUE!</v>
      </c>
      <c r="DZ99" t="e">
        <f>AND('SPR BARRANQUILLA'!CN117,"AAAAAG93PoE=")</f>
        <v>#VALUE!</v>
      </c>
      <c r="EA99" t="e">
        <f>AND('SPR BARRANQUILLA'!CO117,"AAAAAG93PoI=")</f>
        <v>#VALUE!</v>
      </c>
      <c r="EB99" t="e">
        <f>AND('SPR BARRANQUILLA'!CP117,"AAAAAG93PoM=")</f>
        <v>#VALUE!</v>
      </c>
      <c r="EC99" t="e">
        <f>AND('SPR BARRANQUILLA'!CQ117,"AAAAAG93PoQ=")</f>
        <v>#VALUE!</v>
      </c>
      <c r="ED99" t="e">
        <f>AND('SPR BARRANQUILLA'!CR117,"AAAAAG93PoU=")</f>
        <v>#VALUE!</v>
      </c>
      <c r="EE99" t="e">
        <f>AND('SPR BARRANQUILLA'!CS117,"AAAAAG93PoY=")</f>
        <v>#VALUE!</v>
      </c>
      <c r="EF99" t="e">
        <f>AND('SPR BARRANQUILLA'!CT117,"AAAAAG93Poc=")</f>
        <v>#VALUE!</v>
      </c>
      <c r="EG99" t="e">
        <f>AND('SPR BARRANQUILLA'!CU117,"AAAAAG93Pog=")</f>
        <v>#VALUE!</v>
      </c>
      <c r="EH99" t="e">
        <f>AND('SPR BARRANQUILLA'!CV117,"AAAAAG93Pok=")</f>
        <v>#VALUE!</v>
      </c>
      <c r="EI99" t="e">
        <f>AND('SPR BARRANQUILLA'!CW117,"AAAAAG93Poo=")</f>
        <v>#VALUE!</v>
      </c>
      <c r="EJ99" t="e">
        <f>AND('SPR BARRANQUILLA'!CX117,"AAAAAG93Pos=")</f>
        <v>#VALUE!</v>
      </c>
      <c r="EK99" t="e">
        <f>AND('SPR BARRANQUILLA'!CY117,"AAAAAG93Pow=")</f>
        <v>#VALUE!</v>
      </c>
      <c r="EL99" t="e">
        <f>AND('SPR BARRANQUILLA'!CZ117,"AAAAAG93Po0=")</f>
        <v>#VALUE!</v>
      </c>
      <c r="EM99" t="e">
        <f>AND('SPR BARRANQUILLA'!DA117,"AAAAAG93Po4=")</f>
        <v>#VALUE!</v>
      </c>
      <c r="EN99" t="e">
        <f>AND('SPR BARRANQUILLA'!DB117,"AAAAAG93Po8=")</f>
        <v>#VALUE!</v>
      </c>
      <c r="EO99" t="e">
        <f>AND('SPR BARRANQUILLA'!DC117,"AAAAAG93PpA=")</f>
        <v>#VALUE!</v>
      </c>
      <c r="EP99" t="e">
        <f>AND('SPR BARRANQUILLA'!DD117,"AAAAAG93PpE=")</f>
        <v>#VALUE!</v>
      </c>
      <c r="EQ99" t="e">
        <f>AND('SPR BARRANQUILLA'!DE117,"AAAAAG93PpI=")</f>
        <v>#VALUE!</v>
      </c>
      <c r="ER99" t="e">
        <f>AND('SPR BARRANQUILLA'!DF117,"AAAAAG93PpM=")</f>
        <v>#VALUE!</v>
      </c>
      <c r="ES99" t="e">
        <f>AND('SPR BARRANQUILLA'!DG117,"AAAAAG93PpQ=")</f>
        <v>#VALUE!</v>
      </c>
      <c r="ET99" t="e">
        <f>AND('SPR BARRANQUILLA'!DH117,"AAAAAG93PpU=")</f>
        <v>#VALUE!</v>
      </c>
      <c r="EU99" t="e">
        <f>AND('SPR BARRANQUILLA'!DI117,"AAAAAG93PpY=")</f>
        <v>#VALUE!</v>
      </c>
      <c r="EV99" t="e">
        <f>AND('SPR BARRANQUILLA'!DJ117,"AAAAAG93Ppc=")</f>
        <v>#VALUE!</v>
      </c>
      <c r="EW99" t="e">
        <f>AND('SPR BARRANQUILLA'!DK117,"AAAAAG93Ppg=")</f>
        <v>#VALUE!</v>
      </c>
      <c r="EX99" t="e">
        <f>AND('SPR BARRANQUILLA'!DL117,"AAAAAG93Ppk=")</f>
        <v>#VALUE!</v>
      </c>
      <c r="EY99" t="e">
        <f>AND('SPR BARRANQUILLA'!DM117,"AAAAAG93Ppo=")</f>
        <v>#VALUE!</v>
      </c>
      <c r="EZ99" t="e">
        <f>AND('SPR BARRANQUILLA'!DN117,"AAAAAG93Pps=")</f>
        <v>#VALUE!</v>
      </c>
      <c r="FA99" t="e">
        <f>AND('SPR BARRANQUILLA'!DO117,"AAAAAG93Ppw=")</f>
        <v>#VALUE!</v>
      </c>
      <c r="FB99" t="e">
        <f>AND('SPR BARRANQUILLA'!DP117,"AAAAAG93Pp0=")</f>
        <v>#VALUE!</v>
      </c>
      <c r="FC99" t="e">
        <f>AND('SPR BARRANQUILLA'!DQ117,"AAAAAG93Pp4=")</f>
        <v>#VALUE!</v>
      </c>
      <c r="FD99" t="e">
        <f>AND('SPR BARRANQUILLA'!DR117,"AAAAAG93Pp8=")</f>
        <v>#VALUE!</v>
      </c>
      <c r="FE99" t="e">
        <f>AND('SPR BARRANQUILLA'!DS117,"AAAAAG93PqA=")</f>
        <v>#VALUE!</v>
      </c>
      <c r="FF99" t="e">
        <f>AND('SPR BARRANQUILLA'!DT117,"AAAAAG93PqE=")</f>
        <v>#VALUE!</v>
      </c>
      <c r="FG99" t="e">
        <f>AND('SPR BARRANQUILLA'!DU117,"AAAAAG93PqI=")</f>
        <v>#VALUE!</v>
      </c>
      <c r="FH99" t="e">
        <f>AND('SPR BARRANQUILLA'!DV117,"AAAAAG93PqM=")</f>
        <v>#VALUE!</v>
      </c>
      <c r="FI99" t="e">
        <f>AND('SPR BARRANQUILLA'!DW117,"AAAAAG93PqQ=")</f>
        <v>#VALUE!</v>
      </c>
      <c r="FJ99" t="e">
        <f>AND('SPR BARRANQUILLA'!DX117,"AAAAAG93PqU=")</f>
        <v>#VALUE!</v>
      </c>
      <c r="FK99" t="e">
        <f>AND('SPR BARRANQUILLA'!DY117,"AAAAAG93PqY=")</f>
        <v>#VALUE!</v>
      </c>
      <c r="FL99" t="e">
        <f>AND('SPR BARRANQUILLA'!DZ117,"AAAAAG93Pqc=")</f>
        <v>#VALUE!</v>
      </c>
      <c r="FM99" t="e">
        <f>AND('SPR BARRANQUILLA'!EA117,"AAAAAG93Pqg=")</f>
        <v>#VALUE!</v>
      </c>
      <c r="FN99" t="e">
        <f>AND('SPR BARRANQUILLA'!EB117,"AAAAAG93Pqk=")</f>
        <v>#VALUE!</v>
      </c>
      <c r="FO99" t="e">
        <f>AND('SPR BARRANQUILLA'!EC117,"AAAAAG93Pqo=")</f>
        <v>#VALUE!</v>
      </c>
      <c r="FP99" t="e">
        <f>AND('SPR BARRANQUILLA'!ED117,"AAAAAG93Pqs=")</f>
        <v>#VALUE!</v>
      </c>
      <c r="FQ99" t="e">
        <f>AND('SPR BARRANQUILLA'!EE117,"AAAAAG93Pqw=")</f>
        <v>#VALUE!</v>
      </c>
      <c r="FR99" t="e">
        <f>AND('SPR BARRANQUILLA'!EF117,"AAAAAG93Pq0=")</f>
        <v>#VALUE!</v>
      </c>
      <c r="FS99" t="e">
        <f>AND('SPR BARRANQUILLA'!EG117,"AAAAAG93Pq4=")</f>
        <v>#VALUE!</v>
      </c>
      <c r="FT99" t="e">
        <f>AND('SPR BARRANQUILLA'!EH117,"AAAAAG93Pq8=")</f>
        <v>#VALUE!</v>
      </c>
      <c r="FU99" t="e">
        <f>AND('SPR BARRANQUILLA'!EI117,"AAAAAG93PrA=")</f>
        <v>#VALUE!</v>
      </c>
      <c r="FV99" t="e">
        <f>AND('SPR BARRANQUILLA'!EJ117,"AAAAAG93PrE=")</f>
        <v>#VALUE!</v>
      </c>
      <c r="FW99" t="e">
        <f>AND('SPR BARRANQUILLA'!EK117,"AAAAAG93PrI=")</f>
        <v>#VALUE!</v>
      </c>
      <c r="FX99" t="e">
        <f>AND('SPR BARRANQUILLA'!EL117,"AAAAAG93PrM=")</f>
        <v>#VALUE!</v>
      </c>
      <c r="FY99" t="e">
        <f>AND('SPR BARRANQUILLA'!EM117,"AAAAAG93PrQ=")</f>
        <v>#VALUE!</v>
      </c>
      <c r="FZ99" t="e">
        <f>AND('SPR BARRANQUILLA'!EN117,"AAAAAG93PrU=")</f>
        <v>#VALUE!</v>
      </c>
      <c r="GA99" t="e">
        <f>AND('SPR BARRANQUILLA'!EO117,"AAAAAG93PrY=")</f>
        <v>#VALUE!</v>
      </c>
      <c r="GB99" t="e">
        <f>AND('SPR BARRANQUILLA'!EP117,"AAAAAG93Prc=")</f>
        <v>#VALUE!</v>
      </c>
      <c r="GC99" t="e">
        <f>AND('SPR BARRANQUILLA'!EQ117,"AAAAAG93Prg=")</f>
        <v>#VALUE!</v>
      </c>
      <c r="GD99" t="e">
        <f>AND('SPR BARRANQUILLA'!ER117,"AAAAAG93Prk=")</f>
        <v>#VALUE!</v>
      </c>
      <c r="GE99" t="e">
        <f>AND('SPR BARRANQUILLA'!ES117,"AAAAAG93Pro=")</f>
        <v>#VALUE!</v>
      </c>
      <c r="GF99" t="e">
        <f>AND('SPR BARRANQUILLA'!ET117,"AAAAAG93Prs=")</f>
        <v>#VALUE!</v>
      </c>
      <c r="GG99" t="e">
        <f>AND('SPR BARRANQUILLA'!EU117,"AAAAAG93Prw=")</f>
        <v>#VALUE!</v>
      </c>
      <c r="GH99" t="e">
        <f>AND('SPR BARRANQUILLA'!EV117,"AAAAAG93Pr0=")</f>
        <v>#VALUE!</v>
      </c>
      <c r="GI99" t="e">
        <f>AND('SPR BARRANQUILLA'!EW117,"AAAAAG93Pr4=")</f>
        <v>#VALUE!</v>
      </c>
      <c r="GJ99" t="e">
        <f>AND('SPR BARRANQUILLA'!EX117,"AAAAAG93Pr8=")</f>
        <v>#VALUE!</v>
      </c>
      <c r="GK99" t="e">
        <f>AND('SPR BARRANQUILLA'!EY117,"AAAAAG93PsA=")</f>
        <v>#VALUE!</v>
      </c>
      <c r="GL99" t="e">
        <f>AND('SPR BARRANQUILLA'!EZ117,"AAAAAG93PsE=")</f>
        <v>#VALUE!</v>
      </c>
      <c r="GM99" t="e">
        <f>AND('SPR BARRANQUILLA'!FA117,"AAAAAG93PsI=")</f>
        <v>#VALUE!</v>
      </c>
      <c r="GN99" t="e">
        <f>AND('SPR BARRANQUILLA'!FB117,"AAAAAG93PsM=")</f>
        <v>#VALUE!</v>
      </c>
      <c r="GO99" t="e">
        <f>AND('SPR BARRANQUILLA'!FC117,"AAAAAG93PsQ=")</f>
        <v>#VALUE!</v>
      </c>
      <c r="GP99" t="e">
        <f>AND('SPR BARRANQUILLA'!FD117,"AAAAAG93PsU=")</f>
        <v>#VALUE!</v>
      </c>
      <c r="GQ99" t="e">
        <f>AND('SPR BARRANQUILLA'!FE117,"AAAAAG93PsY=")</f>
        <v>#VALUE!</v>
      </c>
      <c r="GR99" t="e">
        <f>AND('SPR BARRANQUILLA'!FF117,"AAAAAG93Psc=")</f>
        <v>#VALUE!</v>
      </c>
      <c r="GS99" t="e">
        <f>AND('SPR BARRANQUILLA'!FG117,"AAAAAG93Psg=")</f>
        <v>#VALUE!</v>
      </c>
      <c r="GT99" t="e">
        <f>AND('SPR BARRANQUILLA'!FH117,"AAAAAG93Psk=")</f>
        <v>#VALUE!</v>
      </c>
      <c r="GU99" t="e">
        <f>AND('SPR BARRANQUILLA'!FI117,"AAAAAG93Pso=")</f>
        <v>#VALUE!</v>
      </c>
      <c r="GV99" t="e">
        <f>AND('SPR BARRANQUILLA'!FJ117,"AAAAAG93Pss=")</f>
        <v>#VALUE!</v>
      </c>
      <c r="GW99" t="e">
        <f>AND('SPR BARRANQUILLA'!FK117,"AAAAAG93Psw=")</f>
        <v>#VALUE!</v>
      </c>
      <c r="GX99" t="e">
        <f>AND('SPR BARRANQUILLA'!FL117,"AAAAAG93Ps0=")</f>
        <v>#VALUE!</v>
      </c>
      <c r="GY99" t="e">
        <f>AND('SPR BARRANQUILLA'!FM117,"AAAAAG93Ps4=")</f>
        <v>#VALUE!</v>
      </c>
      <c r="GZ99" t="e">
        <f>AND('SPR BARRANQUILLA'!FN117,"AAAAAG93Ps8=")</f>
        <v>#VALUE!</v>
      </c>
      <c r="HA99" t="e">
        <f>AND('SPR BARRANQUILLA'!FO117,"AAAAAG93PtA=")</f>
        <v>#VALUE!</v>
      </c>
      <c r="HB99" t="e">
        <f>AND('SPR BARRANQUILLA'!FP117,"AAAAAG93PtE=")</f>
        <v>#VALUE!</v>
      </c>
      <c r="HC99" t="e">
        <f>AND('SPR BARRANQUILLA'!FQ117,"AAAAAG93PtI=")</f>
        <v>#VALUE!</v>
      </c>
      <c r="HD99" t="e">
        <f>AND('SPR BARRANQUILLA'!FR117,"AAAAAG93PtM=")</f>
        <v>#VALUE!</v>
      </c>
      <c r="HE99" t="e">
        <f>AND('SPR BARRANQUILLA'!FS117,"AAAAAG93PtQ=")</f>
        <v>#VALUE!</v>
      </c>
      <c r="HF99" t="e">
        <f>AND('SPR BARRANQUILLA'!FT117,"AAAAAG93PtU=")</f>
        <v>#VALUE!</v>
      </c>
      <c r="HG99" t="e">
        <f>AND('SPR BARRANQUILLA'!FU117,"AAAAAG93PtY=")</f>
        <v>#VALUE!</v>
      </c>
      <c r="HH99" t="e">
        <f>AND('SPR BARRANQUILLA'!FV117,"AAAAAG93Ptc=")</f>
        <v>#VALUE!</v>
      </c>
      <c r="HI99" t="e">
        <f>AND('SPR BARRANQUILLA'!FW117,"AAAAAG93Ptg=")</f>
        <v>#VALUE!</v>
      </c>
      <c r="HJ99" t="e">
        <f>AND('SPR BARRANQUILLA'!FX117,"AAAAAG93Ptk=")</f>
        <v>#VALUE!</v>
      </c>
      <c r="HK99" t="e">
        <f>AND('SPR BARRANQUILLA'!FY117,"AAAAAG93Pto=")</f>
        <v>#VALUE!</v>
      </c>
      <c r="HL99" t="e">
        <f>AND('SPR BARRANQUILLA'!FZ117,"AAAAAG93Pts=")</f>
        <v>#VALUE!</v>
      </c>
      <c r="HM99" t="e">
        <f>AND('SPR BARRANQUILLA'!GA117,"AAAAAG93Ptw=")</f>
        <v>#VALUE!</v>
      </c>
      <c r="HN99" t="e">
        <f>AND('SPR BARRANQUILLA'!GB117,"AAAAAG93Pt0=")</f>
        <v>#VALUE!</v>
      </c>
      <c r="HO99" t="e">
        <f>AND('SPR BARRANQUILLA'!GC117,"AAAAAG93Pt4=")</f>
        <v>#VALUE!</v>
      </c>
      <c r="HP99" t="e">
        <f>AND('SPR BARRANQUILLA'!GD117,"AAAAAG93Pt8=")</f>
        <v>#VALUE!</v>
      </c>
      <c r="HQ99" t="e">
        <f>AND('SPR BARRANQUILLA'!GE117,"AAAAAG93PuA=")</f>
        <v>#VALUE!</v>
      </c>
      <c r="HR99" t="e">
        <f>AND('SPR BARRANQUILLA'!GF117,"AAAAAG93PuE=")</f>
        <v>#VALUE!</v>
      </c>
      <c r="HS99" t="e">
        <f>AND('SPR BARRANQUILLA'!GG117,"AAAAAG93PuI=")</f>
        <v>#VALUE!</v>
      </c>
      <c r="HT99" t="e">
        <f>AND('SPR BARRANQUILLA'!GH117,"AAAAAG93PuM=")</f>
        <v>#VALUE!</v>
      </c>
      <c r="HU99" t="e">
        <f>AND('SPR BARRANQUILLA'!GI117,"AAAAAG93PuQ=")</f>
        <v>#VALUE!</v>
      </c>
      <c r="HV99" t="e">
        <f>AND('SPR BARRANQUILLA'!GJ117,"AAAAAG93PuU=")</f>
        <v>#VALUE!</v>
      </c>
      <c r="HW99" t="e">
        <f>AND('SPR BARRANQUILLA'!GK117,"AAAAAG93PuY=")</f>
        <v>#VALUE!</v>
      </c>
      <c r="HX99" t="e">
        <f>AND('SPR BARRANQUILLA'!GL117,"AAAAAG93Puc=")</f>
        <v>#VALUE!</v>
      </c>
      <c r="HY99" t="e">
        <f>AND('SPR BARRANQUILLA'!GM117,"AAAAAG93Pug=")</f>
        <v>#VALUE!</v>
      </c>
      <c r="HZ99" t="e">
        <f>AND('SPR BARRANQUILLA'!GN117,"AAAAAG93Puk=")</f>
        <v>#VALUE!</v>
      </c>
      <c r="IA99" t="e">
        <f>AND('SPR BARRANQUILLA'!GO117,"AAAAAG93Puo=")</f>
        <v>#VALUE!</v>
      </c>
      <c r="IB99" t="e">
        <f>AND('SPR BARRANQUILLA'!GP117,"AAAAAG93Pus=")</f>
        <v>#VALUE!</v>
      </c>
      <c r="IC99" t="e">
        <f>AND('SPR BARRANQUILLA'!GQ117,"AAAAAG93Puw=")</f>
        <v>#VALUE!</v>
      </c>
      <c r="ID99" t="e">
        <f>AND('SPR BARRANQUILLA'!GR117,"AAAAAG93Pu0=")</f>
        <v>#VALUE!</v>
      </c>
      <c r="IE99" t="e">
        <f>AND('SPR BARRANQUILLA'!GS117,"AAAAAG93Pu4=")</f>
        <v>#VALUE!</v>
      </c>
      <c r="IF99" t="e">
        <f>AND('SPR BARRANQUILLA'!GT117,"AAAAAG93Pu8=")</f>
        <v>#VALUE!</v>
      </c>
      <c r="IG99" t="e">
        <f>AND('SPR BARRANQUILLA'!GU117,"AAAAAG93PvA=")</f>
        <v>#VALUE!</v>
      </c>
      <c r="IH99" t="e">
        <f>AND('SPR BARRANQUILLA'!GV117,"AAAAAG93PvE=")</f>
        <v>#VALUE!</v>
      </c>
      <c r="II99" t="e">
        <f>AND('SPR BARRANQUILLA'!GW117,"AAAAAG93PvI=")</f>
        <v>#VALUE!</v>
      </c>
      <c r="IJ99" t="e">
        <f>AND('SPR BARRANQUILLA'!GX117,"AAAAAG93PvM=")</f>
        <v>#VALUE!</v>
      </c>
      <c r="IK99" t="e">
        <f>AND('SPR BARRANQUILLA'!GY117,"AAAAAG93PvQ=")</f>
        <v>#VALUE!</v>
      </c>
      <c r="IL99">
        <f>IF('SPR BARRANQUILLA'!118:118,"AAAAAG93PvU=",0)</f>
        <v>0</v>
      </c>
      <c r="IM99" t="e">
        <f>AND('SPR BARRANQUILLA'!A118,"AAAAAG93PvY=")</f>
        <v>#VALUE!</v>
      </c>
      <c r="IN99" t="e">
        <f>AND('SPR BARRANQUILLA'!B118,"AAAAAG93Pvc=")</f>
        <v>#VALUE!</v>
      </c>
      <c r="IO99" t="e">
        <f>AND('SPR BARRANQUILLA'!C118,"AAAAAG93Pvg=")</f>
        <v>#VALUE!</v>
      </c>
      <c r="IP99" t="e">
        <f>AND('SPR BARRANQUILLA'!D118,"AAAAAG93Pvk=")</f>
        <v>#VALUE!</v>
      </c>
      <c r="IQ99" t="e">
        <f>AND('SPR BARRANQUILLA'!E118,"AAAAAG93Pvo=")</f>
        <v>#VALUE!</v>
      </c>
      <c r="IR99" t="e">
        <f>AND('SPR BARRANQUILLA'!F118,"AAAAAG93Pvs=")</f>
        <v>#VALUE!</v>
      </c>
      <c r="IS99" t="e">
        <f>AND('SPR BARRANQUILLA'!G118,"AAAAAG93Pvw=")</f>
        <v>#VALUE!</v>
      </c>
      <c r="IT99" t="e">
        <f>AND('SPR BARRANQUILLA'!H118,"AAAAAG93Pv0=")</f>
        <v>#VALUE!</v>
      </c>
      <c r="IU99" t="e">
        <f>AND('SPR BARRANQUILLA'!I118,"AAAAAG93Pv4=")</f>
        <v>#VALUE!</v>
      </c>
      <c r="IV99" t="e">
        <f>AND('SPR BARRANQUILLA'!J118,"AAAAAG93Pv8=")</f>
        <v>#VALUE!</v>
      </c>
    </row>
    <row r="100" spans="1:256">
      <c r="A100" t="e">
        <f>AND('SPR BARRANQUILLA'!K118,"AAAAAHq93wA=")</f>
        <v>#VALUE!</v>
      </c>
      <c r="B100" t="e">
        <f>AND('SPR BARRANQUILLA'!L118,"AAAAAHq93wE=")</f>
        <v>#VALUE!</v>
      </c>
      <c r="C100" t="e">
        <f>AND('SPR BARRANQUILLA'!M118,"AAAAAHq93wI=")</f>
        <v>#VALUE!</v>
      </c>
      <c r="D100" t="e">
        <f>AND('SPR BARRANQUILLA'!N118,"AAAAAHq93wM=")</f>
        <v>#VALUE!</v>
      </c>
      <c r="E100" t="e">
        <f>AND('SPR BARRANQUILLA'!O118,"AAAAAHq93wQ=")</f>
        <v>#VALUE!</v>
      </c>
      <c r="F100" t="e">
        <f>AND('SPR BARRANQUILLA'!P118,"AAAAAHq93wU=")</f>
        <v>#VALUE!</v>
      </c>
      <c r="G100" t="e">
        <f>AND('SPR BARRANQUILLA'!Q118,"AAAAAHq93wY=")</f>
        <v>#VALUE!</v>
      </c>
      <c r="H100" t="e">
        <f>AND('SPR BARRANQUILLA'!R118,"AAAAAHq93wc=")</f>
        <v>#VALUE!</v>
      </c>
      <c r="I100" t="e">
        <f>AND('SPR BARRANQUILLA'!S118,"AAAAAHq93wg=")</f>
        <v>#VALUE!</v>
      </c>
      <c r="J100" t="e">
        <f>AND('SPR BARRANQUILLA'!T118,"AAAAAHq93wk=")</f>
        <v>#VALUE!</v>
      </c>
      <c r="K100" t="e">
        <f>AND('SPR BARRANQUILLA'!U118,"AAAAAHq93wo=")</f>
        <v>#VALUE!</v>
      </c>
      <c r="L100" t="e">
        <f>AND('SPR BARRANQUILLA'!V118,"AAAAAHq93ws=")</f>
        <v>#VALUE!</v>
      </c>
      <c r="M100" t="e">
        <f>AND('SPR BARRANQUILLA'!W118,"AAAAAHq93ww=")</f>
        <v>#VALUE!</v>
      </c>
      <c r="N100" t="e">
        <f>AND('SPR BARRANQUILLA'!X118,"AAAAAHq93w0=")</f>
        <v>#VALUE!</v>
      </c>
      <c r="O100" t="e">
        <f>AND('SPR BARRANQUILLA'!Y118,"AAAAAHq93w4=")</f>
        <v>#VALUE!</v>
      </c>
      <c r="P100" t="e">
        <f>AND('SPR BARRANQUILLA'!Z118,"AAAAAHq93w8=")</f>
        <v>#VALUE!</v>
      </c>
      <c r="Q100" t="e">
        <f>AND('SPR BARRANQUILLA'!AA118,"AAAAAHq93xA=")</f>
        <v>#VALUE!</v>
      </c>
      <c r="R100" t="e">
        <f>AND('SPR BARRANQUILLA'!AB118,"AAAAAHq93xE=")</f>
        <v>#VALUE!</v>
      </c>
      <c r="S100" t="e">
        <f>AND('SPR BARRANQUILLA'!AC118,"AAAAAHq93xI=")</f>
        <v>#VALUE!</v>
      </c>
      <c r="T100" t="e">
        <f>AND('SPR BARRANQUILLA'!AD118,"AAAAAHq93xM=")</f>
        <v>#VALUE!</v>
      </c>
      <c r="U100" t="e">
        <f>AND('SPR BARRANQUILLA'!AE118,"AAAAAHq93xQ=")</f>
        <v>#VALUE!</v>
      </c>
      <c r="V100" t="e">
        <f>AND('SPR BARRANQUILLA'!AF118,"AAAAAHq93xU=")</f>
        <v>#VALUE!</v>
      </c>
      <c r="W100" t="e">
        <f>AND('SPR BARRANQUILLA'!AG118,"AAAAAHq93xY=")</f>
        <v>#VALUE!</v>
      </c>
      <c r="X100" t="e">
        <f>AND('SPR BARRANQUILLA'!AH118,"AAAAAHq93xc=")</f>
        <v>#VALUE!</v>
      </c>
      <c r="Y100" t="e">
        <f>AND('SPR BARRANQUILLA'!AI118,"AAAAAHq93xg=")</f>
        <v>#VALUE!</v>
      </c>
      <c r="Z100" t="e">
        <f>AND('SPR BARRANQUILLA'!AJ118,"AAAAAHq93xk=")</f>
        <v>#VALUE!</v>
      </c>
      <c r="AA100" t="e">
        <f>AND('SPR BARRANQUILLA'!AK118,"AAAAAHq93xo=")</f>
        <v>#VALUE!</v>
      </c>
      <c r="AB100" t="e">
        <f>AND('SPR BARRANQUILLA'!AL118,"AAAAAHq93xs=")</f>
        <v>#VALUE!</v>
      </c>
      <c r="AC100" t="e">
        <f>AND('SPR BARRANQUILLA'!AM118,"AAAAAHq93xw=")</f>
        <v>#VALUE!</v>
      </c>
      <c r="AD100" t="e">
        <f>AND('SPR BARRANQUILLA'!AN118,"AAAAAHq93x0=")</f>
        <v>#VALUE!</v>
      </c>
      <c r="AE100" t="e">
        <f>AND('SPR BARRANQUILLA'!AO118,"AAAAAHq93x4=")</f>
        <v>#VALUE!</v>
      </c>
      <c r="AF100" t="e">
        <f>AND('SPR BARRANQUILLA'!AP118,"AAAAAHq93x8=")</f>
        <v>#VALUE!</v>
      </c>
      <c r="AG100" t="e">
        <f>AND('SPR BARRANQUILLA'!AQ118,"AAAAAHq93yA=")</f>
        <v>#VALUE!</v>
      </c>
      <c r="AH100" t="e">
        <f>AND('SPR BARRANQUILLA'!AR118,"AAAAAHq93yE=")</f>
        <v>#VALUE!</v>
      </c>
      <c r="AI100" t="e">
        <f>AND('SPR BARRANQUILLA'!AS118,"AAAAAHq93yI=")</f>
        <v>#VALUE!</v>
      </c>
      <c r="AJ100" t="e">
        <f>AND('SPR BARRANQUILLA'!AT118,"AAAAAHq93yM=")</f>
        <v>#VALUE!</v>
      </c>
      <c r="AK100" t="e">
        <f>AND('SPR BARRANQUILLA'!AU118,"AAAAAHq93yQ=")</f>
        <v>#VALUE!</v>
      </c>
      <c r="AL100" t="e">
        <f>AND('SPR BARRANQUILLA'!AV118,"AAAAAHq93yU=")</f>
        <v>#VALUE!</v>
      </c>
      <c r="AM100" t="e">
        <f>AND('SPR BARRANQUILLA'!AW118,"AAAAAHq93yY=")</f>
        <v>#VALUE!</v>
      </c>
      <c r="AN100" t="e">
        <f>AND('SPR BARRANQUILLA'!AX118,"AAAAAHq93yc=")</f>
        <v>#VALUE!</v>
      </c>
      <c r="AO100" t="e">
        <f>AND('SPR BARRANQUILLA'!AY118,"AAAAAHq93yg=")</f>
        <v>#VALUE!</v>
      </c>
      <c r="AP100" t="e">
        <f>AND('SPR BARRANQUILLA'!AZ118,"AAAAAHq93yk=")</f>
        <v>#VALUE!</v>
      </c>
      <c r="AQ100" t="e">
        <f>AND('SPR BARRANQUILLA'!BA118,"AAAAAHq93yo=")</f>
        <v>#VALUE!</v>
      </c>
      <c r="AR100" t="e">
        <f>AND('SPR BARRANQUILLA'!BB118,"AAAAAHq93ys=")</f>
        <v>#VALUE!</v>
      </c>
      <c r="AS100" t="e">
        <f>AND('SPR BARRANQUILLA'!BC118,"AAAAAHq93yw=")</f>
        <v>#VALUE!</v>
      </c>
      <c r="AT100" t="e">
        <f>AND('SPR BARRANQUILLA'!BD118,"AAAAAHq93y0=")</f>
        <v>#VALUE!</v>
      </c>
      <c r="AU100" t="e">
        <f>AND('SPR BARRANQUILLA'!BE118,"AAAAAHq93y4=")</f>
        <v>#VALUE!</v>
      </c>
      <c r="AV100" t="e">
        <f>AND('SPR BARRANQUILLA'!BF118,"AAAAAHq93y8=")</f>
        <v>#VALUE!</v>
      </c>
      <c r="AW100" t="e">
        <f>AND('SPR BARRANQUILLA'!BG118,"AAAAAHq93zA=")</f>
        <v>#VALUE!</v>
      </c>
      <c r="AX100" t="e">
        <f>AND('SPR BARRANQUILLA'!BH118,"AAAAAHq93zE=")</f>
        <v>#VALUE!</v>
      </c>
      <c r="AY100" t="e">
        <f>AND('SPR BARRANQUILLA'!BI118,"AAAAAHq93zI=")</f>
        <v>#VALUE!</v>
      </c>
      <c r="AZ100" t="e">
        <f>AND('SPR BARRANQUILLA'!BJ118,"AAAAAHq93zM=")</f>
        <v>#VALUE!</v>
      </c>
      <c r="BA100" t="e">
        <f>AND('SPR BARRANQUILLA'!BK118,"AAAAAHq93zQ=")</f>
        <v>#VALUE!</v>
      </c>
      <c r="BB100" t="e">
        <f>AND('SPR BARRANQUILLA'!BL118,"AAAAAHq93zU=")</f>
        <v>#VALUE!</v>
      </c>
      <c r="BC100" t="e">
        <f>AND('SPR BARRANQUILLA'!BM118,"AAAAAHq93zY=")</f>
        <v>#VALUE!</v>
      </c>
      <c r="BD100" t="e">
        <f>AND('SPR BARRANQUILLA'!BN118,"AAAAAHq93zc=")</f>
        <v>#VALUE!</v>
      </c>
      <c r="BE100" t="e">
        <f>AND('SPR BARRANQUILLA'!BO118,"AAAAAHq93zg=")</f>
        <v>#VALUE!</v>
      </c>
      <c r="BF100" t="e">
        <f>AND('SPR BARRANQUILLA'!BP118,"AAAAAHq93zk=")</f>
        <v>#VALUE!</v>
      </c>
      <c r="BG100" t="e">
        <f>AND('SPR BARRANQUILLA'!BQ118,"AAAAAHq93zo=")</f>
        <v>#VALUE!</v>
      </c>
      <c r="BH100" t="e">
        <f>AND('SPR BARRANQUILLA'!BR118,"AAAAAHq93zs=")</f>
        <v>#VALUE!</v>
      </c>
      <c r="BI100" t="e">
        <f>AND('SPR BARRANQUILLA'!BS118,"AAAAAHq93zw=")</f>
        <v>#VALUE!</v>
      </c>
      <c r="BJ100" t="e">
        <f>AND('SPR BARRANQUILLA'!BT118,"AAAAAHq93z0=")</f>
        <v>#VALUE!</v>
      </c>
      <c r="BK100" t="e">
        <f>AND('SPR BARRANQUILLA'!BU118,"AAAAAHq93z4=")</f>
        <v>#VALUE!</v>
      </c>
      <c r="BL100" t="e">
        <f>AND('SPR BARRANQUILLA'!BV118,"AAAAAHq93z8=")</f>
        <v>#VALUE!</v>
      </c>
      <c r="BM100" t="e">
        <f>AND('SPR BARRANQUILLA'!BW118,"AAAAAHq930A=")</f>
        <v>#VALUE!</v>
      </c>
      <c r="BN100" t="e">
        <f>AND('SPR BARRANQUILLA'!BX118,"AAAAAHq930E=")</f>
        <v>#VALUE!</v>
      </c>
      <c r="BO100" t="e">
        <f>AND('SPR BARRANQUILLA'!BY118,"AAAAAHq930I=")</f>
        <v>#VALUE!</v>
      </c>
      <c r="BP100" t="e">
        <f>AND('SPR BARRANQUILLA'!BZ118,"AAAAAHq930M=")</f>
        <v>#VALUE!</v>
      </c>
      <c r="BQ100" t="e">
        <f>AND('SPR BARRANQUILLA'!CA118,"AAAAAHq930Q=")</f>
        <v>#VALUE!</v>
      </c>
      <c r="BR100" t="e">
        <f>AND('SPR BARRANQUILLA'!CB118,"AAAAAHq930U=")</f>
        <v>#VALUE!</v>
      </c>
      <c r="BS100" t="e">
        <f>AND('SPR BARRANQUILLA'!CC118,"AAAAAHq930Y=")</f>
        <v>#VALUE!</v>
      </c>
      <c r="BT100" t="e">
        <f>AND('SPR BARRANQUILLA'!CD118,"AAAAAHq930c=")</f>
        <v>#VALUE!</v>
      </c>
      <c r="BU100" t="e">
        <f>AND('SPR BARRANQUILLA'!CE118,"AAAAAHq930g=")</f>
        <v>#VALUE!</v>
      </c>
      <c r="BV100" t="e">
        <f>AND('SPR BARRANQUILLA'!CF118,"AAAAAHq930k=")</f>
        <v>#VALUE!</v>
      </c>
      <c r="BW100" t="e">
        <f>AND('SPR BARRANQUILLA'!CG118,"AAAAAHq930o=")</f>
        <v>#VALUE!</v>
      </c>
      <c r="BX100" t="e">
        <f>AND('SPR BARRANQUILLA'!CH118,"AAAAAHq930s=")</f>
        <v>#VALUE!</v>
      </c>
      <c r="BY100" t="e">
        <f>AND('SPR BARRANQUILLA'!CI118,"AAAAAHq930w=")</f>
        <v>#VALUE!</v>
      </c>
      <c r="BZ100" t="e">
        <f>AND('SPR BARRANQUILLA'!CJ118,"AAAAAHq9300=")</f>
        <v>#VALUE!</v>
      </c>
      <c r="CA100" t="e">
        <f>AND('SPR BARRANQUILLA'!CK118,"AAAAAHq9304=")</f>
        <v>#VALUE!</v>
      </c>
      <c r="CB100" t="e">
        <f>AND('SPR BARRANQUILLA'!CL118,"AAAAAHq9308=")</f>
        <v>#VALUE!</v>
      </c>
      <c r="CC100" t="e">
        <f>AND('SPR BARRANQUILLA'!CM118,"AAAAAHq931A=")</f>
        <v>#VALUE!</v>
      </c>
      <c r="CD100" t="e">
        <f>AND('SPR BARRANQUILLA'!CN118,"AAAAAHq931E=")</f>
        <v>#VALUE!</v>
      </c>
      <c r="CE100" t="e">
        <f>AND('SPR BARRANQUILLA'!CO118,"AAAAAHq931I=")</f>
        <v>#VALUE!</v>
      </c>
      <c r="CF100" t="e">
        <f>AND('SPR BARRANQUILLA'!CP118,"AAAAAHq931M=")</f>
        <v>#VALUE!</v>
      </c>
      <c r="CG100" t="e">
        <f>AND('SPR BARRANQUILLA'!CQ118,"AAAAAHq931Q=")</f>
        <v>#VALUE!</v>
      </c>
      <c r="CH100" t="e">
        <f>AND('SPR BARRANQUILLA'!CR118,"AAAAAHq931U=")</f>
        <v>#VALUE!</v>
      </c>
      <c r="CI100" t="e">
        <f>AND('SPR BARRANQUILLA'!CS118,"AAAAAHq931Y=")</f>
        <v>#VALUE!</v>
      </c>
      <c r="CJ100" t="e">
        <f>AND('SPR BARRANQUILLA'!CT118,"AAAAAHq931c=")</f>
        <v>#VALUE!</v>
      </c>
      <c r="CK100" t="e">
        <f>AND('SPR BARRANQUILLA'!CU118,"AAAAAHq931g=")</f>
        <v>#VALUE!</v>
      </c>
      <c r="CL100" t="e">
        <f>AND('SPR BARRANQUILLA'!CV118,"AAAAAHq931k=")</f>
        <v>#VALUE!</v>
      </c>
      <c r="CM100" t="e">
        <f>AND('SPR BARRANQUILLA'!CW118,"AAAAAHq931o=")</f>
        <v>#VALUE!</v>
      </c>
      <c r="CN100" t="e">
        <f>AND('SPR BARRANQUILLA'!CX118,"AAAAAHq931s=")</f>
        <v>#VALUE!</v>
      </c>
      <c r="CO100" t="e">
        <f>AND('SPR BARRANQUILLA'!CY118,"AAAAAHq931w=")</f>
        <v>#VALUE!</v>
      </c>
      <c r="CP100" t="e">
        <f>AND('SPR BARRANQUILLA'!CZ118,"AAAAAHq9310=")</f>
        <v>#VALUE!</v>
      </c>
      <c r="CQ100" t="e">
        <f>AND('SPR BARRANQUILLA'!DA118,"AAAAAHq9314=")</f>
        <v>#VALUE!</v>
      </c>
      <c r="CR100" t="e">
        <f>AND('SPR BARRANQUILLA'!DB118,"AAAAAHq9318=")</f>
        <v>#VALUE!</v>
      </c>
      <c r="CS100" t="e">
        <f>AND('SPR BARRANQUILLA'!DC118,"AAAAAHq932A=")</f>
        <v>#VALUE!</v>
      </c>
      <c r="CT100" t="e">
        <f>AND('SPR BARRANQUILLA'!DD118,"AAAAAHq932E=")</f>
        <v>#VALUE!</v>
      </c>
      <c r="CU100" t="e">
        <f>AND('SPR BARRANQUILLA'!DE118,"AAAAAHq932I=")</f>
        <v>#VALUE!</v>
      </c>
      <c r="CV100" t="e">
        <f>AND('SPR BARRANQUILLA'!DF118,"AAAAAHq932M=")</f>
        <v>#VALUE!</v>
      </c>
      <c r="CW100" t="e">
        <f>AND('SPR BARRANQUILLA'!DG118,"AAAAAHq932Q=")</f>
        <v>#VALUE!</v>
      </c>
      <c r="CX100" t="e">
        <f>AND('SPR BARRANQUILLA'!DH118,"AAAAAHq932U=")</f>
        <v>#VALUE!</v>
      </c>
      <c r="CY100" t="e">
        <f>AND('SPR BARRANQUILLA'!DI118,"AAAAAHq932Y=")</f>
        <v>#VALUE!</v>
      </c>
      <c r="CZ100" t="e">
        <f>AND('SPR BARRANQUILLA'!DJ118,"AAAAAHq932c=")</f>
        <v>#VALUE!</v>
      </c>
      <c r="DA100" t="e">
        <f>AND('SPR BARRANQUILLA'!DK118,"AAAAAHq932g=")</f>
        <v>#VALUE!</v>
      </c>
      <c r="DB100" t="e">
        <f>AND('SPR BARRANQUILLA'!DL118,"AAAAAHq932k=")</f>
        <v>#VALUE!</v>
      </c>
      <c r="DC100" t="e">
        <f>AND('SPR BARRANQUILLA'!DM118,"AAAAAHq932o=")</f>
        <v>#VALUE!</v>
      </c>
      <c r="DD100" t="e">
        <f>AND('SPR BARRANQUILLA'!DN118,"AAAAAHq932s=")</f>
        <v>#VALUE!</v>
      </c>
      <c r="DE100" t="e">
        <f>AND('SPR BARRANQUILLA'!DO118,"AAAAAHq932w=")</f>
        <v>#VALUE!</v>
      </c>
      <c r="DF100" t="e">
        <f>AND('SPR BARRANQUILLA'!DP118,"AAAAAHq9320=")</f>
        <v>#VALUE!</v>
      </c>
      <c r="DG100" t="e">
        <f>AND('SPR BARRANQUILLA'!DQ118,"AAAAAHq9324=")</f>
        <v>#VALUE!</v>
      </c>
      <c r="DH100" t="e">
        <f>AND('SPR BARRANQUILLA'!DR118,"AAAAAHq9328=")</f>
        <v>#VALUE!</v>
      </c>
      <c r="DI100" t="e">
        <f>AND('SPR BARRANQUILLA'!DS118,"AAAAAHq933A=")</f>
        <v>#VALUE!</v>
      </c>
      <c r="DJ100" t="e">
        <f>AND('SPR BARRANQUILLA'!DT118,"AAAAAHq933E=")</f>
        <v>#VALUE!</v>
      </c>
      <c r="DK100" t="e">
        <f>AND('SPR BARRANQUILLA'!DU118,"AAAAAHq933I=")</f>
        <v>#VALUE!</v>
      </c>
      <c r="DL100" t="e">
        <f>AND('SPR BARRANQUILLA'!DV118,"AAAAAHq933M=")</f>
        <v>#VALUE!</v>
      </c>
      <c r="DM100" t="e">
        <f>AND('SPR BARRANQUILLA'!DW118,"AAAAAHq933Q=")</f>
        <v>#VALUE!</v>
      </c>
      <c r="DN100" t="e">
        <f>AND('SPR BARRANQUILLA'!DX118,"AAAAAHq933U=")</f>
        <v>#VALUE!</v>
      </c>
      <c r="DO100" t="e">
        <f>AND('SPR BARRANQUILLA'!DY118,"AAAAAHq933Y=")</f>
        <v>#VALUE!</v>
      </c>
      <c r="DP100" t="e">
        <f>AND('SPR BARRANQUILLA'!DZ118,"AAAAAHq933c=")</f>
        <v>#VALUE!</v>
      </c>
      <c r="DQ100" t="e">
        <f>AND('SPR BARRANQUILLA'!EA118,"AAAAAHq933g=")</f>
        <v>#VALUE!</v>
      </c>
      <c r="DR100" t="e">
        <f>AND('SPR BARRANQUILLA'!EB118,"AAAAAHq933k=")</f>
        <v>#VALUE!</v>
      </c>
      <c r="DS100" t="e">
        <f>AND('SPR BARRANQUILLA'!EC118,"AAAAAHq933o=")</f>
        <v>#VALUE!</v>
      </c>
      <c r="DT100" t="e">
        <f>AND('SPR BARRANQUILLA'!ED118,"AAAAAHq933s=")</f>
        <v>#VALUE!</v>
      </c>
      <c r="DU100" t="e">
        <f>AND('SPR BARRANQUILLA'!EE118,"AAAAAHq933w=")</f>
        <v>#VALUE!</v>
      </c>
      <c r="DV100" t="e">
        <f>AND('SPR BARRANQUILLA'!EF118,"AAAAAHq9330=")</f>
        <v>#VALUE!</v>
      </c>
      <c r="DW100" t="e">
        <f>AND('SPR BARRANQUILLA'!EG118,"AAAAAHq9334=")</f>
        <v>#VALUE!</v>
      </c>
      <c r="DX100" t="e">
        <f>AND('SPR BARRANQUILLA'!EH118,"AAAAAHq9338=")</f>
        <v>#VALUE!</v>
      </c>
      <c r="DY100" t="e">
        <f>AND('SPR BARRANQUILLA'!EI118,"AAAAAHq934A=")</f>
        <v>#VALUE!</v>
      </c>
      <c r="DZ100" t="e">
        <f>AND('SPR BARRANQUILLA'!EJ118,"AAAAAHq934E=")</f>
        <v>#VALUE!</v>
      </c>
      <c r="EA100" t="e">
        <f>AND('SPR BARRANQUILLA'!EK118,"AAAAAHq934I=")</f>
        <v>#VALUE!</v>
      </c>
      <c r="EB100" t="e">
        <f>AND('SPR BARRANQUILLA'!EL118,"AAAAAHq934M=")</f>
        <v>#VALUE!</v>
      </c>
      <c r="EC100" t="e">
        <f>AND('SPR BARRANQUILLA'!EM118,"AAAAAHq934Q=")</f>
        <v>#VALUE!</v>
      </c>
      <c r="ED100" t="e">
        <f>AND('SPR BARRANQUILLA'!EN118,"AAAAAHq934U=")</f>
        <v>#VALUE!</v>
      </c>
      <c r="EE100" t="e">
        <f>AND('SPR BARRANQUILLA'!EO118,"AAAAAHq934Y=")</f>
        <v>#VALUE!</v>
      </c>
      <c r="EF100" t="e">
        <f>AND('SPR BARRANQUILLA'!EP118,"AAAAAHq934c=")</f>
        <v>#VALUE!</v>
      </c>
      <c r="EG100" t="e">
        <f>AND('SPR BARRANQUILLA'!EQ118,"AAAAAHq934g=")</f>
        <v>#VALUE!</v>
      </c>
      <c r="EH100" t="e">
        <f>AND('SPR BARRANQUILLA'!ER118,"AAAAAHq934k=")</f>
        <v>#VALUE!</v>
      </c>
      <c r="EI100" t="e">
        <f>AND('SPR BARRANQUILLA'!ES118,"AAAAAHq934o=")</f>
        <v>#VALUE!</v>
      </c>
      <c r="EJ100" t="e">
        <f>AND('SPR BARRANQUILLA'!ET118,"AAAAAHq934s=")</f>
        <v>#VALUE!</v>
      </c>
      <c r="EK100" t="e">
        <f>AND('SPR BARRANQUILLA'!EU118,"AAAAAHq934w=")</f>
        <v>#VALUE!</v>
      </c>
      <c r="EL100" t="e">
        <f>AND('SPR BARRANQUILLA'!EV118,"AAAAAHq9340=")</f>
        <v>#VALUE!</v>
      </c>
      <c r="EM100" t="e">
        <f>AND('SPR BARRANQUILLA'!EW118,"AAAAAHq9344=")</f>
        <v>#VALUE!</v>
      </c>
      <c r="EN100" t="e">
        <f>AND('SPR BARRANQUILLA'!EX118,"AAAAAHq9348=")</f>
        <v>#VALUE!</v>
      </c>
      <c r="EO100" t="e">
        <f>AND('SPR BARRANQUILLA'!EY118,"AAAAAHq935A=")</f>
        <v>#VALUE!</v>
      </c>
      <c r="EP100" t="e">
        <f>AND('SPR BARRANQUILLA'!EZ118,"AAAAAHq935E=")</f>
        <v>#VALUE!</v>
      </c>
      <c r="EQ100" t="e">
        <f>AND('SPR BARRANQUILLA'!FA118,"AAAAAHq935I=")</f>
        <v>#VALUE!</v>
      </c>
      <c r="ER100" t="e">
        <f>AND('SPR BARRANQUILLA'!FB118,"AAAAAHq935M=")</f>
        <v>#VALUE!</v>
      </c>
      <c r="ES100" t="e">
        <f>AND('SPR BARRANQUILLA'!FC118,"AAAAAHq935Q=")</f>
        <v>#VALUE!</v>
      </c>
      <c r="ET100" t="e">
        <f>AND('SPR BARRANQUILLA'!FD118,"AAAAAHq935U=")</f>
        <v>#VALUE!</v>
      </c>
      <c r="EU100" t="e">
        <f>AND('SPR BARRANQUILLA'!FE118,"AAAAAHq935Y=")</f>
        <v>#VALUE!</v>
      </c>
      <c r="EV100" t="e">
        <f>AND('SPR BARRANQUILLA'!FF118,"AAAAAHq935c=")</f>
        <v>#VALUE!</v>
      </c>
      <c r="EW100" t="e">
        <f>AND('SPR BARRANQUILLA'!FG118,"AAAAAHq935g=")</f>
        <v>#VALUE!</v>
      </c>
      <c r="EX100" t="e">
        <f>AND('SPR BARRANQUILLA'!FH118,"AAAAAHq935k=")</f>
        <v>#VALUE!</v>
      </c>
      <c r="EY100" t="e">
        <f>AND('SPR BARRANQUILLA'!FI118,"AAAAAHq935o=")</f>
        <v>#VALUE!</v>
      </c>
      <c r="EZ100" t="e">
        <f>AND('SPR BARRANQUILLA'!FJ118,"AAAAAHq935s=")</f>
        <v>#VALUE!</v>
      </c>
      <c r="FA100" t="e">
        <f>AND('SPR BARRANQUILLA'!FK118,"AAAAAHq935w=")</f>
        <v>#VALUE!</v>
      </c>
      <c r="FB100" t="e">
        <f>AND('SPR BARRANQUILLA'!FL118,"AAAAAHq9350=")</f>
        <v>#VALUE!</v>
      </c>
      <c r="FC100" t="e">
        <f>AND('SPR BARRANQUILLA'!FM118,"AAAAAHq9354=")</f>
        <v>#VALUE!</v>
      </c>
      <c r="FD100" t="e">
        <f>AND('SPR BARRANQUILLA'!FN118,"AAAAAHq9358=")</f>
        <v>#VALUE!</v>
      </c>
      <c r="FE100" t="e">
        <f>AND('SPR BARRANQUILLA'!FO118,"AAAAAHq936A=")</f>
        <v>#VALUE!</v>
      </c>
      <c r="FF100" t="e">
        <f>AND('SPR BARRANQUILLA'!FP118,"AAAAAHq936E=")</f>
        <v>#VALUE!</v>
      </c>
      <c r="FG100" t="e">
        <f>AND('SPR BARRANQUILLA'!FQ118,"AAAAAHq936I=")</f>
        <v>#VALUE!</v>
      </c>
      <c r="FH100" t="e">
        <f>AND('SPR BARRANQUILLA'!FR118,"AAAAAHq936M=")</f>
        <v>#VALUE!</v>
      </c>
      <c r="FI100" t="e">
        <f>AND('SPR BARRANQUILLA'!FS118,"AAAAAHq936Q=")</f>
        <v>#VALUE!</v>
      </c>
      <c r="FJ100" t="e">
        <f>AND('SPR BARRANQUILLA'!FT118,"AAAAAHq936U=")</f>
        <v>#VALUE!</v>
      </c>
      <c r="FK100" t="e">
        <f>AND('SPR BARRANQUILLA'!FU118,"AAAAAHq936Y=")</f>
        <v>#VALUE!</v>
      </c>
      <c r="FL100" t="e">
        <f>AND('SPR BARRANQUILLA'!FV118,"AAAAAHq936c=")</f>
        <v>#VALUE!</v>
      </c>
      <c r="FM100" t="e">
        <f>AND('SPR BARRANQUILLA'!FW118,"AAAAAHq936g=")</f>
        <v>#VALUE!</v>
      </c>
      <c r="FN100" t="e">
        <f>AND('SPR BARRANQUILLA'!FX118,"AAAAAHq936k=")</f>
        <v>#VALUE!</v>
      </c>
      <c r="FO100" t="e">
        <f>AND('SPR BARRANQUILLA'!FY118,"AAAAAHq936o=")</f>
        <v>#VALUE!</v>
      </c>
      <c r="FP100" t="e">
        <f>AND('SPR BARRANQUILLA'!FZ118,"AAAAAHq936s=")</f>
        <v>#VALUE!</v>
      </c>
      <c r="FQ100" t="e">
        <f>AND('SPR BARRANQUILLA'!GA118,"AAAAAHq936w=")</f>
        <v>#VALUE!</v>
      </c>
      <c r="FR100" t="e">
        <f>AND('SPR BARRANQUILLA'!GB118,"AAAAAHq9360=")</f>
        <v>#VALUE!</v>
      </c>
      <c r="FS100" t="e">
        <f>AND('SPR BARRANQUILLA'!GC118,"AAAAAHq9364=")</f>
        <v>#VALUE!</v>
      </c>
      <c r="FT100" t="e">
        <f>AND('SPR BARRANQUILLA'!GD118,"AAAAAHq9368=")</f>
        <v>#VALUE!</v>
      </c>
      <c r="FU100" t="e">
        <f>AND('SPR BARRANQUILLA'!GE118,"AAAAAHq937A=")</f>
        <v>#VALUE!</v>
      </c>
      <c r="FV100" t="e">
        <f>AND('SPR BARRANQUILLA'!GF118,"AAAAAHq937E=")</f>
        <v>#VALUE!</v>
      </c>
      <c r="FW100" t="e">
        <f>AND('SPR BARRANQUILLA'!GG118,"AAAAAHq937I=")</f>
        <v>#VALUE!</v>
      </c>
      <c r="FX100" t="e">
        <f>AND('SPR BARRANQUILLA'!GH118,"AAAAAHq937M=")</f>
        <v>#VALUE!</v>
      </c>
      <c r="FY100" t="e">
        <f>AND('SPR BARRANQUILLA'!GI118,"AAAAAHq937Q=")</f>
        <v>#VALUE!</v>
      </c>
      <c r="FZ100" t="e">
        <f>AND('SPR BARRANQUILLA'!GJ118,"AAAAAHq937U=")</f>
        <v>#VALUE!</v>
      </c>
      <c r="GA100" t="e">
        <f>AND('SPR BARRANQUILLA'!GK118,"AAAAAHq937Y=")</f>
        <v>#VALUE!</v>
      </c>
      <c r="GB100" t="e">
        <f>AND('SPR BARRANQUILLA'!GL118,"AAAAAHq937c=")</f>
        <v>#VALUE!</v>
      </c>
      <c r="GC100" t="e">
        <f>AND('SPR BARRANQUILLA'!GM118,"AAAAAHq937g=")</f>
        <v>#VALUE!</v>
      </c>
      <c r="GD100" t="e">
        <f>AND('SPR BARRANQUILLA'!GN118,"AAAAAHq937k=")</f>
        <v>#VALUE!</v>
      </c>
      <c r="GE100" t="e">
        <f>AND('SPR BARRANQUILLA'!GO118,"AAAAAHq937o=")</f>
        <v>#VALUE!</v>
      </c>
      <c r="GF100" t="e">
        <f>AND('SPR BARRANQUILLA'!GP118,"AAAAAHq937s=")</f>
        <v>#VALUE!</v>
      </c>
      <c r="GG100" t="e">
        <f>AND('SPR BARRANQUILLA'!GQ118,"AAAAAHq937w=")</f>
        <v>#VALUE!</v>
      </c>
      <c r="GH100" t="e">
        <f>AND('SPR BARRANQUILLA'!GR118,"AAAAAHq9370=")</f>
        <v>#VALUE!</v>
      </c>
      <c r="GI100" t="e">
        <f>AND('SPR BARRANQUILLA'!GS118,"AAAAAHq9374=")</f>
        <v>#VALUE!</v>
      </c>
      <c r="GJ100" t="e">
        <f>AND('SPR BARRANQUILLA'!GT118,"AAAAAHq9378=")</f>
        <v>#VALUE!</v>
      </c>
      <c r="GK100" t="e">
        <f>AND('SPR BARRANQUILLA'!GU118,"AAAAAHq938A=")</f>
        <v>#VALUE!</v>
      </c>
      <c r="GL100" t="e">
        <f>AND('SPR BARRANQUILLA'!GV118,"AAAAAHq938E=")</f>
        <v>#VALUE!</v>
      </c>
      <c r="GM100" t="e">
        <f>AND('SPR BARRANQUILLA'!GW118,"AAAAAHq938I=")</f>
        <v>#VALUE!</v>
      </c>
      <c r="GN100" t="e">
        <f>AND('SPR BARRANQUILLA'!GX118,"AAAAAHq938M=")</f>
        <v>#VALUE!</v>
      </c>
      <c r="GO100" t="e">
        <f>AND('SPR BARRANQUILLA'!GY118,"AAAAAHq938Q=")</f>
        <v>#VALUE!</v>
      </c>
      <c r="GP100">
        <f>IF('SPR BARRANQUILLA'!119:119,"AAAAAHq938U=",0)</f>
        <v>0</v>
      </c>
      <c r="GQ100" t="e">
        <f>AND('SPR BARRANQUILLA'!A119,"AAAAAHq938Y=")</f>
        <v>#VALUE!</v>
      </c>
      <c r="GR100" t="e">
        <f>AND('SPR BARRANQUILLA'!B119,"AAAAAHq938c=")</f>
        <v>#VALUE!</v>
      </c>
      <c r="GS100" t="e">
        <f>AND('SPR BARRANQUILLA'!C119,"AAAAAHq938g=")</f>
        <v>#VALUE!</v>
      </c>
      <c r="GT100" t="e">
        <f>AND('SPR BARRANQUILLA'!D119,"AAAAAHq938k=")</f>
        <v>#VALUE!</v>
      </c>
      <c r="GU100" t="e">
        <f>AND('SPR BARRANQUILLA'!E119,"AAAAAHq938o=")</f>
        <v>#VALUE!</v>
      </c>
      <c r="GV100" t="e">
        <f>AND('SPR BARRANQUILLA'!F119,"AAAAAHq938s=")</f>
        <v>#VALUE!</v>
      </c>
      <c r="GW100" t="e">
        <f>AND('SPR BARRANQUILLA'!G119,"AAAAAHq938w=")</f>
        <v>#VALUE!</v>
      </c>
      <c r="GX100" t="e">
        <f>AND('SPR BARRANQUILLA'!H119,"AAAAAHq9380=")</f>
        <v>#VALUE!</v>
      </c>
      <c r="GY100" t="e">
        <f>AND('SPR BARRANQUILLA'!I119,"AAAAAHq9384=")</f>
        <v>#VALUE!</v>
      </c>
      <c r="GZ100" t="e">
        <f>AND('SPR BARRANQUILLA'!J119,"AAAAAHq9388=")</f>
        <v>#VALUE!</v>
      </c>
      <c r="HA100" t="e">
        <f>AND('SPR BARRANQUILLA'!K119,"AAAAAHq939A=")</f>
        <v>#VALUE!</v>
      </c>
      <c r="HB100" t="e">
        <f>AND('SPR BARRANQUILLA'!L119,"AAAAAHq939E=")</f>
        <v>#VALUE!</v>
      </c>
      <c r="HC100" t="e">
        <f>AND('SPR BARRANQUILLA'!M119,"AAAAAHq939I=")</f>
        <v>#VALUE!</v>
      </c>
      <c r="HD100" t="e">
        <f>AND('SPR BARRANQUILLA'!N119,"AAAAAHq939M=")</f>
        <v>#VALUE!</v>
      </c>
      <c r="HE100" t="e">
        <f>AND('SPR BARRANQUILLA'!O119,"AAAAAHq939Q=")</f>
        <v>#VALUE!</v>
      </c>
      <c r="HF100" t="e">
        <f>AND('SPR BARRANQUILLA'!P119,"AAAAAHq939U=")</f>
        <v>#VALUE!</v>
      </c>
      <c r="HG100" t="e">
        <f>AND('SPR BARRANQUILLA'!Q119,"AAAAAHq939Y=")</f>
        <v>#VALUE!</v>
      </c>
      <c r="HH100" t="e">
        <f>AND('SPR BARRANQUILLA'!R119,"AAAAAHq939c=")</f>
        <v>#VALUE!</v>
      </c>
      <c r="HI100" t="e">
        <f>AND('SPR BARRANQUILLA'!S119,"AAAAAHq939g=")</f>
        <v>#VALUE!</v>
      </c>
      <c r="HJ100" t="e">
        <f>AND('SPR BARRANQUILLA'!T119,"AAAAAHq939k=")</f>
        <v>#VALUE!</v>
      </c>
      <c r="HK100" t="e">
        <f>AND('SPR BARRANQUILLA'!U119,"AAAAAHq939o=")</f>
        <v>#VALUE!</v>
      </c>
      <c r="HL100" t="e">
        <f>AND('SPR BARRANQUILLA'!V119,"AAAAAHq939s=")</f>
        <v>#VALUE!</v>
      </c>
      <c r="HM100" t="e">
        <f>AND('SPR BARRANQUILLA'!W119,"AAAAAHq939w=")</f>
        <v>#VALUE!</v>
      </c>
      <c r="HN100" t="e">
        <f>AND('SPR BARRANQUILLA'!X119,"AAAAAHq9390=")</f>
        <v>#VALUE!</v>
      </c>
      <c r="HO100" t="e">
        <f>AND('SPR BARRANQUILLA'!Y119,"AAAAAHq9394=")</f>
        <v>#VALUE!</v>
      </c>
      <c r="HP100" t="e">
        <f>AND('SPR BARRANQUILLA'!Z119,"AAAAAHq9398=")</f>
        <v>#VALUE!</v>
      </c>
      <c r="HQ100" t="e">
        <f>AND('SPR BARRANQUILLA'!AA119,"AAAAAHq93+A=")</f>
        <v>#VALUE!</v>
      </c>
      <c r="HR100" t="e">
        <f>AND('SPR BARRANQUILLA'!AB119,"AAAAAHq93+E=")</f>
        <v>#VALUE!</v>
      </c>
      <c r="HS100" t="e">
        <f>AND('SPR BARRANQUILLA'!AC119,"AAAAAHq93+I=")</f>
        <v>#VALUE!</v>
      </c>
      <c r="HT100" t="e">
        <f>AND('SPR BARRANQUILLA'!AD119,"AAAAAHq93+M=")</f>
        <v>#VALUE!</v>
      </c>
      <c r="HU100" t="e">
        <f>AND('SPR BARRANQUILLA'!AE119,"AAAAAHq93+Q=")</f>
        <v>#VALUE!</v>
      </c>
      <c r="HV100" t="e">
        <f>AND('SPR BARRANQUILLA'!AF119,"AAAAAHq93+U=")</f>
        <v>#VALUE!</v>
      </c>
      <c r="HW100" t="e">
        <f>AND('SPR BARRANQUILLA'!AG119,"AAAAAHq93+Y=")</f>
        <v>#VALUE!</v>
      </c>
      <c r="HX100" t="e">
        <f>AND('SPR BARRANQUILLA'!AH119,"AAAAAHq93+c=")</f>
        <v>#VALUE!</v>
      </c>
      <c r="HY100" t="e">
        <f>AND('SPR BARRANQUILLA'!AI119,"AAAAAHq93+g=")</f>
        <v>#VALUE!</v>
      </c>
      <c r="HZ100" t="e">
        <f>AND('SPR BARRANQUILLA'!AJ119,"AAAAAHq93+k=")</f>
        <v>#VALUE!</v>
      </c>
      <c r="IA100" t="e">
        <f>AND('SPR BARRANQUILLA'!AK119,"AAAAAHq93+o=")</f>
        <v>#VALUE!</v>
      </c>
      <c r="IB100" t="e">
        <f>AND('SPR BARRANQUILLA'!AL119,"AAAAAHq93+s=")</f>
        <v>#VALUE!</v>
      </c>
      <c r="IC100" t="e">
        <f>AND('SPR BARRANQUILLA'!AM119,"AAAAAHq93+w=")</f>
        <v>#VALUE!</v>
      </c>
      <c r="ID100" t="e">
        <f>AND('SPR BARRANQUILLA'!AN119,"AAAAAHq93+0=")</f>
        <v>#VALUE!</v>
      </c>
      <c r="IE100" t="e">
        <f>AND('SPR BARRANQUILLA'!AO119,"AAAAAHq93+4=")</f>
        <v>#VALUE!</v>
      </c>
      <c r="IF100" t="e">
        <f>AND('SPR BARRANQUILLA'!AP119,"AAAAAHq93+8=")</f>
        <v>#VALUE!</v>
      </c>
      <c r="IG100" t="e">
        <f>AND('SPR BARRANQUILLA'!AQ119,"AAAAAHq93/A=")</f>
        <v>#VALUE!</v>
      </c>
      <c r="IH100" t="e">
        <f>AND('SPR BARRANQUILLA'!AR119,"AAAAAHq93/E=")</f>
        <v>#VALUE!</v>
      </c>
      <c r="II100" t="e">
        <f>AND('SPR BARRANQUILLA'!AS119,"AAAAAHq93/I=")</f>
        <v>#VALUE!</v>
      </c>
      <c r="IJ100" t="e">
        <f>AND('SPR BARRANQUILLA'!AT119,"AAAAAHq93/M=")</f>
        <v>#VALUE!</v>
      </c>
      <c r="IK100" t="e">
        <f>AND('SPR BARRANQUILLA'!AU119,"AAAAAHq93/Q=")</f>
        <v>#VALUE!</v>
      </c>
      <c r="IL100" t="e">
        <f>AND('SPR BARRANQUILLA'!AV119,"AAAAAHq93/U=")</f>
        <v>#VALUE!</v>
      </c>
      <c r="IM100" t="e">
        <f>AND('SPR BARRANQUILLA'!AW119,"AAAAAHq93/Y=")</f>
        <v>#VALUE!</v>
      </c>
      <c r="IN100" t="e">
        <f>AND('SPR BARRANQUILLA'!AX119,"AAAAAHq93/c=")</f>
        <v>#VALUE!</v>
      </c>
      <c r="IO100" t="e">
        <f>AND('SPR BARRANQUILLA'!AY119,"AAAAAHq93/g=")</f>
        <v>#VALUE!</v>
      </c>
      <c r="IP100" t="e">
        <f>AND('SPR BARRANQUILLA'!AZ119,"AAAAAHq93/k=")</f>
        <v>#VALUE!</v>
      </c>
      <c r="IQ100" t="e">
        <f>AND('SPR BARRANQUILLA'!BA119,"AAAAAHq93/o=")</f>
        <v>#VALUE!</v>
      </c>
      <c r="IR100" t="e">
        <f>AND('SPR BARRANQUILLA'!BB119,"AAAAAHq93/s=")</f>
        <v>#VALUE!</v>
      </c>
      <c r="IS100" t="e">
        <f>AND('SPR BARRANQUILLA'!BC119,"AAAAAHq93/w=")</f>
        <v>#VALUE!</v>
      </c>
      <c r="IT100" t="e">
        <f>AND('SPR BARRANQUILLA'!BD119,"AAAAAHq93/0=")</f>
        <v>#VALUE!</v>
      </c>
      <c r="IU100" t="e">
        <f>AND('SPR BARRANQUILLA'!BE119,"AAAAAHq93/4=")</f>
        <v>#VALUE!</v>
      </c>
      <c r="IV100" t="e">
        <f>AND('SPR BARRANQUILLA'!BF119,"AAAAAHq93/8=")</f>
        <v>#VALUE!</v>
      </c>
    </row>
    <row r="101" spans="1:256">
      <c r="A101" t="e">
        <f>AND('SPR BARRANQUILLA'!BG119,"AAAAAF7Z/QA=")</f>
        <v>#VALUE!</v>
      </c>
      <c r="B101" t="e">
        <f>AND('SPR BARRANQUILLA'!BH119,"AAAAAF7Z/QE=")</f>
        <v>#VALUE!</v>
      </c>
      <c r="C101" t="e">
        <f>AND('SPR BARRANQUILLA'!BI119,"AAAAAF7Z/QI=")</f>
        <v>#VALUE!</v>
      </c>
      <c r="D101" t="e">
        <f>AND('SPR BARRANQUILLA'!BJ119,"AAAAAF7Z/QM=")</f>
        <v>#VALUE!</v>
      </c>
      <c r="E101" t="e">
        <f>AND('SPR BARRANQUILLA'!BK119,"AAAAAF7Z/QQ=")</f>
        <v>#VALUE!</v>
      </c>
      <c r="F101" t="e">
        <f>AND('SPR BARRANQUILLA'!BL119,"AAAAAF7Z/QU=")</f>
        <v>#VALUE!</v>
      </c>
      <c r="G101" t="e">
        <f>AND('SPR BARRANQUILLA'!BM119,"AAAAAF7Z/QY=")</f>
        <v>#VALUE!</v>
      </c>
      <c r="H101" t="e">
        <f>AND('SPR BARRANQUILLA'!BN119,"AAAAAF7Z/Qc=")</f>
        <v>#VALUE!</v>
      </c>
      <c r="I101" t="e">
        <f>AND('SPR BARRANQUILLA'!BO119,"AAAAAF7Z/Qg=")</f>
        <v>#VALUE!</v>
      </c>
      <c r="J101" t="e">
        <f>AND('SPR BARRANQUILLA'!BP119,"AAAAAF7Z/Qk=")</f>
        <v>#VALUE!</v>
      </c>
      <c r="K101" t="e">
        <f>AND('SPR BARRANQUILLA'!BQ119,"AAAAAF7Z/Qo=")</f>
        <v>#VALUE!</v>
      </c>
      <c r="L101" t="e">
        <f>AND('SPR BARRANQUILLA'!BR119,"AAAAAF7Z/Qs=")</f>
        <v>#VALUE!</v>
      </c>
      <c r="M101" t="e">
        <f>AND('SPR BARRANQUILLA'!BS119,"AAAAAF7Z/Qw=")</f>
        <v>#VALUE!</v>
      </c>
      <c r="N101" t="e">
        <f>AND('SPR BARRANQUILLA'!BT119,"AAAAAF7Z/Q0=")</f>
        <v>#VALUE!</v>
      </c>
      <c r="O101" t="e">
        <f>AND('SPR BARRANQUILLA'!BU119,"AAAAAF7Z/Q4=")</f>
        <v>#VALUE!</v>
      </c>
      <c r="P101" t="e">
        <f>AND('SPR BARRANQUILLA'!BV119,"AAAAAF7Z/Q8=")</f>
        <v>#VALUE!</v>
      </c>
      <c r="Q101" t="e">
        <f>AND('SPR BARRANQUILLA'!BW119,"AAAAAF7Z/RA=")</f>
        <v>#VALUE!</v>
      </c>
      <c r="R101" t="e">
        <f>AND('SPR BARRANQUILLA'!BX119,"AAAAAF7Z/RE=")</f>
        <v>#VALUE!</v>
      </c>
      <c r="S101" t="e">
        <f>AND('SPR BARRANQUILLA'!BY119,"AAAAAF7Z/RI=")</f>
        <v>#VALUE!</v>
      </c>
      <c r="T101" t="e">
        <f>AND('SPR BARRANQUILLA'!BZ119,"AAAAAF7Z/RM=")</f>
        <v>#VALUE!</v>
      </c>
      <c r="U101" t="e">
        <f>AND('SPR BARRANQUILLA'!CA119,"AAAAAF7Z/RQ=")</f>
        <v>#VALUE!</v>
      </c>
      <c r="V101" t="e">
        <f>AND('SPR BARRANQUILLA'!CB119,"AAAAAF7Z/RU=")</f>
        <v>#VALUE!</v>
      </c>
      <c r="W101" t="e">
        <f>AND('SPR BARRANQUILLA'!CC119,"AAAAAF7Z/RY=")</f>
        <v>#VALUE!</v>
      </c>
      <c r="X101" t="e">
        <f>AND('SPR BARRANQUILLA'!CD119,"AAAAAF7Z/Rc=")</f>
        <v>#VALUE!</v>
      </c>
      <c r="Y101" t="e">
        <f>AND('SPR BARRANQUILLA'!CE119,"AAAAAF7Z/Rg=")</f>
        <v>#VALUE!</v>
      </c>
      <c r="Z101" t="e">
        <f>AND('SPR BARRANQUILLA'!CF119,"AAAAAF7Z/Rk=")</f>
        <v>#VALUE!</v>
      </c>
      <c r="AA101" t="e">
        <f>AND('SPR BARRANQUILLA'!CG119,"AAAAAF7Z/Ro=")</f>
        <v>#VALUE!</v>
      </c>
      <c r="AB101" t="e">
        <f>AND('SPR BARRANQUILLA'!CH119,"AAAAAF7Z/Rs=")</f>
        <v>#VALUE!</v>
      </c>
      <c r="AC101" t="e">
        <f>AND('SPR BARRANQUILLA'!CI119,"AAAAAF7Z/Rw=")</f>
        <v>#VALUE!</v>
      </c>
      <c r="AD101" t="e">
        <f>AND('SPR BARRANQUILLA'!CJ119,"AAAAAF7Z/R0=")</f>
        <v>#VALUE!</v>
      </c>
      <c r="AE101" t="e">
        <f>AND('SPR BARRANQUILLA'!CK119,"AAAAAF7Z/R4=")</f>
        <v>#VALUE!</v>
      </c>
      <c r="AF101" t="e">
        <f>AND('SPR BARRANQUILLA'!CL119,"AAAAAF7Z/R8=")</f>
        <v>#VALUE!</v>
      </c>
      <c r="AG101" t="e">
        <f>AND('SPR BARRANQUILLA'!CM119,"AAAAAF7Z/SA=")</f>
        <v>#VALUE!</v>
      </c>
      <c r="AH101" t="e">
        <f>AND('SPR BARRANQUILLA'!CN119,"AAAAAF7Z/SE=")</f>
        <v>#VALUE!</v>
      </c>
      <c r="AI101" t="e">
        <f>AND('SPR BARRANQUILLA'!CO119,"AAAAAF7Z/SI=")</f>
        <v>#VALUE!</v>
      </c>
      <c r="AJ101" t="e">
        <f>AND('SPR BARRANQUILLA'!CP119,"AAAAAF7Z/SM=")</f>
        <v>#VALUE!</v>
      </c>
      <c r="AK101" t="e">
        <f>AND('SPR BARRANQUILLA'!CQ119,"AAAAAF7Z/SQ=")</f>
        <v>#VALUE!</v>
      </c>
      <c r="AL101" t="e">
        <f>AND('SPR BARRANQUILLA'!CR119,"AAAAAF7Z/SU=")</f>
        <v>#VALUE!</v>
      </c>
      <c r="AM101" t="e">
        <f>AND('SPR BARRANQUILLA'!CS119,"AAAAAF7Z/SY=")</f>
        <v>#VALUE!</v>
      </c>
      <c r="AN101" t="e">
        <f>AND('SPR BARRANQUILLA'!CT119,"AAAAAF7Z/Sc=")</f>
        <v>#VALUE!</v>
      </c>
      <c r="AO101" t="e">
        <f>AND('SPR BARRANQUILLA'!CU119,"AAAAAF7Z/Sg=")</f>
        <v>#VALUE!</v>
      </c>
      <c r="AP101" t="e">
        <f>AND('SPR BARRANQUILLA'!CV119,"AAAAAF7Z/Sk=")</f>
        <v>#VALUE!</v>
      </c>
      <c r="AQ101" t="e">
        <f>AND('SPR BARRANQUILLA'!CW119,"AAAAAF7Z/So=")</f>
        <v>#VALUE!</v>
      </c>
      <c r="AR101" t="e">
        <f>AND('SPR BARRANQUILLA'!CX119,"AAAAAF7Z/Ss=")</f>
        <v>#VALUE!</v>
      </c>
      <c r="AS101" t="e">
        <f>AND('SPR BARRANQUILLA'!CY119,"AAAAAF7Z/Sw=")</f>
        <v>#VALUE!</v>
      </c>
      <c r="AT101" t="e">
        <f>AND('SPR BARRANQUILLA'!CZ119,"AAAAAF7Z/S0=")</f>
        <v>#VALUE!</v>
      </c>
      <c r="AU101" t="e">
        <f>AND('SPR BARRANQUILLA'!DA119,"AAAAAF7Z/S4=")</f>
        <v>#VALUE!</v>
      </c>
      <c r="AV101" t="e">
        <f>AND('SPR BARRANQUILLA'!DB119,"AAAAAF7Z/S8=")</f>
        <v>#VALUE!</v>
      </c>
      <c r="AW101" t="e">
        <f>AND('SPR BARRANQUILLA'!DC119,"AAAAAF7Z/TA=")</f>
        <v>#VALUE!</v>
      </c>
      <c r="AX101" t="e">
        <f>AND('SPR BARRANQUILLA'!DD119,"AAAAAF7Z/TE=")</f>
        <v>#VALUE!</v>
      </c>
      <c r="AY101" t="e">
        <f>AND('SPR BARRANQUILLA'!DE119,"AAAAAF7Z/TI=")</f>
        <v>#VALUE!</v>
      </c>
      <c r="AZ101" t="e">
        <f>AND('SPR BARRANQUILLA'!DF119,"AAAAAF7Z/TM=")</f>
        <v>#VALUE!</v>
      </c>
      <c r="BA101" t="e">
        <f>AND('SPR BARRANQUILLA'!DG119,"AAAAAF7Z/TQ=")</f>
        <v>#VALUE!</v>
      </c>
      <c r="BB101" t="e">
        <f>AND('SPR BARRANQUILLA'!DH119,"AAAAAF7Z/TU=")</f>
        <v>#VALUE!</v>
      </c>
      <c r="BC101" t="e">
        <f>AND('SPR BARRANQUILLA'!DI119,"AAAAAF7Z/TY=")</f>
        <v>#VALUE!</v>
      </c>
      <c r="BD101" t="e">
        <f>AND('SPR BARRANQUILLA'!DJ119,"AAAAAF7Z/Tc=")</f>
        <v>#VALUE!</v>
      </c>
      <c r="BE101" t="e">
        <f>AND('SPR BARRANQUILLA'!DK119,"AAAAAF7Z/Tg=")</f>
        <v>#VALUE!</v>
      </c>
      <c r="BF101" t="e">
        <f>AND('SPR BARRANQUILLA'!DL119,"AAAAAF7Z/Tk=")</f>
        <v>#VALUE!</v>
      </c>
      <c r="BG101" t="e">
        <f>AND('SPR BARRANQUILLA'!DM119,"AAAAAF7Z/To=")</f>
        <v>#VALUE!</v>
      </c>
      <c r="BH101" t="e">
        <f>AND('SPR BARRANQUILLA'!DN119,"AAAAAF7Z/Ts=")</f>
        <v>#VALUE!</v>
      </c>
      <c r="BI101" t="e">
        <f>AND('SPR BARRANQUILLA'!DO119,"AAAAAF7Z/Tw=")</f>
        <v>#VALUE!</v>
      </c>
      <c r="BJ101" t="e">
        <f>AND('SPR BARRANQUILLA'!DP119,"AAAAAF7Z/T0=")</f>
        <v>#VALUE!</v>
      </c>
      <c r="BK101" t="e">
        <f>AND('SPR BARRANQUILLA'!DQ119,"AAAAAF7Z/T4=")</f>
        <v>#VALUE!</v>
      </c>
      <c r="BL101" t="e">
        <f>AND('SPR BARRANQUILLA'!DR119,"AAAAAF7Z/T8=")</f>
        <v>#VALUE!</v>
      </c>
      <c r="BM101" t="e">
        <f>AND('SPR BARRANQUILLA'!DS119,"AAAAAF7Z/UA=")</f>
        <v>#VALUE!</v>
      </c>
      <c r="BN101" t="e">
        <f>AND('SPR BARRANQUILLA'!DT119,"AAAAAF7Z/UE=")</f>
        <v>#VALUE!</v>
      </c>
      <c r="BO101" t="e">
        <f>AND('SPR BARRANQUILLA'!DU119,"AAAAAF7Z/UI=")</f>
        <v>#VALUE!</v>
      </c>
      <c r="BP101" t="e">
        <f>AND('SPR BARRANQUILLA'!DV119,"AAAAAF7Z/UM=")</f>
        <v>#VALUE!</v>
      </c>
      <c r="BQ101" t="e">
        <f>AND('SPR BARRANQUILLA'!DW119,"AAAAAF7Z/UQ=")</f>
        <v>#VALUE!</v>
      </c>
      <c r="BR101" t="e">
        <f>AND('SPR BARRANQUILLA'!DX119,"AAAAAF7Z/UU=")</f>
        <v>#VALUE!</v>
      </c>
      <c r="BS101" t="e">
        <f>AND('SPR BARRANQUILLA'!DY119,"AAAAAF7Z/UY=")</f>
        <v>#VALUE!</v>
      </c>
      <c r="BT101" t="e">
        <f>AND('SPR BARRANQUILLA'!DZ119,"AAAAAF7Z/Uc=")</f>
        <v>#VALUE!</v>
      </c>
      <c r="BU101" t="e">
        <f>AND('SPR BARRANQUILLA'!EA119,"AAAAAF7Z/Ug=")</f>
        <v>#VALUE!</v>
      </c>
      <c r="BV101" t="e">
        <f>AND('SPR BARRANQUILLA'!EB119,"AAAAAF7Z/Uk=")</f>
        <v>#VALUE!</v>
      </c>
      <c r="BW101" t="e">
        <f>AND('SPR BARRANQUILLA'!EC119,"AAAAAF7Z/Uo=")</f>
        <v>#VALUE!</v>
      </c>
      <c r="BX101" t="e">
        <f>AND('SPR BARRANQUILLA'!ED119,"AAAAAF7Z/Us=")</f>
        <v>#VALUE!</v>
      </c>
      <c r="BY101" t="e">
        <f>AND('SPR BARRANQUILLA'!EE119,"AAAAAF7Z/Uw=")</f>
        <v>#VALUE!</v>
      </c>
      <c r="BZ101" t="e">
        <f>AND('SPR BARRANQUILLA'!EF119,"AAAAAF7Z/U0=")</f>
        <v>#VALUE!</v>
      </c>
      <c r="CA101" t="e">
        <f>AND('SPR BARRANQUILLA'!EG119,"AAAAAF7Z/U4=")</f>
        <v>#VALUE!</v>
      </c>
      <c r="CB101" t="e">
        <f>AND('SPR BARRANQUILLA'!EH119,"AAAAAF7Z/U8=")</f>
        <v>#VALUE!</v>
      </c>
      <c r="CC101" t="e">
        <f>AND('SPR BARRANQUILLA'!EI119,"AAAAAF7Z/VA=")</f>
        <v>#VALUE!</v>
      </c>
      <c r="CD101" t="e">
        <f>AND('SPR BARRANQUILLA'!EJ119,"AAAAAF7Z/VE=")</f>
        <v>#VALUE!</v>
      </c>
      <c r="CE101" t="e">
        <f>AND('SPR BARRANQUILLA'!EK119,"AAAAAF7Z/VI=")</f>
        <v>#VALUE!</v>
      </c>
      <c r="CF101" t="e">
        <f>AND('SPR BARRANQUILLA'!EL119,"AAAAAF7Z/VM=")</f>
        <v>#VALUE!</v>
      </c>
      <c r="CG101" t="e">
        <f>AND('SPR BARRANQUILLA'!EM119,"AAAAAF7Z/VQ=")</f>
        <v>#VALUE!</v>
      </c>
      <c r="CH101" t="e">
        <f>AND('SPR BARRANQUILLA'!EN119,"AAAAAF7Z/VU=")</f>
        <v>#VALUE!</v>
      </c>
      <c r="CI101" t="e">
        <f>AND('SPR BARRANQUILLA'!EO119,"AAAAAF7Z/VY=")</f>
        <v>#VALUE!</v>
      </c>
      <c r="CJ101" t="e">
        <f>AND('SPR BARRANQUILLA'!EP119,"AAAAAF7Z/Vc=")</f>
        <v>#VALUE!</v>
      </c>
      <c r="CK101" t="e">
        <f>AND('SPR BARRANQUILLA'!EQ119,"AAAAAF7Z/Vg=")</f>
        <v>#VALUE!</v>
      </c>
      <c r="CL101" t="e">
        <f>AND('SPR BARRANQUILLA'!ER119,"AAAAAF7Z/Vk=")</f>
        <v>#VALUE!</v>
      </c>
      <c r="CM101" t="e">
        <f>AND('SPR BARRANQUILLA'!ES119,"AAAAAF7Z/Vo=")</f>
        <v>#VALUE!</v>
      </c>
      <c r="CN101" t="e">
        <f>AND('SPR BARRANQUILLA'!ET119,"AAAAAF7Z/Vs=")</f>
        <v>#VALUE!</v>
      </c>
      <c r="CO101" t="e">
        <f>AND('SPR BARRANQUILLA'!EU119,"AAAAAF7Z/Vw=")</f>
        <v>#VALUE!</v>
      </c>
      <c r="CP101" t="e">
        <f>AND('SPR BARRANQUILLA'!EV119,"AAAAAF7Z/V0=")</f>
        <v>#VALUE!</v>
      </c>
      <c r="CQ101" t="e">
        <f>AND('SPR BARRANQUILLA'!EW119,"AAAAAF7Z/V4=")</f>
        <v>#VALUE!</v>
      </c>
      <c r="CR101" t="e">
        <f>AND('SPR BARRANQUILLA'!EX119,"AAAAAF7Z/V8=")</f>
        <v>#VALUE!</v>
      </c>
      <c r="CS101" t="e">
        <f>AND('SPR BARRANQUILLA'!EY119,"AAAAAF7Z/WA=")</f>
        <v>#VALUE!</v>
      </c>
      <c r="CT101" t="e">
        <f>AND('SPR BARRANQUILLA'!EZ119,"AAAAAF7Z/WE=")</f>
        <v>#VALUE!</v>
      </c>
      <c r="CU101" t="e">
        <f>AND('SPR BARRANQUILLA'!FA119,"AAAAAF7Z/WI=")</f>
        <v>#VALUE!</v>
      </c>
      <c r="CV101" t="e">
        <f>AND('SPR BARRANQUILLA'!FB119,"AAAAAF7Z/WM=")</f>
        <v>#VALUE!</v>
      </c>
      <c r="CW101" t="e">
        <f>AND('SPR BARRANQUILLA'!FC119,"AAAAAF7Z/WQ=")</f>
        <v>#VALUE!</v>
      </c>
      <c r="CX101" t="e">
        <f>AND('SPR BARRANQUILLA'!FD119,"AAAAAF7Z/WU=")</f>
        <v>#VALUE!</v>
      </c>
      <c r="CY101" t="e">
        <f>AND('SPR BARRANQUILLA'!FE119,"AAAAAF7Z/WY=")</f>
        <v>#VALUE!</v>
      </c>
      <c r="CZ101" t="e">
        <f>AND('SPR BARRANQUILLA'!FF119,"AAAAAF7Z/Wc=")</f>
        <v>#VALUE!</v>
      </c>
      <c r="DA101" t="e">
        <f>AND('SPR BARRANQUILLA'!FG119,"AAAAAF7Z/Wg=")</f>
        <v>#VALUE!</v>
      </c>
      <c r="DB101" t="e">
        <f>AND('SPR BARRANQUILLA'!FH119,"AAAAAF7Z/Wk=")</f>
        <v>#VALUE!</v>
      </c>
      <c r="DC101" t="e">
        <f>AND('SPR BARRANQUILLA'!FI119,"AAAAAF7Z/Wo=")</f>
        <v>#VALUE!</v>
      </c>
      <c r="DD101" t="e">
        <f>AND('SPR BARRANQUILLA'!FJ119,"AAAAAF7Z/Ws=")</f>
        <v>#VALUE!</v>
      </c>
      <c r="DE101" t="e">
        <f>AND('SPR BARRANQUILLA'!FK119,"AAAAAF7Z/Ww=")</f>
        <v>#VALUE!</v>
      </c>
      <c r="DF101" t="e">
        <f>AND('SPR BARRANQUILLA'!FL119,"AAAAAF7Z/W0=")</f>
        <v>#VALUE!</v>
      </c>
      <c r="DG101" t="e">
        <f>AND('SPR BARRANQUILLA'!FM119,"AAAAAF7Z/W4=")</f>
        <v>#VALUE!</v>
      </c>
      <c r="DH101" t="e">
        <f>AND('SPR BARRANQUILLA'!FN119,"AAAAAF7Z/W8=")</f>
        <v>#VALUE!</v>
      </c>
      <c r="DI101" t="e">
        <f>AND('SPR BARRANQUILLA'!FO119,"AAAAAF7Z/XA=")</f>
        <v>#VALUE!</v>
      </c>
      <c r="DJ101" t="e">
        <f>AND('SPR BARRANQUILLA'!FP119,"AAAAAF7Z/XE=")</f>
        <v>#VALUE!</v>
      </c>
      <c r="DK101" t="e">
        <f>AND('SPR BARRANQUILLA'!FQ119,"AAAAAF7Z/XI=")</f>
        <v>#VALUE!</v>
      </c>
      <c r="DL101" t="e">
        <f>AND('SPR BARRANQUILLA'!FR119,"AAAAAF7Z/XM=")</f>
        <v>#VALUE!</v>
      </c>
      <c r="DM101" t="e">
        <f>AND('SPR BARRANQUILLA'!FS119,"AAAAAF7Z/XQ=")</f>
        <v>#VALUE!</v>
      </c>
      <c r="DN101" t="e">
        <f>AND('SPR BARRANQUILLA'!FT119,"AAAAAF7Z/XU=")</f>
        <v>#VALUE!</v>
      </c>
      <c r="DO101" t="e">
        <f>AND('SPR BARRANQUILLA'!FU119,"AAAAAF7Z/XY=")</f>
        <v>#VALUE!</v>
      </c>
      <c r="DP101" t="e">
        <f>AND('SPR BARRANQUILLA'!FV119,"AAAAAF7Z/Xc=")</f>
        <v>#VALUE!</v>
      </c>
      <c r="DQ101" t="e">
        <f>AND('SPR BARRANQUILLA'!FW119,"AAAAAF7Z/Xg=")</f>
        <v>#VALUE!</v>
      </c>
      <c r="DR101" t="e">
        <f>AND('SPR BARRANQUILLA'!FX119,"AAAAAF7Z/Xk=")</f>
        <v>#VALUE!</v>
      </c>
      <c r="DS101" t="e">
        <f>AND('SPR BARRANQUILLA'!FY119,"AAAAAF7Z/Xo=")</f>
        <v>#VALUE!</v>
      </c>
      <c r="DT101" t="e">
        <f>AND('SPR BARRANQUILLA'!FZ119,"AAAAAF7Z/Xs=")</f>
        <v>#VALUE!</v>
      </c>
      <c r="DU101" t="e">
        <f>AND('SPR BARRANQUILLA'!GA119,"AAAAAF7Z/Xw=")</f>
        <v>#VALUE!</v>
      </c>
      <c r="DV101" t="e">
        <f>AND('SPR BARRANQUILLA'!GB119,"AAAAAF7Z/X0=")</f>
        <v>#VALUE!</v>
      </c>
      <c r="DW101" t="e">
        <f>AND('SPR BARRANQUILLA'!GC119,"AAAAAF7Z/X4=")</f>
        <v>#VALUE!</v>
      </c>
      <c r="DX101" t="e">
        <f>AND('SPR BARRANQUILLA'!GD119,"AAAAAF7Z/X8=")</f>
        <v>#VALUE!</v>
      </c>
      <c r="DY101" t="e">
        <f>AND('SPR BARRANQUILLA'!GE119,"AAAAAF7Z/YA=")</f>
        <v>#VALUE!</v>
      </c>
      <c r="DZ101" t="e">
        <f>AND('SPR BARRANQUILLA'!GF119,"AAAAAF7Z/YE=")</f>
        <v>#VALUE!</v>
      </c>
      <c r="EA101" t="e">
        <f>AND('SPR BARRANQUILLA'!GG119,"AAAAAF7Z/YI=")</f>
        <v>#VALUE!</v>
      </c>
      <c r="EB101" t="e">
        <f>AND('SPR BARRANQUILLA'!GH119,"AAAAAF7Z/YM=")</f>
        <v>#VALUE!</v>
      </c>
      <c r="EC101" t="e">
        <f>AND('SPR BARRANQUILLA'!GI119,"AAAAAF7Z/YQ=")</f>
        <v>#VALUE!</v>
      </c>
      <c r="ED101" t="e">
        <f>AND('SPR BARRANQUILLA'!GJ119,"AAAAAF7Z/YU=")</f>
        <v>#VALUE!</v>
      </c>
      <c r="EE101" t="e">
        <f>AND('SPR BARRANQUILLA'!GK119,"AAAAAF7Z/YY=")</f>
        <v>#VALUE!</v>
      </c>
      <c r="EF101" t="e">
        <f>AND('SPR BARRANQUILLA'!GL119,"AAAAAF7Z/Yc=")</f>
        <v>#VALUE!</v>
      </c>
      <c r="EG101" t="e">
        <f>AND('SPR BARRANQUILLA'!GM119,"AAAAAF7Z/Yg=")</f>
        <v>#VALUE!</v>
      </c>
      <c r="EH101" t="e">
        <f>AND('SPR BARRANQUILLA'!GN119,"AAAAAF7Z/Yk=")</f>
        <v>#VALUE!</v>
      </c>
      <c r="EI101" t="e">
        <f>AND('SPR BARRANQUILLA'!GO119,"AAAAAF7Z/Yo=")</f>
        <v>#VALUE!</v>
      </c>
      <c r="EJ101" t="e">
        <f>AND('SPR BARRANQUILLA'!GP119,"AAAAAF7Z/Ys=")</f>
        <v>#VALUE!</v>
      </c>
      <c r="EK101" t="e">
        <f>AND('SPR BARRANQUILLA'!GQ119,"AAAAAF7Z/Yw=")</f>
        <v>#VALUE!</v>
      </c>
      <c r="EL101" t="e">
        <f>AND('SPR BARRANQUILLA'!GR119,"AAAAAF7Z/Y0=")</f>
        <v>#VALUE!</v>
      </c>
      <c r="EM101" t="e">
        <f>AND('SPR BARRANQUILLA'!GS119,"AAAAAF7Z/Y4=")</f>
        <v>#VALUE!</v>
      </c>
      <c r="EN101" t="e">
        <f>AND('SPR BARRANQUILLA'!GT119,"AAAAAF7Z/Y8=")</f>
        <v>#VALUE!</v>
      </c>
      <c r="EO101" t="e">
        <f>AND('SPR BARRANQUILLA'!GU119,"AAAAAF7Z/ZA=")</f>
        <v>#VALUE!</v>
      </c>
      <c r="EP101" t="e">
        <f>AND('SPR BARRANQUILLA'!GV119,"AAAAAF7Z/ZE=")</f>
        <v>#VALUE!</v>
      </c>
      <c r="EQ101" t="e">
        <f>AND('SPR BARRANQUILLA'!GW119,"AAAAAF7Z/ZI=")</f>
        <v>#VALUE!</v>
      </c>
      <c r="ER101" t="e">
        <f>AND('SPR BARRANQUILLA'!GX119,"AAAAAF7Z/ZM=")</f>
        <v>#VALUE!</v>
      </c>
      <c r="ES101" t="e">
        <f>AND('SPR BARRANQUILLA'!GY119,"AAAAAF7Z/ZQ=")</f>
        <v>#VALUE!</v>
      </c>
      <c r="ET101">
        <f>IF('SPR BARRANQUILLA'!120:120,"AAAAAF7Z/ZU=",0)</f>
        <v>0</v>
      </c>
      <c r="EU101" t="e">
        <f>AND('SPR BARRANQUILLA'!A120,"AAAAAF7Z/ZY=")</f>
        <v>#VALUE!</v>
      </c>
      <c r="EV101" t="e">
        <f>AND('SPR BARRANQUILLA'!B120,"AAAAAF7Z/Zc=")</f>
        <v>#VALUE!</v>
      </c>
      <c r="EW101" t="e">
        <f>AND('SPR BARRANQUILLA'!C120,"AAAAAF7Z/Zg=")</f>
        <v>#VALUE!</v>
      </c>
      <c r="EX101" t="e">
        <f>AND('SPR BARRANQUILLA'!D120,"AAAAAF7Z/Zk=")</f>
        <v>#VALUE!</v>
      </c>
      <c r="EY101" t="e">
        <f>AND('SPR BARRANQUILLA'!E120,"AAAAAF7Z/Zo=")</f>
        <v>#VALUE!</v>
      </c>
      <c r="EZ101" t="e">
        <f>AND('SPR BARRANQUILLA'!F120,"AAAAAF7Z/Zs=")</f>
        <v>#VALUE!</v>
      </c>
      <c r="FA101" t="e">
        <f>AND('SPR BARRANQUILLA'!G120,"AAAAAF7Z/Zw=")</f>
        <v>#VALUE!</v>
      </c>
      <c r="FB101" t="e">
        <f>AND('SPR BARRANQUILLA'!H120,"AAAAAF7Z/Z0=")</f>
        <v>#VALUE!</v>
      </c>
      <c r="FC101" t="e">
        <f>AND('SPR BARRANQUILLA'!I120,"AAAAAF7Z/Z4=")</f>
        <v>#VALUE!</v>
      </c>
      <c r="FD101" t="e">
        <f>AND('SPR BARRANQUILLA'!J120,"AAAAAF7Z/Z8=")</f>
        <v>#VALUE!</v>
      </c>
      <c r="FE101" t="e">
        <f>AND('SPR BARRANQUILLA'!K120,"AAAAAF7Z/aA=")</f>
        <v>#VALUE!</v>
      </c>
      <c r="FF101" t="e">
        <f>AND('SPR BARRANQUILLA'!L120,"AAAAAF7Z/aE=")</f>
        <v>#VALUE!</v>
      </c>
      <c r="FG101" t="e">
        <f>AND('SPR BARRANQUILLA'!M120,"AAAAAF7Z/aI=")</f>
        <v>#VALUE!</v>
      </c>
      <c r="FH101" t="e">
        <f>AND('SPR BARRANQUILLA'!N120,"AAAAAF7Z/aM=")</f>
        <v>#VALUE!</v>
      </c>
      <c r="FI101" t="e">
        <f>AND('SPR BARRANQUILLA'!O120,"AAAAAF7Z/aQ=")</f>
        <v>#VALUE!</v>
      </c>
      <c r="FJ101" t="e">
        <f>AND('SPR BARRANQUILLA'!P120,"AAAAAF7Z/aU=")</f>
        <v>#VALUE!</v>
      </c>
      <c r="FK101" t="e">
        <f>AND('SPR BARRANQUILLA'!Q120,"AAAAAF7Z/aY=")</f>
        <v>#VALUE!</v>
      </c>
      <c r="FL101" t="e">
        <f>AND('SPR BARRANQUILLA'!R120,"AAAAAF7Z/ac=")</f>
        <v>#VALUE!</v>
      </c>
      <c r="FM101" t="e">
        <f>AND('SPR BARRANQUILLA'!S120,"AAAAAF7Z/ag=")</f>
        <v>#VALUE!</v>
      </c>
      <c r="FN101" t="e">
        <f>AND('SPR BARRANQUILLA'!T120,"AAAAAF7Z/ak=")</f>
        <v>#VALUE!</v>
      </c>
      <c r="FO101" t="e">
        <f>AND('SPR BARRANQUILLA'!U120,"AAAAAF7Z/ao=")</f>
        <v>#VALUE!</v>
      </c>
      <c r="FP101" t="e">
        <f>AND('SPR BARRANQUILLA'!V120,"AAAAAF7Z/as=")</f>
        <v>#VALUE!</v>
      </c>
      <c r="FQ101" t="e">
        <f>AND('SPR BARRANQUILLA'!W120,"AAAAAF7Z/aw=")</f>
        <v>#VALUE!</v>
      </c>
      <c r="FR101" t="e">
        <f>AND('SPR BARRANQUILLA'!X120,"AAAAAF7Z/a0=")</f>
        <v>#VALUE!</v>
      </c>
      <c r="FS101" t="e">
        <f>AND('SPR BARRANQUILLA'!Y120,"AAAAAF7Z/a4=")</f>
        <v>#VALUE!</v>
      </c>
      <c r="FT101" t="e">
        <f>AND('SPR BARRANQUILLA'!Z120,"AAAAAF7Z/a8=")</f>
        <v>#VALUE!</v>
      </c>
      <c r="FU101" t="e">
        <f>AND('SPR BARRANQUILLA'!AA120,"AAAAAF7Z/bA=")</f>
        <v>#VALUE!</v>
      </c>
      <c r="FV101" t="e">
        <f>AND('SPR BARRANQUILLA'!AB120,"AAAAAF7Z/bE=")</f>
        <v>#VALUE!</v>
      </c>
      <c r="FW101" t="e">
        <f>AND('SPR BARRANQUILLA'!AC120,"AAAAAF7Z/bI=")</f>
        <v>#VALUE!</v>
      </c>
      <c r="FX101" t="e">
        <f>AND('SPR BARRANQUILLA'!AD120,"AAAAAF7Z/bM=")</f>
        <v>#VALUE!</v>
      </c>
      <c r="FY101" t="e">
        <f>AND('SPR BARRANQUILLA'!AE120,"AAAAAF7Z/bQ=")</f>
        <v>#VALUE!</v>
      </c>
      <c r="FZ101" t="e">
        <f>AND('SPR BARRANQUILLA'!AF120,"AAAAAF7Z/bU=")</f>
        <v>#VALUE!</v>
      </c>
      <c r="GA101" t="e">
        <f>AND('SPR BARRANQUILLA'!AG120,"AAAAAF7Z/bY=")</f>
        <v>#VALUE!</v>
      </c>
      <c r="GB101" t="e">
        <f>AND('SPR BARRANQUILLA'!AH120,"AAAAAF7Z/bc=")</f>
        <v>#VALUE!</v>
      </c>
      <c r="GC101" t="e">
        <f>AND('SPR BARRANQUILLA'!AI120,"AAAAAF7Z/bg=")</f>
        <v>#VALUE!</v>
      </c>
      <c r="GD101" t="e">
        <f>AND('SPR BARRANQUILLA'!AJ120,"AAAAAF7Z/bk=")</f>
        <v>#VALUE!</v>
      </c>
      <c r="GE101" t="e">
        <f>AND('SPR BARRANQUILLA'!AK120,"AAAAAF7Z/bo=")</f>
        <v>#VALUE!</v>
      </c>
      <c r="GF101" t="e">
        <f>AND('SPR BARRANQUILLA'!AL120,"AAAAAF7Z/bs=")</f>
        <v>#VALUE!</v>
      </c>
      <c r="GG101" t="e">
        <f>AND('SPR BARRANQUILLA'!AM120,"AAAAAF7Z/bw=")</f>
        <v>#VALUE!</v>
      </c>
      <c r="GH101" t="e">
        <f>AND('SPR BARRANQUILLA'!AN120,"AAAAAF7Z/b0=")</f>
        <v>#VALUE!</v>
      </c>
      <c r="GI101" t="e">
        <f>AND('SPR BARRANQUILLA'!AO120,"AAAAAF7Z/b4=")</f>
        <v>#VALUE!</v>
      </c>
      <c r="GJ101" t="e">
        <f>AND('SPR BARRANQUILLA'!AP120,"AAAAAF7Z/b8=")</f>
        <v>#VALUE!</v>
      </c>
      <c r="GK101" t="e">
        <f>AND('SPR BARRANQUILLA'!AQ120,"AAAAAF7Z/cA=")</f>
        <v>#VALUE!</v>
      </c>
      <c r="GL101" t="e">
        <f>AND('SPR BARRANQUILLA'!AR120,"AAAAAF7Z/cE=")</f>
        <v>#VALUE!</v>
      </c>
      <c r="GM101" t="e">
        <f>AND('SPR BARRANQUILLA'!AS120,"AAAAAF7Z/cI=")</f>
        <v>#VALUE!</v>
      </c>
      <c r="GN101" t="e">
        <f>AND('SPR BARRANQUILLA'!AT120,"AAAAAF7Z/cM=")</f>
        <v>#VALUE!</v>
      </c>
      <c r="GO101" t="e">
        <f>AND('SPR BARRANQUILLA'!AU120,"AAAAAF7Z/cQ=")</f>
        <v>#VALUE!</v>
      </c>
      <c r="GP101" t="e">
        <f>AND('SPR BARRANQUILLA'!AV120,"AAAAAF7Z/cU=")</f>
        <v>#VALUE!</v>
      </c>
      <c r="GQ101" t="e">
        <f>AND('SPR BARRANQUILLA'!AW120,"AAAAAF7Z/cY=")</f>
        <v>#VALUE!</v>
      </c>
      <c r="GR101" t="e">
        <f>AND('SPR BARRANQUILLA'!AX120,"AAAAAF7Z/cc=")</f>
        <v>#VALUE!</v>
      </c>
      <c r="GS101" t="e">
        <f>AND('SPR BARRANQUILLA'!AY120,"AAAAAF7Z/cg=")</f>
        <v>#VALUE!</v>
      </c>
      <c r="GT101" t="e">
        <f>AND('SPR BARRANQUILLA'!AZ120,"AAAAAF7Z/ck=")</f>
        <v>#VALUE!</v>
      </c>
      <c r="GU101" t="e">
        <f>AND('SPR BARRANQUILLA'!BA120,"AAAAAF7Z/co=")</f>
        <v>#VALUE!</v>
      </c>
      <c r="GV101" t="e">
        <f>AND('SPR BARRANQUILLA'!BB120,"AAAAAF7Z/cs=")</f>
        <v>#VALUE!</v>
      </c>
      <c r="GW101" t="e">
        <f>AND('SPR BARRANQUILLA'!BC120,"AAAAAF7Z/cw=")</f>
        <v>#VALUE!</v>
      </c>
      <c r="GX101" t="e">
        <f>AND('SPR BARRANQUILLA'!BD120,"AAAAAF7Z/c0=")</f>
        <v>#VALUE!</v>
      </c>
      <c r="GY101" t="e">
        <f>AND('SPR BARRANQUILLA'!BE120,"AAAAAF7Z/c4=")</f>
        <v>#VALUE!</v>
      </c>
      <c r="GZ101" t="e">
        <f>AND('SPR BARRANQUILLA'!BF120,"AAAAAF7Z/c8=")</f>
        <v>#VALUE!</v>
      </c>
      <c r="HA101" t="e">
        <f>AND('SPR BARRANQUILLA'!BG120,"AAAAAF7Z/dA=")</f>
        <v>#VALUE!</v>
      </c>
      <c r="HB101" t="e">
        <f>AND('SPR BARRANQUILLA'!BH120,"AAAAAF7Z/dE=")</f>
        <v>#VALUE!</v>
      </c>
      <c r="HC101" t="e">
        <f>AND('SPR BARRANQUILLA'!BI120,"AAAAAF7Z/dI=")</f>
        <v>#VALUE!</v>
      </c>
      <c r="HD101" t="e">
        <f>AND('SPR BARRANQUILLA'!BJ120,"AAAAAF7Z/dM=")</f>
        <v>#VALUE!</v>
      </c>
      <c r="HE101" t="e">
        <f>AND('SPR BARRANQUILLA'!BK120,"AAAAAF7Z/dQ=")</f>
        <v>#VALUE!</v>
      </c>
      <c r="HF101" t="e">
        <f>AND('SPR BARRANQUILLA'!BL120,"AAAAAF7Z/dU=")</f>
        <v>#VALUE!</v>
      </c>
      <c r="HG101" t="e">
        <f>AND('SPR BARRANQUILLA'!BM120,"AAAAAF7Z/dY=")</f>
        <v>#VALUE!</v>
      </c>
      <c r="HH101" t="e">
        <f>AND('SPR BARRANQUILLA'!BN120,"AAAAAF7Z/dc=")</f>
        <v>#VALUE!</v>
      </c>
      <c r="HI101" t="e">
        <f>AND('SPR BARRANQUILLA'!BO120,"AAAAAF7Z/dg=")</f>
        <v>#VALUE!</v>
      </c>
      <c r="HJ101" t="e">
        <f>AND('SPR BARRANQUILLA'!BP120,"AAAAAF7Z/dk=")</f>
        <v>#VALUE!</v>
      </c>
      <c r="HK101" t="e">
        <f>AND('SPR BARRANQUILLA'!BQ120,"AAAAAF7Z/do=")</f>
        <v>#VALUE!</v>
      </c>
      <c r="HL101" t="e">
        <f>AND('SPR BARRANQUILLA'!BR120,"AAAAAF7Z/ds=")</f>
        <v>#VALUE!</v>
      </c>
      <c r="HM101" t="e">
        <f>AND('SPR BARRANQUILLA'!BS120,"AAAAAF7Z/dw=")</f>
        <v>#VALUE!</v>
      </c>
      <c r="HN101" t="e">
        <f>AND('SPR BARRANQUILLA'!BT120,"AAAAAF7Z/d0=")</f>
        <v>#VALUE!</v>
      </c>
      <c r="HO101" t="e">
        <f>AND('SPR BARRANQUILLA'!BU120,"AAAAAF7Z/d4=")</f>
        <v>#VALUE!</v>
      </c>
      <c r="HP101" t="e">
        <f>AND('SPR BARRANQUILLA'!BV120,"AAAAAF7Z/d8=")</f>
        <v>#VALUE!</v>
      </c>
      <c r="HQ101" t="e">
        <f>AND('SPR BARRANQUILLA'!BW120,"AAAAAF7Z/eA=")</f>
        <v>#VALUE!</v>
      </c>
      <c r="HR101" t="e">
        <f>AND('SPR BARRANQUILLA'!BX120,"AAAAAF7Z/eE=")</f>
        <v>#VALUE!</v>
      </c>
      <c r="HS101" t="e">
        <f>AND('SPR BARRANQUILLA'!BY120,"AAAAAF7Z/eI=")</f>
        <v>#VALUE!</v>
      </c>
      <c r="HT101" t="e">
        <f>AND('SPR BARRANQUILLA'!BZ120,"AAAAAF7Z/eM=")</f>
        <v>#VALUE!</v>
      </c>
      <c r="HU101" t="e">
        <f>AND('SPR BARRANQUILLA'!CA120,"AAAAAF7Z/eQ=")</f>
        <v>#VALUE!</v>
      </c>
      <c r="HV101" t="e">
        <f>AND('SPR BARRANQUILLA'!CB120,"AAAAAF7Z/eU=")</f>
        <v>#VALUE!</v>
      </c>
      <c r="HW101" t="e">
        <f>AND('SPR BARRANQUILLA'!CC120,"AAAAAF7Z/eY=")</f>
        <v>#VALUE!</v>
      </c>
      <c r="HX101" t="e">
        <f>AND('SPR BARRANQUILLA'!CD120,"AAAAAF7Z/ec=")</f>
        <v>#VALUE!</v>
      </c>
      <c r="HY101" t="e">
        <f>AND('SPR BARRANQUILLA'!CE120,"AAAAAF7Z/eg=")</f>
        <v>#VALUE!</v>
      </c>
      <c r="HZ101" t="e">
        <f>AND('SPR BARRANQUILLA'!CF120,"AAAAAF7Z/ek=")</f>
        <v>#VALUE!</v>
      </c>
      <c r="IA101" t="e">
        <f>AND('SPR BARRANQUILLA'!CG120,"AAAAAF7Z/eo=")</f>
        <v>#VALUE!</v>
      </c>
      <c r="IB101" t="e">
        <f>AND('SPR BARRANQUILLA'!CH120,"AAAAAF7Z/es=")</f>
        <v>#VALUE!</v>
      </c>
      <c r="IC101" t="e">
        <f>AND('SPR BARRANQUILLA'!CI120,"AAAAAF7Z/ew=")</f>
        <v>#VALUE!</v>
      </c>
      <c r="ID101" t="e">
        <f>AND('SPR BARRANQUILLA'!CJ120,"AAAAAF7Z/e0=")</f>
        <v>#VALUE!</v>
      </c>
      <c r="IE101" t="e">
        <f>AND('SPR BARRANQUILLA'!CK120,"AAAAAF7Z/e4=")</f>
        <v>#VALUE!</v>
      </c>
      <c r="IF101" t="e">
        <f>AND('SPR BARRANQUILLA'!CL120,"AAAAAF7Z/e8=")</f>
        <v>#VALUE!</v>
      </c>
      <c r="IG101" t="e">
        <f>AND('SPR BARRANQUILLA'!CM120,"AAAAAF7Z/fA=")</f>
        <v>#VALUE!</v>
      </c>
      <c r="IH101" t="e">
        <f>AND('SPR BARRANQUILLA'!CN120,"AAAAAF7Z/fE=")</f>
        <v>#VALUE!</v>
      </c>
      <c r="II101" t="e">
        <f>AND('SPR BARRANQUILLA'!CO120,"AAAAAF7Z/fI=")</f>
        <v>#VALUE!</v>
      </c>
      <c r="IJ101" t="e">
        <f>AND('SPR BARRANQUILLA'!CP120,"AAAAAF7Z/fM=")</f>
        <v>#VALUE!</v>
      </c>
      <c r="IK101" t="e">
        <f>AND('SPR BARRANQUILLA'!CQ120,"AAAAAF7Z/fQ=")</f>
        <v>#VALUE!</v>
      </c>
      <c r="IL101" t="e">
        <f>AND('SPR BARRANQUILLA'!CR120,"AAAAAF7Z/fU=")</f>
        <v>#VALUE!</v>
      </c>
      <c r="IM101" t="e">
        <f>AND('SPR BARRANQUILLA'!CS120,"AAAAAF7Z/fY=")</f>
        <v>#VALUE!</v>
      </c>
      <c r="IN101" t="e">
        <f>AND('SPR BARRANQUILLA'!CT120,"AAAAAF7Z/fc=")</f>
        <v>#VALUE!</v>
      </c>
      <c r="IO101" t="e">
        <f>AND('SPR BARRANQUILLA'!CU120,"AAAAAF7Z/fg=")</f>
        <v>#VALUE!</v>
      </c>
      <c r="IP101" t="e">
        <f>AND('SPR BARRANQUILLA'!CV120,"AAAAAF7Z/fk=")</f>
        <v>#VALUE!</v>
      </c>
      <c r="IQ101" t="e">
        <f>AND('SPR BARRANQUILLA'!CW120,"AAAAAF7Z/fo=")</f>
        <v>#VALUE!</v>
      </c>
      <c r="IR101" t="e">
        <f>AND('SPR BARRANQUILLA'!CX120,"AAAAAF7Z/fs=")</f>
        <v>#VALUE!</v>
      </c>
      <c r="IS101" t="e">
        <f>AND('SPR BARRANQUILLA'!CY120,"AAAAAF7Z/fw=")</f>
        <v>#VALUE!</v>
      </c>
      <c r="IT101" t="e">
        <f>AND('SPR BARRANQUILLA'!CZ120,"AAAAAF7Z/f0=")</f>
        <v>#VALUE!</v>
      </c>
      <c r="IU101" t="e">
        <f>AND('SPR BARRANQUILLA'!DA120,"AAAAAF7Z/f4=")</f>
        <v>#VALUE!</v>
      </c>
      <c r="IV101" t="e">
        <f>AND('SPR BARRANQUILLA'!DB120,"AAAAAF7Z/f8=")</f>
        <v>#VALUE!</v>
      </c>
    </row>
    <row r="102" spans="1:256">
      <c r="A102" t="e">
        <f>AND('SPR BARRANQUILLA'!DC120,"AAAAAB+5bAA=")</f>
        <v>#VALUE!</v>
      </c>
      <c r="B102" t="e">
        <f>AND('SPR BARRANQUILLA'!DD120,"AAAAAB+5bAE=")</f>
        <v>#VALUE!</v>
      </c>
      <c r="C102" t="e">
        <f>AND('SPR BARRANQUILLA'!DE120,"AAAAAB+5bAI=")</f>
        <v>#VALUE!</v>
      </c>
      <c r="D102" t="e">
        <f>AND('SPR BARRANQUILLA'!DF120,"AAAAAB+5bAM=")</f>
        <v>#VALUE!</v>
      </c>
      <c r="E102" t="e">
        <f>AND('SPR BARRANQUILLA'!DG120,"AAAAAB+5bAQ=")</f>
        <v>#VALUE!</v>
      </c>
      <c r="F102" t="e">
        <f>AND('SPR BARRANQUILLA'!DH120,"AAAAAB+5bAU=")</f>
        <v>#VALUE!</v>
      </c>
      <c r="G102" t="e">
        <f>AND('SPR BARRANQUILLA'!DI120,"AAAAAB+5bAY=")</f>
        <v>#VALUE!</v>
      </c>
      <c r="H102" t="e">
        <f>AND('SPR BARRANQUILLA'!DJ120,"AAAAAB+5bAc=")</f>
        <v>#VALUE!</v>
      </c>
      <c r="I102" t="e">
        <f>AND('SPR BARRANQUILLA'!DK120,"AAAAAB+5bAg=")</f>
        <v>#VALUE!</v>
      </c>
      <c r="J102" t="e">
        <f>AND('SPR BARRANQUILLA'!DL120,"AAAAAB+5bAk=")</f>
        <v>#VALUE!</v>
      </c>
      <c r="K102" t="e">
        <f>AND('SPR BARRANQUILLA'!DM120,"AAAAAB+5bAo=")</f>
        <v>#VALUE!</v>
      </c>
      <c r="L102" t="e">
        <f>AND('SPR BARRANQUILLA'!DN120,"AAAAAB+5bAs=")</f>
        <v>#VALUE!</v>
      </c>
      <c r="M102" t="e">
        <f>AND('SPR BARRANQUILLA'!DO120,"AAAAAB+5bAw=")</f>
        <v>#VALUE!</v>
      </c>
      <c r="N102" t="e">
        <f>AND('SPR BARRANQUILLA'!DP120,"AAAAAB+5bA0=")</f>
        <v>#VALUE!</v>
      </c>
      <c r="O102" t="e">
        <f>AND('SPR BARRANQUILLA'!DQ120,"AAAAAB+5bA4=")</f>
        <v>#VALUE!</v>
      </c>
      <c r="P102" t="e">
        <f>AND('SPR BARRANQUILLA'!DR120,"AAAAAB+5bA8=")</f>
        <v>#VALUE!</v>
      </c>
      <c r="Q102" t="e">
        <f>AND('SPR BARRANQUILLA'!DS120,"AAAAAB+5bBA=")</f>
        <v>#VALUE!</v>
      </c>
      <c r="R102" t="e">
        <f>AND('SPR BARRANQUILLA'!DT120,"AAAAAB+5bBE=")</f>
        <v>#VALUE!</v>
      </c>
      <c r="S102" t="e">
        <f>AND('SPR BARRANQUILLA'!DU120,"AAAAAB+5bBI=")</f>
        <v>#VALUE!</v>
      </c>
      <c r="T102" t="e">
        <f>AND('SPR BARRANQUILLA'!DV120,"AAAAAB+5bBM=")</f>
        <v>#VALUE!</v>
      </c>
      <c r="U102" t="e">
        <f>AND('SPR BARRANQUILLA'!DW120,"AAAAAB+5bBQ=")</f>
        <v>#VALUE!</v>
      </c>
      <c r="V102" t="e">
        <f>AND('SPR BARRANQUILLA'!DX120,"AAAAAB+5bBU=")</f>
        <v>#VALUE!</v>
      </c>
      <c r="W102" t="e">
        <f>AND('SPR BARRANQUILLA'!DY120,"AAAAAB+5bBY=")</f>
        <v>#VALUE!</v>
      </c>
      <c r="X102" t="e">
        <f>AND('SPR BARRANQUILLA'!DZ120,"AAAAAB+5bBc=")</f>
        <v>#VALUE!</v>
      </c>
      <c r="Y102" t="e">
        <f>AND('SPR BARRANQUILLA'!EA120,"AAAAAB+5bBg=")</f>
        <v>#VALUE!</v>
      </c>
      <c r="Z102" t="e">
        <f>AND('SPR BARRANQUILLA'!EB120,"AAAAAB+5bBk=")</f>
        <v>#VALUE!</v>
      </c>
      <c r="AA102" t="e">
        <f>AND('SPR BARRANQUILLA'!EC120,"AAAAAB+5bBo=")</f>
        <v>#VALUE!</v>
      </c>
      <c r="AB102" t="e">
        <f>AND('SPR BARRANQUILLA'!ED120,"AAAAAB+5bBs=")</f>
        <v>#VALUE!</v>
      </c>
      <c r="AC102" t="e">
        <f>AND('SPR BARRANQUILLA'!EE120,"AAAAAB+5bBw=")</f>
        <v>#VALUE!</v>
      </c>
      <c r="AD102" t="e">
        <f>AND('SPR BARRANQUILLA'!EF120,"AAAAAB+5bB0=")</f>
        <v>#VALUE!</v>
      </c>
      <c r="AE102" t="e">
        <f>AND('SPR BARRANQUILLA'!EG120,"AAAAAB+5bB4=")</f>
        <v>#VALUE!</v>
      </c>
      <c r="AF102" t="e">
        <f>AND('SPR BARRANQUILLA'!EH120,"AAAAAB+5bB8=")</f>
        <v>#VALUE!</v>
      </c>
      <c r="AG102" t="e">
        <f>AND('SPR BARRANQUILLA'!EI120,"AAAAAB+5bCA=")</f>
        <v>#VALUE!</v>
      </c>
      <c r="AH102" t="e">
        <f>AND('SPR BARRANQUILLA'!EJ120,"AAAAAB+5bCE=")</f>
        <v>#VALUE!</v>
      </c>
      <c r="AI102" t="e">
        <f>AND('SPR BARRANQUILLA'!EK120,"AAAAAB+5bCI=")</f>
        <v>#VALUE!</v>
      </c>
      <c r="AJ102" t="e">
        <f>AND('SPR BARRANQUILLA'!EL120,"AAAAAB+5bCM=")</f>
        <v>#VALUE!</v>
      </c>
      <c r="AK102" t="e">
        <f>AND('SPR BARRANQUILLA'!EM120,"AAAAAB+5bCQ=")</f>
        <v>#VALUE!</v>
      </c>
      <c r="AL102" t="e">
        <f>AND('SPR BARRANQUILLA'!EN120,"AAAAAB+5bCU=")</f>
        <v>#VALUE!</v>
      </c>
      <c r="AM102" t="e">
        <f>AND('SPR BARRANQUILLA'!EO120,"AAAAAB+5bCY=")</f>
        <v>#VALUE!</v>
      </c>
      <c r="AN102" t="e">
        <f>AND('SPR BARRANQUILLA'!EP120,"AAAAAB+5bCc=")</f>
        <v>#VALUE!</v>
      </c>
      <c r="AO102" t="e">
        <f>AND('SPR BARRANQUILLA'!EQ120,"AAAAAB+5bCg=")</f>
        <v>#VALUE!</v>
      </c>
      <c r="AP102" t="e">
        <f>AND('SPR BARRANQUILLA'!ER120,"AAAAAB+5bCk=")</f>
        <v>#VALUE!</v>
      </c>
      <c r="AQ102" t="e">
        <f>AND('SPR BARRANQUILLA'!ES120,"AAAAAB+5bCo=")</f>
        <v>#VALUE!</v>
      </c>
      <c r="AR102" t="e">
        <f>AND('SPR BARRANQUILLA'!ET120,"AAAAAB+5bCs=")</f>
        <v>#VALUE!</v>
      </c>
      <c r="AS102" t="e">
        <f>AND('SPR BARRANQUILLA'!EU120,"AAAAAB+5bCw=")</f>
        <v>#VALUE!</v>
      </c>
      <c r="AT102" t="e">
        <f>AND('SPR BARRANQUILLA'!EV120,"AAAAAB+5bC0=")</f>
        <v>#VALUE!</v>
      </c>
      <c r="AU102" t="e">
        <f>AND('SPR BARRANQUILLA'!EW120,"AAAAAB+5bC4=")</f>
        <v>#VALUE!</v>
      </c>
      <c r="AV102" t="e">
        <f>AND('SPR BARRANQUILLA'!EX120,"AAAAAB+5bC8=")</f>
        <v>#VALUE!</v>
      </c>
      <c r="AW102" t="e">
        <f>AND('SPR BARRANQUILLA'!EY120,"AAAAAB+5bDA=")</f>
        <v>#VALUE!</v>
      </c>
      <c r="AX102" t="e">
        <f>AND('SPR BARRANQUILLA'!EZ120,"AAAAAB+5bDE=")</f>
        <v>#VALUE!</v>
      </c>
      <c r="AY102" t="e">
        <f>AND('SPR BARRANQUILLA'!FA120,"AAAAAB+5bDI=")</f>
        <v>#VALUE!</v>
      </c>
      <c r="AZ102" t="e">
        <f>AND('SPR BARRANQUILLA'!FB120,"AAAAAB+5bDM=")</f>
        <v>#VALUE!</v>
      </c>
      <c r="BA102" t="e">
        <f>AND('SPR BARRANQUILLA'!FC120,"AAAAAB+5bDQ=")</f>
        <v>#VALUE!</v>
      </c>
      <c r="BB102" t="e">
        <f>AND('SPR BARRANQUILLA'!FD120,"AAAAAB+5bDU=")</f>
        <v>#VALUE!</v>
      </c>
      <c r="BC102" t="e">
        <f>AND('SPR BARRANQUILLA'!FE120,"AAAAAB+5bDY=")</f>
        <v>#VALUE!</v>
      </c>
      <c r="BD102" t="e">
        <f>AND('SPR BARRANQUILLA'!FF120,"AAAAAB+5bDc=")</f>
        <v>#VALUE!</v>
      </c>
      <c r="BE102" t="e">
        <f>AND('SPR BARRANQUILLA'!FG120,"AAAAAB+5bDg=")</f>
        <v>#VALUE!</v>
      </c>
      <c r="BF102" t="e">
        <f>AND('SPR BARRANQUILLA'!FH120,"AAAAAB+5bDk=")</f>
        <v>#VALUE!</v>
      </c>
      <c r="BG102" t="e">
        <f>AND('SPR BARRANQUILLA'!FI120,"AAAAAB+5bDo=")</f>
        <v>#VALUE!</v>
      </c>
      <c r="BH102" t="e">
        <f>AND('SPR BARRANQUILLA'!FJ120,"AAAAAB+5bDs=")</f>
        <v>#VALUE!</v>
      </c>
      <c r="BI102" t="e">
        <f>AND('SPR BARRANQUILLA'!FK120,"AAAAAB+5bDw=")</f>
        <v>#VALUE!</v>
      </c>
      <c r="BJ102" t="e">
        <f>AND('SPR BARRANQUILLA'!FL120,"AAAAAB+5bD0=")</f>
        <v>#VALUE!</v>
      </c>
      <c r="BK102" t="e">
        <f>AND('SPR BARRANQUILLA'!FM120,"AAAAAB+5bD4=")</f>
        <v>#VALUE!</v>
      </c>
      <c r="BL102" t="e">
        <f>AND('SPR BARRANQUILLA'!FN120,"AAAAAB+5bD8=")</f>
        <v>#VALUE!</v>
      </c>
      <c r="BM102" t="e">
        <f>AND('SPR BARRANQUILLA'!FO120,"AAAAAB+5bEA=")</f>
        <v>#VALUE!</v>
      </c>
      <c r="BN102" t="e">
        <f>AND('SPR BARRANQUILLA'!FP120,"AAAAAB+5bEE=")</f>
        <v>#VALUE!</v>
      </c>
      <c r="BO102" t="e">
        <f>AND('SPR BARRANQUILLA'!FQ120,"AAAAAB+5bEI=")</f>
        <v>#VALUE!</v>
      </c>
      <c r="BP102" t="e">
        <f>AND('SPR BARRANQUILLA'!FR120,"AAAAAB+5bEM=")</f>
        <v>#VALUE!</v>
      </c>
      <c r="BQ102" t="e">
        <f>AND('SPR BARRANQUILLA'!FS120,"AAAAAB+5bEQ=")</f>
        <v>#VALUE!</v>
      </c>
      <c r="BR102" t="e">
        <f>AND('SPR BARRANQUILLA'!FT120,"AAAAAB+5bEU=")</f>
        <v>#VALUE!</v>
      </c>
      <c r="BS102" t="e">
        <f>AND('SPR BARRANQUILLA'!FU120,"AAAAAB+5bEY=")</f>
        <v>#VALUE!</v>
      </c>
      <c r="BT102" t="e">
        <f>AND('SPR BARRANQUILLA'!FV120,"AAAAAB+5bEc=")</f>
        <v>#VALUE!</v>
      </c>
      <c r="BU102" t="e">
        <f>AND('SPR BARRANQUILLA'!FW120,"AAAAAB+5bEg=")</f>
        <v>#VALUE!</v>
      </c>
      <c r="BV102" t="e">
        <f>AND('SPR BARRANQUILLA'!FX120,"AAAAAB+5bEk=")</f>
        <v>#VALUE!</v>
      </c>
      <c r="BW102" t="e">
        <f>AND('SPR BARRANQUILLA'!FY120,"AAAAAB+5bEo=")</f>
        <v>#VALUE!</v>
      </c>
      <c r="BX102" t="e">
        <f>AND('SPR BARRANQUILLA'!FZ120,"AAAAAB+5bEs=")</f>
        <v>#VALUE!</v>
      </c>
      <c r="BY102" t="e">
        <f>AND('SPR BARRANQUILLA'!GA120,"AAAAAB+5bEw=")</f>
        <v>#VALUE!</v>
      </c>
      <c r="BZ102" t="e">
        <f>AND('SPR BARRANQUILLA'!GB120,"AAAAAB+5bE0=")</f>
        <v>#VALUE!</v>
      </c>
      <c r="CA102" t="e">
        <f>AND('SPR BARRANQUILLA'!GC120,"AAAAAB+5bE4=")</f>
        <v>#VALUE!</v>
      </c>
      <c r="CB102" t="e">
        <f>AND('SPR BARRANQUILLA'!GD120,"AAAAAB+5bE8=")</f>
        <v>#VALUE!</v>
      </c>
      <c r="CC102" t="e">
        <f>AND('SPR BARRANQUILLA'!GE120,"AAAAAB+5bFA=")</f>
        <v>#VALUE!</v>
      </c>
      <c r="CD102" t="e">
        <f>AND('SPR BARRANQUILLA'!GF120,"AAAAAB+5bFE=")</f>
        <v>#VALUE!</v>
      </c>
      <c r="CE102" t="e">
        <f>AND('SPR BARRANQUILLA'!GG120,"AAAAAB+5bFI=")</f>
        <v>#VALUE!</v>
      </c>
      <c r="CF102" t="e">
        <f>AND('SPR BARRANQUILLA'!GH120,"AAAAAB+5bFM=")</f>
        <v>#VALUE!</v>
      </c>
      <c r="CG102" t="e">
        <f>AND('SPR BARRANQUILLA'!GI120,"AAAAAB+5bFQ=")</f>
        <v>#VALUE!</v>
      </c>
      <c r="CH102" t="e">
        <f>AND('SPR BARRANQUILLA'!GJ120,"AAAAAB+5bFU=")</f>
        <v>#VALUE!</v>
      </c>
      <c r="CI102" t="e">
        <f>AND('SPR BARRANQUILLA'!GK120,"AAAAAB+5bFY=")</f>
        <v>#VALUE!</v>
      </c>
      <c r="CJ102" t="e">
        <f>AND('SPR BARRANQUILLA'!GL120,"AAAAAB+5bFc=")</f>
        <v>#VALUE!</v>
      </c>
      <c r="CK102" t="e">
        <f>AND('SPR BARRANQUILLA'!GM120,"AAAAAB+5bFg=")</f>
        <v>#VALUE!</v>
      </c>
      <c r="CL102" t="e">
        <f>AND('SPR BARRANQUILLA'!GN120,"AAAAAB+5bFk=")</f>
        <v>#VALUE!</v>
      </c>
      <c r="CM102" t="e">
        <f>AND('SPR BARRANQUILLA'!GO120,"AAAAAB+5bFo=")</f>
        <v>#VALUE!</v>
      </c>
      <c r="CN102" t="e">
        <f>AND('SPR BARRANQUILLA'!GP120,"AAAAAB+5bFs=")</f>
        <v>#VALUE!</v>
      </c>
      <c r="CO102" t="e">
        <f>AND('SPR BARRANQUILLA'!GQ120,"AAAAAB+5bFw=")</f>
        <v>#VALUE!</v>
      </c>
      <c r="CP102" t="e">
        <f>AND('SPR BARRANQUILLA'!GR120,"AAAAAB+5bF0=")</f>
        <v>#VALUE!</v>
      </c>
      <c r="CQ102" t="e">
        <f>AND('SPR BARRANQUILLA'!GS120,"AAAAAB+5bF4=")</f>
        <v>#VALUE!</v>
      </c>
      <c r="CR102" t="e">
        <f>AND('SPR BARRANQUILLA'!GT120,"AAAAAB+5bF8=")</f>
        <v>#VALUE!</v>
      </c>
      <c r="CS102" t="e">
        <f>AND('SPR BARRANQUILLA'!GU120,"AAAAAB+5bGA=")</f>
        <v>#VALUE!</v>
      </c>
      <c r="CT102" t="e">
        <f>AND('SPR BARRANQUILLA'!GV120,"AAAAAB+5bGE=")</f>
        <v>#VALUE!</v>
      </c>
      <c r="CU102" t="e">
        <f>AND('SPR BARRANQUILLA'!GW120,"AAAAAB+5bGI=")</f>
        <v>#VALUE!</v>
      </c>
      <c r="CV102" t="e">
        <f>AND('SPR BARRANQUILLA'!GX120,"AAAAAB+5bGM=")</f>
        <v>#VALUE!</v>
      </c>
      <c r="CW102" t="e">
        <f>AND('SPR BARRANQUILLA'!GY120,"AAAAAB+5bGQ=")</f>
        <v>#VALUE!</v>
      </c>
      <c r="CX102">
        <f>IF('SPR BARRANQUILLA'!121:121,"AAAAAB+5bGU=",0)</f>
        <v>0</v>
      </c>
      <c r="CY102" t="e">
        <f>AND('SPR BARRANQUILLA'!A121,"AAAAAB+5bGY=")</f>
        <v>#VALUE!</v>
      </c>
      <c r="CZ102" t="e">
        <f>AND('SPR BARRANQUILLA'!B121,"AAAAAB+5bGc=")</f>
        <v>#VALUE!</v>
      </c>
      <c r="DA102" t="e">
        <f>AND('SPR BARRANQUILLA'!C121,"AAAAAB+5bGg=")</f>
        <v>#VALUE!</v>
      </c>
      <c r="DB102" t="e">
        <f>AND('SPR BARRANQUILLA'!D121,"AAAAAB+5bGk=")</f>
        <v>#VALUE!</v>
      </c>
      <c r="DC102" t="e">
        <f>AND('SPR BARRANQUILLA'!E121,"AAAAAB+5bGo=")</f>
        <v>#VALUE!</v>
      </c>
      <c r="DD102" t="e">
        <f>AND('SPR BARRANQUILLA'!F121,"AAAAAB+5bGs=")</f>
        <v>#VALUE!</v>
      </c>
      <c r="DE102" t="e">
        <f>AND('SPR BARRANQUILLA'!G121,"AAAAAB+5bGw=")</f>
        <v>#VALUE!</v>
      </c>
      <c r="DF102" t="e">
        <f>AND('SPR BARRANQUILLA'!H121,"AAAAAB+5bG0=")</f>
        <v>#VALUE!</v>
      </c>
      <c r="DG102" t="e">
        <f>AND('SPR BARRANQUILLA'!I121,"AAAAAB+5bG4=")</f>
        <v>#VALUE!</v>
      </c>
      <c r="DH102" t="e">
        <f>AND('SPR BARRANQUILLA'!J121,"AAAAAB+5bG8=")</f>
        <v>#VALUE!</v>
      </c>
      <c r="DI102" t="e">
        <f>AND('SPR BARRANQUILLA'!K121,"AAAAAB+5bHA=")</f>
        <v>#VALUE!</v>
      </c>
      <c r="DJ102" t="e">
        <f>AND('SPR BARRANQUILLA'!L121,"AAAAAB+5bHE=")</f>
        <v>#VALUE!</v>
      </c>
      <c r="DK102" t="e">
        <f>AND('SPR BARRANQUILLA'!M121,"AAAAAB+5bHI=")</f>
        <v>#VALUE!</v>
      </c>
      <c r="DL102" t="e">
        <f>AND('SPR BARRANQUILLA'!N121,"AAAAAB+5bHM=")</f>
        <v>#VALUE!</v>
      </c>
      <c r="DM102" t="e">
        <f>AND('SPR BARRANQUILLA'!O121,"AAAAAB+5bHQ=")</f>
        <v>#VALUE!</v>
      </c>
      <c r="DN102" t="e">
        <f>AND('SPR BARRANQUILLA'!P121,"AAAAAB+5bHU=")</f>
        <v>#VALUE!</v>
      </c>
      <c r="DO102" t="e">
        <f>AND('SPR BARRANQUILLA'!Q121,"AAAAAB+5bHY=")</f>
        <v>#VALUE!</v>
      </c>
      <c r="DP102" t="e">
        <f>AND('SPR BARRANQUILLA'!R121,"AAAAAB+5bHc=")</f>
        <v>#VALUE!</v>
      </c>
      <c r="DQ102" t="e">
        <f>AND('SPR BARRANQUILLA'!S121,"AAAAAB+5bHg=")</f>
        <v>#VALUE!</v>
      </c>
      <c r="DR102" t="e">
        <f>AND('SPR BARRANQUILLA'!T121,"AAAAAB+5bHk=")</f>
        <v>#VALUE!</v>
      </c>
      <c r="DS102" t="e">
        <f>AND('SPR BARRANQUILLA'!U121,"AAAAAB+5bHo=")</f>
        <v>#VALUE!</v>
      </c>
      <c r="DT102" t="e">
        <f>AND('SPR BARRANQUILLA'!V121,"AAAAAB+5bHs=")</f>
        <v>#VALUE!</v>
      </c>
      <c r="DU102" t="e">
        <f>AND('SPR BARRANQUILLA'!W121,"AAAAAB+5bHw=")</f>
        <v>#VALUE!</v>
      </c>
      <c r="DV102" t="e">
        <f>AND('SPR BARRANQUILLA'!X121,"AAAAAB+5bH0=")</f>
        <v>#VALUE!</v>
      </c>
      <c r="DW102" t="e">
        <f>AND('SPR BARRANQUILLA'!Y121,"AAAAAB+5bH4=")</f>
        <v>#VALUE!</v>
      </c>
      <c r="DX102" t="e">
        <f>AND('SPR BARRANQUILLA'!Z121,"AAAAAB+5bH8=")</f>
        <v>#VALUE!</v>
      </c>
      <c r="DY102" t="e">
        <f>AND('SPR BARRANQUILLA'!AA121,"AAAAAB+5bIA=")</f>
        <v>#VALUE!</v>
      </c>
      <c r="DZ102" t="e">
        <f>AND('SPR BARRANQUILLA'!AB121,"AAAAAB+5bIE=")</f>
        <v>#VALUE!</v>
      </c>
      <c r="EA102" t="e">
        <f>AND('SPR BARRANQUILLA'!AC121,"AAAAAB+5bII=")</f>
        <v>#VALUE!</v>
      </c>
      <c r="EB102" t="e">
        <f>AND('SPR BARRANQUILLA'!AD121,"AAAAAB+5bIM=")</f>
        <v>#VALUE!</v>
      </c>
      <c r="EC102" t="e">
        <f>AND('SPR BARRANQUILLA'!AE121,"AAAAAB+5bIQ=")</f>
        <v>#VALUE!</v>
      </c>
      <c r="ED102" t="e">
        <f>AND('SPR BARRANQUILLA'!AF121,"AAAAAB+5bIU=")</f>
        <v>#VALUE!</v>
      </c>
      <c r="EE102" t="e">
        <f>AND('SPR BARRANQUILLA'!AG121,"AAAAAB+5bIY=")</f>
        <v>#VALUE!</v>
      </c>
      <c r="EF102" t="e">
        <f>AND('SPR BARRANQUILLA'!AH121,"AAAAAB+5bIc=")</f>
        <v>#VALUE!</v>
      </c>
      <c r="EG102" t="e">
        <f>AND('SPR BARRANQUILLA'!AI121,"AAAAAB+5bIg=")</f>
        <v>#VALUE!</v>
      </c>
      <c r="EH102" t="e">
        <f>AND('SPR BARRANQUILLA'!AJ121,"AAAAAB+5bIk=")</f>
        <v>#VALUE!</v>
      </c>
      <c r="EI102" t="e">
        <f>AND('SPR BARRANQUILLA'!AK121,"AAAAAB+5bIo=")</f>
        <v>#VALUE!</v>
      </c>
      <c r="EJ102" t="e">
        <f>AND('SPR BARRANQUILLA'!AL121,"AAAAAB+5bIs=")</f>
        <v>#VALUE!</v>
      </c>
      <c r="EK102" t="e">
        <f>AND('SPR BARRANQUILLA'!AM121,"AAAAAB+5bIw=")</f>
        <v>#VALUE!</v>
      </c>
      <c r="EL102" t="e">
        <f>AND('SPR BARRANQUILLA'!AN121,"AAAAAB+5bI0=")</f>
        <v>#VALUE!</v>
      </c>
      <c r="EM102" t="e">
        <f>AND('SPR BARRANQUILLA'!AO121,"AAAAAB+5bI4=")</f>
        <v>#VALUE!</v>
      </c>
      <c r="EN102" t="e">
        <f>AND('SPR BARRANQUILLA'!AP121,"AAAAAB+5bI8=")</f>
        <v>#VALUE!</v>
      </c>
      <c r="EO102" t="e">
        <f>AND('SPR BARRANQUILLA'!AQ121,"AAAAAB+5bJA=")</f>
        <v>#VALUE!</v>
      </c>
      <c r="EP102" t="e">
        <f>AND('SPR BARRANQUILLA'!AR121,"AAAAAB+5bJE=")</f>
        <v>#VALUE!</v>
      </c>
      <c r="EQ102" t="e">
        <f>AND('SPR BARRANQUILLA'!AS121,"AAAAAB+5bJI=")</f>
        <v>#VALUE!</v>
      </c>
      <c r="ER102" t="e">
        <f>AND('SPR BARRANQUILLA'!AT121,"AAAAAB+5bJM=")</f>
        <v>#VALUE!</v>
      </c>
      <c r="ES102" t="e">
        <f>AND('SPR BARRANQUILLA'!AU121,"AAAAAB+5bJQ=")</f>
        <v>#VALUE!</v>
      </c>
      <c r="ET102" t="e">
        <f>AND('SPR BARRANQUILLA'!AV121,"AAAAAB+5bJU=")</f>
        <v>#VALUE!</v>
      </c>
      <c r="EU102" t="e">
        <f>AND('SPR BARRANQUILLA'!AW121,"AAAAAB+5bJY=")</f>
        <v>#VALUE!</v>
      </c>
      <c r="EV102" t="e">
        <f>AND('SPR BARRANQUILLA'!AX121,"AAAAAB+5bJc=")</f>
        <v>#VALUE!</v>
      </c>
      <c r="EW102" t="e">
        <f>AND('SPR BARRANQUILLA'!AY121,"AAAAAB+5bJg=")</f>
        <v>#VALUE!</v>
      </c>
      <c r="EX102" t="e">
        <f>AND('SPR BARRANQUILLA'!AZ121,"AAAAAB+5bJk=")</f>
        <v>#VALUE!</v>
      </c>
      <c r="EY102" t="e">
        <f>AND('SPR BARRANQUILLA'!BA121,"AAAAAB+5bJo=")</f>
        <v>#VALUE!</v>
      </c>
      <c r="EZ102" t="e">
        <f>AND('SPR BARRANQUILLA'!BB121,"AAAAAB+5bJs=")</f>
        <v>#VALUE!</v>
      </c>
      <c r="FA102" t="e">
        <f>AND('SPR BARRANQUILLA'!BC121,"AAAAAB+5bJw=")</f>
        <v>#VALUE!</v>
      </c>
      <c r="FB102" t="e">
        <f>AND('SPR BARRANQUILLA'!BD121,"AAAAAB+5bJ0=")</f>
        <v>#VALUE!</v>
      </c>
      <c r="FC102" t="e">
        <f>AND('SPR BARRANQUILLA'!BE121,"AAAAAB+5bJ4=")</f>
        <v>#VALUE!</v>
      </c>
      <c r="FD102" t="e">
        <f>AND('SPR BARRANQUILLA'!BF121,"AAAAAB+5bJ8=")</f>
        <v>#VALUE!</v>
      </c>
      <c r="FE102" t="e">
        <f>AND('SPR BARRANQUILLA'!BG121,"AAAAAB+5bKA=")</f>
        <v>#VALUE!</v>
      </c>
      <c r="FF102" t="e">
        <f>AND('SPR BARRANQUILLA'!BH121,"AAAAAB+5bKE=")</f>
        <v>#VALUE!</v>
      </c>
      <c r="FG102" t="e">
        <f>AND('SPR BARRANQUILLA'!BI121,"AAAAAB+5bKI=")</f>
        <v>#VALUE!</v>
      </c>
      <c r="FH102" t="e">
        <f>AND('SPR BARRANQUILLA'!BJ121,"AAAAAB+5bKM=")</f>
        <v>#VALUE!</v>
      </c>
      <c r="FI102" t="e">
        <f>AND('SPR BARRANQUILLA'!BK121,"AAAAAB+5bKQ=")</f>
        <v>#VALUE!</v>
      </c>
      <c r="FJ102" t="e">
        <f>AND('SPR BARRANQUILLA'!BL121,"AAAAAB+5bKU=")</f>
        <v>#VALUE!</v>
      </c>
      <c r="FK102" t="e">
        <f>AND('SPR BARRANQUILLA'!BM121,"AAAAAB+5bKY=")</f>
        <v>#VALUE!</v>
      </c>
      <c r="FL102" t="e">
        <f>AND('SPR BARRANQUILLA'!BN121,"AAAAAB+5bKc=")</f>
        <v>#VALUE!</v>
      </c>
      <c r="FM102" t="e">
        <f>AND('SPR BARRANQUILLA'!BO121,"AAAAAB+5bKg=")</f>
        <v>#VALUE!</v>
      </c>
      <c r="FN102" t="e">
        <f>AND('SPR BARRANQUILLA'!BP121,"AAAAAB+5bKk=")</f>
        <v>#VALUE!</v>
      </c>
      <c r="FO102" t="e">
        <f>AND('SPR BARRANQUILLA'!BQ121,"AAAAAB+5bKo=")</f>
        <v>#VALUE!</v>
      </c>
      <c r="FP102" t="e">
        <f>AND('SPR BARRANQUILLA'!BR121,"AAAAAB+5bKs=")</f>
        <v>#VALUE!</v>
      </c>
      <c r="FQ102" t="e">
        <f>AND('SPR BARRANQUILLA'!BS121,"AAAAAB+5bKw=")</f>
        <v>#VALUE!</v>
      </c>
      <c r="FR102" t="e">
        <f>AND('SPR BARRANQUILLA'!BT121,"AAAAAB+5bK0=")</f>
        <v>#VALUE!</v>
      </c>
      <c r="FS102" t="e">
        <f>AND('SPR BARRANQUILLA'!BU121,"AAAAAB+5bK4=")</f>
        <v>#VALUE!</v>
      </c>
      <c r="FT102" t="e">
        <f>AND('SPR BARRANQUILLA'!BV121,"AAAAAB+5bK8=")</f>
        <v>#VALUE!</v>
      </c>
      <c r="FU102" t="e">
        <f>AND('SPR BARRANQUILLA'!BW121,"AAAAAB+5bLA=")</f>
        <v>#VALUE!</v>
      </c>
      <c r="FV102" t="e">
        <f>AND('SPR BARRANQUILLA'!BX121,"AAAAAB+5bLE=")</f>
        <v>#VALUE!</v>
      </c>
      <c r="FW102" t="e">
        <f>AND('SPR BARRANQUILLA'!BY121,"AAAAAB+5bLI=")</f>
        <v>#VALUE!</v>
      </c>
      <c r="FX102" t="e">
        <f>AND('SPR BARRANQUILLA'!BZ121,"AAAAAB+5bLM=")</f>
        <v>#VALUE!</v>
      </c>
      <c r="FY102" t="e">
        <f>AND('SPR BARRANQUILLA'!CA121,"AAAAAB+5bLQ=")</f>
        <v>#VALUE!</v>
      </c>
      <c r="FZ102" t="e">
        <f>AND('SPR BARRANQUILLA'!CB121,"AAAAAB+5bLU=")</f>
        <v>#VALUE!</v>
      </c>
      <c r="GA102" t="e">
        <f>AND('SPR BARRANQUILLA'!CC121,"AAAAAB+5bLY=")</f>
        <v>#VALUE!</v>
      </c>
      <c r="GB102" t="e">
        <f>AND('SPR BARRANQUILLA'!CD121,"AAAAAB+5bLc=")</f>
        <v>#VALUE!</v>
      </c>
      <c r="GC102" t="e">
        <f>AND('SPR BARRANQUILLA'!CE121,"AAAAAB+5bLg=")</f>
        <v>#VALUE!</v>
      </c>
      <c r="GD102" t="e">
        <f>AND('SPR BARRANQUILLA'!CF121,"AAAAAB+5bLk=")</f>
        <v>#VALUE!</v>
      </c>
      <c r="GE102" t="e">
        <f>AND('SPR BARRANQUILLA'!CG121,"AAAAAB+5bLo=")</f>
        <v>#VALUE!</v>
      </c>
      <c r="GF102" t="e">
        <f>AND('SPR BARRANQUILLA'!CH121,"AAAAAB+5bLs=")</f>
        <v>#VALUE!</v>
      </c>
      <c r="GG102" t="e">
        <f>AND('SPR BARRANQUILLA'!CI121,"AAAAAB+5bLw=")</f>
        <v>#VALUE!</v>
      </c>
      <c r="GH102" t="e">
        <f>AND('SPR BARRANQUILLA'!CJ121,"AAAAAB+5bL0=")</f>
        <v>#VALUE!</v>
      </c>
      <c r="GI102" t="e">
        <f>AND('SPR BARRANQUILLA'!CK121,"AAAAAB+5bL4=")</f>
        <v>#VALUE!</v>
      </c>
      <c r="GJ102" t="e">
        <f>AND('SPR BARRANQUILLA'!CL121,"AAAAAB+5bL8=")</f>
        <v>#VALUE!</v>
      </c>
      <c r="GK102" t="e">
        <f>AND('SPR BARRANQUILLA'!CM121,"AAAAAB+5bMA=")</f>
        <v>#VALUE!</v>
      </c>
      <c r="GL102" t="e">
        <f>AND('SPR BARRANQUILLA'!CN121,"AAAAAB+5bME=")</f>
        <v>#VALUE!</v>
      </c>
      <c r="GM102" t="e">
        <f>AND('SPR BARRANQUILLA'!CO121,"AAAAAB+5bMI=")</f>
        <v>#VALUE!</v>
      </c>
      <c r="GN102" t="e">
        <f>AND('SPR BARRANQUILLA'!CP121,"AAAAAB+5bMM=")</f>
        <v>#VALUE!</v>
      </c>
      <c r="GO102" t="e">
        <f>AND('SPR BARRANQUILLA'!CQ121,"AAAAAB+5bMQ=")</f>
        <v>#VALUE!</v>
      </c>
      <c r="GP102" t="e">
        <f>AND('SPR BARRANQUILLA'!CR121,"AAAAAB+5bMU=")</f>
        <v>#VALUE!</v>
      </c>
      <c r="GQ102" t="e">
        <f>AND('SPR BARRANQUILLA'!CS121,"AAAAAB+5bMY=")</f>
        <v>#VALUE!</v>
      </c>
      <c r="GR102" t="e">
        <f>AND('SPR BARRANQUILLA'!CT121,"AAAAAB+5bMc=")</f>
        <v>#VALUE!</v>
      </c>
      <c r="GS102" t="e">
        <f>AND('SPR BARRANQUILLA'!CU121,"AAAAAB+5bMg=")</f>
        <v>#VALUE!</v>
      </c>
      <c r="GT102" t="e">
        <f>AND('SPR BARRANQUILLA'!CV121,"AAAAAB+5bMk=")</f>
        <v>#VALUE!</v>
      </c>
      <c r="GU102" t="e">
        <f>AND('SPR BARRANQUILLA'!CW121,"AAAAAB+5bMo=")</f>
        <v>#VALUE!</v>
      </c>
      <c r="GV102" t="e">
        <f>AND('SPR BARRANQUILLA'!CX121,"AAAAAB+5bMs=")</f>
        <v>#VALUE!</v>
      </c>
      <c r="GW102" t="e">
        <f>AND('SPR BARRANQUILLA'!CY121,"AAAAAB+5bMw=")</f>
        <v>#VALUE!</v>
      </c>
      <c r="GX102" t="e">
        <f>AND('SPR BARRANQUILLA'!CZ121,"AAAAAB+5bM0=")</f>
        <v>#VALUE!</v>
      </c>
      <c r="GY102" t="e">
        <f>AND('SPR BARRANQUILLA'!DA121,"AAAAAB+5bM4=")</f>
        <v>#VALUE!</v>
      </c>
      <c r="GZ102" t="e">
        <f>AND('SPR BARRANQUILLA'!DB121,"AAAAAB+5bM8=")</f>
        <v>#VALUE!</v>
      </c>
      <c r="HA102" t="e">
        <f>AND('SPR BARRANQUILLA'!DC121,"AAAAAB+5bNA=")</f>
        <v>#VALUE!</v>
      </c>
      <c r="HB102" t="e">
        <f>AND('SPR BARRANQUILLA'!DD121,"AAAAAB+5bNE=")</f>
        <v>#VALUE!</v>
      </c>
      <c r="HC102" t="e">
        <f>AND('SPR BARRANQUILLA'!DE121,"AAAAAB+5bNI=")</f>
        <v>#VALUE!</v>
      </c>
      <c r="HD102" t="e">
        <f>AND('SPR BARRANQUILLA'!DF121,"AAAAAB+5bNM=")</f>
        <v>#VALUE!</v>
      </c>
      <c r="HE102" t="e">
        <f>AND('SPR BARRANQUILLA'!DG121,"AAAAAB+5bNQ=")</f>
        <v>#VALUE!</v>
      </c>
      <c r="HF102" t="e">
        <f>AND('SPR BARRANQUILLA'!DH121,"AAAAAB+5bNU=")</f>
        <v>#VALUE!</v>
      </c>
      <c r="HG102" t="e">
        <f>AND('SPR BARRANQUILLA'!DI121,"AAAAAB+5bNY=")</f>
        <v>#VALUE!</v>
      </c>
      <c r="HH102" t="e">
        <f>AND('SPR BARRANQUILLA'!DJ121,"AAAAAB+5bNc=")</f>
        <v>#VALUE!</v>
      </c>
      <c r="HI102" t="e">
        <f>AND('SPR BARRANQUILLA'!DK121,"AAAAAB+5bNg=")</f>
        <v>#VALUE!</v>
      </c>
      <c r="HJ102" t="e">
        <f>AND('SPR BARRANQUILLA'!DL121,"AAAAAB+5bNk=")</f>
        <v>#VALUE!</v>
      </c>
      <c r="HK102" t="e">
        <f>AND('SPR BARRANQUILLA'!DM121,"AAAAAB+5bNo=")</f>
        <v>#VALUE!</v>
      </c>
      <c r="HL102" t="e">
        <f>AND('SPR BARRANQUILLA'!DN121,"AAAAAB+5bNs=")</f>
        <v>#VALUE!</v>
      </c>
      <c r="HM102" t="e">
        <f>AND('SPR BARRANQUILLA'!DO121,"AAAAAB+5bNw=")</f>
        <v>#VALUE!</v>
      </c>
      <c r="HN102" t="e">
        <f>AND('SPR BARRANQUILLA'!DP121,"AAAAAB+5bN0=")</f>
        <v>#VALUE!</v>
      </c>
      <c r="HO102" t="e">
        <f>AND('SPR BARRANQUILLA'!DQ121,"AAAAAB+5bN4=")</f>
        <v>#VALUE!</v>
      </c>
      <c r="HP102" t="e">
        <f>AND('SPR BARRANQUILLA'!DR121,"AAAAAB+5bN8=")</f>
        <v>#VALUE!</v>
      </c>
      <c r="HQ102" t="e">
        <f>AND('SPR BARRANQUILLA'!DS121,"AAAAAB+5bOA=")</f>
        <v>#VALUE!</v>
      </c>
      <c r="HR102" t="e">
        <f>AND('SPR BARRANQUILLA'!DT121,"AAAAAB+5bOE=")</f>
        <v>#VALUE!</v>
      </c>
      <c r="HS102" t="e">
        <f>AND('SPR BARRANQUILLA'!DU121,"AAAAAB+5bOI=")</f>
        <v>#VALUE!</v>
      </c>
      <c r="HT102" t="e">
        <f>AND('SPR BARRANQUILLA'!DV121,"AAAAAB+5bOM=")</f>
        <v>#VALUE!</v>
      </c>
      <c r="HU102" t="e">
        <f>AND('SPR BARRANQUILLA'!DW121,"AAAAAB+5bOQ=")</f>
        <v>#VALUE!</v>
      </c>
      <c r="HV102" t="e">
        <f>AND('SPR BARRANQUILLA'!DX121,"AAAAAB+5bOU=")</f>
        <v>#VALUE!</v>
      </c>
      <c r="HW102" t="e">
        <f>AND('SPR BARRANQUILLA'!DY121,"AAAAAB+5bOY=")</f>
        <v>#VALUE!</v>
      </c>
      <c r="HX102" t="e">
        <f>AND('SPR BARRANQUILLA'!DZ121,"AAAAAB+5bOc=")</f>
        <v>#VALUE!</v>
      </c>
      <c r="HY102" t="e">
        <f>AND('SPR BARRANQUILLA'!EA121,"AAAAAB+5bOg=")</f>
        <v>#VALUE!</v>
      </c>
      <c r="HZ102" t="e">
        <f>AND('SPR BARRANQUILLA'!EB121,"AAAAAB+5bOk=")</f>
        <v>#VALUE!</v>
      </c>
      <c r="IA102" t="e">
        <f>AND('SPR BARRANQUILLA'!EC121,"AAAAAB+5bOo=")</f>
        <v>#VALUE!</v>
      </c>
      <c r="IB102" t="e">
        <f>AND('SPR BARRANQUILLA'!ED121,"AAAAAB+5bOs=")</f>
        <v>#VALUE!</v>
      </c>
      <c r="IC102" t="e">
        <f>AND('SPR BARRANQUILLA'!EE121,"AAAAAB+5bOw=")</f>
        <v>#VALUE!</v>
      </c>
      <c r="ID102" t="e">
        <f>AND('SPR BARRANQUILLA'!EF121,"AAAAAB+5bO0=")</f>
        <v>#VALUE!</v>
      </c>
      <c r="IE102" t="e">
        <f>AND('SPR BARRANQUILLA'!EG121,"AAAAAB+5bO4=")</f>
        <v>#VALUE!</v>
      </c>
      <c r="IF102" t="e">
        <f>AND('SPR BARRANQUILLA'!EH121,"AAAAAB+5bO8=")</f>
        <v>#VALUE!</v>
      </c>
      <c r="IG102" t="e">
        <f>AND('SPR BARRANQUILLA'!EI121,"AAAAAB+5bPA=")</f>
        <v>#VALUE!</v>
      </c>
      <c r="IH102" t="e">
        <f>AND('SPR BARRANQUILLA'!EJ121,"AAAAAB+5bPE=")</f>
        <v>#VALUE!</v>
      </c>
      <c r="II102" t="e">
        <f>AND('SPR BARRANQUILLA'!EK121,"AAAAAB+5bPI=")</f>
        <v>#VALUE!</v>
      </c>
      <c r="IJ102" t="e">
        <f>AND('SPR BARRANQUILLA'!EL121,"AAAAAB+5bPM=")</f>
        <v>#VALUE!</v>
      </c>
      <c r="IK102" t="e">
        <f>AND('SPR BARRANQUILLA'!EM121,"AAAAAB+5bPQ=")</f>
        <v>#VALUE!</v>
      </c>
      <c r="IL102" t="e">
        <f>AND('SPR BARRANQUILLA'!EN121,"AAAAAB+5bPU=")</f>
        <v>#VALUE!</v>
      </c>
      <c r="IM102" t="e">
        <f>AND('SPR BARRANQUILLA'!EO121,"AAAAAB+5bPY=")</f>
        <v>#VALUE!</v>
      </c>
      <c r="IN102" t="e">
        <f>AND('SPR BARRANQUILLA'!EP121,"AAAAAB+5bPc=")</f>
        <v>#VALUE!</v>
      </c>
      <c r="IO102" t="e">
        <f>AND('SPR BARRANQUILLA'!EQ121,"AAAAAB+5bPg=")</f>
        <v>#VALUE!</v>
      </c>
      <c r="IP102" t="e">
        <f>AND('SPR BARRANQUILLA'!ER121,"AAAAAB+5bPk=")</f>
        <v>#VALUE!</v>
      </c>
      <c r="IQ102" t="e">
        <f>AND('SPR BARRANQUILLA'!ES121,"AAAAAB+5bPo=")</f>
        <v>#VALUE!</v>
      </c>
      <c r="IR102" t="e">
        <f>AND('SPR BARRANQUILLA'!ET121,"AAAAAB+5bPs=")</f>
        <v>#VALUE!</v>
      </c>
      <c r="IS102" t="e">
        <f>AND('SPR BARRANQUILLA'!EU121,"AAAAAB+5bPw=")</f>
        <v>#VALUE!</v>
      </c>
      <c r="IT102" t="e">
        <f>AND('SPR BARRANQUILLA'!EV121,"AAAAAB+5bP0=")</f>
        <v>#VALUE!</v>
      </c>
      <c r="IU102" t="e">
        <f>AND('SPR BARRANQUILLA'!EW121,"AAAAAB+5bP4=")</f>
        <v>#VALUE!</v>
      </c>
      <c r="IV102" t="e">
        <f>AND('SPR BARRANQUILLA'!EX121,"AAAAAB+5bP8=")</f>
        <v>#VALUE!</v>
      </c>
    </row>
    <row r="103" spans="1:256">
      <c r="A103" t="e">
        <f>AND('SPR BARRANQUILLA'!EY121,"AAAAAGeU8wA=")</f>
        <v>#VALUE!</v>
      </c>
      <c r="B103" t="e">
        <f>AND('SPR BARRANQUILLA'!EZ121,"AAAAAGeU8wE=")</f>
        <v>#VALUE!</v>
      </c>
      <c r="C103" t="e">
        <f>AND('SPR BARRANQUILLA'!FA121,"AAAAAGeU8wI=")</f>
        <v>#VALUE!</v>
      </c>
      <c r="D103" t="e">
        <f>AND('SPR BARRANQUILLA'!FB121,"AAAAAGeU8wM=")</f>
        <v>#VALUE!</v>
      </c>
      <c r="E103" t="e">
        <f>AND('SPR BARRANQUILLA'!FC121,"AAAAAGeU8wQ=")</f>
        <v>#VALUE!</v>
      </c>
      <c r="F103" t="e">
        <f>AND('SPR BARRANQUILLA'!FD121,"AAAAAGeU8wU=")</f>
        <v>#VALUE!</v>
      </c>
      <c r="G103" t="e">
        <f>AND('SPR BARRANQUILLA'!FE121,"AAAAAGeU8wY=")</f>
        <v>#VALUE!</v>
      </c>
      <c r="H103" t="e">
        <f>AND('SPR BARRANQUILLA'!FF121,"AAAAAGeU8wc=")</f>
        <v>#VALUE!</v>
      </c>
      <c r="I103" t="e">
        <f>AND('SPR BARRANQUILLA'!FG121,"AAAAAGeU8wg=")</f>
        <v>#VALUE!</v>
      </c>
      <c r="J103" t="e">
        <f>AND('SPR BARRANQUILLA'!FH121,"AAAAAGeU8wk=")</f>
        <v>#VALUE!</v>
      </c>
      <c r="K103" t="e">
        <f>AND('SPR BARRANQUILLA'!FI121,"AAAAAGeU8wo=")</f>
        <v>#VALUE!</v>
      </c>
      <c r="L103" t="e">
        <f>AND('SPR BARRANQUILLA'!FJ121,"AAAAAGeU8ws=")</f>
        <v>#VALUE!</v>
      </c>
      <c r="M103" t="e">
        <f>AND('SPR BARRANQUILLA'!FK121,"AAAAAGeU8ww=")</f>
        <v>#VALUE!</v>
      </c>
      <c r="N103" t="e">
        <f>AND('SPR BARRANQUILLA'!FL121,"AAAAAGeU8w0=")</f>
        <v>#VALUE!</v>
      </c>
      <c r="O103" t="e">
        <f>AND('SPR BARRANQUILLA'!FM121,"AAAAAGeU8w4=")</f>
        <v>#VALUE!</v>
      </c>
      <c r="P103" t="e">
        <f>AND('SPR BARRANQUILLA'!FN121,"AAAAAGeU8w8=")</f>
        <v>#VALUE!</v>
      </c>
      <c r="Q103" t="e">
        <f>AND('SPR BARRANQUILLA'!FO121,"AAAAAGeU8xA=")</f>
        <v>#VALUE!</v>
      </c>
      <c r="R103" t="e">
        <f>AND('SPR BARRANQUILLA'!FP121,"AAAAAGeU8xE=")</f>
        <v>#VALUE!</v>
      </c>
      <c r="S103" t="e">
        <f>AND('SPR BARRANQUILLA'!FQ121,"AAAAAGeU8xI=")</f>
        <v>#VALUE!</v>
      </c>
      <c r="T103" t="e">
        <f>AND('SPR BARRANQUILLA'!FR121,"AAAAAGeU8xM=")</f>
        <v>#VALUE!</v>
      </c>
      <c r="U103" t="e">
        <f>AND('SPR BARRANQUILLA'!FS121,"AAAAAGeU8xQ=")</f>
        <v>#VALUE!</v>
      </c>
      <c r="V103" t="e">
        <f>AND('SPR BARRANQUILLA'!FT121,"AAAAAGeU8xU=")</f>
        <v>#VALUE!</v>
      </c>
      <c r="W103" t="e">
        <f>AND('SPR BARRANQUILLA'!FU121,"AAAAAGeU8xY=")</f>
        <v>#VALUE!</v>
      </c>
      <c r="X103" t="e">
        <f>AND('SPR BARRANQUILLA'!FV121,"AAAAAGeU8xc=")</f>
        <v>#VALUE!</v>
      </c>
      <c r="Y103" t="e">
        <f>AND('SPR BARRANQUILLA'!FW121,"AAAAAGeU8xg=")</f>
        <v>#VALUE!</v>
      </c>
      <c r="Z103" t="e">
        <f>AND('SPR BARRANQUILLA'!FX121,"AAAAAGeU8xk=")</f>
        <v>#VALUE!</v>
      </c>
      <c r="AA103" t="e">
        <f>AND('SPR BARRANQUILLA'!FY121,"AAAAAGeU8xo=")</f>
        <v>#VALUE!</v>
      </c>
      <c r="AB103" t="e">
        <f>AND('SPR BARRANQUILLA'!FZ121,"AAAAAGeU8xs=")</f>
        <v>#VALUE!</v>
      </c>
      <c r="AC103" t="e">
        <f>AND('SPR BARRANQUILLA'!GA121,"AAAAAGeU8xw=")</f>
        <v>#VALUE!</v>
      </c>
      <c r="AD103" t="e">
        <f>AND('SPR BARRANQUILLA'!GB121,"AAAAAGeU8x0=")</f>
        <v>#VALUE!</v>
      </c>
      <c r="AE103" t="e">
        <f>AND('SPR BARRANQUILLA'!GC121,"AAAAAGeU8x4=")</f>
        <v>#VALUE!</v>
      </c>
      <c r="AF103" t="e">
        <f>AND('SPR BARRANQUILLA'!GD121,"AAAAAGeU8x8=")</f>
        <v>#VALUE!</v>
      </c>
      <c r="AG103" t="e">
        <f>AND('SPR BARRANQUILLA'!GE121,"AAAAAGeU8yA=")</f>
        <v>#VALUE!</v>
      </c>
      <c r="AH103" t="e">
        <f>AND('SPR BARRANQUILLA'!GF121,"AAAAAGeU8yE=")</f>
        <v>#VALUE!</v>
      </c>
      <c r="AI103" t="e">
        <f>AND('SPR BARRANQUILLA'!GG121,"AAAAAGeU8yI=")</f>
        <v>#VALUE!</v>
      </c>
      <c r="AJ103" t="e">
        <f>AND('SPR BARRANQUILLA'!GH121,"AAAAAGeU8yM=")</f>
        <v>#VALUE!</v>
      </c>
      <c r="AK103" t="e">
        <f>AND('SPR BARRANQUILLA'!GI121,"AAAAAGeU8yQ=")</f>
        <v>#VALUE!</v>
      </c>
      <c r="AL103" t="e">
        <f>AND('SPR BARRANQUILLA'!GJ121,"AAAAAGeU8yU=")</f>
        <v>#VALUE!</v>
      </c>
      <c r="AM103" t="e">
        <f>AND('SPR BARRANQUILLA'!GK121,"AAAAAGeU8yY=")</f>
        <v>#VALUE!</v>
      </c>
      <c r="AN103" t="e">
        <f>AND('SPR BARRANQUILLA'!GL121,"AAAAAGeU8yc=")</f>
        <v>#VALUE!</v>
      </c>
      <c r="AO103" t="e">
        <f>AND('SPR BARRANQUILLA'!GM121,"AAAAAGeU8yg=")</f>
        <v>#VALUE!</v>
      </c>
      <c r="AP103" t="e">
        <f>AND('SPR BARRANQUILLA'!GN121,"AAAAAGeU8yk=")</f>
        <v>#VALUE!</v>
      </c>
      <c r="AQ103" t="e">
        <f>AND('SPR BARRANQUILLA'!GO121,"AAAAAGeU8yo=")</f>
        <v>#VALUE!</v>
      </c>
      <c r="AR103" t="e">
        <f>AND('SPR BARRANQUILLA'!GP121,"AAAAAGeU8ys=")</f>
        <v>#VALUE!</v>
      </c>
      <c r="AS103" t="e">
        <f>AND('SPR BARRANQUILLA'!GQ121,"AAAAAGeU8yw=")</f>
        <v>#VALUE!</v>
      </c>
      <c r="AT103" t="e">
        <f>AND('SPR BARRANQUILLA'!GR121,"AAAAAGeU8y0=")</f>
        <v>#VALUE!</v>
      </c>
      <c r="AU103" t="e">
        <f>AND('SPR BARRANQUILLA'!GS121,"AAAAAGeU8y4=")</f>
        <v>#VALUE!</v>
      </c>
      <c r="AV103" t="e">
        <f>AND('SPR BARRANQUILLA'!GT121,"AAAAAGeU8y8=")</f>
        <v>#VALUE!</v>
      </c>
      <c r="AW103" t="e">
        <f>AND('SPR BARRANQUILLA'!GU121,"AAAAAGeU8zA=")</f>
        <v>#VALUE!</v>
      </c>
      <c r="AX103" t="e">
        <f>AND('SPR BARRANQUILLA'!GV121,"AAAAAGeU8zE=")</f>
        <v>#VALUE!</v>
      </c>
      <c r="AY103" t="e">
        <f>AND('SPR BARRANQUILLA'!GW121,"AAAAAGeU8zI=")</f>
        <v>#VALUE!</v>
      </c>
      <c r="AZ103" t="e">
        <f>AND('SPR BARRANQUILLA'!GX121,"AAAAAGeU8zM=")</f>
        <v>#VALUE!</v>
      </c>
      <c r="BA103" t="e">
        <f>AND('SPR BARRANQUILLA'!GY121,"AAAAAGeU8zQ=")</f>
        <v>#VALUE!</v>
      </c>
      <c r="BB103">
        <f>IF('SPR BARRANQUILLA'!122:122,"AAAAAGeU8zU=",0)</f>
        <v>0</v>
      </c>
      <c r="BC103" t="e">
        <f>AND('SPR BARRANQUILLA'!A122,"AAAAAGeU8zY=")</f>
        <v>#VALUE!</v>
      </c>
      <c r="BD103" t="e">
        <f>AND('SPR BARRANQUILLA'!B122,"AAAAAGeU8zc=")</f>
        <v>#VALUE!</v>
      </c>
      <c r="BE103" t="e">
        <f>AND('SPR BARRANQUILLA'!C122,"AAAAAGeU8zg=")</f>
        <v>#VALUE!</v>
      </c>
      <c r="BF103" t="e">
        <f>AND('SPR BARRANQUILLA'!D122,"AAAAAGeU8zk=")</f>
        <v>#VALUE!</v>
      </c>
      <c r="BG103" t="e">
        <f>AND('SPR BARRANQUILLA'!E122,"AAAAAGeU8zo=")</f>
        <v>#VALUE!</v>
      </c>
      <c r="BH103" t="e">
        <f>AND('SPR BARRANQUILLA'!F122,"AAAAAGeU8zs=")</f>
        <v>#VALUE!</v>
      </c>
      <c r="BI103" t="e">
        <f>AND('SPR BARRANQUILLA'!G122,"AAAAAGeU8zw=")</f>
        <v>#VALUE!</v>
      </c>
      <c r="BJ103" t="e">
        <f>AND('SPR BARRANQUILLA'!H122,"AAAAAGeU8z0=")</f>
        <v>#VALUE!</v>
      </c>
      <c r="BK103" t="e">
        <f>AND('SPR BARRANQUILLA'!I122,"AAAAAGeU8z4=")</f>
        <v>#VALUE!</v>
      </c>
      <c r="BL103" t="e">
        <f>AND('SPR BARRANQUILLA'!J122,"AAAAAGeU8z8=")</f>
        <v>#VALUE!</v>
      </c>
      <c r="BM103" t="e">
        <f>AND('SPR BARRANQUILLA'!K122,"AAAAAGeU80A=")</f>
        <v>#VALUE!</v>
      </c>
      <c r="BN103" t="e">
        <f>AND('SPR BARRANQUILLA'!L122,"AAAAAGeU80E=")</f>
        <v>#VALUE!</v>
      </c>
      <c r="BO103" t="e">
        <f>AND('SPR BARRANQUILLA'!M122,"AAAAAGeU80I=")</f>
        <v>#VALUE!</v>
      </c>
      <c r="BP103" t="e">
        <f>AND('SPR BARRANQUILLA'!N122,"AAAAAGeU80M=")</f>
        <v>#VALUE!</v>
      </c>
      <c r="BQ103" t="e">
        <f>AND('SPR BARRANQUILLA'!O122,"AAAAAGeU80Q=")</f>
        <v>#VALUE!</v>
      </c>
      <c r="BR103" t="e">
        <f>AND('SPR BARRANQUILLA'!P122,"AAAAAGeU80U=")</f>
        <v>#VALUE!</v>
      </c>
      <c r="BS103" t="e">
        <f>AND('SPR BARRANQUILLA'!Q122,"AAAAAGeU80Y=")</f>
        <v>#VALUE!</v>
      </c>
      <c r="BT103" t="e">
        <f>AND('SPR BARRANQUILLA'!R122,"AAAAAGeU80c=")</f>
        <v>#VALUE!</v>
      </c>
      <c r="BU103" t="e">
        <f>AND('SPR BARRANQUILLA'!S122,"AAAAAGeU80g=")</f>
        <v>#VALUE!</v>
      </c>
      <c r="BV103" t="e">
        <f>AND('SPR BARRANQUILLA'!T122,"AAAAAGeU80k=")</f>
        <v>#VALUE!</v>
      </c>
      <c r="BW103" t="e">
        <f>AND('SPR BARRANQUILLA'!U122,"AAAAAGeU80o=")</f>
        <v>#VALUE!</v>
      </c>
      <c r="BX103" t="e">
        <f>AND('SPR BARRANQUILLA'!V122,"AAAAAGeU80s=")</f>
        <v>#VALUE!</v>
      </c>
      <c r="BY103" t="e">
        <f>AND('SPR BARRANQUILLA'!W122,"AAAAAGeU80w=")</f>
        <v>#VALUE!</v>
      </c>
      <c r="BZ103" t="e">
        <f>AND('SPR BARRANQUILLA'!X122,"AAAAAGeU800=")</f>
        <v>#VALUE!</v>
      </c>
      <c r="CA103" t="e">
        <f>AND('SPR BARRANQUILLA'!Y122,"AAAAAGeU804=")</f>
        <v>#VALUE!</v>
      </c>
      <c r="CB103" t="e">
        <f>AND('SPR BARRANQUILLA'!Z122,"AAAAAGeU808=")</f>
        <v>#VALUE!</v>
      </c>
      <c r="CC103" t="e">
        <f>AND('SPR BARRANQUILLA'!AA122,"AAAAAGeU81A=")</f>
        <v>#VALUE!</v>
      </c>
      <c r="CD103" t="e">
        <f>AND('SPR BARRANQUILLA'!AB122,"AAAAAGeU81E=")</f>
        <v>#VALUE!</v>
      </c>
      <c r="CE103" t="e">
        <f>AND('SPR BARRANQUILLA'!AC122,"AAAAAGeU81I=")</f>
        <v>#VALUE!</v>
      </c>
      <c r="CF103" t="e">
        <f>AND('SPR BARRANQUILLA'!AD122,"AAAAAGeU81M=")</f>
        <v>#VALUE!</v>
      </c>
      <c r="CG103" t="e">
        <f>AND('SPR BARRANQUILLA'!AE122,"AAAAAGeU81Q=")</f>
        <v>#VALUE!</v>
      </c>
      <c r="CH103" t="e">
        <f>AND('SPR BARRANQUILLA'!AF122,"AAAAAGeU81U=")</f>
        <v>#VALUE!</v>
      </c>
      <c r="CI103" t="e">
        <f>AND('SPR BARRANQUILLA'!AG122,"AAAAAGeU81Y=")</f>
        <v>#VALUE!</v>
      </c>
      <c r="CJ103" t="e">
        <f>AND('SPR BARRANQUILLA'!AH122,"AAAAAGeU81c=")</f>
        <v>#VALUE!</v>
      </c>
      <c r="CK103" t="e">
        <f>AND('SPR BARRANQUILLA'!AI122,"AAAAAGeU81g=")</f>
        <v>#VALUE!</v>
      </c>
      <c r="CL103" t="e">
        <f>AND('SPR BARRANQUILLA'!AJ122,"AAAAAGeU81k=")</f>
        <v>#VALUE!</v>
      </c>
      <c r="CM103" t="e">
        <f>AND('SPR BARRANQUILLA'!AK122,"AAAAAGeU81o=")</f>
        <v>#VALUE!</v>
      </c>
      <c r="CN103" t="e">
        <f>AND('SPR BARRANQUILLA'!AL122,"AAAAAGeU81s=")</f>
        <v>#VALUE!</v>
      </c>
      <c r="CO103" t="e">
        <f>AND('SPR BARRANQUILLA'!AM122,"AAAAAGeU81w=")</f>
        <v>#VALUE!</v>
      </c>
      <c r="CP103" t="e">
        <f>AND('SPR BARRANQUILLA'!AN122,"AAAAAGeU810=")</f>
        <v>#VALUE!</v>
      </c>
      <c r="CQ103" t="e">
        <f>AND('SPR BARRANQUILLA'!AO122,"AAAAAGeU814=")</f>
        <v>#VALUE!</v>
      </c>
      <c r="CR103" t="e">
        <f>AND('SPR BARRANQUILLA'!AP122,"AAAAAGeU818=")</f>
        <v>#VALUE!</v>
      </c>
      <c r="CS103" t="e">
        <f>AND('SPR BARRANQUILLA'!AQ122,"AAAAAGeU82A=")</f>
        <v>#VALUE!</v>
      </c>
      <c r="CT103" t="e">
        <f>AND('SPR BARRANQUILLA'!AR122,"AAAAAGeU82E=")</f>
        <v>#VALUE!</v>
      </c>
      <c r="CU103" t="e">
        <f>AND('SPR BARRANQUILLA'!AS122,"AAAAAGeU82I=")</f>
        <v>#VALUE!</v>
      </c>
      <c r="CV103" t="e">
        <f>AND('SPR BARRANQUILLA'!AT122,"AAAAAGeU82M=")</f>
        <v>#VALUE!</v>
      </c>
      <c r="CW103" t="e">
        <f>AND('SPR BARRANQUILLA'!AU122,"AAAAAGeU82Q=")</f>
        <v>#VALUE!</v>
      </c>
      <c r="CX103" t="e">
        <f>AND('SPR BARRANQUILLA'!AV122,"AAAAAGeU82U=")</f>
        <v>#VALUE!</v>
      </c>
      <c r="CY103" t="e">
        <f>AND('SPR BARRANQUILLA'!AW122,"AAAAAGeU82Y=")</f>
        <v>#VALUE!</v>
      </c>
      <c r="CZ103" t="e">
        <f>AND('SPR BARRANQUILLA'!AX122,"AAAAAGeU82c=")</f>
        <v>#VALUE!</v>
      </c>
      <c r="DA103" t="e">
        <f>AND('SPR BARRANQUILLA'!AY122,"AAAAAGeU82g=")</f>
        <v>#VALUE!</v>
      </c>
      <c r="DB103" t="e">
        <f>AND('SPR BARRANQUILLA'!AZ122,"AAAAAGeU82k=")</f>
        <v>#VALUE!</v>
      </c>
      <c r="DC103" t="e">
        <f>AND('SPR BARRANQUILLA'!BA122,"AAAAAGeU82o=")</f>
        <v>#VALUE!</v>
      </c>
      <c r="DD103" t="e">
        <f>AND('SPR BARRANQUILLA'!BB122,"AAAAAGeU82s=")</f>
        <v>#VALUE!</v>
      </c>
      <c r="DE103" t="e">
        <f>AND('SPR BARRANQUILLA'!BC122,"AAAAAGeU82w=")</f>
        <v>#VALUE!</v>
      </c>
      <c r="DF103" t="e">
        <f>AND('SPR BARRANQUILLA'!BD122,"AAAAAGeU820=")</f>
        <v>#VALUE!</v>
      </c>
      <c r="DG103" t="e">
        <f>AND('SPR BARRANQUILLA'!BE122,"AAAAAGeU824=")</f>
        <v>#VALUE!</v>
      </c>
      <c r="DH103" t="e">
        <f>AND('SPR BARRANQUILLA'!BF122,"AAAAAGeU828=")</f>
        <v>#VALUE!</v>
      </c>
      <c r="DI103" t="e">
        <f>AND('SPR BARRANQUILLA'!BG122,"AAAAAGeU83A=")</f>
        <v>#VALUE!</v>
      </c>
      <c r="DJ103" t="e">
        <f>AND('SPR BARRANQUILLA'!BH122,"AAAAAGeU83E=")</f>
        <v>#VALUE!</v>
      </c>
      <c r="DK103" t="e">
        <f>AND('SPR BARRANQUILLA'!BI122,"AAAAAGeU83I=")</f>
        <v>#VALUE!</v>
      </c>
      <c r="DL103" t="e">
        <f>AND('SPR BARRANQUILLA'!BJ122,"AAAAAGeU83M=")</f>
        <v>#VALUE!</v>
      </c>
      <c r="DM103" t="e">
        <f>AND('SPR BARRANQUILLA'!BK122,"AAAAAGeU83Q=")</f>
        <v>#VALUE!</v>
      </c>
      <c r="DN103" t="e">
        <f>AND('SPR BARRANQUILLA'!BL122,"AAAAAGeU83U=")</f>
        <v>#VALUE!</v>
      </c>
      <c r="DO103" t="e">
        <f>AND('SPR BARRANQUILLA'!BM122,"AAAAAGeU83Y=")</f>
        <v>#VALUE!</v>
      </c>
      <c r="DP103" t="e">
        <f>AND('SPR BARRANQUILLA'!BN122,"AAAAAGeU83c=")</f>
        <v>#VALUE!</v>
      </c>
      <c r="DQ103" t="e">
        <f>AND('SPR BARRANQUILLA'!BO122,"AAAAAGeU83g=")</f>
        <v>#VALUE!</v>
      </c>
      <c r="DR103" t="e">
        <f>AND('SPR BARRANQUILLA'!BP122,"AAAAAGeU83k=")</f>
        <v>#VALUE!</v>
      </c>
      <c r="DS103" t="e">
        <f>AND('SPR BARRANQUILLA'!BQ122,"AAAAAGeU83o=")</f>
        <v>#VALUE!</v>
      </c>
      <c r="DT103" t="e">
        <f>AND('SPR BARRANQUILLA'!BR122,"AAAAAGeU83s=")</f>
        <v>#VALUE!</v>
      </c>
      <c r="DU103" t="e">
        <f>AND('SPR BARRANQUILLA'!BS122,"AAAAAGeU83w=")</f>
        <v>#VALUE!</v>
      </c>
      <c r="DV103" t="e">
        <f>AND('SPR BARRANQUILLA'!BT122,"AAAAAGeU830=")</f>
        <v>#VALUE!</v>
      </c>
      <c r="DW103" t="e">
        <f>AND('SPR BARRANQUILLA'!BU122,"AAAAAGeU834=")</f>
        <v>#VALUE!</v>
      </c>
      <c r="DX103" t="e">
        <f>AND('SPR BARRANQUILLA'!BV122,"AAAAAGeU838=")</f>
        <v>#VALUE!</v>
      </c>
      <c r="DY103" t="e">
        <f>AND('SPR BARRANQUILLA'!BW122,"AAAAAGeU84A=")</f>
        <v>#VALUE!</v>
      </c>
      <c r="DZ103" t="e">
        <f>AND('SPR BARRANQUILLA'!BX122,"AAAAAGeU84E=")</f>
        <v>#VALUE!</v>
      </c>
      <c r="EA103" t="e">
        <f>AND('SPR BARRANQUILLA'!BY122,"AAAAAGeU84I=")</f>
        <v>#VALUE!</v>
      </c>
      <c r="EB103" t="e">
        <f>AND('SPR BARRANQUILLA'!BZ122,"AAAAAGeU84M=")</f>
        <v>#VALUE!</v>
      </c>
      <c r="EC103" t="e">
        <f>AND('SPR BARRANQUILLA'!CA122,"AAAAAGeU84Q=")</f>
        <v>#VALUE!</v>
      </c>
      <c r="ED103" t="e">
        <f>AND('SPR BARRANQUILLA'!CB122,"AAAAAGeU84U=")</f>
        <v>#VALUE!</v>
      </c>
      <c r="EE103" t="e">
        <f>AND('SPR BARRANQUILLA'!CC122,"AAAAAGeU84Y=")</f>
        <v>#VALUE!</v>
      </c>
      <c r="EF103" t="e">
        <f>AND('SPR BARRANQUILLA'!CD122,"AAAAAGeU84c=")</f>
        <v>#VALUE!</v>
      </c>
      <c r="EG103" t="e">
        <f>AND('SPR BARRANQUILLA'!CE122,"AAAAAGeU84g=")</f>
        <v>#VALUE!</v>
      </c>
      <c r="EH103" t="e">
        <f>AND('SPR BARRANQUILLA'!CF122,"AAAAAGeU84k=")</f>
        <v>#VALUE!</v>
      </c>
      <c r="EI103" t="e">
        <f>AND('SPR BARRANQUILLA'!CG122,"AAAAAGeU84o=")</f>
        <v>#VALUE!</v>
      </c>
      <c r="EJ103" t="e">
        <f>AND('SPR BARRANQUILLA'!CH122,"AAAAAGeU84s=")</f>
        <v>#VALUE!</v>
      </c>
      <c r="EK103" t="e">
        <f>AND('SPR BARRANQUILLA'!CI122,"AAAAAGeU84w=")</f>
        <v>#VALUE!</v>
      </c>
      <c r="EL103" t="e">
        <f>AND('SPR BARRANQUILLA'!CJ122,"AAAAAGeU840=")</f>
        <v>#VALUE!</v>
      </c>
      <c r="EM103" t="e">
        <f>AND('SPR BARRANQUILLA'!CK122,"AAAAAGeU844=")</f>
        <v>#VALUE!</v>
      </c>
      <c r="EN103" t="e">
        <f>AND('SPR BARRANQUILLA'!CL122,"AAAAAGeU848=")</f>
        <v>#VALUE!</v>
      </c>
      <c r="EO103" t="e">
        <f>AND('SPR BARRANQUILLA'!CM122,"AAAAAGeU85A=")</f>
        <v>#VALUE!</v>
      </c>
      <c r="EP103" t="e">
        <f>AND('SPR BARRANQUILLA'!CN122,"AAAAAGeU85E=")</f>
        <v>#VALUE!</v>
      </c>
      <c r="EQ103" t="e">
        <f>AND('SPR BARRANQUILLA'!CO122,"AAAAAGeU85I=")</f>
        <v>#VALUE!</v>
      </c>
      <c r="ER103" t="e">
        <f>AND('SPR BARRANQUILLA'!CP122,"AAAAAGeU85M=")</f>
        <v>#VALUE!</v>
      </c>
      <c r="ES103" t="e">
        <f>AND('SPR BARRANQUILLA'!CQ122,"AAAAAGeU85Q=")</f>
        <v>#VALUE!</v>
      </c>
      <c r="ET103" t="e">
        <f>AND('SPR BARRANQUILLA'!CR122,"AAAAAGeU85U=")</f>
        <v>#VALUE!</v>
      </c>
      <c r="EU103" t="e">
        <f>AND('SPR BARRANQUILLA'!CS122,"AAAAAGeU85Y=")</f>
        <v>#VALUE!</v>
      </c>
      <c r="EV103" t="e">
        <f>AND('SPR BARRANQUILLA'!CT122,"AAAAAGeU85c=")</f>
        <v>#VALUE!</v>
      </c>
      <c r="EW103" t="e">
        <f>AND('SPR BARRANQUILLA'!CU122,"AAAAAGeU85g=")</f>
        <v>#VALUE!</v>
      </c>
      <c r="EX103" t="e">
        <f>AND('SPR BARRANQUILLA'!CV122,"AAAAAGeU85k=")</f>
        <v>#VALUE!</v>
      </c>
      <c r="EY103" t="e">
        <f>AND('SPR BARRANQUILLA'!CW122,"AAAAAGeU85o=")</f>
        <v>#VALUE!</v>
      </c>
      <c r="EZ103" t="e">
        <f>AND('SPR BARRANQUILLA'!CX122,"AAAAAGeU85s=")</f>
        <v>#VALUE!</v>
      </c>
      <c r="FA103" t="e">
        <f>AND('SPR BARRANQUILLA'!CY122,"AAAAAGeU85w=")</f>
        <v>#VALUE!</v>
      </c>
      <c r="FB103" t="e">
        <f>AND('SPR BARRANQUILLA'!CZ122,"AAAAAGeU850=")</f>
        <v>#VALUE!</v>
      </c>
      <c r="FC103" t="e">
        <f>AND('SPR BARRANQUILLA'!DA122,"AAAAAGeU854=")</f>
        <v>#VALUE!</v>
      </c>
      <c r="FD103" t="e">
        <f>AND('SPR BARRANQUILLA'!DB122,"AAAAAGeU858=")</f>
        <v>#VALUE!</v>
      </c>
      <c r="FE103" t="e">
        <f>AND('SPR BARRANQUILLA'!DC122,"AAAAAGeU86A=")</f>
        <v>#VALUE!</v>
      </c>
      <c r="FF103" t="e">
        <f>AND('SPR BARRANQUILLA'!DD122,"AAAAAGeU86E=")</f>
        <v>#VALUE!</v>
      </c>
      <c r="FG103" t="e">
        <f>AND('SPR BARRANQUILLA'!DE122,"AAAAAGeU86I=")</f>
        <v>#VALUE!</v>
      </c>
      <c r="FH103" t="e">
        <f>AND('SPR BARRANQUILLA'!DF122,"AAAAAGeU86M=")</f>
        <v>#VALUE!</v>
      </c>
      <c r="FI103" t="e">
        <f>AND('SPR BARRANQUILLA'!DG122,"AAAAAGeU86Q=")</f>
        <v>#VALUE!</v>
      </c>
      <c r="FJ103" t="e">
        <f>AND('SPR BARRANQUILLA'!DH122,"AAAAAGeU86U=")</f>
        <v>#VALUE!</v>
      </c>
      <c r="FK103" t="e">
        <f>AND('SPR BARRANQUILLA'!DI122,"AAAAAGeU86Y=")</f>
        <v>#VALUE!</v>
      </c>
      <c r="FL103" t="e">
        <f>AND('SPR BARRANQUILLA'!DJ122,"AAAAAGeU86c=")</f>
        <v>#VALUE!</v>
      </c>
      <c r="FM103" t="e">
        <f>AND('SPR BARRANQUILLA'!DK122,"AAAAAGeU86g=")</f>
        <v>#VALUE!</v>
      </c>
      <c r="FN103" t="e">
        <f>AND('SPR BARRANQUILLA'!DL122,"AAAAAGeU86k=")</f>
        <v>#VALUE!</v>
      </c>
      <c r="FO103" t="e">
        <f>AND('SPR BARRANQUILLA'!DM122,"AAAAAGeU86o=")</f>
        <v>#VALUE!</v>
      </c>
      <c r="FP103" t="e">
        <f>AND('SPR BARRANQUILLA'!DN122,"AAAAAGeU86s=")</f>
        <v>#VALUE!</v>
      </c>
      <c r="FQ103" t="e">
        <f>AND('SPR BARRANQUILLA'!DO122,"AAAAAGeU86w=")</f>
        <v>#VALUE!</v>
      </c>
      <c r="FR103" t="e">
        <f>AND('SPR BARRANQUILLA'!DP122,"AAAAAGeU860=")</f>
        <v>#VALUE!</v>
      </c>
      <c r="FS103" t="e">
        <f>AND('SPR BARRANQUILLA'!DQ122,"AAAAAGeU864=")</f>
        <v>#VALUE!</v>
      </c>
      <c r="FT103" t="e">
        <f>AND('SPR BARRANQUILLA'!DR122,"AAAAAGeU868=")</f>
        <v>#VALUE!</v>
      </c>
      <c r="FU103" t="e">
        <f>AND('SPR BARRANQUILLA'!DS122,"AAAAAGeU87A=")</f>
        <v>#VALUE!</v>
      </c>
      <c r="FV103" t="e">
        <f>AND('SPR BARRANQUILLA'!DT122,"AAAAAGeU87E=")</f>
        <v>#VALUE!</v>
      </c>
      <c r="FW103" t="e">
        <f>AND('SPR BARRANQUILLA'!DU122,"AAAAAGeU87I=")</f>
        <v>#VALUE!</v>
      </c>
      <c r="FX103" t="e">
        <f>AND('SPR BARRANQUILLA'!DV122,"AAAAAGeU87M=")</f>
        <v>#VALUE!</v>
      </c>
      <c r="FY103" t="e">
        <f>AND('SPR BARRANQUILLA'!DW122,"AAAAAGeU87Q=")</f>
        <v>#VALUE!</v>
      </c>
      <c r="FZ103" t="e">
        <f>AND('SPR BARRANQUILLA'!DX122,"AAAAAGeU87U=")</f>
        <v>#VALUE!</v>
      </c>
      <c r="GA103" t="e">
        <f>AND('SPR BARRANQUILLA'!DY122,"AAAAAGeU87Y=")</f>
        <v>#VALUE!</v>
      </c>
      <c r="GB103" t="e">
        <f>AND('SPR BARRANQUILLA'!DZ122,"AAAAAGeU87c=")</f>
        <v>#VALUE!</v>
      </c>
      <c r="GC103" t="e">
        <f>AND('SPR BARRANQUILLA'!EA122,"AAAAAGeU87g=")</f>
        <v>#VALUE!</v>
      </c>
      <c r="GD103" t="e">
        <f>AND('SPR BARRANQUILLA'!EB122,"AAAAAGeU87k=")</f>
        <v>#VALUE!</v>
      </c>
      <c r="GE103" t="e">
        <f>AND('SPR BARRANQUILLA'!EC122,"AAAAAGeU87o=")</f>
        <v>#VALUE!</v>
      </c>
      <c r="GF103" t="e">
        <f>AND('SPR BARRANQUILLA'!ED122,"AAAAAGeU87s=")</f>
        <v>#VALUE!</v>
      </c>
      <c r="GG103" t="e">
        <f>AND('SPR BARRANQUILLA'!EE122,"AAAAAGeU87w=")</f>
        <v>#VALUE!</v>
      </c>
      <c r="GH103" t="e">
        <f>AND('SPR BARRANQUILLA'!EF122,"AAAAAGeU870=")</f>
        <v>#VALUE!</v>
      </c>
      <c r="GI103" t="e">
        <f>AND('SPR BARRANQUILLA'!EG122,"AAAAAGeU874=")</f>
        <v>#VALUE!</v>
      </c>
      <c r="GJ103" t="e">
        <f>AND('SPR BARRANQUILLA'!EH122,"AAAAAGeU878=")</f>
        <v>#VALUE!</v>
      </c>
      <c r="GK103" t="e">
        <f>AND('SPR BARRANQUILLA'!EI122,"AAAAAGeU88A=")</f>
        <v>#VALUE!</v>
      </c>
      <c r="GL103" t="e">
        <f>AND('SPR BARRANQUILLA'!EJ122,"AAAAAGeU88E=")</f>
        <v>#VALUE!</v>
      </c>
      <c r="GM103" t="e">
        <f>AND('SPR BARRANQUILLA'!EK122,"AAAAAGeU88I=")</f>
        <v>#VALUE!</v>
      </c>
      <c r="GN103" t="e">
        <f>AND('SPR BARRANQUILLA'!EL122,"AAAAAGeU88M=")</f>
        <v>#VALUE!</v>
      </c>
      <c r="GO103" t="e">
        <f>AND('SPR BARRANQUILLA'!EM122,"AAAAAGeU88Q=")</f>
        <v>#VALUE!</v>
      </c>
      <c r="GP103" t="e">
        <f>AND('SPR BARRANQUILLA'!EN122,"AAAAAGeU88U=")</f>
        <v>#VALUE!</v>
      </c>
      <c r="GQ103" t="e">
        <f>AND('SPR BARRANQUILLA'!EO122,"AAAAAGeU88Y=")</f>
        <v>#VALUE!</v>
      </c>
      <c r="GR103" t="e">
        <f>AND('SPR BARRANQUILLA'!EP122,"AAAAAGeU88c=")</f>
        <v>#VALUE!</v>
      </c>
      <c r="GS103" t="e">
        <f>AND('SPR BARRANQUILLA'!EQ122,"AAAAAGeU88g=")</f>
        <v>#VALUE!</v>
      </c>
      <c r="GT103" t="e">
        <f>AND('SPR BARRANQUILLA'!ER122,"AAAAAGeU88k=")</f>
        <v>#VALUE!</v>
      </c>
      <c r="GU103" t="e">
        <f>AND('SPR BARRANQUILLA'!ES122,"AAAAAGeU88o=")</f>
        <v>#VALUE!</v>
      </c>
      <c r="GV103" t="e">
        <f>AND('SPR BARRANQUILLA'!ET122,"AAAAAGeU88s=")</f>
        <v>#VALUE!</v>
      </c>
      <c r="GW103" t="e">
        <f>AND('SPR BARRANQUILLA'!EU122,"AAAAAGeU88w=")</f>
        <v>#VALUE!</v>
      </c>
      <c r="GX103" t="e">
        <f>AND('SPR BARRANQUILLA'!EV122,"AAAAAGeU880=")</f>
        <v>#VALUE!</v>
      </c>
      <c r="GY103" t="e">
        <f>AND('SPR BARRANQUILLA'!EW122,"AAAAAGeU884=")</f>
        <v>#VALUE!</v>
      </c>
      <c r="GZ103" t="e">
        <f>AND('SPR BARRANQUILLA'!EX122,"AAAAAGeU888=")</f>
        <v>#VALUE!</v>
      </c>
      <c r="HA103" t="e">
        <f>AND('SPR BARRANQUILLA'!EY122,"AAAAAGeU89A=")</f>
        <v>#VALUE!</v>
      </c>
      <c r="HB103" t="e">
        <f>AND('SPR BARRANQUILLA'!EZ122,"AAAAAGeU89E=")</f>
        <v>#VALUE!</v>
      </c>
      <c r="HC103" t="e">
        <f>AND('SPR BARRANQUILLA'!FA122,"AAAAAGeU89I=")</f>
        <v>#VALUE!</v>
      </c>
      <c r="HD103" t="e">
        <f>AND('SPR BARRANQUILLA'!FB122,"AAAAAGeU89M=")</f>
        <v>#VALUE!</v>
      </c>
      <c r="HE103" t="e">
        <f>AND('SPR BARRANQUILLA'!FC122,"AAAAAGeU89Q=")</f>
        <v>#VALUE!</v>
      </c>
      <c r="HF103" t="e">
        <f>AND('SPR BARRANQUILLA'!FD122,"AAAAAGeU89U=")</f>
        <v>#VALUE!</v>
      </c>
      <c r="HG103" t="e">
        <f>AND('SPR BARRANQUILLA'!FE122,"AAAAAGeU89Y=")</f>
        <v>#VALUE!</v>
      </c>
      <c r="HH103" t="e">
        <f>AND('SPR BARRANQUILLA'!FF122,"AAAAAGeU89c=")</f>
        <v>#VALUE!</v>
      </c>
      <c r="HI103" t="e">
        <f>AND('SPR BARRANQUILLA'!FG122,"AAAAAGeU89g=")</f>
        <v>#VALUE!</v>
      </c>
      <c r="HJ103" t="e">
        <f>AND('SPR BARRANQUILLA'!FH122,"AAAAAGeU89k=")</f>
        <v>#VALUE!</v>
      </c>
      <c r="HK103" t="e">
        <f>AND('SPR BARRANQUILLA'!FI122,"AAAAAGeU89o=")</f>
        <v>#VALUE!</v>
      </c>
      <c r="HL103" t="e">
        <f>AND('SPR BARRANQUILLA'!FJ122,"AAAAAGeU89s=")</f>
        <v>#VALUE!</v>
      </c>
      <c r="HM103" t="e">
        <f>AND('SPR BARRANQUILLA'!FK122,"AAAAAGeU89w=")</f>
        <v>#VALUE!</v>
      </c>
      <c r="HN103" t="e">
        <f>AND('SPR BARRANQUILLA'!FL122,"AAAAAGeU890=")</f>
        <v>#VALUE!</v>
      </c>
      <c r="HO103" t="e">
        <f>AND('SPR BARRANQUILLA'!FM122,"AAAAAGeU894=")</f>
        <v>#VALUE!</v>
      </c>
      <c r="HP103" t="e">
        <f>AND('SPR BARRANQUILLA'!FN122,"AAAAAGeU898=")</f>
        <v>#VALUE!</v>
      </c>
      <c r="HQ103" t="e">
        <f>AND('SPR BARRANQUILLA'!FO122,"AAAAAGeU8+A=")</f>
        <v>#VALUE!</v>
      </c>
      <c r="HR103" t="e">
        <f>AND('SPR BARRANQUILLA'!FP122,"AAAAAGeU8+E=")</f>
        <v>#VALUE!</v>
      </c>
      <c r="HS103" t="e">
        <f>AND('SPR BARRANQUILLA'!FQ122,"AAAAAGeU8+I=")</f>
        <v>#VALUE!</v>
      </c>
      <c r="HT103" t="e">
        <f>AND('SPR BARRANQUILLA'!FR122,"AAAAAGeU8+M=")</f>
        <v>#VALUE!</v>
      </c>
      <c r="HU103" t="e">
        <f>AND('SPR BARRANQUILLA'!FS122,"AAAAAGeU8+Q=")</f>
        <v>#VALUE!</v>
      </c>
      <c r="HV103" t="e">
        <f>AND('SPR BARRANQUILLA'!FT122,"AAAAAGeU8+U=")</f>
        <v>#VALUE!</v>
      </c>
      <c r="HW103" t="e">
        <f>AND('SPR BARRANQUILLA'!FU122,"AAAAAGeU8+Y=")</f>
        <v>#VALUE!</v>
      </c>
      <c r="HX103" t="e">
        <f>AND('SPR BARRANQUILLA'!FV122,"AAAAAGeU8+c=")</f>
        <v>#VALUE!</v>
      </c>
      <c r="HY103" t="e">
        <f>AND('SPR BARRANQUILLA'!FW122,"AAAAAGeU8+g=")</f>
        <v>#VALUE!</v>
      </c>
      <c r="HZ103" t="e">
        <f>AND('SPR BARRANQUILLA'!FX122,"AAAAAGeU8+k=")</f>
        <v>#VALUE!</v>
      </c>
      <c r="IA103" t="e">
        <f>AND('SPR BARRANQUILLA'!FY122,"AAAAAGeU8+o=")</f>
        <v>#VALUE!</v>
      </c>
      <c r="IB103" t="e">
        <f>AND('SPR BARRANQUILLA'!FZ122,"AAAAAGeU8+s=")</f>
        <v>#VALUE!</v>
      </c>
      <c r="IC103" t="e">
        <f>AND('SPR BARRANQUILLA'!GA122,"AAAAAGeU8+w=")</f>
        <v>#VALUE!</v>
      </c>
      <c r="ID103" t="e">
        <f>AND('SPR BARRANQUILLA'!GB122,"AAAAAGeU8+0=")</f>
        <v>#VALUE!</v>
      </c>
      <c r="IE103" t="e">
        <f>AND('SPR BARRANQUILLA'!GC122,"AAAAAGeU8+4=")</f>
        <v>#VALUE!</v>
      </c>
      <c r="IF103" t="e">
        <f>AND('SPR BARRANQUILLA'!GD122,"AAAAAGeU8+8=")</f>
        <v>#VALUE!</v>
      </c>
      <c r="IG103" t="e">
        <f>AND('SPR BARRANQUILLA'!GE122,"AAAAAGeU8/A=")</f>
        <v>#VALUE!</v>
      </c>
      <c r="IH103" t="e">
        <f>AND('SPR BARRANQUILLA'!GF122,"AAAAAGeU8/E=")</f>
        <v>#VALUE!</v>
      </c>
      <c r="II103" t="e">
        <f>AND('SPR BARRANQUILLA'!GG122,"AAAAAGeU8/I=")</f>
        <v>#VALUE!</v>
      </c>
      <c r="IJ103" t="e">
        <f>AND('SPR BARRANQUILLA'!GH122,"AAAAAGeU8/M=")</f>
        <v>#VALUE!</v>
      </c>
      <c r="IK103" t="e">
        <f>AND('SPR BARRANQUILLA'!GI122,"AAAAAGeU8/Q=")</f>
        <v>#VALUE!</v>
      </c>
      <c r="IL103" t="e">
        <f>AND('SPR BARRANQUILLA'!GJ122,"AAAAAGeU8/U=")</f>
        <v>#VALUE!</v>
      </c>
      <c r="IM103" t="e">
        <f>AND('SPR BARRANQUILLA'!GK122,"AAAAAGeU8/Y=")</f>
        <v>#VALUE!</v>
      </c>
      <c r="IN103" t="e">
        <f>AND('SPR BARRANQUILLA'!GL122,"AAAAAGeU8/c=")</f>
        <v>#VALUE!</v>
      </c>
      <c r="IO103" t="e">
        <f>AND('SPR BARRANQUILLA'!GM122,"AAAAAGeU8/g=")</f>
        <v>#VALUE!</v>
      </c>
      <c r="IP103" t="e">
        <f>AND('SPR BARRANQUILLA'!GN122,"AAAAAGeU8/k=")</f>
        <v>#VALUE!</v>
      </c>
      <c r="IQ103" t="e">
        <f>AND('SPR BARRANQUILLA'!GO122,"AAAAAGeU8/o=")</f>
        <v>#VALUE!</v>
      </c>
      <c r="IR103" t="e">
        <f>AND('SPR BARRANQUILLA'!GP122,"AAAAAGeU8/s=")</f>
        <v>#VALUE!</v>
      </c>
      <c r="IS103" t="e">
        <f>AND('SPR BARRANQUILLA'!GQ122,"AAAAAGeU8/w=")</f>
        <v>#VALUE!</v>
      </c>
      <c r="IT103" t="e">
        <f>AND('SPR BARRANQUILLA'!GR122,"AAAAAGeU8/0=")</f>
        <v>#VALUE!</v>
      </c>
      <c r="IU103" t="e">
        <f>AND('SPR BARRANQUILLA'!GS122,"AAAAAGeU8/4=")</f>
        <v>#VALUE!</v>
      </c>
      <c r="IV103" t="e">
        <f>AND('SPR BARRANQUILLA'!GT122,"AAAAAGeU8/8=")</f>
        <v>#VALUE!</v>
      </c>
    </row>
    <row r="104" spans="1:256">
      <c r="A104" t="e">
        <f>AND('SPR BARRANQUILLA'!GU122,"AAAAAH63+wA=")</f>
        <v>#VALUE!</v>
      </c>
      <c r="B104" t="e">
        <f>AND('SPR BARRANQUILLA'!GV122,"AAAAAH63+wE=")</f>
        <v>#VALUE!</v>
      </c>
      <c r="C104" t="e">
        <f>AND('SPR BARRANQUILLA'!GW122,"AAAAAH63+wI=")</f>
        <v>#VALUE!</v>
      </c>
      <c r="D104" t="e">
        <f>AND('SPR BARRANQUILLA'!GX122,"AAAAAH63+wM=")</f>
        <v>#VALUE!</v>
      </c>
      <c r="E104" t="e">
        <f>AND('SPR BARRANQUILLA'!GY122,"AAAAAH63+wQ=")</f>
        <v>#VALUE!</v>
      </c>
      <c r="F104">
        <f>IF('SPR BARRANQUILLA'!123:123,"AAAAAH63+wU=",0)</f>
        <v>0</v>
      </c>
      <c r="G104" t="e">
        <f>AND('SPR BARRANQUILLA'!A123,"AAAAAH63+wY=")</f>
        <v>#VALUE!</v>
      </c>
      <c r="H104" t="e">
        <f>AND('SPR BARRANQUILLA'!B123,"AAAAAH63+wc=")</f>
        <v>#VALUE!</v>
      </c>
      <c r="I104" t="e">
        <f>AND('SPR BARRANQUILLA'!C123,"AAAAAH63+wg=")</f>
        <v>#VALUE!</v>
      </c>
      <c r="J104" t="e">
        <f>AND('SPR BARRANQUILLA'!D123,"AAAAAH63+wk=")</f>
        <v>#VALUE!</v>
      </c>
      <c r="K104" t="e">
        <f>AND('SPR BARRANQUILLA'!E123,"AAAAAH63+wo=")</f>
        <v>#VALUE!</v>
      </c>
      <c r="L104" t="e">
        <f>AND('SPR BARRANQUILLA'!F123,"AAAAAH63+ws=")</f>
        <v>#VALUE!</v>
      </c>
      <c r="M104" t="e">
        <f>AND('SPR BARRANQUILLA'!G123,"AAAAAH63+ww=")</f>
        <v>#VALUE!</v>
      </c>
      <c r="N104" t="e">
        <f>AND('SPR BARRANQUILLA'!H123,"AAAAAH63+w0=")</f>
        <v>#VALUE!</v>
      </c>
      <c r="O104" t="e">
        <f>AND('SPR BARRANQUILLA'!I123,"AAAAAH63+w4=")</f>
        <v>#VALUE!</v>
      </c>
      <c r="P104" t="e">
        <f>AND('SPR BARRANQUILLA'!J123,"AAAAAH63+w8=")</f>
        <v>#VALUE!</v>
      </c>
      <c r="Q104" t="e">
        <f>AND('SPR BARRANQUILLA'!K123,"AAAAAH63+xA=")</f>
        <v>#VALUE!</v>
      </c>
      <c r="R104" t="e">
        <f>AND('SPR BARRANQUILLA'!L123,"AAAAAH63+xE=")</f>
        <v>#VALUE!</v>
      </c>
      <c r="S104" t="e">
        <f>AND('SPR BARRANQUILLA'!M123,"AAAAAH63+xI=")</f>
        <v>#VALUE!</v>
      </c>
      <c r="T104" t="e">
        <f>AND('SPR BARRANQUILLA'!N123,"AAAAAH63+xM=")</f>
        <v>#VALUE!</v>
      </c>
      <c r="U104" t="e">
        <f>AND('SPR BARRANQUILLA'!O123,"AAAAAH63+xQ=")</f>
        <v>#VALUE!</v>
      </c>
      <c r="V104" t="e">
        <f>AND('SPR BARRANQUILLA'!P123,"AAAAAH63+xU=")</f>
        <v>#VALUE!</v>
      </c>
      <c r="W104" t="e">
        <f>AND('SPR BARRANQUILLA'!Q123,"AAAAAH63+xY=")</f>
        <v>#VALUE!</v>
      </c>
      <c r="X104" t="e">
        <f>AND('SPR BARRANQUILLA'!R123,"AAAAAH63+xc=")</f>
        <v>#VALUE!</v>
      </c>
      <c r="Y104" t="e">
        <f>AND('SPR BARRANQUILLA'!S123,"AAAAAH63+xg=")</f>
        <v>#VALUE!</v>
      </c>
      <c r="Z104" t="e">
        <f>AND('SPR BARRANQUILLA'!T123,"AAAAAH63+xk=")</f>
        <v>#VALUE!</v>
      </c>
      <c r="AA104" t="e">
        <f>AND('SPR BARRANQUILLA'!U123,"AAAAAH63+xo=")</f>
        <v>#VALUE!</v>
      </c>
      <c r="AB104" t="e">
        <f>AND('SPR BARRANQUILLA'!V123,"AAAAAH63+xs=")</f>
        <v>#VALUE!</v>
      </c>
      <c r="AC104" t="e">
        <f>AND('SPR BARRANQUILLA'!W123,"AAAAAH63+xw=")</f>
        <v>#VALUE!</v>
      </c>
      <c r="AD104" t="e">
        <f>AND('SPR BARRANQUILLA'!X123,"AAAAAH63+x0=")</f>
        <v>#VALUE!</v>
      </c>
      <c r="AE104" t="e">
        <f>AND('SPR BARRANQUILLA'!Y123,"AAAAAH63+x4=")</f>
        <v>#VALUE!</v>
      </c>
      <c r="AF104" t="e">
        <f>AND('SPR BARRANQUILLA'!Z123,"AAAAAH63+x8=")</f>
        <v>#VALUE!</v>
      </c>
      <c r="AG104" t="e">
        <f>AND('SPR BARRANQUILLA'!AA123,"AAAAAH63+yA=")</f>
        <v>#VALUE!</v>
      </c>
      <c r="AH104" t="e">
        <f>AND('SPR BARRANQUILLA'!AB123,"AAAAAH63+yE=")</f>
        <v>#VALUE!</v>
      </c>
      <c r="AI104" t="e">
        <f>AND('SPR BARRANQUILLA'!AC123,"AAAAAH63+yI=")</f>
        <v>#VALUE!</v>
      </c>
      <c r="AJ104" t="e">
        <f>AND('SPR BARRANQUILLA'!AD123,"AAAAAH63+yM=")</f>
        <v>#VALUE!</v>
      </c>
      <c r="AK104" t="e">
        <f>AND('SPR BARRANQUILLA'!AE123,"AAAAAH63+yQ=")</f>
        <v>#VALUE!</v>
      </c>
      <c r="AL104" t="e">
        <f>AND('SPR BARRANQUILLA'!AF123,"AAAAAH63+yU=")</f>
        <v>#VALUE!</v>
      </c>
      <c r="AM104" t="e">
        <f>AND('SPR BARRANQUILLA'!AG123,"AAAAAH63+yY=")</f>
        <v>#VALUE!</v>
      </c>
      <c r="AN104" t="e">
        <f>AND('SPR BARRANQUILLA'!AH123,"AAAAAH63+yc=")</f>
        <v>#VALUE!</v>
      </c>
      <c r="AO104" t="e">
        <f>AND('SPR BARRANQUILLA'!AI123,"AAAAAH63+yg=")</f>
        <v>#VALUE!</v>
      </c>
      <c r="AP104" t="e">
        <f>AND('SPR BARRANQUILLA'!AJ123,"AAAAAH63+yk=")</f>
        <v>#VALUE!</v>
      </c>
      <c r="AQ104" t="e">
        <f>AND('SPR BARRANQUILLA'!AK123,"AAAAAH63+yo=")</f>
        <v>#VALUE!</v>
      </c>
      <c r="AR104" t="e">
        <f>AND('SPR BARRANQUILLA'!AL123,"AAAAAH63+ys=")</f>
        <v>#VALUE!</v>
      </c>
      <c r="AS104" t="e">
        <f>AND('SPR BARRANQUILLA'!AM123,"AAAAAH63+yw=")</f>
        <v>#VALUE!</v>
      </c>
      <c r="AT104" t="e">
        <f>AND('SPR BARRANQUILLA'!AN123,"AAAAAH63+y0=")</f>
        <v>#VALUE!</v>
      </c>
      <c r="AU104" t="e">
        <f>AND('SPR BARRANQUILLA'!AO123,"AAAAAH63+y4=")</f>
        <v>#VALUE!</v>
      </c>
      <c r="AV104" t="e">
        <f>AND('SPR BARRANQUILLA'!AP123,"AAAAAH63+y8=")</f>
        <v>#VALUE!</v>
      </c>
      <c r="AW104" t="e">
        <f>AND('SPR BARRANQUILLA'!AQ123,"AAAAAH63+zA=")</f>
        <v>#VALUE!</v>
      </c>
      <c r="AX104" t="e">
        <f>AND('SPR BARRANQUILLA'!AR123,"AAAAAH63+zE=")</f>
        <v>#VALUE!</v>
      </c>
      <c r="AY104" t="e">
        <f>AND('SPR BARRANQUILLA'!AS123,"AAAAAH63+zI=")</f>
        <v>#VALUE!</v>
      </c>
      <c r="AZ104" t="e">
        <f>AND('SPR BARRANQUILLA'!AT123,"AAAAAH63+zM=")</f>
        <v>#VALUE!</v>
      </c>
      <c r="BA104" t="e">
        <f>AND('SPR BARRANQUILLA'!AU123,"AAAAAH63+zQ=")</f>
        <v>#VALUE!</v>
      </c>
      <c r="BB104" t="e">
        <f>AND('SPR BARRANQUILLA'!AV123,"AAAAAH63+zU=")</f>
        <v>#VALUE!</v>
      </c>
      <c r="BC104" t="e">
        <f>AND('SPR BARRANQUILLA'!AW123,"AAAAAH63+zY=")</f>
        <v>#VALUE!</v>
      </c>
      <c r="BD104" t="e">
        <f>AND('SPR BARRANQUILLA'!AX123,"AAAAAH63+zc=")</f>
        <v>#VALUE!</v>
      </c>
      <c r="BE104" t="e">
        <f>AND('SPR BARRANQUILLA'!AY123,"AAAAAH63+zg=")</f>
        <v>#VALUE!</v>
      </c>
      <c r="BF104" t="e">
        <f>AND('SPR BARRANQUILLA'!AZ123,"AAAAAH63+zk=")</f>
        <v>#VALUE!</v>
      </c>
      <c r="BG104" t="e">
        <f>AND('SPR BARRANQUILLA'!BA123,"AAAAAH63+zo=")</f>
        <v>#VALUE!</v>
      </c>
      <c r="BH104" t="e">
        <f>AND('SPR BARRANQUILLA'!BB123,"AAAAAH63+zs=")</f>
        <v>#VALUE!</v>
      </c>
      <c r="BI104" t="e">
        <f>AND('SPR BARRANQUILLA'!BC123,"AAAAAH63+zw=")</f>
        <v>#VALUE!</v>
      </c>
      <c r="BJ104" t="e">
        <f>AND('SPR BARRANQUILLA'!BD123,"AAAAAH63+z0=")</f>
        <v>#VALUE!</v>
      </c>
      <c r="BK104" t="e">
        <f>AND('SPR BARRANQUILLA'!BE123,"AAAAAH63+z4=")</f>
        <v>#VALUE!</v>
      </c>
      <c r="BL104" t="e">
        <f>AND('SPR BARRANQUILLA'!BF123,"AAAAAH63+z8=")</f>
        <v>#VALUE!</v>
      </c>
      <c r="BM104" t="e">
        <f>AND('SPR BARRANQUILLA'!BG123,"AAAAAH63+0A=")</f>
        <v>#VALUE!</v>
      </c>
      <c r="BN104" t="e">
        <f>AND('SPR BARRANQUILLA'!BH123,"AAAAAH63+0E=")</f>
        <v>#VALUE!</v>
      </c>
      <c r="BO104" t="e">
        <f>AND('SPR BARRANQUILLA'!BI123,"AAAAAH63+0I=")</f>
        <v>#VALUE!</v>
      </c>
      <c r="BP104" t="e">
        <f>AND('SPR BARRANQUILLA'!BJ123,"AAAAAH63+0M=")</f>
        <v>#VALUE!</v>
      </c>
      <c r="BQ104" t="e">
        <f>AND('SPR BARRANQUILLA'!BK123,"AAAAAH63+0Q=")</f>
        <v>#VALUE!</v>
      </c>
      <c r="BR104" t="e">
        <f>AND('SPR BARRANQUILLA'!BL123,"AAAAAH63+0U=")</f>
        <v>#VALUE!</v>
      </c>
      <c r="BS104" t="e">
        <f>AND('SPR BARRANQUILLA'!BM123,"AAAAAH63+0Y=")</f>
        <v>#VALUE!</v>
      </c>
      <c r="BT104" t="e">
        <f>AND('SPR BARRANQUILLA'!BN123,"AAAAAH63+0c=")</f>
        <v>#VALUE!</v>
      </c>
      <c r="BU104" t="e">
        <f>AND('SPR BARRANQUILLA'!BO123,"AAAAAH63+0g=")</f>
        <v>#VALUE!</v>
      </c>
      <c r="BV104" t="e">
        <f>AND('SPR BARRANQUILLA'!BP123,"AAAAAH63+0k=")</f>
        <v>#VALUE!</v>
      </c>
      <c r="BW104" t="e">
        <f>AND('SPR BARRANQUILLA'!BQ123,"AAAAAH63+0o=")</f>
        <v>#VALUE!</v>
      </c>
      <c r="BX104" t="e">
        <f>AND('SPR BARRANQUILLA'!BR123,"AAAAAH63+0s=")</f>
        <v>#VALUE!</v>
      </c>
      <c r="BY104" t="e">
        <f>AND('SPR BARRANQUILLA'!BS123,"AAAAAH63+0w=")</f>
        <v>#VALUE!</v>
      </c>
      <c r="BZ104" t="e">
        <f>AND('SPR BARRANQUILLA'!BT123,"AAAAAH63+00=")</f>
        <v>#VALUE!</v>
      </c>
      <c r="CA104" t="e">
        <f>AND('SPR BARRANQUILLA'!BU123,"AAAAAH63+04=")</f>
        <v>#VALUE!</v>
      </c>
      <c r="CB104" t="e">
        <f>AND('SPR BARRANQUILLA'!BV123,"AAAAAH63+08=")</f>
        <v>#VALUE!</v>
      </c>
      <c r="CC104" t="e">
        <f>AND('SPR BARRANQUILLA'!BW123,"AAAAAH63+1A=")</f>
        <v>#VALUE!</v>
      </c>
      <c r="CD104" t="e">
        <f>AND('SPR BARRANQUILLA'!BX123,"AAAAAH63+1E=")</f>
        <v>#VALUE!</v>
      </c>
      <c r="CE104" t="e">
        <f>AND('SPR BARRANQUILLA'!BY123,"AAAAAH63+1I=")</f>
        <v>#VALUE!</v>
      </c>
      <c r="CF104" t="e">
        <f>AND('SPR BARRANQUILLA'!BZ123,"AAAAAH63+1M=")</f>
        <v>#VALUE!</v>
      </c>
      <c r="CG104" t="e">
        <f>AND('SPR BARRANQUILLA'!CA123,"AAAAAH63+1Q=")</f>
        <v>#VALUE!</v>
      </c>
      <c r="CH104" t="e">
        <f>AND('SPR BARRANQUILLA'!CB123,"AAAAAH63+1U=")</f>
        <v>#VALUE!</v>
      </c>
      <c r="CI104" t="e">
        <f>AND('SPR BARRANQUILLA'!CC123,"AAAAAH63+1Y=")</f>
        <v>#VALUE!</v>
      </c>
      <c r="CJ104" t="e">
        <f>AND('SPR BARRANQUILLA'!CD123,"AAAAAH63+1c=")</f>
        <v>#VALUE!</v>
      </c>
      <c r="CK104" t="e">
        <f>AND('SPR BARRANQUILLA'!CE123,"AAAAAH63+1g=")</f>
        <v>#VALUE!</v>
      </c>
      <c r="CL104" t="e">
        <f>AND('SPR BARRANQUILLA'!CF123,"AAAAAH63+1k=")</f>
        <v>#VALUE!</v>
      </c>
      <c r="CM104" t="e">
        <f>AND('SPR BARRANQUILLA'!CG123,"AAAAAH63+1o=")</f>
        <v>#VALUE!</v>
      </c>
      <c r="CN104" t="e">
        <f>AND('SPR BARRANQUILLA'!CH123,"AAAAAH63+1s=")</f>
        <v>#VALUE!</v>
      </c>
      <c r="CO104" t="e">
        <f>AND('SPR BARRANQUILLA'!CI123,"AAAAAH63+1w=")</f>
        <v>#VALUE!</v>
      </c>
      <c r="CP104" t="e">
        <f>AND('SPR BARRANQUILLA'!CJ123,"AAAAAH63+10=")</f>
        <v>#VALUE!</v>
      </c>
      <c r="CQ104" t="e">
        <f>AND('SPR BARRANQUILLA'!CK123,"AAAAAH63+14=")</f>
        <v>#VALUE!</v>
      </c>
      <c r="CR104" t="e">
        <f>AND('SPR BARRANQUILLA'!CL123,"AAAAAH63+18=")</f>
        <v>#VALUE!</v>
      </c>
      <c r="CS104" t="e">
        <f>AND('SPR BARRANQUILLA'!CM123,"AAAAAH63+2A=")</f>
        <v>#VALUE!</v>
      </c>
      <c r="CT104" t="e">
        <f>AND('SPR BARRANQUILLA'!CN123,"AAAAAH63+2E=")</f>
        <v>#VALUE!</v>
      </c>
      <c r="CU104" t="e">
        <f>AND('SPR BARRANQUILLA'!CO123,"AAAAAH63+2I=")</f>
        <v>#VALUE!</v>
      </c>
      <c r="CV104" t="e">
        <f>AND('SPR BARRANQUILLA'!CP123,"AAAAAH63+2M=")</f>
        <v>#VALUE!</v>
      </c>
      <c r="CW104" t="e">
        <f>AND('SPR BARRANQUILLA'!CQ123,"AAAAAH63+2Q=")</f>
        <v>#VALUE!</v>
      </c>
      <c r="CX104" t="e">
        <f>AND('SPR BARRANQUILLA'!CR123,"AAAAAH63+2U=")</f>
        <v>#VALUE!</v>
      </c>
      <c r="CY104" t="e">
        <f>AND('SPR BARRANQUILLA'!CS123,"AAAAAH63+2Y=")</f>
        <v>#VALUE!</v>
      </c>
      <c r="CZ104" t="e">
        <f>AND('SPR BARRANQUILLA'!CT123,"AAAAAH63+2c=")</f>
        <v>#VALUE!</v>
      </c>
      <c r="DA104" t="e">
        <f>AND('SPR BARRANQUILLA'!CU123,"AAAAAH63+2g=")</f>
        <v>#VALUE!</v>
      </c>
      <c r="DB104" t="e">
        <f>AND('SPR BARRANQUILLA'!CV123,"AAAAAH63+2k=")</f>
        <v>#VALUE!</v>
      </c>
      <c r="DC104" t="e">
        <f>AND('SPR BARRANQUILLA'!CW123,"AAAAAH63+2o=")</f>
        <v>#VALUE!</v>
      </c>
      <c r="DD104" t="e">
        <f>AND('SPR BARRANQUILLA'!CX123,"AAAAAH63+2s=")</f>
        <v>#VALUE!</v>
      </c>
      <c r="DE104" t="e">
        <f>AND('SPR BARRANQUILLA'!CY123,"AAAAAH63+2w=")</f>
        <v>#VALUE!</v>
      </c>
      <c r="DF104" t="e">
        <f>AND('SPR BARRANQUILLA'!CZ123,"AAAAAH63+20=")</f>
        <v>#VALUE!</v>
      </c>
      <c r="DG104" t="e">
        <f>AND('SPR BARRANQUILLA'!DA123,"AAAAAH63+24=")</f>
        <v>#VALUE!</v>
      </c>
      <c r="DH104" t="e">
        <f>AND('SPR BARRANQUILLA'!DB123,"AAAAAH63+28=")</f>
        <v>#VALUE!</v>
      </c>
      <c r="DI104" t="e">
        <f>AND('SPR BARRANQUILLA'!DC123,"AAAAAH63+3A=")</f>
        <v>#VALUE!</v>
      </c>
      <c r="DJ104" t="e">
        <f>AND('SPR BARRANQUILLA'!DD123,"AAAAAH63+3E=")</f>
        <v>#VALUE!</v>
      </c>
      <c r="DK104" t="e">
        <f>AND('SPR BARRANQUILLA'!DE123,"AAAAAH63+3I=")</f>
        <v>#VALUE!</v>
      </c>
      <c r="DL104" t="e">
        <f>AND('SPR BARRANQUILLA'!DF123,"AAAAAH63+3M=")</f>
        <v>#VALUE!</v>
      </c>
      <c r="DM104" t="e">
        <f>AND('SPR BARRANQUILLA'!DG123,"AAAAAH63+3Q=")</f>
        <v>#VALUE!</v>
      </c>
      <c r="DN104" t="e">
        <f>AND('SPR BARRANQUILLA'!DH123,"AAAAAH63+3U=")</f>
        <v>#VALUE!</v>
      </c>
      <c r="DO104" t="e">
        <f>AND('SPR BARRANQUILLA'!DI123,"AAAAAH63+3Y=")</f>
        <v>#VALUE!</v>
      </c>
      <c r="DP104" t="e">
        <f>AND('SPR BARRANQUILLA'!DJ123,"AAAAAH63+3c=")</f>
        <v>#VALUE!</v>
      </c>
      <c r="DQ104" t="e">
        <f>AND('SPR BARRANQUILLA'!DK123,"AAAAAH63+3g=")</f>
        <v>#VALUE!</v>
      </c>
      <c r="DR104" t="e">
        <f>AND('SPR BARRANQUILLA'!DL123,"AAAAAH63+3k=")</f>
        <v>#VALUE!</v>
      </c>
      <c r="DS104" t="e">
        <f>AND('SPR BARRANQUILLA'!DM123,"AAAAAH63+3o=")</f>
        <v>#VALUE!</v>
      </c>
      <c r="DT104" t="e">
        <f>AND('SPR BARRANQUILLA'!DN123,"AAAAAH63+3s=")</f>
        <v>#VALUE!</v>
      </c>
      <c r="DU104" t="e">
        <f>AND('SPR BARRANQUILLA'!DO123,"AAAAAH63+3w=")</f>
        <v>#VALUE!</v>
      </c>
      <c r="DV104" t="e">
        <f>AND('SPR BARRANQUILLA'!DP123,"AAAAAH63+30=")</f>
        <v>#VALUE!</v>
      </c>
      <c r="DW104" t="e">
        <f>AND('SPR BARRANQUILLA'!DQ123,"AAAAAH63+34=")</f>
        <v>#VALUE!</v>
      </c>
      <c r="DX104" t="e">
        <f>AND('SPR BARRANQUILLA'!DR123,"AAAAAH63+38=")</f>
        <v>#VALUE!</v>
      </c>
      <c r="DY104" t="e">
        <f>AND('SPR BARRANQUILLA'!DS123,"AAAAAH63+4A=")</f>
        <v>#VALUE!</v>
      </c>
      <c r="DZ104" t="e">
        <f>AND('SPR BARRANQUILLA'!DT123,"AAAAAH63+4E=")</f>
        <v>#VALUE!</v>
      </c>
      <c r="EA104" t="e">
        <f>AND('SPR BARRANQUILLA'!DU123,"AAAAAH63+4I=")</f>
        <v>#VALUE!</v>
      </c>
      <c r="EB104" t="e">
        <f>AND('SPR BARRANQUILLA'!DV123,"AAAAAH63+4M=")</f>
        <v>#VALUE!</v>
      </c>
      <c r="EC104" t="e">
        <f>AND('SPR BARRANQUILLA'!DW123,"AAAAAH63+4Q=")</f>
        <v>#VALUE!</v>
      </c>
      <c r="ED104" t="e">
        <f>AND('SPR BARRANQUILLA'!DX123,"AAAAAH63+4U=")</f>
        <v>#VALUE!</v>
      </c>
      <c r="EE104" t="e">
        <f>AND('SPR BARRANQUILLA'!DY123,"AAAAAH63+4Y=")</f>
        <v>#VALUE!</v>
      </c>
      <c r="EF104" t="e">
        <f>AND('SPR BARRANQUILLA'!DZ123,"AAAAAH63+4c=")</f>
        <v>#VALUE!</v>
      </c>
      <c r="EG104" t="e">
        <f>AND('SPR BARRANQUILLA'!EA123,"AAAAAH63+4g=")</f>
        <v>#VALUE!</v>
      </c>
      <c r="EH104" t="e">
        <f>AND('SPR BARRANQUILLA'!EB123,"AAAAAH63+4k=")</f>
        <v>#VALUE!</v>
      </c>
      <c r="EI104" t="e">
        <f>AND('SPR BARRANQUILLA'!EC123,"AAAAAH63+4o=")</f>
        <v>#VALUE!</v>
      </c>
      <c r="EJ104" t="e">
        <f>AND('SPR BARRANQUILLA'!ED123,"AAAAAH63+4s=")</f>
        <v>#VALUE!</v>
      </c>
      <c r="EK104" t="e">
        <f>AND('SPR BARRANQUILLA'!EE123,"AAAAAH63+4w=")</f>
        <v>#VALUE!</v>
      </c>
      <c r="EL104" t="e">
        <f>AND('SPR BARRANQUILLA'!EF123,"AAAAAH63+40=")</f>
        <v>#VALUE!</v>
      </c>
      <c r="EM104" t="e">
        <f>AND('SPR BARRANQUILLA'!EG123,"AAAAAH63+44=")</f>
        <v>#VALUE!</v>
      </c>
      <c r="EN104" t="e">
        <f>AND('SPR BARRANQUILLA'!EH123,"AAAAAH63+48=")</f>
        <v>#VALUE!</v>
      </c>
      <c r="EO104" t="e">
        <f>AND('SPR BARRANQUILLA'!EI123,"AAAAAH63+5A=")</f>
        <v>#VALUE!</v>
      </c>
      <c r="EP104" t="e">
        <f>AND('SPR BARRANQUILLA'!EJ123,"AAAAAH63+5E=")</f>
        <v>#VALUE!</v>
      </c>
      <c r="EQ104" t="e">
        <f>AND('SPR BARRANQUILLA'!EK123,"AAAAAH63+5I=")</f>
        <v>#VALUE!</v>
      </c>
      <c r="ER104" t="e">
        <f>AND('SPR BARRANQUILLA'!EL123,"AAAAAH63+5M=")</f>
        <v>#VALUE!</v>
      </c>
      <c r="ES104" t="e">
        <f>AND('SPR BARRANQUILLA'!EM123,"AAAAAH63+5Q=")</f>
        <v>#VALUE!</v>
      </c>
      <c r="ET104" t="e">
        <f>AND('SPR BARRANQUILLA'!EN123,"AAAAAH63+5U=")</f>
        <v>#VALUE!</v>
      </c>
      <c r="EU104" t="e">
        <f>AND('SPR BARRANQUILLA'!EO123,"AAAAAH63+5Y=")</f>
        <v>#VALUE!</v>
      </c>
      <c r="EV104" t="e">
        <f>AND('SPR BARRANQUILLA'!EP123,"AAAAAH63+5c=")</f>
        <v>#VALUE!</v>
      </c>
      <c r="EW104" t="e">
        <f>AND('SPR BARRANQUILLA'!EQ123,"AAAAAH63+5g=")</f>
        <v>#VALUE!</v>
      </c>
      <c r="EX104" t="e">
        <f>AND('SPR BARRANQUILLA'!ER123,"AAAAAH63+5k=")</f>
        <v>#VALUE!</v>
      </c>
      <c r="EY104" t="e">
        <f>AND('SPR BARRANQUILLA'!ES123,"AAAAAH63+5o=")</f>
        <v>#VALUE!</v>
      </c>
      <c r="EZ104" t="e">
        <f>AND('SPR BARRANQUILLA'!ET123,"AAAAAH63+5s=")</f>
        <v>#VALUE!</v>
      </c>
      <c r="FA104" t="e">
        <f>AND('SPR BARRANQUILLA'!EU123,"AAAAAH63+5w=")</f>
        <v>#VALUE!</v>
      </c>
      <c r="FB104" t="e">
        <f>AND('SPR BARRANQUILLA'!EV123,"AAAAAH63+50=")</f>
        <v>#VALUE!</v>
      </c>
      <c r="FC104" t="e">
        <f>AND('SPR BARRANQUILLA'!EW123,"AAAAAH63+54=")</f>
        <v>#VALUE!</v>
      </c>
      <c r="FD104" t="e">
        <f>AND('SPR BARRANQUILLA'!EX123,"AAAAAH63+58=")</f>
        <v>#VALUE!</v>
      </c>
      <c r="FE104" t="e">
        <f>AND('SPR BARRANQUILLA'!EY123,"AAAAAH63+6A=")</f>
        <v>#VALUE!</v>
      </c>
      <c r="FF104" t="e">
        <f>AND('SPR BARRANQUILLA'!EZ123,"AAAAAH63+6E=")</f>
        <v>#VALUE!</v>
      </c>
      <c r="FG104" t="e">
        <f>AND('SPR BARRANQUILLA'!FA123,"AAAAAH63+6I=")</f>
        <v>#VALUE!</v>
      </c>
      <c r="FH104" t="e">
        <f>AND('SPR BARRANQUILLA'!FB123,"AAAAAH63+6M=")</f>
        <v>#VALUE!</v>
      </c>
      <c r="FI104" t="e">
        <f>AND('SPR BARRANQUILLA'!FC123,"AAAAAH63+6Q=")</f>
        <v>#VALUE!</v>
      </c>
      <c r="FJ104" t="e">
        <f>AND('SPR BARRANQUILLA'!FD123,"AAAAAH63+6U=")</f>
        <v>#VALUE!</v>
      </c>
      <c r="FK104" t="e">
        <f>AND('SPR BARRANQUILLA'!FE123,"AAAAAH63+6Y=")</f>
        <v>#VALUE!</v>
      </c>
      <c r="FL104" t="e">
        <f>AND('SPR BARRANQUILLA'!FF123,"AAAAAH63+6c=")</f>
        <v>#VALUE!</v>
      </c>
      <c r="FM104" t="e">
        <f>AND('SPR BARRANQUILLA'!FG123,"AAAAAH63+6g=")</f>
        <v>#VALUE!</v>
      </c>
      <c r="FN104" t="e">
        <f>AND('SPR BARRANQUILLA'!FH123,"AAAAAH63+6k=")</f>
        <v>#VALUE!</v>
      </c>
      <c r="FO104" t="e">
        <f>AND('SPR BARRANQUILLA'!FI123,"AAAAAH63+6o=")</f>
        <v>#VALUE!</v>
      </c>
      <c r="FP104" t="e">
        <f>AND('SPR BARRANQUILLA'!FJ123,"AAAAAH63+6s=")</f>
        <v>#VALUE!</v>
      </c>
      <c r="FQ104" t="e">
        <f>AND('SPR BARRANQUILLA'!FK123,"AAAAAH63+6w=")</f>
        <v>#VALUE!</v>
      </c>
      <c r="FR104" t="e">
        <f>AND('SPR BARRANQUILLA'!FL123,"AAAAAH63+60=")</f>
        <v>#VALUE!</v>
      </c>
      <c r="FS104" t="e">
        <f>AND('SPR BARRANQUILLA'!FM123,"AAAAAH63+64=")</f>
        <v>#VALUE!</v>
      </c>
      <c r="FT104" t="e">
        <f>AND('SPR BARRANQUILLA'!FN123,"AAAAAH63+68=")</f>
        <v>#VALUE!</v>
      </c>
      <c r="FU104" t="e">
        <f>AND('SPR BARRANQUILLA'!FO123,"AAAAAH63+7A=")</f>
        <v>#VALUE!</v>
      </c>
      <c r="FV104" t="e">
        <f>AND('SPR BARRANQUILLA'!FP123,"AAAAAH63+7E=")</f>
        <v>#VALUE!</v>
      </c>
      <c r="FW104" t="e">
        <f>AND('SPR BARRANQUILLA'!FQ123,"AAAAAH63+7I=")</f>
        <v>#VALUE!</v>
      </c>
      <c r="FX104" t="e">
        <f>AND('SPR BARRANQUILLA'!FR123,"AAAAAH63+7M=")</f>
        <v>#VALUE!</v>
      </c>
      <c r="FY104" t="e">
        <f>AND('SPR BARRANQUILLA'!FS123,"AAAAAH63+7Q=")</f>
        <v>#VALUE!</v>
      </c>
      <c r="FZ104" t="e">
        <f>AND('SPR BARRANQUILLA'!FT123,"AAAAAH63+7U=")</f>
        <v>#VALUE!</v>
      </c>
      <c r="GA104" t="e">
        <f>AND('SPR BARRANQUILLA'!FU123,"AAAAAH63+7Y=")</f>
        <v>#VALUE!</v>
      </c>
      <c r="GB104" t="e">
        <f>AND('SPR BARRANQUILLA'!FV123,"AAAAAH63+7c=")</f>
        <v>#VALUE!</v>
      </c>
      <c r="GC104" t="e">
        <f>AND('SPR BARRANQUILLA'!FW123,"AAAAAH63+7g=")</f>
        <v>#VALUE!</v>
      </c>
      <c r="GD104" t="e">
        <f>AND('SPR BARRANQUILLA'!FX123,"AAAAAH63+7k=")</f>
        <v>#VALUE!</v>
      </c>
      <c r="GE104" t="e">
        <f>AND('SPR BARRANQUILLA'!FY123,"AAAAAH63+7o=")</f>
        <v>#VALUE!</v>
      </c>
      <c r="GF104" t="e">
        <f>AND('SPR BARRANQUILLA'!FZ123,"AAAAAH63+7s=")</f>
        <v>#VALUE!</v>
      </c>
      <c r="GG104" t="e">
        <f>AND('SPR BARRANQUILLA'!GA123,"AAAAAH63+7w=")</f>
        <v>#VALUE!</v>
      </c>
      <c r="GH104" t="e">
        <f>AND('SPR BARRANQUILLA'!GB123,"AAAAAH63+70=")</f>
        <v>#VALUE!</v>
      </c>
      <c r="GI104" t="e">
        <f>AND('SPR BARRANQUILLA'!GC123,"AAAAAH63+74=")</f>
        <v>#VALUE!</v>
      </c>
      <c r="GJ104" t="e">
        <f>AND('SPR BARRANQUILLA'!GD123,"AAAAAH63+78=")</f>
        <v>#VALUE!</v>
      </c>
      <c r="GK104" t="e">
        <f>AND('SPR BARRANQUILLA'!GE123,"AAAAAH63+8A=")</f>
        <v>#VALUE!</v>
      </c>
      <c r="GL104" t="e">
        <f>AND('SPR BARRANQUILLA'!GF123,"AAAAAH63+8E=")</f>
        <v>#VALUE!</v>
      </c>
      <c r="GM104" t="e">
        <f>AND('SPR BARRANQUILLA'!GG123,"AAAAAH63+8I=")</f>
        <v>#VALUE!</v>
      </c>
      <c r="GN104" t="e">
        <f>AND('SPR BARRANQUILLA'!GH123,"AAAAAH63+8M=")</f>
        <v>#VALUE!</v>
      </c>
      <c r="GO104" t="e">
        <f>AND('SPR BARRANQUILLA'!GI123,"AAAAAH63+8Q=")</f>
        <v>#VALUE!</v>
      </c>
      <c r="GP104" t="e">
        <f>AND('SPR BARRANQUILLA'!GJ123,"AAAAAH63+8U=")</f>
        <v>#VALUE!</v>
      </c>
      <c r="GQ104" t="e">
        <f>AND('SPR BARRANQUILLA'!GK123,"AAAAAH63+8Y=")</f>
        <v>#VALUE!</v>
      </c>
      <c r="GR104" t="e">
        <f>AND('SPR BARRANQUILLA'!GL123,"AAAAAH63+8c=")</f>
        <v>#VALUE!</v>
      </c>
      <c r="GS104" t="e">
        <f>AND('SPR BARRANQUILLA'!GM123,"AAAAAH63+8g=")</f>
        <v>#VALUE!</v>
      </c>
      <c r="GT104" t="e">
        <f>AND('SPR BARRANQUILLA'!GN123,"AAAAAH63+8k=")</f>
        <v>#VALUE!</v>
      </c>
      <c r="GU104" t="e">
        <f>AND('SPR BARRANQUILLA'!GO123,"AAAAAH63+8o=")</f>
        <v>#VALUE!</v>
      </c>
      <c r="GV104" t="e">
        <f>AND('SPR BARRANQUILLA'!GP123,"AAAAAH63+8s=")</f>
        <v>#VALUE!</v>
      </c>
      <c r="GW104" t="e">
        <f>AND('SPR BARRANQUILLA'!GQ123,"AAAAAH63+8w=")</f>
        <v>#VALUE!</v>
      </c>
      <c r="GX104" t="e">
        <f>AND('SPR BARRANQUILLA'!GR123,"AAAAAH63+80=")</f>
        <v>#VALUE!</v>
      </c>
      <c r="GY104" t="e">
        <f>AND('SPR BARRANQUILLA'!GS123,"AAAAAH63+84=")</f>
        <v>#VALUE!</v>
      </c>
      <c r="GZ104" t="e">
        <f>AND('SPR BARRANQUILLA'!GT123,"AAAAAH63+88=")</f>
        <v>#VALUE!</v>
      </c>
      <c r="HA104" t="e">
        <f>AND('SPR BARRANQUILLA'!GU123,"AAAAAH63+9A=")</f>
        <v>#VALUE!</v>
      </c>
      <c r="HB104" t="e">
        <f>AND('SPR BARRANQUILLA'!GV123,"AAAAAH63+9E=")</f>
        <v>#VALUE!</v>
      </c>
      <c r="HC104" t="e">
        <f>AND('SPR BARRANQUILLA'!GW123,"AAAAAH63+9I=")</f>
        <v>#VALUE!</v>
      </c>
      <c r="HD104" t="e">
        <f>AND('SPR BARRANQUILLA'!GX123,"AAAAAH63+9M=")</f>
        <v>#VALUE!</v>
      </c>
      <c r="HE104" t="e">
        <f>AND('SPR BARRANQUILLA'!GY123,"AAAAAH63+9Q=")</f>
        <v>#VALUE!</v>
      </c>
      <c r="HF104">
        <f>IF('SPR BARRANQUILLA'!124:124,"AAAAAH63+9U=",0)</f>
        <v>0</v>
      </c>
      <c r="HG104" t="e">
        <f>AND('SPR BARRANQUILLA'!A124,"AAAAAH63+9Y=")</f>
        <v>#VALUE!</v>
      </c>
      <c r="HH104" t="e">
        <f>AND('SPR BARRANQUILLA'!B124,"AAAAAH63+9c=")</f>
        <v>#VALUE!</v>
      </c>
      <c r="HI104" t="e">
        <f>AND('SPR BARRANQUILLA'!C124,"AAAAAH63+9g=")</f>
        <v>#VALUE!</v>
      </c>
      <c r="HJ104" t="e">
        <f>AND('SPR BARRANQUILLA'!D124,"AAAAAH63+9k=")</f>
        <v>#VALUE!</v>
      </c>
      <c r="HK104" t="e">
        <f>AND('SPR BARRANQUILLA'!E124,"AAAAAH63+9o=")</f>
        <v>#VALUE!</v>
      </c>
      <c r="HL104" t="e">
        <f>AND('SPR BARRANQUILLA'!F124,"AAAAAH63+9s=")</f>
        <v>#VALUE!</v>
      </c>
      <c r="HM104" t="e">
        <f>AND('SPR BARRANQUILLA'!G124,"AAAAAH63+9w=")</f>
        <v>#VALUE!</v>
      </c>
      <c r="HN104" t="e">
        <f>AND('SPR BARRANQUILLA'!H124,"AAAAAH63+90=")</f>
        <v>#VALUE!</v>
      </c>
      <c r="HO104" t="e">
        <f>AND('SPR BARRANQUILLA'!I124,"AAAAAH63+94=")</f>
        <v>#VALUE!</v>
      </c>
      <c r="HP104" t="e">
        <f>AND('SPR BARRANQUILLA'!J124,"AAAAAH63+98=")</f>
        <v>#VALUE!</v>
      </c>
      <c r="HQ104" t="e">
        <f>AND('SPR BARRANQUILLA'!K124,"AAAAAH63++A=")</f>
        <v>#VALUE!</v>
      </c>
      <c r="HR104" t="e">
        <f>AND('SPR BARRANQUILLA'!L124,"AAAAAH63++E=")</f>
        <v>#VALUE!</v>
      </c>
      <c r="HS104" t="e">
        <f>AND('SPR BARRANQUILLA'!M124,"AAAAAH63++I=")</f>
        <v>#VALUE!</v>
      </c>
      <c r="HT104" t="e">
        <f>AND('SPR BARRANQUILLA'!N124,"AAAAAH63++M=")</f>
        <v>#VALUE!</v>
      </c>
      <c r="HU104" t="e">
        <f>AND('SPR BARRANQUILLA'!O124,"AAAAAH63++Q=")</f>
        <v>#VALUE!</v>
      </c>
      <c r="HV104" t="e">
        <f>AND('SPR BARRANQUILLA'!P124,"AAAAAH63++U=")</f>
        <v>#VALUE!</v>
      </c>
      <c r="HW104" t="e">
        <f>AND('SPR BARRANQUILLA'!Q124,"AAAAAH63++Y=")</f>
        <v>#VALUE!</v>
      </c>
      <c r="HX104" t="e">
        <f>AND('SPR BARRANQUILLA'!R124,"AAAAAH63++c=")</f>
        <v>#VALUE!</v>
      </c>
      <c r="HY104" t="e">
        <f>AND('SPR BARRANQUILLA'!S124,"AAAAAH63++g=")</f>
        <v>#VALUE!</v>
      </c>
      <c r="HZ104" t="e">
        <f>AND('SPR BARRANQUILLA'!T124,"AAAAAH63++k=")</f>
        <v>#VALUE!</v>
      </c>
      <c r="IA104" t="e">
        <f>AND('SPR BARRANQUILLA'!U124,"AAAAAH63++o=")</f>
        <v>#VALUE!</v>
      </c>
      <c r="IB104" t="e">
        <f>AND('SPR BARRANQUILLA'!V124,"AAAAAH63++s=")</f>
        <v>#VALUE!</v>
      </c>
      <c r="IC104" t="e">
        <f>AND('SPR BARRANQUILLA'!W124,"AAAAAH63++w=")</f>
        <v>#VALUE!</v>
      </c>
      <c r="ID104" t="e">
        <f>AND('SPR BARRANQUILLA'!X124,"AAAAAH63++0=")</f>
        <v>#VALUE!</v>
      </c>
      <c r="IE104" t="e">
        <f>AND('SPR BARRANQUILLA'!Y124,"AAAAAH63++4=")</f>
        <v>#VALUE!</v>
      </c>
      <c r="IF104" t="e">
        <f>AND('SPR BARRANQUILLA'!Z124,"AAAAAH63++8=")</f>
        <v>#VALUE!</v>
      </c>
      <c r="IG104" t="e">
        <f>AND('SPR BARRANQUILLA'!AA124,"AAAAAH63+/A=")</f>
        <v>#VALUE!</v>
      </c>
      <c r="IH104" t="e">
        <f>AND('SPR BARRANQUILLA'!AB124,"AAAAAH63+/E=")</f>
        <v>#VALUE!</v>
      </c>
      <c r="II104" t="e">
        <f>AND('SPR BARRANQUILLA'!AC124,"AAAAAH63+/I=")</f>
        <v>#VALUE!</v>
      </c>
      <c r="IJ104" t="e">
        <f>AND('SPR BARRANQUILLA'!AD124,"AAAAAH63+/M=")</f>
        <v>#VALUE!</v>
      </c>
      <c r="IK104" t="e">
        <f>AND('SPR BARRANQUILLA'!AE124,"AAAAAH63+/Q=")</f>
        <v>#VALUE!</v>
      </c>
      <c r="IL104" t="e">
        <f>AND('SPR BARRANQUILLA'!AF124,"AAAAAH63+/U=")</f>
        <v>#VALUE!</v>
      </c>
      <c r="IM104" t="e">
        <f>AND('SPR BARRANQUILLA'!AG124,"AAAAAH63+/Y=")</f>
        <v>#VALUE!</v>
      </c>
      <c r="IN104" t="e">
        <f>AND('SPR BARRANQUILLA'!AH124,"AAAAAH63+/c=")</f>
        <v>#VALUE!</v>
      </c>
      <c r="IO104" t="e">
        <f>AND('SPR BARRANQUILLA'!AI124,"AAAAAH63+/g=")</f>
        <v>#VALUE!</v>
      </c>
      <c r="IP104" t="e">
        <f>AND('SPR BARRANQUILLA'!AJ124,"AAAAAH63+/k=")</f>
        <v>#VALUE!</v>
      </c>
      <c r="IQ104" t="e">
        <f>AND('SPR BARRANQUILLA'!AK124,"AAAAAH63+/o=")</f>
        <v>#VALUE!</v>
      </c>
      <c r="IR104" t="e">
        <f>AND('SPR BARRANQUILLA'!AL124,"AAAAAH63+/s=")</f>
        <v>#VALUE!</v>
      </c>
      <c r="IS104" t="e">
        <f>AND('SPR BARRANQUILLA'!AM124,"AAAAAH63+/w=")</f>
        <v>#VALUE!</v>
      </c>
      <c r="IT104" t="e">
        <f>AND('SPR BARRANQUILLA'!AN124,"AAAAAH63+/0=")</f>
        <v>#VALUE!</v>
      </c>
      <c r="IU104" t="e">
        <f>AND('SPR BARRANQUILLA'!AO124,"AAAAAH63+/4=")</f>
        <v>#VALUE!</v>
      </c>
      <c r="IV104" t="e">
        <f>AND('SPR BARRANQUILLA'!AP124,"AAAAAH63+/8=")</f>
        <v>#VALUE!</v>
      </c>
    </row>
    <row r="105" spans="1:256">
      <c r="A105" t="e">
        <f>AND('SPR BARRANQUILLA'!AQ124,"AAAAAF+09wA=")</f>
        <v>#VALUE!</v>
      </c>
      <c r="B105" t="e">
        <f>AND('SPR BARRANQUILLA'!AR124,"AAAAAF+09wE=")</f>
        <v>#VALUE!</v>
      </c>
      <c r="C105" t="e">
        <f>AND('SPR BARRANQUILLA'!AS124,"AAAAAF+09wI=")</f>
        <v>#VALUE!</v>
      </c>
      <c r="D105" t="e">
        <f>AND('SPR BARRANQUILLA'!AT124,"AAAAAF+09wM=")</f>
        <v>#VALUE!</v>
      </c>
      <c r="E105" t="e">
        <f>AND('SPR BARRANQUILLA'!AU124,"AAAAAF+09wQ=")</f>
        <v>#VALUE!</v>
      </c>
      <c r="F105" t="e">
        <f>AND('SPR BARRANQUILLA'!AV124,"AAAAAF+09wU=")</f>
        <v>#VALUE!</v>
      </c>
      <c r="G105" t="e">
        <f>AND('SPR BARRANQUILLA'!AW124,"AAAAAF+09wY=")</f>
        <v>#VALUE!</v>
      </c>
      <c r="H105" t="e">
        <f>AND('SPR BARRANQUILLA'!AX124,"AAAAAF+09wc=")</f>
        <v>#VALUE!</v>
      </c>
      <c r="I105" t="e">
        <f>AND('SPR BARRANQUILLA'!AY124,"AAAAAF+09wg=")</f>
        <v>#VALUE!</v>
      </c>
      <c r="J105" t="e">
        <f>AND('SPR BARRANQUILLA'!AZ124,"AAAAAF+09wk=")</f>
        <v>#VALUE!</v>
      </c>
      <c r="K105" t="e">
        <f>AND('SPR BARRANQUILLA'!BA124,"AAAAAF+09wo=")</f>
        <v>#VALUE!</v>
      </c>
      <c r="L105" t="e">
        <f>AND('SPR BARRANQUILLA'!BB124,"AAAAAF+09ws=")</f>
        <v>#VALUE!</v>
      </c>
      <c r="M105" t="e">
        <f>AND('SPR BARRANQUILLA'!BC124,"AAAAAF+09ww=")</f>
        <v>#VALUE!</v>
      </c>
      <c r="N105" t="e">
        <f>AND('SPR BARRANQUILLA'!BD124,"AAAAAF+09w0=")</f>
        <v>#VALUE!</v>
      </c>
      <c r="O105" t="e">
        <f>AND('SPR BARRANQUILLA'!BE124,"AAAAAF+09w4=")</f>
        <v>#VALUE!</v>
      </c>
      <c r="P105" t="e">
        <f>AND('SPR BARRANQUILLA'!BF124,"AAAAAF+09w8=")</f>
        <v>#VALUE!</v>
      </c>
      <c r="Q105" t="e">
        <f>AND('SPR BARRANQUILLA'!BG124,"AAAAAF+09xA=")</f>
        <v>#VALUE!</v>
      </c>
      <c r="R105" t="e">
        <f>AND('SPR BARRANQUILLA'!BH124,"AAAAAF+09xE=")</f>
        <v>#VALUE!</v>
      </c>
      <c r="S105" t="e">
        <f>AND('SPR BARRANQUILLA'!BI124,"AAAAAF+09xI=")</f>
        <v>#VALUE!</v>
      </c>
      <c r="T105" t="e">
        <f>AND('SPR BARRANQUILLA'!BJ124,"AAAAAF+09xM=")</f>
        <v>#VALUE!</v>
      </c>
      <c r="U105" t="e">
        <f>AND('SPR BARRANQUILLA'!BK124,"AAAAAF+09xQ=")</f>
        <v>#VALUE!</v>
      </c>
      <c r="V105" t="e">
        <f>AND('SPR BARRANQUILLA'!BL124,"AAAAAF+09xU=")</f>
        <v>#VALUE!</v>
      </c>
      <c r="W105" t="e">
        <f>AND('SPR BARRANQUILLA'!BM124,"AAAAAF+09xY=")</f>
        <v>#VALUE!</v>
      </c>
      <c r="X105" t="e">
        <f>AND('SPR BARRANQUILLA'!BN124,"AAAAAF+09xc=")</f>
        <v>#VALUE!</v>
      </c>
      <c r="Y105" t="e">
        <f>AND('SPR BARRANQUILLA'!BO124,"AAAAAF+09xg=")</f>
        <v>#VALUE!</v>
      </c>
      <c r="Z105" t="e">
        <f>AND('SPR BARRANQUILLA'!BP124,"AAAAAF+09xk=")</f>
        <v>#VALUE!</v>
      </c>
      <c r="AA105" t="e">
        <f>AND('SPR BARRANQUILLA'!BQ124,"AAAAAF+09xo=")</f>
        <v>#VALUE!</v>
      </c>
      <c r="AB105" t="e">
        <f>AND('SPR BARRANQUILLA'!BR124,"AAAAAF+09xs=")</f>
        <v>#VALUE!</v>
      </c>
      <c r="AC105" t="e">
        <f>AND('SPR BARRANQUILLA'!BS124,"AAAAAF+09xw=")</f>
        <v>#VALUE!</v>
      </c>
      <c r="AD105" t="e">
        <f>AND('SPR BARRANQUILLA'!BT124,"AAAAAF+09x0=")</f>
        <v>#VALUE!</v>
      </c>
      <c r="AE105" t="e">
        <f>AND('SPR BARRANQUILLA'!BU124,"AAAAAF+09x4=")</f>
        <v>#VALUE!</v>
      </c>
      <c r="AF105" t="e">
        <f>AND('SPR BARRANQUILLA'!BV124,"AAAAAF+09x8=")</f>
        <v>#VALUE!</v>
      </c>
      <c r="AG105" t="e">
        <f>AND('SPR BARRANQUILLA'!BW124,"AAAAAF+09yA=")</f>
        <v>#VALUE!</v>
      </c>
      <c r="AH105" t="e">
        <f>AND('SPR BARRANQUILLA'!BX124,"AAAAAF+09yE=")</f>
        <v>#VALUE!</v>
      </c>
      <c r="AI105" t="e">
        <f>AND('SPR BARRANQUILLA'!BY124,"AAAAAF+09yI=")</f>
        <v>#VALUE!</v>
      </c>
      <c r="AJ105" t="e">
        <f>AND('SPR BARRANQUILLA'!BZ124,"AAAAAF+09yM=")</f>
        <v>#VALUE!</v>
      </c>
      <c r="AK105" t="e">
        <f>AND('SPR BARRANQUILLA'!CA124,"AAAAAF+09yQ=")</f>
        <v>#VALUE!</v>
      </c>
      <c r="AL105" t="e">
        <f>AND('SPR BARRANQUILLA'!CB124,"AAAAAF+09yU=")</f>
        <v>#VALUE!</v>
      </c>
      <c r="AM105" t="e">
        <f>AND('SPR BARRANQUILLA'!CC124,"AAAAAF+09yY=")</f>
        <v>#VALUE!</v>
      </c>
      <c r="AN105" t="e">
        <f>AND('SPR BARRANQUILLA'!CD124,"AAAAAF+09yc=")</f>
        <v>#VALUE!</v>
      </c>
      <c r="AO105" t="e">
        <f>AND('SPR BARRANQUILLA'!CE124,"AAAAAF+09yg=")</f>
        <v>#VALUE!</v>
      </c>
      <c r="AP105" t="e">
        <f>AND('SPR BARRANQUILLA'!CF124,"AAAAAF+09yk=")</f>
        <v>#VALUE!</v>
      </c>
      <c r="AQ105" t="e">
        <f>AND('SPR BARRANQUILLA'!CG124,"AAAAAF+09yo=")</f>
        <v>#VALUE!</v>
      </c>
      <c r="AR105" t="e">
        <f>AND('SPR BARRANQUILLA'!CH124,"AAAAAF+09ys=")</f>
        <v>#VALUE!</v>
      </c>
      <c r="AS105" t="e">
        <f>AND('SPR BARRANQUILLA'!CI124,"AAAAAF+09yw=")</f>
        <v>#VALUE!</v>
      </c>
      <c r="AT105" t="e">
        <f>AND('SPR BARRANQUILLA'!CJ124,"AAAAAF+09y0=")</f>
        <v>#VALUE!</v>
      </c>
      <c r="AU105" t="e">
        <f>AND('SPR BARRANQUILLA'!CK124,"AAAAAF+09y4=")</f>
        <v>#VALUE!</v>
      </c>
      <c r="AV105" t="e">
        <f>AND('SPR BARRANQUILLA'!CL124,"AAAAAF+09y8=")</f>
        <v>#VALUE!</v>
      </c>
      <c r="AW105" t="e">
        <f>AND('SPR BARRANQUILLA'!CM124,"AAAAAF+09zA=")</f>
        <v>#VALUE!</v>
      </c>
      <c r="AX105" t="e">
        <f>AND('SPR BARRANQUILLA'!CN124,"AAAAAF+09zE=")</f>
        <v>#VALUE!</v>
      </c>
      <c r="AY105" t="e">
        <f>AND('SPR BARRANQUILLA'!CO124,"AAAAAF+09zI=")</f>
        <v>#VALUE!</v>
      </c>
      <c r="AZ105" t="e">
        <f>AND('SPR BARRANQUILLA'!CP124,"AAAAAF+09zM=")</f>
        <v>#VALUE!</v>
      </c>
      <c r="BA105" t="e">
        <f>AND('SPR BARRANQUILLA'!CQ124,"AAAAAF+09zQ=")</f>
        <v>#VALUE!</v>
      </c>
      <c r="BB105" t="e">
        <f>AND('SPR BARRANQUILLA'!CR124,"AAAAAF+09zU=")</f>
        <v>#VALUE!</v>
      </c>
      <c r="BC105" t="e">
        <f>AND('SPR BARRANQUILLA'!CS124,"AAAAAF+09zY=")</f>
        <v>#VALUE!</v>
      </c>
      <c r="BD105" t="e">
        <f>AND('SPR BARRANQUILLA'!CT124,"AAAAAF+09zc=")</f>
        <v>#VALUE!</v>
      </c>
      <c r="BE105" t="e">
        <f>AND('SPR BARRANQUILLA'!CU124,"AAAAAF+09zg=")</f>
        <v>#VALUE!</v>
      </c>
      <c r="BF105" t="e">
        <f>AND('SPR BARRANQUILLA'!CV124,"AAAAAF+09zk=")</f>
        <v>#VALUE!</v>
      </c>
      <c r="BG105" t="e">
        <f>AND('SPR BARRANQUILLA'!CW124,"AAAAAF+09zo=")</f>
        <v>#VALUE!</v>
      </c>
      <c r="BH105" t="e">
        <f>AND('SPR BARRANQUILLA'!CX124,"AAAAAF+09zs=")</f>
        <v>#VALUE!</v>
      </c>
      <c r="BI105" t="e">
        <f>AND('SPR BARRANQUILLA'!CY124,"AAAAAF+09zw=")</f>
        <v>#VALUE!</v>
      </c>
      <c r="BJ105" t="e">
        <f>AND('SPR BARRANQUILLA'!CZ124,"AAAAAF+09z0=")</f>
        <v>#VALUE!</v>
      </c>
      <c r="BK105" t="e">
        <f>AND('SPR BARRANQUILLA'!DA124,"AAAAAF+09z4=")</f>
        <v>#VALUE!</v>
      </c>
      <c r="BL105" t="e">
        <f>AND('SPR BARRANQUILLA'!DB124,"AAAAAF+09z8=")</f>
        <v>#VALUE!</v>
      </c>
      <c r="BM105" t="e">
        <f>AND('SPR BARRANQUILLA'!DC124,"AAAAAF+090A=")</f>
        <v>#VALUE!</v>
      </c>
      <c r="BN105" t="e">
        <f>AND('SPR BARRANQUILLA'!DD124,"AAAAAF+090E=")</f>
        <v>#VALUE!</v>
      </c>
      <c r="BO105" t="e">
        <f>AND('SPR BARRANQUILLA'!DE124,"AAAAAF+090I=")</f>
        <v>#VALUE!</v>
      </c>
      <c r="BP105" t="e">
        <f>AND('SPR BARRANQUILLA'!DF124,"AAAAAF+090M=")</f>
        <v>#VALUE!</v>
      </c>
      <c r="BQ105" t="e">
        <f>AND('SPR BARRANQUILLA'!DG124,"AAAAAF+090Q=")</f>
        <v>#VALUE!</v>
      </c>
      <c r="BR105" t="e">
        <f>AND('SPR BARRANQUILLA'!DH124,"AAAAAF+090U=")</f>
        <v>#VALUE!</v>
      </c>
      <c r="BS105" t="e">
        <f>AND('SPR BARRANQUILLA'!DI124,"AAAAAF+090Y=")</f>
        <v>#VALUE!</v>
      </c>
      <c r="BT105" t="e">
        <f>AND('SPR BARRANQUILLA'!DJ124,"AAAAAF+090c=")</f>
        <v>#VALUE!</v>
      </c>
      <c r="BU105" t="e">
        <f>AND('SPR BARRANQUILLA'!DK124,"AAAAAF+090g=")</f>
        <v>#VALUE!</v>
      </c>
      <c r="BV105" t="e">
        <f>AND('SPR BARRANQUILLA'!DL124,"AAAAAF+090k=")</f>
        <v>#VALUE!</v>
      </c>
      <c r="BW105" t="e">
        <f>AND('SPR BARRANQUILLA'!DM124,"AAAAAF+090o=")</f>
        <v>#VALUE!</v>
      </c>
      <c r="BX105" t="e">
        <f>AND('SPR BARRANQUILLA'!DN124,"AAAAAF+090s=")</f>
        <v>#VALUE!</v>
      </c>
      <c r="BY105" t="e">
        <f>AND('SPR BARRANQUILLA'!DO124,"AAAAAF+090w=")</f>
        <v>#VALUE!</v>
      </c>
      <c r="BZ105" t="e">
        <f>AND('SPR BARRANQUILLA'!DP124,"AAAAAF+0900=")</f>
        <v>#VALUE!</v>
      </c>
      <c r="CA105" t="e">
        <f>AND('SPR BARRANQUILLA'!DQ124,"AAAAAF+0904=")</f>
        <v>#VALUE!</v>
      </c>
      <c r="CB105" t="e">
        <f>AND('SPR BARRANQUILLA'!DR124,"AAAAAF+0908=")</f>
        <v>#VALUE!</v>
      </c>
      <c r="CC105" t="e">
        <f>AND('SPR BARRANQUILLA'!DS124,"AAAAAF+091A=")</f>
        <v>#VALUE!</v>
      </c>
      <c r="CD105" t="e">
        <f>AND('SPR BARRANQUILLA'!DT124,"AAAAAF+091E=")</f>
        <v>#VALUE!</v>
      </c>
      <c r="CE105" t="e">
        <f>AND('SPR BARRANQUILLA'!DU124,"AAAAAF+091I=")</f>
        <v>#VALUE!</v>
      </c>
      <c r="CF105" t="e">
        <f>AND('SPR BARRANQUILLA'!DV124,"AAAAAF+091M=")</f>
        <v>#VALUE!</v>
      </c>
      <c r="CG105" t="e">
        <f>AND('SPR BARRANQUILLA'!DW124,"AAAAAF+091Q=")</f>
        <v>#VALUE!</v>
      </c>
      <c r="CH105" t="e">
        <f>AND('SPR BARRANQUILLA'!DX124,"AAAAAF+091U=")</f>
        <v>#VALUE!</v>
      </c>
      <c r="CI105" t="e">
        <f>AND('SPR BARRANQUILLA'!DY124,"AAAAAF+091Y=")</f>
        <v>#VALUE!</v>
      </c>
      <c r="CJ105" t="e">
        <f>AND('SPR BARRANQUILLA'!DZ124,"AAAAAF+091c=")</f>
        <v>#VALUE!</v>
      </c>
      <c r="CK105" t="e">
        <f>AND('SPR BARRANQUILLA'!EA124,"AAAAAF+091g=")</f>
        <v>#VALUE!</v>
      </c>
      <c r="CL105" t="e">
        <f>AND('SPR BARRANQUILLA'!EB124,"AAAAAF+091k=")</f>
        <v>#VALUE!</v>
      </c>
      <c r="CM105" t="e">
        <f>AND('SPR BARRANQUILLA'!EC124,"AAAAAF+091o=")</f>
        <v>#VALUE!</v>
      </c>
      <c r="CN105" t="e">
        <f>AND('SPR BARRANQUILLA'!ED124,"AAAAAF+091s=")</f>
        <v>#VALUE!</v>
      </c>
      <c r="CO105" t="e">
        <f>AND('SPR BARRANQUILLA'!EE124,"AAAAAF+091w=")</f>
        <v>#VALUE!</v>
      </c>
      <c r="CP105" t="e">
        <f>AND('SPR BARRANQUILLA'!EF124,"AAAAAF+0910=")</f>
        <v>#VALUE!</v>
      </c>
      <c r="CQ105" t="e">
        <f>AND('SPR BARRANQUILLA'!EG124,"AAAAAF+0914=")</f>
        <v>#VALUE!</v>
      </c>
      <c r="CR105" t="e">
        <f>AND('SPR BARRANQUILLA'!EH124,"AAAAAF+0918=")</f>
        <v>#VALUE!</v>
      </c>
      <c r="CS105" t="e">
        <f>AND('SPR BARRANQUILLA'!EI124,"AAAAAF+092A=")</f>
        <v>#VALUE!</v>
      </c>
      <c r="CT105" t="e">
        <f>AND('SPR BARRANQUILLA'!EJ124,"AAAAAF+092E=")</f>
        <v>#VALUE!</v>
      </c>
      <c r="CU105" t="e">
        <f>AND('SPR BARRANQUILLA'!EK124,"AAAAAF+092I=")</f>
        <v>#VALUE!</v>
      </c>
      <c r="CV105" t="e">
        <f>AND('SPR BARRANQUILLA'!EL124,"AAAAAF+092M=")</f>
        <v>#VALUE!</v>
      </c>
      <c r="CW105" t="e">
        <f>AND('SPR BARRANQUILLA'!EM124,"AAAAAF+092Q=")</f>
        <v>#VALUE!</v>
      </c>
      <c r="CX105" t="e">
        <f>AND('SPR BARRANQUILLA'!EN124,"AAAAAF+092U=")</f>
        <v>#VALUE!</v>
      </c>
      <c r="CY105" t="e">
        <f>AND('SPR BARRANQUILLA'!EO124,"AAAAAF+092Y=")</f>
        <v>#VALUE!</v>
      </c>
      <c r="CZ105" t="e">
        <f>AND('SPR BARRANQUILLA'!EP124,"AAAAAF+092c=")</f>
        <v>#VALUE!</v>
      </c>
      <c r="DA105" t="e">
        <f>AND('SPR BARRANQUILLA'!EQ124,"AAAAAF+092g=")</f>
        <v>#VALUE!</v>
      </c>
      <c r="DB105" t="e">
        <f>AND('SPR BARRANQUILLA'!ER124,"AAAAAF+092k=")</f>
        <v>#VALUE!</v>
      </c>
      <c r="DC105" t="e">
        <f>AND('SPR BARRANQUILLA'!ES124,"AAAAAF+092o=")</f>
        <v>#VALUE!</v>
      </c>
      <c r="DD105" t="e">
        <f>AND('SPR BARRANQUILLA'!ET124,"AAAAAF+092s=")</f>
        <v>#VALUE!</v>
      </c>
      <c r="DE105" t="e">
        <f>AND('SPR BARRANQUILLA'!EU124,"AAAAAF+092w=")</f>
        <v>#VALUE!</v>
      </c>
      <c r="DF105" t="e">
        <f>AND('SPR BARRANQUILLA'!EV124,"AAAAAF+0920=")</f>
        <v>#VALUE!</v>
      </c>
      <c r="DG105" t="e">
        <f>AND('SPR BARRANQUILLA'!EW124,"AAAAAF+0924=")</f>
        <v>#VALUE!</v>
      </c>
      <c r="DH105" t="e">
        <f>AND('SPR BARRANQUILLA'!EX124,"AAAAAF+0928=")</f>
        <v>#VALUE!</v>
      </c>
      <c r="DI105" t="e">
        <f>AND('SPR BARRANQUILLA'!EY124,"AAAAAF+093A=")</f>
        <v>#VALUE!</v>
      </c>
      <c r="DJ105" t="e">
        <f>AND('SPR BARRANQUILLA'!EZ124,"AAAAAF+093E=")</f>
        <v>#VALUE!</v>
      </c>
      <c r="DK105" t="e">
        <f>AND('SPR BARRANQUILLA'!FA124,"AAAAAF+093I=")</f>
        <v>#VALUE!</v>
      </c>
      <c r="DL105" t="e">
        <f>AND('SPR BARRANQUILLA'!FB124,"AAAAAF+093M=")</f>
        <v>#VALUE!</v>
      </c>
      <c r="DM105" t="e">
        <f>AND('SPR BARRANQUILLA'!FC124,"AAAAAF+093Q=")</f>
        <v>#VALUE!</v>
      </c>
      <c r="DN105" t="e">
        <f>AND('SPR BARRANQUILLA'!FD124,"AAAAAF+093U=")</f>
        <v>#VALUE!</v>
      </c>
      <c r="DO105" t="e">
        <f>AND('SPR BARRANQUILLA'!FE124,"AAAAAF+093Y=")</f>
        <v>#VALUE!</v>
      </c>
      <c r="DP105" t="e">
        <f>AND('SPR BARRANQUILLA'!FF124,"AAAAAF+093c=")</f>
        <v>#VALUE!</v>
      </c>
      <c r="DQ105" t="e">
        <f>AND('SPR BARRANQUILLA'!FG124,"AAAAAF+093g=")</f>
        <v>#VALUE!</v>
      </c>
      <c r="DR105" t="e">
        <f>AND('SPR BARRANQUILLA'!FH124,"AAAAAF+093k=")</f>
        <v>#VALUE!</v>
      </c>
      <c r="DS105" t="e">
        <f>AND('SPR BARRANQUILLA'!FI124,"AAAAAF+093o=")</f>
        <v>#VALUE!</v>
      </c>
      <c r="DT105" t="e">
        <f>AND('SPR BARRANQUILLA'!FJ124,"AAAAAF+093s=")</f>
        <v>#VALUE!</v>
      </c>
      <c r="DU105" t="e">
        <f>AND('SPR BARRANQUILLA'!FK124,"AAAAAF+093w=")</f>
        <v>#VALUE!</v>
      </c>
      <c r="DV105" t="e">
        <f>AND('SPR BARRANQUILLA'!FL124,"AAAAAF+0930=")</f>
        <v>#VALUE!</v>
      </c>
      <c r="DW105" t="e">
        <f>AND('SPR BARRANQUILLA'!FM124,"AAAAAF+0934=")</f>
        <v>#VALUE!</v>
      </c>
      <c r="DX105" t="e">
        <f>AND('SPR BARRANQUILLA'!FN124,"AAAAAF+0938=")</f>
        <v>#VALUE!</v>
      </c>
      <c r="DY105" t="e">
        <f>AND('SPR BARRANQUILLA'!FO124,"AAAAAF+094A=")</f>
        <v>#VALUE!</v>
      </c>
      <c r="DZ105" t="e">
        <f>AND('SPR BARRANQUILLA'!FP124,"AAAAAF+094E=")</f>
        <v>#VALUE!</v>
      </c>
      <c r="EA105" t="e">
        <f>AND('SPR BARRANQUILLA'!FQ124,"AAAAAF+094I=")</f>
        <v>#VALUE!</v>
      </c>
      <c r="EB105" t="e">
        <f>AND('SPR BARRANQUILLA'!FR124,"AAAAAF+094M=")</f>
        <v>#VALUE!</v>
      </c>
      <c r="EC105" t="e">
        <f>AND('SPR BARRANQUILLA'!FS124,"AAAAAF+094Q=")</f>
        <v>#VALUE!</v>
      </c>
      <c r="ED105" t="e">
        <f>AND('SPR BARRANQUILLA'!FT124,"AAAAAF+094U=")</f>
        <v>#VALUE!</v>
      </c>
      <c r="EE105" t="e">
        <f>AND('SPR BARRANQUILLA'!FU124,"AAAAAF+094Y=")</f>
        <v>#VALUE!</v>
      </c>
      <c r="EF105" t="e">
        <f>AND('SPR BARRANQUILLA'!FV124,"AAAAAF+094c=")</f>
        <v>#VALUE!</v>
      </c>
      <c r="EG105" t="e">
        <f>AND('SPR BARRANQUILLA'!FW124,"AAAAAF+094g=")</f>
        <v>#VALUE!</v>
      </c>
      <c r="EH105" t="e">
        <f>AND('SPR BARRANQUILLA'!FX124,"AAAAAF+094k=")</f>
        <v>#VALUE!</v>
      </c>
      <c r="EI105" t="e">
        <f>AND('SPR BARRANQUILLA'!FY124,"AAAAAF+094o=")</f>
        <v>#VALUE!</v>
      </c>
      <c r="EJ105" t="e">
        <f>AND('SPR BARRANQUILLA'!FZ124,"AAAAAF+094s=")</f>
        <v>#VALUE!</v>
      </c>
      <c r="EK105" t="e">
        <f>AND('SPR BARRANQUILLA'!GA124,"AAAAAF+094w=")</f>
        <v>#VALUE!</v>
      </c>
      <c r="EL105" t="e">
        <f>AND('SPR BARRANQUILLA'!GB124,"AAAAAF+0940=")</f>
        <v>#VALUE!</v>
      </c>
      <c r="EM105" t="e">
        <f>AND('SPR BARRANQUILLA'!GC124,"AAAAAF+0944=")</f>
        <v>#VALUE!</v>
      </c>
      <c r="EN105" t="e">
        <f>AND('SPR BARRANQUILLA'!GD124,"AAAAAF+0948=")</f>
        <v>#VALUE!</v>
      </c>
      <c r="EO105" t="e">
        <f>AND('SPR BARRANQUILLA'!GE124,"AAAAAF+095A=")</f>
        <v>#VALUE!</v>
      </c>
      <c r="EP105" t="e">
        <f>AND('SPR BARRANQUILLA'!GF124,"AAAAAF+095E=")</f>
        <v>#VALUE!</v>
      </c>
      <c r="EQ105" t="e">
        <f>AND('SPR BARRANQUILLA'!GG124,"AAAAAF+095I=")</f>
        <v>#VALUE!</v>
      </c>
      <c r="ER105" t="e">
        <f>AND('SPR BARRANQUILLA'!GH124,"AAAAAF+095M=")</f>
        <v>#VALUE!</v>
      </c>
      <c r="ES105" t="e">
        <f>AND('SPR BARRANQUILLA'!GI124,"AAAAAF+095Q=")</f>
        <v>#VALUE!</v>
      </c>
      <c r="ET105" t="e">
        <f>AND('SPR BARRANQUILLA'!GJ124,"AAAAAF+095U=")</f>
        <v>#VALUE!</v>
      </c>
      <c r="EU105" t="e">
        <f>AND('SPR BARRANQUILLA'!GK124,"AAAAAF+095Y=")</f>
        <v>#VALUE!</v>
      </c>
      <c r="EV105" t="e">
        <f>AND('SPR BARRANQUILLA'!GL124,"AAAAAF+095c=")</f>
        <v>#VALUE!</v>
      </c>
      <c r="EW105" t="e">
        <f>AND('SPR BARRANQUILLA'!GM124,"AAAAAF+095g=")</f>
        <v>#VALUE!</v>
      </c>
      <c r="EX105" t="e">
        <f>AND('SPR BARRANQUILLA'!GN124,"AAAAAF+095k=")</f>
        <v>#VALUE!</v>
      </c>
      <c r="EY105" t="e">
        <f>AND('SPR BARRANQUILLA'!GO124,"AAAAAF+095o=")</f>
        <v>#VALUE!</v>
      </c>
      <c r="EZ105" t="e">
        <f>AND('SPR BARRANQUILLA'!GP124,"AAAAAF+095s=")</f>
        <v>#VALUE!</v>
      </c>
      <c r="FA105" t="e">
        <f>AND('SPR BARRANQUILLA'!GQ124,"AAAAAF+095w=")</f>
        <v>#VALUE!</v>
      </c>
      <c r="FB105" t="e">
        <f>AND('SPR BARRANQUILLA'!GR124,"AAAAAF+0950=")</f>
        <v>#VALUE!</v>
      </c>
      <c r="FC105" t="e">
        <f>AND('SPR BARRANQUILLA'!GS124,"AAAAAF+0954=")</f>
        <v>#VALUE!</v>
      </c>
      <c r="FD105" t="e">
        <f>AND('SPR BARRANQUILLA'!GT124,"AAAAAF+0958=")</f>
        <v>#VALUE!</v>
      </c>
      <c r="FE105" t="e">
        <f>AND('SPR BARRANQUILLA'!GU124,"AAAAAF+096A=")</f>
        <v>#VALUE!</v>
      </c>
      <c r="FF105" t="e">
        <f>AND('SPR BARRANQUILLA'!GV124,"AAAAAF+096E=")</f>
        <v>#VALUE!</v>
      </c>
      <c r="FG105" t="e">
        <f>AND('SPR BARRANQUILLA'!GW124,"AAAAAF+096I=")</f>
        <v>#VALUE!</v>
      </c>
      <c r="FH105" t="e">
        <f>AND('SPR BARRANQUILLA'!GX124,"AAAAAF+096M=")</f>
        <v>#VALUE!</v>
      </c>
      <c r="FI105" t="e">
        <f>AND('SPR BARRANQUILLA'!GY124,"AAAAAF+096Q=")</f>
        <v>#VALUE!</v>
      </c>
      <c r="FJ105">
        <f>IF('SPR BARRANQUILLA'!125:125,"AAAAAF+096U=",0)</f>
        <v>0</v>
      </c>
      <c r="FK105" t="e">
        <f>AND('SPR BARRANQUILLA'!A125,"AAAAAF+096Y=")</f>
        <v>#VALUE!</v>
      </c>
      <c r="FL105" t="e">
        <f>AND('SPR BARRANQUILLA'!B125,"AAAAAF+096c=")</f>
        <v>#VALUE!</v>
      </c>
      <c r="FM105" t="e">
        <f>AND('SPR BARRANQUILLA'!C125,"AAAAAF+096g=")</f>
        <v>#VALUE!</v>
      </c>
      <c r="FN105" t="e">
        <f>AND('SPR BARRANQUILLA'!D125,"AAAAAF+096k=")</f>
        <v>#VALUE!</v>
      </c>
      <c r="FO105" t="e">
        <f>AND('SPR BARRANQUILLA'!E125,"AAAAAF+096o=")</f>
        <v>#VALUE!</v>
      </c>
      <c r="FP105" t="e">
        <f>AND('SPR BARRANQUILLA'!F125,"AAAAAF+096s=")</f>
        <v>#VALUE!</v>
      </c>
      <c r="FQ105" t="e">
        <f>AND('SPR BARRANQUILLA'!G125,"AAAAAF+096w=")</f>
        <v>#VALUE!</v>
      </c>
      <c r="FR105" t="e">
        <f>AND('SPR BARRANQUILLA'!H125,"AAAAAF+0960=")</f>
        <v>#VALUE!</v>
      </c>
      <c r="FS105" t="e">
        <f>AND('SPR BARRANQUILLA'!I125,"AAAAAF+0964=")</f>
        <v>#VALUE!</v>
      </c>
      <c r="FT105" t="e">
        <f>AND('SPR BARRANQUILLA'!J125,"AAAAAF+0968=")</f>
        <v>#VALUE!</v>
      </c>
      <c r="FU105" t="e">
        <f>AND('SPR BARRANQUILLA'!K125,"AAAAAF+097A=")</f>
        <v>#VALUE!</v>
      </c>
      <c r="FV105" t="e">
        <f>AND('SPR BARRANQUILLA'!L125,"AAAAAF+097E=")</f>
        <v>#VALUE!</v>
      </c>
      <c r="FW105" t="e">
        <f>AND('SPR BARRANQUILLA'!M125,"AAAAAF+097I=")</f>
        <v>#VALUE!</v>
      </c>
      <c r="FX105" t="e">
        <f>AND('SPR BARRANQUILLA'!N125,"AAAAAF+097M=")</f>
        <v>#VALUE!</v>
      </c>
      <c r="FY105" t="e">
        <f>AND('SPR BARRANQUILLA'!O125,"AAAAAF+097Q=")</f>
        <v>#VALUE!</v>
      </c>
      <c r="FZ105" t="e">
        <f>AND('SPR BARRANQUILLA'!P125,"AAAAAF+097U=")</f>
        <v>#VALUE!</v>
      </c>
      <c r="GA105" t="e">
        <f>AND('SPR BARRANQUILLA'!Q125,"AAAAAF+097Y=")</f>
        <v>#VALUE!</v>
      </c>
      <c r="GB105" t="e">
        <f>AND('SPR BARRANQUILLA'!R125,"AAAAAF+097c=")</f>
        <v>#VALUE!</v>
      </c>
      <c r="GC105" t="e">
        <f>AND('SPR BARRANQUILLA'!S125,"AAAAAF+097g=")</f>
        <v>#VALUE!</v>
      </c>
      <c r="GD105" t="e">
        <f>AND('SPR BARRANQUILLA'!T125,"AAAAAF+097k=")</f>
        <v>#VALUE!</v>
      </c>
      <c r="GE105" t="e">
        <f>AND('SPR BARRANQUILLA'!U125,"AAAAAF+097o=")</f>
        <v>#VALUE!</v>
      </c>
      <c r="GF105" t="e">
        <f>AND('SPR BARRANQUILLA'!V125,"AAAAAF+097s=")</f>
        <v>#VALUE!</v>
      </c>
      <c r="GG105" t="e">
        <f>AND('SPR BARRANQUILLA'!W125,"AAAAAF+097w=")</f>
        <v>#VALUE!</v>
      </c>
      <c r="GH105" t="e">
        <f>AND('SPR BARRANQUILLA'!X125,"AAAAAF+0970=")</f>
        <v>#VALUE!</v>
      </c>
      <c r="GI105" t="e">
        <f>AND('SPR BARRANQUILLA'!Y125,"AAAAAF+0974=")</f>
        <v>#VALUE!</v>
      </c>
      <c r="GJ105" t="e">
        <f>AND('SPR BARRANQUILLA'!Z125,"AAAAAF+0978=")</f>
        <v>#VALUE!</v>
      </c>
      <c r="GK105" t="e">
        <f>AND('SPR BARRANQUILLA'!AA125,"AAAAAF+098A=")</f>
        <v>#VALUE!</v>
      </c>
      <c r="GL105" t="e">
        <f>AND('SPR BARRANQUILLA'!AB125,"AAAAAF+098E=")</f>
        <v>#VALUE!</v>
      </c>
      <c r="GM105" t="e">
        <f>AND('SPR BARRANQUILLA'!AC125,"AAAAAF+098I=")</f>
        <v>#VALUE!</v>
      </c>
      <c r="GN105" t="e">
        <f>AND('SPR BARRANQUILLA'!AD125,"AAAAAF+098M=")</f>
        <v>#VALUE!</v>
      </c>
      <c r="GO105" t="e">
        <f>AND('SPR BARRANQUILLA'!AE125,"AAAAAF+098Q=")</f>
        <v>#VALUE!</v>
      </c>
      <c r="GP105" t="e">
        <f>AND('SPR BARRANQUILLA'!AF125,"AAAAAF+098U=")</f>
        <v>#VALUE!</v>
      </c>
      <c r="GQ105" t="e">
        <f>AND('SPR BARRANQUILLA'!AG125,"AAAAAF+098Y=")</f>
        <v>#VALUE!</v>
      </c>
      <c r="GR105" t="e">
        <f>AND('SPR BARRANQUILLA'!AH125,"AAAAAF+098c=")</f>
        <v>#VALUE!</v>
      </c>
      <c r="GS105" t="e">
        <f>AND('SPR BARRANQUILLA'!AI125,"AAAAAF+098g=")</f>
        <v>#VALUE!</v>
      </c>
      <c r="GT105" t="e">
        <f>AND('SPR BARRANQUILLA'!AJ125,"AAAAAF+098k=")</f>
        <v>#VALUE!</v>
      </c>
      <c r="GU105" t="e">
        <f>AND('SPR BARRANQUILLA'!AK125,"AAAAAF+098o=")</f>
        <v>#VALUE!</v>
      </c>
      <c r="GV105" t="e">
        <f>AND('SPR BARRANQUILLA'!AL125,"AAAAAF+098s=")</f>
        <v>#VALUE!</v>
      </c>
      <c r="GW105" t="e">
        <f>AND('SPR BARRANQUILLA'!AM125,"AAAAAF+098w=")</f>
        <v>#VALUE!</v>
      </c>
      <c r="GX105" t="e">
        <f>AND('SPR BARRANQUILLA'!AN125,"AAAAAF+0980=")</f>
        <v>#VALUE!</v>
      </c>
      <c r="GY105" t="e">
        <f>AND('SPR BARRANQUILLA'!AO125,"AAAAAF+0984=")</f>
        <v>#VALUE!</v>
      </c>
      <c r="GZ105" t="e">
        <f>AND('SPR BARRANQUILLA'!AP125,"AAAAAF+0988=")</f>
        <v>#VALUE!</v>
      </c>
      <c r="HA105" t="e">
        <f>AND('SPR BARRANQUILLA'!AQ125,"AAAAAF+099A=")</f>
        <v>#VALUE!</v>
      </c>
      <c r="HB105" t="e">
        <f>AND('SPR BARRANQUILLA'!AR125,"AAAAAF+099E=")</f>
        <v>#VALUE!</v>
      </c>
      <c r="HC105" t="e">
        <f>AND('SPR BARRANQUILLA'!AS125,"AAAAAF+099I=")</f>
        <v>#VALUE!</v>
      </c>
      <c r="HD105" t="e">
        <f>AND('SPR BARRANQUILLA'!AT125,"AAAAAF+099M=")</f>
        <v>#VALUE!</v>
      </c>
      <c r="HE105" t="e">
        <f>AND('SPR BARRANQUILLA'!AU125,"AAAAAF+099Q=")</f>
        <v>#VALUE!</v>
      </c>
      <c r="HF105" t="e">
        <f>AND('SPR BARRANQUILLA'!AV125,"AAAAAF+099U=")</f>
        <v>#VALUE!</v>
      </c>
      <c r="HG105" t="e">
        <f>AND('SPR BARRANQUILLA'!AW125,"AAAAAF+099Y=")</f>
        <v>#VALUE!</v>
      </c>
      <c r="HH105" t="e">
        <f>AND('SPR BARRANQUILLA'!AX125,"AAAAAF+099c=")</f>
        <v>#VALUE!</v>
      </c>
      <c r="HI105" t="e">
        <f>AND('SPR BARRANQUILLA'!AY125,"AAAAAF+099g=")</f>
        <v>#VALUE!</v>
      </c>
      <c r="HJ105" t="e">
        <f>AND('SPR BARRANQUILLA'!AZ125,"AAAAAF+099k=")</f>
        <v>#VALUE!</v>
      </c>
      <c r="HK105" t="e">
        <f>AND('SPR BARRANQUILLA'!BA125,"AAAAAF+099o=")</f>
        <v>#VALUE!</v>
      </c>
      <c r="HL105" t="e">
        <f>AND('SPR BARRANQUILLA'!BB125,"AAAAAF+099s=")</f>
        <v>#VALUE!</v>
      </c>
      <c r="HM105" t="e">
        <f>AND('SPR BARRANQUILLA'!BC125,"AAAAAF+099w=")</f>
        <v>#VALUE!</v>
      </c>
      <c r="HN105" t="e">
        <f>AND('SPR BARRANQUILLA'!BD125,"AAAAAF+0990=")</f>
        <v>#VALUE!</v>
      </c>
      <c r="HO105" t="e">
        <f>AND('SPR BARRANQUILLA'!BE125,"AAAAAF+0994=")</f>
        <v>#VALUE!</v>
      </c>
      <c r="HP105" t="e">
        <f>AND('SPR BARRANQUILLA'!BF125,"AAAAAF+0998=")</f>
        <v>#VALUE!</v>
      </c>
      <c r="HQ105" t="e">
        <f>AND('SPR BARRANQUILLA'!BG125,"AAAAAF+09+A=")</f>
        <v>#VALUE!</v>
      </c>
      <c r="HR105" t="e">
        <f>AND('SPR BARRANQUILLA'!BH125,"AAAAAF+09+E=")</f>
        <v>#VALUE!</v>
      </c>
      <c r="HS105" t="e">
        <f>AND('SPR BARRANQUILLA'!BI125,"AAAAAF+09+I=")</f>
        <v>#VALUE!</v>
      </c>
      <c r="HT105" t="e">
        <f>AND('SPR BARRANQUILLA'!BJ125,"AAAAAF+09+M=")</f>
        <v>#VALUE!</v>
      </c>
      <c r="HU105" t="e">
        <f>AND('SPR BARRANQUILLA'!BK125,"AAAAAF+09+Q=")</f>
        <v>#VALUE!</v>
      </c>
      <c r="HV105" t="e">
        <f>AND('SPR BARRANQUILLA'!BL125,"AAAAAF+09+U=")</f>
        <v>#VALUE!</v>
      </c>
      <c r="HW105" t="e">
        <f>AND('SPR BARRANQUILLA'!BM125,"AAAAAF+09+Y=")</f>
        <v>#VALUE!</v>
      </c>
      <c r="HX105" t="e">
        <f>AND('SPR BARRANQUILLA'!BN125,"AAAAAF+09+c=")</f>
        <v>#VALUE!</v>
      </c>
      <c r="HY105" t="e">
        <f>AND('SPR BARRANQUILLA'!BO125,"AAAAAF+09+g=")</f>
        <v>#VALUE!</v>
      </c>
      <c r="HZ105" t="e">
        <f>AND('SPR BARRANQUILLA'!BP125,"AAAAAF+09+k=")</f>
        <v>#VALUE!</v>
      </c>
      <c r="IA105" t="e">
        <f>AND('SPR BARRANQUILLA'!BQ125,"AAAAAF+09+o=")</f>
        <v>#VALUE!</v>
      </c>
      <c r="IB105" t="e">
        <f>AND('SPR BARRANQUILLA'!BR125,"AAAAAF+09+s=")</f>
        <v>#VALUE!</v>
      </c>
      <c r="IC105" t="e">
        <f>AND('SPR BARRANQUILLA'!BS125,"AAAAAF+09+w=")</f>
        <v>#VALUE!</v>
      </c>
      <c r="ID105" t="e">
        <f>AND('SPR BARRANQUILLA'!BT125,"AAAAAF+09+0=")</f>
        <v>#VALUE!</v>
      </c>
      <c r="IE105" t="e">
        <f>AND('SPR BARRANQUILLA'!BU125,"AAAAAF+09+4=")</f>
        <v>#VALUE!</v>
      </c>
      <c r="IF105" t="e">
        <f>AND('SPR BARRANQUILLA'!BV125,"AAAAAF+09+8=")</f>
        <v>#VALUE!</v>
      </c>
      <c r="IG105" t="e">
        <f>AND('SPR BARRANQUILLA'!BW125,"AAAAAF+09/A=")</f>
        <v>#VALUE!</v>
      </c>
      <c r="IH105" t="e">
        <f>AND('SPR BARRANQUILLA'!BX125,"AAAAAF+09/E=")</f>
        <v>#VALUE!</v>
      </c>
      <c r="II105" t="e">
        <f>AND('SPR BARRANQUILLA'!BY125,"AAAAAF+09/I=")</f>
        <v>#VALUE!</v>
      </c>
      <c r="IJ105" t="e">
        <f>AND('SPR BARRANQUILLA'!BZ125,"AAAAAF+09/M=")</f>
        <v>#VALUE!</v>
      </c>
      <c r="IK105" t="e">
        <f>AND('SPR BARRANQUILLA'!CA125,"AAAAAF+09/Q=")</f>
        <v>#VALUE!</v>
      </c>
      <c r="IL105" t="e">
        <f>AND('SPR BARRANQUILLA'!CB125,"AAAAAF+09/U=")</f>
        <v>#VALUE!</v>
      </c>
      <c r="IM105" t="e">
        <f>AND('SPR BARRANQUILLA'!CC125,"AAAAAF+09/Y=")</f>
        <v>#VALUE!</v>
      </c>
      <c r="IN105" t="e">
        <f>AND('SPR BARRANQUILLA'!CD125,"AAAAAF+09/c=")</f>
        <v>#VALUE!</v>
      </c>
      <c r="IO105" t="e">
        <f>AND('SPR BARRANQUILLA'!CE125,"AAAAAF+09/g=")</f>
        <v>#VALUE!</v>
      </c>
      <c r="IP105" t="e">
        <f>AND('SPR BARRANQUILLA'!CF125,"AAAAAF+09/k=")</f>
        <v>#VALUE!</v>
      </c>
      <c r="IQ105" t="e">
        <f>AND('SPR BARRANQUILLA'!CG125,"AAAAAF+09/o=")</f>
        <v>#VALUE!</v>
      </c>
      <c r="IR105" t="e">
        <f>AND('SPR BARRANQUILLA'!CH125,"AAAAAF+09/s=")</f>
        <v>#VALUE!</v>
      </c>
      <c r="IS105" t="e">
        <f>AND('SPR BARRANQUILLA'!CI125,"AAAAAF+09/w=")</f>
        <v>#VALUE!</v>
      </c>
      <c r="IT105" t="e">
        <f>AND('SPR BARRANQUILLA'!CJ125,"AAAAAF+09/0=")</f>
        <v>#VALUE!</v>
      </c>
      <c r="IU105" t="e">
        <f>AND('SPR BARRANQUILLA'!CK125,"AAAAAF+09/4=")</f>
        <v>#VALUE!</v>
      </c>
      <c r="IV105" t="e">
        <f>AND('SPR BARRANQUILLA'!CL125,"AAAAAF+09/8=")</f>
        <v>#VALUE!</v>
      </c>
    </row>
    <row r="106" spans="1:256">
      <c r="A106" t="e">
        <f>AND('SPR BARRANQUILLA'!CM125,"AAAAAD/flwA=")</f>
        <v>#VALUE!</v>
      </c>
      <c r="B106" t="e">
        <f>AND('SPR BARRANQUILLA'!CN125,"AAAAAD/flwE=")</f>
        <v>#VALUE!</v>
      </c>
      <c r="C106" t="e">
        <f>AND('SPR BARRANQUILLA'!CO125,"AAAAAD/flwI=")</f>
        <v>#VALUE!</v>
      </c>
      <c r="D106" t="e">
        <f>AND('SPR BARRANQUILLA'!CP125,"AAAAAD/flwM=")</f>
        <v>#VALUE!</v>
      </c>
      <c r="E106" t="e">
        <f>AND('SPR BARRANQUILLA'!CQ125,"AAAAAD/flwQ=")</f>
        <v>#VALUE!</v>
      </c>
      <c r="F106" t="e">
        <f>AND('SPR BARRANQUILLA'!CR125,"AAAAAD/flwU=")</f>
        <v>#VALUE!</v>
      </c>
      <c r="G106" t="e">
        <f>AND('SPR BARRANQUILLA'!CS125,"AAAAAD/flwY=")</f>
        <v>#VALUE!</v>
      </c>
      <c r="H106" t="e">
        <f>AND('SPR BARRANQUILLA'!CT125,"AAAAAD/flwc=")</f>
        <v>#VALUE!</v>
      </c>
      <c r="I106" t="e">
        <f>AND('SPR BARRANQUILLA'!CU125,"AAAAAD/flwg=")</f>
        <v>#VALUE!</v>
      </c>
      <c r="J106" t="e">
        <f>AND('SPR BARRANQUILLA'!CV125,"AAAAAD/flwk=")</f>
        <v>#VALUE!</v>
      </c>
      <c r="K106" t="e">
        <f>AND('SPR BARRANQUILLA'!CW125,"AAAAAD/flwo=")</f>
        <v>#VALUE!</v>
      </c>
      <c r="L106" t="e">
        <f>AND('SPR BARRANQUILLA'!CX125,"AAAAAD/flws=")</f>
        <v>#VALUE!</v>
      </c>
      <c r="M106" t="e">
        <f>AND('SPR BARRANQUILLA'!CY125,"AAAAAD/flww=")</f>
        <v>#VALUE!</v>
      </c>
      <c r="N106" t="e">
        <f>AND('SPR BARRANQUILLA'!CZ125,"AAAAAD/flw0=")</f>
        <v>#VALUE!</v>
      </c>
      <c r="O106" t="e">
        <f>AND('SPR BARRANQUILLA'!DA125,"AAAAAD/flw4=")</f>
        <v>#VALUE!</v>
      </c>
      <c r="P106" t="e">
        <f>AND('SPR BARRANQUILLA'!DB125,"AAAAAD/flw8=")</f>
        <v>#VALUE!</v>
      </c>
      <c r="Q106" t="e">
        <f>AND('SPR BARRANQUILLA'!DC125,"AAAAAD/flxA=")</f>
        <v>#VALUE!</v>
      </c>
      <c r="R106" t="e">
        <f>AND('SPR BARRANQUILLA'!DD125,"AAAAAD/flxE=")</f>
        <v>#VALUE!</v>
      </c>
      <c r="S106" t="e">
        <f>AND('SPR BARRANQUILLA'!DE125,"AAAAAD/flxI=")</f>
        <v>#VALUE!</v>
      </c>
      <c r="T106" t="e">
        <f>AND('SPR BARRANQUILLA'!DF125,"AAAAAD/flxM=")</f>
        <v>#VALUE!</v>
      </c>
      <c r="U106" t="e">
        <f>AND('SPR BARRANQUILLA'!DG125,"AAAAAD/flxQ=")</f>
        <v>#VALUE!</v>
      </c>
      <c r="V106" t="e">
        <f>AND('SPR BARRANQUILLA'!DH125,"AAAAAD/flxU=")</f>
        <v>#VALUE!</v>
      </c>
      <c r="W106" t="e">
        <f>AND('SPR BARRANQUILLA'!DI125,"AAAAAD/flxY=")</f>
        <v>#VALUE!</v>
      </c>
      <c r="X106" t="e">
        <f>AND('SPR BARRANQUILLA'!DJ125,"AAAAAD/flxc=")</f>
        <v>#VALUE!</v>
      </c>
      <c r="Y106" t="e">
        <f>AND('SPR BARRANQUILLA'!DK125,"AAAAAD/flxg=")</f>
        <v>#VALUE!</v>
      </c>
      <c r="Z106" t="e">
        <f>AND('SPR BARRANQUILLA'!DL125,"AAAAAD/flxk=")</f>
        <v>#VALUE!</v>
      </c>
      <c r="AA106" t="e">
        <f>AND('SPR BARRANQUILLA'!DM125,"AAAAAD/flxo=")</f>
        <v>#VALUE!</v>
      </c>
      <c r="AB106" t="e">
        <f>AND('SPR BARRANQUILLA'!DN125,"AAAAAD/flxs=")</f>
        <v>#VALUE!</v>
      </c>
      <c r="AC106" t="e">
        <f>AND('SPR BARRANQUILLA'!DO125,"AAAAAD/flxw=")</f>
        <v>#VALUE!</v>
      </c>
      <c r="AD106" t="e">
        <f>AND('SPR BARRANQUILLA'!DP125,"AAAAAD/flx0=")</f>
        <v>#VALUE!</v>
      </c>
      <c r="AE106" t="e">
        <f>AND('SPR BARRANQUILLA'!DQ125,"AAAAAD/flx4=")</f>
        <v>#VALUE!</v>
      </c>
      <c r="AF106" t="e">
        <f>AND('SPR BARRANQUILLA'!DR125,"AAAAAD/flx8=")</f>
        <v>#VALUE!</v>
      </c>
      <c r="AG106" t="e">
        <f>AND('SPR BARRANQUILLA'!DS125,"AAAAAD/flyA=")</f>
        <v>#VALUE!</v>
      </c>
      <c r="AH106" t="e">
        <f>AND('SPR BARRANQUILLA'!DT125,"AAAAAD/flyE=")</f>
        <v>#VALUE!</v>
      </c>
      <c r="AI106" t="e">
        <f>AND('SPR BARRANQUILLA'!DU125,"AAAAAD/flyI=")</f>
        <v>#VALUE!</v>
      </c>
      <c r="AJ106" t="e">
        <f>AND('SPR BARRANQUILLA'!DV125,"AAAAAD/flyM=")</f>
        <v>#VALUE!</v>
      </c>
      <c r="AK106" t="e">
        <f>AND('SPR BARRANQUILLA'!DW125,"AAAAAD/flyQ=")</f>
        <v>#VALUE!</v>
      </c>
      <c r="AL106" t="e">
        <f>AND('SPR BARRANQUILLA'!DX125,"AAAAAD/flyU=")</f>
        <v>#VALUE!</v>
      </c>
      <c r="AM106" t="e">
        <f>AND('SPR BARRANQUILLA'!DY125,"AAAAAD/flyY=")</f>
        <v>#VALUE!</v>
      </c>
      <c r="AN106" t="e">
        <f>AND('SPR BARRANQUILLA'!DZ125,"AAAAAD/flyc=")</f>
        <v>#VALUE!</v>
      </c>
      <c r="AO106" t="e">
        <f>AND('SPR BARRANQUILLA'!EA125,"AAAAAD/flyg=")</f>
        <v>#VALUE!</v>
      </c>
      <c r="AP106" t="e">
        <f>AND('SPR BARRANQUILLA'!EB125,"AAAAAD/flyk=")</f>
        <v>#VALUE!</v>
      </c>
      <c r="AQ106" t="e">
        <f>AND('SPR BARRANQUILLA'!EC125,"AAAAAD/flyo=")</f>
        <v>#VALUE!</v>
      </c>
      <c r="AR106" t="e">
        <f>AND('SPR BARRANQUILLA'!ED125,"AAAAAD/flys=")</f>
        <v>#VALUE!</v>
      </c>
      <c r="AS106" t="e">
        <f>AND('SPR BARRANQUILLA'!EE125,"AAAAAD/flyw=")</f>
        <v>#VALUE!</v>
      </c>
      <c r="AT106" t="e">
        <f>AND('SPR BARRANQUILLA'!EF125,"AAAAAD/fly0=")</f>
        <v>#VALUE!</v>
      </c>
      <c r="AU106" t="e">
        <f>AND('SPR BARRANQUILLA'!EG125,"AAAAAD/fly4=")</f>
        <v>#VALUE!</v>
      </c>
      <c r="AV106" t="e">
        <f>AND('SPR BARRANQUILLA'!EH125,"AAAAAD/fly8=")</f>
        <v>#VALUE!</v>
      </c>
      <c r="AW106" t="e">
        <f>AND('SPR BARRANQUILLA'!EI125,"AAAAAD/flzA=")</f>
        <v>#VALUE!</v>
      </c>
      <c r="AX106" t="e">
        <f>AND('SPR BARRANQUILLA'!EJ125,"AAAAAD/flzE=")</f>
        <v>#VALUE!</v>
      </c>
      <c r="AY106" t="e">
        <f>AND('SPR BARRANQUILLA'!EK125,"AAAAAD/flzI=")</f>
        <v>#VALUE!</v>
      </c>
      <c r="AZ106" t="e">
        <f>AND('SPR BARRANQUILLA'!EL125,"AAAAAD/flzM=")</f>
        <v>#VALUE!</v>
      </c>
      <c r="BA106" t="e">
        <f>AND('SPR BARRANQUILLA'!EM125,"AAAAAD/flzQ=")</f>
        <v>#VALUE!</v>
      </c>
      <c r="BB106" t="e">
        <f>AND('SPR BARRANQUILLA'!EN125,"AAAAAD/flzU=")</f>
        <v>#VALUE!</v>
      </c>
      <c r="BC106" t="e">
        <f>AND('SPR BARRANQUILLA'!EO125,"AAAAAD/flzY=")</f>
        <v>#VALUE!</v>
      </c>
      <c r="BD106" t="e">
        <f>AND('SPR BARRANQUILLA'!EP125,"AAAAAD/flzc=")</f>
        <v>#VALUE!</v>
      </c>
      <c r="BE106" t="e">
        <f>AND('SPR BARRANQUILLA'!EQ125,"AAAAAD/flzg=")</f>
        <v>#VALUE!</v>
      </c>
      <c r="BF106" t="e">
        <f>AND('SPR BARRANQUILLA'!ER125,"AAAAAD/flzk=")</f>
        <v>#VALUE!</v>
      </c>
      <c r="BG106" t="e">
        <f>AND('SPR BARRANQUILLA'!ES125,"AAAAAD/flzo=")</f>
        <v>#VALUE!</v>
      </c>
      <c r="BH106" t="e">
        <f>AND('SPR BARRANQUILLA'!ET125,"AAAAAD/flzs=")</f>
        <v>#VALUE!</v>
      </c>
      <c r="BI106" t="e">
        <f>AND('SPR BARRANQUILLA'!EU125,"AAAAAD/flzw=")</f>
        <v>#VALUE!</v>
      </c>
      <c r="BJ106" t="e">
        <f>AND('SPR BARRANQUILLA'!EV125,"AAAAAD/flz0=")</f>
        <v>#VALUE!</v>
      </c>
      <c r="BK106" t="e">
        <f>AND('SPR BARRANQUILLA'!EW125,"AAAAAD/flz4=")</f>
        <v>#VALUE!</v>
      </c>
      <c r="BL106" t="e">
        <f>AND('SPR BARRANQUILLA'!EX125,"AAAAAD/flz8=")</f>
        <v>#VALUE!</v>
      </c>
      <c r="BM106" t="e">
        <f>AND('SPR BARRANQUILLA'!EY125,"AAAAAD/fl0A=")</f>
        <v>#VALUE!</v>
      </c>
      <c r="BN106" t="e">
        <f>AND('SPR BARRANQUILLA'!EZ125,"AAAAAD/fl0E=")</f>
        <v>#VALUE!</v>
      </c>
      <c r="BO106" t="e">
        <f>AND('SPR BARRANQUILLA'!FA125,"AAAAAD/fl0I=")</f>
        <v>#VALUE!</v>
      </c>
      <c r="BP106" t="e">
        <f>AND('SPR BARRANQUILLA'!FB125,"AAAAAD/fl0M=")</f>
        <v>#VALUE!</v>
      </c>
      <c r="BQ106" t="e">
        <f>AND('SPR BARRANQUILLA'!FC125,"AAAAAD/fl0Q=")</f>
        <v>#VALUE!</v>
      </c>
      <c r="BR106" t="e">
        <f>AND('SPR BARRANQUILLA'!FD125,"AAAAAD/fl0U=")</f>
        <v>#VALUE!</v>
      </c>
      <c r="BS106" t="e">
        <f>AND('SPR BARRANQUILLA'!FE125,"AAAAAD/fl0Y=")</f>
        <v>#VALUE!</v>
      </c>
      <c r="BT106" t="e">
        <f>AND('SPR BARRANQUILLA'!FF125,"AAAAAD/fl0c=")</f>
        <v>#VALUE!</v>
      </c>
      <c r="BU106" t="e">
        <f>AND('SPR BARRANQUILLA'!FG125,"AAAAAD/fl0g=")</f>
        <v>#VALUE!</v>
      </c>
      <c r="BV106" t="e">
        <f>AND('SPR BARRANQUILLA'!FH125,"AAAAAD/fl0k=")</f>
        <v>#VALUE!</v>
      </c>
      <c r="BW106" t="e">
        <f>AND('SPR BARRANQUILLA'!FI125,"AAAAAD/fl0o=")</f>
        <v>#VALUE!</v>
      </c>
      <c r="BX106" t="e">
        <f>AND('SPR BARRANQUILLA'!FJ125,"AAAAAD/fl0s=")</f>
        <v>#VALUE!</v>
      </c>
      <c r="BY106" t="e">
        <f>AND('SPR BARRANQUILLA'!FK125,"AAAAAD/fl0w=")</f>
        <v>#VALUE!</v>
      </c>
      <c r="BZ106" t="e">
        <f>AND('SPR BARRANQUILLA'!FL125,"AAAAAD/fl00=")</f>
        <v>#VALUE!</v>
      </c>
      <c r="CA106" t="e">
        <f>AND('SPR BARRANQUILLA'!FM125,"AAAAAD/fl04=")</f>
        <v>#VALUE!</v>
      </c>
      <c r="CB106" t="e">
        <f>AND('SPR BARRANQUILLA'!FN125,"AAAAAD/fl08=")</f>
        <v>#VALUE!</v>
      </c>
      <c r="CC106" t="e">
        <f>AND('SPR BARRANQUILLA'!FO125,"AAAAAD/fl1A=")</f>
        <v>#VALUE!</v>
      </c>
      <c r="CD106" t="e">
        <f>AND('SPR BARRANQUILLA'!FP125,"AAAAAD/fl1E=")</f>
        <v>#VALUE!</v>
      </c>
      <c r="CE106" t="e">
        <f>AND('SPR BARRANQUILLA'!FQ125,"AAAAAD/fl1I=")</f>
        <v>#VALUE!</v>
      </c>
      <c r="CF106" t="e">
        <f>AND('SPR BARRANQUILLA'!FR125,"AAAAAD/fl1M=")</f>
        <v>#VALUE!</v>
      </c>
      <c r="CG106" t="e">
        <f>AND('SPR BARRANQUILLA'!FS125,"AAAAAD/fl1Q=")</f>
        <v>#VALUE!</v>
      </c>
      <c r="CH106" t="e">
        <f>AND('SPR BARRANQUILLA'!FT125,"AAAAAD/fl1U=")</f>
        <v>#VALUE!</v>
      </c>
      <c r="CI106" t="e">
        <f>AND('SPR BARRANQUILLA'!FU125,"AAAAAD/fl1Y=")</f>
        <v>#VALUE!</v>
      </c>
      <c r="CJ106" t="e">
        <f>AND('SPR BARRANQUILLA'!FV125,"AAAAAD/fl1c=")</f>
        <v>#VALUE!</v>
      </c>
      <c r="CK106" t="e">
        <f>AND('SPR BARRANQUILLA'!FW125,"AAAAAD/fl1g=")</f>
        <v>#VALUE!</v>
      </c>
      <c r="CL106" t="e">
        <f>AND('SPR BARRANQUILLA'!FX125,"AAAAAD/fl1k=")</f>
        <v>#VALUE!</v>
      </c>
      <c r="CM106" t="e">
        <f>AND('SPR BARRANQUILLA'!FY125,"AAAAAD/fl1o=")</f>
        <v>#VALUE!</v>
      </c>
      <c r="CN106" t="e">
        <f>AND('SPR BARRANQUILLA'!FZ125,"AAAAAD/fl1s=")</f>
        <v>#VALUE!</v>
      </c>
      <c r="CO106" t="e">
        <f>AND('SPR BARRANQUILLA'!GA125,"AAAAAD/fl1w=")</f>
        <v>#VALUE!</v>
      </c>
      <c r="CP106" t="e">
        <f>AND('SPR BARRANQUILLA'!GB125,"AAAAAD/fl10=")</f>
        <v>#VALUE!</v>
      </c>
      <c r="CQ106" t="e">
        <f>AND('SPR BARRANQUILLA'!GC125,"AAAAAD/fl14=")</f>
        <v>#VALUE!</v>
      </c>
      <c r="CR106" t="e">
        <f>AND('SPR BARRANQUILLA'!GD125,"AAAAAD/fl18=")</f>
        <v>#VALUE!</v>
      </c>
      <c r="CS106" t="e">
        <f>AND('SPR BARRANQUILLA'!GE125,"AAAAAD/fl2A=")</f>
        <v>#VALUE!</v>
      </c>
      <c r="CT106" t="e">
        <f>AND('SPR BARRANQUILLA'!GF125,"AAAAAD/fl2E=")</f>
        <v>#VALUE!</v>
      </c>
      <c r="CU106" t="e">
        <f>AND('SPR BARRANQUILLA'!GG125,"AAAAAD/fl2I=")</f>
        <v>#VALUE!</v>
      </c>
      <c r="CV106" t="e">
        <f>AND('SPR BARRANQUILLA'!GH125,"AAAAAD/fl2M=")</f>
        <v>#VALUE!</v>
      </c>
      <c r="CW106" t="e">
        <f>AND('SPR BARRANQUILLA'!GI125,"AAAAAD/fl2Q=")</f>
        <v>#VALUE!</v>
      </c>
      <c r="CX106" t="e">
        <f>AND('SPR BARRANQUILLA'!GJ125,"AAAAAD/fl2U=")</f>
        <v>#VALUE!</v>
      </c>
      <c r="CY106" t="e">
        <f>AND('SPR BARRANQUILLA'!GK125,"AAAAAD/fl2Y=")</f>
        <v>#VALUE!</v>
      </c>
      <c r="CZ106" t="e">
        <f>AND('SPR BARRANQUILLA'!GL125,"AAAAAD/fl2c=")</f>
        <v>#VALUE!</v>
      </c>
      <c r="DA106" t="e">
        <f>AND('SPR BARRANQUILLA'!GM125,"AAAAAD/fl2g=")</f>
        <v>#VALUE!</v>
      </c>
      <c r="DB106" t="e">
        <f>AND('SPR BARRANQUILLA'!GN125,"AAAAAD/fl2k=")</f>
        <v>#VALUE!</v>
      </c>
      <c r="DC106" t="e">
        <f>AND('SPR BARRANQUILLA'!GO125,"AAAAAD/fl2o=")</f>
        <v>#VALUE!</v>
      </c>
      <c r="DD106" t="e">
        <f>AND('SPR BARRANQUILLA'!GP125,"AAAAAD/fl2s=")</f>
        <v>#VALUE!</v>
      </c>
      <c r="DE106" t="e">
        <f>AND('SPR BARRANQUILLA'!GQ125,"AAAAAD/fl2w=")</f>
        <v>#VALUE!</v>
      </c>
      <c r="DF106" t="e">
        <f>AND('SPR BARRANQUILLA'!GR125,"AAAAAD/fl20=")</f>
        <v>#VALUE!</v>
      </c>
      <c r="DG106" t="e">
        <f>AND('SPR BARRANQUILLA'!GS125,"AAAAAD/fl24=")</f>
        <v>#VALUE!</v>
      </c>
      <c r="DH106" t="e">
        <f>AND('SPR BARRANQUILLA'!GT125,"AAAAAD/fl28=")</f>
        <v>#VALUE!</v>
      </c>
      <c r="DI106" t="e">
        <f>AND('SPR BARRANQUILLA'!GU125,"AAAAAD/fl3A=")</f>
        <v>#VALUE!</v>
      </c>
      <c r="DJ106" t="e">
        <f>AND('SPR BARRANQUILLA'!GV125,"AAAAAD/fl3E=")</f>
        <v>#VALUE!</v>
      </c>
      <c r="DK106" t="e">
        <f>AND('SPR BARRANQUILLA'!GW125,"AAAAAD/fl3I=")</f>
        <v>#VALUE!</v>
      </c>
      <c r="DL106" t="e">
        <f>AND('SPR BARRANQUILLA'!GX125,"AAAAAD/fl3M=")</f>
        <v>#VALUE!</v>
      </c>
      <c r="DM106" t="e">
        <f>AND('SPR BARRANQUILLA'!GY125,"AAAAAD/fl3Q=")</f>
        <v>#VALUE!</v>
      </c>
      <c r="DN106">
        <f>IF('SPR BARRANQUILLA'!126:126,"AAAAAD/fl3U=",0)</f>
        <v>0</v>
      </c>
      <c r="DO106" t="e">
        <f>AND('SPR BARRANQUILLA'!A126,"AAAAAD/fl3Y=")</f>
        <v>#VALUE!</v>
      </c>
      <c r="DP106" t="e">
        <f>AND('SPR BARRANQUILLA'!B126,"AAAAAD/fl3c=")</f>
        <v>#VALUE!</v>
      </c>
      <c r="DQ106" t="e">
        <f>AND('SPR BARRANQUILLA'!C126,"AAAAAD/fl3g=")</f>
        <v>#VALUE!</v>
      </c>
      <c r="DR106" t="e">
        <f>AND('SPR BARRANQUILLA'!D126,"AAAAAD/fl3k=")</f>
        <v>#VALUE!</v>
      </c>
      <c r="DS106" t="e">
        <f>AND('SPR BARRANQUILLA'!E126,"AAAAAD/fl3o=")</f>
        <v>#VALUE!</v>
      </c>
      <c r="DT106" t="e">
        <f>AND('SPR BARRANQUILLA'!F126,"AAAAAD/fl3s=")</f>
        <v>#VALUE!</v>
      </c>
      <c r="DU106" t="e">
        <f>AND('SPR BARRANQUILLA'!G126,"AAAAAD/fl3w=")</f>
        <v>#VALUE!</v>
      </c>
      <c r="DV106" t="e">
        <f>AND('SPR BARRANQUILLA'!H126,"AAAAAD/fl30=")</f>
        <v>#VALUE!</v>
      </c>
      <c r="DW106" t="e">
        <f>AND('SPR BARRANQUILLA'!I126,"AAAAAD/fl34=")</f>
        <v>#VALUE!</v>
      </c>
      <c r="DX106" t="e">
        <f>AND('SPR BARRANQUILLA'!J126,"AAAAAD/fl38=")</f>
        <v>#VALUE!</v>
      </c>
      <c r="DY106" t="e">
        <f>AND('SPR BARRANQUILLA'!K126,"AAAAAD/fl4A=")</f>
        <v>#VALUE!</v>
      </c>
      <c r="DZ106" t="e">
        <f>AND('SPR BARRANQUILLA'!L126,"AAAAAD/fl4E=")</f>
        <v>#VALUE!</v>
      </c>
      <c r="EA106" t="e">
        <f>AND('SPR BARRANQUILLA'!M126,"AAAAAD/fl4I=")</f>
        <v>#VALUE!</v>
      </c>
      <c r="EB106" t="e">
        <f>AND('SPR BARRANQUILLA'!N126,"AAAAAD/fl4M=")</f>
        <v>#VALUE!</v>
      </c>
      <c r="EC106" t="e">
        <f>AND('SPR BARRANQUILLA'!O126,"AAAAAD/fl4Q=")</f>
        <v>#VALUE!</v>
      </c>
      <c r="ED106" t="e">
        <f>AND('SPR BARRANQUILLA'!P126,"AAAAAD/fl4U=")</f>
        <v>#VALUE!</v>
      </c>
      <c r="EE106" t="e">
        <f>AND('SPR BARRANQUILLA'!Q126,"AAAAAD/fl4Y=")</f>
        <v>#VALUE!</v>
      </c>
      <c r="EF106" t="e">
        <f>AND('SPR BARRANQUILLA'!R126,"AAAAAD/fl4c=")</f>
        <v>#VALUE!</v>
      </c>
      <c r="EG106" t="e">
        <f>AND('SPR BARRANQUILLA'!S126,"AAAAAD/fl4g=")</f>
        <v>#VALUE!</v>
      </c>
      <c r="EH106" t="e">
        <f>AND('SPR BARRANQUILLA'!T126,"AAAAAD/fl4k=")</f>
        <v>#VALUE!</v>
      </c>
      <c r="EI106" t="e">
        <f>AND('SPR BARRANQUILLA'!U126,"AAAAAD/fl4o=")</f>
        <v>#VALUE!</v>
      </c>
      <c r="EJ106" t="e">
        <f>AND('SPR BARRANQUILLA'!V126,"AAAAAD/fl4s=")</f>
        <v>#VALUE!</v>
      </c>
      <c r="EK106" t="e">
        <f>AND('SPR BARRANQUILLA'!W126,"AAAAAD/fl4w=")</f>
        <v>#VALUE!</v>
      </c>
      <c r="EL106" t="e">
        <f>AND('SPR BARRANQUILLA'!X126,"AAAAAD/fl40=")</f>
        <v>#VALUE!</v>
      </c>
      <c r="EM106" t="e">
        <f>AND('SPR BARRANQUILLA'!Y126,"AAAAAD/fl44=")</f>
        <v>#VALUE!</v>
      </c>
      <c r="EN106" t="e">
        <f>AND('SPR BARRANQUILLA'!Z126,"AAAAAD/fl48=")</f>
        <v>#VALUE!</v>
      </c>
      <c r="EO106" t="e">
        <f>AND('SPR BARRANQUILLA'!AA126,"AAAAAD/fl5A=")</f>
        <v>#VALUE!</v>
      </c>
      <c r="EP106" t="e">
        <f>AND('SPR BARRANQUILLA'!AB126,"AAAAAD/fl5E=")</f>
        <v>#VALUE!</v>
      </c>
      <c r="EQ106" t="e">
        <f>AND('SPR BARRANQUILLA'!AC126,"AAAAAD/fl5I=")</f>
        <v>#VALUE!</v>
      </c>
      <c r="ER106" t="e">
        <f>AND('SPR BARRANQUILLA'!AD126,"AAAAAD/fl5M=")</f>
        <v>#VALUE!</v>
      </c>
      <c r="ES106" t="e">
        <f>AND('SPR BARRANQUILLA'!AE126,"AAAAAD/fl5Q=")</f>
        <v>#VALUE!</v>
      </c>
      <c r="ET106" t="e">
        <f>AND('SPR BARRANQUILLA'!AF126,"AAAAAD/fl5U=")</f>
        <v>#VALUE!</v>
      </c>
      <c r="EU106" t="e">
        <f>AND('SPR BARRANQUILLA'!AG126,"AAAAAD/fl5Y=")</f>
        <v>#VALUE!</v>
      </c>
      <c r="EV106" t="e">
        <f>AND('SPR BARRANQUILLA'!AH126,"AAAAAD/fl5c=")</f>
        <v>#VALUE!</v>
      </c>
      <c r="EW106" t="e">
        <f>AND('SPR BARRANQUILLA'!AI126,"AAAAAD/fl5g=")</f>
        <v>#VALUE!</v>
      </c>
      <c r="EX106" t="e">
        <f>AND('SPR BARRANQUILLA'!AJ126,"AAAAAD/fl5k=")</f>
        <v>#VALUE!</v>
      </c>
      <c r="EY106" t="e">
        <f>AND('SPR BARRANQUILLA'!AK126,"AAAAAD/fl5o=")</f>
        <v>#VALUE!</v>
      </c>
      <c r="EZ106" t="e">
        <f>AND('SPR BARRANQUILLA'!AL126,"AAAAAD/fl5s=")</f>
        <v>#VALUE!</v>
      </c>
      <c r="FA106" t="e">
        <f>AND('SPR BARRANQUILLA'!AM126,"AAAAAD/fl5w=")</f>
        <v>#VALUE!</v>
      </c>
      <c r="FB106" t="e">
        <f>AND('SPR BARRANQUILLA'!AN126,"AAAAAD/fl50=")</f>
        <v>#VALUE!</v>
      </c>
      <c r="FC106" t="e">
        <f>AND('SPR BARRANQUILLA'!AO126,"AAAAAD/fl54=")</f>
        <v>#VALUE!</v>
      </c>
      <c r="FD106" t="e">
        <f>AND('SPR BARRANQUILLA'!AP126,"AAAAAD/fl58=")</f>
        <v>#VALUE!</v>
      </c>
      <c r="FE106" t="e">
        <f>AND('SPR BARRANQUILLA'!AQ126,"AAAAAD/fl6A=")</f>
        <v>#VALUE!</v>
      </c>
      <c r="FF106" t="e">
        <f>AND('SPR BARRANQUILLA'!AR126,"AAAAAD/fl6E=")</f>
        <v>#VALUE!</v>
      </c>
      <c r="FG106" t="e">
        <f>AND('SPR BARRANQUILLA'!AS126,"AAAAAD/fl6I=")</f>
        <v>#VALUE!</v>
      </c>
      <c r="FH106" t="e">
        <f>AND('SPR BARRANQUILLA'!AT126,"AAAAAD/fl6M=")</f>
        <v>#VALUE!</v>
      </c>
      <c r="FI106" t="e">
        <f>AND('SPR BARRANQUILLA'!AU126,"AAAAAD/fl6Q=")</f>
        <v>#VALUE!</v>
      </c>
      <c r="FJ106" t="e">
        <f>AND('SPR BARRANQUILLA'!AV126,"AAAAAD/fl6U=")</f>
        <v>#VALUE!</v>
      </c>
      <c r="FK106" t="e">
        <f>AND('SPR BARRANQUILLA'!AW126,"AAAAAD/fl6Y=")</f>
        <v>#VALUE!</v>
      </c>
      <c r="FL106" t="e">
        <f>AND('SPR BARRANQUILLA'!AX126,"AAAAAD/fl6c=")</f>
        <v>#VALUE!</v>
      </c>
      <c r="FM106" t="e">
        <f>AND('SPR BARRANQUILLA'!AY126,"AAAAAD/fl6g=")</f>
        <v>#VALUE!</v>
      </c>
      <c r="FN106" t="e">
        <f>AND('SPR BARRANQUILLA'!AZ126,"AAAAAD/fl6k=")</f>
        <v>#VALUE!</v>
      </c>
      <c r="FO106" t="e">
        <f>AND('SPR BARRANQUILLA'!BA126,"AAAAAD/fl6o=")</f>
        <v>#VALUE!</v>
      </c>
      <c r="FP106" t="e">
        <f>AND('SPR BARRANQUILLA'!BB126,"AAAAAD/fl6s=")</f>
        <v>#VALUE!</v>
      </c>
      <c r="FQ106" t="e">
        <f>AND('SPR BARRANQUILLA'!BC126,"AAAAAD/fl6w=")</f>
        <v>#VALUE!</v>
      </c>
      <c r="FR106" t="e">
        <f>AND('SPR BARRANQUILLA'!BD126,"AAAAAD/fl60=")</f>
        <v>#VALUE!</v>
      </c>
      <c r="FS106" t="e">
        <f>AND('SPR BARRANQUILLA'!BE126,"AAAAAD/fl64=")</f>
        <v>#VALUE!</v>
      </c>
      <c r="FT106" t="e">
        <f>AND('SPR BARRANQUILLA'!BF126,"AAAAAD/fl68=")</f>
        <v>#VALUE!</v>
      </c>
      <c r="FU106" t="e">
        <f>AND('SPR BARRANQUILLA'!BG126,"AAAAAD/fl7A=")</f>
        <v>#VALUE!</v>
      </c>
      <c r="FV106" t="e">
        <f>AND('SPR BARRANQUILLA'!BH126,"AAAAAD/fl7E=")</f>
        <v>#VALUE!</v>
      </c>
      <c r="FW106" t="e">
        <f>AND('SPR BARRANQUILLA'!BI126,"AAAAAD/fl7I=")</f>
        <v>#VALUE!</v>
      </c>
      <c r="FX106" t="e">
        <f>AND('SPR BARRANQUILLA'!BJ126,"AAAAAD/fl7M=")</f>
        <v>#VALUE!</v>
      </c>
      <c r="FY106" t="e">
        <f>AND('SPR BARRANQUILLA'!BK126,"AAAAAD/fl7Q=")</f>
        <v>#VALUE!</v>
      </c>
      <c r="FZ106" t="e">
        <f>AND('SPR BARRANQUILLA'!BL126,"AAAAAD/fl7U=")</f>
        <v>#VALUE!</v>
      </c>
      <c r="GA106" t="e">
        <f>AND('SPR BARRANQUILLA'!BM126,"AAAAAD/fl7Y=")</f>
        <v>#VALUE!</v>
      </c>
      <c r="GB106" t="e">
        <f>AND('SPR BARRANQUILLA'!BN126,"AAAAAD/fl7c=")</f>
        <v>#VALUE!</v>
      </c>
      <c r="GC106" t="e">
        <f>AND('SPR BARRANQUILLA'!BO126,"AAAAAD/fl7g=")</f>
        <v>#VALUE!</v>
      </c>
      <c r="GD106" t="e">
        <f>AND('SPR BARRANQUILLA'!BP126,"AAAAAD/fl7k=")</f>
        <v>#VALUE!</v>
      </c>
      <c r="GE106" t="e">
        <f>AND('SPR BARRANQUILLA'!BQ126,"AAAAAD/fl7o=")</f>
        <v>#VALUE!</v>
      </c>
      <c r="GF106" t="e">
        <f>AND('SPR BARRANQUILLA'!BR126,"AAAAAD/fl7s=")</f>
        <v>#VALUE!</v>
      </c>
      <c r="GG106" t="e">
        <f>AND('SPR BARRANQUILLA'!BS126,"AAAAAD/fl7w=")</f>
        <v>#VALUE!</v>
      </c>
      <c r="GH106" t="e">
        <f>AND('SPR BARRANQUILLA'!BT126,"AAAAAD/fl70=")</f>
        <v>#VALUE!</v>
      </c>
      <c r="GI106" t="e">
        <f>AND('SPR BARRANQUILLA'!BU126,"AAAAAD/fl74=")</f>
        <v>#VALUE!</v>
      </c>
      <c r="GJ106" t="e">
        <f>AND('SPR BARRANQUILLA'!BV126,"AAAAAD/fl78=")</f>
        <v>#VALUE!</v>
      </c>
      <c r="GK106" t="e">
        <f>AND('SPR BARRANQUILLA'!BW126,"AAAAAD/fl8A=")</f>
        <v>#VALUE!</v>
      </c>
      <c r="GL106" t="e">
        <f>AND('SPR BARRANQUILLA'!BX126,"AAAAAD/fl8E=")</f>
        <v>#VALUE!</v>
      </c>
      <c r="GM106" t="e">
        <f>AND('SPR BARRANQUILLA'!BY126,"AAAAAD/fl8I=")</f>
        <v>#VALUE!</v>
      </c>
      <c r="GN106" t="e">
        <f>AND('SPR BARRANQUILLA'!BZ126,"AAAAAD/fl8M=")</f>
        <v>#VALUE!</v>
      </c>
      <c r="GO106" t="e">
        <f>AND('SPR BARRANQUILLA'!CA126,"AAAAAD/fl8Q=")</f>
        <v>#VALUE!</v>
      </c>
      <c r="GP106" t="e">
        <f>AND('SPR BARRANQUILLA'!CB126,"AAAAAD/fl8U=")</f>
        <v>#VALUE!</v>
      </c>
      <c r="GQ106" t="e">
        <f>AND('SPR BARRANQUILLA'!CC126,"AAAAAD/fl8Y=")</f>
        <v>#VALUE!</v>
      </c>
      <c r="GR106" t="e">
        <f>AND('SPR BARRANQUILLA'!CD126,"AAAAAD/fl8c=")</f>
        <v>#VALUE!</v>
      </c>
      <c r="GS106" t="e">
        <f>AND('SPR BARRANQUILLA'!CE126,"AAAAAD/fl8g=")</f>
        <v>#VALUE!</v>
      </c>
      <c r="GT106" t="e">
        <f>AND('SPR BARRANQUILLA'!CF126,"AAAAAD/fl8k=")</f>
        <v>#VALUE!</v>
      </c>
      <c r="GU106" t="e">
        <f>AND('SPR BARRANQUILLA'!CG126,"AAAAAD/fl8o=")</f>
        <v>#VALUE!</v>
      </c>
      <c r="GV106" t="e">
        <f>AND('SPR BARRANQUILLA'!CH126,"AAAAAD/fl8s=")</f>
        <v>#VALUE!</v>
      </c>
      <c r="GW106" t="e">
        <f>AND('SPR BARRANQUILLA'!CI126,"AAAAAD/fl8w=")</f>
        <v>#VALUE!</v>
      </c>
      <c r="GX106" t="e">
        <f>AND('SPR BARRANQUILLA'!CJ126,"AAAAAD/fl80=")</f>
        <v>#VALUE!</v>
      </c>
      <c r="GY106" t="e">
        <f>AND('SPR BARRANQUILLA'!CK126,"AAAAAD/fl84=")</f>
        <v>#VALUE!</v>
      </c>
      <c r="GZ106" t="e">
        <f>AND('SPR BARRANQUILLA'!CL126,"AAAAAD/fl88=")</f>
        <v>#VALUE!</v>
      </c>
      <c r="HA106" t="e">
        <f>AND('SPR BARRANQUILLA'!CM126,"AAAAAD/fl9A=")</f>
        <v>#VALUE!</v>
      </c>
      <c r="HB106" t="e">
        <f>AND('SPR BARRANQUILLA'!CN126,"AAAAAD/fl9E=")</f>
        <v>#VALUE!</v>
      </c>
      <c r="HC106" t="e">
        <f>AND('SPR BARRANQUILLA'!CO126,"AAAAAD/fl9I=")</f>
        <v>#VALUE!</v>
      </c>
      <c r="HD106" t="e">
        <f>AND('SPR BARRANQUILLA'!CP126,"AAAAAD/fl9M=")</f>
        <v>#VALUE!</v>
      </c>
      <c r="HE106" t="e">
        <f>AND('SPR BARRANQUILLA'!CQ126,"AAAAAD/fl9Q=")</f>
        <v>#VALUE!</v>
      </c>
      <c r="HF106" t="e">
        <f>AND('SPR BARRANQUILLA'!CR126,"AAAAAD/fl9U=")</f>
        <v>#VALUE!</v>
      </c>
      <c r="HG106" t="e">
        <f>AND('SPR BARRANQUILLA'!CS126,"AAAAAD/fl9Y=")</f>
        <v>#VALUE!</v>
      </c>
      <c r="HH106" t="e">
        <f>AND('SPR BARRANQUILLA'!CT126,"AAAAAD/fl9c=")</f>
        <v>#VALUE!</v>
      </c>
      <c r="HI106" t="e">
        <f>AND('SPR BARRANQUILLA'!CU126,"AAAAAD/fl9g=")</f>
        <v>#VALUE!</v>
      </c>
      <c r="HJ106" t="e">
        <f>AND('SPR BARRANQUILLA'!CV126,"AAAAAD/fl9k=")</f>
        <v>#VALUE!</v>
      </c>
      <c r="HK106" t="e">
        <f>AND('SPR BARRANQUILLA'!CW126,"AAAAAD/fl9o=")</f>
        <v>#VALUE!</v>
      </c>
      <c r="HL106" t="e">
        <f>AND('SPR BARRANQUILLA'!CX126,"AAAAAD/fl9s=")</f>
        <v>#VALUE!</v>
      </c>
      <c r="HM106" t="e">
        <f>AND('SPR BARRANQUILLA'!CY126,"AAAAAD/fl9w=")</f>
        <v>#VALUE!</v>
      </c>
      <c r="HN106" t="e">
        <f>AND('SPR BARRANQUILLA'!CZ126,"AAAAAD/fl90=")</f>
        <v>#VALUE!</v>
      </c>
      <c r="HO106" t="e">
        <f>AND('SPR BARRANQUILLA'!DA126,"AAAAAD/fl94=")</f>
        <v>#VALUE!</v>
      </c>
      <c r="HP106" t="e">
        <f>AND('SPR BARRANQUILLA'!DB126,"AAAAAD/fl98=")</f>
        <v>#VALUE!</v>
      </c>
      <c r="HQ106" t="e">
        <f>AND('SPR BARRANQUILLA'!DC126,"AAAAAD/fl+A=")</f>
        <v>#VALUE!</v>
      </c>
      <c r="HR106" t="e">
        <f>AND('SPR BARRANQUILLA'!DD126,"AAAAAD/fl+E=")</f>
        <v>#VALUE!</v>
      </c>
      <c r="HS106" t="e">
        <f>AND('SPR BARRANQUILLA'!DE126,"AAAAAD/fl+I=")</f>
        <v>#VALUE!</v>
      </c>
      <c r="HT106" t="e">
        <f>AND('SPR BARRANQUILLA'!DF126,"AAAAAD/fl+M=")</f>
        <v>#VALUE!</v>
      </c>
      <c r="HU106" t="e">
        <f>AND('SPR BARRANQUILLA'!DG126,"AAAAAD/fl+Q=")</f>
        <v>#VALUE!</v>
      </c>
      <c r="HV106" t="e">
        <f>AND('SPR BARRANQUILLA'!DH126,"AAAAAD/fl+U=")</f>
        <v>#VALUE!</v>
      </c>
      <c r="HW106" t="e">
        <f>AND('SPR BARRANQUILLA'!DI126,"AAAAAD/fl+Y=")</f>
        <v>#VALUE!</v>
      </c>
      <c r="HX106" t="e">
        <f>AND('SPR BARRANQUILLA'!DJ126,"AAAAAD/fl+c=")</f>
        <v>#VALUE!</v>
      </c>
      <c r="HY106" t="e">
        <f>AND('SPR BARRANQUILLA'!DK126,"AAAAAD/fl+g=")</f>
        <v>#VALUE!</v>
      </c>
      <c r="HZ106" t="e">
        <f>AND('SPR BARRANQUILLA'!DL126,"AAAAAD/fl+k=")</f>
        <v>#VALUE!</v>
      </c>
      <c r="IA106" t="e">
        <f>AND('SPR BARRANQUILLA'!DM126,"AAAAAD/fl+o=")</f>
        <v>#VALUE!</v>
      </c>
      <c r="IB106" t="e">
        <f>AND('SPR BARRANQUILLA'!DN126,"AAAAAD/fl+s=")</f>
        <v>#VALUE!</v>
      </c>
      <c r="IC106" t="e">
        <f>AND('SPR BARRANQUILLA'!DO126,"AAAAAD/fl+w=")</f>
        <v>#VALUE!</v>
      </c>
      <c r="ID106" t="e">
        <f>AND('SPR BARRANQUILLA'!DP126,"AAAAAD/fl+0=")</f>
        <v>#VALUE!</v>
      </c>
      <c r="IE106" t="e">
        <f>AND('SPR BARRANQUILLA'!DQ126,"AAAAAD/fl+4=")</f>
        <v>#VALUE!</v>
      </c>
      <c r="IF106" t="e">
        <f>AND('SPR BARRANQUILLA'!DR126,"AAAAAD/fl+8=")</f>
        <v>#VALUE!</v>
      </c>
      <c r="IG106" t="e">
        <f>AND('SPR BARRANQUILLA'!DS126,"AAAAAD/fl/A=")</f>
        <v>#VALUE!</v>
      </c>
      <c r="IH106" t="e">
        <f>AND('SPR BARRANQUILLA'!DT126,"AAAAAD/fl/E=")</f>
        <v>#VALUE!</v>
      </c>
      <c r="II106" t="e">
        <f>AND('SPR BARRANQUILLA'!DU126,"AAAAAD/fl/I=")</f>
        <v>#VALUE!</v>
      </c>
      <c r="IJ106" t="e">
        <f>AND('SPR BARRANQUILLA'!DV126,"AAAAAD/fl/M=")</f>
        <v>#VALUE!</v>
      </c>
      <c r="IK106" t="e">
        <f>AND('SPR BARRANQUILLA'!DW126,"AAAAAD/fl/Q=")</f>
        <v>#VALUE!</v>
      </c>
      <c r="IL106" t="e">
        <f>AND('SPR BARRANQUILLA'!DX126,"AAAAAD/fl/U=")</f>
        <v>#VALUE!</v>
      </c>
      <c r="IM106" t="e">
        <f>AND('SPR BARRANQUILLA'!DY126,"AAAAAD/fl/Y=")</f>
        <v>#VALUE!</v>
      </c>
      <c r="IN106" t="e">
        <f>AND('SPR BARRANQUILLA'!DZ126,"AAAAAD/fl/c=")</f>
        <v>#VALUE!</v>
      </c>
      <c r="IO106" t="e">
        <f>AND('SPR BARRANQUILLA'!EA126,"AAAAAD/fl/g=")</f>
        <v>#VALUE!</v>
      </c>
      <c r="IP106" t="e">
        <f>AND('SPR BARRANQUILLA'!EB126,"AAAAAD/fl/k=")</f>
        <v>#VALUE!</v>
      </c>
      <c r="IQ106" t="e">
        <f>AND('SPR BARRANQUILLA'!EC126,"AAAAAD/fl/o=")</f>
        <v>#VALUE!</v>
      </c>
      <c r="IR106" t="e">
        <f>AND('SPR BARRANQUILLA'!ED126,"AAAAAD/fl/s=")</f>
        <v>#VALUE!</v>
      </c>
      <c r="IS106" t="e">
        <f>AND('SPR BARRANQUILLA'!EE126,"AAAAAD/fl/w=")</f>
        <v>#VALUE!</v>
      </c>
      <c r="IT106" t="e">
        <f>AND('SPR BARRANQUILLA'!EF126,"AAAAAD/fl/0=")</f>
        <v>#VALUE!</v>
      </c>
      <c r="IU106" t="e">
        <f>AND('SPR BARRANQUILLA'!EG126,"AAAAAD/fl/4=")</f>
        <v>#VALUE!</v>
      </c>
      <c r="IV106" t="e">
        <f>AND('SPR BARRANQUILLA'!EH126,"AAAAAD/fl/8=")</f>
        <v>#VALUE!</v>
      </c>
    </row>
    <row r="107" spans="1:256">
      <c r="A107" t="e">
        <f>AND('SPR BARRANQUILLA'!EI126,"AAAAAFPX/gA=")</f>
        <v>#VALUE!</v>
      </c>
      <c r="B107" t="e">
        <f>AND('SPR BARRANQUILLA'!EJ126,"AAAAAFPX/gE=")</f>
        <v>#VALUE!</v>
      </c>
      <c r="C107" t="e">
        <f>AND('SPR BARRANQUILLA'!EK126,"AAAAAFPX/gI=")</f>
        <v>#VALUE!</v>
      </c>
      <c r="D107" t="e">
        <f>AND('SPR BARRANQUILLA'!EL126,"AAAAAFPX/gM=")</f>
        <v>#VALUE!</v>
      </c>
      <c r="E107" t="e">
        <f>AND('SPR BARRANQUILLA'!EM126,"AAAAAFPX/gQ=")</f>
        <v>#VALUE!</v>
      </c>
      <c r="F107" t="e">
        <f>AND('SPR BARRANQUILLA'!EN126,"AAAAAFPX/gU=")</f>
        <v>#VALUE!</v>
      </c>
      <c r="G107" t="e">
        <f>AND('SPR BARRANQUILLA'!EO126,"AAAAAFPX/gY=")</f>
        <v>#VALUE!</v>
      </c>
      <c r="H107" t="e">
        <f>AND('SPR BARRANQUILLA'!EP126,"AAAAAFPX/gc=")</f>
        <v>#VALUE!</v>
      </c>
      <c r="I107" t="e">
        <f>AND('SPR BARRANQUILLA'!EQ126,"AAAAAFPX/gg=")</f>
        <v>#VALUE!</v>
      </c>
      <c r="J107" t="e">
        <f>AND('SPR BARRANQUILLA'!ER126,"AAAAAFPX/gk=")</f>
        <v>#VALUE!</v>
      </c>
      <c r="K107" t="e">
        <f>AND('SPR BARRANQUILLA'!ES126,"AAAAAFPX/go=")</f>
        <v>#VALUE!</v>
      </c>
      <c r="L107" t="e">
        <f>AND('SPR BARRANQUILLA'!ET126,"AAAAAFPX/gs=")</f>
        <v>#VALUE!</v>
      </c>
      <c r="M107" t="e">
        <f>AND('SPR BARRANQUILLA'!EU126,"AAAAAFPX/gw=")</f>
        <v>#VALUE!</v>
      </c>
      <c r="N107" t="e">
        <f>AND('SPR BARRANQUILLA'!EV126,"AAAAAFPX/g0=")</f>
        <v>#VALUE!</v>
      </c>
      <c r="O107" t="e">
        <f>AND('SPR BARRANQUILLA'!EW126,"AAAAAFPX/g4=")</f>
        <v>#VALUE!</v>
      </c>
      <c r="P107" t="e">
        <f>AND('SPR BARRANQUILLA'!EX126,"AAAAAFPX/g8=")</f>
        <v>#VALUE!</v>
      </c>
      <c r="Q107" t="e">
        <f>AND('SPR BARRANQUILLA'!EY126,"AAAAAFPX/hA=")</f>
        <v>#VALUE!</v>
      </c>
      <c r="R107" t="e">
        <f>AND('SPR BARRANQUILLA'!EZ126,"AAAAAFPX/hE=")</f>
        <v>#VALUE!</v>
      </c>
      <c r="S107" t="e">
        <f>AND('SPR BARRANQUILLA'!FA126,"AAAAAFPX/hI=")</f>
        <v>#VALUE!</v>
      </c>
      <c r="T107" t="e">
        <f>AND('SPR BARRANQUILLA'!FB126,"AAAAAFPX/hM=")</f>
        <v>#VALUE!</v>
      </c>
      <c r="U107" t="e">
        <f>AND('SPR BARRANQUILLA'!FC126,"AAAAAFPX/hQ=")</f>
        <v>#VALUE!</v>
      </c>
      <c r="V107" t="e">
        <f>AND('SPR BARRANQUILLA'!FD126,"AAAAAFPX/hU=")</f>
        <v>#VALUE!</v>
      </c>
      <c r="W107" t="e">
        <f>AND('SPR BARRANQUILLA'!FE126,"AAAAAFPX/hY=")</f>
        <v>#VALUE!</v>
      </c>
      <c r="X107" t="e">
        <f>AND('SPR BARRANQUILLA'!FF126,"AAAAAFPX/hc=")</f>
        <v>#VALUE!</v>
      </c>
      <c r="Y107" t="e">
        <f>AND('SPR BARRANQUILLA'!FG126,"AAAAAFPX/hg=")</f>
        <v>#VALUE!</v>
      </c>
      <c r="Z107" t="e">
        <f>AND('SPR BARRANQUILLA'!FH126,"AAAAAFPX/hk=")</f>
        <v>#VALUE!</v>
      </c>
      <c r="AA107" t="e">
        <f>AND('SPR BARRANQUILLA'!FI126,"AAAAAFPX/ho=")</f>
        <v>#VALUE!</v>
      </c>
      <c r="AB107" t="e">
        <f>AND('SPR BARRANQUILLA'!FJ126,"AAAAAFPX/hs=")</f>
        <v>#VALUE!</v>
      </c>
      <c r="AC107" t="e">
        <f>AND('SPR BARRANQUILLA'!FK126,"AAAAAFPX/hw=")</f>
        <v>#VALUE!</v>
      </c>
      <c r="AD107" t="e">
        <f>AND('SPR BARRANQUILLA'!FL126,"AAAAAFPX/h0=")</f>
        <v>#VALUE!</v>
      </c>
      <c r="AE107" t="e">
        <f>AND('SPR BARRANQUILLA'!FM126,"AAAAAFPX/h4=")</f>
        <v>#VALUE!</v>
      </c>
      <c r="AF107" t="e">
        <f>AND('SPR BARRANQUILLA'!FN126,"AAAAAFPX/h8=")</f>
        <v>#VALUE!</v>
      </c>
      <c r="AG107" t="e">
        <f>AND('SPR BARRANQUILLA'!FO126,"AAAAAFPX/iA=")</f>
        <v>#VALUE!</v>
      </c>
      <c r="AH107" t="e">
        <f>AND('SPR BARRANQUILLA'!FP126,"AAAAAFPX/iE=")</f>
        <v>#VALUE!</v>
      </c>
      <c r="AI107" t="e">
        <f>AND('SPR BARRANQUILLA'!FQ126,"AAAAAFPX/iI=")</f>
        <v>#VALUE!</v>
      </c>
      <c r="AJ107" t="e">
        <f>AND('SPR BARRANQUILLA'!FR126,"AAAAAFPX/iM=")</f>
        <v>#VALUE!</v>
      </c>
      <c r="AK107" t="e">
        <f>AND('SPR BARRANQUILLA'!FS126,"AAAAAFPX/iQ=")</f>
        <v>#VALUE!</v>
      </c>
      <c r="AL107" t="e">
        <f>AND('SPR BARRANQUILLA'!FT126,"AAAAAFPX/iU=")</f>
        <v>#VALUE!</v>
      </c>
      <c r="AM107" t="e">
        <f>AND('SPR BARRANQUILLA'!FU126,"AAAAAFPX/iY=")</f>
        <v>#VALUE!</v>
      </c>
      <c r="AN107" t="e">
        <f>AND('SPR BARRANQUILLA'!FV126,"AAAAAFPX/ic=")</f>
        <v>#VALUE!</v>
      </c>
      <c r="AO107" t="e">
        <f>AND('SPR BARRANQUILLA'!FW126,"AAAAAFPX/ig=")</f>
        <v>#VALUE!</v>
      </c>
      <c r="AP107" t="e">
        <f>AND('SPR BARRANQUILLA'!FX126,"AAAAAFPX/ik=")</f>
        <v>#VALUE!</v>
      </c>
      <c r="AQ107" t="e">
        <f>AND('SPR BARRANQUILLA'!FY126,"AAAAAFPX/io=")</f>
        <v>#VALUE!</v>
      </c>
      <c r="AR107" t="e">
        <f>AND('SPR BARRANQUILLA'!FZ126,"AAAAAFPX/is=")</f>
        <v>#VALUE!</v>
      </c>
      <c r="AS107" t="e">
        <f>AND('SPR BARRANQUILLA'!GA126,"AAAAAFPX/iw=")</f>
        <v>#VALUE!</v>
      </c>
      <c r="AT107" t="e">
        <f>AND('SPR BARRANQUILLA'!GB126,"AAAAAFPX/i0=")</f>
        <v>#VALUE!</v>
      </c>
      <c r="AU107" t="e">
        <f>AND('SPR BARRANQUILLA'!GC126,"AAAAAFPX/i4=")</f>
        <v>#VALUE!</v>
      </c>
      <c r="AV107" t="e">
        <f>AND('SPR BARRANQUILLA'!GD126,"AAAAAFPX/i8=")</f>
        <v>#VALUE!</v>
      </c>
      <c r="AW107" t="e">
        <f>AND('SPR BARRANQUILLA'!GE126,"AAAAAFPX/jA=")</f>
        <v>#VALUE!</v>
      </c>
      <c r="AX107" t="e">
        <f>AND('SPR BARRANQUILLA'!GF126,"AAAAAFPX/jE=")</f>
        <v>#VALUE!</v>
      </c>
      <c r="AY107" t="e">
        <f>AND('SPR BARRANQUILLA'!GG126,"AAAAAFPX/jI=")</f>
        <v>#VALUE!</v>
      </c>
      <c r="AZ107" t="e">
        <f>AND('SPR BARRANQUILLA'!GH126,"AAAAAFPX/jM=")</f>
        <v>#VALUE!</v>
      </c>
      <c r="BA107" t="e">
        <f>AND('SPR BARRANQUILLA'!GI126,"AAAAAFPX/jQ=")</f>
        <v>#VALUE!</v>
      </c>
      <c r="BB107" t="e">
        <f>AND('SPR BARRANQUILLA'!GJ126,"AAAAAFPX/jU=")</f>
        <v>#VALUE!</v>
      </c>
      <c r="BC107" t="e">
        <f>AND('SPR BARRANQUILLA'!GK126,"AAAAAFPX/jY=")</f>
        <v>#VALUE!</v>
      </c>
      <c r="BD107" t="e">
        <f>AND('SPR BARRANQUILLA'!GL126,"AAAAAFPX/jc=")</f>
        <v>#VALUE!</v>
      </c>
      <c r="BE107" t="e">
        <f>AND('SPR BARRANQUILLA'!GM126,"AAAAAFPX/jg=")</f>
        <v>#VALUE!</v>
      </c>
      <c r="BF107" t="e">
        <f>AND('SPR BARRANQUILLA'!GN126,"AAAAAFPX/jk=")</f>
        <v>#VALUE!</v>
      </c>
      <c r="BG107" t="e">
        <f>AND('SPR BARRANQUILLA'!GO126,"AAAAAFPX/jo=")</f>
        <v>#VALUE!</v>
      </c>
      <c r="BH107" t="e">
        <f>AND('SPR BARRANQUILLA'!GP126,"AAAAAFPX/js=")</f>
        <v>#VALUE!</v>
      </c>
      <c r="BI107" t="e">
        <f>AND('SPR BARRANQUILLA'!GQ126,"AAAAAFPX/jw=")</f>
        <v>#VALUE!</v>
      </c>
      <c r="BJ107" t="e">
        <f>AND('SPR BARRANQUILLA'!GR126,"AAAAAFPX/j0=")</f>
        <v>#VALUE!</v>
      </c>
      <c r="BK107" t="e">
        <f>AND('SPR BARRANQUILLA'!GS126,"AAAAAFPX/j4=")</f>
        <v>#VALUE!</v>
      </c>
      <c r="BL107" t="e">
        <f>AND('SPR BARRANQUILLA'!GT126,"AAAAAFPX/j8=")</f>
        <v>#VALUE!</v>
      </c>
      <c r="BM107" t="e">
        <f>AND('SPR BARRANQUILLA'!GU126,"AAAAAFPX/kA=")</f>
        <v>#VALUE!</v>
      </c>
      <c r="BN107" t="e">
        <f>AND('SPR BARRANQUILLA'!GV126,"AAAAAFPX/kE=")</f>
        <v>#VALUE!</v>
      </c>
      <c r="BO107" t="e">
        <f>AND('SPR BARRANQUILLA'!GW126,"AAAAAFPX/kI=")</f>
        <v>#VALUE!</v>
      </c>
      <c r="BP107" t="e">
        <f>AND('SPR BARRANQUILLA'!GX126,"AAAAAFPX/kM=")</f>
        <v>#VALUE!</v>
      </c>
      <c r="BQ107" t="e">
        <f>AND('SPR BARRANQUILLA'!GY126,"AAAAAFPX/kQ=")</f>
        <v>#VALUE!</v>
      </c>
      <c r="BR107">
        <f>IF('SPR BARRANQUILLA'!127:127,"AAAAAFPX/kU=",0)</f>
        <v>0</v>
      </c>
      <c r="BS107" t="e">
        <f>AND('SPR BARRANQUILLA'!A127,"AAAAAFPX/kY=")</f>
        <v>#VALUE!</v>
      </c>
      <c r="BT107" t="e">
        <f>AND('SPR BARRANQUILLA'!B127,"AAAAAFPX/kc=")</f>
        <v>#VALUE!</v>
      </c>
      <c r="BU107" t="e">
        <f>AND('SPR BARRANQUILLA'!C127,"AAAAAFPX/kg=")</f>
        <v>#VALUE!</v>
      </c>
      <c r="BV107" t="e">
        <f>AND('SPR BARRANQUILLA'!D127,"AAAAAFPX/kk=")</f>
        <v>#VALUE!</v>
      </c>
      <c r="BW107" t="e">
        <f>AND('SPR BARRANQUILLA'!E127,"AAAAAFPX/ko=")</f>
        <v>#VALUE!</v>
      </c>
      <c r="BX107" t="e">
        <f>AND('SPR BARRANQUILLA'!F127,"AAAAAFPX/ks=")</f>
        <v>#VALUE!</v>
      </c>
      <c r="BY107" t="e">
        <f>AND('SPR BARRANQUILLA'!G127,"AAAAAFPX/kw=")</f>
        <v>#VALUE!</v>
      </c>
      <c r="BZ107" t="e">
        <f>AND('SPR BARRANQUILLA'!H127,"AAAAAFPX/k0=")</f>
        <v>#VALUE!</v>
      </c>
      <c r="CA107" t="e">
        <f>AND('SPR BARRANQUILLA'!I127,"AAAAAFPX/k4=")</f>
        <v>#VALUE!</v>
      </c>
      <c r="CB107" t="e">
        <f>AND('SPR BARRANQUILLA'!J127,"AAAAAFPX/k8=")</f>
        <v>#VALUE!</v>
      </c>
      <c r="CC107" t="e">
        <f>AND('SPR BARRANQUILLA'!K127,"AAAAAFPX/lA=")</f>
        <v>#VALUE!</v>
      </c>
      <c r="CD107" t="e">
        <f>AND('SPR BARRANQUILLA'!L127,"AAAAAFPX/lE=")</f>
        <v>#VALUE!</v>
      </c>
      <c r="CE107" t="e">
        <f>AND('SPR BARRANQUILLA'!M127,"AAAAAFPX/lI=")</f>
        <v>#VALUE!</v>
      </c>
      <c r="CF107" t="e">
        <f>AND('SPR BARRANQUILLA'!N127,"AAAAAFPX/lM=")</f>
        <v>#VALUE!</v>
      </c>
      <c r="CG107" t="e">
        <f>AND('SPR BARRANQUILLA'!O127,"AAAAAFPX/lQ=")</f>
        <v>#VALUE!</v>
      </c>
      <c r="CH107" t="e">
        <f>AND('SPR BARRANQUILLA'!P127,"AAAAAFPX/lU=")</f>
        <v>#VALUE!</v>
      </c>
      <c r="CI107" t="e">
        <f>AND('SPR BARRANQUILLA'!Q127,"AAAAAFPX/lY=")</f>
        <v>#VALUE!</v>
      </c>
      <c r="CJ107" t="e">
        <f>AND('SPR BARRANQUILLA'!R127,"AAAAAFPX/lc=")</f>
        <v>#VALUE!</v>
      </c>
      <c r="CK107" t="e">
        <f>AND('SPR BARRANQUILLA'!S127,"AAAAAFPX/lg=")</f>
        <v>#VALUE!</v>
      </c>
      <c r="CL107" t="e">
        <f>AND('SPR BARRANQUILLA'!T127,"AAAAAFPX/lk=")</f>
        <v>#VALUE!</v>
      </c>
      <c r="CM107" t="e">
        <f>AND('SPR BARRANQUILLA'!U127,"AAAAAFPX/lo=")</f>
        <v>#VALUE!</v>
      </c>
      <c r="CN107" t="e">
        <f>AND('SPR BARRANQUILLA'!V127,"AAAAAFPX/ls=")</f>
        <v>#VALUE!</v>
      </c>
      <c r="CO107" t="e">
        <f>AND('SPR BARRANQUILLA'!W127,"AAAAAFPX/lw=")</f>
        <v>#VALUE!</v>
      </c>
      <c r="CP107" t="e">
        <f>AND('SPR BARRANQUILLA'!X127,"AAAAAFPX/l0=")</f>
        <v>#VALUE!</v>
      </c>
      <c r="CQ107" t="e">
        <f>AND('SPR BARRANQUILLA'!Y127,"AAAAAFPX/l4=")</f>
        <v>#VALUE!</v>
      </c>
      <c r="CR107" t="e">
        <f>AND('SPR BARRANQUILLA'!Z127,"AAAAAFPX/l8=")</f>
        <v>#VALUE!</v>
      </c>
      <c r="CS107" t="e">
        <f>AND('SPR BARRANQUILLA'!AA127,"AAAAAFPX/mA=")</f>
        <v>#VALUE!</v>
      </c>
      <c r="CT107" t="e">
        <f>AND('SPR BARRANQUILLA'!AB127,"AAAAAFPX/mE=")</f>
        <v>#VALUE!</v>
      </c>
      <c r="CU107" t="e">
        <f>AND('SPR BARRANQUILLA'!AC127,"AAAAAFPX/mI=")</f>
        <v>#VALUE!</v>
      </c>
      <c r="CV107" t="e">
        <f>AND('SPR BARRANQUILLA'!AD127,"AAAAAFPX/mM=")</f>
        <v>#VALUE!</v>
      </c>
      <c r="CW107" t="e">
        <f>AND('SPR BARRANQUILLA'!AE127,"AAAAAFPX/mQ=")</f>
        <v>#VALUE!</v>
      </c>
      <c r="CX107" t="e">
        <f>AND('SPR BARRANQUILLA'!AF127,"AAAAAFPX/mU=")</f>
        <v>#VALUE!</v>
      </c>
      <c r="CY107" t="e">
        <f>AND('SPR BARRANQUILLA'!AG127,"AAAAAFPX/mY=")</f>
        <v>#VALUE!</v>
      </c>
      <c r="CZ107" t="e">
        <f>AND('SPR BARRANQUILLA'!AH127,"AAAAAFPX/mc=")</f>
        <v>#VALUE!</v>
      </c>
      <c r="DA107" t="e">
        <f>AND('SPR BARRANQUILLA'!AI127,"AAAAAFPX/mg=")</f>
        <v>#VALUE!</v>
      </c>
      <c r="DB107" t="e">
        <f>AND('SPR BARRANQUILLA'!AJ127,"AAAAAFPX/mk=")</f>
        <v>#VALUE!</v>
      </c>
      <c r="DC107" t="e">
        <f>AND('SPR BARRANQUILLA'!AK127,"AAAAAFPX/mo=")</f>
        <v>#VALUE!</v>
      </c>
      <c r="DD107" t="e">
        <f>AND('SPR BARRANQUILLA'!AL127,"AAAAAFPX/ms=")</f>
        <v>#VALUE!</v>
      </c>
      <c r="DE107" t="e">
        <f>AND('SPR BARRANQUILLA'!AM127,"AAAAAFPX/mw=")</f>
        <v>#VALUE!</v>
      </c>
      <c r="DF107" t="e">
        <f>AND('SPR BARRANQUILLA'!AN127,"AAAAAFPX/m0=")</f>
        <v>#VALUE!</v>
      </c>
      <c r="DG107" t="e">
        <f>AND('SPR BARRANQUILLA'!AO127,"AAAAAFPX/m4=")</f>
        <v>#VALUE!</v>
      </c>
      <c r="DH107" t="e">
        <f>AND('SPR BARRANQUILLA'!AP127,"AAAAAFPX/m8=")</f>
        <v>#VALUE!</v>
      </c>
      <c r="DI107" t="e">
        <f>AND('SPR BARRANQUILLA'!AQ127,"AAAAAFPX/nA=")</f>
        <v>#VALUE!</v>
      </c>
      <c r="DJ107" t="e">
        <f>AND('SPR BARRANQUILLA'!AR127,"AAAAAFPX/nE=")</f>
        <v>#VALUE!</v>
      </c>
      <c r="DK107" t="e">
        <f>AND('SPR BARRANQUILLA'!AS127,"AAAAAFPX/nI=")</f>
        <v>#VALUE!</v>
      </c>
      <c r="DL107" t="e">
        <f>AND('SPR BARRANQUILLA'!AT127,"AAAAAFPX/nM=")</f>
        <v>#VALUE!</v>
      </c>
      <c r="DM107" t="e">
        <f>AND('SPR BARRANQUILLA'!AU127,"AAAAAFPX/nQ=")</f>
        <v>#VALUE!</v>
      </c>
      <c r="DN107" t="e">
        <f>AND('SPR BARRANQUILLA'!AV127,"AAAAAFPX/nU=")</f>
        <v>#VALUE!</v>
      </c>
      <c r="DO107" t="e">
        <f>AND('SPR BARRANQUILLA'!AW127,"AAAAAFPX/nY=")</f>
        <v>#VALUE!</v>
      </c>
      <c r="DP107" t="e">
        <f>AND('SPR BARRANQUILLA'!AX127,"AAAAAFPX/nc=")</f>
        <v>#VALUE!</v>
      </c>
      <c r="DQ107" t="e">
        <f>AND('SPR BARRANQUILLA'!AY127,"AAAAAFPX/ng=")</f>
        <v>#VALUE!</v>
      </c>
      <c r="DR107" t="e">
        <f>AND('SPR BARRANQUILLA'!AZ127,"AAAAAFPX/nk=")</f>
        <v>#VALUE!</v>
      </c>
      <c r="DS107" t="e">
        <f>AND('SPR BARRANQUILLA'!BA127,"AAAAAFPX/no=")</f>
        <v>#VALUE!</v>
      </c>
      <c r="DT107" t="e">
        <f>AND('SPR BARRANQUILLA'!BB127,"AAAAAFPX/ns=")</f>
        <v>#VALUE!</v>
      </c>
      <c r="DU107" t="e">
        <f>AND('SPR BARRANQUILLA'!BC127,"AAAAAFPX/nw=")</f>
        <v>#VALUE!</v>
      </c>
      <c r="DV107" t="e">
        <f>AND('SPR BARRANQUILLA'!BD127,"AAAAAFPX/n0=")</f>
        <v>#VALUE!</v>
      </c>
      <c r="DW107" t="e">
        <f>AND('SPR BARRANQUILLA'!BE127,"AAAAAFPX/n4=")</f>
        <v>#VALUE!</v>
      </c>
      <c r="DX107" t="e">
        <f>AND('SPR BARRANQUILLA'!BF127,"AAAAAFPX/n8=")</f>
        <v>#VALUE!</v>
      </c>
      <c r="DY107" t="e">
        <f>AND('SPR BARRANQUILLA'!BG127,"AAAAAFPX/oA=")</f>
        <v>#VALUE!</v>
      </c>
      <c r="DZ107" t="e">
        <f>AND('SPR BARRANQUILLA'!BH127,"AAAAAFPX/oE=")</f>
        <v>#VALUE!</v>
      </c>
      <c r="EA107" t="e">
        <f>AND('SPR BARRANQUILLA'!BI127,"AAAAAFPX/oI=")</f>
        <v>#VALUE!</v>
      </c>
      <c r="EB107" t="e">
        <f>AND('SPR BARRANQUILLA'!BJ127,"AAAAAFPX/oM=")</f>
        <v>#VALUE!</v>
      </c>
      <c r="EC107" t="e">
        <f>AND('SPR BARRANQUILLA'!BK127,"AAAAAFPX/oQ=")</f>
        <v>#VALUE!</v>
      </c>
      <c r="ED107" t="e">
        <f>AND('SPR BARRANQUILLA'!BL127,"AAAAAFPX/oU=")</f>
        <v>#VALUE!</v>
      </c>
      <c r="EE107" t="e">
        <f>AND('SPR BARRANQUILLA'!BM127,"AAAAAFPX/oY=")</f>
        <v>#VALUE!</v>
      </c>
      <c r="EF107" t="e">
        <f>AND('SPR BARRANQUILLA'!BN127,"AAAAAFPX/oc=")</f>
        <v>#VALUE!</v>
      </c>
      <c r="EG107" t="e">
        <f>AND('SPR BARRANQUILLA'!BO127,"AAAAAFPX/og=")</f>
        <v>#VALUE!</v>
      </c>
      <c r="EH107" t="e">
        <f>AND('SPR BARRANQUILLA'!BP127,"AAAAAFPX/ok=")</f>
        <v>#VALUE!</v>
      </c>
      <c r="EI107" t="e">
        <f>AND('SPR BARRANQUILLA'!BQ127,"AAAAAFPX/oo=")</f>
        <v>#VALUE!</v>
      </c>
      <c r="EJ107" t="e">
        <f>AND('SPR BARRANQUILLA'!BR127,"AAAAAFPX/os=")</f>
        <v>#VALUE!</v>
      </c>
      <c r="EK107" t="e">
        <f>AND('SPR BARRANQUILLA'!BS127,"AAAAAFPX/ow=")</f>
        <v>#VALUE!</v>
      </c>
      <c r="EL107" t="e">
        <f>AND('SPR BARRANQUILLA'!BT127,"AAAAAFPX/o0=")</f>
        <v>#VALUE!</v>
      </c>
      <c r="EM107" t="e">
        <f>AND('SPR BARRANQUILLA'!BU127,"AAAAAFPX/o4=")</f>
        <v>#VALUE!</v>
      </c>
      <c r="EN107" t="e">
        <f>AND('SPR BARRANQUILLA'!BV127,"AAAAAFPX/o8=")</f>
        <v>#VALUE!</v>
      </c>
      <c r="EO107" t="e">
        <f>AND('SPR BARRANQUILLA'!BW127,"AAAAAFPX/pA=")</f>
        <v>#VALUE!</v>
      </c>
      <c r="EP107" t="e">
        <f>AND('SPR BARRANQUILLA'!BX127,"AAAAAFPX/pE=")</f>
        <v>#VALUE!</v>
      </c>
      <c r="EQ107" t="e">
        <f>AND('SPR BARRANQUILLA'!BY127,"AAAAAFPX/pI=")</f>
        <v>#VALUE!</v>
      </c>
      <c r="ER107" t="e">
        <f>AND('SPR BARRANQUILLA'!BZ127,"AAAAAFPX/pM=")</f>
        <v>#VALUE!</v>
      </c>
      <c r="ES107" t="e">
        <f>AND('SPR BARRANQUILLA'!CA127,"AAAAAFPX/pQ=")</f>
        <v>#VALUE!</v>
      </c>
      <c r="ET107" t="e">
        <f>AND('SPR BARRANQUILLA'!CB127,"AAAAAFPX/pU=")</f>
        <v>#VALUE!</v>
      </c>
      <c r="EU107" t="e">
        <f>AND('SPR BARRANQUILLA'!CC127,"AAAAAFPX/pY=")</f>
        <v>#VALUE!</v>
      </c>
      <c r="EV107" t="e">
        <f>AND('SPR BARRANQUILLA'!CD127,"AAAAAFPX/pc=")</f>
        <v>#VALUE!</v>
      </c>
      <c r="EW107" t="e">
        <f>AND('SPR BARRANQUILLA'!CE127,"AAAAAFPX/pg=")</f>
        <v>#VALUE!</v>
      </c>
      <c r="EX107" t="e">
        <f>AND('SPR BARRANQUILLA'!CF127,"AAAAAFPX/pk=")</f>
        <v>#VALUE!</v>
      </c>
      <c r="EY107" t="e">
        <f>AND('SPR BARRANQUILLA'!CG127,"AAAAAFPX/po=")</f>
        <v>#VALUE!</v>
      </c>
      <c r="EZ107" t="e">
        <f>AND('SPR BARRANQUILLA'!CH127,"AAAAAFPX/ps=")</f>
        <v>#VALUE!</v>
      </c>
      <c r="FA107" t="e">
        <f>AND('SPR BARRANQUILLA'!CI127,"AAAAAFPX/pw=")</f>
        <v>#VALUE!</v>
      </c>
      <c r="FB107" t="e">
        <f>AND('SPR BARRANQUILLA'!CJ127,"AAAAAFPX/p0=")</f>
        <v>#VALUE!</v>
      </c>
      <c r="FC107" t="e">
        <f>AND('SPR BARRANQUILLA'!CK127,"AAAAAFPX/p4=")</f>
        <v>#VALUE!</v>
      </c>
      <c r="FD107" t="e">
        <f>AND('SPR BARRANQUILLA'!CL127,"AAAAAFPX/p8=")</f>
        <v>#VALUE!</v>
      </c>
      <c r="FE107" t="e">
        <f>AND('SPR BARRANQUILLA'!CM127,"AAAAAFPX/qA=")</f>
        <v>#VALUE!</v>
      </c>
      <c r="FF107" t="e">
        <f>AND('SPR BARRANQUILLA'!CN127,"AAAAAFPX/qE=")</f>
        <v>#VALUE!</v>
      </c>
      <c r="FG107" t="e">
        <f>AND('SPR BARRANQUILLA'!CO127,"AAAAAFPX/qI=")</f>
        <v>#VALUE!</v>
      </c>
      <c r="FH107" t="e">
        <f>AND('SPR BARRANQUILLA'!CP127,"AAAAAFPX/qM=")</f>
        <v>#VALUE!</v>
      </c>
      <c r="FI107" t="e">
        <f>AND('SPR BARRANQUILLA'!CQ127,"AAAAAFPX/qQ=")</f>
        <v>#VALUE!</v>
      </c>
      <c r="FJ107" t="e">
        <f>AND('SPR BARRANQUILLA'!CR127,"AAAAAFPX/qU=")</f>
        <v>#VALUE!</v>
      </c>
      <c r="FK107" t="e">
        <f>AND('SPR BARRANQUILLA'!CS127,"AAAAAFPX/qY=")</f>
        <v>#VALUE!</v>
      </c>
      <c r="FL107" t="e">
        <f>AND('SPR BARRANQUILLA'!CT127,"AAAAAFPX/qc=")</f>
        <v>#VALUE!</v>
      </c>
      <c r="FM107" t="e">
        <f>AND('SPR BARRANQUILLA'!CU127,"AAAAAFPX/qg=")</f>
        <v>#VALUE!</v>
      </c>
      <c r="FN107" t="e">
        <f>AND('SPR BARRANQUILLA'!CV127,"AAAAAFPX/qk=")</f>
        <v>#VALUE!</v>
      </c>
      <c r="FO107" t="e">
        <f>AND('SPR BARRANQUILLA'!CW127,"AAAAAFPX/qo=")</f>
        <v>#VALUE!</v>
      </c>
      <c r="FP107" t="e">
        <f>AND('SPR BARRANQUILLA'!CX127,"AAAAAFPX/qs=")</f>
        <v>#VALUE!</v>
      </c>
      <c r="FQ107" t="e">
        <f>AND('SPR BARRANQUILLA'!CY127,"AAAAAFPX/qw=")</f>
        <v>#VALUE!</v>
      </c>
      <c r="FR107" t="e">
        <f>AND('SPR BARRANQUILLA'!CZ127,"AAAAAFPX/q0=")</f>
        <v>#VALUE!</v>
      </c>
      <c r="FS107" t="e">
        <f>AND('SPR BARRANQUILLA'!DA127,"AAAAAFPX/q4=")</f>
        <v>#VALUE!</v>
      </c>
      <c r="FT107" t="e">
        <f>AND('SPR BARRANQUILLA'!DB127,"AAAAAFPX/q8=")</f>
        <v>#VALUE!</v>
      </c>
      <c r="FU107" t="e">
        <f>AND('SPR BARRANQUILLA'!DC127,"AAAAAFPX/rA=")</f>
        <v>#VALUE!</v>
      </c>
      <c r="FV107" t="e">
        <f>AND('SPR BARRANQUILLA'!DD127,"AAAAAFPX/rE=")</f>
        <v>#VALUE!</v>
      </c>
      <c r="FW107" t="e">
        <f>AND('SPR BARRANQUILLA'!DE127,"AAAAAFPX/rI=")</f>
        <v>#VALUE!</v>
      </c>
      <c r="FX107" t="e">
        <f>AND('SPR BARRANQUILLA'!DF127,"AAAAAFPX/rM=")</f>
        <v>#VALUE!</v>
      </c>
      <c r="FY107" t="e">
        <f>AND('SPR BARRANQUILLA'!DG127,"AAAAAFPX/rQ=")</f>
        <v>#VALUE!</v>
      </c>
      <c r="FZ107" t="e">
        <f>AND('SPR BARRANQUILLA'!DH127,"AAAAAFPX/rU=")</f>
        <v>#VALUE!</v>
      </c>
      <c r="GA107" t="e">
        <f>AND('SPR BARRANQUILLA'!DI127,"AAAAAFPX/rY=")</f>
        <v>#VALUE!</v>
      </c>
      <c r="GB107" t="e">
        <f>AND('SPR BARRANQUILLA'!DJ127,"AAAAAFPX/rc=")</f>
        <v>#VALUE!</v>
      </c>
      <c r="GC107" t="e">
        <f>AND('SPR BARRANQUILLA'!DK127,"AAAAAFPX/rg=")</f>
        <v>#VALUE!</v>
      </c>
      <c r="GD107" t="e">
        <f>AND('SPR BARRANQUILLA'!DL127,"AAAAAFPX/rk=")</f>
        <v>#VALUE!</v>
      </c>
      <c r="GE107" t="e">
        <f>AND('SPR BARRANQUILLA'!DM127,"AAAAAFPX/ro=")</f>
        <v>#VALUE!</v>
      </c>
      <c r="GF107" t="e">
        <f>AND('SPR BARRANQUILLA'!DN127,"AAAAAFPX/rs=")</f>
        <v>#VALUE!</v>
      </c>
      <c r="GG107" t="e">
        <f>AND('SPR BARRANQUILLA'!DO127,"AAAAAFPX/rw=")</f>
        <v>#VALUE!</v>
      </c>
      <c r="GH107" t="e">
        <f>AND('SPR BARRANQUILLA'!DP127,"AAAAAFPX/r0=")</f>
        <v>#VALUE!</v>
      </c>
      <c r="GI107" t="e">
        <f>AND('SPR BARRANQUILLA'!DQ127,"AAAAAFPX/r4=")</f>
        <v>#VALUE!</v>
      </c>
      <c r="GJ107" t="e">
        <f>AND('SPR BARRANQUILLA'!DR127,"AAAAAFPX/r8=")</f>
        <v>#VALUE!</v>
      </c>
      <c r="GK107" t="e">
        <f>AND('SPR BARRANQUILLA'!DS127,"AAAAAFPX/sA=")</f>
        <v>#VALUE!</v>
      </c>
      <c r="GL107" t="e">
        <f>AND('SPR BARRANQUILLA'!DT127,"AAAAAFPX/sE=")</f>
        <v>#VALUE!</v>
      </c>
      <c r="GM107" t="e">
        <f>AND('SPR BARRANQUILLA'!DU127,"AAAAAFPX/sI=")</f>
        <v>#VALUE!</v>
      </c>
      <c r="GN107" t="e">
        <f>AND('SPR BARRANQUILLA'!DV127,"AAAAAFPX/sM=")</f>
        <v>#VALUE!</v>
      </c>
      <c r="GO107" t="e">
        <f>AND('SPR BARRANQUILLA'!DW127,"AAAAAFPX/sQ=")</f>
        <v>#VALUE!</v>
      </c>
      <c r="GP107" t="e">
        <f>AND('SPR BARRANQUILLA'!DX127,"AAAAAFPX/sU=")</f>
        <v>#VALUE!</v>
      </c>
      <c r="GQ107" t="e">
        <f>AND('SPR BARRANQUILLA'!DY127,"AAAAAFPX/sY=")</f>
        <v>#VALUE!</v>
      </c>
      <c r="GR107" t="e">
        <f>AND('SPR BARRANQUILLA'!DZ127,"AAAAAFPX/sc=")</f>
        <v>#VALUE!</v>
      </c>
      <c r="GS107" t="e">
        <f>AND('SPR BARRANQUILLA'!EA127,"AAAAAFPX/sg=")</f>
        <v>#VALUE!</v>
      </c>
      <c r="GT107" t="e">
        <f>AND('SPR BARRANQUILLA'!EB127,"AAAAAFPX/sk=")</f>
        <v>#VALUE!</v>
      </c>
      <c r="GU107" t="e">
        <f>AND('SPR BARRANQUILLA'!EC127,"AAAAAFPX/so=")</f>
        <v>#VALUE!</v>
      </c>
      <c r="GV107" t="e">
        <f>AND('SPR BARRANQUILLA'!ED127,"AAAAAFPX/ss=")</f>
        <v>#VALUE!</v>
      </c>
      <c r="GW107" t="e">
        <f>AND('SPR BARRANQUILLA'!EE127,"AAAAAFPX/sw=")</f>
        <v>#VALUE!</v>
      </c>
      <c r="GX107" t="e">
        <f>AND('SPR BARRANQUILLA'!EF127,"AAAAAFPX/s0=")</f>
        <v>#VALUE!</v>
      </c>
      <c r="GY107" t="e">
        <f>AND('SPR BARRANQUILLA'!EG127,"AAAAAFPX/s4=")</f>
        <v>#VALUE!</v>
      </c>
      <c r="GZ107" t="e">
        <f>AND('SPR BARRANQUILLA'!EH127,"AAAAAFPX/s8=")</f>
        <v>#VALUE!</v>
      </c>
      <c r="HA107" t="e">
        <f>AND('SPR BARRANQUILLA'!EI127,"AAAAAFPX/tA=")</f>
        <v>#VALUE!</v>
      </c>
      <c r="HB107" t="e">
        <f>AND('SPR BARRANQUILLA'!EJ127,"AAAAAFPX/tE=")</f>
        <v>#VALUE!</v>
      </c>
      <c r="HC107" t="e">
        <f>AND('SPR BARRANQUILLA'!EK127,"AAAAAFPX/tI=")</f>
        <v>#VALUE!</v>
      </c>
      <c r="HD107" t="e">
        <f>AND('SPR BARRANQUILLA'!EL127,"AAAAAFPX/tM=")</f>
        <v>#VALUE!</v>
      </c>
      <c r="HE107" t="e">
        <f>AND('SPR BARRANQUILLA'!EM127,"AAAAAFPX/tQ=")</f>
        <v>#VALUE!</v>
      </c>
      <c r="HF107" t="e">
        <f>AND('SPR BARRANQUILLA'!EN127,"AAAAAFPX/tU=")</f>
        <v>#VALUE!</v>
      </c>
      <c r="HG107" t="e">
        <f>AND('SPR BARRANQUILLA'!EO127,"AAAAAFPX/tY=")</f>
        <v>#VALUE!</v>
      </c>
      <c r="HH107" t="e">
        <f>AND('SPR BARRANQUILLA'!EP127,"AAAAAFPX/tc=")</f>
        <v>#VALUE!</v>
      </c>
      <c r="HI107" t="e">
        <f>AND('SPR BARRANQUILLA'!EQ127,"AAAAAFPX/tg=")</f>
        <v>#VALUE!</v>
      </c>
      <c r="HJ107" t="e">
        <f>AND('SPR BARRANQUILLA'!ER127,"AAAAAFPX/tk=")</f>
        <v>#VALUE!</v>
      </c>
      <c r="HK107" t="e">
        <f>AND('SPR BARRANQUILLA'!ES127,"AAAAAFPX/to=")</f>
        <v>#VALUE!</v>
      </c>
      <c r="HL107" t="e">
        <f>AND('SPR BARRANQUILLA'!ET127,"AAAAAFPX/ts=")</f>
        <v>#VALUE!</v>
      </c>
      <c r="HM107" t="e">
        <f>AND('SPR BARRANQUILLA'!EU127,"AAAAAFPX/tw=")</f>
        <v>#VALUE!</v>
      </c>
      <c r="HN107" t="e">
        <f>AND('SPR BARRANQUILLA'!EV127,"AAAAAFPX/t0=")</f>
        <v>#VALUE!</v>
      </c>
      <c r="HO107" t="e">
        <f>AND('SPR BARRANQUILLA'!EW127,"AAAAAFPX/t4=")</f>
        <v>#VALUE!</v>
      </c>
      <c r="HP107" t="e">
        <f>AND('SPR BARRANQUILLA'!EX127,"AAAAAFPX/t8=")</f>
        <v>#VALUE!</v>
      </c>
      <c r="HQ107" t="e">
        <f>AND('SPR BARRANQUILLA'!EY127,"AAAAAFPX/uA=")</f>
        <v>#VALUE!</v>
      </c>
      <c r="HR107" t="e">
        <f>AND('SPR BARRANQUILLA'!EZ127,"AAAAAFPX/uE=")</f>
        <v>#VALUE!</v>
      </c>
      <c r="HS107" t="e">
        <f>AND('SPR BARRANQUILLA'!FA127,"AAAAAFPX/uI=")</f>
        <v>#VALUE!</v>
      </c>
      <c r="HT107" t="e">
        <f>AND('SPR BARRANQUILLA'!FB127,"AAAAAFPX/uM=")</f>
        <v>#VALUE!</v>
      </c>
      <c r="HU107" t="e">
        <f>AND('SPR BARRANQUILLA'!FC127,"AAAAAFPX/uQ=")</f>
        <v>#VALUE!</v>
      </c>
      <c r="HV107" t="e">
        <f>AND('SPR BARRANQUILLA'!FD127,"AAAAAFPX/uU=")</f>
        <v>#VALUE!</v>
      </c>
      <c r="HW107" t="e">
        <f>AND('SPR BARRANQUILLA'!FE127,"AAAAAFPX/uY=")</f>
        <v>#VALUE!</v>
      </c>
      <c r="HX107" t="e">
        <f>AND('SPR BARRANQUILLA'!FF127,"AAAAAFPX/uc=")</f>
        <v>#VALUE!</v>
      </c>
      <c r="HY107" t="e">
        <f>AND('SPR BARRANQUILLA'!FG127,"AAAAAFPX/ug=")</f>
        <v>#VALUE!</v>
      </c>
      <c r="HZ107" t="e">
        <f>AND('SPR BARRANQUILLA'!FH127,"AAAAAFPX/uk=")</f>
        <v>#VALUE!</v>
      </c>
      <c r="IA107" t="e">
        <f>AND('SPR BARRANQUILLA'!FI127,"AAAAAFPX/uo=")</f>
        <v>#VALUE!</v>
      </c>
      <c r="IB107" t="e">
        <f>AND('SPR BARRANQUILLA'!FJ127,"AAAAAFPX/us=")</f>
        <v>#VALUE!</v>
      </c>
      <c r="IC107" t="e">
        <f>AND('SPR BARRANQUILLA'!FK127,"AAAAAFPX/uw=")</f>
        <v>#VALUE!</v>
      </c>
      <c r="ID107" t="e">
        <f>AND('SPR BARRANQUILLA'!FL127,"AAAAAFPX/u0=")</f>
        <v>#VALUE!</v>
      </c>
      <c r="IE107" t="e">
        <f>AND('SPR BARRANQUILLA'!FM127,"AAAAAFPX/u4=")</f>
        <v>#VALUE!</v>
      </c>
      <c r="IF107" t="e">
        <f>AND('SPR BARRANQUILLA'!FN127,"AAAAAFPX/u8=")</f>
        <v>#VALUE!</v>
      </c>
      <c r="IG107" t="e">
        <f>AND('SPR BARRANQUILLA'!FO127,"AAAAAFPX/vA=")</f>
        <v>#VALUE!</v>
      </c>
      <c r="IH107" t="e">
        <f>AND('SPR BARRANQUILLA'!FP127,"AAAAAFPX/vE=")</f>
        <v>#VALUE!</v>
      </c>
      <c r="II107" t="e">
        <f>AND('SPR BARRANQUILLA'!FQ127,"AAAAAFPX/vI=")</f>
        <v>#VALUE!</v>
      </c>
      <c r="IJ107" t="e">
        <f>AND('SPR BARRANQUILLA'!FR127,"AAAAAFPX/vM=")</f>
        <v>#VALUE!</v>
      </c>
      <c r="IK107" t="e">
        <f>AND('SPR BARRANQUILLA'!FS127,"AAAAAFPX/vQ=")</f>
        <v>#VALUE!</v>
      </c>
      <c r="IL107" t="e">
        <f>AND('SPR BARRANQUILLA'!FT127,"AAAAAFPX/vU=")</f>
        <v>#VALUE!</v>
      </c>
      <c r="IM107" t="e">
        <f>AND('SPR BARRANQUILLA'!FU127,"AAAAAFPX/vY=")</f>
        <v>#VALUE!</v>
      </c>
      <c r="IN107" t="e">
        <f>AND('SPR BARRANQUILLA'!FV127,"AAAAAFPX/vc=")</f>
        <v>#VALUE!</v>
      </c>
      <c r="IO107" t="e">
        <f>AND('SPR BARRANQUILLA'!FW127,"AAAAAFPX/vg=")</f>
        <v>#VALUE!</v>
      </c>
      <c r="IP107" t="e">
        <f>AND('SPR BARRANQUILLA'!FX127,"AAAAAFPX/vk=")</f>
        <v>#VALUE!</v>
      </c>
      <c r="IQ107" t="e">
        <f>AND('SPR BARRANQUILLA'!FY127,"AAAAAFPX/vo=")</f>
        <v>#VALUE!</v>
      </c>
      <c r="IR107" t="e">
        <f>AND('SPR BARRANQUILLA'!FZ127,"AAAAAFPX/vs=")</f>
        <v>#VALUE!</v>
      </c>
      <c r="IS107" t="e">
        <f>AND('SPR BARRANQUILLA'!GA127,"AAAAAFPX/vw=")</f>
        <v>#VALUE!</v>
      </c>
      <c r="IT107" t="e">
        <f>AND('SPR BARRANQUILLA'!GB127,"AAAAAFPX/v0=")</f>
        <v>#VALUE!</v>
      </c>
      <c r="IU107" t="e">
        <f>AND('SPR BARRANQUILLA'!GC127,"AAAAAFPX/v4=")</f>
        <v>#VALUE!</v>
      </c>
      <c r="IV107" t="e">
        <f>AND('SPR BARRANQUILLA'!GD127,"AAAAAFPX/v8=")</f>
        <v>#VALUE!</v>
      </c>
    </row>
    <row r="108" spans="1:256">
      <c r="A108" t="e">
        <f>AND('SPR BARRANQUILLA'!GE127,"AAAAAH8+owA=")</f>
        <v>#VALUE!</v>
      </c>
      <c r="B108" t="e">
        <f>AND('SPR BARRANQUILLA'!GF127,"AAAAAH8+owE=")</f>
        <v>#VALUE!</v>
      </c>
      <c r="C108" t="e">
        <f>AND('SPR BARRANQUILLA'!GG127,"AAAAAH8+owI=")</f>
        <v>#VALUE!</v>
      </c>
      <c r="D108" t="e">
        <f>AND('SPR BARRANQUILLA'!GH127,"AAAAAH8+owM=")</f>
        <v>#VALUE!</v>
      </c>
      <c r="E108" t="e">
        <f>AND('SPR BARRANQUILLA'!GI127,"AAAAAH8+owQ=")</f>
        <v>#VALUE!</v>
      </c>
      <c r="F108" t="e">
        <f>AND('SPR BARRANQUILLA'!GJ127,"AAAAAH8+owU=")</f>
        <v>#VALUE!</v>
      </c>
      <c r="G108" t="e">
        <f>AND('SPR BARRANQUILLA'!GK127,"AAAAAH8+owY=")</f>
        <v>#VALUE!</v>
      </c>
      <c r="H108" t="e">
        <f>AND('SPR BARRANQUILLA'!GL127,"AAAAAH8+owc=")</f>
        <v>#VALUE!</v>
      </c>
      <c r="I108" t="e">
        <f>AND('SPR BARRANQUILLA'!GM127,"AAAAAH8+owg=")</f>
        <v>#VALUE!</v>
      </c>
      <c r="J108" t="e">
        <f>AND('SPR BARRANQUILLA'!GN127,"AAAAAH8+owk=")</f>
        <v>#VALUE!</v>
      </c>
      <c r="K108" t="e">
        <f>AND('SPR BARRANQUILLA'!GO127,"AAAAAH8+owo=")</f>
        <v>#VALUE!</v>
      </c>
      <c r="L108" t="e">
        <f>AND('SPR BARRANQUILLA'!GP127,"AAAAAH8+ows=")</f>
        <v>#VALUE!</v>
      </c>
      <c r="M108" t="e">
        <f>AND('SPR BARRANQUILLA'!GQ127,"AAAAAH8+oww=")</f>
        <v>#VALUE!</v>
      </c>
      <c r="N108" t="e">
        <f>AND('SPR BARRANQUILLA'!GR127,"AAAAAH8+ow0=")</f>
        <v>#VALUE!</v>
      </c>
      <c r="O108" t="e">
        <f>AND('SPR BARRANQUILLA'!GS127,"AAAAAH8+ow4=")</f>
        <v>#VALUE!</v>
      </c>
      <c r="P108" t="e">
        <f>AND('SPR BARRANQUILLA'!GT127,"AAAAAH8+ow8=")</f>
        <v>#VALUE!</v>
      </c>
      <c r="Q108" t="e">
        <f>AND('SPR BARRANQUILLA'!GU127,"AAAAAH8+oxA=")</f>
        <v>#VALUE!</v>
      </c>
      <c r="R108" t="e">
        <f>AND('SPR BARRANQUILLA'!GV127,"AAAAAH8+oxE=")</f>
        <v>#VALUE!</v>
      </c>
      <c r="S108" t="e">
        <f>AND('SPR BARRANQUILLA'!GW127,"AAAAAH8+oxI=")</f>
        <v>#VALUE!</v>
      </c>
      <c r="T108" t="e">
        <f>AND('SPR BARRANQUILLA'!GX127,"AAAAAH8+oxM=")</f>
        <v>#VALUE!</v>
      </c>
      <c r="U108" t="e">
        <f>AND('SPR BARRANQUILLA'!GY127,"AAAAAH8+oxQ=")</f>
        <v>#VALUE!</v>
      </c>
      <c r="V108">
        <f>IF('SPR BARRANQUILLA'!128:128,"AAAAAH8+oxU=",0)</f>
        <v>0</v>
      </c>
      <c r="W108" t="e">
        <f>AND('SPR BARRANQUILLA'!A128,"AAAAAH8+oxY=")</f>
        <v>#VALUE!</v>
      </c>
      <c r="X108" t="e">
        <f>AND('SPR BARRANQUILLA'!B128,"AAAAAH8+oxc=")</f>
        <v>#VALUE!</v>
      </c>
      <c r="Y108" t="e">
        <f>AND('SPR BARRANQUILLA'!C128,"AAAAAH8+oxg=")</f>
        <v>#VALUE!</v>
      </c>
      <c r="Z108" t="e">
        <f>AND('SPR BARRANQUILLA'!D128,"AAAAAH8+oxk=")</f>
        <v>#VALUE!</v>
      </c>
      <c r="AA108" t="e">
        <f>AND('SPR BARRANQUILLA'!E128,"AAAAAH8+oxo=")</f>
        <v>#VALUE!</v>
      </c>
      <c r="AB108" t="e">
        <f>AND('SPR BARRANQUILLA'!F128,"AAAAAH8+oxs=")</f>
        <v>#VALUE!</v>
      </c>
      <c r="AC108" t="e">
        <f>AND('SPR BARRANQUILLA'!G128,"AAAAAH8+oxw=")</f>
        <v>#VALUE!</v>
      </c>
      <c r="AD108" t="e">
        <f>AND('SPR BARRANQUILLA'!H128,"AAAAAH8+ox0=")</f>
        <v>#VALUE!</v>
      </c>
      <c r="AE108" t="e">
        <f>AND('SPR BARRANQUILLA'!I128,"AAAAAH8+ox4=")</f>
        <v>#VALUE!</v>
      </c>
      <c r="AF108" t="e">
        <f>AND('SPR BARRANQUILLA'!J128,"AAAAAH8+ox8=")</f>
        <v>#VALUE!</v>
      </c>
      <c r="AG108" t="e">
        <f>AND('SPR BARRANQUILLA'!K128,"AAAAAH8+oyA=")</f>
        <v>#VALUE!</v>
      </c>
      <c r="AH108" t="e">
        <f>AND('SPR BARRANQUILLA'!L128,"AAAAAH8+oyE=")</f>
        <v>#VALUE!</v>
      </c>
      <c r="AI108" t="e">
        <f>AND('SPR BARRANQUILLA'!M128,"AAAAAH8+oyI=")</f>
        <v>#VALUE!</v>
      </c>
      <c r="AJ108" t="e">
        <f>AND('SPR BARRANQUILLA'!N128,"AAAAAH8+oyM=")</f>
        <v>#VALUE!</v>
      </c>
      <c r="AK108" t="e">
        <f>AND('SPR BARRANQUILLA'!O128,"AAAAAH8+oyQ=")</f>
        <v>#VALUE!</v>
      </c>
      <c r="AL108" t="e">
        <f>AND('SPR BARRANQUILLA'!P128,"AAAAAH8+oyU=")</f>
        <v>#VALUE!</v>
      </c>
      <c r="AM108" t="e">
        <f>AND('SPR BARRANQUILLA'!Q128,"AAAAAH8+oyY=")</f>
        <v>#VALUE!</v>
      </c>
      <c r="AN108" t="e">
        <f>AND('SPR BARRANQUILLA'!R128,"AAAAAH8+oyc=")</f>
        <v>#VALUE!</v>
      </c>
      <c r="AO108" t="e">
        <f>AND('SPR BARRANQUILLA'!S128,"AAAAAH8+oyg=")</f>
        <v>#VALUE!</v>
      </c>
      <c r="AP108" t="e">
        <f>AND('SPR BARRANQUILLA'!T128,"AAAAAH8+oyk=")</f>
        <v>#VALUE!</v>
      </c>
      <c r="AQ108" t="e">
        <f>AND('SPR BARRANQUILLA'!U128,"AAAAAH8+oyo=")</f>
        <v>#VALUE!</v>
      </c>
      <c r="AR108" t="e">
        <f>AND('SPR BARRANQUILLA'!V128,"AAAAAH8+oys=")</f>
        <v>#VALUE!</v>
      </c>
      <c r="AS108" t="e">
        <f>AND('SPR BARRANQUILLA'!W128,"AAAAAH8+oyw=")</f>
        <v>#VALUE!</v>
      </c>
      <c r="AT108" t="e">
        <f>AND('SPR BARRANQUILLA'!X128,"AAAAAH8+oy0=")</f>
        <v>#VALUE!</v>
      </c>
      <c r="AU108" t="e">
        <f>AND('SPR BARRANQUILLA'!Y128,"AAAAAH8+oy4=")</f>
        <v>#VALUE!</v>
      </c>
      <c r="AV108" t="e">
        <f>AND('SPR BARRANQUILLA'!Z128,"AAAAAH8+oy8=")</f>
        <v>#VALUE!</v>
      </c>
      <c r="AW108" t="e">
        <f>AND('SPR BARRANQUILLA'!AA128,"AAAAAH8+ozA=")</f>
        <v>#VALUE!</v>
      </c>
      <c r="AX108" t="e">
        <f>AND('SPR BARRANQUILLA'!AB128,"AAAAAH8+ozE=")</f>
        <v>#VALUE!</v>
      </c>
      <c r="AY108" t="e">
        <f>AND('SPR BARRANQUILLA'!AC128,"AAAAAH8+ozI=")</f>
        <v>#VALUE!</v>
      </c>
      <c r="AZ108" t="e">
        <f>AND('SPR BARRANQUILLA'!AD128,"AAAAAH8+ozM=")</f>
        <v>#VALUE!</v>
      </c>
      <c r="BA108" t="e">
        <f>AND('SPR BARRANQUILLA'!AE128,"AAAAAH8+ozQ=")</f>
        <v>#VALUE!</v>
      </c>
      <c r="BB108" t="e">
        <f>AND('SPR BARRANQUILLA'!AF128,"AAAAAH8+ozU=")</f>
        <v>#VALUE!</v>
      </c>
      <c r="BC108" t="e">
        <f>AND('SPR BARRANQUILLA'!AG128,"AAAAAH8+ozY=")</f>
        <v>#VALUE!</v>
      </c>
      <c r="BD108" t="e">
        <f>AND('SPR BARRANQUILLA'!AH128,"AAAAAH8+ozc=")</f>
        <v>#VALUE!</v>
      </c>
      <c r="BE108" t="e">
        <f>AND('SPR BARRANQUILLA'!AI128,"AAAAAH8+ozg=")</f>
        <v>#VALUE!</v>
      </c>
      <c r="BF108" t="e">
        <f>AND('SPR BARRANQUILLA'!AJ128,"AAAAAH8+ozk=")</f>
        <v>#VALUE!</v>
      </c>
      <c r="BG108" t="e">
        <f>AND('SPR BARRANQUILLA'!AK128,"AAAAAH8+ozo=")</f>
        <v>#VALUE!</v>
      </c>
      <c r="BH108" t="e">
        <f>AND('SPR BARRANQUILLA'!AL128,"AAAAAH8+ozs=")</f>
        <v>#VALUE!</v>
      </c>
      <c r="BI108" t="e">
        <f>AND('SPR BARRANQUILLA'!AM128,"AAAAAH8+ozw=")</f>
        <v>#VALUE!</v>
      </c>
      <c r="BJ108" t="e">
        <f>AND('SPR BARRANQUILLA'!AN128,"AAAAAH8+oz0=")</f>
        <v>#VALUE!</v>
      </c>
      <c r="BK108" t="e">
        <f>AND('SPR BARRANQUILLA'!AO128,"AAAAAH8+oz4=")</f>
        <v>#VALUE!</v>
      </c>
      <c r="BL108" t="e">
        <f>AND('SPR BARRANQUILLA'!AP128,"AAAAAH8+oz8=")</f>
        <v>#VALUE!</v>
      </c>
      <c r="BM108" t="e">
        <f>AND('SPR BARRANQUILLA'!AQ128,"AAAAAH8+o0A=")</f>
        <v>#VALUE!</v>
      </c>
      <c r="BN108" t="e">
        <f>AND('SPR BARRANQUILLA'!AR128,"AAAAAH8+o0E=")</f>
        <v>#VALUE!</v>
      </c>
      <c r="BO108" t="e">
        <f>AND('SPR BARRANQUILLA'!AS128,"AAAAAH8+o0I=")</f>
        <v>#VALUE!</v>
      </c>
      <c r="BP108" t="e">
        <f>AND('SPR BARRANQUILLA'!AT128,"AAAAAH8+o0M=")</f>
        <v>#VALUE!</v>
      </c>
      <c r="BQ108" t="e">
        <f>AND('SPR BARRANQUILLA'!AU128,"AAAAAH8+o0Q=")</f>
        <v>#VALUE!</v>
      </c>
      <c r="BR108" t="e">
        <f>AND('SPR BARRANQUILLA'!AV128,"AAAAAH8+o0U=")</f>
        <v>#VALUE!</v>
      </c>
      <c r="BS108" t="e">
        <f>AND('SPR BARRANQUILLA'!AW128,"AAAAAH8+o0Y=")</f>
        <v>#VALUE!</v>
      </c>
      <c r="BT108" t="e">
        <f>AND('SPR BARRANQUILLA'!AX128,"AAAAAH8+o0c=")</f>
        <v>#VALUE!</v>
      </c>
      <c r="BU108" t="e">
        <f>AND('SPR BARRANQUILLA'!AY128,"AAAAAH8+o0g=")</f>
        <v>#VALUE!</v>
      </c>
      <c r="BV108" t="e">
        <f>AND('SPR BARRANQUILLA'!AZ128,"AAAAAH8+o0k=")</f>
        <v>#VALUE!</v>
      </c>
      <c r="BW108" t="e">
        <f>AND('SPR BARRANQUILLA'!BA128,"AAAAAH8+o0o=")</f>
        <v>#VALUE!</v>
      </c>
      <c r="BX108" t="e">
        <f>AND('SPR BARRANQUILLA'!BB128,"AAAAAH8+o0s=")</f>
        <v>#VALUE!</v>
      </c>
      <c r="BY108" t="e">
        <f>AND('SPR BARRANQUILLA'!BC128,"AAAAAH8+o0w=")</f>
        <v>#VALUE!</v>
      </c>
      <c r="BZ108" t="e">
        <f>AND('SPR BARRANQUILLA'!BD128,"AAAAAH8+o00=")</f>
        <v>#VALUE!</v>
      </c>
      <c r="CA108" t="e">
        <f>AND('SPR BARRANQUILLA'!BE128,"AAAAAH8+o04=")</f>
        <v>#VALUE!</v>
      </c>
      <c r="CB108" t="e">
        <f>AND('SPR BARRANQUILLA'!BF128,"AAAAAH8+o08=")</f>
        <v>#VALUE!</v>
      </c>
      <c r="CC108" t="e">
        <f>AND('SPR BARRANQUILLA'!BG128,"AAAAAH8+o1A=")</f>
        <v>#VALUE!</v>
      </c>
      <c r="CD108" t="e">
        <f>AND('SPR BARRANQUILLA'!BH128,"AAAAAH8+o1E=")</f>
        <v>#VALUE!</v>
      </c>
      <c r="CE108" t="e">
        <f>AND('SPR BARRANQUILLA'!BI128,"AAAAAH8+o1I=")</f>
        <v>#VALUE!</v>
      </c>
      <c r="CF108" t="e">
        <f>AND('SPR BARRANQUILLA'!BJ128,"AAAAAH8+o1M=")</f>
        <v>#VALUE!</v>
      </c>
      <c r="CG108" t="e">
        <f>AND('SPR BARRANQUILLA'!BK128,"AAAAAH8+o1Q=")</f>
        <v>#VALUE!</v>
      </c>
      <c r="CH108" t="e">
        <f>AND('SPR BARRANQUILLA'!BL128,"AAAAAH8+o1U=")</f>
        <v>#VALUE!</v>
      </c>
      <c r="CI108" t="e">
        <f>AND('SPR BARRANQUILLA'!BM128,"AAAAAH8+o1Y=")</f>
        <v>#VALUE!</v>
      </c>
      <c r="CJ108" t="e">
        <f>AND('SPR BARRANQUILLA'!BN128,"AAAAAH8+o1c=")</f>
        <v>#VALUE!</v>
      </c>
      <c r="CK108" t="e">
        <f>AND('SPR BARRANQUILLA'!BO128,"AAAAAH8+o1g=")</f>
        <v>#VALUE!</v>
      </c>
      <c r="CL108" t="e">
        <f>AND('SPR BARRANQUILLA'!BP128,"AAAAAH8+o1k=")</f>
        <v>#VALUE!</v>
      </c>
      <c r="CM108" t="e">
        <f>AND('SPR BARRANQUILLA'!BQ128,"AAAAAH8+o1o=")</f>
        <v>#VALUE!</v>
      </c>
      <c r="CN108" t="e">
        <f>AND('SPR BARRANQUILLA'!BR128,"AAAAAH8+o1s=")</f>
        <v>#VALUE!</v>
      </c>
      <c r="CO108" t="e">
        <f>AND('SPR BARRANQUILLA'!BS128,"AAAAAH8+o1w=")</f>
        <v>#VALUE!</v>
      </c>
      <c r="CP108" t="e">
        <f>AND('SPR BARRANQUILLA'!BT128,"AAAAAH8+o10=")</f>
        <v>#VALUE!</v>
      </c>
      <c r="CQ108" t="e">
        <f>AND('SPR BARRANQUILLA'!BU128,"AAAAAH8+o14=")</f>
        <v>#VALUE!</v>
      </c>
      <c r="CR108" t="e">
        <f>AND('SPR BARRANQUILLA'!BV128,"AAAAAH8+o18=")</f>
        <v>#VALUE!</v>
      </c>
      <c r="CS108" t="e">
        <f>AND('SPR BARRANQUILLA'!BW128,"AAAAAH8+o2A=")</f>
        <v>#VALUE!</v>
      </c>
      <c r="CT108" t="e">
        <f>AND('SPR BARRANQUILLA'!BX128,"AAAAAH8+o2E=")</f>
        <v>#VALUE!</v>
      </c>
      <c r="CU108" t="e">
        <f>AND('SPR BARRANQUILLA'!BY128,"AAAAAH8+o2I=")</f>
        <v>#VALUE!</v>
      </c>
      <c r="CV108" t="e">
        <f>AND('SPR BARRANQUILLA'!BZ128,"AAAAAH8+o2M=")</f>
        <v>#VALUE!</v>
      </c>
      <c r="CW108" t="e">
        <f>AND('SPR BARRANQUILLA'!CA128,"AAAAAH8+o2Q=")</f>
        <v>#VALUE!</v>
      </c>
      <c r="CX108" t="e">
        <f>AND('SPR BARRANQUILLA'!CB128,"AAAAAH8+o2U=")</f>
        <v>#VALUE!</v>
      </c>
      <c r="CY108" t="e">
        <f>AND('SPR BARRANQUILLA'!CC128,"AAAAAH8+o2Y=")</f>
        <v>#VALUE!</v>
      </c>
      <c r="CZ108" t="e">
        <f>AND('SPR BARRANQUILLA'!CD128,"AAAAAH8+o2c=")</f>
        <v>#VALUE!</v>
      </c>
      <c r="DA108" t="e">
        <f>AND('SPR BARRANQUILLA'!CE128,"AAAAAH8+o2g=")</f>
        <v>#VALUE!</v>
      </c>
      <c r="DB108" t="e">
        <f>AND('SPR BARRANQUILLA'!CF128,"AAAAAH8+o2k=")</f>
        <v>#VALUE!</v>
      </c>
      <c r="DC108" t="e">
        <f>AND('SPR BARRANQUILLA'!CG128,"AAAAAH8+o2o=")</f>
        <v>#VALUE!</v>
      </c>
      <c r="DD108" t="e">
        <f>AND('SPR BARRANQUILLA'!CH128,"AAAAAH8+o2s=")</f>
        <v>#VALUE!</v>
      </c>
      <c r="DE108" t="e">
        <f>AND('SPR BARRANQUILLA'!CI128,"AAAAAH8+o2w=")</f>
        <v>#VALUE!</v>
      </c>
      <c r="DF108" t="e">
        <f>AND('SPR BARRANQUILLA'!CJ128,"AAAAAH8+o20=")</f>
        <v>#VALUE!</v>
      </c>
      <c r="DG108" t="e">
        <f>AND('SPR BARRANQUILLA'!CK128,"AAAAAH8+o24=")</f>
        <v>#VALUE!</v>
      </c>
      <c r="DH108" t="e">
        <f>AND('SPR BARRANQUILLA'!CL128,"AAAAAH8+o28=")</f>
        <v>#VALUE!</v>
      </c>
      <c r="DI108" t="e">
        <f>AND('SPR BARRANQUILLA'!CM128,"AAAAAH8+o3A=")</f>
        <v>#VALUE!</v>
      </c>
      <c r="DJ108" t="e">
        <f>AND('SPR BARRANQUILLA'!CN128,"AAAAAH8+o3E=")</f>
        <v>#VALUE!</v>
      </c>
      <c r="DK108" t="e">
        <f>AND('SPR BARRANQUILLA'!CO128,"AAAAAH8+o3I=")</f>
        <v>#VALUE!</v>
      </c>
      <c r="DL108" t="e">
        <f>AND('SPR BARRANQUILLA'!CP128,"AAAAAH8+o3M=")</f>
        <v>#VALUE!</v>
      </c>
      <c r="DM108" t="e">
        <f>AND('SPR BARRANQUILLA'!CQ128,"AAAAAH8+o3Q=")</f>
        <v>#VALUE!</v>
      </c>
      <c r="DN108" t="e">
        <f>AND('SPR BARRANQUILLA'!CR128,"AAAAAH8+o3U=")</f>
        <v>#VALUE!</v>
      </c>
      <c r="DO108" t="e">
        <f>AND('SPR BARRANQUILLA'!CS128,"AAAAAH8+o3Y=")</f>
        <v>#VALUE!</v>
      </c>
      <c r="DP108" t="e">
        <f>AND('SPR BARRANQUILLA'!CT128,"AAAAAH8+o3c=")</f>
        <v>#VALUE!</v>
      </c>
      <c r="DQ108" t="e">
        <f>AND('SPR BARRANQUILLA'!CU128,"AAAAAH8+o3g=")</f>
        <v>#VALUE!</v>
      </c>
      <c r="DR108" t="e">
        <f>AND('SPR BARRANQUILLA'!CV128,"AAAAAH8+o3k=")</f>
        <v>#VALUE!</v>
      </c>
      <c r="DS108" t="e">
        <f>AND('SPR BARRANQUILLA'!CW128,"AAAAAH8+o3o=")</f>
        <v>#VALUE!</v>
      </c>
      <c r="DT108" t="e">
        <f>AND('SPR BARRANQUILLA'!CX128,"AAAAAH8+o3s=")</f>
        <v>#VALUE!</v>
      </c>
      <c r="DU108" t="e">
        <f>AND('SPR BARRANQUILLA'!CY128,"AAAAAH8+o3w=")</f>
        <v>#VALUE!</v>
      </c>
      <c r="DV108" t="e">
        <f>AND('SPR BARRANQUILLA'!CZ128,"AAAAAH8+o30=")</f>
        <v>#VALUE!</v>
      </c>
      <c r="DW108" t="e">
        <f>AND('SPR BARRANQUILLA'!DA128,"AAAAAH8+o34=")</f>
        <v>#VALUE!</v>
      </c>
      <c r="DX108" t="e">
        <f>AND('SPR BARRANQUILLA'!DB128,"AAAAAH8+o38=")</f>
        <v>#VALUE!</v>
      </c>
      <c r="DY108" t="e">
        <f>AND('SPR BARRANQUILLA'!DC128,"AAAAAH8+o4A=")</f>
        <v>#VALUE!</v>
      </c>
      <c r="DZ108" t="e">
        <f>AND('SPR BARRANQUILLA'!DD128,"AAAAAH8+o4E=")</f>
        <v>#VALUE!</v>
      </c>
      <c r="EA108" t="e">
        <f>AND('SPR BARRANQUILLA'!DE128,"AAAAAH8+o4I=")</f>
        <v>#VALUE!</v>
      </c>
      <c r="EB108" t="e">
        <f>AND('SPR BARRANQUILLA'!DF128,"AAAAAH8+o4M=")</f>
        <v>#VALUE!</v>
      </c>
      <c r="EC108" t="e">
        <f>AND('SPR BARRANQUILLA'!DG128,"AAAAAH8+o4Q=")</f>
        <v>#VALUE!</v>
      </c>
      <c r="ED108" t="e">
        <f>AND('SPR BARRANQUILLA'!DH128,"AAAAAH8+o4U=")</f>
        <v>#VALUE!</v>
      </c>
      <c r="EE108" t="e">
        <f>AND('SPR BARRANQUILLA'!DI128,"AAAAAH8+o4Y=")</f>
        <v>#VALUE!</v>
      </c>
      <c r="EF108" t="e">
        <f>AND('SPR BARRANQUILLA'!DJ128,"AAAAAH8+o4c=")</f>
        <v>#VALUE!</v>
      </c>
      <c r="EG108" t="e">
        <f>AND('SPR BARRANQUILLA'!DK128,"AAAAAH8+o4g=")</f>
        <v>#VALUE!</v>
      </c>
      <c r="EH108" t="e">
        <f>AND('SPR BARRANQUILLA'!DL128,"AAAAAH8+o4k=")</f>
        <v>#VALUE!</v>
      </c>
      <c r="EI108" t="e">
        <f>AND('SPR BARRANQUILLA'!DM128,"AAAAAH8+o4o=")</f>
        <v>#VALUE!</v>
      </c>
      <c r="EJ108" t="e">
        <f>AND('SPR BARRANQUILLA'!DN128,"AAAAAH8+o4s=")</f>
        <v>#VALUE!</v>
      </c>
      <c r="EK108" t="e">
        <f>AND('SPR BARRANQUILLA'!DO128,"AAAAAH8+o4w=")</f>
        <v>#VALUE!</v>
      </c>
      <c r="EL108" t="e">
        <f>AND('SPR BARRANQUILLA'!DP128,"AAAAAH8+o40=")</f>
        <v>#VALUE!</v>
      </c>
      <c r="EM108" t="e">
        <f>AND('SPR BARRANQUILLA'!DQ128,"AAAAAH8+o44=")</f>
        <v>#VALUE!</v>
      </c>
      <c r="EN108" t="e">
        <f>AND('SPR BARRANQUILLA'!DR128,"AAAAAH8+o48=")</f>
        <v>#VALUE!</v>
      </c>
      <c r="EO108" t="e">
        <f>AND('SPR BARRANQUILLA'!DS128,"AAAAAH8+o5A=")</f>
        <v>#VALUE!</v>
      </c>
      <c r="EP108" t="e">
        <f>AND('SPR BARRANQUILLA'!DT128,"AAAAAH8+o5E=")</f>
        <v>#VALUE!</v>
      </c>
      <c r="EQ108" t="e">
        <f>AND('SPR BARRANQUILLA'!DU128,"AAAAAH8+o5I=")</f>
        <v>#VALUE!</v>
      </c>
      <c r="ER108" t="e">
        <f>AND('SPR BARRANQUILLA'!DV128,"AAAAAH8+o5M=")</f>
        <v>#VALUE!</v>
      </c>
      <c r="ES108" t="e">
        <f>AND('SPR BARRANQUILLA'!DW128,"AAAAAH8+o5Q=")</f>
        <v>#VALUE!</v>
      </c>
      <c r="ET108" t="e">
        <f>AND('SPR BARRANQUILLA'!DX128,"AAAAAH8+o5U=")</f>
        <v>#VALUE!</v>
      </c>
      <c r="EU108" t="e">
        <f>AND('SPR BARRANQUILLA'!DY128,"AAAAAH8+o5Y=")</f>
        <v>#VALUE!</v>
      </c>
      <c r="EV108" t="e">
        <f>AND('SPR BARRANQUILLA'!DZ128,"AAAAAH8+o5c=")</f>
        <v>#VALUE!</v>
      </c>
      <c r="EW108" t="e">
        <f>AND('SPR BARRANQUILLA'!EA128,"AAAAAH8+o5g=")</f>
        <v>#VALUE!</v>
      </c>
      <c r="EX108" t="e">
        <f>AND('SPR BARRANQUILLA'!EB128,"AAAAAH8+o5k=")</f>
        <v>#VALUE!</v>
      </c>
      <c r="EY108" t="e">
        <f>AND('SPR BARRANQUILLA'!EC128,"AAAAAH8+o5o=")</f>
        <v>#VALUE!</v>
      </c>
      <c r="EZ108" t="e">
        <f>AND('SPR BARRANQUILLA'!ED128,"AAAAAH8+o5s=")</f>
        <v>#VALUE!</v>
      </c>
      <c r="FA108" t="e">
        <f>AND('SPR BARRANQUILLA'!EE128,"AAAAAH8+o5w=")</f>
        <v>#VALUE!</v>
      </c>
      <c r="FB108" t="e">
        <f>AND('SPR BARRANQUILLA'!EF128,"AAAAAH8+o50=")</f>
        <v>#VALUE!</v>
      </c>
      <c r="FC108" t="e">
        <f>AND('SPR BARRANQUILLA'!EG128,"AAAAAH8+o54=")</f>
        <v>#VALUE!</v>
      </c>
      <c r="FD108" t="e">
        <f>AND('SPR BARRANQUILLA'!EH128,"AAAAAH8+o58=")</f>
        <v>#VALUE!</v>
      </c>
      <c r="FE108" t="e">
        <f>AND('SPR BARRANQUILLA'!EI128,"AAAAAH8+o6A=")</f>
        <v>#VALUE!</v>
      </c>
      <c r="FF108" t="e">
        <f>AND('SPR BARRANQUILLA'!EJ128,"AAAAAH8+o6E=")</f>
        <v>#VALUE!</v>
      </c>
      <c r="FG108" t="e">
        <f>AND('SPR BARRANQUILLA'!EK128,"AAAAAH8+o6I=")</f>
        <v>#VALUE!</v>
      </c>
      <c r="FH108" t="e">
        <f>AND('SPR BARRANQUILLA'!EL128,"AAAAAH8+o6M=")</f>
        <v>#VALUE!</v>
      </c>
      <c r="FI108" t="e">
        <f>AND('SPR BARRANQUILLA'!EM128,"AAAAAH8+o6Q=")</f>
        <v>#VALUE!</v>
      </c>
      <c r="FJ108" t="e">
        <f>AND('SPR BARRANQUILLA'!EN128,"AAAAAH8+o6U=")</f>
        <v>#VALUE!</v>
      </c>
      <c r="FK108" t="e">
        <f>AND('SPR BARRANQUILLA'!EO128,"AAAAAH8+o6Y=")</f>
        <v>#VALUE!</v>
      </c>
      <c r="FL108" t="e">
        <f>AND('SPR BARRANQUILLA'!EP128,"AAAAAH8+o6c=")</f>
        <v>#VALUE!</v>
      </c>
      <c r="FM108" t="e">
        <f>AND('SPR BARRANQUILLA'!EQ128,"AAAAAH8+o6g=")</f>
        <v>#VALUE!</v>
      </c>
      <c r="FN108" t="e">
        <f>AND('SPR BARRANQUILLA'!ER128,"AAAAAH8+o6k=")</f>
        <v>#VALUE!</v>
      </c>
      <c r="FO108" t="e">
        <f>AND('SPR BARRANQUILLA'!ES128,"AAAAAH8+o6o=")</f>
        <v>#VALUE!</v>
      </c>
      <c r="FP108" t="e">
        <f>AND('SPR BARRANQUILLA'!ET128,"AAAAAH8+o6s=")</f>
        <v>#VALUE!</v>
      </c>
      <c r="FQ108" t="e">
        <f>AND('SPR BARRANQUILLA'!EU128,"AAAAAH8+o6w=")</f>
        <v>#VALUE!</v>
      </c>
      <c r="FR108" t="e">
        <f>AND('SPR BARRANQUILLA'!EV128,"AAAAAH8+o60=")</f>
        <v>#VALUE!</v>
      </c>
      <c r="FS108" t="e">
        <f>AND('SPR BARRANQUILLA'!EW128,"AAAAAH8+o64=")</f>
        <v>#VALUE!</v>
      </c>
      <c r="FT108" t="e">
        <f>AND('SPR BARRANQUILLA'!EX128,"AAAAAH8+o68=")</f>
        <v>#VALUE!</v>
      </c>
      <c r="FU108" t="e">
        <f>AND('SPR BARRANQUILLA'!EY128,"AAAAAH8+o7A=")</f>
        <v>#VALUE!</v>
      </c>
      <c r="FV108" t="e">
        <f>AND('SPR BARRANQUILLA'!EZ128,"AAAAAH8+o7E=")</f>
        <v>#VALUE!</v>
      </c>
      <c r="FW108" t="e">
        <f>AND('SPR BARRANQUILLA'!FA128,"AAAAAH8+o7I=")</f>
        <v>#VALUE!</v>
      </c>
      <c r="FX108" t="e">
        <f>AND('SPR BARRANQUILLA'!FB128,"AAAAAH8+o7M=")</f>
        <v>#VALUE!</v>
      </c>
      <c r="FY108" t="e">
        <f>AND('SPR BARRANQUILLA'!FC128,"AAAAAH8+o7Q=")</f>
        <v>#VALUE!</v>
      </c>
      <c r="FZ108" t="e">
        <f>AND('SPR BARRANQUILLA'!FD128,"AAAAAH8+o7U=")</f>
        <v>#VALUE!</v>
      </c>
      <c r="GA108" t="e">
        <f>AND('SPR BARRANQUILLA'!FE128,"AAAAAH8+o7Y=")</f>
        <v>#VALUE!</v>
      </c>
      <c r="GB108" t="e">
        <f>AND('SPR BARRANQUILLA'!FF128,"AAAAAH8+o7c=")</f>
        <v>#VALUE!</v>
      </c>
      <c r="GC108" t="e">
        <f>AND('SPR BARRANQUILLA'!FG128,"AAAAAH8+o7g=")</f>
        <v>#VALUE!</v>
      </c>
      <c r="GD108" t="e">
        <f>AND('SPR BARRANQUILLA'!FH128,"AAAAAH8+o7k=")</f>
        <v>#VALUE!</v>
      </c>
      <c r="GE108" t="e">
        <f>AND('SPR BARRANQUILLA'!FI128,"AAAAAH8+o7o=")</f>
        <v>#VALUE!</v>
      </c>
      <c r="GF108" t="e">
        <f>AND('SPR BARRANQUILLA'!FJ128,"AAAAAH8+o7s=")</f>
        <v>#VALUE!</v>
      </c>
      <c r="GG108" t="e">
        <f>AND('SPR BARRANQUILLA'!FK128,"AAAAAH8+o7w=")</f>
        <v>#VALUE!</v>
      </c>
      <c r="GH108" t="e">
        <f>AND('SPR BARRANQUILLA'!FL128,"AAAAAH8+o70=")</f>
        <v>#VALUE!</v>
      </c>
      <c r="GI108" t="e">
        <f>AND('SPR BARRANQUILLA'!FM128,"AAAAAH8+o74=")</f>
        <v>#VALUE!</v>
      </c>
      <c r="GJ108" t="e">
        <f>AND('SPR BARRANQUILLA'!FN128,"AAAAAH8+o78=")</f>
        <v>#VALUE!</v>
      </c>
      <c r="GK108" t="e">
        <f>AND('SPR BARRANQUILLA'!FO128,"AAAAAH8+o8A=")</f>
        <v>#VALUE!</v>
      </c>
      <c r="GL108" t="e">
        <f>AND('SPR BARRANQUILLA'!FP128,"AAAAAH8+o8E=")</f>
        <v>#VALUE!</v>
      </c>
      <c r="GM108" t="e">
        <f>AND('SPR BARRANQUILLA'!FQ128,"AAAAAH8+o8I=")</f>
        <v>#VALUE!</v>
      </c>
      <c r="GN108" t="e">
        <f>AND('SPR BARRANQUILLA'!FR128,"AAAAAH8+o8M=")</f>
        <v>#VALUE!</v>
      </c>
      <c r="GO108" t="e">
        <f>AND('SPR BARRANQUILLA'!FS128,"AAAAAH8+o8Q=")</f>
        <v>#VALUE!</v>
      </c>
      <c r="GP108" t="e">
        <f>AND('SPR BARRANQUILLA'!FT128,"AAAAAH8+o8U=")</f>
        <v>#VALUE!</v>
      </c>
      <c r="GQ108" t="e">
        <f>AND('SPR BARRANQUILLA'!FU128,"AAAAAH8+o8Y=")</f>
        <v>#VALUE!</v>
      </c>
      <c r="GR108" t="e">
        <f>AND('SPR BARRANQUILLA'!FV128,"AAAAAH8+o8c=")</f>
        <v>#VALUE!</v>
      </c>
      <c r="GS108" t="e">
        <f>AND('SPR BARRANQUILLA'!FW128,"AAAAAH8+o8g=")</f>
        <v>#VALUE!</v>
      </c>
      <c r="GT108" t="e">
        <f>AND('SPR BARRANQUILLA'!FX128,"AAAAAH8+o8k=")</f>
        <v>#VALUE!</v>
      </c>
      <c r="GU108" t="e">
        <f>AND('SPR BARRANQUILLA'!FY128,"AAAAAH8+o8o=")</f>
        <v>#VALUE!</v>
      </c>
      <c r="GV108" t="e">
        <f>AND('SPR BARRANQUILLA'!FZ128,"AAAAAH8+o8s=")</f>
        <v>#VALUE!</v>
      </c>
      <c r="GW108" t="e">
        <f>AND('SPR BARRANQUILLA'!GA128,"AAAAAH8+o8w=")</f>
        <v>#VALUE!</v>
      </c>
      <c r="GX108" t="e">
        <f>AND('SPR BARRANQUILLA'!GB128,"AAAAAH8+o80=")</f>
        <v>#VALUE!</v>
      </c>
      <c r="GY108" t="e">
        <f>AND('SPR BARRANQUILLA'!GC128,"AAAAAH8+o84=")</f>
        <v>#VALUE!</v>
      </c>
      <c r="GZ108" t="e">
        <f>AND('SPR BARRANQUILLA'!GD128,"AAAAAH8+o88=")</f>
        <v>#VALUE!</v>
      </c>
      <c r="HA108" t="e">
        <f>AND('SPR BARRANQUILLA'!GE128,"AAAAAH8+o9A=")</f>
        <v>#VALUE!</v>
      </c>
      <c r="HB108" t="e">
        <f>AND('SPR BARRANQUILLA'!GF128,"AAAAAH8+o9E=")</f>
        <v>#VALUE!</v>
      </c>
      <c r="HC108" t="e">
        <f>AND('SPR BARRANQUILLA'!GG128,"AAAAAH8+o9I=")</f>
        <v>#VALUE!</v>
      </c>
      <c r="HD108" t="e">
        <f>AND('SPR BARRANQUILLA'!GH128,"AAAAAH8+o9M=")</f>
        <v>#VALUE!</v>
      </c>
      <c r="HE108" t="e">
        <f>AND('SPR BARRANQUILLA'!GI128,"AAAAAH8+o9Q=")</f>
        <v>#VALUE!</v>
      </c>
      <c r="HF108" t="e">
        <f>AND('SPR BARRANQUILLA'!GJ128,"AAAAAH8+o9U=")</f>
        <v>#VALUE!</v>
      </c>
      <c r="HG108" t="e">
        <f>AND('SPR BARRANQUILLA'!GK128,"AAAAAH8+o9Y=")</f>
        <v>#VALUE!</v>
      </c>
      <c r="HH108" t="e">
        <f>AND('SPR BARRANQUILLA'!GL128,"AAAAAH8+o9c=")</f>
        <v>#VALUE!</v>
      </c>
      <c r="HI108" t="e">
        <f>AND('SPR BARRANQUILLA'!GM128,"AAAAAH8+o9g=")</f>
        <v>#VALUE!</v>
      </c>
      <c r="HJ108" t="e">
        <f>AND('SPR BARRANQUILLA'!GN128,"AAAAAH8+o9k=")</f>
        <v>#VALUE!</v>
      </c>
      <c r="HK108" t="e">
        <f>AND('SPR BARRANQUILLA'!GO128,"AAAAAH8+o9o=")</f>
        <v>#VALUE!</v>
      </c>
      <c r="HL108" t="e">
        <f>AND('SPR BARRANQUILLA'!GP128,"AAAAAH8+o9s=")</f>
        <v>#VALUE!</v>
      </c>
      <c r="HM108" t="e">
        <f>AND('SPR BARRANQUILLA'!GQ128,"AAAAAH8+o9w=")</f>
        <v>#VALUE!</v>
      </c>
      <c r="HN108" t="e">
        <f>AND('SPR BARRANQUILLA'!GR128,"AAAAAH8+o90=")</f>
        <v>#VALUE!</v>
      </c>
      <c r="HO108" t="e">
        <f>AND('SPR BARRANQUILLA'!GS128,"AAAAAH8+o94=")</f>
        <v>#VALUE!</v>
      </c>
      <c r="HP108" t="e">
        <f>AND('SPR BARRANQUILLA'!GT128,"AAAAAH8+o98=")</f>
        <v>#VALUE!</v>
      </c>
      <c r="HQ108" t="e">
        <f>AND('SPR BARRANQUILLA'!GU128,"AAAAAH8+o+A=")</f>
        <v>#VALUE!</v>
      </c>
      <c r="HR108" t="e">
        <f>AND('SPR BARRANQUILLA'!GV128,"AAAAAH8+o+E=")</f>
        <v>#VALUE!</v>
      </c>
      <c r="HS108" t="e">
        <f>AND('SPR BARRANQUILLA'!GW128,"AAAAAH8+o+I=")</f>
        <v>#VALUE!</v>
      </c>
      <c r="HT108" t="e">
        <f>AND('SPR BARRANQUILLA'!GX128,"AAAAAH8+o+M=")</f>
        <v>#VALUE!</v>
      </c>
      <c r="HU108" t="e">
        <f>AND('SPR BARRANQUILLA'!GY128,"AAAAAH8+o+Q=")</f>
        <v>#VALUE!</v>
      </c>
      <c r="HV108">
        <f>IF('SPR BARRANQUILLA'!129:129,"AAAAAH8+o+U=",0)</f>
        <v>0</v>
      </c>
      <c r="HW108" t="e">
        <f>AND('SPR BARRANQUILLA'!A129,"AAAAAH8+o+Y=")</f>
        <v>#VALUE!</v>
      </c>
      <c r="HX108" t="e">
        <f>AND('SPR BARRANQUILLA'!B129,"AAAAAH8+o+c=")</f>
        <v>#VALUE!</v>
      </c>
      <c r="HY108" t="e">
        <f>AND('SPR BARRANQUILLA'!C129,"AAAAAH8+o+g=")</f>
        <v>#VALUE!</v>
      </c>
      <c r="HZ108" t="e">
        <f>AND('SPR BARRANQUILLA'!D129,"AAAAAH8+o+k=")</f>
        <v>#VALUE!</v>
      </c>
      <c r="IA108" t="e">
        <f>AND('SPR BARRANQUILLA'!E129,"AAAAAH8+o+o=")</f>
        <v>#VALUE!</v>
      </c>
      <c r="IB108" t="e">
        <f>AND('SPR BARRANQUILLA'!F129,"AAAAAH8+o+s=")</f>
        <v>#VALUE!</v>
      </c>
      <c r="IC108" t="e">
        <f>AND('SPR BARRANQUILLA'!G129,"AAAAAH8+o+w=")</f>
        <v>#VALUE!</v>
      </c>
      <c r="ID108" t="e">
        <f>AND('SPR BARRANQUILLA'!H129,"AAAAAH8+o+0=")</f>
        <v>#VALUE!</v>
      </c>
      <c r="IE108" t="e">
        <f>AND('SPR BARRANQUILLA'!I129,"AAAAAH8+o+4=")</f>
        <v>#VALUE!</v>
      </c>
      <c r="IF108" t="e">
        <f>AND('SPR BARRANQUILLA'!J129,"AAAAAH8+o+8=")</f>
        <v>#VALUE!</v>
      </c>
      <c r="IG108" t="e">
        <f>AND('SPR BARRANQUILLA'!K129,"AAAAAH8+o/A=")</f>
        <v>#VALUE!</v>
      </c>
      <c r="IH108" t="e">
        <f>AND('SPR BARRANQUILLA'!L129,"AAAAAH8+o/E=")</f>
        <v>#VALUE!</v>
      </c>
      <c r="II108" t="e">
        <f>AND('SPR BARRANQUILLA'!M129,"AAAAAH8+o/I=")</f>
        <v>#VALUE!</v>
      </c>
      <c r="IJ108" t="e">
        <f>AND('SPR BARRANQUILLA'!N129,"AAAAAH8+o/M=")</f>
        <v>#VALUE!</v>
      </c>
      <c r="IK108" t="e">
        <f>AND('SPR BARRANQUILLA'!O129,"AAAAAH8+o/Q=")</f>
        <v>#VALUE!</v>
      </c>
      <c r="IL108" t="e">
        <f>AND('SPR BARRANQUILLA'!P129,"AAAAAH8+o/U=")</f>
        <v>#VALUE!</v>
      </c>
      <c r="IM108" t="e">
        <f>AND('SPR BARRANQUILLA'!Q129,"AAAAAH8+o/Y=")</f>
        <v>#VALUE!</v>
      </c>
      <c r="IN108" t="e">
        <f>AND('SPR BARRANQUILLA'!R129,"AAAAAH8+o/c=")</f>
        <v>#VALUE!</v>
      </c>
      <c r="IO108" t="e">
        <f>AND('SPR BARRANQUILLA'!S129,"AAAAAH8+o/g=")</f>
        <v>#VALUE!</v>
      </c>
      <c r="IP108" t="e">
        <f>AND('SPR BARRANQUILLA'!T129,"AAAAAH8+o/k=")</f>
        <v>#VALUE!</v>
      </c>
      <c r="IQ108" t="e">
        <f>AND('SPR BARRANQUILLA'!U129,"AAAAAH8+o/o=")</f>
        <v>#VALUE!</v>
      </c>
      <c r="IR108" t="e">
        <f>AND('SPR BARRANQUILLA'!V129,"AAAAAH8+o/s=")</f>
        <v>#VALUE!</v>
      </c>
      <c r="IS108" t="e">
        <f>AND('SPR BARRANQUILLA'!W129,"AAAAAH8+o/w=")</f>
        <v>#VALUE!</v>
      </c>
      <c r="IT108" t="e">
        <f>AND('SPR BARRANQUILLA'!X129,"AAAAAH8+o/0=")</f>
        <v>#VALUE!</v>
      </c>
      <c r="IU108" t="e">
        <f>AND('SPR BARRANQUILLA'!Y129,"AAAAAH8+o/4=")</f>
        <v>#VALUE!</v>
      </c>
      <c r="IV108" t="e">
        <f>AND('SPR BARRANQUILLA'!Z129,"AAAAAH8+o/8=")</f>
        <v>#VALUE!</v>
      </c>
    </row>
    <row r="109" spans="1:256">
      <c r="A109" t="e">
        <f>AND('SPR BARRANQUILLA'!AA129,"AAAAAHju9wA=")</f>
        <v>#VALUE!</v>
      </c>
      <c r="B109" t="e">
        <f>AND('SPR BARRANQUILLA'!AB129,"AAAAAHju9wE=")</f>
        <v>#VALUE!</v>
      </c>
      <c r="C109" t="e">
        <f>AND('SPR BARRANQUILLA'!AC129,"AAAAAHju9wI=")</f>
        <v>#VALUE!</v>
      </c>
      <c r="D109" t="e">
        <f>AND('SPR BARRANQUILLA'!AD129,"AAAAAHju9wM=")</f>
        <v>#VALUE!</v>
      </c>
      <c r="E109" t="e">
        <f>AND('SPR BARRANQUILLA'!AE129,"AAAAAHju9wQ=")</f>
        <v>#VALUE!</v>
      </c>
      <c r="F109" t="e">
        <f>AND('SPR BARRANQUILLA'!AF129,"AAAAAHju9wU=")</f>
        <v>#VALUE!</v>
      </c>
      <c r="G109" t="e">
        <f>AND('SPR BARRANQUILLA'!AG129,"AAAAAHju9wY=")</f>
        <v>#VALUE!</v>
      </c>
      <c r="H109" t="e">
        <f>AND('SPR BARRANQUILLA'!AH129,"AAAAAHju9wc=")</f>
        <v>#VALUE!</v>
      </c>
      <c r="I109" t="e">
        <f>AND('SPR BARRANQUILLA'!AI129,"AAAAAHju9wg=")</f>
        <v>#VALUE!</v>
      </c>
      <c r="J109" t="e">
        <f>AND('SPR BARRANQUILLA'!AJ129,"AAAAAHju9wk=")</f>
        <v>#VALUE!</v>
      </c>
      <c r="K109" t="e">
        <f>AND('SPR BARRANQUILLA'!AK129,"AAAAAHju9wo=")</f>
        <v>#VALUE!</v>
      </c>
      <c r="L109" t="e">
        <f>AND('SPR BARRANQUILLA'!AL129,"AAAAAHju9ws=")</f>
        <v>#VALUE!</v>
      </c>
      <c r="M109" t="e">
        <f>AND('SPR BARRANQUILLA'!AM129,"AAAAAHju9ww=")</f>
        <v>#VALUE!</v>
      </c>
      <c r="N109" t="e">
        <f>AND('SPR BARRANQUILLA'!AN129,"AAAAAHju9w0=")</f>
        <v>#VALUE!</v>
      </c>
      <c r="O109" t="e">
        <f>AND('SPR BARRANQUILLA'!AO129,"AAAAAHju9w4=")</f>
        <v>#VALUE!</v>
      </c>
      <c r="P109" t="e">
        <f>AND('SPR BARRANQUILLA'!AP129,"AAAAAHju9w8=")</f>
        <v>#VALUE!</v>
      </c>
      <c r="Q109" t="e">
        <f>AND('SPR BARRANQUILLA'!AQ129,"AAAAAHju9xA=")</f>
        <v>#VALUE!</v>
      </c>
      <c r="R109" t="e">
        <f>AND('SPR BARRANQUILLA'!AR129,"AAAAAHju9xE=")</f>
        <v>#VALUE!</v>
      </c>
      <c r="S109" t="e">
        <f>AND('SPR BARRANQUILLA'!AS129,"AAAAAHju9xI=")</f>
        <v>#VALUE!</v>
      </c>
      <c r="T109" t="e">
        <f>AND('SPR BARRANQUILLA'!AT129,"AAAAAHju9xM=")</f>
        <v>#VALUE!</v>
      </c>
      <c r="U109" t="e">
        <f>AND('SPR BARRANQUILLA'!AU129,"AAAAAHju9xQ=")</f>
        <v>#VALUE!</v>
      </c>
      <c r="V109" t="e">
        <f>AND('SPR BARRANQUILLA'!AV129,"AAAAAHju9xU=")</f>
        <v>#VALUE!</v>
      </c>
      <c r="W109" t="e">
        <f>AND('SPR BARRANQUILLA'!AW129,"AAAAAHju9xY=")</f>
        <v>#VALUE!</v>
      </c>
      <c r="X109" t="e">
        <f>AND('SPR BARRANQUILLA'!AX129,"AAAAAHju9xc=")</f>
        <v>#VALUE!</v>
      </c>
      <c r="Y109" t="e">
        <f>AND('SPR BARRANQUILLA'!AY129,"AAAAAHju9xg=")</f>
        <v>#VALUE!</v>
      </c>
      <c r="Z109" t="e">
        <f>AND('SPR BARRANQUILLA'!AZ129,"AAAAAHju9xk=")</f>
        <v>#VALUE!</v>
      </c>
      <c r="AA109" t="e">
        <f>AND('SPR BARRANQUILLA'!BA129,"AAAAAHju9xo=")</f>
        <v>#VALUE!</v>
      </c>
      <c r="AB109" t="e">
        <f>AND('SPR BARRANQUILLA'!BB129,"AAAAAHju9xs=")</f>
        <v>#VALUE!</v>
      </c>
      <c r="AC109" t="e">
        <f>AND('SPR BARRANQUILLA'!BC129,"AAAAAHju9xw=")</f>
        <v>#VALUE!</v>
      </c>
      <c r="AD109" t="e">
        <f>AND('SPR BARRANQUILLA'!BD129,"AAAAAHju9x0=")</f>
        <v>#VALUE!</v>
      </c>
      <c r="AE109" t="e">
        <f>AND('SPR BARRANQUILLA'!BE129,"AAAAAHju9x4=")</f>
        <v>#VALUE!</v>
      </c>
      <c r="AF109" t="e">
        <f>AND('SPR BARRANQUILLA'!BF129,"AAAAAHju9x8=")</f>
        <v>#VALUE!</v>
      </c>
      <c r="AG109" t="e">
        <f>AND('SPR BARRANQUILLA'!BG129,"AAAAAHju9yA=")</f>
        <v>#VALUE!</v>
      </c>
      <c r="AH109" t="e">
        <f>AND('SPR BARRANQUILLA'!BH129,"AAAAAHju9yE=")</f>
        <v>#VALUE!</v>
      </c>
      <c r="AI109" t="e">
        <f>AND('SPR BARRANQUILLA'!BI129,"AAAAAHju9yI=")</f>
        <v>#VALUE!</v>
      </c>
      <c r="AJ109" t="e">
        <f>AND('SPR BARRANQUILLA'!BJ129,"AAAAAHju9yM=")</f>
        <v>#VALUE!</v>
      </c>
      <c r="AK109" t="e">
        <f>AND('SPR BARRANQUILLA'!BK129,"AAAAAHju9yQ=")</f>
        <v>#VALUE!</v>
      </c>
      <c r="AL109" t="e">
        <f>AND('SPR BARRANQUILLA'!BL129,"AAAAAHju9yU=")</f>
        <v>#VALUE!</v>
      </c>
      <c r="AM109" t="e">
        <f>AND('SPR BARRANQUILLA'!BM129,"AAAAAHju9yY=")</f>
        <v>#VALUE!</v>
      </c>
      <c r="AN109" t="e">
        <f>AND('SPR BARRANQUILLA'!BN129,"AAAAAHju9yc=")</f>
        <v>#VALUE!</v>
      </c>
      <c r="AO109" t="e">
        <f>AND('SPR BARRANQUILLA'!BO129,"AAAAAHju9yg=")</f>
        <v>#VALUE!</v>
      </c>
      <c r="AP109" t="e">
        <f>AND('SPR BARRANQUILLA'!BP129,"AAAAAHju9yk=")</f>
        <v>#VALUE!</v>
      </c>
      <c r="AQ109" t="e">
        <f>AND('SPR BARRANQUILLA'!BQ129,"AAAAAHju9yo=")</f>
        <v>#VALUE!</v>
      </c>
      <c r="AR109" t="e">
        <f>AND('SPR BARRANQUILLA'!BR129,"AAAAAHju9ys=")</f>
        <v>#VALUE!</v>
      </c>
      <c r="AS109" t="e">
        <f>AND('SPR BARRANQUILLA'!BS129,"AAAAAHju9yw=")</f>
        <v>#VALUE!</v>
      </c>
      <c r="AT109" t="e">
        <f>AND('SPR BARRANQUILLA'!BT129,"AAAAAHju9y0=")</f>
        <v>#VALUE!</v>
      </c>
      <c r="AU109" t="e">
        <f>AND('SPR BARRANQUILLA'!BU129,"AAAAAHju9y4=")</f>
        <v>#VALUE!</v>
      </c>
      <c r="AV109" t="e">
        <f>AND('SPR BARRANQUILLA'!BV129,"AAAAAHju9y8=")</f>
        <v>#VALUE!</v>
      </c>
      <c r="AW109" t="e">
        <f>AND('SPR BARRANQUILLA'!BW129,"AAAAAHju9zA=")</f>
        <v>#VALUE!</v>
      </c>
      <c r="AX109" t="e">
        <f>AND('SPR BARRANQUILLA'!BX129,"AAAAAHju9zE=")</f>
        <v>#VALUE!</v>
      </c>
      <c r="AY109" t="e">
        <f>AND('SPR BARRANQUILLA'!BY129,"AAAAAHju9zI=")</f>
        <v>#VALUE!</v>
      </c>
      <c r="AZ109" t="e">
        <f>AND('SPR BARRANQUILLA'!BZ129,"AAAAAHju9zM=")</f>
        <v>#VALUE!</v>
      </c>
      <c r="BA109" t="e">
        <f>AND('SPR BARRANQUILLA'!CA129,"AAAAAHju9zQ=")</f>
        <v>#VALUE!</v>
      </c>
      <c r="BB109" t="e">
        <f>AND('SPR BARRANQUILLA'!CB129,"AAAAAHju9zU=")</f>
        <v>#VALUE!</v>
      </c>
      <c r="BC109" t="e">
        <f>AND('SPR BARRANQUILLA'!CC129,"AAAAAHju9zY=")</f>
        <v>#VALUE!</v>
      </c>
      <c r="BD109" t="e">
        <f>AND('SPR BARRANQUILLA'!CD129,"AAAAAHju9zc=")</f>
        <v>#VALUE!</v>
      </c>
      <c r="BE109" t="e">
        <f>AND('SPR BARRANQUILLA'!CE129,"AAAAAHju9zg=")</f>
        <v>#VALUE!</v>
      </c>
      <c r="BF109" t="e">
        <f>AND('SPR BARRANQUILLA'!CF129,"AAAAAHju9zk=")</f>
        <v>#VALUE!</v>
      </c>
      <c r="BG109" t="e">
        <f>AND('SPR BARRANQUILLA'!CG129,"AAAAAHju9zo=")</f>
        <v>#VALUE!</v>
      </c>
      <c r="BH109" t="e">
        <f>AND('SPR BARRANQUILLA'!CH129,"AAAAAHju9zs=")</f>
        <v>#VALUE!</v>
      </c>
      <c r="BI109" t="e">
        <f>AND('SPR BARRANQUILLA'!CI129,"AAAAAHju9zw=")</f>
        <v>#VALUE!</v>
      </c>
      <c r="BJ109" t="e">
        <f>AND('SPR BARRANQUILLA'!CJ129,"AAAAAHju9z0=")</f>
        <v>#VALUE!</v>
      </c>
      <c r="BK109" t="e">
        <f>AND('SPR BARRANQUILLA'!CK129,"AAAAAHju9z4=")</f>
        <v>#VALUE!</v>
      </c>
      <c r="BL109" t="e">
        <f>AND('SPR BARRANQUILLA'!CL129,"AAAAAHju9z8=")</f>
        <v>#VALUE!</v>
      </c>
      <c r="BM109" t="e">
        <f>AND('SPR BARRANQUILLA'!CM129,"AAAAAHju90A=")</f>
        <v>#VALUE!</v>
      </c>
      <c r="BN109" t="e">
        <f>AND('SPR BARRANQUILLA'!CN129,"AAAAAHju90E=")</f>
        <v>#VALUE!</v>
      </c>
      <c r="BO109" t="e">
        <f>AND('SPR BARRANQUILLA'!CO129,"AAAAAHju90I=")</f>
        <v>#VALUE!</v>
      </c>
      <c r="BP109" t="e">
        <f>AND('SPR BARRANQUILLA'!CP129,"AAAAAHju90M=")</f>
        <v>#VALUE!</v>
      </c>
      <c r="BQ109" t="e">
        <f>AND('SPR BARRANQUILLA'!CQ129,"AAAAAHju90Q=")</f>
        <v>#VALUE!</v>
      </c>
      <c r="BR109" t="e">
        <f>AND('SPR BARRANQUILLA'!CR129,"AAAAAHju90U=")</f>
        <v>#VALUE!</v>
      </c>
      <c r="BS109" t="e">
        <f>AND('SPR BARRANQUILLA'!CS129,"AAAAAHju90Y=")</f>
        <v>#VALUE!</v>
      </c>
      <c r="BT109" t="e">
        <f>AND('SPR BARRANQUILLA'!CT129,"AAAAAHju90c=")</f>
        <v>#VALUE!</v>
      </c>
      <c r="BU109" t="e">
        <f>AND('SPR BARRANQUILLA'!CU129,"AAAAAHju90g=")</f>
        <v>#VALUE!</v>
      </c>
      <c r="BV109" t="e">
        <f>AND('SPR BARRANQUILLA'!CV129,"AAAAAHju90k=")</f>
        <v>#VALUE!</v>
      </c>
      <c r="BW109" t="e">
        <f>AND('SPR BARRANQUILLA'!CW129,"AAAAAHju90o=")</f>
        <v>#VALUE!</v>
      </c>
      <c r="BX109" t="e">
        <f>AND('SPR BARRANQUILLA'!CX129,"AAAAAHju90s=")</f>
        <v>#VALUE!</v>
      </c>
      <c r="BY109" t="e">
        <f>AND('SPR BARRANQUILLA'!CY129,"AAAAAHju90w=")</f>
        <v>#VALUE!</v>
      </c>
      <c r="BZ109" t="e">
        <f>AND('SPR BARRANQUILLA'!CZ129,"AAAAAHju900=")</f>
        <v>#VALUE!</v>
      </c>
      <c r="CA109" t="e">
        <f>AND('SPR BARRANQUILLA'!DA129,"AAAAAHju904=")</f>
        <v>#VALUE!</v>
      </c>
      <c r="CB109" t="e">
        <f>AND('SPR BARRANQUILLA'!DB129,"AAAAAHju908=")</f>
        <v>#VALUE!</v>
      </c>
      <c r="CC109" t="e">
        <f>AND('SPR BARRANQUILLA'!DC129,"AAAAAHju91A=")</f>
        <v>#VALUE!</v>
      </c>
      <c r="CD109" t="e">
        <f>AND('SPR BARRANQUILLA'!DD129,"AAAAAHju91E=")</f>
        <v>#VALUE!</v>
      </c>
      <c r="CE109" t="e">
        <f>AND('SPR BARRANQUILLA'!DE129,"AAAAAHju91I=")</f>
        <v>#VALUE!</v>
      </c>
      <c r="CF109" t="e">
        <f>AND('SPR BARRANQUILLA'!DF129,"AAAAAHju91M=")</f>
        <v>#VALUE!</v>
      </c>
      <c r="CG109" t="e">
        <f>AND('SPR BARRANQUILLA'!DG129,"AAAAAHju91Q=")</f>
        <v>#VALUE!</v>
      </c>
      <c r="CH109" t="e">
        <f>AND('SPR BARRANQUILLA'!DH129,"AAAAAHju91U=")</f>
        <v>#VALUE!</v>
      </c>
      <c r="CI109" t="e">
        <f>AND('SPR BARRANQUILLA'!DI129,"AAAAAHju91Y=")</f>
        <v>#VALUE!</v>
      </c>
      <c r="CJ109" t="e">
        <f>AND('SPR BARRANQUILLA'!DJ129,"AAAAAHju91c=")</f>
        <v>#VALUE!</v>
      </c>
      <c r="CK109" t="e">
        <f>AND('SPR BARRANQUILLA'!DK129,"AAAAAHju91g=")</f>
        <v>#VALUE!</v>
      </c>
      <c r="CL109" t="e">
        <f>AND('SPR BARRANQUILLA'!DL129,"AAAAAHju91k=")</f>
        <v>#VALUE!</v>
      </c>
      <c r="CM109" t="e">
        <f>AND('SPR BARRANQUILLA'!DM129,"AAAAAHju91o=")</f>
        <v>#VALUE!</v>
      </c>
      <c r="CN109" t="e">
        <f>AND('SPR BARRANQUILLA'!DN129,"AAAAAHju91s=")</f>
        <v>#VALUE!</v>
      </c>
      <c r="CO109" t="e">
        <f>AND('SPR BARRANQUILLA'!DO129,"AAAAAHju91w=")</f>
        <v>#VALUE!</v>
      </c>
      <c r="CP109" t="e">
        <f>AND('SPR BARRANQUILLA'!DP129,"AAAAAHju910=")</f>
        <v>#VALUE!</v>
      </c>
      <c r="CQ109" t="e">
        <f>AND('SPR BARRANQUILLA'!DQ129,"AAAAAHju914=")</f>
        <v>#VALUE!</v>
      </c>
      <c r="CR109" t="e">
        <f>AND('SPR BARRANQUILLA'!DR129,"AAAAAHju918=")</f>
        <v>#VALUE!</v>
      </c>
      <c r="CS109" t="e">
        <f>AND('SPR BARRANQUILLA'!DS129,"AAAAAHju92A=")</f>
        <v>#VALUE!</v>
      </c>
      <c r="CT109" t="e">
        <f>AND('SPR BARRANQUILLA'!DT129,"AAAAAHju92E=")</f>
        <v>#VALUE!</v>
      </c>
      <c r="CU109" t="e">
        <f>AND('SPR BARRANQUILLA'!DU129,"AAAAAHju92I=")</f>
        <v>#VALUE!</v>
      </c>
      <c r="CV109" t="e">
        <f>AND('SPR BARRANQUILLA'!DV129,"AAAAAHju92M=")</f>
        <v>#VALUE!</v>
      </c>
      <c r="CW109" t="e">
        <f>AND('SPR BARRANQUILLA'!DW129,"AAAAAHju92Q=")</f>
        <v>#VALUE!</v>
      </c>
      <c r="CX109" t="e">
        <f>AND('SPR BARRANQUILLA'!DX129,"AAAAAHju92U=")</f>
        <v>#VALUE!</v>
      </c>
      <c r="CY109" t="e">
        <f>AND('SPR BARRANQUILLA'!DY129,"AAAAAHju92Y=")</f>
        <v>#VALUE!</v>
      </c>
      <c r="CZ109" t="e">
        <f>AND('SPR BARRANQUILLA'!DZ129,"AAAAAHju92c=")</f>
        <v>#VALUE!</v>
      </c>
      <c r="DA109" t="e">
        <f>AND('SPR BARRANQUILLA'!EA129,"AAAAAHju92g=")</f>
        <v>#VALUE!</v>
      </c>
      <c r="DB109" t="e">
        <f>AND('SPR BARRANQUILLA'!EB129,"AAAAAHju92k=")</f>
        <v>#VALUE!</v>
      </c>
      <c r="DC109" t="e">
        <f>AND('SPR BARRANQUILLA'!EC129,"AAAAAHju92o=")</f>
        <v>#VALUE!</v>
      </c>
      <c r="DD109" t="e">
        <f>AND('SPR BARRANQUILLA'!ED129,"AAAAAHju92s=")</f>
        <v>#VALUE!</v>
      </c>
      <c r="DE109" t="e">
        <f>AND('SPR BARRANQUILLA'!EE129,"AAAAAHju92w=")</f>
        <v>#VALUE!</v>
      </c>
      <c r="DF109" t="e">
        <f>AND('SPR BARRANQUILLA'!EF129,"AAAAAHju920=")</f>
        <v>#VALUE!</v>
      </c>
      <c r="DG109" t="e">
        <f>AND('SPR BARRANQUILLA'!EG129,"AAAAAHju924=")</f>
        <v>#VALUE!</v>
      </c>
      <c r="DH109" t="e">
        <f>AND('SPR BARRANQUILLA'!EH129,"AAAAAHju928=")</f>
        <v>#VALUE!</v>
      </c>
      <c r="DI109" t="e">
        <f>AND('SPR BARRANQUILLA'!EI129,"AAAAAHju93A=")</f>
        <v>#VALUE!</v>
      </c>
      <c r="DJ109" t="e">
        <f>AND('SPR BARRANQUILLA'!EJ129,"AAAAAHju93E=")</f>
        <v>#VALUE!</v>
      </c>
      <c r="DK109" t="e">
        <f>AND('SPR BARRANQUILLA'!EK129,"AAAAAHju93I=")</f>
        <v>#VALUE!</v>
      </c>
      <c r="DL109" t="e">
        <f>AND('SPR BARRANQUILLA'!EL129,"AAAAAHju93M=")</f>
        <v>#VALUE!</v>
      </c>
      <c r="DM109" t="e">
        <f>AND('SPR BARRANQUILLA'!EM129,"AAAAAHju93Q=")</f>
        <v>#VALUE!</v>
      </c>
      <c r="DN109" t="e">
        <f>AND('SPR BARRANQUILLA'!EN129,"AAAAAHju93U=")</f>
        <v>#VALUE!</v>
      </c>
      <c r="DO109" t="e">
        <f>AND('SPR BARRANQUILLA'!EO129,"AAAAAHju93Y=")</f>
        <v>#VALUE!</v>
      </c>
      <c r="DP109" t="e">
        <f>AND('SPR BARRANQUILLA'!EP129,"AAAAAHju93c=")</f>
        <v>#VALUE!</v>
      </c>
      <c r="DQ109" t="e">
        <f>AND('SPR BARRANQUILLA'!EQ129,"AAAAAHju93g=")</f>
        <v>#VALUE!</v>
      </c>
      <c r="DR109" t="e">
        <f>AND('SPR BARRANQUILLA'!ER129,"AAAAAHju93k=")</f>
        <v>#VALUE!</v>
      </c>
      <c r="DS109" t="e">
        <f>AND('SPR BARRANQUILLA'!ES129,"AAAAAHju93o=")</f>
        <v>#VALUE!</v>
      </c>
      <c r="DT109" t="e">
        <f>AND('SPR BARRANQUILLA'!ET129,"AAAAAHju93s=")</f>
        <v>#VALUE!</v>
      </c>
      <c r="DU109" t="e">
        <f>AND('SPR BARRANQUILLA'!EU129,"AAAAAHju93w=")</f>
        <v>#VALUE!</v>
      </c>
      <c r="DV109" t="e">
        <f>AND('SPR BARRANQUILLA'!EV129,"AAAAAHju930=")</f>
        <v>#VALUE!</v>
      </c>
      <c r="DW109" t="e">
        <f>AND('SPR BARRANQUILLA'!EW129,"AAAAAHju934=")</f>
        <v>#VALUE!</v>
      </c>
      <c r="DX109" t="e">
        <f>AND('SPR BARRANQUILLA'!EX129,"AAAAAHju938=")</f>
        <v>#VALUE!</v>
      </c>
      <c r="DY109" t="e">
        <f>AND('SPR BARRANQUILLA'!EY129,"AAAAAHju94A=")</f>
        <v>#VALUE!</v>
      </c>
      <c r="DZ109" t="e">
        <f>AND('SPR BARRANQUILLA'!EZ129,"AAAAAHju94E=")</f>
        <v>#VALUE!</v>
      </c>
      <c r="EA109" t="e">
        <f>AND('SPR BARRANQUILLA'!FA129,"AAAAAHju94I=")</f>
        <v>#VALUE!</v>
      </c>
      <c r="EB109" t="e">
        <f>AND('SPR BARRANQUILLA'!FB129,"AAAAAHju94M=")</f>
        <v>#VALUE!</v>
      </c>
      <c r="EC109" t="e">
        <f>AND('SPR BARRANQUILLA'!FC129,"AAAAAHju94Q=")</f>
        <v>#VALUE!</v>
      </c>
      <c r="ED109" t="e">
        <f>AND('SPR BARRANQUILLA'!FD129,"AAAAAHju94U=")</f>
        <v>#VALUE!</v>
      </c>
      <c r="EE109" t="e">
        <f>AND('SPR BARRANQUILLA'!FE129,"AAAAAHju94Y=")</f>
        <v>#VALUE!</v>
      </c>
      <c r="EF109" t="e">
        <f>AND('SPR BARRANQUILLA'!FF129,"AAAAAHju94c=")</f>
        <v>#VALUE!</v>
      </c>
      <c r="EG109" t="e">
        <f>AND('SPR BARRANQUILLA'!FG129,"AAAAAHju94g=")</f>
        <v>#VALUE!</v>
      </c>
      <c r="EH109" t="e">
        <f>AND('SPR BARRANQUILLA'!FH129,"AAAAAHju94k=")</f>
        <v>#VALUE!</v>
      </c>
      <c r="EI109" t="e">
        <f>AND('SPR BARRANQUILLA'!FI129,"AAAAAHju94o=")</f>
        <v>#VALUE!</v>
      </c>
      <c r="EJ109" t="e">
        <f>AND('SPR BARRANQUILLA'!FJ129,"AAAAAHju94s=")</f>
        <v>#VALUE!</v>
      </c>
      <c r="EK109" t="e">
        <f>AND('SPR BARRANQUILLA'!FK129,"AAAAAHju94w=")</f>
        <v>#VALUE!</v>
      </c>
      <c r="EL109" t="e">
        <f>AND('SPR BARRANQUILLA'!FL129,"AAAAAHju940=")</f>
        <v>#VALUE!</v>
      </c>
      <c r="EM109" t="e">
        <f>AND('SPR BARRANQUILLA'!FM129,"AAAAAHju944=")</f>
        <v>#VALUE!</v>
      </c>
      <c r="EN109" t="e">
        <f>AND('SPR BARRANQUILLA'!FN129,"AAAAAHju948=")</f>
        <v>#VALUE!</v>
      </c>
      <c r="EO109" t="e">
        <f>AND('SPR BARRANQUILLA'!FO129,"AAAAAHju95A=")</f>
        <v>#VALUE!</v>
      </c>
      <c r="EP109" t="e">
        <f>AND('SPR BARRANQUILLA'!FP129,"AAAAAHju95E=")</f>
        <v>#VALUE!</v>
      </c>
      <c r="EQ109" t="e">
        <f>AND('SPR BARRANQUILLA'!FQ129,"AAAAAHju95I=")</f>
        <v>#VALUE!</v>
      </c>
      <c r="ER109" t="e">
        <f>AND('SPR BARRANQUILLA'!FR129,"AAAAAHju95M=")</f>
        <v>#VALUE!</v>
      </c>
      <c r="ES109" t="e">
        <f>AND('SPR BARRANQUILLA'!FS129,"AAAAAHju95Q=")</f>
        <v>#VALUE!</v>
      </c>
      <c r="ET109" t="e">
        <f>AND('SPR BARRANQUILLA'!FT129,"AAAAAHju95U=")</f>
        <v>#VALUE!</v>
      </c>
      <c r="EU109" t="e">
        <f>AND('SPR BARRANQUILLA'!FU129,"AAAAAHju95Y=")</f>
        <v>#VALUE!</v>
      </c>
      <c r="EV109" t="e">
        <f>AND('SPR BARRANQUILLA'!FV129,"AAAAAHju95c=")</f>
        <v>#VALUE!</v>
      </c>
      <c r="EW109" t="e">
        <f>AND('SPR BARRANQUILLA'!FW129,"AAAAAHju95g=")</f>
        <v>#VALUE!</v>
      </c>
      <c r="EX109" t="e">
        <f>AND('SPR BARRANQUILLA'!FX129,"AAAAAHju95k=")</f>
        <v>#VALUE!</v>
      </c>
      <c r="EY109" t="e">
        <f>AND('SPR BARRANQUILLA'!FY129,"AAAAAHju95o=")</f>
        <v>#VALUE!</v>
      </c>
      <c r="EZ109" t="e">
        <f>AND('SPR BARRANQUILLA'!FZ129,"AAAAAHju95s=")</f>
        <v>#VALUE!</v>
      </c>
      <c r="FA109" t="e">
        <f>AND('SPR BARRANQUILLA'!GA129,"AAAAAHju95w=")</f>
        <v>#VALUE!</v>
      </c>
      <c r="FB109" t="e">
        <f>AND('SPR BARRANQUILLA'!GB129,"AAAAAHju950=")</f>
        <v>#VALUE!</v>
      </c>
      <c r="FC109" t="e">
        <f>AND('SPR BARRANQUILLA'!GC129,"AAAAAHju954=")</f>
        <v>#VALUE!</v>
      </c>
      <c r="FD109" t="e">
        <f>AND('SPR BARRANQUILLA'!GD129,"AAAAAHju958=")</f>
        <v>#VALUE!</v>
      </c>
      <c r="FE109" t="e">
        <f>AND('SPR BARRANQUILLA'!GE129,"AAAAAHju96A=")</f>
        <v>#VALUE!</v>
      </c>
      <c r="FF109" t="e">
        <f>AND('SPR BARRANQUILLA'!GF129,"AAAAAHju96E=")</f>
        <v>#VALUE!</v>
      </c>
      <c r="FG109" t="e">
        <f>AND('SPR BARRANQUILLA'!GG129,"AAAAAHju96I=")</f>
        <v>#VALUE!</v>
      </c>
      <c r="FH109" t="e">
        <f>AND('SPR BARRANQUILLA'!GH129,"AAAAAHju96M=")</f>
        <v>#VALUE!</v>
      </c>
      <c r="FI109" t="e">
        <f>AND('SPR BARRANQUILLA'!GI129,"AAAAAHju96Q=")</f>
        <v>#VALUE!</v>
      </c>
      <c r="FJ109" t="e">
        <f>AND('SPR BARRANQUILLA'!GJ129,"AAAAAHju96U=")</f>
        <v>#VALUE!</v>
      </c>
      <c r="FK109" t="e">
        <f>AND('SPR BARRANQUILLA'!GK129,"AAAAAHju96Y=")</f>
        <v>#VALUE!</v>
      </c>
      <c r="FL109" t="e">
        <f>AND('SPR BARRANQUILLA'!GL129,"AAAAAHju96c=")</f>
        <v>#VALUE!</v>
      </c>
      <c r="FM109" t="e">
        <f>AND('SPR BARRANQUILLA'!GM129,"AAAAAHju96g=")</f>
        <v>#VALUE!</v>
      </c>
      <c r="FN109" t="e">
        <f>AND('SPR BARRANQUILLA'!GN129,"AAAAAHju96k=")</f>
        <v>#VALUE!</v>
      </c>
      <c r="FO109" t="e">
        <f>AND('SPR BARRANQUILLA'!GO129,"AAAAAHju96o=")</f>
        <v>#VALUE!</v>
      </c>
      <c r="FP109" t="e">
        <f>AND('SPR BARRANQUILLA'!GP129,"AAAAAHju96s=")</f>
        <v>#VALUE!</v>
      </c>
      <c r="FQ109" t="e">
        <f>AND('SPR BARRANQUILLA'!GQ129,"AAAAAHju96w=")</f>
        <v>#VALUE!</v>
      </c>
      <c r="FR109" t="e">
        <f>AND('SPR BARRANQUILLA'!GR129,"AAAAAHju960=")</f>
        <v>#VALUE!</v>
      </c>
      <c r="FS109" t="e">
        <f>AND('SPR BARRANQUILLA'!GS129,"AAAAAHju964=")</f>
        <v>#VALUE!</v>
      </c>
      <c r="FT109" t="e">
        <f>AND('SPR BARRANQUILLA'!GT129,"AAAAAHju968=")</f>
        <v>#VALUE!</v>
      </c>
      <c r="FU109" t="e">
        <f>AND('SPR BARRANQUILLA'!GU129,"AAAAAHju97A=")</f>
        <v>#VALUE!</v>
      </c>
      <c r="FV109" t="e">
        <f>AND('SPR BARRANQUILLA'!GV129,"AAAAAHju97E=")</f>
        <v>#VALUE!</v>
      </c>
      <c r="FW109" t="e">
        <f>AND('SPR BARRANQUILLA'!GW129,"AAAAAHju97I=")</f>
        <v>#VALUE!</v>
      </c>
      <c r="FX109" t="e">
        <f>AND('SPR BARRANQUILLA'!GX129,"AAAAAHju97M=")</f>
        <v>#VALUE!</v>
      </c>
      <c r="FY109" t="e">
        <f>AND('SPR BARRANQUILLA'!GY129,"AAAAAHju97Q=")</f>
        <v>#VALUE!</v>
      </c>
      <c r="FZ109">
        <f>IF('SPR BARRANQUILLA'!130:130,"AAAAAHju97U=",0)</f>
        <v>0</v>
      </c>
      <c r="GA109" t="e">
        <f>AND('SPR BARRANQUILLA'!A130,"AAAAAHju97Y=")</f>
        <v>#VALUE!</v>
      </c>
      <c r="GB109" t="e">
        <f>AND('SPR BARRANQUILLA'!B130,"AAAAAHju97c=")</f>
        <v>#VALUE!</v>
      </c>
      <c r="GC109" t="e">
        <f>AND('SPR BARRANQUILLA'!C130,"AAAAAHju97g=")</f>
        <v>#VALUE!</v>
      </c>
      <c r="GD109" t="e">
        <f>AND('SPR BARRANQUILLA'!D130,"AAAAAHju97k=")</f>
        <v>#VALUE!</v>
      </c>
      <c r="GE109" t="e">
        <f>AND('SPR BARRANQUILLA'!E130,"AAAAAHju97o=")</f>
        <v>#VALUE!</v>
      </c>
      <c r="GF109" t="e">
        <f>AND('SPR BARRANQUILLA'!F130,"AAAAAHju97s=")</f>
        <v>#VALUE!</v>
      </c>
      <c r="GG109" t="e">
        <f>AND('SPR BARRANQUILLA'!G130,"AAAAAHju97w=")</f>
        <v>#VALUE!</v>
      </c>
      <c r="GH109" t="e">
        <f>AND('SPR BARRANQUILLA'!H130,"AAAAAHju970=")</f>
        <v>#VALUE!</v>
      </c>
      <c r="GI109" t="e">
        <f>AND('SPR BARRANQUILLA'!I130,"AAAAAHju974=")</f>
        <v>#VALUE!</v>
      </c>
      <c r="GJ109" t="e">
        <f>AND('SPR BARRANQUILLA'!J130,"AAAAAHju978=")</f>
        <v>#VALUE!</v>
      </c>
      <c r="GK109" t="e">
        <f>AND('SPR BARRANQUILLA'!K130,"AAAAAHju98A=")</f>
        <v>#VALUE!</v>
      </c>
      <c r="GL109" t="e">
        <f>AND('SPR BARRANQUILLA'!L130,"AAAAAHju98E=")</f>
        <v>#VALUE!</v>
      </c>
      <c r="GM109" t="e">
        <f>AND('SPR BARRANQUILLA'!M130,"AAAAAHju98I=")</f>
        <v>#VALUE!</v>
      </c>
      <c r="GN109" t="e">
        <f>AND('SPR BARRANQUILLA'!N130,"AAAAAHju98M=")</f>
        <v>#VALUE!</v>
      </c>
      <c r="GO109" t="e">
        <f>AND('SPR BARRANQUILLA'!O130,"AAAAAHju98Q=")</f>
        <v>#VALUE!</v>
      </c>
      <c r="GP109" t="e">
        <f>AND('SPR BARRANQUILLA'!P130,"AAAAAHju98U=")</f>
        <v>#VALUE!</v>
      </c>
      <c r="GQ109" t="e">
        <f>AND('SPR BARRANQUILLA'!Q130,"AAAAAHju98Y=")</f>
        <v>#VALUE!</v>
      </c>
      <c r="GR109" t="e">
        <f>AND('SPR BARRANQUILLA'!R130,"AAAAAHju98c=")</f>
        <v>#VALUE!</v>
      </c>
      <c r="GS109" t="e">
        <f>AND('SPR BARRANQUILLA'!S130,"AAAAAHju98g=")</f>
        <v>#VALUE!</v>
      </c>
      <c r="GT109" t="e">
        <f>AND('SPR BARRANQUILLA'!T130,"AAAAAHju98k=")</f>
        <v>#VALUE!</v>
      </c>
      <c r="GU109" t="e">
        <f>AND('SPR BARRANQUILLA'!U130,"AAAAAHju98o=")</f>
        <v>#VALUE!</v>
      </c>
      <c r="GV109" t="e">
        <f>AND('SPR BARRANQUILLA'!V130,"AAAAAHju98s=")</f>
        <v>#VALUE!</v>
      </c>
      <c r="GW109" t="e">
        <f>AND('SPR BARRANQUILLA'!W130,"AAAAAHju98w=")</f>
        <v>#VALUE!</v>
      </c>
      <c r="GX109" t="e">
        <f>AND('SPR BARRANQUILLA'!X130,"AAAAAHju980=")</f>
        <v>#VALUE!</v>
      </c>
      <c r="GY109" t="e">
        <f>AND('SPR BARRANQUILLA'!Y130,"AAAAAHju984=")</f>
        <v>#VALUE!</v>
      </c>
      <c r="GZ109" t="e">
        <f>AND('SPR BARRANQUILLA'!Z130,"AAAAAHju988=")</f>
        <v>#VALUE!</v>
      </c>
      <c r="HA109" t="e">
        <f>AND('SPR BARRANQUILLA'!AA130,"AAAAAHju99A=")</f>
        <v>#VALUE!</v>
      </c>
      <c r="HB109" t="e">
        <f>AND('SPR BARRANQUILLA'!AB130,"AAAAAHju99E=")</f>
        <v>#VALUE!</v>
      </c>
      <c r="HC109" t="e">
        <f>AND('SPR BARRANQUILLA'!AC130,"AAAAAHju99I=")</f>
        <v>#VALUE!</v>
      </c>
      <c r="HD109" t="e">
        <f>AND('SPR BARRANQUILLA'!AD130,"AAAAAHju99M=")</f>
        <v>#VALUE!</v>
      </c>
      <c r="HE109" t="e">
        <f>AND('SPR BARRANQUILLA'!AE130,"AAAAAHju99Q=")</f>
        <v>#VALUE!</v>
      </c>
      <c r="HF109" t="e">
        <f>AND('SPR BARRANQUILLA'!AF130,"AAAAAHju99U=")</f>
        <v>#VALUE!</v>
      </c>
      <c r="HG109" t="e">
        <f>AND('SPR BARRANQUILLA'!AG130,"AAAAAHju99Y=")</f>
        <v>#VALUE!</v>
      </c>
      <c r="HH109" t="e">
        <f>AND('SPR BARRANQUILLA'!AH130,"AAAAAHju99c=")</f>
        <v>#VALUE!</v>
      </c>
      <c r="HI109" t="e">
        <f>AND('SPR BARRANQUILLA'!AI130,"AAAAAHju99g=")</f>
        <v>#VALUE!</v>
      </c>
      <c r="HJ109" t="e">
        <f>AND('SPR BARRANQUILLA'!AJ130,"AAAAAHju99k=")</f>
        <v>#VALUE!</v>
      </c>
      <c r="HK109" t="e">
        <f>AND('SPR BARRANQUILLA'!AK130,"AAAAAHju99o=")</f>
        <v>#VALUE!</v>
      </c>
      <c r="HL109" t="e">
        <f>AND('SPR BARRANQUILLA'!AL130,"AAAAAHju99s=")</f>
        <v>#VALUE!</v>
      </c>
      <c r="HM109" t="e">
        <f>AND('SPR BARRANQUILLA'!AM130,"AAAAAHju99w=")</f>
        <v>#VALUE!</v>
      </c>
      <c r="HN109" t="e">
        <f>AND('SPR BARRANQUILLA'!AN130,"AAAAAHju990=")</f>
        <v>#VALUE!</v>
      </c>
      <c r="HO109" t="e">
        <f>AND('SPR BARRANQUILLA'!AO130,"AAAAAHju994=")</f>
        <v>#VALUE!</v>
      </c>
      <c r="HP109" t="e">
        <f>AND('SPR BARRANQUILLA'!AP130,"AAAAAHju998=")</f>
        <v>#VALUE!</v>
      </c>
      <c r="HQ109" t="e">
        <f>AND('SPR BARRANQUILLA'!AQ130,"AAAAAHju9+A=")</f>
        <v>#VALUE!</v>
      </c>
      <c r="HR109" t="e">
        <f>AND('SPR BARRANQUILLA'!AR130,"AAAAAHju9+E=")</f>
        <v>#VALUE!</v>
      </c>
      <c r="HS109" t="e">
        <f>AND('SPR BARRANQUILLA'!AS130,"AAAAAHju9+I=")</f>
        <v>#VALUE!</v>
      </c>
      <c r="HT109" t="e">
        <f>AND('SPR BARRANQUILLA'!AT130,"AAAAAHju9+M=")</f>
        <v>#VALUE!</v>
      </c>
      <c r="HU109" t="e">
        <f>AND('SPR BARRANQUILLA'!AU130,"AAAAAHju9+Q=")</f>
        <v>#VALUE!</v>
      </c>
      <c r="HV109" t="e">
        <f>AND('SPR BARRANQUILLA'!AV130,"AAAAAHju9+U=")</f>
        <v>#VALUE!</v>
      </c>
      <c r="HW109" t="e">
        <f>AND('SPR BARRANQUILLA'!AW130,"AAAAAHju9+Y=")</f>
        <v>#VALUE!</v>
      </c>
      <c r="HX109" t="e">
        <f>AND('SPR BARRANQUILLA'!AX130,"AAAAAHju9+c=")</f>
        <v>#VALUE!</v>
      </c>
      <c r="HY109" t="e">
        <f>AND('SPR BARRANQUILLA'!AY130,"AAAAAHju9+g=")</f>
        <v>#VALUE!</v>
      </c>
      <c r="HZ109" t="e">
        <f>AND('SPR BARRANQUILLA'!AZ130,"AAAAAHju9+k=")</f>
        <v>#VALUE!</v>
      </c>
      <c r="IA109" t="e">
        <f>AND('SPR BARRANQUILLA'!BA130,"AAAAAHju9+o=")</f>
        <v>#VALUE!</v>
      </c>
      <c r="IB109" t="e">
        <f>AND('SPR BARRANQUILLA'!BB130,"AAAAAHju9+s=")</f>
        <v>#VALUE!</v>
      </c>
      <c r="IC109" t="e">
        <f>AND('SPR BARRANQUILLA'!BC130,"AAAAAHju9+w=")</f>
        <v>#VALUE!</v>
      </c>
      <c r="ID109" t="e">
        <f>AND('SPR BARRANQUILLA'!BD130,"AAAAAHju9+0=")</f>
        <v>#VALUE!</v>
      </c>
      <c r="IE109" t="e">
        <f>AND('SPR BARRANQUILLA'!BE130,"AAAAAHju9+4=")</f>
        <v>#VALUE!</v>
      </c>
      <c r="IF109" t="e">
        <f>AND('SPR BARRANQUILLA'!BF130,"AAAAAHju9+8=")</f>
        <v>#VALUE!</v>
      </c>
      <c r="IG109" t="e">
        <f>AND('SPR BARRANQUILLA'!BG130,"AAAAAHju9/A=")</f>
        <v>#VALUE!</v>
      </c>
      <c r="IH109" t="e">
        <f>AND('SPR BARRANQUILLA'!BH130,"AAAAAHju9/E=")</f>
        <v>#VALUE!</v>
      </c>
      <c r="II109" t="e">
        <f>AND('SPR BARRANQUILLA'!BI130,"AAAAAHju9/I=")</f>
        <v>#VALUE!</v>
      </c>
      <c r="IJ109" t="e">
        <f>AND('SPR BARRANQUILLA'!BJ130,"AAAAAHju9/M=")</f>
        <v>#VALUE!</v>
      </c>
      <c r="IK109" t="e">
        <f>AND('SPR BARRANQUILLA'!BK130,"AAAAAHju9/Q=")</f>
        <v>#VALUE!</v>
      </c>
      <c r="IL109" t="e">
        <f>AND('SPR BARRANQUILLA'!BL130,"AAAAAHju9/U=")</f>
        <v>#VALUE!</v>
      </c>
      <c r="IM109" t="e">
        <f>AND('SPR BARRANQUILLA'!BM130,"AAAAAHju9/Y=")</f>
        <v>#VALUE!</v>
      </c>
      <c r="IN109" t="e">
        <f>AND('SPR BARRANQUILLA'!BN130,"AAAAAHju9/c=")</f>
        <v>#VALUE!</v>
      </c>
      <c r="IO109" t="e">
        <f>AND('SPR BARRANQUILLA'!BO130,"AAAAAHju9/g=")</f>
        <v>#VALUE!</v>
      </c>
      <c r="IP109" t="e">
        <f>AND('SPR BARRANQUILLA'!BP130,"AAAAAHju9/k=")</f>
        <v>#VALUE!</v>
      </c>
      <c r="IQ109" t="e">
        <f>AND('SPR BARRANQUILLA'!BQ130,"AAAAAHju9/o=")</f>
        <v>#VALUE!</v>
      </c>
      <c r="IR109" t="e">
        <f>AND('SPR BARRANQUILLA'!BR130,"AAAAAHju9/s=")</f>
        <v>#VALUE!</v>
      </c>
      <c r="IS109" t="e">
        <f>AND('SPR BARRANQUILLA'!BS130,"AAAAAHju9/w=")</f>
        <v>#VALUE!</v>
      </c>
      <c r="IT109" t="e">
        <f>AND('SPR BARRANQUILLA'!BT130,"AAAAAHju9/0=")</f>
        <v>#VALUE!</v>
      </c>
      <c r="IU109" t="e">
        <f>AND('SPR BARRANQUILLA'!BU130,"AAAAAHju9/4=")</f>
        <v>#VALUE!</v>
      </c>
      <c r="IV109" t="e">
        <f>AND('SPR BARRANQUILLA'!BV130,"AAAAAHju9/8=")</f>
        <v>#VALUE!</v>
      </c>
    </row>
    <row r="110" spans="1:256">
      <c r="A110" t="e">
        <f>AND('SPR BARRANQUILLA'!BW130,"AAAAAD/+6wA=")</f>
        <v>#VALUE!</v>
      </c>
      <c r="B110" t="e">
        <f>AND('SPR BARRANQUILLA'!BX130,"AAAAAD/+6wE=")</f>
        <v>#VALUE!</v>
      </c>
      <c r="C110" t="e">
        <f>AND('SPR BARRANQUILLA'!BY130,"AAAAAD/+6wI=")</f>
        <v>#VALUE!</v>
      </c>
      <c r="D110" t="e">
        <f>AND('SPR BARRANQUILLA'!BZ130,"AAAAAD/+6wM=")</f>
        <v>#VALUE!</v>
      </c>
      <c r="E110" t="e">
        <f>AND('SPR BARRANQUILLA'!CA130,"AAAAAD/+6wQ=")</f>
        <v>#VALUE!</v>
      </c>
      <c r="F110" t="e">
        <f>AND('SPR BARRANQUILLA'!CB130,"AAAAAD/+6wU=")</f>
        <v>#VALUE!</v>
      </c>
      <c r="G110" t="e">
        <f>AND('SPR BARRANQUILLA'!CC130,"AAAAAD/+6wY=")</f>
        <v>#VALUE!</v>
      </c>
      <c r="H110" t="e">
        <f>AND('SPR BARRANQUILLA'!CD130,"AAAAAD/+6wc=")</f>
        <v>#VALUE!</v>
      </c>
      <c r="I110" t="e">
        <f>AND('SPR BARRANQUILLA'!CE130,"AAAAAD/+6wg=")</f>
        <v>#VALUE!</v>
      </c>
      <c r="J110" t="e">
        <f>AND('SPR BARRANQUILLA'!CF130,"AAAAAD/+6wk=")</f>
        <v>#VALUE!</v>
      </c>
      <c r="K110" t="e">
        <f>AND('SPR BARRANQUILLA'!CG130,"AAAAAD/+6wo=")</f>
        <v>#VALUE!</v>
      </c>
      <c r="L110" t="e">
        <f>AND('SPR BARRANQUILLA'!CH130,"AAAAAD/+6ws=")</f>
        <v>#VALUE!</v>
      </c>
      <c r="M110" t="e">
        <f>AND('SPR BARRANQUILLA'!CI130,"AAAAAD/+6ww=")</f>
        <v>#VALUE!</v>
      </c>
      <c r="N110" t="e">
        <f>AND('SPR BARRANQUILLA'!CJ130,"AAAAAD/+6w0=")</f>
        <v>#VALUE!</v>
      </c>
      <c r="O110" t="e">
        <f>AND('SPR BARRANQUILLA'!CK130,"AAAAAD/+6w4=")</f>
        <v>#VALUE!</v>
      </c>
      <c r="P110" t="e">
        <f>AND('SPR BARRANQUILLA'!CL130,"AAAAAD/+6w8=")</f>
        <v>#VALUE!</v>
      </c>
      <c r="Q110" t="e">
        <f>AND('SPR BARRANQUILLA'!CM130,"AAAAAD/+6xA=")</f>
        <v>#VALUE!</v>
      </c>
      <c r="R110" t="e">
        <f>AND('SPR BARRANQUILLA'!CN130,"AAAAAD/+6xE=")</f>
        <v>#VALUE!</v>
      </c>
      <c r="S110" t="e">
        <f>AND('SPR BARRANQUILLA'!CO130,"AAAAAD/+6xI=")</f>
        <v>#VALUE!</v>
      </c>
      <c r="T110" t="e">
        <f>AND('SPR BARRANQUILLA'!CP130,"AAAAAD/+6xM=")</f>
        <v>#VALUE!</v>
      </c>
      <c r="U110" t="e">
        <f>AND('SPR BARRANQUILLA'!CQ130,"AAAAAD/+6xQ=")</f>
        <v>#VALUE!</v>
      </c>
      <c r="V110" t="e">
        <f>AND('SPR BARRANQUILLA'!CR130,"AAAAAD/+6xU=")</f>
        <v>#VALUE!</v>
      </c>
      <c r="W110" t="e">
        <f>AND('SPR BARRANQUILLA'!CS130,"AAAAAD/+6xY=")</f>
        <v>#VALUE!</v>
      </c>
      <c r="X110" t="e">
        <f>AND('SPR BARRANQUILLA'!CT130,"AAAAAD/+6xc=")</f>
        <v>#VALUE!</v>
      </c>
      <c r="Y110" t="e">
        <f>AND('SPR BARRANQUILLA'!CU130,"AAAAAD/+6xg=")</f>
        <v>#VALUE!</v>
      </c>
      <c r="Z110" t="e">
        <f>AND('SPR BARRANQUILLA'!CV130,"AAAAAD/+6xk=")</f>
        <v>#VALUE!</v>
      </c>
      <c r="AA110" t="e">
        <f>AND('SPR BARRANQUILLA'!CW130,"AAAAAD/+6xo=")</f>
        <v>#VALUE!</v>
      </c>
      <c r="AB110" t="e">
        <f>AND('SPR BARRANQUILLA'!CX130,"AAAAAD/+6xs=")</f>
        <v>#VALUE!</v>
      </c>
      <c r="AC110" t="e">
        <f>AND('SPR BARRANQUILLA'!CY130,"AAAAAD/+6xw=")</f>
        <v>#VALUE!</v>
      </c>
      <c r="AD110" t="e">
        <f>AND('SPR BARRANQUILLA'!CZ130,"AAAAAD/+6x0=")</f>
        <v>#VALUE!</v>
      </c>
      <c r="AE110" t="e">
        <f>AND('SPR BARRANQUILLA'!DA130,"AAAAAD/+6x4=")</f>
        <v>#VALUE!</v>
      </c>
      <c r="AF110" t="e">
        <f>AND('SPR BARRANQUILLA'!DB130,"AAAAAD/+6x8=")</f>
        <v>#VALUE!</v>
      </c>
      <c r="AG110" t="e">
        <f>AND('SPR BARRANQUILLA'!DC130,"AAAAAD/+6yA=")</f>
        <v>#VALUE!</v>
      </c>
      <c r="AH110" t="e">
        <f>AND('SPR BARRANQUILLA'!DD130,"AAAAAD/+6yE=")</f>
        <v>#VALUE!</v>
      </c>
      <c r="AI110" t="e">
        <f>AND('SPR BARRANQUILLA'!DE130,"AAAAAD/+6yI=")</f>
        <v>#VALUE!</v>
      </c>
      <c r="AJ110" t="e">
        <f>AND('SPR BARRANQUILLA'!DF130,"AAAAAD/+6yM=")</f>
        <v>#VALUE!</v>
      </c>
      <c r="AK110" t="e">
        <f>AND('SPR BARRANQUILLA'!DG130,"AAAAAD/+6yQ=")</f>
        <v>#VALUE!</v>
      </c>
      <c r="AL110" t="e">
        <f>AND('SPR BARRANQUILLA'!DH130,"AAAAAD/+6yU=")</f>
        <v>#VALUE!</v>
      </c>
      <c r="AM110" t="e">
        <f>AND('SPR BARRANQUILLA'!DI130,"AAAAAD/+6yY=")</f>
        <v>#VALUE!</v>
      </c>
      <c r="AN110" t="e">
        <f>AND('SPR BARRANQUILLA'!DJ130,"AAAAAD/+6yc=")</f>
        <v>#VALUE!</v>
      </c>
      <c r="AO110" t="e">
        <f>AND('SPR BARRANQUILLA'!DK130,"AAAAAD/+6yg=")</f>
        <v>#VALUE!</v>
      </c>
      <c r="AP110" t="e">
        <f>AND('SPR BARRANQUILLA'!DL130,"AAAAAD/+6yk=")</f>
        <v>#VALUE!</v>
      </c>
      <c r="AQ110" t="e">
        <f>AND('SPR BARRANQUILLA'!DM130,"AAAAAD/+6yo=")</f>
        <v>#VALUE!</v>
      </c>
      <c r="AR110" t="e">
        <f>AND('SPR BARRANQUILLA'!DN130,"AAAAAD/+6ys=")</f>
        <v>#VALUE!</v>
      </c>
      <c r="AS110" t="e">
        <f>AND('SPR BARRANQUILLA'!DO130,"AAAAAD/+6yw=")</f>
        <v>#VALUE!</v>
      </c>
      <c r="AT110" t="e">
        <f>AND('SPR BARRANQUILLA'!DP130,"AAAAAD/+6y0=")</f>
        <v>#VALUE!</v>
      </c>
      <c r="AU110" t="e">
        <f>AND('SPR BARRANQUILLA'!DQ130,"AAAAAD/+6y4=")</f>
        <v>#VALUE!</v>
      </c>
      <c r="AV110" t="e">
        <f>AND('SPR BARRANQUILLA'!DR130,"AAAAAD/+6y8=")</f>
        <v>#VALUE!</v>
      </c>
      <c r="AW110" t="e">
        <f>AND('SPR BARRANQUILLA'!DS130,"AAAAAD/+6zA=")</f>
        <v>#VALUE!</v>
      </c>
      <c r="AX110" t="e">
        <f>AND('SPR BARRANQUILLA'!DT130,"AAAAAD/+6zE=")</f>
        <v>#VALUE!</v>
      </c>
      <c r="AY110" t="e">
        <f>AND('SPR BARRANQUILLA'!DU130,"AAAAAD/+6zI=")</f>
        <v>#VALUE!</v>
      </c>
      <c r="AZ110" t="e">
        <f>AND('SPR BARRANQUILLA'!DV130,"AAAAAD/+6zM=")</f>
        <v>#VALUE!</v>
      </c>
      <c r="BA110" t="e">
        <f>AND('SPR BARRANQUILLA'!DW130,"AAAAAD/+6zQ=")</f>
        <v>#VALUE!</v>
      </c>
      <c r="BB110" t="e">
        <f>AND('SPR BARRANQUILLA'!DX130,"AAAAAD/+6zU=")</f>
        <v>#VALUE!</v>
      </c>
      <c r="BC110" t="e">
        <f>AND('SPR BARRANQUILLA'!DY130,"AAAAAD/+6zY=")</f>
        <v>#VALUE!</v>
      </c>
      <c r="BD110" t="e">
        <f>AND('SPR BARRANQUILLA'!DZ130,"AAAAAD/+6zc=")</f>
        <v>#VALUE!</v>
      </c>
      <c r="BE110" t="e">
        <f>AND('SPR BARRANQUILLA'!EA130,"AAAAAD/+6zg=")</f>
        <v>#VALUE!</v>
      </c>
      <c r="BF110" t="e">
        <f>AND('SPR BARRANQUILLA'!EB130,"AAAAAD/+6zk=")</f>
        <v>#VALUE!</v>
      </c>
      <c r="BG110" t="e">
        <f>AND('SPR BARRANQUILLA'!EC130,"AAAAAD/+6zo=")</f>
        <v>#VALUE!</v>
      </c>
      <c r="BH110" t="e">
        <f>AND('SPR BARRANQUILLA'!ED130,"AAAAAD/+6zs=")</f>
        <v>#VALUE!</v>
      </c>
      <c r="BI110" t="e">
        <f>AND('SPR BARRANQUILLA'!EE130,"AAAAAD/+6zw=")</f>
        <v>#VALUE!</v>
      </c>
      <c r="BJ110" t="e">
        <f>AND('SPR BARRANQUILLA'!EF130,"AAAAAD/+6z0=")</f>
        <v>#VALUE!</v>
      </c>
      <c r="BK110" t="e">
        <f>AND('SPR BARRANQUILLA'!EG130,"AAAAAD/+6z4=")</f>
        <v>#VALUE!</v>
      </c>
      <c r="BL110" t="e">
        <f>AND('SPR BARRANQUILLA'!EH130,"AAAAAD/+6z8=")</f>
        <v>#VALUE!</v>
      </c>
      <c r="BM110" t="e">
        <f>AND('SPR BARRANQUILLA'!EI130,"AAAAAD/+60A=")</f>
        <v>#VALUE!</v>
      </c>
      <c r="BN110" t="e">
        <f>AND('SPR BARRANQUILLA'!EJ130,"AAAAAD/+60E=")</f>
        <v>#VALUE!</v>
      </c>
      <c r="BO110" t="e">
        <f>AND('SPR BARRANQUILLA'!EK130,"AAAAAD/+60I=")</f>
        <v>#VALUE!</v>
      </c>
      <c r="BP110" t="e">
        <f>AND('SPR BARRANQUILLA'!EL130,"AAAAAD/+60M=")</f>
        <v>#VALUE!</v>
      </c>
      <c r="BQ110" t="e">
        <f>AND('SPR BARRANQUILLA'!EM130,"AAAAAD/+60Q=")</f>
        <v>#VALUE!</v>
      </c>
      <c r="BR110" t="e">
        <f>AND('SPR BARRANQUILLA'!EN130,"AAAAAD/+60U=")</f>
        <v>#VALUE!</v>
      </c>
      <c r="BS110" t="e">
        <f>AND('SPR BARRANQUILLA'!EO130,"AAAAAD/+60Y=")</f>
        <v>#VALUE!</v>
      </c>
      <c r="BT110" t="e">
        <f>AND('SPR BARRANQUILLA'!EP130,"AAAAAD/+60c=")</f>
        <v>#VALUE!</v>
      </c>
      <c r="BU110" t="e">
        <f>AND('SPR BARRANQUILLA'!EQ130,"AAAAAD/+60g=")</f>
        <v>#VALUE!</v>
      </c>
      <c r="BV110" t="e">
        <f>AND('SPR BARRANQUILLA'!ER130,"AAAAAD/+60k=")</f>
        <v>#VALUE!</v>
      </c>
      <c r="BW110" t="e">
        <f>AND('SPR BARRANQUILLA'!ES130,"AAAAAD/+60o=")</f>
        <v>#VALUE!</v>
      </c>
      <c r="BX110" t="e">
        <f>AND('SPR BARRANQUILLA'!ET130,"AAAAAD/+60s=")</f>
        <v>#VALUE!</v>
      </c>
      <c r="BY110" t="e">
        <f>AND('SPR BARRANQUILLA'!EU130,"AAAAAD/+60w=")</f>
        <v>#VALUE!</v>
      </c>
      <c r="BZ110" t="e">
        <f>AND('SPR BARRANQUILLA'!EV130,"AAAAAD/+600=")</f>
        <v>#VALUE!</v>
      </c>
      <c r="CA110" t="e">
        <f>AND('SPR BARRANQUILLA'!EW130,"AAAAAD/+604=")</f>
        <v>#VALUE!</v>
      </c>
      <c r="CB110" t="e">
        <f>AND('SPR BARRANQUILLA'!EX130,"AAAAAD/+608=")</f>
        <v>#VALUE!</v>
      </c>
      <c r="CC110" t="e">
        <f>AND('SPR BARRANQUILLA'!EY130,"AAAAAD/+61A=")</f>
        <v>#VALUE!</v>
      </c>
      <c r="CD110" t="e">
        <f>AND('SPR BARRANQUILLA'!EZ130,"AAAAAD/+61E=")</f>
        <v>#VALUE!</v>
      </c>
      <c r="CE110" t="e">
        <f>AND('SPR BARRANQUILLA'!FA130,"AAAAAD/+61I=")</f>
        <v>#VALUE!</v>
      </c>
      <c r="CF110" t="e">
        <f>AND('SPR BARRANQUILLA'!FB130,"AAAAAD/+61M=")</f>
        <v>#VALUE!</v>
      </c>
      <c r="CG110" t="e">
        <f>AND('SPR BARRANQUILLA'!FC130,"AAAAAD/+61Q=")</f>
        <v>#VALUE!</v>
      </c>
      <c r="CH110" t="e">
        <f>AND('SPR BARRANQUILLA'!FD130,"AAAAAD/+61U=")</f>
        <v>#VALUE!</v>
      </c>
      <c r="CI110" t="e">
        <f>AND('SPR BARRANQUILLA'!FE130,"AAAAAD/+61Y=")</f>
        <v>#VALUE!</v>
      </c>
      <c r="CJ110" t="e">
        <f>AND('SPR BARRANQUILLA'!FF130,"AAAAAD/+61c=")</f>
        <v>#VALUE!</v>
      </c>
      <c r="CK110" t="e">
        <f>AND('SPR BARRANQUILLA'!FG130,"AAAAAD/+61g=")</f>
        <v>#VALUE!</v>
      </c>
      <c r="CL110" t="e">
        <f>AND('SPR BARRANQUILLA'!FH130,"AAAAAD/+61k=")</f>
        <v>#VALUE!</v>
      </c>
      <c r="CM110" t="e">
        <f>AND('SPR BARRANQUILLA'!FI130,"AAAAAD/+61o=")</f>
        <v>#VALUE!</v>
      </c>
      <c r="CN110" t="e">
        <f>AND('SPR BARRANQUILLA'!FJ130,"AAAAAD/+61s=")</f>
        <v>#VALUE!</v>
      </c>
      <c r="CO110" t="e">
        <f>AND('SPR BARRANQUILLA'!FK130,"AAAAAD/+61w=")</f>
        <v>#VALUE!</v>
      </c>
      <c r="CP110" t="e">
        <f>AND('SPR BARRANQUILLA'!FL130,"AAAAAD/+610=")</f>
        <v>#VALUE!</v>
      </c>
      <c r="CQ110" t="e">
        <f>AND('SPR BARRANQUILLA'!FM130,"AAAAAD/+614=")</f>
        <v>#VALUE!</v>
      </c>
      <c r="CR110" t="e">
        <f>AND('SPR BARRANQUILLA'!FN130,"AAAAAD/+618=")</f>
        <v>#VALUE!</v>
      </c>
      <c r="CS110" t="e">
        <f>AND('SPR BARRANQUILLA'!FO130,"AAAAAD/+62A=")</f>
        <v>#VALUE!</v>
      </c>
      <c r="CT110" t="e">
        <f>AND('SPR BARRANQUILLA'!FP130,"AAAAAD/+62E=")</f>
        <v>#VALUE!</v>
      </c>
      <c r="CU110" t="e">
        <f>AND('SPR BARRANQUILLA'!FQ130,"AAAAAD/+62I=")</f>
        <v>#VALUE!</v>
      </c>
      <c r="CV110" t="e">
        <f>AND('SPR BARRANQUILLA'!FR130,"AAAAAD/+62M=")</f>
        <v>#VALUE!</v>
      </c>
      <c r="CW110" t="e">
        <f>AND('SPR BARRANQUILLA'!FS130,"AAAAAD/+62Q=")</f>
        <v>#VALUE!</v>
      </c>
      <c r="CX110" t="e">
        <f>AND('SPR BARRANQUILLA'!FT130,"AAAAAD/+62U=")</f>
        <v>#VALUE!</v>
      </c>
      <c r="CY110" t="e">
        <f>AND('SPR BARRANQUILLA'!FU130,"AAAAAD/+62Y=")</f>
        <v>#VALUE!</v>
      </c>
      <c r="CZ110" t="e">
        <f>AND('SPR BARRANQUILLA'!FV130,"AAAAAD/+62c=")</f>
        <v>#VALUE!</v>
      </c>
      <c r="DA110" t="e">
        <f>AND('SPR BARRANQUILLA'!FW130,"AAAAAD/+62g=")</f>
        <v>#VALUE!</v>
      </c>
      <c r="DB110" t="e">
        <f>AND('SPR BARRANQUILLA'!FX130,"AAAAAD/+62k=")</f>
        <v>#VALUE!</v>
      </c>
      <c r="DC110" t="e">
        <f>AND('SPR BARRANQUILLA'!FY130,"AAAAAD/+62o=")</f>
        <v>#VALUE!</v>
      </c>
      <c r="DD110" t="e">
        <f>AND('SPR BARRANQUILLA'!FZ130,"AAAAAD/+62s=")</f>
        <v>#VALUE!</v>
      </c>
      <c r="DE110" t="e">
        <f>AND('SPR BARRANQUILLA'!GA130,"AAAAAD/+62w=")</f>
        <v>#VALUE!</v>
      </c>
      <c r="DF110" t="e">
        <f>AND('SPR BARRANQUILLA'!GB130,"AAAAAD/+620=")</f>
        <v>#VALUE!</v>
      </c>
      <c r="DG110" t="e">
        <f>AND('SPR BARRANQUILLA'!GC130,"AAAAAD/+624=")</f>
        <v>#VALUE!</v>
      </c>
      <c r="DH110" t="e">
        <f>AND('SPR BARRANQUILLA'!GD130,"AAAAAD/+628=")</f>
        <v>#VALUE!</v>
      </c>
      <c r="DI110" t="e">
        <f>AND('SPR BARRANQUILLA'!GE130,"AAAAAD/+63A=")</f>
        <v>#VALUE!</v>
      </c>
      <c r="DJ110" t="e">
        <f>AND('SPR BARRANQUILLA'!GF130,"AAAAAD/+63E=")</f>
        <v>#VALUE!</v>
      </c>
      <c r="DK110" t="e">
        <f>AND('SPR BARRANQUILLA'!GG130,"AAAAAD/+63I=")</f>
        <v>#VALUE!</v>
      </c>
      <c r="DL110" t="e">
        <f>AND('SPR BARRANQUILLA'!GH130,"AAAAAD/+63M=")</f>
        <v>#VALUE!</v>
      </c>
      <c r="DM110" t="e">
        <f>AND('SPR BARRANQUILLA'!GI130,"AAAAAD/+63Q=")</f>
        <v>#VALUE!</v>
      </c>
      <c r="DN110" t="e">
        <f>AND('SPR BARRANQUILLA'!GJ130,"AAAAAD/+63U=")</f>
        <v>#VALUE!</v>
      </c>
      <c r="DO110" t="e">
        <f>AND('SPR BARRANQUILLA'!GK130,"AAAAAD/+63Y=")</f>
        <v>#VALUE!</v>
      </c>
      <c r="DP110" t="e">
        <f>AND('SPR BARRANQUILLA'!GL130,"AAAAAD/+63c=")</f>
        <v>#VALUE!</v>
      </c>
      <c r="DQ110" t="e">
        <f>AND('SPR BARRANQUILLA'!GM130,"AAAAAD/+63g=")</f>
        <v>#VALUE!</v>
      </c>
      <c r="DR110" t="e">
        <f>AND('SPR BARRANQUILLA'!GN130,"AAAAAD/+63k=")</f>
        <v>#VALUE!</v>
      </c>
      <c r="DS110" t="e">
        <f>AND('SPR BARRANQUILLA'!GO130,"AAAAAD/+63o=")</f>
        <v>#VALUE!</v>
      </c>
      <c r="DT110" t="e">
        <f>AND('SPR BARRANQUILLA'!GP130,"AAAAAD/+63s=")</f>
        <v>#VALUE!</v>
      </c>
      <c r="DU110" t="e">
        <f>AND('SPR BARRANQUILLA'!GQ130,"AAAAAD/+63w=")</f>
        <v>#VALUE!</v>
      </c>
      <c r="DV110" t="e">
        <f>AND('SPR BARRANQUILLA'!GR130,"AAAAAD/+630=")</f>
        <v>#VALUE!</v>
      </c>
      <c r="DW110" t="e">
        <f>AND('SPR BARRANQUILLA'!GS130,"AAAAAD/+634=")</f>
        <v>#VALUE!</v>
      </c>
      <c r="DX110" t="e">
        <f>AND('SPR BARRANQUILLA'!GT130,"AAAAAD/+638=")</f>
        <v>#VALUE!</v>
      </c>
      <c r="DY110" t="e">
        <f>AND('SPR BARRANQUILLA'!GU130,"AAAAAD/+64A=")</f>
        <v>#VALUE!</v>
      </c>
      <c r="DZ110" t="e">
        <f>AND('SPR BARRANQUILLA'!GV130,"AAAAAD/+64E=")</f>
        <v>#VALUE!</v>
      </c>
      <c r="EA110" t="e">
        <f>AND('SPR BARRANQUILLA'!GW130,"AAAAAD/+64I=")</f>
        <v>#VALUE!</v>
      </c>
      <c r="EB110" t="e">
        <f>AND('SPR BARRANQUILLA'!GX130,"AAAAAD/+64M=")</f>
        <v>#VALUE!</v>
      </c>
      <c r="EC110" t="e">
        <f>AND('SPR BARRANQUILLA'!GY130,"AAAAAD/+64Q=")</f>
        <v>#VALUE!</v>
      </c>
      <c r="ED110">
        <f>IF('SPR BARRANQUILLA'!131:131,"AAAAAD/+64U=",0)</f>
        <v>0</v>
      </c>
      <c r="EE110" t="e">
        <f>AND('SPR BARRANQUILLA'!A131,"AAAAAD/+64Y=")</f>
        <v>#VALUE!</v>
      </c>
      <c r="EF110" t="e">
        <f>AND('SPR BARRANQUILLA'!B131,"AAAAAD/+64c=")</f>
        <v>#VALUE!</v>
      </c>
      <c r="EG110" t="e">
        <f>AND('SPR BARRANQUILLA'!C131,"AAAAAD/+64g=")</f>
        <v>#VALUE!</v>
      </c>
      <c r="EH110" t="e">
        <f>AND('SPR BARRANQUILLA'!D131,"AAAAAD/+64k=")</f>
        <v>#VALUE!</v>
      </c>
      <c r="EI110" t="e">
        <f>AND('SPR BARRANQUILLA'!E131,"AAAAAD/+64o=")</f>
        <v>#VALUE!</v>
      </c>
      <c r="EJ110" t="e">
        <f>AND('SPR BARRANQUILLA'!F131,"AAAAAD/+64s=")</f>
        <v>#VALUE!</v>
      </c>
      <c r="EK110" t="e">
        <f>AND('SPR BARRANQUILLA'!G131,"AAAAAD/+64w=")</f>
        <v>#VALUE!</v>
      </c>
      <c r="EL110" t="e">
        <f>AND('SPR BARRANQUILLA'!H131,"AAAAAD/+640=")</f>
        <v>#VALUE!</v>
      </c>
      <c r="EM110" t="e">
        <f>AND('SPR BARRANQUILLA'!I131,"AAAAAD/+644=")</f>
        <v>#VALUE!</v>
      </c>
      <c r="EN110" t="e">
        <f>AND('SPR BARRANQUILLA'!J131,"AAAAAD/+648=")</f>
        <v>#VALUE!</v>
      </c>
      <c r="EO110" t="e">
        <f>AND('SPR BARRANQUILLA'!K131,"AAAAAD/+65A=")</f>
        <v>#VALUE!</v>
      </c>
      <c r="EP110" t="e">
        <f>AND('SPR BARRANQUILLA'!L131,"AAAAAD/+65E=")</f>
        <v>#VALUE!</v>
      </c>
      <c r="EQ110" t="e">
        <f>AND('SPR BARRANQUILLA'!M131,"AAAAAD/+65I=")</f>
        <v>#VALUE!</v>
      </c>
      <c r="ER110" t="e">
        <f>AND('SPR BARRANQUILLA'!N131,"AAAAAD/+65M=")</f>
        <v>#VALUE!</v>
      </c>
      <c r="ES110" t="e">
        <f>AND('SPR BARRANQUILLA'!O131,"AAAAAD/+65Q=")</f>
        <v>#VALUE!</v>
      </c>
      <c r="ET110" t="e">
        <f>AND('SPR BARRANQUILLA'!P131,"AAAAAD/+65U=")</f>
        <v>#VALUE!</v>
      </c>
      <c r="EU110" t="e">
        <f>AND('SPR BARRANQUILLA'!Q131,"AAAAAD/+65Y=")</f>
        <v>#VALUE!</v>
      </c>
      <c r="EV110" t="e">
        <f>AND('SPR BARRANQUILLA'!R131,"AAAAAD/+65c=")</f>
        <v>#VALUE!</v>
      </c>
      <c r="EW110" t="e">
        <f>AND('SPR BARRANQUILLA'!S131,"AAAAAD/+65g=")</f>
        <v>#VALUE!</v>
      </c>
      <c r="EX110" t="e">
        <f>AND('SPR BARRANQUILLA'!T131,"AAAAAD/+65k=")</f>
        <v>#VALUE!</v>
      </c>
      <c r="EY110" t="e">
        <f>AND('SPR BARRANQUILLA'!U131,"AAAAAD/+65o=")</f>
        <v>#VALUE!</v>
      </c>
      <c r="EZ110" t="e">
        <f>AND('SPR BARRANQUILLA'!V131,"AAAAAD/+65s=")</f>
        <v>#VALUE!</v>
      </c>
      <c r="FA110" t="e">
        <f>AND('SPR BARRANQUILLA'!W131,"AAAAAD/+65w=")</f>
        <v>#VALUE!</v>
      </c>
      <c r="FB110" t="e">
        <f>AND('SPR BARRANQUILLA'!X131,"AAAAAD/+650=")</f>
        <v>#VALUE!</v>
      </c>
      <c r="FC110" t="e">
        <f>AND('SPR BARRANQUILLA'!Y131,"AAAAAD/+654=")</f>
        <v>#VALUE!</v>
      </c>
      <c r="FD110" t="e">
        <f>AND('SPR BARRANQUILLA'!Z131,"AAAAAD/+658=")</f>
        <v>#VALUE!</v>
      </c>
      <c r="FE110" t="e">
        <f>AND('SPR BARRANQUILLA'!AA131,"AAAAAD/+66A=")</f>
        <v>#VALUE!</v>
      </c>
      <c r="FF110" t="e">
        <f>AND('SPR BARRANQUILLA'!AB131,"AAAAAD/+66E=")</f>
        <v>#VALUE!</v>
      </c>
      <c r="FG110" t="e">
        <f>AND('SPR BARRANQUILLA'!AC131,"AAAAAD/+66I=")</f>
        <v>#VALUE!</v>
      </c>
      <c r="FH110" t="e">
        <f>AND('SPR BARRANQUILLA'!AD131,"AAAAAD/+66M=")</f>
        <v>#VALUE!</v>
      </c>
      <c r="FI110" t="e">
        <f>AND('SPR BARRANQUILLA'!AE131,"AAAAAD/+66Q=")</f>
        <v>#VALUE!</v>
      </c>
      <c r="FJ110" t="e">
        <f>AND('SPR BARRANQUILLA'!AF131,"AAAAAD/+66U=")</f>
        <v>#VALUE!</v>
      </c>
      <c r="FK110" t="e">
        <f>AND('SPR BARRANQUILLA'!AG131,"AAAAAD/+66Y=")</f>
        <v>#VALUE!</v>
      </c>
      <c r="FL110" t="e">
        <f>AND('SPR BARRANQUILLA'!AH131,"AAAAAD/+66c=")</f>
        <v>#VALUE!</v>
      </c>
      <c r="FM110" t="e">
        <f>AND('SPR BARRANQUILLA'!AI131,"AAAAAD/+66g=")</f>
        <v>#VALUE!</v>
      </c>
      <c r="FN110" t="e">
        <f>AND('SPR BARRANQUILLA'!AJ131,"AAAAAD/+66k=")</f>
        <v>#VALUE!</v>
      </c>
      <c r="FO110" t="e">
        <f>AND('SPR BARRANQUILLA'!AK131,"AAAAAD/+66o=")</f>
        <v>#VALUE!</v>
      </c>
      <c r="FP110" t="e">
        <f>AND('SPR BARRANQUILLA'!AL131,"AAAAAD/+66s=")</f>
        <v>#VALUE!</v>
      </c>
      <c r="FQ110" t="e">
        <f>AND('SPR BARRANQUILLA'!AM131,"AAAAAD/+66w=")</f>
        <v>#VALUE!</v>
      </c>
      <c r="FR110" t="e">
        <f>AND('SPR BARRANQUILLA'!AN131,"AAAAAD/+660=")</f>
        <v>#VALUE!</v>
      </c>
      <c r="FS110" t="e">
        <f>AND('SPR BARRANQUILLA'!AO131,"AAAAAD/+664=")</f>
        <v>#VALUE!</v>
      </c>
      <c r="FT110" t="e">
        <f>AND('SPR BARRANQUILLA'!AP131,"AAAAAD/+668=")</f>
        <v>#VALUE!</v>
      </c>
      <c r="FU110" t="e">
        <f>AND('SPR BARRANQUILLA'!AQ131,"AAAAAD/+67A=")</f>
        <v>#VALUE!</v>
      </c>
      <c r="FV110" t="e">
        <f>AND('SPR BARRANQUILLA'!AR131,"AAAAAD/+67E=")</f>
        <v>#VALUE!</v>
      </c>
      <c r="FW110" t="e">
        <f>AND('SPR BARRANQUILLA'!AS131,"AAAAAD/+67I=")</f>
        <v>#VALUE!</v>
      </c>
      <c r="FX110" t="e">
        <f>AND('SPR BARRANQUILLA'!AT131,"AAAAAD/+67M=")</f>
        <v>#VALUE!</v>
      </c>
      <c r="FY110" t="e">
        <f>AND('SPR BARRANQUILLA'!AU131,"AAAAAD/+67Q=")</f>
        <v>#VALUE!</v>
      </c>
      <c r="FZ110" t="e">
        <f>AND('SPR BARRANQUILLA'!AV131,"AAAAAD/+67U=")</f>
        <v>#VALUE!</v>
      </c>
      <c r="GA110" t="e">
        <f>AND('SPR BARRANQUILLA'!AW131,"AAAAAD/+67Y=")</f>
        <v>#VALUE!</v>
      </c>
      <c r="GB110" t="e">
        <f>AND('SPR BARRANQUILLA'!AX131,"AAAAAD/+67c=")</f>
        <v>#VALUE!</v>
      </c>
      <c r="GC110" t="e">
        <f>AND('SPR BARRANQUILLA'!AY131,"AAAAAD/+67g=")</f>
        <v>#VALUE!</v>
      </c>
      <c r="GD110" t="e">
        <f>AND('SPR BARRANQUILLA'!AZ131,"AAAAAD/+67k=")</f>
        <v>#VALUE!</v>
      </c>
      <c r="GE110" t="e">
        <f>AND('SPR BARRANQUILLA'!BA131,"AAAAAD/+67o=")</f>
        <v>#VALUE!</v>
      </c>
      <c r="GF110" t="e">
        <f>AND('SPR BARRANQUILLA'!BB131,"AAAAAD/+67s=")</f>
        <v>#VALUE!</v>
      </c>
      <c r="GG110" t="e">
        <f>AND('SPR BARRANQUILLA'!BC131,"AAAAAD/+67w=")</f>
        <v>#VALUE!</v>
      </c>
      <c r="GH110" t="e">
        <f>AND('SPR BARRANQUILLA'!BD131,"AAAAAD/+670=")</f>
        <v>#VALUE!</v>
      </c>
      <c r="GI110" t="e">
        <f>AND('SPR BARRANQUILLA'!BE131,"AAAAAD/+674=")</f>
        <v>#VALUE!</v>
      </c>
      <c r="GJ110" t="e">
        <f>AND('SPR BARRANQUILLA'!BF131,"AAAAAD/+678=")</f>
        <v>#VALUE!</v>
      </c>
      <c r="GK110" t="e">
        <f>AND('SPR BARRANQUILLA'!BG131,"AAAAAD/+68A=")</f>
        <v>#VALUE!</v>
      </c>
      <c r="GL110" t="e">
        <f>AND('SPR BARRANQUILLA'!BH131,"AAAAAD/+68E=")</f>
        <v>#VALUE!</v>
      </c>
      <c r="GM110" t="e">
        <f>AND('SPR BARRANQUILLA'!BI131,"AAAAAD/+68I=")</f>
        <v>#VALUE!</v>
      </c>
      <c r="GN110" t="e">
        <f>AND('SPR BARRANQUILLA'!BJ131,"AAAAAD/+68M=")</f>
        <v>#VALUE!</v>
      </c>
      <c r="GO110" t="e">
        <f>AND('SPR BARRANQUILLA'!BK131,"AAAAAD/+68Q=")</f>
        <v>#VALUE!</v>
      </c>
      <c r="GP110" t="e">
        <f>AND('SPR BARRANQUILLA'!BL131,"AAAAAD/+68U=")</f>
        <v>#VALUE!</v>
      </c>
      <c r="GQ110" t="e">
        <f>AND('SPR BARRANQUILLA'!BM131,"AAAAAD/+68Y=")</f>
        <v>#VALUE!</v>
      </c>
      <c r="GR110" t="e">
        <f>AND('SPR BARRANQUILLA'!BN131,"AAAAAD/+68c=")</f>
        <v>#VALUE!</v>
      </c>
      <c r="GS110" t="e">
        <f>AND('SPR BARRANQUILLA'!BO131,"AAAAAD/+68g=")</f>
        <v>#VALUE!</v>
      </c>
      <c r="GT110" t="e">
        <f>AND('SPR BARRANQUILLA'!BP131,"AAAAAD/+68k=")</f>
        <v>#VALUE!</v>
      </c>
      <c r="GU110" t="e">
        <f>AND('SPR BARRANQUILLA'!BQ131,"AAAAAD/+68o=")</f>
        <v>#VALUE!</v>
      </c>
      <c r="GV110" t="e">
        <f>AND('SPR BARRANQUILLA'!BR131,"AAAAAD/+68s=")</f>
        <v>#VALUE!</v>
      </c>
      <c r="GW110" t="e">
        <f>AND('SPR BARRANQUILLA'!BS131,"AAAAAD/+68w=")</f>
        <v>#VALUE!</v>
      </c>
      <c r="GX110" t="e">
        <f>AND('SPR BARRANQUILLA'!BT131,"AAAAAD/+680=")</f>
        <v>#VALUE!</v>
      </c>
      <c r="GY110" t="e">
        <f>AND('SPR BARRANQUILLA'!BU131,"AAAAAD/+684=")</f>
        <v>#VALUE!</v>
      </c>
      <c r="GZ110" t="e">
        <f>AND('SPR BARRANQUILLA'!BV131,"AAAAAD/+688=")</f>
        <v>#VALUE!</v>
      </c>
      <c r="HA110" t="e">
        <f>AND('SPR BARRANQUILLA'!BW131,"AAAAAD/+69A=")</f>
        <v>#VALUE!</v>
      </c>
      <c r="HB110" t="e">
        <f>AND('SPR BARRANQUILLA'!BX131,"AAAAAD/+69E=")</f>
        <v>#VALUE!</v>
      </c>
      <c r="HC110" t="e">
        <f>AND('SPR BARRANQUILLA'!BY131,"AAAAAD/+69I=")</f>
        <v>#VALUE!</v>
      </c>
      <c r="HD110" t="e">
        <f>AND('SPR BARRANQUILLA'!BZ131,"AAAAAD/+69M=")</f>
        <v>#VALUE!</v>
      </c>
      <c r="HE110" t="e">
        <f>AND('SPR BARRANQUILLA'!CA131,"AAAAAD/+69Q=")</f>
        <v>#VALUE!</v>
      </c>
      <c r="HF110" t="e">
        <f>AND('SPR BARRANQUILLA'!CB131,"AAAAAD/+69U=")</f>
        <v>#VALUE!</v>
      </c>
      <c r="HG110" t="e">
        <f>AND('SPR BARRANQUILLA'!CC131,"AAAAAD/+69Y=")</f>
        <v>#VALUE!</v>
      </c>
      <c r="HH110" t="e">
        <f>AND('SPR BARRANQUILLA'!CD131,"AAAAAD/+69c=")</f>
        <v>#VALUE!</v>
      </c>
      <c r="HI110" t="e">
        <f>AND('SPR BARRANQUILLA'!CE131,"AAAAAD/+69g=")</f>
        <v>#VALUE!</v>
      </c>
      <c r="HJ110" t="e">
        <f>AND('SPR BARRANQUILLA'!CF131,"AAAAAD/+69k=")</f>
        <v>#VALUE!</v>
      </c>
      <c r="HK110" t="e">
        <f>AND('SPR BARRANQUILLA'!CG131,"AAAAAD/+69o=")</f>
        <v>#VALUE!</v>
      </c>
      <c r="HL110" t="e">
        <f>AND('SPR BARRANQUILLA'!CH131,"AAAAAD/+69s=")</f>
        <v>#VALUE!</v>
      </c>
      <c r="HM110" t="e">
        <f>AND('SPR BARRANQUILLA'!CI131,"AAAAAD/+69w=")</f>
        <v>#VALUE!</v>
      </c>
      <c r="HN110" t="e">
        <f>AND('SPR BARRANQUILLA'!CJ131,"AAAAAD/+690=")</f>
        <v>#VALUE!</v>
      </c>
      <c r="HO110" t="e">
        <f>AND('SPR BARRANQUILLA'!CK131,"AAAAAD/+694=")</f>
        <v>#VALUE!</v>
      </c>
      <c r="HP110" t="e">
        <f>AND('SPR BARRANQUILLA'!CL131,"AAAAAD/+698=")</f>
        <v>#VALUE!</v>
      </c>
      <c r="HQ110" t="e">
        <f>AND('SPR BARRANQUILLA'!CM131,"AAAAAD/+6+A=")</f>
        <v>#VALUE!</v>
      </c>
      <c r="HR110" t="e">
        <f>AND('SPR BARRANQUILLA'!CN131,"AAAAAD/+6+E=")</f>
        <v>#VALUE!</v>
      </c>
      <c r="HS110" t="e">
        <f>AND('SPR BARRANQUILLA'!CO131,"AAAAAD/+6+I=")</f>
        <v>#VALUE!</v>
      </c>
      <c r="HT110" t="e">
        <f>AND('SPR BARRANQUILLA'!CP131,"AAAAAD/+6+M=")</f>
        <v>#VALUE!</v>
      </c>
      <c r="HU110" t="e">
        <f>AND('SPR BARRANQUILLA'!CQ131,"AAAAAD/+6+Q=")</f>
        <v>#VALUE!</v>
      </c>
      <c r="HV110" t="e">
        <f>AND('SPR BARRANQUILLA'!CR131,"AAAAAD/+6+U=")</f>
        <v>#VALUE!</v>
      </c>
      <c r="HW110" t="e">
        <f>AND('SPR BARRANQUILLA'!CS131,"AAAAAD/+6+Y=")</f>
        <v>#VALUE!</v>
      </c>
      <c r="HX110" t="e">
        <f>AND('SPR BARRANQUILLA'!CT131,"AAAAAD/+6+c=")</f>
        <v>#VALUE!</v>
      </c>
      <c r="HY110" t="e">
        <f>AND('SPR BARRANQUILLA'!CU131,"AAAAAD/+6+g=")</f>
        <v>#VALUE!</v>
      </c>
      <c r="HZ110" t="e">
        <f>AND('SPR BARRANQUILLA'!CV131,"AAAAAD/+6+k=")</f>
        <v>#VALUE!</v>
      </c>
      <c r="IA110" t="e">
        <f>AND('SPR BARRANQUILLA'!CW131,"AAAAAD/+6+o=")</f>
        <v>#VALUE!</v>
      </c>
      <c r="IB110" t="e">
        <f>AND('SPR BARRANQUILLA'!CX131,"AAAAAD/+6+s=")</f>
        <v>#VALUE!</v>
      </c>
      <c r="IC110" t="e">
        <f>AND('SPR BARRANQUILLA'!CY131,"AAAAAD/+6+w=")</f>
        <v>#VALUE!</v>
      </c>
      <c r="ID110" t="e">
        <f>AND('SPR BARRANQUILLA'!CZ131,"AAAAAD/+6+0=")</f>
        <v>#VALUE!</v>
      </c>
      <c r="IE110" t="e">
        <f>AND('SPR BARRANQUILLA'!DA131,"AAAAAD/+6+4=")</f>
        <v>#VALUE!</v>
      </c>
      <c r="IF110" t="e">
        <f>AND('SPR BARRANQUILLA'!DB131,"AAAAAD/+6+8=")</f>
        <v>#VALUE!</v>
      </c>
      <c r="IG110" t="e">
        <f>AND('SPR BARRANQUILLA'!DC131,"AAAAAD/+6/A=")</f>
        <v>#VALUE!</v>
      </c>
      <c r="IH110" t="e">
        <f>AND('SPR BARRANQUILLA'!DD131,"AAAAAD/+6/E=")</f>
        <v>#VALUE!</v>
      </c>
      <c r="II110" t="e">
        <f>AND('SPR BARRANQUILLA'!DE131,"AAAAAD/+6/I=")</f>
        <v>#VALUE!</v>
      </c>
      <c r="IJ110" t="e">
        <f>AND('SPR BARRANQUILLA'!DF131,"AAAAAD/+6/M=")</f>
        <v>#VALUE!</v>
      </c>
      <c r="IK110" t="e">
        <f>AND('SPR BARRANQUILLA'!DG131,"AAAAAD/+6/Q=")</f>
        <v>#VALUE!</v>
      </c>
      <c r="IL110" t="e">
        <f>AND('SPR BARRANQUILLA'!DH131,"AAAAAD/+6/U=")</f>
        <v>#VALUE!</v>
      </c>
      <c r="IM110" t="e">
        <f>AND('SPR BARRANQUILLA'!DI131,"AAAAAD/+6/Y=")</f>
        <v>#VALUE!</v>
      </c>
      <c r="IN110" t="e">
        <f>AND('SPR BARRANQUILLA'!DJ131,"AAAAAD/+6/c=")</f>
        <v>#VALUE!</v>
      </c>
      <c r="IO110" t="e">
        <f>AND('SPR BARRANQUILLA'!DK131,"AAAAAD/+6/g=")</f>
        <v>#VALUE!</v>
      </c>
      <c r="IP110" t="e">
        <f>AND('SPR BARRANQUILLA'!DL131,"AAAAAD/+6/k=")</f>
        <v>#VALUE!</v>
      </c>
      <c r="IQ110" t="e">
        <f>AND('SPR BARRANQUILLA'!DM131,"AAAAAD/+6/o=")</f>
        <v>#VALUE!</v>
      </c>
      <c r="IR110" t="e">
        <f>AND('SPR BARRANQUILLA'!DN131,"AAAAAD/+6/s=")</f>
        <v>#VALUE!</v>
      </c>
      <c r="IS110" t="e">
        <f>AND('SPR BARRANQUILLA'!DO131,"AAAAAD/+6/w=")</f>
        <v>#VALUE!</v>
      </c>
      <c r="IT110" t="e">
        <f>AND('SPR BARRANQUILLA'!DP131,"AAAAAD/+6/0=")</f>
        <v>#VALUE!</v>
      </c>
      <c r="IU110" t="e">
        <f>AND('SPR BARRANQUILLA'!DQ131,"AAAAAD/+6/4=")</f>
        <v>#VALUE!</v>
      </c>
      <c r="IV110" t="e">
        <f>AND('SPR BARRANQUILLA'!DR131,"AAAAAD/+6/8=")</f>
        <v>#VALUE!</v>
      </c>
    </row>
    <row r="111" spans="1:256">
      <c r="A111" t="e">
        <f>AND('SPR BARRANQUILLA'!DS131,"AAAAAHg/8QA=")</f>
        <v>#VALUE!</v>
      </c>
      <c r="B111" t="e">
        <f>AND('SPR BARRANQUILLA'!DT131,"AAAAAHg/8QE=")</f>
        <v>#VALUE!</v>
      </c>
      <c r="C111" t="e">
        <f>AND('SPR BARRANQUILLA'!DU131,"AAAAAHg/8QI=")</f>
        <v>#VALUE!</v>
      </c>
      <c r="D111" t="e">
        <f>AND('SPR BARRANQUILLA'!DV131,"AAAAAHg/8QM=")</f>
        <v>#VALUE!</v>
      </c>
      <c r="E111" t="e">
        <f>AND('SPR BARRANQUILLA'!DW131,"AAAAAHg/8QQ=")</f>
        <v>#VALUE!</v>
      </c>
      <c r="F111" t="e">
        <f>AND('SPR BARRANQUILLA'!DX131,"AAAAAHg/8QU=")</f>
        <v>#VALUE!</v>
      </c>
      <c r="G111" t="e">
        <f>AND('SPR BARRANQUILLA'!DY131,"AAAAAHg/8QY=")</f>
        <v>#VALUE!</v>
      </c>
      <c r="H111" t="e">
        <f>AND('SPR BARRANQUILLA'!DZ131,"AAAAAHg/8Qc=")</f>
        <v>#VALUE!</v>
      </c>
      <c r="I111" t="e">
        <f>AND('SPR BARRANQUILLA'!EA131,"AAAAAHg/8Qg=")</f>
        <v>#VALUE!</v>
      </c>
      <c r="J111" t="e">
        <f>AND('SPR BARRANQUILLA'!EB131,"AAAAAHg/8Qk=")</f>
        <v>#VALUE!</v>
      </c>
      <c r="K111" t="e">
        <f>AND('SPR BARRANQUILLA'!EC131,"AAAAAHg/8Qo=")</f>
        <v>#VALUE!</v>
      </c>
      <c r="L111" t="e">
        <f>AND('SPR BARRANQUILLA'!ED131,"AAAAAHg/8Qs=")</f>
        <v>#VALUE!</v>
      </c>
      <c r="M111" t="e">
        <f>AND('SPR BARRANQUILLA'!EE131,"AAAAAHg/8Qw=")</f>
        <v>#VALUE!</v>
      </c>
      <c r="N111" t="e">
        <f>AND('SPR BARRANQUILLA'!EF131,"AAAAAHg/8Q0=")</f>
        <v>#VALUE!</v>
      </c>
      <c r="O111" t="e">
        <f>AND('SPR BARRANQUILLA'!EG131,"AAAAAHg/8Q4=")</f>
        <v>#VALUE!</v>
      </c>
      <c r="P111" t="e">
        <f>AND('SPR BARRANQUILLA'!EH131,"AAAAAHg/8Q8=")</f>
        <v>#VALUE!</v>
      </c>
      <c r="Q111" t="e">
        <f>AND('SPR BARRANQUILLA'!EI131,"AAAAAHg/8RA=")</f>
        <v>#VALUE!</v>
      </c>
      <c r="R111" t="e">
        <f>AND('SPR BARRANQUILLA'!EJ131,"AAAAAHg/8RE=")</f>
        <v>#VALUE!</v>
      </c>
      <c r="S111" t="e">
        <f>AND('SPR BARRANQUILLA'!EK131,"AAAAAHg/8RI=")</f>
        <v>#VALUE!</v>
      </c>
      <c r="T111" t="e">
        <f>AND('SPR BARRANQUILLA'!EL131,"AAAAAHg/8RM=")</f>
        <v>#VALUE!</v>
      </c>
      <c r="U111" t="e">
        <f>AND('SPR BARRANQUILLA'!EM131,"AAAAAHg/8RQ=")</f>
        <v>#VALUE!</v>
      </c>
      <c r="V111" t="e">
        <f>AND('SPR BARRANQUILLA'!EN131,"AAAAAHg/8RU=")</f>
        <v>#VALUE!</v>
      </c>
      <c r="W111" t="e">
        <f>AND('SPR BARRANQUILLA'!EO131,"AAAAAHg/8RY=")</f>
        <v>#VALUE!</v>
      </c>
      <c r="X111" t="e">
        <f>AND('SPR BARRANQUILLA'!EP131,"AAAAAHg/8Rc=")</f>
        <v>#VALUE!</v>
      </c>
      <c r="Y111" t="e">
        <f>AND('SPR BARRANQUILLA'!EQ131,"AAAAAHg/8Rg=")</f>
        <v>#VALUE!</v>
      </c>
      <c r="Z111" t="e">
        <f>AND('SPR BARRANQUILLA'!ER131,"AAAAAHg/8Rk=")</f>
        <v>#VALUE!</v>
      </c>
      <c r="AA111" t="e">
        <f>AND('SPR BARRANQUILLA'!ES131,"AAAAAHg/8Ro=")</f>
        <v>#VALUE!</v>
      </c>
      <c r="AB111" t="e">
        <f>AND('SPR BARRANQUILLA'!ET131,"AAAAAHg/8Rs=")</f>
        <v>#VALUE!</v>
      </c>
      <c r="AC111" t="e">
        <f>AND('SPR BARRANQUILLA'!EU131,"AAAAAHg/8Rw=")</f>
        <v>#VALUE!</v>
      </c>
      <c r="AD111" t="e">
        <f>AND('SPR BARRANQUILLA'!EV131,"AAAAAHg/8R0=")</f>
        <v>#VALUE!</v>
      </c>
      <c r="AE111" t="e">
        <f>AND('SPR BARRANQUILLA'!EW131,"AAAAAHg/8R4=")</f>
        <v>#VALUE!</v>
      </c>
      <c r="AF111" t="e">
        <f>AND('SPR BARRANQUILLA'!EX131,"AAAAAHg/8R8=")</f>
        <v>#VALUE!</v>
      </c>
      <c r="AG111" t="e">
        <f>AND('SPR BARRANQUILLA'!EY131,"AAAAAHg/8SA=")</f>
        <v>#VALUE!</v>
      </c>
      <c r="AH111" t="e">
        <f>AND('SPR BARRANQUILLA'!EZ131,"AAAAAHg/8SE=")</f>
        <v>#VALUE!</v>
      </c>
      <c r="AI111" t="e">
        <f>AND('SPR BARRANQUILLA'!FA131,"AAAAAHg/8SI=")</f>
        <v>#VALUE!</v>
      </c>
      <c r="AJ111" t="e">
        <f>AND('SPR BARRANQUILLA'!FB131,"AAAAAHg/8SM=")</f>
        <v>#VALUE!</v>
      </c>
      <c r="AK111" t="e">
        <f>AND('SPR BARRANQUILLA'!FC131,"AAAAAHg/8SQ=")</f>
        <v>#VALUE!</v>
      </c>
      <c r="AL111" t="e">
        <f>AND('SPR BARRANQUILLA'!FD131,"AAAAAHg/8SU=")</f>
        <v>#VALUE!</v>
      </c>
      <c r="AM111" t="e">
        <f>AND('SPR BARRANQUILLA'!FE131,"AAAAAHg/8SY=")</f>
        <v>#VALUE!</v>
      </c>
      <c r="AN111" t="e">
        <f>AND('SPR BARRANQUILLA'!FF131,"AAAAAHg/8Sc=")</f>
        <v>#VALUE!</v>
      </c>
      <c r="AO111" t="e">
        <f>AND('SPR BARRANQUILLA'!FG131,"AAAAAHg/8Sg=")</f>
        <v>#VALUE!</v>
      </c>
      <c r="AP111" t="e">
        <f>AND('SPR BARRANQUILLA'!FH131,"AAAAAHg/8Sk=")</f>
        <v>#VALUE!</v>
      </c>
      <c r="AQ111" t="e">
        <f>AND('SPR BARRANQUILLA'!FI131,"AAAAAHg/8So=")</f>
        <v>#VALUE!</v>
      </c>
      <c r="AR111" t="e">
        <f>AND('SPR BARRANQUILLA'!FJ131,"AAAAAHg/8Ss=")</f>
        <v>#VALUE!</v>
      </c>
      <c r="AS111" t="e">
        <f>AND('SPR BARRANQUILLA'!FK131,"AAAAAHg/8Sw=")</f>
        <v>#VALUE!</v>
      </c>
      <c r="AT111" t="e">
        <f>AND('SPR BARRANQUILLA'!FL131,"AAAAAHg/8S0=")</f>
        <v>#VALUE!</v>
      </c>
      <c r="AU111" t="e">
        <f>AND('SPR BARRANQUILLA'!FM131,"AAAAAHg/8S4=")</f>
        <v>#VALUE!</v>
      </c>
      <c r="AV111" t="e">
        <f>AND('SPR BARRANQUILLA'!FN131,"AAAAAHg/8S8=")</f>
        <v>#VALUE!</v>
      </c>
      <c r="AW111" t="e">
        <f>AND('SPR BARRANQUILLA'!FO131,"AAAAAHg/8TA=")</f>
        <v>#VALUE!</v>
      </c>
      <c r="AX111" t="e">
        <f>AND('SPR BARRANQUILLA'!FP131,"AAAAAHg/8TE=")</f>
        <v>#VALUE!</v>
      </c>
      <c r="AY111" t="e">
        <f>AND('SPR BARRANQUILLA'!FQ131,"AAAAAHg/8TI=")</f>
        <v>#VALUE!</v>
      </c>
      <c r="AZ111" t="e">
        <f>AND('SPR BARRANQUILLA'!FR131,"AAAAAHg/8TM=")</f>
        <v>#VALUE!</v>
      </c>
      <c r="BA111" t="e">
        <f>AND('SPR BARRANQUILLA'!FS131,"AAAAAHg/8TQ=")</f>
        <v>#VALUE!</v>
      </c>
      <c r="BB111" t="e">
        <f>AND('SPR BARRANQUILLA'!FT131,"AAAAAHg/8TU=")</f>
        <v>#VALUE!</v>
      </c>
      <c r="BC111" t="e">
        <f>AND('SPR BARRANQUILLA'!FU131,"AAAAAHg/8TY=")</f>
        <v>#VALUE!</v>
      </c>
      <c r="BD111" t="e">
        <f>AND('SPR BARRANQUILLA'!FV131,"AAAAAHg/8Tc=")</f>
        <v>#VALUE!</v>
      </c>
      <c r="BE111" t="e">
        <f>AND('SPR BARRANQUILLA'!FW131,"AAAAAHg/8Tg=")</f>
        <v>#VALUE!</v>
      </c>
      <c r="BF111" t="e">
        <f>AND('SPR BARRANQUILLA'!FX131,"AAAAAHg/8Tk=")</f>
        <v>#VALUE!</v>
      </c>
      <c r="BG111" t="e">
        <f>AND('SPR BARRANQUILLA'!FY131,"AAAAAHg/8To=")</f>
        <v>#VALUE!</v>
      </c>
      <c r="BH111" t="e">
        <f>AND('SPR BARRANQUILLA'!FZ131,"AAAAAHg/8Ts=")</f>
        <v>#VALUE!</v>
      </c>
      <c r="BI111" t="e">
        <f>AND('SPR BARRANQUILLA'!GA131,"AAAAAHg/8Tw=")</f>
        <v>#VALUE!</v>
      </c>
      <c r="BJ111" t="e">
        <f>AND('SPR BARRANQUILLA'!GB131,"AAAAAHg/8T0=")</f>
        <v>#VALUE!</v>
      </c>
      <c r="BK111" t="e">
        <f>AND('SPR BARRANQUILLA'!GC131,"AAAAAHg/8T4=")</f>
        <v>#VALUE!</v>
      </c>
      <c r="BL111" t="e">
        <f>AND('SPR BARRANQUILLA'!GD131,"AAAAAHg/8T8=")</f>
        <v>#VALUE!</v>
      </c>
      <c r="BM111" t="e">
        <f>AND('SPR BARRANQUILLA'!GE131,"AAAAAHg/8UA=")</f>
        <v>#VALUE!</v>
      </c>
      <c r="BN111" t="e">
        <f>AND('SPR BARRANQUILLA'!GF131,"AAAAAHg/8UE=")</f>
        <v>#VALUE!</v>
      </c>
      <c r="BO111" t="e">
        <f>AND('SPR BARRANQUILLA'!GG131,"AAAAAHg/8UI=")</f>
        <v>#VALUE!</v>
      </c>
      <c r="BP111" t="e">
        <f>AND('SPR BARRANQUILLA'!GH131,"AAAAAHg/8UM=")</f>
        <v>#VALUE!</v>
      </c>
      <c r="BQ111" t="e">
        <f>AND('SPR BARRANQUILLA'!GI131,"AAAAAHg/8UQ=")</f>
        <v>#VALUE!</v>
      </c>
      <c r="BR111" t="e">
        <f>AND('SPR BARRANQUILLA'!GJ131,"AAAAAHg/8UU=")</f>
        <v>#VALUE!</v>
      </c>
      <c r="BS111" t="e">
        <f>AND('SPR BARRANQUILLA'!GK131,"AAAAAHg/8UY=")</f>
        <v>#VALUE!</v>
      </c>
      <c r="BT111" t="e">
        <f>AND('SPR BARRANQUILLA'!GL131,"AAAAAHg/8Uc=")</f>
        <v>#VALUE!</v>
      </c>
      <c r="BU111" t="e">
        <f>AND('SPR BARRANQUILLA'!GM131,"AAAAAHg/8Ug=")</f>
        <v>#VALUE!</v>
      </c>
      <c r="BV111" t="e">
        <f>AND('SPR BARRANQUILLA'!GN131,"AAAAAHg/8Uk=")</f>
        <v>#VALUE!</v>
      </c>
      <c r="BW111" t="e">
        <f>AND('SPR BARRANQUILLA'!GO131,"AAAAAHg/8Uo=")</f>
        <v>#VALUE!</v>
      </c>
      <c r="BX111" t="e">
        <f>AND('SPR BARRANQUILLA'!GP131,"AAAAAHg/8Us=")</f>
        <v>#VALUE!</v>
      </c>
      <c r="BY111" t="e">
        <f>AND('SPR BARRANQUILLA'!GQ131,"AAAAAHg/8Uw=")</f>
        <v>#VALUE!</v>
      </c>
      <c r="BZ111" t="e">
        <f>AND('SPR BARRANQUILLA'!GR131,"AAAAAHg/8U0=")</f>
        <v>#VALUE!</v>
      </c>
      <c r="CA111" t="e">
        <f>AND('SPR BARRANQUILLA'!GS131,"AAAAAHg/8U4=")</f>
        <v>#VALUE!</v>
      </c>
      <c r="CB111" t="e">
        <f>AND('SPR BARRANQUILLA'!GT131,"AAAAAHg/8U8=")</f>
        <v>#VALUE!</v>
      </c>
      <c r="CC111" t="e">
        <f>AND('SPR BARRANQUILLA'!GU131,"AAAAAHg/8VA=")</f>
        <v>#VALUE!</v>
      </c>
      <c r="CD111" t="e">
        <f>AND('SPR BARRANQUILLA'!GV131,"AAAAAHg/8VE=")</f>
        <v>#VALUE!</v>
      </c>
      <c r="CE111" t="e">
        <f>AND('SPR BARRANQUILLA'!GW131,"AAAAAHg/8VI=")</f>
        <v>#VALUE!</v>
      </c>
      <c r="CF111" t="e">
        <f>AND('SPR BARRANQUILLA'!GX131,"AAAAAHg/8VM=")</f>
        <v>#VALUE!</v>
      </c>
      <c r="CG111" t="e">
        <f>AND('SPR BARRANQUILLA'!GY131,"AAAAAHg/8VQ=")</f>
        <v>#VALUE!</v>
      </c>
      <c r="CH111">
        <f>IF('SPR BARRANQUILLA'!132:132,"AAAAAHg/8VU=",0)</f>
        <v>0</v>
      </c>
      <c r="CI111" t="e">
        <f>AND('SPR BARRANQUILLA'!A132,"AAAAAHg/8VY=")</f>
        <v>#VALUE!</v>
      </c>
      <c r="CJ111" t="e">
        <f>AND('SPR BARRANQUILLA'!B132,"AAAAAHg/8Vc=")</f>
        <v>#VALUE!</v>
      </c>
      <c r="CK111" t="e">
        <f>AND('SPR BARRANQUILLA'!C132,"AAAAAHg/8Vg=")</f>
        <v>#VALUE!</v>
      </c>
      <c r="CL111" t="e">
        <f>AND('SPR BARRANQUILLA'!D132,"AAAAAHg/8Vk=")</f>
        <v>#VALUE!</v>
      </c>
      <c r="CM111" t="e">
        <f>AND('SPR BARRANQUILLA'!E132,"AAAAAHg/8Vo=")</f>
        <v>#VALUE!</v>
      </c>
      <c r="CN111" t="e">
        <f>AND('SPR BARRANQUILLA'!F132,"AAAAAHg/8Vs=")</f>
        <v>#VALUE!</v>
      </c>
      <c r="CO111" t="e">
        <f>AND('SPR BARRANQUILLA'!G132,"AAAAAHg/8Vw=")</f>
        <v>#VALUE!</v>
      </c>
      <c r="CP111" t="e">
        <f>AND('SPR BARRANQUILLA'!H132,"AAAAAHg/8V0=")</f>
        <v>#VALUE!</v>
      </c>
      <c r="CQ111" t="e">
        <f>AND('SPR BARRANQUILLA'!I132,"AAAAAHg/8V4=")</f>
        <v>#VALUE!</v>
      </c>
      <c r="CR111" t="e">
        <f>AND('SPR BARRANQUILLA'!J132,"AAAAAHg/8V8=")</f>
        <v>#VALUE!</v>
      </c>
      <c r="CS111" t="e">
        <f>AND('SPR BARRANQUILLA'!K132,"AAAAAHg/8WA=")</f>
        <v>#VALUE!</v>
      </c>
      <c r="CT111" t="e">
        <f>AND('SPR BARRANQUILLA'!L132,"AAAAAHg/8WE=")</f>
        <v>#VALUE!</v>
      </c>
      <c r="CU111" t="e">
        <f>AND('SPR BARRANQUILLA'!M132,"AAAAAHg/8WI=")</f>
        <v>#VALUE!</v>
      </c>
      <c r="CV111" t="e">
        <f>AND('SPR BARRANQUILLA'!N132,"AAAAAHg/8WM=")</f>
        <v>#VALUE!</v>
      </c>
      <c r="CW111" t="e">
        <f>AND('SPR BARRANQUILLA'!O132,"AAAAAHg/8WQ=")</f>
        <v>#VALUE!</v>
      </c>
      <c r="CX111" t="e">
        <f>AND('SPR BARRANQUILLA'!P132,"AAAAAHg/8WU=")</f>
        <v>#VALUE!</v>
      </c>
      <c r="CY111" t="e">
        <f>AND('SPR BARRANQUILLA'!Q132,"AAAAAHg/8WY=")</f>
        <v>#VALUE!</v>
      </c>
      <c r="CZ111" t="e">
        <f>AND('SPR BARRANQUILLA'!R132,"AAAAAHg/8Wc=")</f>
        <v>#VALUE!</v>
      </c>
      <c r="DA111" t="e">
        <f>AND('SPR BARRANQUILLA'!S132,"AAAAAHg/8Wg=")</f>
        <v>#VALUE!</v>
      </c>
      <c r="DB111" t="e">
        <f>AND('SPR BARRANQUILLA'!T132,"AAAAAHg/8Wk=")</f>
        <v>#VALUE!</v>
      </c>
      <c r="DC111" t="e">
        <f>AND('SPR BARRANQUILLA'!U132,"AAAAAHg/8Wo=")</f>
        <v>#VALUE!</v>
      </c>
      <c r="DD111" t="e">
        <f>AND('SPR BARRANQUILLA'!V132,"AAAAAHg/8Ws=")</f>
        <v>#VALUE!</v>
      </c>
      <c r="DE111" t="e">
        <f>AND('SPR BARRANQUILLA'!W132,"AAAAAHg/8Ww=")</f>
        <v>#VALUE!</v>
      </c>
      <c r="DF111" t="e">
        <f>AND('SPR BARRANQUILLA'!X132,"AAAAAHg/8W0=")</f>
        <v>#VALUE!</v>
      </c>
      <c r="DG111" t="e">
        <f>AND('SPR BARRANQUILLA'!Y132,"AAAAAHg/8W4=")</f>
        <v>#VALUE!</v>
      </c>
      <c r="DH111" t="e">
        <f>AND('SPR BARRANQUILLA'!Z132,"AAAAAHg/8W8=")</f>
        <v>#VALUE!</v>
      </c>
      <c r="DI111" t="e">
        <f>AND('SPR BARRANQUILLA'!AA132,"AAAAAHg/8XA=")</f>
        <v>#VALUE!</v>
      </c>
      <c r="DJ111" t="e">
        <f>AND('SPR BARRANQUILLA'!AB132,"AAAAAHg/8XE=")</f>
        <v>#VALUE!</v>
      </c>
      <c r="DK111" t="e">
        <f>AND('SPR BARRANQUILLA'!AC132,"AAAAAHg/8XI=")</f>
        <v>#VALUE!</v>
      </c>
      <c r="DL111" t="e">
        <f>AND('SPR BARRANQUILLA'!AD132,"AAAAAHg/8XM=")</f>
        <v>#VALUE!</v>
      </c>
      <c r="DM111" t="e">
        <f>AND('SPR BARRANQUILLA'!AE132,"AAAAAHg/8XQ=")</f>
        <v>#VALUE!</v>
      </c>
      <c r="DN111" t="e">
        <f>AND('SPR BARRANQUILLA'!AF132,"AAAAAHg/8XU=")</f>
        <v>#VALUE!</v>
      </c>
      <c r="DO111" t="e">
        <f>AND('SPR BARRANQUILLA'!AG132,"AAAAAHg/8XY=")</f>
        <v>#VALUE!</v>
      </c>
      <c r="DP111" t="e">
        <f>AND('SPR BARRANQUILLA'!AH132,"AAAAAHg/8Xc=")</f>
        <v>#VALUE!</v>
      </c>
      <c r="DQ111" t="e">
        <f>AND('SPR BARRANQUILLA'!AI132,"AAAAAHg/8Xg=")</f>
        <v>#VALUE!</v>
      </c>
      <c r="DR111" t="e">
        <f>AND('SPR BARRANQUILLA'!AJ132,"AAAAAHg/8Xk=")</f>
        <v>#VALUE!</v>
      </c>
      <c r="DS111" t="e">
        <f>AND('SPR BARRANQUILLA'!AK132,"AAAAAHg/8Xo=")</f>
        <v>#VALUE!</v>
      </c>
      <c r="DT111" t="e">
        <f>AND('SPR BARRANQUILLA'!AL132,"AAAAAHg/8Xs=")</f>
        <v>#VALUE!</v>
      </c>
      <c r="DU111" t="e">
        <f>AND('SPR BARRANQUILLA'!AM132,"AAAAAHg/8Xw=")</f>
        <v>#VALUE!</v>
      </c>
      <c r="DV111" t="e">
        <f>AND('SPR BARRANQUILLA'!AN132,"AAAAAHg/8X0=")</f>
        <v>#VALUE!</v>
      </c>
      <c r="DW111" t="e">
        <f>AND('SPR BARRANQUILLA'!AO132,"AAAAAHg/8X4=")</f>
        <v>#VALUE!</v>
      </c>
      <c r="DX111" t="e">
        <f>AND('SPR BARRANQUILLA'!AP132,"AAAAAHg/8X8=")</f>
        <v>#VALUE!</v>
      </c>
      <c r="DY111" t="e">
        <f>AND('SPR BARRANQUILLA'!AQ132,"AAAAAHg/8YA=")</f>
        <v>#VALUE!</v>
      </c>
      <c r="DZ111" t="e">
        <f>AND('SPR BARRANQUILLA'!AR132,"AAAAAHg/8YE=")</f>
        <v>#VALUE!</v>
      </c>
      <c r="EA111" t="e">
        <f>AND('SPR BARRANQUILLA'!AS132,"AAAAAHg/8YI=")</f>
        <v>#VALUE!</v>
      </c>
      <c r="EB111" t="e">
        <f>AND('SPR BARRANQUILLA'!AT132,"AAAAAHg/8YM=")</f>
        <v>#VALUE!</v>
      </c>
      <c r="EC111" t="e">
        <f>AND('SPR BARRANQUILLA'!AU132,"AAAAAHg/8YQ=")</f>
        <v>#VALUE!</v>
      </c>
      <c r="ED111" t="e">
        <f>AND('SPR BARRANQUILLA'!AV132,"AAAAAHg/8YU=")</f>
        <v>#VALUE!</v>
      </c>
      <c r="EE111" t="e">
        <f>AND('SPR BARRANQUILLA'!AW132,"AAAAAHg/8YY=")</f>
        <v>#VALUE!</v>
      </c>
      <c r="EF111" t="e">
        <f>AND('SPR BARRANQUILLA'!AX132,"AAAAAHg/8Yc=")</f>
        <v>#VALUE!</v>
      </c>
      <c r="EG111" t="e">
        <f>AND('SPR BARRANQUILLA'!AY132,"AAAAAHg/8Yg=")</f>
        <v>#VALUE!</v>
      </c>
      <c r="EH111" t="e">
        <f>AND('SPR BARRANQUILLA'!AZ132,"AAAAAHg/8Yk=")</f>
        <v>#VALUE!</v>
      </c>
      <c r="EI111" t="e">
        <f>AND('SPR BARRANQUILLA'!BA132,"AAAAAHg/8Yo=")</f>
        <v>#VALUE!</v>
      </c>
      <c r="EJ111" t="e">
        <f>AND('SPR BARRANQUILLA'!BB132,"AAAAAHg/8Ys=")</f>
        <v>#VALUE!</v>
      </c>
      <c r="EK111" t="e">
        <f>AND('SPR BARRANQUILLA'!BC132,"AAAAAHg/8Yw=")</f>
        <v>#VALUE!</v>
      </c>
      <c r="EL111" t="e">
        <f>AND('SPR BARRANQUILLA'!BD132,"AAAAAHg/8Y0=")</f>
        <v>#VALUE!</v>
      </c>
      <c r="EM111" t="e">
        <f>AND('SPR BARRANQUILLA'!BE132,"AAAAAHg/8Y4=")</f>
        <v>#VALUE!</v>
      </c>
      <c r="EN111" t="e">
        <f>AND('SPR BARRANQUILLA'!BF132,"AAAAAHg/8Y8=")</f>
        <v>#VALUE!</v>
      </c>
      <c r="EO111" t="e">
        <f>AND('SPR BARRANQUILLA'!BG132,"AAAAAHg/8ZA=")</f>
        <v>#VALUE!</v>
      </c>
      <c r="EP111" t="e">
        <f>AND('SPR BARRANQUILLA'!BH132,"AAAAAHg/8ZE=")</f>
        <v>#VALUE!</v>
      </c>
      <c r="EQ111" t="e">
        <f>AND('SPR BARRANQUILLA'!BI132,"AAAAAHg/8ZI=")</f>
        <v>#VALUE!</v>
      </c>
      <c r="ER111" t="e">
        <f>AND('SPR BARRANQUILLA'!BJ132,"AAAAAHg/8ZM=")</f>
        <v>#VALUE!</v>
      </c>
      <c r="ES111" t="e">
        <f>AND('SPR BARRANQUILLA'!BK132,"AAAAAHg/8ZQ=")</f>
        <v>#VALUE!</v>
      </c>
      <c r="ET111" t="e">
        <f>AND('SPR BARRANQUILLA'!BL132,"AAAAAHg/8ZU=")</f>
        <v>#VALUE!</v>
      </c>
      <c r="EU111" t="e">
        <f>AND('SPR BARRANQUILLA'!BM132,"AAAAAHg/8ZY=")</f>
        <v>#VALUE!</v>
      </c>
      <c r="EV111" t="e">
        <f>AND('SPR BARRANQUILLA'!BN132,"AAAAAHg/8Zc=")</f>
        <v>#VALUE!</v>
      </c>
      <c r="EW111" t="e">
        <f>AND('SPR BARRANQUILLA'!BO132,"AAAAAHg/8Zg=")</f>
        <v>#VALUE!</v>
      </c>
      <c r="EX111" t="e">
        <f>AND('SPR BARRANQUILLA'!BP132,"AAAAAHg/8Zk=")</f>
        <v>#VALUE!</v>
      </c>
      <c r="EY111" t="e">
        <f>AND('SPR BARRANQUILLA'!BQ132,"AAAAAHg/8Zo=")</f>
        <v>#VALUE!</v>
      </c>
      <c r="EZ111" t="e">
        <f>AND('SPR BARRANQUILLA'!BR132,"AAAAAHg/8Zs=")</f>
        <v>#VALUE!</v>
      </c>
      <c r="FA111" t="e">
        <f>AND('SPR BARRANQUILLA'!BS132,"AAAAAHg/8Zw=")</f>
        <v>#VALUE!</v>
      </c>
      <c r="FB111" t="e">
        <f>AND('SPR BARRANQUILLA'!BT132,"AAAAAHg/8Z0=")</f>
        <v>#VALUE!</v>
      </c>
      <c r="FC111" t="e">
        <f>AND('SPR BARRANQUILLA'!BU132,"AAAAAHg/8Z4=")</f>
        <v>#VALUE!</v>
      </c>
      <c r="FD111" t="e">
        <f>AND('SPR BARRANQUILLA'!BV132,"AAAAAHg/8Z8=")</f>
        <v>#VALUE!</v>
      </c>
      <c r="FE111" t="e">
        <f>AND('SPR BARRANQUILLA'!BW132,"AAAAAHg/8aA=")</f>
        <v>#VALUE!</v>
      </c>
      <c r="FF111" t="e">
        <f>AND('SPR BARRANQUILLA'!BX132,"AAAAAHg/8aE=")</f>
        <v>#VALUE!</v>
      </c>
      <c r="FG111" t="e">
        <f>AND('SPR BARRANQUILLA'!BY132,"AAAAAHg/8aI=")</f>
        <v>#VALUE!</v>
      </c>
      <c r="FH111" t="e">
        <f>AND('SPR BARRANQUILLA'!BZ132,"AAAAAHg/8aM=")</f>
        <v>#VALUE!</v>
      </c>
      <c r="FI111" t="e">
        <f>AND('SPR BARRANQUILLA'!CA132,"AAAAAHg/8aQ=")</f>
        <v>#VALUE!</v>
      </c>
      <c r="FJ111" t="e">
        <f>AND('SPR BARRANQUILLA'!CB132,"AAAAAHg/8aU=")</f>
        <v>#VALUE!</v>
      </c>
      <c r="FK111" t="e">
        <f>AND('SPR BARRANQUILLA'!CC132,"AAAAAHg/8aY=")</f>
        <v>#VALUE!</v>
      </c>
      <c r="FL111" t="e">
        <f>AND('SPR BARRANQUILLA'!CD132,"AAAAAHg/8ac=")</f>
        <v>#VALUE!</v>
      </c>
      <c r="FM111" t="e">
        <f>AND('SPR BARRANQUILLA'!CE132,"AAAAAHg/8ag=")</f>
        <v>#VALUE!</v>
      </c>
      <c r="FN111" t="e">
        <f>AND('SPR BARRANQUILLA'!CF132,"AAAAAHg/8ak=")</f>
        <v>#VALUE!</v>
      </c>
      <c r="FO111" t="e">
        <f>AND('SPR BARRANQUILLA'!CG132,"AAAAAHg/8ao=")</f>
        <v>#VALUE!</v>
      </c>
      <c r="FP111" t="e">
        <f>AND('SPR BARRANQUILLA'!CH132,"AAAAAHg/8as=")</f>
        <v>#VALUE!</v>
      </c>
      <c r="FQ111" t="e">
        <f>AND('SPR BARRANQUILLA'!CI132,"AAAAAHg/8aw=")</f>
        <v>#VALUE!</v>
      </c>
      <c r="FR111" t="e">
        <f>AND('SPR BARRANQUILLA'!CJ132,"AAAAAHg/8a0=")</f>
        <v>#VALUE!</v>
      </c>
      <c r="FS111" t="e">
        <f>AND('SPR BARRANQUILLA'!CK132,"AAAAAHg/8a4=")</f>
        <v>#VALUE!</v>
      </c>
      <c r="FT111" t="e">
        <f>AND('SPR BARRANQUILLA'!CL132,"AAAAAHg/8a8=")</f>
        <v>#VALUE!</v>
      </c>
      <c r="FU111" t="e">
        <f>AND('SPR BARRANQUILLA'!CM132,"AAAAAHg/8bA=")</f>
        <v>#VALUE!</v>
      </c>
      <c r="FV111" t="e">
        <f>AND('SPR BARRANQUILLA'!CN132,"AAAAAHg/8bE=")</f>
        <v>#VALUE!</v>
      </c>
      <c r="FW111" t="e">
        <f>AND('SPR BARRANQUILLA'!CO132,"AAAAAHg/8bI=")</f>
        <v>#VALUE!</v>
      </c>
      <c r="FX111" t="e">
        <f>AND('SPR BARRANQUILLA'!CP132,"AAAAAHg/8bM=")</f>
        <v>#VALUE!</v>
      </c>
      <c r="FY111" t="e">
        <f>AND('SPR BARRANQUILLA'!CQ132,"AAAAAHg/8bQ=")</f>
        <v>#VALUE!</v>
      </c>
      <c r="FZ111" t="e">
        <f>AND('SPR BARRANQUILLA'!CR132,"AAAAAHg/8bU=")</f>
        <v>#VALUE!</v>
      </c>
      <c r="GA111" t="e">
        <f>AND('SPR BARRANQUILLA'!CS132,"AAAAAHg/8bY=")</f>
        <v>#VALUE!</v>
      </c>
      <c r="GB111" t="e">
        <f>AND('SPR BARRANQUILLA'!CT132,"AAAAAHg/8bc=")</f>
        <v>#VALUE!</v>
      </c>
      <c r="GC111" t="e">
        <f>AND('SPR BARRANQUILLA'!CU132,"AAAAAHg/8bg=")</f>
        <v>#VALUE!</v>
      </c>
      <c r="GD111" t="e">
        <f>AND('SPR BARRANQUILLA'!CV132,"AAAAAHg/8bk=")</f>
        <v>#VALUE!</v>
      </c>
      <c r="GE111" t="e">
        <f>AND('SPR BARRANQUILLA'!CW132,"AAAAAHg/8bo=")</f>
        <v>#VALUE!</v>
      </c>
      <c r="GF111" t="e">
        <f>AND('SPR BARRANQUILLA'!CX132,"AAAAAHg/8bs=")</f>
        <v>#VALUE!</v>
      </c>
      <c r="GG111" t="e">
        <f>AND('SPR BARRANQUILLA'!CY132,"AAAAAHg/8bw=")</f>
        <v>#VALUE!</v>
      </c>
      <c r="GH111" t="e">
        <f>AND('SPR BARRANQUILLA'!CZ132,"AAAAAHg/8b0=")</f>
        <v>#VALUE!</v>
      </c>
      <c r="GI111" t="e">
        <f>AND('SPR BARRANQUILLA'!DA132,"AAAAAHg/8b4=")</f>
        <v>#VALUE!</v>
      </c>
      <c r="GJ111" t="e">
        <f>AND('SPR BARRANQUILLA'!DB132,"AAAAAHg/8b8=")</f>
        <v>#VALUE!</v>
      </c>
      <c r="GK111" t="e">
        <f>AND('SPR BARRANQUILLA'!DC132,"AAAAAHg/8cA=")</f>
        <v>#VALUE!</v>
      </c>
      <c r="GL111" t="e">
        <f>AND('SPR BARRANQUILLA'!DD132,"AAAAAHg/8cE=")</f>
        <v>#VALUE!</v>
      </c>
      <c r="GM111" t="e">
        <f>AND('SPR BARRANQUILLA'!DE132,"AAAAAHg/8cI=")</f>
        <v>#VALUE!</v>
      </c>
      <c r="GN111" t="e">
        <f>AND('SPR BARRANQUILLA'!DF132,"AAAAAHg/8cM=")</f>
        <v>#VALUE!</v>
      </c>
      <c r="GO111" t="e">
        <f>AND('SPR BARRANQUILLA'!DG132,"AAAAAHg/8cQ=")</f>
        <v>#VALUE!</v>
      </c>
      <c r="GP111" t="e">
        <f>AND('SPR BARRANQUILLA'!DH132,"AAAAAHg/8cU=")</f>
        <v>#VALUE!</v>
      </c>
      <c r="GQ111" t="e">
        <f>AND('SPR BARRANQUILLA'!DI132,"AAAAAHg/8cY=")</f>
        <v>#VALUE!</v>
      </c>
      <c r="GR111" t="e">
        <f>AND('SPR BARRANQUILLA'!DJ132,"AAAAAHg/8cc=")</f>
        <v>#VALUE!</v>
      </c>
      <c r="GS111" t="e">
        <f>AND('SPR BARRANQUILLA'!DK132,"AAAAAHg/8cg=")</f>
        <v>#VALUE!</v>
      </c>
      <c r="GT111" t="e">
        <f>AND('SPR BARRANQUILLA'!DL132,"AAAAAHg/8ck=")</f>
        <v>#VALUE!</v>
      </c>
      <c r="GU111" t="e">
        <f>AND('SPR BARRANQUILLA'!DM132,"AAAAAHg/8co=")</f>
        <v>#VALUE!</v>
      </c>
      <c r="GV111" t="e">
        <f>AND('SPR BARRANQUILLA'!DN132,"AAAAAHg/8cs=")</f>
        <v>#VALUE!</v>
      </c>
      <c r="GW111" t="e">
        <f>AND('SPR BARRANQUILLA'!DO132,"AAAAAHg/8cw=")</f>
        <v>#VALUE!</v>
      </c>
      <c r="GX111" t="e">
        <f>AND('SPR BARRANQUILLA'!DP132,"AAAAAHg/8c0=")</f>
        <v>#VALUE!</v>
      </c>
      <c r="GY111" t="e">
        <f>AND('SPR BARRANQUILLA'!DQ132,"AAAAAHg/8c4=")</f>
        <v>#VALUE!</v>
      </c>
      <c r="GZ111" t="e">
        <f>AND('SPR BARRANQUILLA'!DR132,"AAAAAHg/8c8=")</f>
        <v>#VALUE!</v>
      </c>
      <c r="HA111" t="e">
        <f>AND('SPR BARRANQUILLA'!DS132,"AAAAAHg/8dA=")</f>
        <v>#VALUE!</v>
      </c>
      <c r="HB111" t="e">
        <f>AND('SPR BARRANQUILLA'!DT132,"AAAAAHg/8dE=")</f>
        <v>#VALUE!</v>
      </c>
      <c r="HC111" t="e">
        <f>AND('SPR BARRANQUILLA'!DU132,"AAAAAHg/8dI=")</f>
        <v>#VALUE!</v>
      </c>
      <c r="HD111" t="e">
        <f>AND('SPR BARRANQUILLA'!DV132,"AAAAAHg/8dM=")</f>
        <v>#VALUE!</v>
      </c>
      <c r="HE111" t="e">
        <f>AND('SPR BARRANQUILLA'!DW132,"AAAAAHg/8dQ=")</f>
        <v>#VALUE!</v>
      </c>
      <c r="HF111" t="e">
        <f>AND('SPR BARRANQUILLA'!DX132,"AAAAAHg/8dU=")</f>
        <v>#VALUE!</v>
      </c>
      <c r="HG111" t="e">
        <f>AND('SPR BARRANQUILLA'!DY132,"AAAAAHg/8dY=")</f>
        <v>#VALUE!</v>
      </c>
      <c r="HH111" t="e">
        <f>AND('SPR BARRANQUILLA'!DZ132,"AAAAAHg/8dc=")</f>
        <v>#VALUE!</v>
      </c>
      <c r="HI111" t="e">
        <f>AND('SPR BARRANQUILLA'!EA132,"AAAAAHg/8dg=")</f>
        <v>#VALUE!</v>
      </c>
      <c r="HJ111" t="e">
        <f>AND('SPR BARRANQUILLA'!EB132,"AAAAAHg/8dk=")</f>
        <v>#VALUE!</v>
      </c>
      <c r="HK111" t="e">
        <f>AND('SPR BARRANQUILLA'!EC132,"AAAAAHg/8do=")</f>
        <v>#VALUE!</v>
      </c>
      <c r="HL111" t="e">
        <f>AND('SPR BARRANQUILLA'!ED132,"AAAAAHg/8ds=")</f>
        <v>#VALUE!</v>
      </c>
      <c r="HM111" t="e">
        <f>AND('SPR BARRANQUILLA'!EE132,"AAAAAHg/8dw=")</f>
        <v>#VALUE!</v>
      </c>
      <c r="HN111" t="e">
        <f>AND('SPR BARRANQUILLA'!EF132,"AAAAAHg/8d0=")</f>
        <v>#VALUE!</v>
      </c>
      <c r="HO111" t="e">
        <f>AND('SPR BARRANQUILLA'!EG132,"AAAAAHg/8d4=")</f>
        <v>#VALUE!</v>
      </c>
      <c r="HP111" t="e">
        <f>AND('SPR BARRANQUILLA'!EH132,"AAAAAHg/8d8=")</f>
        <v>#VALUE!</v>
      </c>
      <c r="HQ111" t="e">
        <f>AND('SPR BARRANQUILLA'!EI132,"AAAAAHg/8eA=")</f>
        <v>#VALUE!</v>
      </c>
      <c r="HR111" t="e">
        <f>AND('SPR BARRANQUILLA'!EJ132,"AAAAAHg/8eE=")</f>
        <v>#VALUE!</v>
      </c>
      <c r="HS111" t="e">
        <f>AND('SPR BARRANQUILLA'!EK132,"AAAAAHg/8eI=")</f>
        <v>#VALUE!</v>
      </c>
      <c r="HT111" t="e">
        <f>AND('SPR BARRANQUILLA'!EL132,"AAAAAHg/8eM=")</f>
        <v>#VALUE!</v>
      </c>
      <c r="HU111" t="e">
        <f>AND('SPR BARRANQUILLA'!EM132,"AAAAAHg/8eQ=")</f>
        <v>#VALUE!</v>
      </c>
      <c r="HV111" t="e">
        <f>AND('SPR BARRANQUILLA'!EN132,"AAAAAHg/8eU=")</f>
        <v>#VALUE!</v>
      </c>
      <c r="HW111" t="e">
        <f>AND('SPR BARRANQUILLA'!EO132,"AAAAAHg/8eY=")</f>
        <v>#VALUE!</v>
      </c>
      <c r="HX111" t="e">
        <f>AND('SPR BARRANQUILLA'!EP132,"AAAAAHg/8ec=")</f>
        <v>#VALUE!</v>
      </c>
      <c r="HY111" t="e">
        <f>AND('SPR BARRANQUILLA'!EQ132,"AAAAAHg/8eg=")</f>
        <v>#VALUE!</v>
      </c>
      <c r="HZ111" t="e">
        <f>AND('SPR BARRANQUILLA'!ER132,"AAAAAHg/8ek=")</f>
        <v>#VALUE!</v>
      </c>
      <c r="IA111" t="e">
        <f>AND('SPR BARRANQUILLA'!ES132,"AAAAAHg/8eo=")</f>
        <v>#VALUE!</v>
      </c>
      <c r="IB111" t="e">
        <f>AND('SPR BARRANQUILLA'!ET132,"AAAAAHg/8es=")</f>
        <v>#VALUE!</v>
      </c>
      <c r="IC111" t="e">
        <f>AND('SPR BARRANQUILLA'!EU132,"AAAAAHg/8ew=")</f>
        <v>#VALUE!</v>
      </c>
      <c r="ID111" t="e">
        <f>AND('SPR BARRANQUILLA'!EV132,"AAAAAHg/8e0=")</f>
        <v>#VALUE!</v>
      </c>
      <c r="IE111" t="e">
        <f>AND('SPR BARRANQUILLA'!EW132,"AAAAAHg/8e4=")</f>
        <v>#VALUE!</v>
      </c>
      <c r="IF111" t="e">
        <f>AND('SPR BARRANQUILLA'!EX132,"AAAAAHg/8e8=")</f>
        <v>#VALUE!</v>
      </c>
      <c r="IG111" t="e">
        <f>AND('SPR BARRANQUILLA'!EY132,"AAAAAHg/8fA=")</f>
        <v>#VALUE!</v>
      </c>
      <c r="IH111" t="e">
        <f>AND('SPR BARRANQUILLA'!EZ132,"AAAAAHg/8fE=")</f>
        <v>#VALUE!</v>
      </c>
      <c r="II111" t="e">
        <f>AND('SPR BARRANQUILLA'!FA132,"AAAAAHg/8fI=")</f>
        <v>#VALUE!</v>
      </c>
      <c r="IJ111" t="e">
        <f>AND('SPR BARRANQUILLA'!FB132,"AAAAAHg/8fM=")</f>
        <v>#VALUE!</v>
      </c>
      <c r="IK111" t="e">
        <f>AND('SPR BARRANQUILLA'!FC132,"AAAAAHg/8fQ=")</f>
        <v>#VALUE!</v>
      </c>
      <c r="IL111" t="e">
        <f>AND('SPR BARRANQUILLA'!FD132,"AAAAAHg/8fU=")</f>
        <v>#VALUE!</v>
      </c>
      <c r="IM111" t="e">
        <f>AND('SPR BARRANQUILLA'!FE132,"AAAAAHg/8fY=")</f>
        <v>#VALUE!</v>
      </c>
      <c r="IN111" t="e">
        <f>AND('SPR BARRANQUILLA'!FF132,"AAAAAHg/8fc=")</f>
        <v>#VALUE!</v>
      </c>
      <c r="IO111" t="e">
        <f>AND('SPR BARRANQUILLA'!FG132,"AAAAAHg/8fg=")</f>
        <v>#VALUE!</v>
      </c>
      <c r="IP111" t="e">
        <f>AND('SPR BARRANQUILLA'!FH132,"AAAAAHg/8fk=")</f>
        <v>#VALUE!</v>
      </c>
      <c r="IQ111" t="e">
        <f>AND('SPR BARRANQUILLA'!FI132,"AAAAAHg/8fo=")</f>
        <v>#VALUE!</v>
      </c>
      <c r="IR111" t="e">
        <f>AND('SPR BARRANQUILLA'!FJ132,"AAAAAHg/8fs=")</f>
        <v>#VALUE!</v>
      </c>
      <c r="IS111" t="e">
        <f>AND('SPR BARRANQUILLA'!FK132,"AAAAAHg/8fw=")</f>
        <v>#VALUE!</v>
      </c>
      <c r="IT111" t="e">
        <f>AND('SPR BARRANQUILLA'!FL132,"AAAAAHg/8f0=")</f>
        <v>#VALUE!</v>
      </c>
      <c r="IU111" t="e">
        <f>AND('SPR BARRANQUILLA'!FM132,"AAAAAHg/8f4=")</f>
        <v>#VALUE!</v>
      </c>
      <c r="IV111" t="e">
        <f>AND('SPR BARRANQUILLA'!FN132,"AAAAAHg/8f8=")</f>
        <v>#VALUE!</v>
      </c>
    </row>
    <row r="112" spans="1:256">
      <c r="A112" t="e">
        <f>AND('SPR BARRANQUILLA'!FO132,"AAAAAH3v3gA=")</f>
        <v>#VALUE!</v>
      </c>
      <c r="B112" t="e">
        <f>AND('SPR BARRANQUILLA'!FP132,"AAAAAH3v3gE=")</f>
        <v>#VALUE!</v>
      </c>
      <c r="C112" t="e">
        <f>AND('SPR BARRANQUILLA'!FQ132,"AAAAAH3v3gI=")</f>
        <v>#VALUE!</v>
      </c>
      <c r="D112" t="e">
        <f>AND('SPR BARRANQUILLA'!FR132,"AAAAAH3v3gM=")</f>
        <v>#VALUE!</v>
      </c>
      <c r="E112" t="e">
        <f>AND('SPR BARRANQUILLA'!FS132,"AAAAAH3v3gQ=")</f>
        <v>#VALUE!</v>
      </c>
      <c r="F112" t="e">
        <f>AND('SPR BARRANQUILLA'!FT132,"AAAAAH3v3gU=")</f>
        <v>#VALUE!</v>
      </c>
      <c r="G112" t="e">
        <f>AND('SPR BARRANQUILLA'!FU132,"AAAAAH3v3gY=")</f>
        <v>#VALUE!</v>
      </c>
      <c r="H112" t="e">
        <f>AND('SPR BARRANQUILLA'!FV132,"AAAAAH3v3gc=")</f>
        <v>#VALUE!</v>
      </c>
      <c r="I112" t="e">
        <f>AND('SPR BARRANQUILLA'!FW132,"AAAAAH3v3gg=")</f>
        <v>#VALUE!</v>
      </c>
      <c r="J112" t="e">
        <f>AND('SPR BARRANQUILLA'!FX132,"AAAAAH3v3gk=")</f>
        <v>#VALUE!</v>
      </c>
      <c r="K112" t="e">
        <f>AND('SPR BARRANQUILLA'!FY132,"AAAAAH3v3go=")</f>
        <v>#VALUE!</v>
      </c>
      <c r="L112" t="e">
        <f>AND('SPR BARRANQUILLA'!FZ132,"AAAAAH3v3gs=")</f>
        <v>#VALUE!</v>
      </c>
      <c r="M112" t="e">
        <f>AND('SPR BARRANQUILLA'!GA132,"AAAAAH3v3gw=")</f>
        <v>#VALUE!</v>
      </c>
      <c r="N112" t="e">
        <f>AND('SPR BARRANQUILLA'!GB132,"AAAAAH3v3g0=")</f>
        <v>#VALUE!</v>
      </c>
      <c r="O112" t="e">
        <f>AND('SPR BARRANQUILLA'!GC132,"AAAAAH3v3g4=")</f>
        <v>#VALUE!</v>
      </c>
      <c r="P112" t="e">
        <f>AND('SPR BARRANQUILLA'!GD132,"AAAAAH3v3g8=")</f>
        <v>#VALUE!</v>
      </c>
      <c r="Q112" t="e">
        <f>AND('SPR BARRANQUILLA'!GE132,"AAAAAH3v3hA=")</f>
        <v>#VALUE!</v>
      </c>
      <c r="R112" t="e">
        <f>AND('SPR BARRANQUILLA'!GF132,"AAAAAH3v3hE=")</f>
        <v>#VALUE!</v>
      </c>
      <c r="S112" t="e">
        <f>AND('SPR BARRANQUILLA'!GG132,"AAAAAH3v3hI=")</f>
        <v>#VALUE!</v>
      </c>
      <c r="T112" t="e">
        <f>AND('SPR BARRANQUILLA'!GH132,"AAAAAH3v3hM=")</f>
        <v>#VALUE!</v>
      </c>
      <c r="U112" t="e">
        <f>AND('SPR BARRANQUILLA'!GI132,"AAAAAH3v3hQ=")</f>
        <v>#VALUE!</v>
      </c>
      <c r="V112" t="e">
        <f>AND('SPR BARRANQUILLA'!GJ132,"AAAAAH3v3hU=")</f>
        <v>#VALUE!</v>
      </c>
      <c r="W112" t="e">
        <f>AND('SPR BARRANQUILLA'!GK132,"AAAAAH3v3hY=")</f>
        <v>#VALUE!</v>
      </c>
      <c r="X112" t="e">
        <f>AND('SPR BARRANQUILLA'!GL132,"AAAAAH3v3hc=")</f>
        <v>#VALUE!</v>
      </c>
      <c r="Y112" t="e">
        <f>AND('SPR BARRANQUILLA'!GM132,"AAAAAH3v3hg=")</f>
        <v>#VALUE!</v>
      </c>
      <c r="Z112" t="e">
        <f>AND('SPR BARRANQUILLA'!GN132,"AAAAAH3v3hk=")</f>
        <v>#VALUE!</v>
      </c>
      <c r="AA112" t="e">
        <f>AND('SPR BARRANQUILLA'!GO132,"AAAAAH3v3ho=")</f>
        <v>#VALUE!</v>
      </c>
      <c r="AB112" t="e">
        <f>AND('SPR BARRANQUILLA'!GP132,"AAAAAH3v3hs=")</f>
        <v>#VALUE!</v>
      </c>
      <c r="AC112" t="e">
        <f>AND('SPR BARRANQUILLA'!GQ132,"AAAAAH3v3hw=")</f>
        <v>#VALUE!</v>
      </c>
      <c r="AD112" t="e">
        <f>AND('SPR BARRANQUILLA'!GR132,"AAAAAH3v3h0=")</f>
        <v>#VALUE!</v>
      </c>
      <c r="AE112" t="e">
        <f>AND('SPR BARRANQUILLA'!GS132,"AAAAAH3v3h4=")</f>
        <v>#VALUE!</v>
      </c>
      <c r="AF112" t="e">
        <f>AND('SPR BARRANQUILLA'!GT132,"AAAAAH3v3h8=")</f>
        <v>#VALUE!</v>
      </c>
      <c r="AG112" t="e">
        <f>AND('SPR BARRANQUILLA'!GU132,"AAAAAH3v3iA=")</f>
        <v>#VALUE!</v>
      </c>
      <c r="AH112" t="e">
        <f>AND('SPR BARRANQUILLA'!GV132,"AAAAAH3v3iE=")</f>
        <v>#VALUE!</v>
      </c>
      <c r="AI112" t="e">
        <f>AND('SPR BARRANQUILLA'!GW132,"AAAAAH3v3iI=")</f>
        <v>#VALUE!</v>
      </c>
      <c r="AJ112" t="e">
        <f>AND('SPR BARRANQUILLA'!GX132,"AAAAAH3v3iM=")</f>
        <v>#VALUE!</v>
      </c>
      <c r="AK112" t="e">
        <f>AND('SPR BARRANQUILLA'!GY132,"AAAAAH3v3iQ=")</f>
        <v>#VALUE!</v>
      </c>
      <c r="AL112">
        <f>IF('SPR BARRANQUILLA'!133:133,"AAAAAH3v3iU=",0)</f>
        <v>0</v>
      </c>
      <c r="AM112" t="e">
        <f>AND('SPR BARRANQUILLA'!A133,"AAAAAH3v3iY=")</f>
        <v>#VALUE!</v>
      </c>
      <c r="AN112" t="e">
        <f>AND('SPR BARRANQUILLA'!B133,"AAAAAH3v3ic=")</f>
        <v>#VALUE!</v>
      </c>
      <c r="AO112" t="e">
        <f>AND('SPR BARRANQUILLA'!C133,"AAAAAH3v3ig=")</f>
        <v>#VALUE!</v>
      </c>
      <c r="AP112" t="e">
        <f>AND('SPR BARRANQUILLA'!D133,"AAAAAH3v3ik=")</f>
        <v>#VALUE!</v>
      </c>
      <c r="AQ112" t="e">
        <f>AND('SPR BARRANQUILLA'!E133,"AAAAAH3v3io=")</f>
        <v>#VALUE!</v>
      </c>
      <c r="AR112" t="e">
        <f>AND('SPR BARRANQUILLA'!F133,"AAAAAH3v3is=")</f>
        <v>#VALUE!</v>
      </c>
      <c r="AS112" t="e">
        <f>AND('SPR BARRANQUILLA'!G133,"AAAAAH3v3iw=")</f>
        <v>#VALUE!</v>
      </c>
      <c r="AT112" t="e">
        <f>AND('SPR BARRANQUILLA'!H133,"AAAAAH3v3i0=")</f>
        <v>#VALUE!</v>
      </c>
      <c r="AU112" t="e">
        <f>AND('SPR BARRANQUILLA'!I133,"AAAAAH3v3i4=")</f>
        <v>#VALUE!</v>
      </c>
      <c r="AV112" t="e">
        <f>AND('SPR BARRANQUILLA'!J133,"AAAAAH3v3i8=")</f>
        <v>#VALUE!</v>
      </c>
      <c r="AW112" t="e">
        <f>AND('SPR BARRANQUILLA'!K133,"AAAAAH3v3jA=")</f>
        <v>#VALUE!</v>
      </c>
      <c r="AX112" t="e">
        <f>AND('SPR BARRANQUILLA'!L133,"AAAAAH3v3jE=")</f>
        <v>#VALUE!</v>
      </c>
      <c r="AY112" t="e">
        <f>AND('SPR BARRANQUILLA'!M133,"AAAAAH3v3jI=")</f>
        <v>#VALUE!</v>
      </c>
      <c r="AZ112" t="e">
        <f>AND('SPR BARRANQUILLA'!N133,"AAAAAH3v3jM=")</f>
        <v>#VALUE!</v>
      </c>
      <c r="BA112" t="e">
        <f>AND('SPR BARRANQUILLA'!O133,"AAAAAH3v3jQ=")</f>
        <v>#VALUE!</v>
      </c>
      <c r="BB112" t="e">
        <f>AND('SPR BARRANQUILLA'!P133,"AAAAAH3v3jU=")</f>
        <v>#VALUE!</v>
      </c>
      <c r="BC112" t="e">
        <f>AND('SPR BARRANQUILLA'!Q133,"AAAAAH3v3jY=")</f>
        <v>#VALUE!</v>
      </c>
      <c r="BD112" t="e">
        <f>AND('SPR BARRANQUILLA'!R133,"AAAAAH3v3jc=")</f>
        <v>#VALUE!</v>
      </c>
      <c r="BE112" t="e">
        <f>AND('SPR BARRANQUILLA'!S133,"AAAAAH3v3jg=")</f>
        <v>#VALUE!</v>
      </c>
      <c r="BF112" t="e">
        <f>AND('SPR BARRANQUILLA'!T133,"AAAAAH3v3jk=")</f>
        <v>#VALUE!</v>
      </c>
      <c r="BG112" t="e">
        <f>AND('SPR BARRANQUILLA'!U133,"AAAAAH3v3jo=")</f>
        <v>#VALUE!</v>
      </c>
      <c r="BH112" t="e">
        <f>AND('SPR BARRANQUILLA'!V133,"AAAAAH3v3js=")</f>
        <v>#VALUE!</v>
      </c>
      <c r="BI112" t="e">
        <f>AND('SPR BARRANQUILLA'!W133,"AAAAAH3v3jw=")</f>
        <v>#VALUE!</v>
      </c>
      <c r="BJ112" t="e">
        <f>AND('SPR BARRANQUILLA'!X133,"AAAAAH3v3j0=")</f>
        <v>#VALUE!</v>
      </c>
      <c r="BK112" t="e">
        <f>AND('SPR BARRANQUILLA'!Y133,"AAAAAH3v3j4=")</f>
        <v>#VALUE!</v>
      </c>
      <c r="BL112" t="e">
        <f>AND('SPR BARRANQUILLA'!Z133,"AAAAAH3v3j8=")</f>
        <v>#VALUE!</v>
      </c>
      <c r="BM112" t="e">
        <f>AND('SPR BARRANQUILLA'!AA133,"AAAAAH3v3kA=")</f>
        <v>#VALUE!</v>
      </c>
      <c r="BN112" t="e">
        <f>AND('SPR BARRANQUILLA'!AB133,"AAAAAH3v3kE=")</f>
        <v>#VALUE!</v>
      </c>
      <c r="BO112" t="e">
        <f>AND('SPR BARRANQUILLA'!AC133,"AAAAAH3v3kI=")</f>
        <v>#VALUE!</v>
      </c>
      <c r="BP112" t="e">
        <f>AND('SPR BARRANQUILLA'!AD133,"AAAAAH3v3kM=")</f>
        <v>#VALUE!</v>
      </c>
      <c r="BQ112" t="e">
        <f>AND('SPR BARRANQUILLA'!AE133,"AAAAAH3v3kQ=")</f>
        <v>#VALUE!</v>
      </c>
      <c r="BR112" t="e">
        <f>AND('SPR BARRANQUILLA'!AF133,"AAAAAH3v3kU=")</f>
        <v>#VALUE!</v>
      </c>
      <c r="BS112" t="e">
        <f>AND('SPR BARRANQUILLA'!AG133,"AAAAAH3v3kY=")</f>
        <v>#VALUE!</v>
      </c>
      <c r="BT112" t="e">
        <f>AND('SPR BARRANQUILLA'!AH133,"AAAAAH3v3kc=")</f>
        <v>#VALUE!</v>
      </c>
      <c r="BU112" t="e">
        <f>AND('SPR BARRANQUILLA'!AI133,"AAAAAH3v3kg=")</f>
        <v>#VALUE!</v>
      </c>
      <c r="BV112" t="e">
        <f>AND('SPR BARRANQUILLA'!AJ133,"AAAAAH3v3kk=")</f>
        <v>#VALUE!</v>
      </c>
      <c r="BW112" t="e">
        <f>AND('SPR BARRANQUILLA'!AK133,"AAAAAH3v3ko=")</f>
        <v>#VALUE!</v>
      </c>
      <c r="BX112" t="e">
        <f>AND('SPR BARRANQUILLA'!AL133,"AAAAAH3v3ks=")</f>
        <v>#VALUE!</v>
      </c>
      <c r="BY112" t="e">
        <f>AND('SPR BARRANQUILLA'!AM133,"AAAAAH3v3kw=")</f>
        <v>#VALUE!</v>
      </c>
      <c r="BZ112" t="e">
        <f>AND('SPR BARRANQUILLA'!AN133,"AAAAAH3v3k0=")</f>
        <v>#VALUE!</v>
      </c>
      <c r="CA112" t="e">
        <f>AND('SPR BARRANQUILLA'!AO133,"AAAAAH3v3k4=")</f>
        <v>#VALUE!</v>
      </c>
      <c r="CB112" t="e">
        <f>AND('SPR BARRANQUILLA'!AP133,"AAAAAH3v3k8=")</f>
        <v>#VALUE!</v>
      </c>
      <c r="CC112" t="e">
        <f>AND('SPR BARRANQUILLA'!AQ133,"AAAAAH3v3lA=")</f>
        <v>#VALUE!</v>
      </c>
      <c r="CD112" t="e">
        <f>AND('SPR BARRANQUILLA'!AR133,"AAAAAH3v3lE=")</f>
        <v>#VALUE!</v>
      </c>
      <c r="CE112" t="e">
        <f>AND('SPR BARRANQUILLA'!AS133,"AAAAAH3v3lI=")</f>
        <v>#VALUE!</v>
      </c>
      <c r="CF112" t="e">
        <f>AND('SPR BARRANQUILLA'!AT133,"AAAAAH3v3lM=")</f>
        <v>#VALUE!</v>
      </c>
      <c r="CG112" t="e">
        <f>AND('SPR BARRANQUILLA'!AU133,"AAAAAH3v3lQ=")</f>
        <v>#VALUE!</v>
      </c>
      <c r="CH112" t="e">
        <f>AND('SPR BARRANQUILLA'!AV133,"AAAAAH3v3lU=")</f>
        <v>#VALUE!</v>
      </c>
      <c r="CI112" t="e">
        <f>AND('SPR BARRANQUILLA'!AW133,"AAAAAH3v3lY=")</f>
        <v>#VALUE!</v>
      </c>
      <c r="CJ112" t="e">
        <f>AND('SPR BARRANQUILLA'!AX133,"AAAAAH3v3lc=")</f>
        <v>#VALUE!</v>
      </c>
      <c r="CK112" t="e">
        <f>AND('SPR BARRANQUILLA'!AY133,"AAAAAH3v3lg=")</f>
        <v>#VALUE!</v>
      </c>
      <c r="CL112" t="e">
        <f>AND('SPR BARRANQUILLA'!AZ133,"AAAAAH3v3lk=")</f>
        <v>#VALUE!</v>
      </c>
      <c r="CM112" t="e">
        <f>AND('SPR BARRANQUILLA'!BA133,"AAAAAH3v3lo=")</f>
        <v>#VALUE!</v>
      </c>
      <c r="CN112" t="e">
        <f>AND('SPR BARRANQUILLA'!BB133,"AAAAAH3v3ls=")</f>
        <v>#VALUE!</v>
      </c>
      <c r="CO112" t="e">
        <f>AND('SPR BARRANQUILLA'!BC133,"AAAAAH3v3lw=")</f>
        <v>#VALUE!</v>
      </c>
      <c r="CP112" t="e">
        <f>AND('SPR BARRANQUILLA'!BD133,"AAAAAH3v3l0=")</f>
        <v>#VALUE!</v>
      </c>
      <c r="CQ112" t="e">
        <f>AND('SPR BARRANQUILLA'!BE133,"AAAAAH3v3l4=")</f>
        <v>#VALUE!</v>
      </c>
      <c r="CR112" t="e">
        <f>AND('SPR BARRANQUILLA'!BF133,"AAAAAH3v3l8=")</f>
        <v>#VALUE!</v>
      </c>
      <c r="CS112" t="e">
        <f>AND('SPR BARRANQUILLA'!BG133,"AAAAAH3v3mA=")</f>
        <v>#VALUE!</v>
      </c>
      <c r="CT112" t="e">
        <f>AND('SPR BARRANQUILLA'!BH133,"AAAAAH3v3mE=")</f>
        <v>#VALUE!</v>
      </c>
      <c r="CU112" t="e">
        <f>AND('SPR BARRANQUILLA'!BI133,"AAAAAH3v3mI=")</f>
        <v>#VALUE!</v>
      </c>
      <c r="CV112" t="e">
        <f>AND('SPR BARRANQUILLA'!BJ133,"AAAAAH3v3mM=")</f>
        <v>#VALUE!</v>
      </c>
      <c r="CW112" t="e">
        <f>AND('SPR BARRANQUILLA'!BK133,"AAAAAH3v3mQ=")</f>
        <v>#VALUE!</v>
      </c>
      <c r="CX112" t="e">
        <f>AND('SPR BARRANQUILLA'!BL133,"AAAAAH3v3mU=")</f>
        <v>#VALUE!</v>
      </c>
      <c r="CY112" t="e">
        <f>AND('SPR BARRANQUILLA'!BM133,"AAAAAH3v3mY=")</f>
        <v>#VALUE!</v>
      </c>
      <c r="CZ112" t="e">
        <f>AND('SPR BARRANQUILLA'!BN133,"AAAAAH3v3mc=")</f>
        <v>#VALUE!</v>
      </c>
      <c r="DA112" t="e">
        <f>AND('SPR BARRANQUILLA'!BO133,"AAAAAH3v3mg=")</f>
        <v>#VALUE!</v>
      </c>
      <c r="DB112" t="e">
        <f>AND('SPR BARRANQUILLA'!BP133,"AAAAAH3v3mk=")</f>
        <v>#VALUE!</v>
      </c>
      <c r="DC112" t="e">
        <f>AND('SPR BARRANQUILLA'!BQ133,"AAAAAH3v3mo=")</f>
        <v>#VALUE!</v>
      </c>
      <c r="DD112" t="e">
        <f>AND('SPR BARRANQUILLA'!BR133,"AAAAAH3v3ms=")</f>
        <v>#VALUE!</v>
      </c>
      <c r="DE112" t="e">
        <f>AND('SPR BARRANQUILLA'!BS133,"AAAAAH3v3mw=")</f>
        <v>#VALUE!</v>
      </c>
      <c r="DF112" t="e">
        <f>AND('SPR BARRANQUILLA'!BT133,"AAAAAH3v3m0=")</f>
        <v>#VALUE!</v>
      </c>
      <c r="DG112" t="e">
        <f>AND('SPR BARRANQUILLA'!BU133,"AAAAAH3v3m4=")</f>
        <v>#VALUE!</v>
      </c>
      <c r="DH112" t="e">
        <f>AND('SPR BARRANQUILLA'!BV133,"AAAAAH3v3m8=")</f>
        <v>#VALUE!</v>
      </c>
      <c r="DI112" t="e">
        <f>AND('SPR BARRANQUILLA'!BW133,"AAAAAH3v3nA=")</f>
        <v>#VALUE!</v>
      </c>
      <c r="DJ112" t="e">
        <f>AND('SPR BARRANQUILLA'!BX133,"AAAAAH3v3nE=")</f>
        <v>#VALUE!</v>
      </c>
      <c r="DK112" t="e">
        <f>AND('SPR BARRANQUILLA'!BY133,"AAAAAH3v3nI=")</f>
        <v>#VALUE!</v>
      </c>
      <c r="DL112" t="e">
        <f>AND('SPR BARRANQUILLA'!BZ133,"AAAAAH3v3nM=")</f>
        <v>#VALUE!</v>
      </c>
      <c r="DM112" t="e">
        <f>AND('SPR BARRANQUILLA'!CA133,"AAAAAH3v3nQ=")</f>
        <v>#VALUE!</v>
      </c>
      <c r="DN112" t="e">
        <f>AND('SPR BARRANQUILLA'!CB133,"AAAAAH3v3nU=")</f>
        <v>#VALUE!</v>
      </c>
      <c r="DO112" t="e">
        <f>AND('SPR BARRANQUILLA'!CC133,"AAAAAH3v3nY=")</f>
        <v>#VALUE!</v>
      </c>
      <c r="DP112" t="e">
        <f>AND('SPR BARRANQUILLA'!CD133,"AAAAAH3v3nc=")</f>
        <v>#VALUE!</v>
      </c>
      <c r="DQ112" t="e">
        <f>AND('SPR BARRANQUILLA'!CE133,"AAAAAH3v3ng=")</f>
        <v>#VALUE!</v>
      </c>
      <c r="DR112" t="e">
        <f>AND('SPR BARRANQUILLA'!CF133,"AAAAAH3v3nk=")</f>
        <v>#VALUE!</v>
      </c>
      <c r="DS112" t="e">
        <f>AND('SPR BARRANQUILLA'!CG133,"AAAAAH3v3no=")</f>
        <v>#VALUE!</v>
      </c>
      <c r="DT112" t="e">
        <f>AND('SPR BARRANQUILLA'!CH133,"AAAAAH3v3ns=")</f>
        <v>#VALUE!</v>
      </c>
      <c r="DU112" t="e">
        <f>AND('SPR BARRANQUILLA'!CI133,"AAAAAH3v3nw=")</f>
        <v>#VALUE!</v>
      </c>
      <c r="DV112" t="e">
        <f>AND('SPR BARRANQUILLA'!CJ133,"AAAAAH3v3n0=")</f>
        <v>#VALUE!</v>
      </c>
      <c r="DW112" t="e">
        <f>AND('SPR BARRANQUILLA'!CK133,"AAAAAH3v3n4=")</f>
        <v>#VALUE!</v>
      </c>
      <c r="DX112" t="e">
        <f>AND('SPR BARRANQUILLA'!CL133,"AAAAAH3v3n8=")</f>
        <v>#VALUE!</v>
      </c>
      <c r="DY112" t="e">
        <f>AND('SPR BARRANQUILLA'!CM133,"AAAAAH3v3oA=")</f>
        <v>#VALUE!</v>
      </c>
      <c r="DZ112" t="e">
        <f>AND('SPR BARRANQUILLA'!CN133,"AAAAAH3v3oE=")</f>
        <v>#VALUE!</v>
      </c>
      <c r="EA112" t="e">
        <f>AND('SPR BARRANQUILLA'!CO133,"AAAAAH3v3oI=")</f>
        <v>#VALUE!</v>
      </c>
      <c r="EB112" t="e">
        <f>AND('SPR BARRANQUILLA'!CP133,"AAAAAH3v3oM=")</f>
        <v>#VALUE!</v>
      </c>
      <c r="EC112" t="e">
        <f>AND('SPR BARRANQUILLA'!CQ133,"AAAAAH3v3oQ=")</f>
        <v>#VALUE!</v>
      </c>
      <c r="ED112" t="e">
        <f>AND('SPR BARRANQUILLA'!CR133,"AAAAAH3v3oU=")</f>
        <v>#VALUE!</v>
      </c>
      <c r="EE112" t="e">
        <f>AND('SPR BARRANQUILLA'!CS133,"AAAAAH3v3oY=")</f>
        <v>#VALUE!</v>
      </c>
      <c r="EF112" t="e">
        <f>AND('SPR BARRANQUILLA'!CT133,"AAAAAH3v3oc=")</f>
        <v>#VALUE!</v>
      </c>
      <c r="EG112" t="e">
        <f>AND('SPR BARRANQUILLA'!CU133,"AAAAAH3v3og=")</f>
        <v>#VALUE!</v>
      </c>
      <c r="EH112" t="e">
        <f>AND('SPR BARRANQUILLA'!CV133,"AAAAAH3v3ok=")</f>
        <v>#VALUE!</v>
      </c>
      <c r="EI112" t="e">
        <f>AND('SPR BARRANQUILLA'!CW133,"AAAAAH3v3oo=")</f>
        <v>#VALUE!</v>
      </c>
      <c r="EJ112" t="e">
        <f>AND('SPR BARRANQUILLA'!CX133,"AAAAAH3v3os=")</f>
        <v>#VALUE!</v>
      </c>
      <c r="EK112" t="e">
        <f>AND('SPR BARRANQUILLA'!CY133,"AAAAAH3v3ow=")</f>
        <v>#VALUE!</v>
      </c>
      <c r="EL112" t="e">
        <f>AND('SPR BARRANQUILLA'!CZ133,"AAAAAH3v3o0=")</f>
        <v>#VALUE!</v>
      </c>
      <c r="EM112" t="e">
        <f>AND('SPR BARRANQUILLA'!DA133,"AAAAAH3v3o4=")</f>
        <v>#VALUE!</v>
      </c>
      <c r="EN112" t="e">
        <f>AND('SPR BARRANQUILLA'!DB133,"AAAAAH3v3o8=")</f>
        <v>#VALUE!</v>
      </c>
      <c r="EO112" t="e">
        <f>AND('SPR BARRANQUILLA'!DC133,"AAAAAH3v3pA=")</f>
        <v>#VALUE!</v>
      </c>
      <c r="EP112" t="e">
        <f>AND('SPR BARRANQUILLA'!DD133,"AAAAAH3v3pE=")</f>
        <v>#VALUE!</v>
      </c>
      <c r="EQ112" t="e">
        <f>AND('SPR BARRANQUILLA'!DE133,"AAAAAH3v3pI=")</f>
        <v>#VALUE!</v>
      </c>
      <c r="ER112" t="e">
        <f>AND('SPR BARRANQUILLA'!DF133,"AAAAAH3v3pM=")</f>
        <v>#VALUE!</v>
      </c>
      <c r="ES112" t="e">
        <f>AND('SPR BARRANQUILLA'!DG133,"AAAAAH3v3pQ=")</f>
        <v>#VALUE!</v>
      </c>
      <c r="ET112" t="e">
        <f>AND('SPR BARRANQUILLA'!DH133,"AAAAAH3v3pU=")</f>
        <v>#VALUE!</v>
      </c>
      <c r="EU112" t="e">
        <f>AND('SPR BARRANQUILLA'!DI133,"AAAAAH3v3pY=")</f>
        <v>#VALUE!</v>
      </c>
      <c r="EV112" t="e">
        <f>AND('SPR BARRANQUILLA'!DJ133,"AAAAAH3v3pc=")</f>
        <v>#VALUE!</v>
      </c>
      <c r="EW112" t="e">
        <f>AND('SPR BARRANQUILLA'!DK133,"AAAAAH3v3pg=")</f>
        <v>#VALUE!</v>
      </c>
      <c r="EX112" t="e">
        <f>AND('SPR BARRANQUILLA'!DL133,"AAAAAH3v3pk=")</f>
        <v>#VALUE!</v>
      </c>
      <c r="EY112" t="e">
        <f>AND('SPR BARRANQUILLA'!DM133,"AAAAAH3v3po=")</f>
        <v>#VALUE!</v>
      </c>
      <c r="EZ112" t="e">
        <f>AND('SPR BARRANQUILLA'!DN133,"AAAAAH3v3ps=")</f>
        <v>#VALUE!</v>
      </c>
      <c r="FA112" t="e">
        <f>AND('SPR BARRANQUILLA'!DO133,"AAAAAH3v3pw=")</f>
        <v>#VALUE!</v>
      </c>
      <c r="FB112" t="e">
        <f>AND('SPR BARRANQUILLA'!DP133,"AAAAAH3v3p0=")</f>
        <v>#VALUE!</v>
      </c>
      <c r="FC112" t="e">
        <f>AND('SPR BARRANQUILLA'!DQ133,"AAAAAH3v3p4=")</f>
        <v>#VALUE!</v>
      </c>
      <c r="FD112" t="e">
        <f>AND('SPR BARRANQUILLA'!DR133,"AAAAAH3v3p8=")</f>
        <v>#VALUE!</v>
      </c>
      <c r="FE112" t="e">
        <f>AND('SPR BARRANQUILLA'!DS133,"AAAAAH3v3qA=")</f>
        <v>#VALUE!</v>
      </c>
      <c r="FF112" t="e">
        <f>AND('SPR BARRANQUILLA'!DT133,"AAAAAH3v3qE=")</f>
        <v>#VALUE!</v>
      </c>
      <c r="FG112" t="e">
        <f>AND('SPR BARRANQUILLA'!DU133,"AAAAAH3v3qI=")</f>
        <v>#VALUE!</v>
      </c>
      <c r="FH112" t="e">
        <f>AND('SPR BARRANQUILLA'!DV133,"AAAAAH3v3qM=")</f>
        <v>#VALUE!</v>
      </c>
      <c r="FI112" t="e">
        <f>AND('SPR BARRANQUILLA'!DW133,"AAAAAH3v3qQ=")</f>
        <v>#VALUE!</v>
      </c>
      <c r="FJ112" t="e">
        <f>AND('SPR BARRANQUILLA'!DX133,"AAAAAH3v3qU=")</f>
        <v>#VALUE!</v>
      </c>
      <c r="FK112" t="e">
        <f>AND('SPR BARRANQUILLA'!DY133,"AAAAAH3v3qY=")</f>
        <v>#VALUE!</v>
      </c>
      <c r="FL112" t="e">
        <f>AND('SPR BARRANQUILLA'!DZ133,"AAAAAH3v3qc=")</f>
        <v>#VALUE!</v>
      </c>
      <c r="FM112" t="e">
        <f>AND('SPR BARRANQUILLA'!EA133,"AAAAAH3v3qg=")</f>
        <v>#VALUE!</v>
      </c>
      <c r="FN112" t="e">
        <f>AND('SPR BARRANQUILLA'!EB133,"AAAAAH3v3qk=")</f>
        <v>#VALUE!</v>
      </c>
      <c r="FO112" t="e">
        <f>AND('SPR BARRANQUILLA'!EC133,"AAAAAH3v3qo=")</f>
        <v>#VALUE!</v>
      </c>
      <c r="FP112" t="e">
        <f>AND('SPR BARRANQUILLA'!ED133,"AAAAAH3v3qs=")</f>
        <v>#VALUE!</v>
      </c>
      <c r="FQ112" t="e">
        <f>AND('SPR BARRANQUILLA'!EE133,"AAAAAH3v3qw=")</f>
        <v>#VALUE!</v>
      </c>
      <c r="FR112" t="e">
        <f>AND('SPR BARRANQUILLA'!EF133,"AAAAAH3v3q0=")</f>
        <v>#VALUE!</v>
      </c>
      <c r="FS112" t="e">
        <f>AND('SPR BARRANQUILLA'!EG133,"AAAAAH3v3q4=")</f>
        <v>#VALUE!</v>
      </c>
      <c r="FT112" t="e">
        <f>AND('SPR BARRANQUILLA'!EH133,"AAAAAH3v3q8=")</f>
        <v>#VALUE!</v>
      </c>
      <c r="FU112" t="e">
        <f>AND('SPR BARRANQUILLA'!EI133,"AAAAAH3v3rA=")</f>
        <v>#VALUE!</v>
      </c>
      <c r="FV112" t="e">
        <f>AND('SPR BARRANQUILLA'!EJ133,"AAAAAH3v3rE=")</f>
        <v>#VALUE!</v>
      </c>
      <c r="FW112" t="e">
        <f>AND('SPR BARRANQUILLA'!EK133,"AAAAAH3v3rI=")</f>
        <v>#VALUE!</v>
      </c>
      <c r="FX112" t="e">
        <f>AND('SPR BARRANQUILLA'!EL133,"AAAAAH3v3rM=")</f>
        <v>#VALUE!</v>
      </c>
      <c r="FY112" t="e">
        <f>AND('SPR BARRANQUILLA'!EM133,"AAAAAH3v3rQ=")</f>
        <v>#VALUE!</v>
      </c>
      <c r="FZ112" t="e">
        <f>AND('SPR BARRANQUILLA'!EN133,"AAAAAH3v3rU=")</f>
        <v>#VALUE!</v>
      </c>
      <c r="GA112" t="e">
        <f>AND('SPR BARRANQUILLA'!EO133,"AAAAAH3v3rY=")</f>
        <v>#VALUE!</v>
      </c>
      <c r="GB112" t="e">
        <f>AND('SPR BARRANQUILLA'!EP133,"AAAAAH3v3rc=")</f>
        <v>#VALUE!</v>
      </c>
      <c r="GC112" t="e">
        <f>AND('SPR BARRANQUILLA'!EQ133,"AAAAAH3v3rg=")</f>
        <v>#VALUE!</v>
      </c>
      <c r="GD112" t="e">
        <f>AND('SPR BARRANQUILLA'!ER133,"AAAAAH3v3rk=")</f>
        <v>#VALUE!</v>
      </c>
      <c r="GE112" t="e">
        <f>AND('SPR BARRANQUILLA'!ES133,"AAAAAH3v3ro=")</f>
        <v>#VALUE!</v>
      </c>
      <c r="GF112" t="e">
        <f>AND('SPR BARRANQUILLA'!ET133,"AAAAAH3v3rs=")</f>
        <v>#VALUE!</v>
      </c>
      <c r="GG112" t="e">
        <f>AND('SPR BARRANQUILLA'!EU133,"AAAAAH3v3rw=")</f>
        <v>#VALUE!</v>
      </c>
      <c r="GH112" t="e">
        <f>AND('SPR BARRANQUILLA'!EV133,"AAAAAH3v3r0=")</f>
        <v>#VALUE!</v>
      </c>
      <c r="GI112" t="e">
        <f>AND('SPR BARRANQUILLA'!EW133,"AAAAAH3v3r4=")</f>
        <v>#VALUE!</v>
      </c>
      <c r="GJ112" t="e">
        <f>AND('SPR BARRANQUILLA'!EX133,"AAAAAH3v3r8=")</f>
        <v>#VALUE!</v>
      </c>
      <c r="GK112" t="e">
        <f>AND('SPR BARRANQUILLA'!EY133,"AAAAAH3v3sA=")</f>
        <v>#VALUE!</v>
      </c>
      <c r="GL112" t="e">
        <f>AND('SPR BARRANQUILLA'!EZ133,"AAAAAH3v3sE=")</f>
        <v>#VALUE!</v>
      </c>
      <c r="GM112" t="e">
        <f>AND('SPR BARRANQUILLA'!FA133,"AAAAAH3v3sI=")</f>
        <v>#VALUE!</v>
      </c>
      <c r="GN112" t="e">
        <f>AND('SPR BARRANQUILLA'!FB133,"AAAAAH3v3sM=")</f>
        <v>#VALUE!</v>
      </c>
      <c r="GO112" t="e">
        <f>AND('SPR BARRANQUILLA'!FC133,"AAAAAH3v3sQ=")</f>
        <v>#VALUE!</v>
      </c>
      <c r="GP112" t="e">
        <f>AND('SPR BARRANQUILLA'!FD133,"AAAAAH3v3sU=")</f>
        <v>#VALUE!</v>
      </c>
      <c r="GQ112" t="e">
        <f>AND('SPR BARRANQUILLA'!FE133,"AAAAAH3v3sY=")</f>
        <v>#VALUE!</v>
      </c>
      <c r="GR112" t="e">
        <f>AND('SPR BARRANQUILLA'!FF133,"AAAAAH3v3sc=")</f>
        <v>#VALUE!</v>
      </c>
      <c r="GS112" t="e">
        <f>AND('SPR BARRANQUILLA'!FG133,"AAAAAH3v3sg=")</f>
        <v>#VALUE!</v>
      </c>
      <c r="GT112" t="e">
        <f>AND('SPR BARRANQUILLA'!FH133,"AAAAAH3v3sk=")</f>
        <v>#VALUE!</v>
      </c>
      <c r="GU112" t="e">
        <f>AND('SPR BARRANQUILLA'!FI133,"AAAAAH3v3so=")</f>
        <v>#VALUE!</v>
      </c>
      <c r="GV112" t="e">
        <f>AND('SPR BARRANQUILLA'!FJ133,"AAAAAH3v3ss=")</f>
        <v>#VALUE!</v>
      </c>
      <c r="GW112" t="e">
        <f>AND('SPR BARRANQUILLA'!FK133,"AAAAAH3v3sw=")</f>
        <v>#VALUE!</v>
      </c>
      <c r="GX112" t="e">
        <f>AND('SPR BARRANQUILLA'!FL133,"AAAAAH3v3s0=")</f>
        <v>#VALUE!</v>
      </c>
      <c r="GY112" t="e">
        <f>AND('SPR BARRANQUILLA'!FM133,"AAAAAH3v3s4=")</f>
        <v>#VALUE!</v>
      </c>
      <c r="GZ112" t="e">
        <f>AND('SPR BARRANQUILLA'!FN133,"AAAAAH3v3s8=")</f>
        <v>#VALUE!</v>
      </c>
      <c r="HA112" t="e">
        <f>AND('SPR BARRANQUILLA'!FO133,"AAAAAH3v3tA=")</f>
        <v>#VALUE!</v>
      </c>
      <c r="HB112" t="e">
        <f>AND('SPR BARRANQUILLA'!FP133,"AAAAAH3v3tE=")</f>
        <v>#VALUE!</v>
      </c>
      <c r="HC112" t="e">
        <f>AND('SPR BARRANQUILLA'!FQ133,"AAAAAH3v3tI=")</f>
        <v>#VALUE!</v>
      </c>
      <c r="HD112" t="e">
        <f>AND('SPR BARRANQUILLA'!FR133,"AAAAAH3v3tM=")</f>
        <v>#VALUE!</v>
      </c>
      <c r="HE112" t="e">
        <f>AND('SPR BARRANQUILLA'!FS133,"AAAAAH3v3tQ=")</f>
        <v>#VALUE!</v>
      </c>
      <c r="HF112" t="e">
        <f>AND('SPR BARRANQUILLA'!FT133,"AAAAAH3v3tU=")</f>
        <v>#VALUE!</v>
      </c>
      <c r="HG112" t="e">
        <f>AND('SPR BARRANQUILLA'!FU133,"AAAAAH3v3tY=")</f>
        <v>#VALUE!</v>
      </c>
      <c r="HH112" t="e">
        <f>AND('SPR BARRANQUILLA'!FV133,"AAAAAH3v3tc=")</f>
        <v>#VALUE!</v>
      </c>
      <c r="HI112" t="e">
        <f>AND('SPR BARRANQUILLA'!FW133,"AAAAAH3v3tg=")</f>
        <v>#VALUE!</v>
      </c>
      <c r="HJ112" t="e">
        <f>AND('SPR BARRANQUILLA'!FX133,"AAAAAH3v3tk=")</f>
        <v>#VALUE!</v>
      </c>
      <c r="HK112" t="e">
        <f>AND('SPR BARRANQUILLA'!FY133,"AAAAAH3v3to=")</f>
        <v>#VALUE!</v>
      </c>
      <c r="HL112" t="e">
        <f>AND('SPR BARRANQUILLA'!FZ133,"AAAAAH3v3ts=")</f>
        <v>#VALUE!</v>
      </c>
      <c r="HM112" t="e">
        <f>AND('SPR BARRANQUILLA'!GA133,"AAAAAH3v3tw=")</f>
        <v>#VALUE!</v>
      </c>
      <c r="HN112" t="e">
        <f>AND('SPR BARRANQUILLA'!GB133,"AAAAAH3v3t0=")</f>
        <v>#VALUE!</v>
      </c>
      <c r="HO112" t="e">
        <f>AND('SPR BARRANQUILLA'!GC133,"AAAAAH3v3t4=")</f>
        <v>#VALUE!</v>
      </c>
      <c r="HP112" t="e">
        <f>AND('SPR BARRANQUILLA'!GD133,"AAAAAH3v3t8=")</f>
        <v>#VALUE!</v>
      </c>
      <c r="HQ112" t="e">
        <f>AND('SPR BARRANQUILLA'!GE133,"AAAAAH3v3uA=")</f>
        <v>#VALUE!</v>
      </c>
      <c r="HR112" t="e">
        <f>AND('SPR BARRANQUILLA'!GF133,"AAAAAH3v3uE=")</f>
        <v>#VALUE!</v>
      </c>
      <c r="HS112" t="e">
        <f>AND('SPR BARRANQUILLA'!GG133,"AAAAAH3v3uI=")</f>
        <v>#VALUE!</v>
      </c>
      <c r="HT112" t="e">
        <f>AND('SPR BARRANQUILLA'!GH133,"AAAAAH3v3uM=")</f>
        <v>#VALUE!</v>
      </c>
      <c r="HU112" t="e">
        <f>AND('SPR BARRANQUILLA'!GI133,"AAAAAH3v3uQ=")</f>
        <v>#VALUE!</v>
      </c>
      <c r="HV112" t="e">
        <f>AND('SPR BARRANQUILLA'!GJ133,"AAAAAH3v3uU=")</f>
        <v>#VALUE!</v>
      </c>
      <c r="HW112" t="e">
        <f>AND('SPR BARRANQUILLA'!GK133,"AAAAAH3v3uY=")</f>
        <v>#VALUE!</v>
      </c>
      <c r="HX112" t="e">
        <f>AND('SPR BARRANQUILLA'!GL133,"AAAAAH3v3uc=")</f>
        <v>#VALUE!</v>
      </c>
      <c r="HY112" t="e">
        <f>AND('SPR BARRANQUILLA'!GM133,"AAAAAH3v3ug=")</f>
        <v>#VALUE!</v>
      </c>
      <c r="HZ112" t="e">
        <f>AND('SPR BARRANQUILLA'!GN133,"AAAAAH3v3uk=")</f>
        <v>#VALUE!</v>
      </c>
      <c r="IA112" t="e">
        <f>AND('SPR BARRANQUILLA'!GO133,"AAAAAH3v3uo=")</f>
        <v>#VALUE!</v>
      </c>
      <c r="IB112" t="e">
        <f>AND('SPR BARRANQUILLA'!GP133,"AAAAAH3v3us=")</f>
        <v>#VALUE!</v>
      </c>
      <c r="IC112" t="e">
        <f>AND('SPR BARRANQUILLA'!GQ133,"AAAAAH3v3uw=")</f>
        <v>#VALUE!</v>
      </c>
      <c r="ID112" t="e">
        <f>AND('SPR BARRANQUILLA'!GR133,"AAAAAH3v3u0=")</f>
        <v>#VALUE!</v>
      </c>
      <c r="IE112" t="e">
        <f>AND('SPR BARRANQUILLA'!GS133,"AAAAAH3v3u4=")</f>
        <v>#VALUE!</v>
      </c>
      <c r="IF112" t="e">
        <f>AND('SPR BARRANQUILLA'!GT133,"AAAAAH3v3u8=")</f>
        <v>#VALUE!</v>
      </c>
      <c r="IG112" t="e">
        <f>AND('SPR BARRANQUILLA'!GU133,"AAAAAH3v3vA=")</f>
        <v>#VALUE!</v>
      </c>
      <c r="IH112" t="e">
        <f>AND('SPR BARRANQUILLA'!GV133,"AAAAAH3v3vE=")</f>
        <v>#VALUE!</v>
      </c>
      <c r="II112" t="e">
        <f>AND('SPR BARRANQUILLA'!GW133,"AAAAAH3v3vI=")</f>
        <v>#VALUE!</v>
      </c>
      <c r="IJ112" t="e">
        <f>AND('SPR BARRANQUILLA'!GX133,"AAAAAH3v3vM=")</f>
        <v>#VALUE!</v>
      </c>
      <c r="IK112" t="e">
        <f>AND('SPR BARRANQUILLA'!GY133,"AAAAAH3v3vQ=")</f>
        <v>#VALUE!</v>
      </c>
      <c r="IL112">
        <f>IF('SPR BARRANQUILLA'!134:134,"AAAAAH3v3vU=",0)</f>
        <v>0</v>
      </c>
      <c r="IM112" t="e">
        <f>AND('SPR BARRANQUILLA'!A134,"AAAAAH3v3vY=")</f>
        <v>#VALUE!</v>
      </c>
      <c r="IN112" t="e">
        <f>AND('SPR BARRANQUILLA'!B134,"AAAAAH3v3vc=")</f>
        <v>#VALUE!</v>
      </c>
      <c r="IO112" t="e">
        <f>AND('SPR BARRANQUILLA'!C134,"AAAAAH3v3vg=")</f>
        <v>#VALUE!</v>
      </c>
      <c r="IP112" t="e">
        <f>AND('SPR BARRANQUILLA'!D134,"AAAAAH3v3vk=")</f>
        <v>#VALUE!</v>
      </c>
      <c r="IQ112" t="e">
        <f>AND('SPR BARRANQUILLA'!E134,"AAAAAH3v3vo=")</f>
        <v>#VALUE!</v>
      </c>
      <c r="IR112" t="e">
        <f>AND('SPR BARRANQUILLA'!F134,"AAAAAH3v3vs=")</f>
        <v>#VALUE!</v>
      </c>
      <c r="IS112" t="e">
        <f>AND('SPR BARRANQUILLA'!G134,"AAAAAH3v3vw=")</f>
        <v>#VALUE!</v>
      </c>
      <c r="IT112" t="e">
        <f>AND('SPR BARRANQUILLA'!H134,"AAAAAH3v3v0=")</f>
        <v>#VALUE!</v>
      </c>
      <c r="IU112" t="e">
        <f>AND('SPR BARRANQUILLA'!I134,"AAAAAH3v3v4=")</f>
        <v>#VALUE!</v>
      </c>
      <c r="IV112" t="e">
        <f>AND('SPR BARRANQUILLA'!J134,"AAAAAH3v3v8=")</f>
        <v>#VALUE!</v>
      </c>
    </row>
    <row r="113" spans="1:256">
      <c r="A113" t="e">
        <f>AND('SPR BARRANQUILLA'!K134,"AAAAAF762AA=")</f>
        <v>#VALUE!</v>
      </c>
      <c r="B113" t="e">
        <f>AND('SPR BARRANQUILLA'!L134,"AAAAAF762AE=")</f>
        <v>#VALUE!</v>
      </c>
      <c r="C113" t="e">
        <f>AND('SPR BARRANQUILLA'!M134,"AAAAAF762AI=")</f>
        <v>#VALUE!</v>
      </c>
      <c r="D113" t="e">
        <f>AND('SPR BARRANQUILLA'!N134,"AAAAAF762AM=")</f>
        <v>#VALUE!</v>
      </c>
      <c r="E113" t="e">
        <f>AND('SPR BARRANQUILLA'!O134,"AAAAAF762AQ=")</f>
        <v>#VALUE!</v>
      </c>
      <c r="F113" t="e">
        <f>AND('SPR BARRANQUILLA'!P134,"AAAAAF762AU=")</f>
        <v>#VALUE!</v>
      </c>
      <c r="G113" t="e">
        <f>AND('SPR BARRANQUILLA'!Q134,"AAAAAF762AY=")</f>
        <v>#VALUE!</v>
      </c>
      <c r="H113" t="e">
        <f>AND('SPR BARRANQUILLA'!R134,"AAAAAF762Ac=")</f>
        <v>#VALUE!</v>
      </c>
      <c r="I113" t="e">
        <f>AND('SPR BARRANQUILLA'!S134,"AAAAAF762Ag=")</f>
        <v>#VALUE!</v>
      </c>
      <c r="J113" t="e">
        <f>AND('SPR BARRANQUILLA'!T134,"AAAAAF762Ak=")</f>
        <v>#VALUE!</v>
      </c>
      <c r="K113" t="e">
        <f>AND('SPR BARRANQUILLA'!U134,"AAAAAF762Ao=")</f>
        <v>#VALUE!</v>
      </c>
      <c r="L113" t="e">
        <f>AND('SPR BARRANQUILLA'!V134,"AAAAAF762As=")</f>
        <v>#VALUE!</v>
      </c>
      <c r="M113" t="e">
        <f>AND('SPR BARRANQUILLA'!W134,"AAAAAF762Aw=")</f>
        <v>#VALUE!</v>
      </c>
      <c r="N113" t="e">
        <f>AND('SPR BARRANQUILLA'!X134,"AAAAAF762A0=")</f>
        <v>#VALUE!</v>
      </c>
      <c r="O113" t="e">
        <f>AND('SPR BARRANQUILLA'!Y134,"AAAAAF762A4=")</f>
        <v>#VALUE!</v>
      </c>
      <c r="P113" t="e">
        <f>AND('SPR BARRANQUILLA'!Z134,"AAAAAF762A8=")</f>
        <v>#VALUE!</v>
      </c>
      <c r="Q113" t="e">
        <f>AND('SPR BARRANQUILLA'!AA134,"AAAAAF762BA=")</f>
        <v>#VALUE!</v>
      </c>
      <c r="R113" t="e">
        <f>AND('SPR BARRANQUILLA'!AB134,"AAAAAF762BE=")</f>
        <v>#VALUE!</v>
      </c>
      <c r="S113" t="e">
        <f>AND('SPR BARRANQUILLA'!AC134,"AAAAAF762BI=")</f>
        <v>#VALUE!</v>
      </c>
      <c r="T113" t="e">
        <f>AND('SPR BARRANQUILLA'!AD134,"AAAAAF762BM=")</f>
        <v>#VALUE!</v>
      </c>
      <c r="U113" t="e">
        <f>AND('SPR BARRANQUILLA'!AE134,"AAAAAF762BQ=")</f>
        <v>#VALUE!</v>
      </c>
      <c r="V113" t="e">
        <f>AND('SPR BARRANQUILLA'!AF134,"AAAAAF762BU=")</f>
        <v>#VALUE!</v>
      </c>
      <c r="W113" t="e">
        <f>AND('SPR BARRANQUILLA'!AG134,"AAAAAF762BY=")</f>
        <v>#VALUE!</v>
      </c>
      <c r="X113" t="e">
        <f>AND('SPR BARRANQUILLA'!AH134,"AAAAAF762Bc=")</f>
        <v>#VALUE!</v>
      </c>
      <c r="Y113" t="e">
        <f>AND('SPR BARRANQUILLA'!AI134,"AAAAAF762Bg=")</f>
        <v>#VALUE!</v>
      </c>
      <c r="Z113" t="e">
        <f>AND('SPR BARRANQUILLA'!AJ134,"AAAAAF762Bk=")</f>
        <v>#VALUE!</v>
      </c>
      <c r="AA113" t="e">
        <f>AND('SPR BARRANQUILLA'!AK134,"AAAAAF762Bo=")</f>
        <v>#VALUE!</v>
      </c>
      <c r="AB113" t="e">
        <f>AND('SPR BARRANQUILLA'!AL134,"AAAAAF762Bs=")</f>
        <v>#VALUE!</v>
      </c>
      <c r="AC113" t="e">
        <f>AND('SPR BARRANQUILLA'!AM134,"AAAAAF762Bw=")</f>
        <v>#VALUE!</v>
      </c>
      <c r="AD113" t="e">
        <f>AND('SPR BARRANQUILLA'!AN134,"AAAAAF762B0=")</f>
        <v>#VALUE!</v>
      </c>
      <c r="AE113" t="e">
        <f>AND('SPR BARRANQUILLA'!AO134,"AAAAAF762B4=")</f>
        <v>#VALUE!</v>
      </c>
      <c r="AF113" t="e">
        <f>AND('SPR BARRANQUILLA'!AP134,"AAAAAF762B8=")</f>
        <v>#VALUE!</v>
      </c>
      <c r="AG113" t="e">
        <f>AND('SPR BARRANQUILLA'!AQ134,"AAAAAF762CA=")</f>
        <v>#VALUE!</v>
      </c>
      <c r="AH113" t="e">
        <f>AND('SPR BARRANQUILLA'!AR134,"AAAAAF762CE=")</f>
        <v>#VALUE!</v>
      </c>
      <c r="AI113" t="e">
        <f>AND('SPR BARRANQUILLA'!AS134,"AAAAAF762CI=")</f>
        <v>#VALUE!</v>
      </c>
      <c r="AJ113" t="e">
        <f>AND('SPR BARRANQUILLA'!AT134,"AAAAAF762CM=")</f>
        <v>#VALUE!</v>
      </c>
      <c r="AK113" t="e">
        <f>AND('SPR BARRANQUILLA'!AU134,"AAAAAF762CQ=")</f>
        <v>#VALUE!</v>
      </c>
      <c r="AL113" t="e">
        <f>AND('SPR BARRANQUILLA'!AV134,"AAAAAF762CU=")</f>
        <v>#VALUE!</v>
      </c>
      <c r="AM113" t="e">
        <f>AND('SPR BARRANQUILLA'!AW134,"AAAAAF762CY=")</f>
        <v>#VALUE!</v>
      </c>
      <c r="AN113" t="e">
        <f>AND('SPR BARRANQUILLA'!AX134,"AAAAAF762Cc=")</f>
        <v>#VALUE!</v>
      </c>
      <c r="AO113" t="e">
        <f>AND('SPR BARRANQUILLA'!AY134,"AAAAAF762Cg=")</f>
        <v>#VALUE!</v>
      </c>
      <c r="AP113" t="e">
        <f>AND('SPR BARRANQUILLA'!AZ134,"AAAAAF762Ck=")</f>
        <v>#VALUE!</v>
      </c>
      <c r="AQ113" t="e">
        <f>AND('SPR BARRANQUILLA'!BA134,"AAAAAF762Co=")</f>
        <v>#VALUE!</v>
      </c>
      <c r="AR113" t="e">
        <f>AND('SPR BARRANQUILLA'!BB134,"AAAAAF762Cs=")</f>
        <v>#VALUE!</v>
      </c>
      <c r="AS113" t="e">
        <f>AND('SPR BARRANQUILLA'!BC134,"AAAAAF762Cw=")</f>
        <v>#VALUE!</v>
      </c>
      <c r="AT113" t="e">
        <f>AND('SPR BARRANQUILLA'!BD134,"AAAAAF762C0=")</f>
        <v>#VALUE!</v>
      </c>
      <c r="AU113" t="e">
        <f>AND('SPR BARRANQUILLA'!BE134,"AAAAAF762C4=")</f>
        <v>#VALUE!</v>
      </c>
      <c r="AV113" t="e">
        <f>AND('SPR BARRANQUILLA'!BF134,"AAAAAF762C8=")</f>
        <v>#VALUE!</v>
      </c>
      <c r="AW113" t="e">
        <f>AND('SPR BARRANQUILLA'!BG134,"AAAAAF762DA=")</f>
        <v>#VALUE!</v>
      </c>
      <c r="AX113" t="e">
        <f>AND('SPR BARRANQUILLA'!BH134,"AAAAAF762DE=")</f>
        <v>#VALUE!</v>
      </c>
      <c r="AY113" t="e">
        <f>AND('SPR BARRANQUILLA'!BI134,"AAAAAF762DI=")</f>
        <v>#VALUE!</v>
      </c>
      <c r="AZ113" t="e">
        <f>AND('SPR BARRANQUILLA'!BJ134,"AAAAAF762DM=")</f>
        <v>#VALUE!</v>
      </c>
      <c r="BA113" t="e">
        <f>AND('SPR BARRANQUILLA'!BK134,"AAAAAF762DQ=")</f>
        <v>#VALUE!</v>
      </c>
      <c r="BB113" t="e">
        <f>AND('SPR BARRANQUILLA'!BL134,"AAAAAF762DU=")</f>
        <v>#VALUE!</v>
      </c>
      <c r="BC113" t="e">
        <f>AND('SPR BARRANQUILLA'!BM134,"AAAAAF762DY=")</f>
        <v>#VALUE!</v>
      </c>
      <c r="BD113" t="e">
        <f>AND('SPR BARRANQUILLA'!BN134,"AAAAAF762Dc=")</f>
        <v>#VALUE!</v>
      </c>
      <c r="BE113" t="e">
        <f>AND('SPR BARRANQUILLA'!BO134,"AAAAAF762Dg=")</f>
        <v>#VALUE!</v>
      </c>
      <c r="BF113" t="e">
        <f>AND('SPR BARRANQUILLA'!BP134,"AAAAAF762Dk=")</f>
        <v>#VALUE!</v>
      </c>
      <c r="BG113" t="e">
        <f>AND('SPR BARRANQUILLA'!BQ134,"AAAAAF762Do=")</f>
        <v>#VALUE!</v>
      </c>
      <c r="BH113" t="e">
        <f>AND('SPR BARRANQUILLA'!BR134,"AAAAAF762Ds=")</f>
        <v>#VALUE!</v>
      </c>
      <c r="BI113" t="e">
        <f>AND('SPR BARRANQUILLA'!BS134,"AAAAAF762Dw=")</f>
        <v>#VALUE!</v>
      </c>
      <c r="BJ113" t="e">
        <f>AND('SPR BARRANQUILLA'!BT134,"AAAAAF762D0=")</f>
        <v>#VALUE!</v>
      </c>
      <c r="BK113" t="e">
        <f>AND('SPR BARRANQUILLA'!BU134,"AAAAAF762D4=")</f>
        <v>#VALUE!</v>
      </c>
      <c r="BL113" t="e">
        <f>AND('SPR BARRANQUILLA'!BV134,"AAAAAF762D8=")</f>
        <v>#VALUE!</v>
      </c>
      <c r="BM113" t="e">
        <f>AND('SPR BARRANQUILLA'!BW134,"AAAAAF762EA=")</f>
        <v>#VALUE!</v>
      </c>
      <c r="BN113" t="e">
        <f>AND('SPR BARRANQUILLA'!BX134,"AAAAAF762EE=")</f>
        <v>#VALUE!</v>
      </c>
      <c r="BO113" t="e">
        <f>AND('SPR BARRANQUILLA'!BY134,"AAAAAF762EI=")</f>
        <v>#VALUE!</v>
      </c>
      <c r="BP113" t="e">
        <f>AND('SPR BARRANQUILLA'!BZ134,"AAAAAF762EM=")</f>
        <v>#VALUE!</v>
      </c>
      <c r="BQ113" t="e">
        <f>AND('SPR BARRANQUILLA'!CA134,"AAAAAF762EQ=")</f>
        <v>#VALUE!</v>
      </c>
      <c r="BR113" t="e">
        <f>AND('SPR BARRANQUILLA'!CB134,"AAAAAF762EU=")</f>
        <v>#VALUE!</v>
      </c>
      <c r="BS113" t="e">
        <f>AND('SPR BARRANQUILLA'!CC134,"AAAAAF762EY=")</f>
        <v>#VALUE!</v>
      </c>
      <c r="BT113" t="e">
        <f>AND('SPR BARRANQUILLA'!CD134,"AAAAAF762Ec=")</f>
        <v>#VALUE!</v>
      </c>
      <c r="BU113" t="e">
        <f>AND('SPR BARRANQUILLA'!CE134,"AAAAAF762Eg=")</f>
        <v>#VALUE!</v>
      </c>
      <c r="BV113" t="e">
        <f>AND('SPR BARRANQUILLA'!CF134,"AAAAAF762Ek=")</f>
        <v>#VALUE!</v>
      </c>
      <c r="BW113" t="e">
        <f>AND('SPR BARRANQUILLA'!CG134,"AAAAAF762Eo=")</f>
        <v>#VALUE!</v>
      </c>
      <c r="BX113" t="e">
        <f>AND('SPR BARRANQUILLA'!CH134,"AAAAAF762Es=")</f>
        <v>#VALUE!</v>
      </c>
      <c r="BY113" t="e">
        <f>AND('SPR BARRANQUILLA'!CI134,"AAAAAF762Ew=")</f>
        <v>#VALUE!</v>
      </c>
      <c r="BZ113" t="e">
        <f>AND('SPR BARRANQUILLA'!CJ134,"AAAAAF762E0=")</f>
        <v>#VALUE!</v>
      </c>
      <c r="CA113" t="e">
        <f>AND('SPR BARRANQUILLA'!CK134,"AAAAAF762E4=")</f>
        <v>#VALUE!</v>
      </c>
      <c r="CB113" t="e">
        <f>AND('SPR BARRANQUILLA'!CL134,"AAAAAF762E8=")</f>
        <v>#VALUE!</v>
      </c>
      <c r="CC113" t="e">
        <f>AND('SPR BARRANQUILLA'!CM134,"AAAAAF762FA=")</f>
        <v>#VALUE!</v>
      </c>
      <c r="CD113" t="e">
        <f>AND('SPR BARRANQUILLA'!CN134,"AAAAAF762FE=")</f>
        <v>#VALUE!</v>
      </c>
      <c r="CE113" t="e">
        <f>AND('SPR BARRANQUILLA'!CO134,"AAAAAF762FI=")</f>
        <v>#VALUE!</v>
      </c>
      <c r="CF113" t="e">
        <f>AND('SPR BARRANQUILLA'!CP134,"AAAAAF762FM=")</f>
        <v>#VALUE!</v>
      </c>
      <c r="CG113" t="e">
        <f>AND('SPR BARRANQUILLA'!CQ134,"AAAAAF762FQ=")</f>
        <v>#VALUE!</v>
      </c>
      <c r="CH113" t="e">
        <f>AND('SPR BARRANQUILLA'!CR134,"AAAAAF762FU=")</f>
        <v>#VALUE!</v>
      </c>
      <c r="CI113" t="e">
        <f>AND('SPR BARRANQUILLA'!CS134,"AAAAAF762FY=")</f>
        <v>#VALUE!</v>
      </c>
      <c r="CJ113" t="e">
        <f>AND('SPR BARRANQUILLA'!CT134,"AAAAAF762Fc=")</f>
        <v>#VALUE!</v>
      </c>
      <c r="CK113" t="e">
        <f>AND('SPR BARRANQUILLA'!CU134,"AAAAAF762Fg=")</f>
        <v>#VALUE!</v>
      </c>
      <c r="CL113" t="e">
        <f>AND('SPR BARRANQUILLA'!CV134,"AAAAAF762Fk=")</f>
        <v>#VALUE!</v>
      </c>
      <c r="CM113" t="e">
        <f>AND('SPR BARRANQUILLA'!CW134,"AAAAAF762Fo=")</f>
        <v>#VALUE!</v>
      </c>
      <c r="CN113" t="e">
        <f>AND('SPR BARRANQUILLA'!CX134,"AAAAAF762Fs=")</f>
        <v>#VALUE!</v>
      </c>
      <c r="CO113" t="e">
        <f>AND('SPR BARRANQUILLA'!CY134,"AAAAAF762Fw=")</f>
        <v>#VALUE!</v>
      </c>
      <c r="CP113" t="e">
        <f>AND('SPR BARRANQUILLA'!CZ134,"AAAAAF762F0=")</f>
        <v>#VALUE!</v>
      </c>
      <c r="CQ113" t="e">
        <f>AND('SPR BARRANQUILLA'!DA134,"AAAAAF762F4=")</f>
        <v>#VALUE!</v>
      </c>
      <c r="CR113" t="e">
        <f>AND('SPR BARRANQUILLA'!DB134,"AAAAAF762F8=")</f>
        <v>#VALUE!</v>
      </c>
      <c r="CS113" t="e">
        <f>AND('SPR BARRANQUILLA'!DC134,"AAAAAF762GA=")</f>
        <v>#VALUE!</v>
      </c>
      <c r="CT113" t="e">
        <f>AND('SPR BARRANQUILLA'!DD134,"AAAAAF762GE=")</f>
        <v>#VALUE!</v>
      </c>
      <c r="CU113" t="e">
        <f>AND('SPR BARRANQUILLA'!DE134,"AAAAAF762GI=")</f>
        <v>#VALUE!</v>
      </c>
      <c r="CV113" t="e">
        <f>AND('SPR BARRANQUILLA'!DF134,"AAAAAF762GM=")</f>
        <v>#VALUE!</v>
      </c>
      <c r="CW113" t="e">
        <f>AND('SPR BARRANQUILLA'!DG134,"AAAAAF762GQ=")</f>
        <v>#VALUE!</v>
      </c>
      <c r="CX113" t="e">
        <f>AND('SPR BARRANQUILLA'!DH134,"AAAAAF762GU=")</f>
        <v>#VALUE!</v>
      </c>
      <c r="CY113" t="e">
        <f>AND('SPR BARRANQUILLA'!DI134,"AAAAAF762GY=")</f>
        <v>#VALUE!</v>
      </c>
      <c r="CZ113" t="e">
        <f>AND('SPR BARRANQUILLA'!DJ134,"AAAAAF762Gc=")</f>
        <v>#VALUE!</v>
      </c>
      <c r="DA113" t="e">
        <f>AND('SPR BARRANQUILLA'!DK134,"AAAAAF762Gg=")</f>
        <v>#VALUE!</v>
      </c>
      <c r="DB113" t="e">
        <f>AND('SPR BARRANQUILLA'!DL134,"AAAAAF762Gk=")</f>
        <v>#VALUE!</v>
      </c>
      <c r="DC113" t="e">
        <f>AND('SPR BARRANQUILLA'!DM134,"AAAAAF762Go=")</f>
        <v>#VALUE!</v>
      </c>
      <c r="DD113" t="e">
        <f>AND('SPR BARRANQUILLA'!DN134,"AAAAAF762Gs=")</f>
        <v>#VALUE!</v>
      </c>
      <c r="DE113" t="e">
        <f>AND('SPR BARRANQUILLA'!DO134,"AAAAAF762Gw=")</f>
        <v>#VALUE!</v>
      </c>
      <c r="DF113" t="e">
        <f>AND('SPR BARRANQUILLA'!DP134,"AAAAAF762G0=")</f>
        <v>#VALUE!</v>
      </c>
      <c r="DG113" t="e">
        <f>AND('SPR BARRANQUILLA'!DQ134,"AAAAAF762G4=")</f>
        <v>#VALUE!</v>
      </c>
      <c r="DH113" t="e">
        <f>AND('SPR BARRANQUILLA'!DR134,"AAAAAF762G8=")</f>
        <v>#VALUE!</v>
      </c>
      <c r="DI113" t="e">
        <f>AND('SPR BARRANQUILLA'!DS134,"AAAAAF762HA=")</f>
        <v>#VALUE!</v>
      </c>
      <c r="DJ113" t="e">
        <f>AND('SPR BARRANQUILLA'!DT134,"AAAAAF762HE=")</f>
        <v>#VALUE!</v>
      </c>
      <c r="DK113" t="e">
        <f>AND('SPR BARRANQUILLA'!DU134,"AAAAAF762HI=")</f>
        <v>#VALUE!</v>
      </c>
      <c r="DL113" t="e">
        <f>AND('SPR BARRANQUILLA'!DV134,"AAAAAF762HM=")</f>
        <v>#VALUE!</v>
      </c>
      <c r="DM113" t="e">
        <f>AND('SPR BARRANQUILLA'!DW134,"AAAAAF762HQ=")</f>
        <v>#VALUE!</v>
      </c>
      <c r="DN113" t="e">
        <f>AND('SPR BARRANQUILLA'!DX134,"AAAAAF762HU=")</f>
        <v>#VALUE!</v>
      </c>
      <c r="DO113" t="e">
        <f>AND('SPR BARRANQUILLA'!DY134,"AAAAAF762HY=")</f>
        <v>#VALUE!</v>
      </c>
      <c r="DP113" t="e">
        <f>AND('SPR BARRANQUILLA'!DZ134,"AAAAAF762Hc=")</f>
        <v>#VALUE!</v>
      </c>
      <c r="DQ113" t="e">
        <f>AND('SPR BARRANQUILLA'!EA134,"AAAAAF762Hg=")</f>
        <v>#VALUE!</v>
      </c>
      <c r="DR113" t="e">
        <f>AND('SPR BARRANQUILLA'!EB134,"AAAAAF762Hk=")</f>
        <v>#VALUE!</v>
      </c>
      <c r="DS113" t="e">
        <f>AND('SPR BARRANQUILLA'!EC134,"AAAAAF762Ho=")</f>
        <v>#VALUE!</v>
      </c>
      <c r="DT113" t="e">
        <f>AND('SPR BARRANQUILLA'!ED134,"AAAAAF762Hs=")</f>
        <v>#VALUE!</v>
      </c>
      <c r="DU113" t="e">
        <f>AND('SPR BARRANQUILLA'!EE134,"AAAAAF762Hw=")</f>
        <v>#VALUE!</v>
      </c>
      <c r="DV113" t="e">
        <f>AND('SPR BARRANQUILLA'!EF134,"AAAAAF762H0=")</f>
        <v>#VALUE!</v>
      </c>
      <c r="DW113" t="e">
        <f>AND('SPR BARRANQUILLA'!EG134,"AAAAAF762H4=")</f>
        <v>#VALUE!</v>
      </c>
      <c r="DX113" t="e">
        <f>AND('SPR BARRANQUILLA'!EH134,"AAAAAF762H8=")</f>
        <v>#VALUE!</v>
      </c>
      <c r="DY113" t="e">
        <f>AND('SPR BARRANQUILLA'!EI134,"AAAAAF762IA=")</f>
        <v>#VALUE!</v>
      </c>
      <c r="DZ113" t="e">
        <f>AND('SPR BARRANQUILLA'!EJ134,"AAAAAF762IE=")</f>
        <v>#VALUE!</v>
      </c>
      <c r="EA113" t="e">
        <f>AND('SPR BARRANQUILLA'!EK134,"AAAAAF762II=")</f>
        <v>#VALUE!</v>
      </c>
      <c r="EB113" t="e">
        <f>AND('SPR BARRANQUILLA'!EL134,"AAAAAF762IM=")</f>
        <v>#VALUE!</v>
      </c>
      <c r="EC113" t="e">
        <f>AND('SPR BARRANQUILLA'!EM134,"AAAAAF762IQ=")</f>
        <v>#VALUE!</v>
      </c>
      <c r="ED113" t="e">
        <f>AND('SPR BARRANQUILLA'!EN134,"AAAAAF762IU=")</f>
        <v>#VALUE!</v>
      </c>
      <c r="EE113" t="e">
        <f>AND('SPR BARRANQUILLA'!EO134,"AAAAAF762IY=")</f>
        <v>#VALUE!</v>
      </c>
      <c r="EF113" t="e">
        <f>AND('SPR BARRANQUILLA'!EP134,"AAAAAF762Ic=")</f>
        <v>#VALUE!</v>
      </c>
      <c r="EG113" t="e">
        <f>AND('SPR BARRANQUILLA'!EQ134,"AAAAAF762Ig=")</f>
        <v>#VALUE!</v>
      </c>
      <c r="EH113" t="e">
        <f>AND('SPR BARRANQUILLA'!ER134,"AAAAAF762Ik=")</f>
        <v>#VALUE!</v>
      </c>
      <c r="EI113" t="e">
        <f>AND('SPR BARRANQUILLA'!ES134,"AAAAAF762Io=")</f>
        <v>#VALUE!</v>
      </c>
      <c r="EJ113" t="e">
        <f>AND('SPR BARRANQUILLA'!ET134,"AAAAAF762Is=")</f>
        <v>#VALUE!</v>
      </c>
      <c r="EK113" t="e">
        <f>AND('SPR BARRANQUILLA'!EU134,"AAAAAF762Iw=")</f>
        <v>#VALUE!</v>
      </c>
      <c r="EL113" t="e">
        <f>AND('SPR BARRANQUILLA'!EV134,"AAAAAF762I0=")</f>
        <v>#VALUE!</v>
      </c>
      <c r="EM113" t="e">
        <f>AND('SPR BARRANQUILLA'!EW134,"AAAAAF762I4=")</f>
        <v>#VALUE!</v>
      </c>
      <c r="EN113" t="e">
        <f>AND('SPR BARRANQUILLA'!EX134,"AAAAAF762I8=")</f>
        <v>#VALUE!</v>
      </c>
      <c r="EO113" t="e">
        <f>AND('SPR BARRANQUILLA'!EY134,"AAAAAF762JA=")</f>
        <v>#VALUE!</v>
      </c>
      <c r="EP113" t="e">
        <f>AND('SPR BARRANQUILLA'!EZ134,"AAAAAF762JE=")</f>
        <v>#VALUE!</v>
      </c>
      <c r="EQ113" t="e">
        <f>AND('SPR BARRANQUILLA'!FA134,"AAAAAF762JI=")</f>
        <v>#VALUE!</v>
      </c>
      <c r="ER113" t="e">
        <f>AND('SPR BARRANQUILLA'!FB134,"AAAAAF762JM=")</f>
        <v>#VALUE!</v>
      </c>
      <c r="ES113" t="e">
        <f>AND('SPR BARRANQUILLA'!FC134,"AAAAAF762JQ=")</f>
        <v>#VALUE!</v>
      </c>
      <c r="ET113" t="e">
        <f>AND('SPR BARRANQUILLA'!FD134,"AAAAAF762JU=")</f>
        <v>#VALUE!</v>
      </c>
      <c r="EU113" t="e">
        <f>AND('SPR BARRANQUILLA'!FE134,"AAAAAF762JY=")</f>
        <v>#VALUE!</v>
      </c>
      <c r="EV113" t="e">
        <f>AND('SPR BARRANQUILLA'!FF134,"AAAAAF762Jc=")</f>
        <v>#VALUE!</v>
      </c>
      <c r="EW113" t="e">
        <f>AND('SPR BARRANQUILLA'!FG134,"AAAAAF762Jg=")</f>
        <v>#VALUE!</v>
      </c>
      <c r="EX113" t="e">
        <f>AND('SPR BARRANQUILLA'!FH134,"AAAAAF762Jk=")</f>
        <v>#VALUE!</v>
      </c>
      <c r="EY113" t="e">
        <f>AND('SPR BARRANQUILLA'!FI134,"AAAAAF762Jo=")</f>
        <v>#VALUE!</v>
      </c>
      <c r="EZ113" t="e">
        <f>AND('SPR BARRANQUILLA'!FJ134,"AAAAAF762Js=")</f>
        <v>#VALUE!</v>
      </c>
      <c r="FA113" t="e">
        <f>AND('SPR BARRANQUILLA'!FK134,"AAAAAF762Jw=")</f>
        <v>#VALUE!</v>
      </c>
      <c r="FB113" t="e">
        <f>AND('SPR BARRANQUILLA'!FL134,"AAAAAF762J0=")</f>
        <v>#VALUE!</v>
      </c>
      <c r="FC113" t="e">
        <f>AND('SPR BARRANQUILLA'!FM134,"AAAAAF762J4=")</f>
        <v>#VALUE!</v>
      </c>
      <c r="FD113" t="e">
        <f>AND('SPR BARRANQUILLA'!FN134,"AAAAAF762J8=")</f>
        <v>#VALUE!</v>
      </c>
      <c r="FE113" t="e">
        <f>AND('SPR BARRANQUILLA'!FO134,"AAAAAF762KA=")</f>
        <v>#VALUE!</v>
      </c>
      <c r="FF113" t="e">
        <f>AND('SPR BARRANQUILLA'!FP134,"AAAAAF762KE=")</f>
        <v>#VALUE!</v>
      </c>
      <c r="FG113" t="e">
        <f>AND('SPR BARRANQUILLA'!FQ134,"AAAAAF762KI=")</f>
        <v>#VALUE!</v>
      </c>
      <c r="FH113" t="e">
        <f>AND('SPR BARRANQUILLA'!FR134,"AAAAAF762KM=")</f>
        <v>#VALUE!</v>
      </c>
      <c r="FI113" t="e">
        <f>AND('SPR BARRANQUILLA'!FS134,"AAAAAF762KQ=")</f>
        <v>#VALUE!</v>
      </c>
      <c r="FJ113" t="e">
        <f>AND('SPR BARRANQUILLA'!FT134,"AAAAAF762KU=")</f>
        <v>#VALUE!</v>
      </c>
      <c r="FK113" t="e">
        <f>AND('SPR BARRANQUILLA'!FU134,"AAAAAF762KY=")</f>
        <v>#VALUE!</v>
      </c>
      <c r="FL113" t="e">
        <f>AND('SPR BARRANQUILLA'!FV134,"AAAAAF762Kc=")</f>
        <v>#VALUE!</v>
      </c>
      <c r="FM113" t="e">
        <f>AND('SPR BARRANQUILLA'!FW134,"AAAAAF762Kg=")</f>
        <v>#VALUE!</v>
      </c>
      <c r="FN113" t="e">
        <f>AND('SPR BARRANQUILLA'!FX134,"AAAAAF762Kk=")</f>
        <v>#VALUE!</v>
      </c>
      <c r="FO113" t="e">
        <f>AND('SPR BARRANQUILLA'!FY134,"AAAAAF762Ko=")</f>
        <v>#VALUE!</v>
      </c>
      <c r="FP113" t="e">
        <f>AND('SPR BARRANQUILLA'!FZ134,"AAAAAF762Ks=")</f>
        <v>#VALUE!</v>
      </c>
      <c r="FQ113" t="e">
        <f>AND('SPR BARRANQUILLA'!GA134,"AAAAAF762Kw=")</f>
        <v>#VALUE!</v>
      </c>
      <c r="FR113" t="e">
        <f>AND('SPR BARRANQUILLA'!GB134,"AAAAAF762K0=")</f>
        <v>#VALUE!</v>
      </c>
      <c r="FS113" t="e">
        <f>AND('SPR BARRANQUILLA'!GC134,"AAAAAF762K4=")</f>
        <v>#VALUE!</v>
      </c>
      <c r="FT113" t="e">
        <f>AND('SPR BARRANQUILLA'!GD134,"AAAAAF762K8=")</f>
        <v>#VALUE!</v>
      </c>
      <c r="FU113" t="e">
        <f>AND('SPR BARRANQUILLA'!GE134,"AAAAAF762LA=")</f>
        <v>#VALUE!</v>
      </c>
      <c r="FV113" t="e">
        <f>AND('SPR BARRANQUILLA'!GF134,"AAAAAF762LE=")</f>
        <v>#VALUE!</v>
      </c>
      <c r="FW113" t="e">
        <f>AND('SPR BARRANQUILLA'!GG134,"AAAAAF762LI=")</f>
        <v>#VALUE!</v>
      </c>
      <c r="FX113" t="e">
        <f>AND('SPR BARRANQUILLA'!GH134,"AAAAAF762LM=")</f>
        <v>#VALUE!</v>
      </c>
      <c r="FY113" t="e">
        <f>AND('SPR BARRANQUILLA'!GI134,"AAAAAF762LQ=")</f>
        <v>#VALUE!</v>
      </c>
      <c r="FZ113" t="e">
        <f>AND('SPR BARRANQUILLA'!GJ134,"AAAAAF762LU=")</f>
        <v>#VALUE!</v>
      </c>
      <c r="GA113" t="e">
        <f>AND('SPR BARRANQUILLA'!GK134,"AAAAAF762LY=")</f>
        <v>#VALUE!</v>
      </c>
      <c r="GB113" t="e">
        <f>AND('SPR BARRANQUILLA'!GL134,"AAAAAF762Lc=")</f>
        <v>#VALUE!</v>
      </c>
      <c r="GC113" t="e">
        <f>AND('SPR BARRANQUILLA'!GM134,"AAAAAF762Lg=")</f>
        <v>#VALUE!</v>
      </c>
      <c r="GD113" t="e">
        <f>AND('SPR BARRANQUILLA'!GN134,"AAAAAF762Lk=")</f>
        <v>#VALUE!</v>
      </c>
      <c r="GE113" t="e">
        <f>AND('SPR BARRANQUILLA'!GO134,"AAAAAF762Lo=")</f>
        <v>#VALUE!</v>
      </c>
      <c r="GF113" t="e">
        <f>AND('SPR BARRANQUILLA'!GP134,"AAAAAF762Ls=")</f>
        <v>#VALUE!</v>
      </c>
      <c r="GG113" t="e">
        <f>AND('SPR BARRANQUILLA'!GQ134,"AAAAAF762Lw=")</f>
        <v>#VALUE!</v>
      </c>
      <c r="GH113" t="e">
        <f>AND('SPR BARRANQUILLA'!GR134,"AAAAAF762L0=")</f>
        <v>#VALUE!</v>
      </c>
      <c r="GI113" t="e">
        <f>AND('SPR BARRANQUILLA'!GS134,"AAAAAF762L4=")</f>
        <v>#VALUE!</v>
      </c>
      <c r="GJ113" t="e">
        <f>AND('SPR BARRANQUILLA'!GT134,"AAAAAF762L8=")</f>
        <v>#VALUE!</v>
      </c>
      <c r="GK113" t="e">
        <f>AND('SPR BARRANQUILLA'!GU134,"AAAAAF762MA=")</f>
        <v>#VALUE!</v>
      </c>
      <c r="GL113" t="e">
        <f>AND('SPR BARRANQUILLA'!GV134,"AAAAAF762ME=")</f>
        <v>#VALUE!</v>
      </c>
      <c r="GM113" t="e">
        <f>AND('SPR BARRANQUILLA'!GW134,"AAAAAF762MI=")</f>
        <v>#VALUE!</v>
      </c>
      <c r="GN113" t="e">
        <f>AND('SPR BARRANQUILLA'!GX134,"AAAAAF762MM=")</f>
        <v>#VALUE!</v>
      </c>
      <c r="GO113" t="e">
        <f>AND('SPR BARRANQUILLA'!GY134,"AAAAAF762MQ=")</f>
        <v>#VALUE!</v>
      </c>
      <c r="GP113">
        <f>IF('SPR BARRANQUILLA'!135:135,"AAAAAF762MU=",0)</f>
        <v>0</v>
      </c>
      <c r="GQ113" t="e">
        <f>AND('SPR BARRANQUILLA'!A135,"AAAAAF762MY=")</f>
        <v>#VALUE!</v>
      </c>
      <c r="GR113" t="e">
        <f>AND('SPR BARRANQUILLA'!B135,"AAAAAF762Mc=")</f>
        <v>#VALUE!</v>
      </c>
      <c r="GS113" t="e">
        <f>AND('SPR BARRANQUILLA'!C135,"AAAAAF762Mg=")</f>
        <v>#VALUE!</v>
      </c>
      <c r="GT113" t="e">
        <f>AND('SPR BARRANQUILLA'!D135,"AAAAAF762Mk=")</f>
        <v>#VALUE!</v>
      </c>
      <c r="GU113" t="e">
        <f>AND('SPR BARRANQUILLA'!E135,"AAAAAF762Mo=")</f>
        <v>#VALUE!</v>
      </c>
      <c r="GV113" t="e">
        <f>AND('SPR BARRANQUILLA'!F135,"AAAAAF762Ms=")</f>
        <v>#VALUE!</v>
      </c>
      <c r="GW113" t="e">
        <f>AND('SPR BARRANQUILLA'!G135,"AAAAAF762Mw=")</f>
        <v>#VALUE!</v>
      </c>
      <c r="GX113" t="e">
        <f>AND('SPR BARRANQUILLA'!H135,"AAAAAF762M0=")</f>
        <v>#VALUE!</v>
      </c>
      <c r="GY113" t="e">
        <f>AND('SPR BARRANQUILLA'!I135,"AAAAAF762M4=")</f>
        <v>#VALUE!</v>
      </c>
      <c r="GZ113" t="e">
        <f>AND('SPR BARRANQUILLA'!J135,"AAAAAF762M8=")</f>
        <v>#VALUE!</v>
      </c>
      <c r="HA113" t="e">
        <f>AND('SPR BARRANQUILLA'!K135,"AAAAAF762NA=")</f>
        <v>#VALUE!</v>
      </c>
      <c r="HB113" t="e">
        <f>AND('SPR BARRANQUILLA'!L135,"AAAAAF762NE=")</f>
        <v>#VALUE!</v>
      </c>
      <c r="HC113" t="e">
        <f>AND('SPR BARRANQUILLA'!M135,"AAAAAF762NI=")</f>
        <v>#VALUE!</v>
      </c>
      <c r="HD113" t="e">
        <f>AND('SPR BARRANQUILLA'!N135,"AAAAAF762NM=")</f>
        <v>#VALUE!</v>
      </c>
      <c r="HE113" t="e">
        <f>AND('SPR BARRANQUILLA'!O135,"AAAAAF762NQ=")</f>
        <v>#VALUE!</v>
      </c>
      <c r="HF113" t="e">
        <f>AND('SPR BARRANQUILLA'!P135,"AAAAAF762NU=")</f>
        <v>#VALUE!</v>
      </c>
      <c r="HG113" t="e">
        <f>AND('SPR BARRANQUILLA'!Q135,"AAAAAF762NY=")</f>
        <v>#VALUE!</v>
      </c>
      <c r="HH113" t="e">
        <f>AND('SPR BARRANQUILLA'!R135,"AAAAAF762Nc=")</f>
        <v>#VALUE!</v>
      </c>
      <c r="HI113" t="e">
        <f>AND('SPR BARRANQUILLA'!S135,"AAAAAF762Ng=")</f>
        <v>#VALUE!</v>
      </c>
      <c r="HJ113" t="e">
        <f>AND('SPR BARRANQUILLA'!T135,"AAAAAF762Nk=")</f>
        <v>#VALUE!</v>
      </c>
      <c r="HK113" t="e">
        <f>AND('SPR BARRANQUILLA'!U135,"AAAAAF762No=")</f>
        <v>#VALUE!</v>
      </c>
      <c r="HL113" t="e">
        <f>AND('SPR BARRANQUILLA'!V135,"AAAAAF762Ns=")</f>
        <v>#VALUE!</v>
      </c>
      <c r="HM113" t="e">
        <f>AND('SPR BARRANQUILLA'!W135,"AAAAAF762Nw=")</f>
        <v>#VALUE!</v>
      </c>
      <c r="HN113" t="e">
        <f>AND('SPR BARRANQUILLA'!X135,"AAAAAF762N0=")</f>
        <v>#VALUE!</v>
      </c>
      <c r="HO113" t="e">
        <f>AND('SPR BARRANQUILLA'!Y135,"AAAAAF762N4=")</f>
        <v>#VALUE!</v>
      </c>
      <c r="HP113" t="e">
        <f>AND('SPR BARRANQUILLA'!Z135,"AAAAAF762N8=")</f>
        <v>#VALUE!</v>
      </c>
      <c r="HQ113" t="e">
        <f>AND('SPR BARRANQUILLA'!AA135,"AAAAAF762OA=")</f>
        <v>#VALUE!</v>
      </c>
      <c r="HR113" t="e">
        <f>AND('SPR BARRANQUILLA'!AB135,"AAAAAF762OE=")</f>
        <v>#VALUE!</v>
      </c>
      <c r="HS113" t="e">
        <f>AND('SPR BARRANQUILLA'!AC135,"AAAAAF762OI=")</f>
        <v>#VALUE!</v>
      </c>
      <c r="HT113" t="e">
        <f>AND('SPR BARRANQUILLA'!AD135,"AAAAAF762OM=")</f>
        <v>#VALUE!</v>
      </c>
      <c r="HU113" t="e">
        <f>AND('SPR BARRANQUILLA'!AE135,"AAAAAF762OQ=")</f>
        <v>#VALUE!</v>
      </c>
      <c r="HV113" t="e">
        <f>AND('SPR BARRANQUILLA'!AF135,"AAAAAF762OU=")</f>
        <v>#VALUE!</v>
      </c>
      <c r="HW113" t="e">
        <f>AND('SPR BARRANQUILLA'!AG135,"AAAAAF762OY=")</f>
        <v>#VALUE!</v>
      </c>
      <c r="HX113" t="e">
        <f>AND('SPR BARRANQUILLA'!AH135,"AAAAAF762Oc=")</f>
        <v>#VALUE!</v>
      </c>
      <c r="HY113" t="e">
        <f>AND('SPR BARRANQUILLA'!AI135,"AAAAAF762Og=")</f>
        <v>#VALUE!</v>
      </c>
      <c r="HZ113" t="e">
        <f>AND('SPR BARRANQUILLA'!AJ135,"AAAAAF762Ok=")</f>
        <v>#VALUE!</v>
      </c>
      <c r="IA113" t="e">
        <f>AND('SPR BARRANQUILLA'!AK135,"AAAAAF762Oo=")</f>
        <v>#VALUE!</v>
      </c>
      <c r="IB113" t="e">
        <f>AND('SPR BARRANQUILLA'!AL135,"AAAAAF762Os=")</f>
        <v>#VALUE!</v>
      </c>
      <c r="IC113" t="e">
        <f>AND('SPR BARRANQUILLA'!AM135,"AAAAAF762Ow=")</f>
        <v>#VALUE!</v>
      </c>
      <c r="ID113" t="e">
        <f>AND('SPR BARRANQUILLA'!AN135,"AAAAAF762O0=")</f>
        <v>#VALUE!</v>
      </c>
      <c r="IE113" t="e">
        <f>AND('SPR BARRANQUILLA'!AO135,"AAAAAF762O4=")</f>
        <v>#VALUE!</v>
      </c>
      <c r="IF113" t="e">
        <f>AND('SPR BARRANQUILLA'!AP135,"AAAAAF762O8=")</f>
        <v>#VALUE!</v>
      </c>
      <c r="IG113" t="e">
        <f>AND('SPR BARRANQUILLA'!AQ135,"AAAAAF762PA=")</f>
        <v>#VALUE!</v>
      </c>
      <c r="IH113" t="e">
        <f>AND('SPR BARRANQUILLA'!AR135,"AAAAAF762PE=")</f>
        <v>#VALUE!</v>
      </c>
      <c r="II113" t="e">
        <f>AND('SPR BARRANQUILLA'!AS135,"AAAAAF762PI=")</f>
        <v>#VALUE!</v>
      </c>
      <c r="IJ113" t="e">
        <f>AND('SPR BARRANQUILLA'!AT135,"AAAAAF762PM=")</f>
        <v>#VALUE!</v>
      </c>
      <c r="IK113" t="e">
        <f>AND('SPR BARRANQUILLA'!AU135,"AAAAAF762PQ=")</f>
        <v>#VALUE!</v>
      </c>
      <c r="IL113" t="e">
        <f>AND('SPR BARRANQUILLA'!AV135,"AAAAAF762PU=")</f>
        <v>#VALUE!</v>
      </c>
      <c r="IM113" t="e">
        <f>AND('SPR BARRANQUILLA'!AW135,"AAAAAF762PY=")</f>
        <v>#VALUE!</v>
      </c>
      <c r="IN113" t="e">
        <f>AND('SPR BARRANQUILLA'!AX135,"AAAAAF762Pc=")</f>
        <v>#VALUE!</v>
      </c>
      <c r="IO113" t="e">
        <f>AND('SPR BARRANQUILLA'!AY135,"AAAAAF762Pg=")</f>
        <v>#VALUE!</v>
      </c>
      <c r="IP113" t="e">
        <f>AND('SPR BARRANQUILLA'!AZ135,"AAAAAF762Pk=")</f>
        <v>#VALUE!</v>
      </c>
      <c r="IQ113" t="e">
        <f>AND('SPR BARRANQUILLA'!BA135,"AAAAAF762Po=")</f>
        <v>#VALUE!</v>
      </c>
      <c r="IR113" t="e">
        <f>AND('SPR BARRANQUILLA'!BB135,"AAAAAF762Ps=")</f>
        <v>#VALUE!</v>
      </c>
      <c r="IS113" t="e">
        <f>AND('SPR BARRANQUILLA'!BC135,"AAAAAF762Pw=")</f>
        <v>#VALUE!</v>
      </c>
      <c r="IT113" t="e">
        <f>AND('SPR BARRANQUILLA'!BD135,"AAAAAF762P0=")</f>
        <v>#VALUE!</v>
      </c>
      <c r="IU113" t="e">
        <f>AND('SPR BARRANQUILLA'!BE135,"AAAAAF762P4=")</f>
        <v>#VALUE!</v>
      </c>
      <c r="IV113" t="e">
        <f>AND('SPR BARRANQUILLA'!BF135,"AAAAAF762P8=")</f>
        <v>#VALUE!</v>
      </c>
    </row>
    <row r="114" spans="1:256">
      <c r="A114" t="e">
        <f>AND('SPR BARRANQUILLA'!BG135,"AAAAAH/+hgA=")</f>
        <v>#VALUE!</v>
      </c>
      <c r="B114" t="e">
        <f>AND('SPR BARRANQUILLA'!BH135,"AAAAAH/+hgE=")</f>
        <v>#VALUE!</v>
      </c>
      <c r="C114" t="e">
        <f>AND('SPR BARRANQUILLA'!BI135,"AAAAAH/+hgI=")</f>
        <v>#VALUE!</v>
      </c>
      <c r="D114" t="e">
        <f>AND('SPR BARRANQUILLA'!BJ135,"AAAAAH/+hgM=")</f>
        <v>#VALUE!</v>
      </c>
      <c r="E114" t="e">
        <f>AND('SPR BARRANQUILLA'!BK135,"AAAAAH/+hgQ=")</f>
        <v>#VALUE!</v>
      </c>
      <c r="F114" t="e">
        <f>AND('SPR BARRANQUILLA'!BL135,"AAAAAH/+hgU=")</f>
        <v>#VALUE!</v>
      </c>
      <c r="G114" t="e">
        <f>AND('SPR BARRANQUILLA'!BM135,"AAAAAH/+hgY=")</f>
        <v>#VALUE!</v>
      </c>
      <c r="H114" t="e">
        <f>AND('SPR BARRANQUILLA'!BN135,"AAAAAH/+hgc=")</f>
        <v>#VALUE!</v>
      </c>
      <c r="I114" t="e">
        <f>AND('SPR BARRANQUILLA'!BO135,"AAAAAH/+hgg=")</f>
        <v>#VALUE!</v>
      </c>
      <c r="J114" t="e">
        <f>AND('SPR BARRANQUILLA'!BP135,"AAAAAH/+hgk=")</f>
        <v>#VALUE!</v>
      </c>
      <c r="K114" t="e">
        <f>AND('SPR BARRANQUILLA'!BQ135,"AAAAAH/+hgo=")</f>
        <v>#VALUE!</v>
      </c>
      <c r="L114" t="e">
        <f>AND('SPR BARRANQUILLA'!BR135,"AAAAAH/+hgs=")</f>
        <v>#VALUE!</v>
      </c>
      <c r="M114" t="e">
        <f>AND('SPR BARRANQUILLA'!BS135,"AAAAAH/+hgw=")</f>
        <v>#VALUE!</v>
      </c>
      <c r="N114" t="e">
        <f>AND('SPR BARRANQUILLA'!BT135,"AAAAAH/+hg0=")</f>
        <v>#VALUE!</v>
      </c>
      <c r="O114" t="e">
        <f>AND('SPR BARRANQUILLA'!BU135,"AAAAAH/+hg4=")</f>
        <v>#VALUE!</v>
      </c>
      <c r="P114" t="e">
        <f>AND('SPR BARRANQUILLA'!BV135,"AAAAAH/+hg8=")</f>
        <v>#VALUE!</v>
      </c>
      <c r="Q114" t="e">
        <f>AND('SPR BARRANQUILLA'!BW135,"AAAAAH/+hhA=")</f>
        <v>#VALUE!</v>
      </c>
      <c r="R114" t="e">
        <f>AND('SPR BARRANQUILLA'!BX135,"AAAAAH/+hhE=")</f>
        <v>#VALUE!</v>
      </c>
      <c r="S114" t="e">
        <f>AND('SPR BARRANQUILLA'!BY135,"AAAAAH/+hhI=")</f>
        <v>#VALUE!</v>
      </c>
      <c r="T114" t="e">
        <f>AND('SPR BARRANQUILLA'!BZ135,"AAAAAH/+hhM=")</f>
        <v>#VALUE!</v>
      </c>
      <c r="U114" t="e">
        <f>AND('SPR BARRANQUILLA'!CA135,"AAAAAH/+hhQ=")</f>
        <v>#VALUE!</v>
      </c>
      <c r="V114" t="e">
        <f>AND('SPR BARRANQUILLA'!CB135,"AAAAAH/+hhU=")</f>
        <v>#VALUE!</v>
      </c>
      <c r="W114" t="e">
        <f>AND('SPR BARRANQUILLA'!CC135,"AAAAAH/+hhY=")</f>
        <v>#VALUE!</v>
      </c>
      <c r="X114" t="e">
        <f>AND('SPR BARRANQUILLA'!CD135,"AAAAAH/+hhc=")</f>
        <v>#VALUE!</v>
      </c>
      <c r="Y114" t="e">
        <f>AND('SPR BARRANQUILLA'!CE135,"AAAAAH/+hhg=")</f>
        <v>#VALUE!</v>
      </c>
      <c r="Z114" t="e">
        <f>AND('SPR BARRANQUILLA'!CF135,"AAAAAH/+hhk=")</f>
        <v>#VALUE!</v>
      </c>
      <c r="AA114" t="e">
        <f>AND('SPR BARRANQUILLA'!CG135,"AAAAAH/+hho=")</f>
        <v>#VALUE!</v>
      </c>
      <c r="AB114" t="e">
        <f>AND('SPR BARRANQUILLA'!CH135,"AAAAAH/+hhs=")</f>
        <v>#VALUE!</v>
      </c>
      <c r="AC114" t="e">
        <f>AND('SPR BARRANQUILLA'!CI135,"AAAAAH/+hhw=")</f>
        <v>#VALUE!</v>
      </c>
      <c r="AD114" t="e">
        <f>AND('SPR BARRANQUILLA'!CJ135,"AAAAAH/+hh0=")</f>
        <v>#VALUE!</v>
      </c>
      <c r="AE114" t="e">
        <f>AND('SPR BARRANQUILLA'!CK135,"AAAAAH/+hh4=")</f>
        <v>#VALUE!</v>
      </c>
      <c r="AF114" t="e">
        <f>AND('SPR BARRANQUILLA'!CL135,"AAAAAH/+hh8=")</f>
        <v>#VALUE!</v>
      </c>
      <c r="AG114" t="e">
        <f>AND('SPR BARRANQUILLA'!CM135,"AAAAAH/+hiA=")</f>
        <v>#VALUE!</v>
      </c>
      <c r="AH114" t="e">
        <f>AND('SPR BARRANQUILLA'!CN135,"AAAAAH/+hiE=")</f>
        <v>#VALUE!</v>
      </c>
      <c r="AI114" t="e">
        <f>AND('SPR BARRANQUILLA'!CO135,"AAAAAH/+hiI=")</f>
        <v>#VALUE!</v>
      </c>
      <c r="AJ114" t="e">
        <f>AND('SPR BARRANQUILLA'!CP135,"AAAAAH/+hiM=")</f>
        <v>#VALUE!</v>
      </c>
      <c r="AK114" t="e">
        <f>AND('SPR BARRANQUILLA'!CQ135,"AAAAAH/+hiQ=")</f>
        <v>#VALUE!</v>
      </c>
      <c r="AL114" t="e">
        <f>AND('SPR BARRANQUILLA'!CR135,"AAAAAH/+hiU=")</f>
        <v>#VALUE!</v>
      </c>
      <c r="AM114" t="e">
        <f>AND('SPR BARRANQUILLA'!CS135,"AAAAAH/+hiY=")</f>
        <v>#VALUE!</v>
      </c>
      <c r="AN114" t="e">
        <f>AND('SPR BARRANQUILLA'!CT135,"AAAAAH/+hic=")</f>
        <v>#VALUE!</v>
      </c>
      <c r="AO114" t="e">
        <f>AND('SPR BARRANQUILLA'!CU135,"AAAAAH/+hig=")</f>
        <v>#VALUE!</v>
      </c>
      <c r="AP114" t="e">
        <f>AND('SPR BARRANQUILLA'!CV135,"AAAAAH/+hik=")</f>
        <v>#VALUE!</v>
      </c>
      <c r="AQ114" t="e">
        <f>AND('SPR BARRANQUILLA'!CW135,"AAAAAH/+hio=")</f>
        <v>#VALUE!</v>
      </c>
      <c r="AR114" t="e">
        <f>AND('SPR BARRANQUILLA'!CX135,"AAAAAH/+his=")</f>
        <v>#VALUE!</v>
      </c>
      <c r="AS114" t="e">
        <f>AND('SPR BARRANQUILLA'!CY135,"AAAAAH/+hiw=")</f>
        <v>#VALUE!</v>
      </c>
      <c r="AT114" t="e">
        <f>AND('SPR BARRANQUILLA'!CZ135,"AAAAAH/+hi0=")</f>
        <v>#VALUE!</v>
      </c>
      <c r="AU114" t="e">
        <f>AND('SPR BARRANQUILLA'!DA135,"AAAAAH/+hi4=")</f>
        <v>#VALUE!</v>
      </c>
      <c r="AV114" t="e">
        <f>AND('SPR BARRANQUILLA'!DB135,"AAAAAH/+hi8=")</f>
        <v>#VALUE!</v>
      </c>
      <c r="AW114" t="e">
        <f>AND('SPR BARRANQUILLA'!DC135,"AAAAAH/+hjA=")</f>
        <v>#VALUE!</v>
      </c>
      <c r="AX114" t="e">
        <f>AND('SPR BARRANQUILLA'!DD135,"AAAAAH/+hjE=")</f>
        <v>#VALUE!</v>
      </c>
      <c r="AY114" t="e">
        <f>AND('SPR BARRANQUILLA'!DE135,"AAAAAH/+hjI=")</f>
        <v>#VALUE!</v>
      </c>
      <c r="AZ114" t="e">
        <f>AND('SPR BARRANQUILLA'!DF135,"AAAAAH/+hjM=")</f>
        <v>#VALUE!</v>
      </c>
      <c r="BA114" t="e">
        <f>AND('SPR BARRANQUILLA'!DG135,"AAAAAH/+hjQ=")</f>
        <v>#VALUE!</v>
      </c>
      <c r="BB114" t="e">
        <f>AND('SPR BARRANQUILLA'!DH135,"AAAAAH/+hjU=")</f>
        <v>#VALUE!</v>
      </c>
      <c r="BC114" t="e">
        <f>AND('SPR BARRANQUILLA'!DI135,"AAAAAH/+hjY=")</f>
        <v>#VALUE!</v>
      </c>
      <c r="BD114" t="e">
        <f>AND('SPR BARRANQUILLA'!DJ135,"AAAAAH/+hjc=")</f>
        <v>#VALUE!</v>
      </c>
      <c r="BE114" t="e">
        <f>AND('SPR BARRANQUILLA'!DK135,"AAAAAH/+hjg=")</f>
        <v>#VALUE!</v>
      </c>
      <c r="BF114" t="e">
        <f>AND('SPR BARRANQUILLA'!DL135,"AAAAAH/+hjk=")</f>
        <v>#VALUE!</v>
      </c>
      <c r="BG114" t="e">
        <f>AND('SPR BARRANQUILLA'!DM135,"AAAAAH/+hjo=")</f>
        <v>#VALUE!</v>
      </c>
      <c r="BH114" t="e">
        <f>AND('SPR BARRANQUILLA'!DN135,"AAAAAH/+hjs=")</f>
        <v>#VALUE!</v>
      </c>
      <c r="BI114" t="e">
        <f>AND('SPR BARRANQUILLA'!DO135,"AAAAAH/+hjw=")</f>
        <v>#VALUE!</v>
      </c>
      <c r="BJ114" t="e">
        <f>AND('SPR BARRANQUILLA'!DP135,"AAAAAH/+hj0=")</f>
        <v>#VALUE!</v>
      </c>
      <c r="BK114" t="e">
        <f>AND('SPR BARRANQUILLA'!DQ135,"AAAAAH/+hj4=")</f>
        <v>#VALUE!</v>
      </c>
      <c r="BL114" t="e">
        <f>AND('SPR BARRANQUILLA'!DR135,"AAAAAH/+hj8=")</f>
        <v>#VALUE!</v>
      </c>
      <c r="BM114" t="e">
        <f>AND('SPR BARRANQUILLA'!DS135,"AAAAAH/+hkA=")</f>
        <v>#VALUE!</v>
      </c>
      <c r="BN114" t="e">
        <f>AND('SPR BARRANQUILLA'!DT135,"AAAAAH/+hkE=")</f>
        <v>#VALUE!</v>
      </c>
      <c r="BO114" t="e">
        <f>AND('SPR BARRANQUILLA'!DU135,"AAAAAH/+hkI=")</f>
        <v>#VALUE!</v>
      </c>
      <c r="BP114" t="e">
        <f>AND('SPR BARRANQUILLA'!DV135,"AAAAAH/+hkM=")</f>
        <v>#VALUE!</v>
      </c>
      <c r="BQ114" t="e">
        <f>AND('SPR BARRANQUILLA'!DW135,"AAAAAH/+hkQ=")</f>
        <v>#VALUE!</v>
      </c>
      <c r="BR114" t="e">
        <f>AND('SPR BARRANQUILLA'!DX135,"AAAAAH/+hkU=")</f>
        <v>#VALUE!</v>
      </c>
      <c r="BS114" t="e">
        <f>AND('SPR BARRANQUILLA'!DY135,"AAAAAH/+hkY=")</f>
        <v>#VALUE!</v>
      </c>
      <c r="BT114" t="e">
        <f>AND('SPR BARRANQUILLA'!DZ135,"AAAAAH/+hkc=")</f>
        <v>#VALUE!</v>
      </c>
      <c r="BU114" t="e">
        <f>AND('SPR BARRANQUILLA'!EA135,"AAAAAH/+hkg=")</f>
        <v>#VALUE!</v>
      </c>
      <c r="BV114" t="e">
        <f>AND('SPR BARRANQUILLA'!EB135,"AAAAAH/+hkk=")</f>
        <v>#VALUE!</v>
      </c>
      <c r="BW114" t="e">
        <f>AND('SPR BARRANQUILLA'!EC135,"AAAAAH/+hko=")</f>
        <v>#VALUE!</v>
      </c>
      <c r="BX114" t="e">
        <f>AND('SPR BARRANQUILLA'!ED135,"AAAAAH/+hks=")</f>
        <v>#VALUE!</v>
      </c>
      <c r="BY114" t="e">
        <f>AND('SPR BARRANQUILLA'!EE135,"AAAAAH/+hkw=")</f>
        <v>#VALUE!</v>
      </c>
      <c r="BZ114" t="e">
        <f>AND('SPR BARRANQUILLA'!EF135,"AAAAAH/+hk0=")</f>
        <v>#VALUE!</v>
      </c>
      <c r="CA114" t="e">
        <f>AND('SPR BARRANQUILLA'!EG135,"AAAAAH/+hk4=")</f>
        <v>#VALUE!</v>
      </c>
      <c r="CB114" t="e">
        <f>AND('SPR BARRANQUILLA'!EH135,"AAAAAH/+hk8=")</f>
        <v>#VALUE!</v>
      </c>
      <c r="CC114" t="e">
        <f>AND('SPR BARRANQUILLA'!EI135,"AAAAAH/+hlA=")</f>
        <v>#VALUE!</v>
      </c>
      <c r="CD114" t="e">
        <f>AND('SPR BARRANQUILLA'!EJ135,"AAAAAH/+hlE=")</f>
        <v>#VALUE!</v>
      </c>
      <c r="CE114" t="e">
        <f>AND('SPR BARRANQUILLA'!EK135,"AAAAAH/+hlI=")</f>
        <v>#VALUE!</v>
      </c>
      <c r="CF114" t="e">
        <f>AND('SPR BARRANQUILLA'!EL135,"AAAAAH/+hlM=")</f>
        <v>#VALUE!</v>
      </c>
      <c r="CG114" t="e">
        <f>AND('SPR BARRANQUILLA'!EM135,"AAAAAH/+hlQ=")</f>
        <v>#VALUE!</v>
      </c>
      <c r="CH114" t="e">
        <f>AND('SPR BARRANQUILLA'!EN135,"AAAAAH/+hlU=")</f>
        <v>#VALUE!</v>
      </c>
      <c r="CI114" t="e">
        <f>AND('SPR BARRANQUILLA'!EO135,"AAAAAH/+hlY=")</f>
        <v>#VALUE!</v>
      </c>
      <c r="CJ114" t="e">
        <f>AND('SPR BARRANQUILLA'!EP135,"AAAAAH/+hlc=")</f>
        <v>#VALUE!</v>
      </c>
      <c r="CK114" t="e">
        <f>AND('SPR BARRANQUILLA'!EQ135,"AAAAAH/+hlg=")</f>
        <v>#VALUE!</v>
      </c>
      <c r="CL114" t="e">
        <f>AND('SPR BARRANQUILLA'!ER135,"AAAAAH/+hlk=")</f>
        <v>#VALUE!</v>
      </c>
      <c r="CM114" t="e">
        <f>AND('SPR BARRANQUILLA'!ES135,"AAAAAH/+hlo=")</f>
        <v>#VALUE!</v>
      </c>
      <c r="CN114" t="e">
        <f>AND('SPR BARRANQUILLA'!ET135,"AAAAAH/+hls=")</f>
        <v>#VALUE!</v>
      </c>
      <c r="CO114" t="e">
        <f>AND('SPR BARRANQUILLA'!EU135,"AAAAAH/+hlw=")</f>
        <v>#VALUE!</v>
      </c>
      <c r="CP114" t="e">
        <f>AND('SPR BARRANQUILLA'!EV135,"AAAAAH/+hl0=")</f>
        <v>#VALUE!</v>
      </c>
      <c r="CQ114" t="e">
        <f>AND('SPR BARRANQUILLA'!EW135,"AAAAAH/+hl4=")</f>
        <v>#VALUE!</v>
      </c>
      <c r="CR114" t="e">
        <f>AND('SPR BARRANQUILLA'!EX135,"AAAAAH/+hl8=")</f>
        <v>#VALUE!</v>
      </c>
      <c r="CS114" t="e">
        <f>AND('SPR BARRANQUILLA'!EY135,"AAAAAH/+hmA=")</f>
        <v>#VALUE!</v>
      </c>
      <c r="CT114" t="e">
        <f>AND('SPR BARRANQUILLA'!EZ135,"AAAAAH/+hmE=")</f>
        <v>#VALUE!</v>
      </c>
      <c r="CU114" t="e">
        <f>AND('SPR BARRANQUILLA'!FA135,"AAAAAH/+hmI=")</f>
        <v>#VALUE!</v>
      </c>
      <c r="CV114" t="e">
        <f>AND('SPR BARRANQUILLA'!FB135,"AAAAAH/+hmM=")</f>
        <v>#VALUE!</v>
      </c>
      <c r="CW114" t="e">
        <f>AND('SPR BARRANQUILLA'!FC135,"AAAAAH/+hmQ=")</f>
        <v>#VALUE!</v>
      </c>
      <c r="CX114" t="e">
        <f>AND('SPR BARRANQUILLA'!FD135,"AAAAAH/+hmU=")</f>
        <v>#VALUE!</v>
      </c>
      <c r="CY114" t="e">
        <f>AND('SPR BARRANQUILLA'!FE135,"AAAAAH/+hmY=")</f>
        <v>#VALUE!</v>
      </c>
      <c r="CZ114" t="e">
        <f>AND('SPR BARRANQUILLA'!FF135,"AAAAAH/+hmc=")</f>
        <v>#VALUE!</v>
      </c>
      <c r="DA114" t="e">
        <f>AND('SPR BARRANQUILLA'!FG135,"AAAAAH/+hmg=")</f>
        <v>#VALUE!</v>
      </c>
      <c r="DB114" t="e">
        <f>AND('SPR BARRANQUILLA'!FH135,"AAAAAH/+hmk=")</f>
        <v>#VALUE!</v>
      </c>
      <c r="DC114" t="e">
        <f>AND('SPR BARRANQUILLA'!FI135,"AAAAAH/+hmo=")</f>
        <v>#VALUE!</v>
      </c>
      <c r="DD114" t="e">
        <f>AND('SPR BARRANQUILLA'!FJ135,"AAAAAH/+hms=")</f>
        <v>#VALUE!</v>
      </c>
      <c r="DE114" t="e">
        <f>AND('SPR BARRANQUILLA'!FK135,"AAAAAH/+hmw=")</f>
        <v>#VALUE!</v>
      </c>
      <c r="DF114" t="e">
        <f>AND('SPR BARRANQUILLA'!FL135,"AAAAAH/+hm0=")</f>
        <v>#VALUE!</v>
      </c>
      <c r="DG114" t="e">
        <f>AND('SPR BARRANQUILLA'!FM135,"AAAAAH/+hm4=")</f>
        <v>#VALUE!</v>
      </c>
      <c r="DH114" t="e">
        <f>AND('SPR BARRANQUILLA'!FN135,"AAAAAH/+hm8=")</f>
        <v>#VALUE!</v>
      </c>
      <c r="DI114" t="e">
        <f>AND('SPR BARRANQUILLA'!FO135,"AAAAAH/+hnA=")</f>
        <v>#VALUE!</v>
      </c>
      <c r="DJ114" t="e">
        <f>AND('SPR BARRANQUILLA'!FP135,"AAAAAH/+hnE=")</f>
        <v>#VALUE!</v>
      </c>
      <c r="DK114" t="e">
        <f>AND('SPR BARRANQUILLA'!FQ135,"AAAAAH/+hnI=")</f>
        <v>#VALUE!</v>
      </c>
      <c r="DL114" t="e">
        <f>AND('SPR BARRANQUILLA'!FR135,"AAAAAH/+hnM=")</f>
        <v>#VALUE!</v>
      </c>
      <c r="DM114" t="e">
        <f>AND('SPR BARRANQUILLA'!FS135,"AAAAAH/+hnQ=")</f>
        <v>#VALUE!</v>
      </c>
      <c r="DN114" t="e">
        <f>AND('SPR BARRANQUILLA'!FT135,"AAAAAH/+hnU=")</f>
        <v>#VALUE!</v>
      </c>
      <c r="DO114" t="e">
        <f>AND('SPR BARRANQUILLA'!FU135,"AAAAAH/+hnY=")</f>
        <v>#VALUE!</v>
      </c>
      <c r="DP114" t="e">
        <f>AND('SPR BARRANQUILLA'!FV135,"AAAAAH/+hnc=")</f>
        <v>#VALUE!</v>
      </c>
      <c r="DQ114" t="e">
        <f>AND('SPR BARRANQUILLA'!FW135,"AAAAAH/+hng=")</f>
        <v>#VALUE!</v>
      </c>
      <c r="DR114" t="e">
        <f>AND('SPR BARRANQUILLA'!FX135,"AAAAAH/+hnk=")</f>
        <v>#VALUE!</v>
      </c>
      <c r="DS114" t="e">
        <f>AND('SPR BARRANQUILLA'!FY135,"AAAAAH/+hno=")</f>
        <v>#VALUE!</v>
      </c>
      <c r="DT114" t="e">
        <f>AND('SPR BARRANQUILLA'!FZ135,"AAAAAH/+hns=")</f>
        <v>#VALUE!</v>
      </c>
      <c r="DU114" t="e">
        <f>AND('SPR BARRANQUILLA'!GA135,"AAAAAH/+hnw=")</f>
        <v>#VALUE!</v>
      </c>
      <c r="DV114" t="e">
        <f>AND('SPR BARRANQUILLA'!GB135,"AAAAAH/+hn0=")</f>
        <v>#VALUE!</v>
      </c>
      <c r="DW114" t="e">
        <f>AND('SPR BARRANQUILLA'!GC135,"AAAAAH/+hn4=")</f>
        <v>#VALUE!</v>
      </c>
      <c r="DX114" t="e">
        <f>AND('SPR BARRANQUILLA'!GD135,"AAAAAH/+hn8=")</f>
        <v>#VALUE!</v>
      </c>
      <c r="DY114" t="e">
        <f>AND('SPR BARRANQUILLA'!GE135,"AAAAAH/+hoA=")</f>
        <v>#VALUE!</v>
      </c>
      <c r="DZ114" t="e">
        <f>AND('SPR BARRANQUILLA'!GF135,"AAAAAH/+hoE=")</f>
        <v>#VALUE!</v>
      </c>
      <c r="EA114" t="e">
        <f>AND('SPR BARRANQUILLA'!GG135,"AAAAAH/+hoI=")</f>
        <v>#VALUE!</v>
      </c>
      <c r="EB114" t="e">
        <f>AND('SPR BARRANQUILLA'!GH135,"AAAAAH/+hoM=")</f>
        <v>#VALUE!</v>
      </c>
      <c r="EC114" t="e">
        <f>AND('SPR BARRANQUILLA'!GI135,"AAAAAH/+hoQ=")</f>
        <v>#VALUE!</v>
      </c>
      <c r="ED114" t="e">
        <f>AND('SPR BARRANQUILLA'!GJ135,"AAAAAH/+hoU=")</f>
        <v>#VALUE!</v>
      </c>
      <c r="EE114" t="e">
        <f>AND('SPR BARRANQUILLA'!GK135,"AAAAAH/+hoY=")</f>
        <v>#VALUE!</v>
      </c>
      <c r="EF114" t="e">
        <f>AND('SPR BARRANQUILLA'!GL135,"AAAAAH/+hoc=")</f>
        <v>#VALUE!</v>
      </c>
      <c r="EG114" t="e">
        <f>AND('SPR BARRANQUILLA'!GM135,"AAAAAH/+hog=")</f>
        <v>#VALUE!</v>
      </c>
      <c r="EH114" t="e">
        <f>AND('SPR BARRANQUILLA'!GN135,"AAAAAH/+hok=")</f>
        <v>#VALUE!</v>
      </c>
      <c r="EI114" t="e">
        <f>AND('SPR BARRANQUILLA'!GO135,"AAAAAH/+hoo=")</f>
        <v>#VALUE!</v>
      </c>
      <c r="EJ114" t="e">
        <f>AND('SPR BARRANQUILLA'!GP135,"AAAAAH/+hos=")</f>
        <v>#VALUE!</v>
      </c>
      <c r="EK114" t="e">
        <f>AND('SPR BARRANQUILLA'!GQ135,"AAAAAH/+how=")</f>
        <v>#VALUE!</v>
      </c>
      <c r="EL114" t="e">
        <f>AND('SPR BARRANQUILLA'!GR135,"AAAAAH/+ho0=")</f>
        <v>#VALUE!</v>
      </c>
      <c r="EM114" t="e">
        <f>AND('SPR BARRANQUILLA'!GS135,"AAAAAH/+ho4=")</f>
        <v>#VALUE!</v>
      </c>
      <c r="EN114" t="e">
        <f>AND('SPR BARRANQUILLA'!GT135,"AAAAAH/+ho8=")</f>
        <v>#VALUE!</v>
      </c>
      <c r="EO114" t="e">
        <f>AND('SPR BARRANQUILLA'!GU135,"AAAAAH/+hpA=")</f>
        <v>#VALUE!</v>
      </c>
      <c r="EP114" t="e">
        <f>AND('SPR BARRANQUILLA'!GV135,"AAAAAH/+hpE=")</f>
        <v>#VALUE!</v>
      </c>
      <c r="EQ114" t="e">
        <f>AND('SPR BARRANQUILLA'!GW135,"AAAAAH/+hpI=")</f>
        <v>#VALUE!</v>
      </c>
      <c r="ER114" t="e">
        <f>AND('SPR BARRANQUILLA'!GX135,"AAAAAH/+hpM=")</f>
        <v>#VALUE!</v>
      </c>
      <c r="ES114" t="e">
        <f>AND('SPR BARRANQUILLA'!GY135,"AAAAAH/+hpQ=")</f>
        <v>#VALUE!</v>
      </c>
      <c r="ET114">
        <f>IF('SPR BARRANQUILLA'!136:136,"AAAAAH/+hpU=",0)</f>
        <v>0</v>
      </c>
      <c r="EU114" t="e">
        <f>AND('SPR BARRANQUILLA'!A136,"AAAAAH/+hpY=")</f>
        <v>#VALUE!</v>
      </c>
      <c r="EV114" t="e">
        <f>AND('SPR BARRANQUILLA'!B136,"AAAAAH/+hpc=")</f>
        <v>#VALUE!</v>
      </c>
      <c r="EW114" t="e">
        <f>AND('SPR BARRANQUILLA'!C136,"AAAAAH/+hpg=")</f>
        <v>#VALUE!</v>
      </c>
      <c r="EX114" t="e">
        <f>AND('SPR BARRANQUILLA'!D136,"AAAAAH/+hpk=")</f>
        <v>#VALUE!</v>
      </c>
      <c r="EY114" t="e">
        <f>AND('SPR BARRANQUILLA'!E136,"AAAAAH/+hpo=")</f>
        <v>#VALUE!</v>
      </c>
      <c r="EZ114" t="e">
        <f>AND('SPR BARRANQUILLA'!F136,"AAAAAH/+hps=")</f>
        <v>#VALUE!</v>
      </c>
      <c r="FA114" t="e">
        <f>AND('SPR BARRANQUILLA'!G136,"AAAAAH/+hpw=")</f>
        <v>#VALUE!</v>
      </c>
      <c r="FB114" t="e">
        <f>AND('SPR BARRANQUILLA'!H136,"AAAAAH/+hp0=")</f>
        <v>#VALUE!</v>
      </c>
      <c r="FC114" t="e">
        <f>AND('SPR BARRANQUILLA'!I136,"AAAAAH/+hp4=")</f>
        <v>#VALUE!</v>
      </c>
      <c r="FD114" t="e">
        <f>AND('SPR BARRANQUILLA'!J136,"AAAAAH/+hp8=")</f>
        <v>#VALUE!</v>
      </c>
      <c r="FE114" t="e">
        <f>AND('SPR BARRANQUILLA'!K136,"AAAAAH/+hqA=")</f>
        <v>#VALUE!</v>
      </c>
      <c r="FF114" t="e">
        <f>AND('SPR BARRANQUILLA'!L136,"AAAAAH/+hqE=")</f>
        <v>#VALUE!</v>
      </c>
      <c r="FG114" t="e">
        <f>AND('SPR BARRANQUILLA'!M136,"AAAAAH/+hqI=")</f>
        <v>#VALUE!</v>
      </c>
      <c r="FH114" t="e">
        <f>AND('SPR BARRANQUILLA'!N136,"AAAAAH/+hqM=")</f>
        <v>#VALUE!</v>
      </c>
      <c r="FI114" t="e">
        <f>AND('SPR BARRANQUILLA'!O136,"AAAAAH/+hqQ=")</f>
        <v>#VALUE!</v>
      </c>
      <c r="FJ114" t="e">
        <f>AND('SPR BARRANQUILLA'!P136,"AAAAAH/+hqU=")</f>
        <v>#VALUE!</v>
      </c>
      <c r="FK114" t="e">
        <f>AND('SPR BARRANQUILLA'!Q136,"AAAAAH/+hqY=")</f>
        <v>#VALUE!</v>
      </c>
      <c r="FL114" t="e">
        <f>AND('SPR BARRANQUILLA'!R136,"AAAAAH/+hqc=")</f>
        <v>#VALUE!</v>
      </c>
      <c r="FM114" t="e">
        <f>AND('SPR BARRANQUILLA'!S136,"AAAAAH/+hqg=")</f>
        <v>#VALUE!</v>
      </c>
      <c r="FN114" t="e">
        <f>AND('SPR BARRANQUILLA'!T136,"AAAAAH/+hqk=")</f>
        <v>#VALUE!</v>
      </c>
      <c r="FO114" t="e">
        <f>AND('SPR BARRANQUILLA'!U136,"AAAAAH/+hqo=")</f>
        <v>#VALUE!</v>
      </c>
      <c r="FP114" t="e">
        <f>AND('SPR BARRANQUILLA'!V136,"AAAAAH/+hqs=")</f>
        <v>#VALUE!</v>
      </c>
      <c r="FQ114" t="e">
        <f>AND('SPR BARRANQUILLA'!W136,"AAAAAH/+hqw=")</f>
        <v>#VALUE!</v>
      </c>
      <c r="FR114" t="e">
        <f>AND('SPR BARRANQUILLA'!X136,"AAAAAH/+hq0=")</f>
        <v>#VALUE!</v>
      </c>
      <c r="FS114" t="e">
        <f>AND('SPR BARRANQUILLA'!Y136,"AAAAAH/+hq4=")</f>
        <v>#VALUE!</v>
      </c>
      <c r="FT114" t="e">
        <f>AND('SPR BARRANQUILLA'!Z136,"AAAAAH/+hq8=")</f>
        <v>#VALUE!</v>
      </c>
      <c r="FU114" t="e">
        <f>AND('SPR BARRANQUILLA'!AA136,"AAAAAH/+hrA=")</f>
        <v>#VALUE!</v>
      </c>
      <c r="FV114" t="e">
        <f>AND('SPR BARRANQUILLA'!AB136,"AAAAAH/+hrE=")</f>
        <v>#VALUE!</v>
      </c>
      <c r="FW114" t="e">
        <f>AND('SPR BARRANQUILLA'!AC136,"AAAAAH/+hrI=")</f>
        <v>#VALUE!</v>
      </c>
      <c r="FX114" t="e">
        <f>AND('SPR BARRANQUILLA'!AD136,"AAAAAH/+hrM=")</f>
        <v>#VALUE!</v>
      </c>
      <c r="FY114" t="e">
        <f>AND('SPR BARRANQUILLA'!AE136,"AAAAAH/+hrQ=")</f>
        <v>#VALUE!</v>
      </c>
      <c r="FZ114" t="e">
        <f>AND('SPR BARRANQUILLA'!AF136,"AAAAAH/+hrU=")</f>
        <v>#VALUE!</v>
      </c>
      <c r="GA114" t="e">
        <f>AND('SPR BARRANQUILLA'!AG136,"AAAAAH/+hrY=")</f>
        <v>#VALUE!</v>
      </c>
      <c r="GB114" t="e">
        <f>AND('SPR BARRANQUILLA'!AH136,"AAAAAH/+hrc=")</f>
        <v>#VALUE!</v>
      </c>
      <c r="GC114" t="e">
        <f>AND('SPR BARRANQUILLA'!AI136,"AAAAAH/+hrg=")</f>
        <v>#VALUE!</v>
      </c>
      <c r="GD114" t="e">
        <f>AND('SPR BARRANQUILLA'!AJ136,"AAAAAH/+hrk=")</f>
        <v>#VALUE!</v>
      </c>
      <c r="GE114" t="e">
        <f>AND('SPR BARRANQUILLA'!AK136,"AAAAAH/+hro=")</f>
        <v>#VALUE!</v>
      </c>
      <c r="GF114" t="e">
        <f>AND('SPR BARRANQUILLA'!AL136,"AAAAAH/+hrs=")</f>
        <v>#VALUE!</v>
      </c>
      <c r="GG114" t="e">
        <f>AND('SPR BARRANQUILLA'!AM136,"AAAAAH/+hrw=")</f>
        <v>#VALUE!</v>
      </c>
      <c r="GH114" t="e">
        <f>AND('SPR BARRANQUILLA'!AN136,"AAAAAH/+hr0=")</f>
        <v>#VALUE!</v>
      </c>
      <c r="GI114" t="e">
        <f>AND('SPR BARRANQUILLA'!AO136,"AAAAAH/+hr4=")</f>
        <v>#VALUE!</v>
      </c>
      <c r="GJ114" t="e">
        <f>AND('SPR BARRANQUILLA'!AP136,"AAAAAH/+hr8=")</f>
        <v>#VALUE!</v>
      </c>
      <c r="GK114" t="e">
        <f>AND('SPR BARRANQUILLA'!AQ136,"AAAAAH/+hsA=")</f>
        <v>#VALUE!</v>
      </c>
      <c r="GL114" t="e">
        <f>AND('SPR BARRANQUILLA'!AR136,"AAAAAH/+hsE=")</f>
        <v>#VALUE!</v>
      </c>
      <c r="GM114" t="e">
        <f>AND('SPR BARRANQUILLA'!AS136,"AAAAAH/+hsI=")</f>
        <v>#VALUE!</v>
      </c>
      <c r="GN114" t="e">
        <f>AND('SPR BARRANQUILLA'!AT136,"AAAAAH/+hsM=")</f>
        <v>#VALUE!</v>
      </c>
      <c r="GO114" t="e">
        <f>AND('SPR BARRANQUILLA'!AU136,"AAAAAH/+hsQ=")</f>
        <v>#VALUE!</v>
      </c>
      <c r="GP114" t="e">
        <f>AND('SPR BARRANQUILLA'!AV136,"AAAAAH/+hsU=")</f>
        <v>#VALUE!</v>
      </c>
      <c r="GQ114" t="e">
        <f>AND('SPR BARRANQUILLA'!AW136,"AAAAAH/+hsY=")</f>
        <v>#VALUE!</v>
      </c>
      <c r="GR114" t="e">
        <f>AND('SPR BARRANQUILLA'!AX136,"AAAAAH/+hsc=")</f>
        <v>#VALUE!</v>
      </c>
      <c r="GS114" t="e">
        <f>AND('SPR BARRANQUILLA'!AY136,"AAAAAH/+hsg=")</f>
        <v>#VALUE!</v>
      </c>
      <c r="GT114" t="e">
        <f>AND('SPR BARRANQUILLA'!AZ136,"AAAAAH/+hsk=")</f>
        <v>#VALUE!</v>
      </c>
      <c r="GU114" t="e">
        <f>AND('SPR BARRANQUILLA'!BA136,"AAAAAH/+hso=")</f>
        <v>#VALUE!</v>
      </c>
      <c r="GV114" t="e">
        <f>AND('SPR BARRANQUILLA'!BB136,"AAAAAH/+hss=")</f>
        <v>#VALUE!</v>
      </c>
      <c r="GW114" t="e">
        <f>AND('SPR BARRANQUILLA'!BC136,"AAAAAH/+hsw=")</f>
        <v>#VALUE!</v>
      </c>
      <c r="GX114" t="e">
        <f>AND('SPR BARRANQUILLA'!BD136,"AAAAAH/+hs0=")</f>
        <v>#VALUE!</v>
      </c>
      <c r="GY114" t="e">
        <f>AND('SPR BARRANQUILLA'!BE136,"AAAAAH/+hs4=")</f>
        <v>#VALUE!</v>
      </c>
      <c r="GZ114" t="e">
        <f>AND('SPR BARRANQUILLA'!BF136,"AAAAAH/+hs8=")</f>
        <v>#VALUE!</v>
      </c>
      <c r="HA114" t="e">
        <f>AND('SPR BARRANQUILLA'!BG136,"AAAAAH/+htA=")</f>
        <v>#VALUE!</v>
      </c>
      <c r="HB114" t="e">
        <f>AND('SPR BARRANQUILLA'!BH136,"AAAAAH/+htE=")</f>
        <v>#VALUE!</v>
      </c>
      <c r="HC114" t="e">
        <f>AND('SPR BARRANQUILLA'!BI136,"AAAAAH/+htI=")</f>
        <v>#VALUE!</v>
      </c>
      <c r="HD114" t="e">
        <f>AND('SPR BARRANQUILLA'!BJ136,"AAAAAH/+htM=")</f>
        <v>#VALUE!</v>
      </c>
      <c r="HE114" t="e">
        <f>AND('SPR BARRANQUILLA'!BK136,"AAAAAH/+htQ=")</f>
        <v>#VALUE!</v>
      </c>
      <c r="HF114" t="e">
        <f>AND('SPR BARRANQUILLA'!BL136,"AAAAAH/+htU=")</f>
        <v>#VALUE!</v>
      </c>
      <c r="HG114" t="e">
        <f>AND('SPR BARRANQUILLA'!BM136,"AAAAAH/+htY=")</f>
        <v>#VALUE!</v>
      </c>
      <c r="HH114" t="e">
        <f>AND('SPR BARRANQUILLA'!BN136,"AAAAAH/+htc=")</f>
        <v>#VALUE!</v>
      </c>
      <c r="HI114" t="e">
        <f>AND('SPR BARRANQUILLA'!BO136,"AAAAAH/+htg=")</f>
        <v>#VALUE!</v>
      </c>
      <c r="HJ114" t="e">
        <f>AND('SPR BARRANQUILLA'!BP136,"AAAAAH/+htk=")</f>
        <v>#VALUE!</v>
      </c>
      <c r="HK114" t="e">
        <f>AND('SPR BARRANQUILLA'!BQ136,"AAAAAH/+hto=")</f>
        <v>#VALUE!</v>
      </c>
      <c r="HL114" t="e">
        <f>AND('SPR BARRANQUILLA'!BR136,"AAAAAH/+hts=")</f>
        <v>#VALUE!</v>
      </c>
      <c r="HM114" t="e">
        <f>AND('SPR BARRANQUILLA'!BS136,"AAAAAH/+htw=")</f>
        <v>#VALUE!</v>
      </c>
      <c r="HN114" t="e">
        <f>AND('SPR BARRANQUILLA'!BT136,"AAAAAH/+ht0=")</f>
        <v>#VALUE!</v>
      </c>
      <c r="HO114" t="e">
        <f>AND('SPR BARRANQUILLA'!BU136,"AAAAAH/+ht4=")</f>
        <v>#VALUE!</v>
      </c>
      <c r="HP114" t="e">
        <f>AND('SPR BARRANQUILLA'!BV136,"AAAAAH/+ht8=")</f>
        <v>#VALUE!</v>
      </c>
      <c r="HQ114" t="e">
        <f>AND('SPR BARRANQUILLA'!BW136,"AAAAAH/+huA=")</f>
        <v>#VALUE!</v>
      </c>
      <c r="HR114" t="e">
        <f>AND('SPR BARRANQUILLA'!BX136,"AAAAAH/+huE=")</f>
        <v>#VALUE!</v>
      </c>
      <c r="HS114" t="e">
        <f>AND('SPR BARRANQUILLA'!BY136,"AAAAAH/+huI=")</f>
        <v>#VALUE!</v>
      </c>
      <c r="HT114" t="e">
        <f>AND('SPR BARRANQUILLA'!BZ136,"AAAAAH/+huM=")</f>
        <v>#VALUE!</v>
      </c>
      <c r="HU114" t="e">
        <f>AND('SPR BARRANQUILLA'!CA136,"AAAAAH/+huQ=")</f>
        <v>#VALUE!</v>
      </c>
      <c r="HV114" t="e">
        <f>AND('SPR BARRANQUILLA'!CB136,"AAAAAH/+huU=")</f>
        <v>#VALUE!</v>
      </c>
      <c r="HW114" t="e">
        <f>AND('SPR BARRANQUILLA'!CC136,"AAAAAH/+huY=")</f>
        <v>#VALUE!</v>
      </c>
      <c r="HX114" t="e">
        <f>AND('SPR BARRANQUILLA'!CD136,"AAAAAH/+huc=")</f>
        <v>#VALUE!</v>
      </c>
      <c r="HY114" t="e">
        <f>AND('SPR BARRANQUILLA'!CE136,"AAAAAH/+hug=")</f>
        <v>#VALUE!</v>
      </c>
      <c r="HZ114" t="e">
        <f>AND('SPR BARRANQUILLA'!CF136,"AAAAAH/+huk=")</f>
        <v>#VALUE!</v>
      </c>
      <c r="IA114" t="e">
        <f>AND('SPR BARRANQUILLA'!CG136,"AAAAAH/+huo=")</f>
        <v>#VALUE!</v>
      </c>
      <c r="IB114" t="e">
        <f>AND('SPR BARRANQUILLA'!CH136,"AAAAAH/+hus=")</f>
        <v>#VALUE!</v>
      </c>
      <c r="IC114" t="e">
        <f>AND('SPR BARRANQUILLA'!CI136,"AAAAAH/+huw=")</f>
        <v>#VALUE!</v>
      </c>
      <c r="ID114" t="e">
        <f>AND('SPR BARRANQUILLA'!CJ136,"AAAAAH/+hu0=")</f>
        <v>#VALUE!</v>
      </c>
      <c r="IE114" t="e">
        <f>AND('SPR BARRANQUILLA'!CK136,"AAAAAH/+hu4=")</f>
        <v>#VALUE!</v>
      </c>
      <c r="IF114" t="e">
        <f>AND('SPR BARRANQUILLA'!CL136,"AAAAAH/+hu8=")</f>
        <v>#VALUE!</v>
      </c>
      <c r="IG114" t="e">
        <f>AND('SPR BARRANQUILLA'!CM136,"AAAAAH/+hvA=")</f>
        <v>#VALUE!</v>
      </c>
      <c r="IH114" t="e">
        <f>AND('SPR BARRANQUILLA'!CN136,"AAAAAH/+hvE=")</f>
        <v>#VALUE!</v>
      </c>
      <c r="II114" t="e">
        <f>AND('SPR BARRANQUILLA'!CO136,"AAAAAH/+hvI=")</f>
        <v>#VALUE!</v>
      </c>
      <c r="IJ114" t="e">
        <f>AND('SPR BARRANQUILLA'!CP136,"AAAAAH/+hvM=")</f>
        <v>#VALUE!</v>
      </c>
      <c r="IK114" t="e">
        <f>AND('SPR BARRANQUILLA'!CQ136,"AAAAAH/+hvQ=")</f>
        <v>#VALUE!</v>
      </c>
      <c r="IL114" t="e">
        <f>AND('SPR BARRANQUILLA'!CR136,"AAAAAH/+hvU=")</f>
        <v>#VALUE!</v>
      </c>
      <c r="IM114" t="e">
        <f>AND('SPR BARRANQUILLA'!CS136,"AAAAAH/+hvY=")</f>
        <v>#VALUE!</v>
      </c>
      <c r="IN114" t="e">
        <f>AND('SPR BARRANQUILLA'!CT136,"AAAAAH/+hvc=")</f>
        <v>#VALUE!</v>
      </c>
      <c r="IO114" t="e">
        <f>AND('SPR BARRANQUILLA'!CU136,"AAAAAH/+hvg=")</f>
        <v>#VALUE!</v>
      </c>
      <c r="IP114" t="e">
        <f>AND('SPR BARRANQUILLA'!CV136,"AAAAAH/+hvk=")</f>
        <v>#VALUE!</v>
      </c>
      <c r="IQ114" t="e">
        <f>AND('SPR BARRANQUILLA'!CW136,"AAAAAH/+hvo=")</f>
        <v>#VALUE!</v>
      </c>
      <c r="IR114" t="e">
        <f>AND('SPR BARRANQUILLA'!CX136,"AAAAAH/+hvs=")</f>
        <v>#VALUE!</v>
      </c>
      <c r="IS114" t="e">
        <f>AND('SPR BARRANQUILLA'!CY136,"AAAAAH/+hvw=")</f>
        <v>#VALUE!</v>
      </c>
      <c r="IT114" t="e">
        <f>AND('SPR BARRANQUILLA'!CZ136,"AAAAAH/+hv0=")</f>
        <v>#VALUE!</v>
      </c>
      <c r="IU114" t="e">
        <f>AND('SPR BARRANQUILLA'!DA136,"AAAAAH/+hv4=")</f>
        <v>#VALUE!</v>
      </c>
      <c r="IV114" t="e">
        <f>AND('SPR BARRANQUILLA'!DB136,"AAAAAH/+hv8=")</f>
        <v>#VALUE!</v>
      </c>
    </row>
    <row r="115" spans="1:256">
      <c r="A115" t="e">
        <f>AND('SPR BARRANQUILLA'!DC136,"AAAAAH6//wA=")</f>
        <v>#VALUE!</v>
      </c>
      <c r="B115" t="e">
        <f>AND('SPR BARRANQUILLA'!DD136,"AAAAAH6//wE=")</f>
        <v>#VALUE!</v>
      </c>
      <c r="C115" t="e">
        <f>AND('SPR BARRANQUILLA'!DE136,"AAAAAH6//wI=")</f>
        <v>#VALUE!</v>
      </c>
      <c r="D115" t="e">
        <f>AND('SPR BARRANQUILLA'!DF136,"AAAAAH6//wM=")</f>
        <v>#VALUE!</v>
      </c>
      <c r="E115" t="e">
        <f>AND('SPR BARRANQUILLA'!DG136,"AAAAAH6//wQ=")</f>
        <v>#VALUE!</v>
      </c>
      <c r="F115" t="e">
        <f>AND('SPR BARRANQUILLA'!DH136,"AAAAAH6//wU=")</f>
        <v>#VALUE!</v>
      </c>
      <c r="G115" t="e">
        <f>AND('SPR BARRANQUILLA'!DI136,"AAAAAH6//wY=")</f>
        <v>#VALUE!</v>
      </c>
      <c r="H115" t="e">
        <f>AND('SPR BARRANQUILLA'!DJ136,"AAAAAH6//wc=")</f>
        <v>#VALUE!</v>
      </c>
      <c r="I115" t="e">
        <f>AND('SPR BARRANQUILLA'!DK136,"AAAAAH6//wg=")</f>
        <v>#VALUE!</v>
      </c>
      <c r="J115" t="e">
        <f>AND('SPR BARRANQUILLA'!DL136,"AAAAAH6//wk=")</f>
        <v>#VALUE!</v>
      </c>
      <c r="K115" t="e">
        <f>AND('SPR BARRANQUILLA'!DM136,"AAAAAH6//wo=")</f>
        <v>#VALUE!</v>
      </c>
      <c r="L115" t="e">
        <f>AND('SPR BARRANQUILLA'!DN136,"AAAAAH6//ws=")</f>
        <v>#VALUE!</v>
      </c>
      <c r="M115" t="e">
        <f>AND('SPR BARRANQUILLA'!DO136,"AAAAAH6//ww=")</f>
        <v>#VALUE!</v>
      </c>
      <c r="N115" t="e">
        <f>AND('SPR BARRANQUILLA'!DP136,"AAAAAH6//w0=")</f>
        <v>#VALUE!</v>
      </c>
      <c r="O115" t="e">
        <f>AND('SPR BARRANQUILLA'!DQ136,"AAAAAH6//w4=")</f>
        <v>#VALUE!</v>
      </c>
      <c r="P115" t="e">
        <f>AND('SPR BARRANQUILLA'!DR136,"AAAAAH6//w8=")</f>
        <v>#VALUE!</v>
      </c>
      <c r="Q115" t="e">
        <f>AND('SPR BARRANQUILLA'!DS136,"AAAAAH6//xA=")</f>
        <v>#VALUE!</v>
      </c>
      <c r="R115" t="e">
        <f>AND('SPR BARRANQUILLA'!DT136,"AAAAAH6//xE=")</f>
        <v>#VALUE!</v>
      </c>
      <c r="S115" t="e">
        <f>AND('SPR BARRANQUILLA'!DU136,"AAAAAH6//xI=")</f>
        <v>#VALUE!</v>
      </c>
      <c r="T115" t="e">
        <f>AND('SPR BARRANQUILLA'!DV136,"AAAAAH6//xM=")</f>
        <v>#VALUE!</v>
      </c>
      <c r="U115" t="e">
        <f>AND('SPR BARRANQUILLA'!DW136,"AAAAAH6//xQ=")</f>
        <v>#VALUE!</v>
      </c>
      <c r="V115" t="e">
        <f>AND('SPR BARRANQUILLA'!DX136,"AAAAAH6//xU=")</f>
        <v>#VALUE!</v>
      </c>
      <c r="W115" t="e">
        <f>AND('SPR BARRANQUILLA'!DY136,"AAAAAH6//xY=")</f>
        <v>#VALUE!</v>
      </c>
      <c r="X115" t="e">
        <f>AND('SPR BARRANQUILLA'!DZ136,"AAAAAH6//xc=")</f>
        <v>#VALUE!</v>
      </c>
      <c r="Y115" t="e">
        <f>AND('SPR BARRANQUILLA'!EA136,"AAAAAH6//xg=")</f>
        <v>#VALUE!</v>
      </c>
      <c r="Z115" t="e">
        <f>AND('SPR BARRANQUILLA'!EB136,"AAAAAH6//xk=")</f>
        <v>#VALUE!</v>
      </c>
      <c r="AA115" t="e">
        <f>AND('SPR BARRANQUILLA'!EC136,"AAAAAH6//xo=")</f>
        <v>#VALUE!</v>
      </c>
      <c r="AB115" t="e">
        <f>AND('SPR BARRANQUILLA'!ED136,"AAAAAH6//xs=")</f>
        <v>#VALUE!</v>
      </c>
      <c r="AC115" t="e">
        <f>AND('SPR BARRANQUILLA'!EE136,"AAAAAH6//xw=")</f>
        <v>#VALUE!</v>
      </c>
      <c r="AD115" t="e">
        <f>AND('SPR BARRANQUILLA'!EF136,"AAAAAH6//x0=")</f>
        <v>#VALUE!</v>
      </c>
      <c r="AE115" t="e">
        <f>AND('SPR BARRANQUILLA'!EG136,"AAAAAH6//x4=")</f>
        <v>#VALUE!</v>
      </c>
      <c r="AF115" t="e">
        <f>AND('SPR BARRANQUILLA'!EH136,"AAAAAH6//x8=")</f>
        <v>#VALUE!</v>
      </c>
      <c r="AG115" t="e">
        <f>AND('SPR BARRANQUILLA'!EI136,"AAAAAH6//yA=")</f>
        <v>#VALUE!</v>
      </c>
      <c r="AH115" t="e">
        <f>AND('SPR BARRANQUILLA'!EJ136,"AAAAAH6//yE=")</f>
        <v>#VALUE!</v>
      </c>
      <c r="AI115" t="e">
        <f>AND('SPR BARRANQUILLA'!EK136,"AAAAAH6//yI=")</f>
        <v>#VALUE!</v>
      </c>
      <c r="AJ115" t="e">
        <f>AND('SPR BARRANQUILLA'!EL136,"AAAAAH6//yM=")</f>
        <v>#VALUE!</v>
      </c>
      <c r="AK115" t="e">
        <f>AND('SPR BARRANQUILLA'!EM136,"AAAAAH6//yQ=")</f>
        <v>#VALUE!</v>
      </c>
      <c r="AL115" t="e">
        <f>AND('SPR BARRANQUILLA'!EN136,"AAAAAH6//yU=")</f>
        <v>#VALUE!</v>
      </c>
      <c r="AM115" t="e">
        <f>AND('SPR BARRANQUILLA'!EO136,"AAAAAH6//yY=")</f>
        <v>#VALUE!</v>
      </c>
      <c r="AN115" t="e">
        <f>AND('SPR BARRANQUILLA'!EP136,"AAAAAH6//yc=")</f>
        <v>#VALUE!</v>
      </c>
      <c r="AO115" t="e">
        <f>AND('SPR BARRANQUILLA'!EQ136,"AAAAAH6//yg=")</f>
        <v>#VALUE!</v>
      </c>
      <c r="AP115" t="e">
        <f>AND('SPR BARRANQUILLA'!ER136,"AAAAAH6//yk=")</f>
        <v>#VALUE!</v>
      </c>
      <c r="AQ115" t="e">
        <f>AND('SPR BARRANQUILLA'!ES136,"AAAAAH6//yo=")</f>
        <v>#VALUE!</v>
      </c>
      <c r="AR115" t="e">
        <f>AND('SPR BARRANQUILLA'!ET136,"AAAAAH6//ys=")</f>
        <v>#VALUE!</v>
      </c>
      <c r="AS115" t="e">
        <f>AND('SPR BARRANQUILLA'!EU136,"AAAAAH6//yw=")</f>
        <v>#VALUE!</v>
      </c>
      <c r="AT115" t="e">
        <f>AND('SPR BARRANQUILLA'!EV136,"AAAAAH6//y0=")</f>
        <v>#VALUE!</v>
      </c>
      <c r="AU115" t="e">
        <f>AND('SPR BARRANQUILLA'!EW136,"AAAAAH6//y4=")</f>
        <v>#VALUE!</v>
      </c>
      <c r="AV115" t="e">
        <f>AND('SPR BARRANQUILLA'!EX136,"AAAAAH6//y8=")</f>
        <v>#VALUE!</v>
      </c>
      <c r="AW115" t="e">
        <f>AND('SPR BARRANQUILLA'!EY136,"AAAAAH6//zA=")</f>
        <v>#VALUE!</v>
      </c>
      <c r="AX115" t="e">
        <f>AND('SPR BARRANQUILLA'!EZ136,"AAAAAH6//zE=")</f>
        <v>#VALUE!</v>
      </c>
      <c r="AY115" t="e">
        <f>AND('SPR BARRANQUILLA'!FA136,"AAAAAH6//zI=")</f>
        <v>#VALUE!</v>
      </c>
      <c r="AZ115" t="e">
        <f>AND('SPR BARRANQUILLA'!FB136,"AAAAAH6//zM=")</f>
        <v>#VALUE!</v>
      </c>
      <c r="BA115" t="e">
        <f>AND('SPR BARRANQUILLA'!FC136,"AAAAAH6//zQ=")</f>
        <v>#VALUE!</v>
      </c>
      <c r="BB115" t="e">
        <f>AND('SPR BARRANQUILLA'!FD136,"AAAAAH6//zU=")</f>
        <v>#VALUE!</v>
      </c>
      <c r="BC115" t="e">
        <f>AND('SPR BARRANQUILLA'!FE136,"AAAAAH6//zY=")</f>
        <v>#VALUE!</v>
      </c>
      <c r="BD115" t="e">
        <f>AND('SPR BARRANQUILLA'!FF136,"AAAAAH6//zc=")</f>
        <v>#VALUE!</v>
      </c>
      <c r="BE115" t="e">
        <f>AND('SPR BARRANQUILLA'!FG136,"AAAAAH6//zg=")</f>
        <v>#VALUE!</v>
      </c>
      <c r="BF115" t="e">
        <f>AND('SPR BARRANQUILLA'!FH136,"AAAAAH6//zk=")</f>
        <v>#VALUE!</v>
      </c>
      <c r="BG115" t="e">
        <f>AND('SPR BARRANQUILLA'!FI136,"AAAAAH6//zo=")</f>
        <v>#VALUE!</v>
      </c>
      <c r="BH115" t="e">
        <f>AND('SPR BARRANQUILLA'!FJ136,"AAAAAH6//zs=")</f>
        <v>#VALUE!</v>
      </c>
      <c r="BI115" t="e">
        <f>AND('SPR BARRANQUILLA'!FK136,"AAAAAH6//zw=")</f>
        <v>#VALUE!</v>
      </c>
      <c r="BJ115" t="e">
        <f>AND('SPR BARRANQUILLA'!FL136,"AAAAAH6//z0=")</f>
        <v>#VALUE!</v>
      </c>
      <c r="BK115" t="e">
        <f>AND('SPR BARRANQUILLA'!FM136,"AAAAAH6//z4=")</f>
        <v>#VALUE!</v>
      </c>
      <c r="BL115" t="e">
        <f>AND('SPR BARRANQUILLA'!FN136,"AAAAAH6//z8=")</f>
        <v>#VALUE!</v>
      </c>
      <c r="BM115" t="e">
        <f>AND('SPR BARRANQUILLA'!FO136,"AAAAAH6//0A=")</f>
        <v>#VALUE!</v>
      </c>
      <c r="BN115" t="e">
        <f>AND('SPR BARRANQUILLA'!FP136,"AAAAAH6//0E=")</f>
        <v>#VALUE!</v>
      </c>
      <c r="BO115" t="e">
        <f>AND('SPR BARRANQUILLA'!FQ136,"AAAAAH6//0I=")</f>
        <v>#VALUE!</v>
      </c>
      <c r="BP115" t="e">
        <f>AND('SPR BARRANQUILLA'!FR136,"AAAAAH6//0M=")</f>
        <v>#VALUE!</v>
      </c>
      <c r="BQ115" t="e">
        <f>AND('SPR BARRANQUILLA'!FS136,"AAAAAH6//0Q=")</f>
        <v>#VALUE!</v>
      </c>
      <c r="BR115" t="e">
        <f>AND('SPR BARRANQUILLA'!FT136,"AAAAAH6//0U=")</f>
        <v>#VALUE!</v>
      </c>
      <c r="BS115" t="e">
        <f>AND('SPR BARRANQUILLA'!FU136,"AAAAAH6//0Y=")</f>
        <v>#VALUE!</v>
      </c>
      <c r="BT115" t="e">
        <f>AND('SPR BARRANQUILLA'!FV136,"AAAAAH6//0c=")</f>
        <v>#VALUE!</v>
      </c>
      <c r="BU115" t="e">
        <f>AND('SPR BARRANQUILLA'!FW136,"AAAAAH6//0g=")</f>
        <v>#VALUE!</v>
      </c>
      <c r="BV115" t="e">
        <f>AND('SPR BARRANQUILLA'!FX136,"AAAAAH6//0k=")</f>
        <v>#VALUE!</v>
      </c>
      <c r="BW115" t="e">
        <f>AND('SPR BARRANQUILLA'!FY136,"AAAAAH6//0o=")</f>
        <v>#VALUE!</v>
      </c>
      <c r="BX115" t="e">
        <f>AND('SPR BARRANQUILLA'!FZ136,"AAAAAH6//0s=")</f>
        <v>#VALUE!</v>
      </c>
      <c r="BY115" t="e">
        <f>AND('SPR BARRANQUILLA'!GA136,"AAAAAH6//0w=")</f>
        <v>#VALUE!</v>
      </c>
      <c r="BZ115" t="e">
        <f>AND('SPR BARRANQUILLA'!GB136,"AAAAAH6//00=")</f>
        <v>#VALUE!</v>
      </c>
      <c r="CA115" t="e">
        <f>AND('SPR BARRANQUILLA'!GC136,"AAAAAH6//04=")</f>
        <v>#VALUE!</v>
      </c>
      <c r="CB115" t="e">
        <f>AND('SPR BARRANQUILLA'!GD136,"AAAAAH6//08=")</f>
        <v>#VALUE!</v>
      </c>
      <c r="CC115" t="e">
        <f>AND('SPR BARRANQUILLA'!GE136,"AAAAAH6//1A=")</f>
        <v>#VALUE!</v>
      </c>
      <c r="CD115" t="e">
        <f>AND('SPR BARRANQUILLA'!GF136,"AAAAAH6//1E=")</f>
        <v>#VALUE!</v>
      </c>
      <c r="CE115" t="e">
        <f>AND('SPR BARRANQUILLA'!GG136,"AAAAAH6//1I=")</f>
        <v>#VALUE!</v>
      </c>
      <c r="CF115" t="e">
        <f>AND('SPR BARRANQUILLA'!GH136,"AAAAAH6//1M=")</f>
        <v>#VALUE!</v>
      </c>
      <c r="CG115" t="e">
        <f>AND('SPR BARRANQUILLA'!GI136,"AAAAAH6//1Q=")</f>
        <v>#VALUE!</v>
      </c>
      <c r="CH115" t="e">
        <f>AND('SPR BARRANQUILLA'!GJ136,"AAAAAH6//1U=")</f>
        <v>#VALUE!</v>
      </c>
      <c r="CI115" t="e">
        <f>AND('SPR BARRANQUILLA'!GK136,"AAAAAH6//1Y=")</f>
        <v>#VALUE!</v>
      </c>
      <c r="CJ115" t="e">
        <f>AND('SPR BARRANQUILLA'!GL136,"AAAAAH6//1c=")</f>
        <v>#VALUE!</v>
      </c>
      <c r="CK115" t="e">
        <f>AND('SPR BARRANQUILLA'!GM136,"AAAAAH6//1g=")</f>
        <v>#VALUE!</v>
      </c>
      <c r="CL115" t="e">
        <f>AND('SPR BARRANQUILLA'!GN136,"AAAAAH6//1k=")</f>
        <v>#VALUE!</v>
      </c>
      <c r="CM115" t="e">
        <f>AND('SPR BARRANQUILLA'!GO136,"AAAAAH6//1o=")</f>
        <v>#VALUE!</v>
      </c>
      <c r="CN115" t="e">
        <f>AND('SPR BARRANQUILLA'!GP136,"AAAAAH6//1s=")</f>
        <v>#VALUE!</v>
      </c>
      <c r="CO115" t="e">
        <f>AND('SPR BARRANQUILLA'!GQ136,"AAAAAH6//1w=")</f>
        <v>#VALUE!</v>
      </c>
      <c r="CP115" t="e">
        <f>AND('SPR BARRANQUILLA'!GR136,"AAAAAH6//10=")</f>
        <v>#VALUE!</v>
      </c>
      <c r="CQ115" t="e">
        <f>AND('SPR BARRANQUILLA'!GS136,"AAAAAH6//14=")</f>
        <v>#VALUE!</v>
      </c>
      <c r="CR115" t="e">
        <f>AND('SPR BARRANQUILLA'!GT136,"AAAAAH6//18=")</f>
        <v>#VALUE!</v>
      </c>
      <c r="CS115" t="e">
        <f>AND('SPR BARRANQUILLA'!GU136,"AAAAAH6//2A=")</f>
        <v>#VALUE!</v>
      </c>
      <c r="CT115" t="e">
        <f>AND('SPR BARRANQUILLA'!GV136,"AAAAAH6//2E=")</f>
        <v>#VALUE!</v>
      </c>
      <c r="CU115" t="e">
        <f>AND('SPR BARRANQUILLA'!GW136,"AAAAAH6//2I=")</f>
        <v>#VALUE!</v>
      </c>
      <c r="CV115" t="e">
        <f>AND('SPR BARRANQUILLA'!GX136,"AAAAAH6//2M=")</f>
        <v>#VALUE!</v>
      </c>
      <c r="CW115" t="e">
        <f>AND('SPR BARRANQUILLA'!GY136,"AAAAAH6//2Q=")</f>
        <v>#VALUE!</v>
      </c>
      <c r="CX115">
        <f>IF('SPR BARRANQUILLA'!137:137,"AAAAAH6//2U=",0)</f>
        <v>0</v>
      </c>
      <c r="CY115" t="e">
        <f>AND('SPR BARRANQUILLA'!A137,"AAAAAH6//2Y=")</f>
        <v>#VALUE!</v>
      </c>
      <c r="CZ115" t="e">
        <f>AND('SPR BARRANQUILLA'!B137,"AAAAAH6//2c=")</f>
        <v>#VALUE!</v>
      </c>
      <c r="DA115" t="e">
        <f>AND('SPR BARRANQUILLA'!C137,"AAAAAH6//2g=")</f>
        <v>#VALUE!</v>
      </c>
      <c r="DB115" t="e">
        <f>AND('SPR BARRANQUILLA'!D137,"AAAAAH6//2k=")</f>
        <v>#VALUE!</v>
      </c>
      <c r="DC115" t="e">
        <f>AND('SPR BARRANQUILLA'!E137,"AAAAAH6//2o=")</f>
        <v>#VALUE!</v>
      </c>
      <c r="DD115" t="e">
        <f>AND('SPR BARRANQUILLA'!F137,"AAAAAH6//2s=")</f>
        <v>#VALUE!</v>
      </c>
      <c r="DE115" t="e">
        <f>AND('SPR BARRANQUILLA'!G137,"AAAAAH6//2w=")</f>
        <v>#VALUE!</v>
      </c>
      <c r="DF115" t="e">
        <f>AND('SPR BARRANQUILLA'!H137,"AAAAAH6//20=")</f>
        <v>#VALUE!</v>
      </c>
      <c r="DG115" t="e">
        <f>AND('SPR BARRANQUILLA'!I137,"AAAAAH6//24=")</f>
        <v>#VALUE!</v>
      </c>
      <c r="DH115" t="e">
        <f>AND('SPR BARRANQUILLA'!J137,"AAAAAH6//28=")</f>
        <v>#VALUE!</v>
      </c>
      <c r="DI115" t="e">
        <f>AND('SPR BARRANQUILLA'!K137,"AAAAAH6//3A=")</f>
        <v>#VALUE!</v>
      </c>
      <c r="DJ115" t="e">
        <f>AND('SPR BARRANQUILLA'!L137,"AAAAAH6//3E=")</f>
        <v>#VALUE!</v>
      </c>
      <c r="DK115" t="e">
        <f>AND('SPR BARRANQUILLA'!M137,"AAAAAH6//3I=")</f>
        <v>#VALUE!</v>
      </c>
      <c r="DL115" t="e">
        <f>AND('SPR BARRANQUILLA'!N137,"AAAAAH6//3M=")</f>
        <v>#VALUE!</v>
      </c>
      <c r="DM115" t="e">
        <f>AND('SPR BARRANQUILLA'!O137,"AAAAAH6//3Q=")</f>
        <v>#VALUE!</v>
      </c>
      <c r="DN115" t="e">
        <f>AND('SPR BARRANQUILLA'!P137,"AAAAAH6//3U=")</f>
        <v>#VALUE!</v>
      </c>
      <c r="DO115" t="e">
        <f>AND('SPR BARRANQUILLA'!Q137,"AAAAAH6//3Y=")</f>
        <v>#VALUE!</v>
      </c>
      <c r="DP115" t="e">
        <f>AND('SPR BARRANQUILLA'!R137,"AAAAAH6//3c=")</f>
        <v>#VALUE!</v>
      </c>
      <c r="DQ115" t="e">
        <f>AND('SPR BARRANQUILLA'!S137,"AAAAAH6//3g=")</f>
        <v>#VALUE!</v>
      </c>
      <c r="DR115" t="e">
        <f>AND('SPR BARRANQUILLA'!T137,"AAAAAH6//3k=")</f>
        <v>#VALUE!</v>
      </c>
      <c r="DS115" t="e">
        <f>AND('SPR BARRANQUILLA'!U137,"AAAAAH6//3o=")</f>
        <v>#VALUE!</v>
      </c>
      <c r="DT115" t="e">
        <f>AND('SPR BARRANQUILLA'!V137,"AAAAAH6//3s=")</f>
        <v>#VALUE!</v>
      </c>
      <c r="DU115" t="e">
        <f>AND('SPR BARRANQUILLA'!W137,"AAAAAH6//3w=")</f>
        <v>#VALUE!</v>
      </c>
      <c r="DV115" t="e">
        <f>AND('SPR BARRANQUILLA'!X137,"AAAAAH6//30=")</f>
        <v>#VALUE!</v>
      </c>
      <c r="DW115" t="e">
        <f>AND('SPR BARRANQUILLA'!Y137,"AAAAAH6//34=")</f>
        <v>#VALUE!</v>
      </c>
      <c r="DX115" t="e">
        <f>AND('SPR BARRANQUILLA'!Z137,"AAAAAH6//38=")</f>
        <v>#VALUE!</v>
      </c>
      <c r="DY115" t="e">
        <f>AND('SPR BARRANQUILLA'!AA137,"AAAAAH6//4A=")</f>
        <v>#VALUE!</v>
      </c>
      <c r="DZ115" t="e">
        <f>AND('SPR BARRANQUILLA'!AB137,"AAAAAH6//4E=")</f>
        <v>#VALUE!</v>
      </c>
      <c r="EA115" t="e">
        <f>AND('SPR BARRANQUILLA'!AC137,"AAAAAH6//4I=")</f>
        <v>#VALUE!</v>
      </c>
      <c r="EB115" t="e">
        <f>AND('SPR BARRANQUILLA'!AD137,"AAAAAH6//4M=")</f>
        <v>#VALUE!</v>
      </c>
      <c r="EC115" t="e">
        <f>AND('SPR BARRANQUILLA'!AE137,"AAAAAH6//4Q=")</f>
        <v>#VALUE!</v>
      </c>
      <c r="ED115" t="e">
        <f>AND('SPR BARRANQUILLA'!AF137,"AAAAAH6//4U=")</f>
        <v>#VALUE!</v>
      </c>
      <c r="EE115" t="e">
        <f>AND('SPR BARRANQUILLA'!AG137,"AAAAAH6//4Y=")</f>
        <v>#VALUE!</v>
      </c>
      <c r="EF115" t="e">
        <f>AND('SPR BARRANQUILLA'!AH137,"AAAAAH6//4c=")</f>
        <v>#VALUE!</v>
      </c>
      <c r="EG115" t="e">
        <f>AND('SPR BARRANQUILLA'!AI137,"AAAAAH6//4g=")</f>
        <v>#VALUE!</v>
      </c>
      <c r="EH115" t="e">
        <f>AND('SPR BARRANQUILLA'!AJ137,"AAAAAH6//4k=")</f>
        <v>#VALUE!</v>
      </c>
      <c r="EI115" t="e">
        <f>AND('SPR BARRANQUILLA'!AK137,"AAAAAH6//4o=")</f>
        <v>#VALUE!</v>
      </c>
      <c r="EJ115" t="e">
        <f>AND('SPR BARRANQUILLA'!AL137,"AAAAAH6//4s=")</f>
        <v>#VALUE!</v>
      </c>
      <c r="EK115" t="e">
        <f>AND('SPR BARRANQUILLA'!AM137,"AAAAAH6//4w=")</f>
        <v>#VALUE!</v>
      </c>
      <c r="EL115" t="e">
        <f>AND('SPR BARRANQUILLA'!AN137,"AAAAAH6//40=")</f>
        <v>#VALUE!</v>
      </c>
      <c r="EM115" t="e">
        <f>AND('SPR BARRANQUILLA'!AO137,"AAAAAH6//44=")</f>
        <v>#VALUE!</v>
      </c>
      <c r="EN115" t="e">
        <f>AND('SPR BARRANQUILLA'!AP137,"AAAAAH6//48=")</f>
        <v>#VALUE!</v>
      </c>
      <c r="EO115" t="e">
        <f>AND('SPR BARRANQUILLA'!AQ137,"AAAAAH6//5A=")</f>
        <v>#VALUE!</v>
      </c>
      <c r="EP115" t="e">
        <f>AND('SPR BARRANQUILLA'!AR137,"AAAAAH6//5E=")</f>
        <v>#VALUE!</v>
      </c>
      <c r="EQ115" t="e">
        <f>AND('SPR BARRANQUILLA'!AS137,"AAAAAH6//5I=")</f>
        <v>#VALUE!</v>
      </c>
      <c r="ER115" t="e">
        <f>AND('SPR BARRANQUILLA'!AT137,"AAAAAH6//5M=")</f>
        <v>#VALUE!</v>
      </c>
      <c r="ES115" t="e">
        <f>AND('SPR BARRANQUILLA'!AU137,"AAAAAH6//5Q=")</f>
        <v>#VALUE!</v>
      </c>
      <c r="ET115" t="e">
        <f>AND('SPR BARRANQUILLA'!AV137,"AAAAAH6//5U=")</f>
        <v>#VALUE!</v>
      </c>
      <c r="EU115" t="e">
        <f>AND('SPR BARRANQUILLA'!AW137,"AAAAAH6//5Y=")</f>
        <v>#VALUE!</v>
      </c>
      <c r="EV115" t="e">
        <f>AND('SPR BARRANQUILLA'!AX137,"AAAAAH6//5c=")</f>
        <v>#VALUE!</v>
      </c>
      <c r="EW115" t="e">
        <f>AND('SPR BARRANQUILLA'!AY137,"AAAAAH6//5g=")</f>
        <v>#VALUE!</v>
      </c>
      <c r="EX115" t="e">
        <f>AND('SPR BARRANQUILLA'!AZ137,"AAAAAH6//5k=")</f>
        <v>#VALUE!</v>
      </c>
      <c r="EY115" t="e">
        <f>AND('SPR BARRANQUILLA'!BA137,"AAAAAH6//5o=")</f>
        <v>#VALUE!</v>
      </c>
      <c r="EZ115" t="e">
        <f>AND('SPR BARRANQUILLA'!BB137,"AAAAAH6//5s=")</f>
        <v>#VALUE!</v>
      </c>
      <c r="FA115" t="e">
        <f>AND('SPR BARRANQUILLA'!BC137,"AAAAAH6//5w=")</f>
        <v>#VALUE!</v>
      </c>
      <c r="FB115" t="e">
        <f>AND('SPR BARRANQUILLA'!BD137,"AAAAAH6//50=")</f>
        <v>#VALUE!</v>
      </c>
      <c r="FC115" t="e">
        <f>AND('SPR BARRANQUILLA'!BE137,"AAAAAH6//54=")</f>
        <v>#VALUE!</v>
      </c>
      <c r="FD115" t="e">
        <f>AND('SPR BARRANQUILLA'!BF137,"AAAAAH6//58=")</f>
        <v>#VALUE!</v>
      </c>
      <c r="FE115" t="e">
        <f>AND('SPR BARRANQUILLA'!BG137,"AAAAAH6//6A=")</f>
        <v>#VALUE!</v>
      </c>
      <c r="FF115" t="e">
        <f>AND('SPR BARRANQUILLA'!BH137,"AAAAAH6//6E=")</f>
        <v>#VALUE!</v>
      </c>
      <c r="FG115" t="e">
        <f>AND('SPR BARRANQUILLA'!BI137,"AAAAAH6//6I=")</f>
        <v>#VALUE!</v>
      </c>
      <c r="FH115" t="e">
        <f>AND('SPR BARRANQUILLA'!BJ137,"AAAAAH6//6M=")</f>
        <v>#VALUE!</v>
      </c>
      <c r="FI115" t="e">
        <f>AND('SPR BARRANQUILLA'!BK137,"AAAAAH6//6Q=")</f>
        <v>#VALUE!</v>
      </c>
      <c r="FJ115" t="e">
        <f>AND('SPR BARRANQUILLA'!BL137,"AAAAAH6//6U=")</f>
        <v>#VALUE!</v>
      </c>
      <c r="FK115" t="e">
        <f>AND('SPR BARRANQUILLA'!BM137,"AAAAAH6//6Y=")</f>
        <v>#VALUE!</v>
      </c>
      <c r="FL115" t="e">
        <f>AND('SPR BARRANQUILLA'!BN137,"AAAAAH6//6c=")</f>
        <v>#VALUE!</v>
      </c>
      <c r="FM115" t="e">
        <f>AND('SPR BARRANQUILLA'!BO137,"AAAAAH6//6g=")</f>
        <v>#VALUE!</v>
      </c>
      <c r="FN115" t="e">
        <f>AND('SPR BARRANQUILLA'!BP137,"AAAAAH6//6k=")</f>
        <v>#VALUE!</v>
      </c>
      <c r="FO115" t="e">
        <f>AND('SPR BARRANQUILLA'!BQ137,"AAAAAH6//6o=")</f>
        <v>#VALUE!</v>
      </c>
      <c r="FP115" t="e">
        <f>AND('SPR BARRANQUILLA'!BR137,"AAAAAH6//6s=")</f>
        <v>#VALUE!</v>
      </c>
      <c r="FQ115" t="e">
        <f>AND('SPR BARRANQUILLA'!BS137,"AAAAAH6//6w=")</f>
        <v>#VALUE!</v>
      </c>
      <c r="FR115" t="e">
        <f>AND('SPR BARRANQUILLA'!BT137,"AAAAAH6//60=")</f>
        <v>#VALUE!</v>
      </c>
      <c r="FS115" t="e">
        <f>AND('SPR BARRANQUILLA'!BU137,"AAAAAH6//64=")</f>
        <v>#VALUE!</v>
      </c>
      <c r="FT115" t="e">
        <f>AND('SPR BARRANQUILLA'!BV137,"AAAAAH6//68=")</f>
        <v>#VALUE!</v>
      </c>
      <c r="FU115" t="e">
        <f>AND('SPR BARRANQUILLA'!BW137,"AAAAAH6//7A=")</f>
        <v>#VALUE!</v>
      </c>
      <c r="FV115" t="e">
        <f>AND('SPR BARRANQUILLA'!BX137,"AAAAAH6//7E=")</f>
        <v>#VALUE!</v>
      </c>
      <c r="FW115" t="e">
        <f>AND('SPR BARRANQUILLA'!BY137,"AAAAAH6//7I=")</f>
        <v>#VALUE!</v>
      </c>
      <c r="FX115" t="e">
        <f>AND('SPR BARRANQUILLA'!BZ137,"AAAAAH6//7M=")</f>
        <v>#VALUE!</v>
      </c>
      <c r="FY115" t="e">
        <f>AND('SPR BARRANQUILLA'!CA137,"AAAAAH6//7Q=")</f>
        <v>#VALUE!</v>
      </c>
      <c r="FZ115" t="e">
        <f>AND('SPR BARRANQUILLA'!CB137,"AAAAAH6//7U=")</f>
        <v>#VALUE!</v>
      </c>
      <c r="GA115" t="e">
        <f>AND('SPR BARRANQUILLA'!CC137,"AAAAAH6//7Y=")</f>
        <v>#VALUE!</v>
      </c>
      <c r="GB115" t="e">
        <f>AND('SPR BARRANQUILLA'!CD137,"AAAAAH6//7c=")</f>
        <v>#VALUE!</v>
      </c>
      <c r="GC115" t="e">
        <f>AND('SPR BARRANQUILLA'!CE137,"AAAAAH6//7g=")</f>
        <v>#VALUE!</v>
      </c>
      <c r="GD115" t="e">
        <f>AND('SPR BARRANQUILLA'!CF137,"AAAAAH6//7k=")</f>
        <v>#VALUE!</v>
      </c>
      <c r="GE115" t="e">
        <f>AND('SPR BARRANQUILLA'!CG137,"AAAAAH6//7o=")</f>
        <v>#VALUE!</v>
      </c>
      <c r="GF115" t="e">
        <f>AND('SPR BARRANQUILLA'!CH137,"AAAAAH6//7s=")</f>
        <v>#VALUE!</v>
      </c>
      <c r="GG115" t="e">
        <f>AND('SPR BARRANQUILLA'!CI137,"AAAAAH6//7w=")</f>
        <v>#VALUE!</v>
      </c>
      <c r="GH115" t="e">
        <f>AND('SPR BARRANQUILLA'!CJ137,"AAAAAH6//70=")</f>
        <v>#VALUE!</v>
      </c>
      <c r="GI115" t="e">
        <f>AND('SPR BARRANQUILLA'!CK137,"AAAAAH6//74=")</f>
        <v>#VALUE!</v>
      </c>
      <c r="GJ115" t="e">
        <f>AND('SPR BARRANQUILLA'!CL137,"AAAAAH6//78=")</f>
        <v>#VALUE!</v>
      </c>
      <c r="GK115" t="e">
        <f>AND('SPR BARRANQUILLA'!CM137,"AAAAAH6//8A=")</f>
        <v>#VALUE!</v>
      </c>
      <c r="GL115" t="e">
        <f>AND('SPR BARRANQUILLA'!CN137,"AAAAAH6//8E=")</f>
        <v>#VALUE!</v>
      </c>
      <c r="GM115" t="e">
        <f>AND('SPR BARRANQUILLA'!CO137,"AAAAAH6//8I=")</f>
        <v>#VALUE!</v>
      </c>
      <c r="GN115" t="e">
        <f>AND('SPR BARRANQUILLA'!CP137,"AAAAAH6//8M=")</f>
        <v>#VALUE!</v>
      </c>
      <c r="GO115" t="e">
        <f>AND('SPR BARRANQUILLA'!CQ137,"AAAAAH6//8Q=")</f>
        <v>#VALUE!</v>
      </c>
      <c r="GP115" t="e">
        <f>AND('SPR BARRANQUILLA'!CR137,"AAAAAH6//8U=")</f>
        <v>#VALUE!</v>
      </c>
      <c r="GQ115" t="e">
        <f>AND('SPR BARRANQUILLA'!CS137,"AAAAAH6//8Y=")</f>
        <v>#VALUE!</v>
      </c>
      <c r="GR115" t="e">
        <f>AND('SPR BARRANQUILLA'!CT137,"AAAAAH6//8c=")</f>
        <v>#VALUE!</v>
      </c>
      <c r="GS115" t="e">
        <f>AND('SPR BARRANQUILLA'!CU137,"AAAAAH6//8g=")</f>
        <v>#VALUE!</v>
      </c>
      <c r="GT115" t="e">
        <f>AND('SPR BARRANQUILLA'!CV137,"AAAAAH6//8k=")</f>
        <v>#VALUE!</v>
      </c>
      <c r="GU115" t="e">
        <f>AND('SPR BARRANQUILLA'!CW137,"AAAAAH6//8o=")</f>
        <v>#VALUE!</v>
      </c>
      <c r="GV115" t="e">
        <f>AND('SPR BARRANQUILLA'!CX137,"AAAAAH6//8s=")</f>
        <v>#VALUE!</v>
      </c>
      <c r="GW115" t="e">
        <f>AND('SPR BARRANQUILLA'!CY137,"AAAAAH6//8w=")</f>
        <v>#VALUE!</v>
      </c>
      <c r="GX115" t="e">
        <f>AND('SPR BARRANQUILLA'!CZ137,"AAAAAH6//80=")</f>
        <v>#VALUE!</v>
      </c>
      <c r="GY115" t="e">
        <f>AND('SPR BARRANQUILLA'!DA137,"AAAAAH6//84=")</f>
        <v>#VALUE!</v>
      </c>
      <c r="GZ115" t="e">
        <f>AND('SPR BARRANQUILLA'!DB137,"AAAAAH6//88=")</f>
        <v>#VALUE!</v>
      </c>
      <c r="HA115" t="e">
        <f>AND('SPR BARRANQUILLA'!DC137,"AAAAAH6//9A=")</f>
        <v>#VALUE!</v>
      </c>
      <c r="HB115" t="e">
        <f>AND('SPR BARRANQUILLA'!DD137,"AAAAAH6//9E=")</f>
        <v>#VALUE!</v>
      </c>
      <c r="HC115" t="e">
        <f>AND('SPR BARRANQUILLA'!DE137,"AAAAAH6//9I=")</f>
        <v>#VALUE!</v>
      </c>
      <c r="HD115" t="e">
        <f>AND('SPR BARRANQUILLA'!DF137,"AAAAAH6//9M=")</f>
        <v>#VALUE!</v>
      </c>
      <c r="HE115" t="e">
        <f>AND('SPR BARRANQUILLA'!DG137,"AAAAAH6//9Q=")</f>
        <v>#VALUE!</v>
      </c>
      <c r="HF115" t="e">
        <f>AND('SPR BARRANQUILLA'!DH137,"AAAAAH6//9U=")</f>
        <v>#VALUE!</v>
      </c>
      <c r="HG115" t="e">
        <f>AND('SPR BARRANQUILLA'!DI137,"AAAAAH6//9Y=")</f>
        <v>#VALUE!</v>
      </c>
      <c r="HH115" t="e">
        <f>AND('SPR BARRANQUILLA'!DJ137,"AAAAAH6//9c=")</f>
        <v>#VALUE!</v>
      </c>
      <c r="HI115" t="e">
        <f>AND('SPR BARRANQUILLA'!DK137,"AAAAAH6//9g=")</f>
        <v>#VALUE!</v>
      </c>
      <c r="HJ115" t="e">
        <f>AND('SPR BARRANQUILLA'!DL137,"AAAAAH6//9k=")</f>
        <v>#VALUE!</v>
      </c>
      <c r="HK115" t="e">
        <f>AND('SPR BARRANQUILLA'!DM137,"AAAAAH6//9o=")</f>
        <v>#VALUE!</v>
      </c>
      <c r="HL115" t="e">
        <f>AND('SPR BARRANQUILLA'!DN137,"AAAAAH6//9s=")</f>
        <v>#VALUE!</v>
      </c>
      <c r="HM115" t="e">
        <f>AND('SPR BARRANQUILLA'!DO137,"AAAAAH6//9w=")</f>
        <v>#VALUE!</v>
      </c>
      <c r="HN115" t="e">
        <f>AND('SPR BARRANQUILLA'!DP137,"AAAAAH6//90=")</f>
        <v>#VALUE!</v>
      </c>
      <c r="HO115" t="e">
        <f>AND('SPR BARRANQUILLA'!DQ137,"AAAAAH6//94=")</f>
        <v>#VALUE!</v>
      </c>
      <c r="HP115" t="e">
        <f>AND('SPR BARRANQUILLA'!DR137,"AAAAAH6//98=")</f>
        <v>#VALUE!</v>
      </c>
      <c r="HQ115" t="e">
        <f>AND('SPR BARRANQUILLA'!DS137,"AAAAAH6//+A=")</f>
        <v>#VALUE!</v>
      </c>
      <c r="HR115" t="e">
        <f>AND('SPR BARRANQUILLA'!DT137,"AAAAAH6//+E=")</f>
        <v>#VALUE!</v>
      </c>
      <c r="HS115" t="e">
        <f>AND('SPR BARRANQUILLA'!DU137,"AAAAAH6//+I=")</f>
        <v>#VALUE!</v>
      </c>
      <c r="HT115" t="e">
        <f>AND('SPR BARRANQUILLA'!DV137,"AAAAAH6//+M=")</f>
        <v>#VALUE!</v>
      </c>
      <c r="HU115" t="e">
        <f>AND('SPR BARRANQUILLA'!DW137,"AAAAAH6//+Q=")</f>
        <v>#VALUE!</v>
      </c>
      <c r="HV115" t="e">
        <f>AND('SPR BARRANQUILLA'!DX137,"AAAAAH6//+U=")</f>
        <v>#VALUE!</v>
      </c>
      <c r="HW115" t="e">
        <f>AND('SPR BARRANQUILLA'!DY137,"AAAAAH6//+Y=")</f>
        <v>#VALUE!</v>
      </c>
      <c r="HX115" t="e">
        <f>AND('SPR BARRANQUILLA'!DZ137,"AAAAAH6//+c=")</f>
        <v>#VALUE!</v>
      </c>
      <c r="HY115" t="e">
        <f>AND('SPR BARRANQUILLA'!EA137,"AAAAAH6//+g=")</f>
        <v>#VALUE!</v>
      </c>
      <c r="HZ115" t="e">
        <f>AND('SPR BARRANQUILLA'!EB137,"AAAAAH6//+k=")</f>
        <v>#VALUE!</v>
      </c>
      <c r="IA115" t="e">
        <f>AND('SPR BARRANQUILLA'!EC137,"AAAAAH6//+o=")</f>
        <v>#VALUE!</v>
      </c>
      <c r="IB115" t="e">
        <f>AND('SPR BARRANQUILLA'!ED137,"AAAAAH6//+s=")</f>
        <v>#VALUE!</v>
      </c>
      <c r="IC115" t="e">
        <f>AND('SPR BARRANQUILLA'!EE137,"AAAAAH6//+w=")</f>
        <v>#VALUE!</v>
      </c>
      <c r="ID115" t="e">
        <f>AND('SPR BARRANQUILLA'!EF137,"AAAAAH6//+0=")</f>
        <v>#VALUE!</v>
      </c>
      <c r="IE115" t="e">
        <f>AND('SPR BARRANQUILLA'!EG137,"AAAAAH6//+4=")</f>
        <v>#VALUE!</v>
      </c>
      <c r="IF115" t="e">
        <f>AND('SPR BARRANQUILLA'!EH137,"AAAAAH6//+8=")</f>
        <v>#VALUE!</v>
      </c>
      <c r="IG115" t="e">
        <f>AND('SPR BARRANQUILLA'!EI137,"AAAAAH6///A=")</f>
        <v>#VALUE!</v>
      </c>
      <c r="IH115" t="e">
        <f>AND('SPR BARRANQUILLA'!EJ137,"AAAAAH6///E=")</f>
        <v>#VALUE!</v>
      </c>
      <c r="II115" t="e">
        <f>AND('SPR BARRANQUILLA'!EK137,"AAAAAH6///I=")</f>
        <v>#VALUE!</v>
      </c>
      <c r="IJ115" t="e">
        <f>AND('SPR BARRANQUILLA'!EL137,"AAAAAH6///M=")</f>
        <v>#VALUE!</v>
      </c>
      <c r="IK115" t="e">
        <f>AND('SPR BARRANQUILLA'!EM137,"AAAAAH6///Q=")</f>
        <v>#VALUE!</v>
      </c>
      <c r="IL115" t="e">
        <f>AND('SPR BARRANQUILLA'!EN137,"AAAAAH6///U=")</f>
        <v>#VALUE!</v>
      </c>
      <c r="IM115" t="e">
        <f>AND('SPR BARRANQUILLA'!EO137,"AAAAAH6///Y=")</f>
        <v>#VALUE!</v>
      </c>
      <c r="IN115" t="e">
        <f>AND('SPR BARRANQUILLA'!EP137,"AAAAAH6///c=")</f>
        <v>#VALUE!</v>
      </c>
      <c r="IO115" t="e">
        <f>AND('SPR BARRANQUILLA'!EQ137,"AAAAAH6///g=")</f>
        <v>#VALUE!</v>
      </c>
      <c r="IP115" t="e">
        <f>AND('SPR BARRANQUILLA'!ER137,"AAAAAH6///k=")</f>
        <v>#VALUE!</v>
      </c>
      <c r="IQ115" t="e">
        <f>AND('SPR BARRANQUILLA'!ES137,"AAAAAH6///o=")</f>
        <v>#VALUE!</v>
      </c>
      <c r="IR115" t="e">
        <f>AND('SPR BARRANQUILLA'!ET137,"AAAAAH6///s=")</f>
        <v>#VALUE!</v>
      </c>
      <c r="IS115" t="e">
        <f>AND('SPR BARRANQUILLA'!EU137,"AAAAAH6///w=")</f>
        <v>#VALUE!</v>
      </c>
      <c r="IT115" t="e">
        <f>AND('SPR BARRANQUILLA'!EV137,"AAAAAH6///0=")</f>
        <v>#VALUE!</v>
      </c>
      <c r="IU115" t="e">
        <f>AND('SPR BARRANQUILLA'!EW137,"AAAAAH6///4=")</f>
        <v>#VALUE!</v>
      </c>
      <c r="IV115" t="e">
        <f>AND('SPR BARRANQUILLA'!EX137,"AAAAAH6///8=")</f>
        <v>#VALUE!</v>
      </c>
    </row>
    <row r="116" spans="1:256">
      <c r="A116" t="e">
        <f>AND('SPR BARRANQUILLA'!EY137,"AAAAAHJv5wA=")</f>
        <v>#VALUE!</v>
      </c>
      <c r="B116" t="e">
        <f>AND('SPR BARRANQUILLA'!EZ137,"AAAAAHJv5wE=")</f>
        <v>#VALUE!</v>
      </c>
      <c r="C116" t="e">
        <f>AND('SPR BARRANQUILLA'!FA137,"AAAAAHJv5wI=")</f>
        <v>#VALUE!</v>
      </c>
      <c r="D116" t="e">
        <f>AND('SPR BARRANQUILLA'!FB137,"AAAAAHJv5wM=")</f>
        <v>#VALUE!</v>
      </c>
      <c r="E116" t="e">
        <f>AND('SPR BARRANQUILLA'!FC137,"AAAAAHJv5wQ=")</f>
        <v>#VALUE!</v>
      </c>
      <c r="F116" t="e">
        <f>AND('SPR BARRANQUILLA'!FD137,"AAAAAHJv5wU=")</f>
        <v>#VALUE!</v>
      </c>
      <c r="G116" t="e">
        <f>AND('SPR BARRANQUILLA'!FE137,"AAAAAHJv5wY=")</f>
        <v>#VALUE!</v>
      </c>
      <c r="H116" t="e">
        <f>AND('SPR BARRANQUILLA'!FF137,"AAAAAHJv5wc=")</f>
        <v>#VALUE!</v>
      </c>
      <c r="I116" t="e">
        <f>AND('SPR BARRANQUILLA'!FG137,"AAAAAHJv5wg=")</f>
        <v>#VALUE!</v>
      </c>
      <c r="J116" t="e">
        <f>AND('SPR BARRANQUILLA'!FH137,"AAAAAHJv5wk=")</f>
        <v>#VALUE!</v>
      </c>
      <c r="K116" t="e">
        <f>AND('SPR BARRANQUILLA'!FI137,"AAAAAHJv5wo=")</f>
        <v>#VALUE!</v>
      </c>
      <c r="L116" t="e">
        <f>AND('SPR BARRANQUILLA'!FJ137,"AAAAAHJv5ws=")</f>
        <v>#VALUE!</v>
      </c>
      <c r="M116" t="e">
        <f>AND('SPR BARRANQUILLA'!FK137,"AAAAAHJv5ww=")</f>
        <v>#VALUE!</v>
      </c>
      <c r="N116" t="e">
        <f>AND('SPR BARRANQUILLA'!FL137,"AAAAAHJv5w0=")</f>
        <v>#VALUE!</v>
      </c>
      <c r="O116" t="e">
        <f>AND('SPR BARRANQUILLA'!FM137,"AAAAAHJv5w4=")</f>
        <v>#VALUE!</v>
      </c>
      <c r="P116" t="e">
        <f>AND('SPR BARRANQUILLA'!FN137,"AAAAAHJv5w8=")</f>
        <v>#VALUE!</v>
      </c>
      <c r="Q116" t="e">
        <f>AND('SPR BARRANQUILLA'!FO137,"AAAAAHJv5xA=")</f>
        <v>#VALUE!</v>
      </c>
      <c r="R116" t="e">
        <f>AND('SPR BARRANQUILLA'!FP137,"AAAAAHJv5xE=")</f>
        <v>#VALUE!</v>
      </c>
      <c r="S116" t="e">
        <f>AND('SPR BARRANQUILLA'!FQ137,"AAAAAHJv5xI=")</f>
        <v>#VALUE!</v>
      </c>
      <c r="T116" t="e">
        <f>AND('SPR BARRANQUILLA'!FR137,"AAAAAHJv5xM=")</f>
        <v>#VALUE!</v>
      </c>
      <c r="U116" t="e">
        <f>AND('SPR BARRANQUILLA'!FS137,"AAAAAHJv5xQ=")</f>
        <v>#VALUE!</v>
      </c>
      <c r="V116" t="e">
        <f>AND('SPR BARRANQUILLA'!FT137,"AAAAAHJv5xU=")</f>
        <v>#VALUE!</v>
      </c>
      <c r="W116" t="e">
        <f>AND('SPR BARRANQUILLA'!FU137,"AAAAAHJv5xY=")</f>
        <v>#VALUE!</v>
      </c>
      <c r="X116" t="e">
        <f>AND('SPR BARRANQUILLA'!FV137,"AAAAAHJv5xc=")</f>
        <v>#VALUE!</v>
      </c>
      <c r="Y116" t="e">
        <f>AND('SPR BARRANQUILLA'!FW137,"AAAAAHJv5xg=")</f>
        <v>#VALUE!</v>
      </c>
      <c r="Z116" t="e">
        <f>AND('SPR BARRANQUILLA'!FX137,"AAAAAHJv5xk=")</f>
        <v>#VALUE!</v>
      </c>
      <c r="AA116" t="e">
        <f>AND('SPR BARRANQUILLA'!FY137,"AAAAAHJv5xo=")</f>
        <v>#VALUE!</v>
      </c>
      <c r="AB116" t="e">
        <f>AND('SPR BARRANQUILLA'!FZ137,"AAAAAHJv5xs=")</f>
        <v>#VALUE!</v>
      </c>
      <c r="AC116" t="e">
        <f>AND('SPR BARRANQUILLA'!GA137,"AAAAAHJv5xw=")</f>
        <v>#VALUE!</v>
      </c>
      <c r="AD116" t="e">
        <f>AND('SPR BARRANQUILLA'!GB137,"AAAAAHJv5x0=")</f>
        <v>#VALUE!</v>
      </c>
      <c r="AE116" t="e">
        <f>AND('SPR BARRANQUILLA'!GC137,"AAAAAHJv5x4=")</f>
        <v>#VALUE!</v>
      </c>
      <c r="AF116" t="e">
        <f>AND('SPR BARRANQUILLA'!GD137,"AAAAAHJv5x8=")</f>
        <v>#VALUE!</v>
      </c>
      <c r="AG116" t="e">
        <f>AND('SPR BARRANQUILLA'!GE137,"AAAAAHJv5yA=")</f>
        <v>#VALUE!</v>
      </c>
      <c r="AH116" t="e">
        <f>AND('SPR BARRANQUILLA'!GF137,"AAAAAHJv5yE=")</f>
        <v>#VALUE!</v>
      </c>
      <c r="AI116" t="e">
        <f>AND('SPR BARRANQUILLA'!GG137,"AAAAAHJv5yI=")</f>
        <v>#VALUE!</v>
      </c>
      <c r="AJ116" t="e">
        <f>AND('SPR BARRANQUILLA'!GH137,"AAAAAHJv5yM=")</f>
        <v>#VALUE!</v>
      </c>
      <c r="AK116" t="e">
        <f>AND('SPR BARRANQUILLA'!GI137,"AAAAAHJv5yQ=")</f>
        <v>#VALUE!</v>
      </c>
      <c r="AL116" t="e">
        <f>AND('SPR BARRANQUILLA'!GJ137,"AAAAAHJv5yU=")</f>
        <v>#VALUE!</v>
      </c>
      <c r="AM116" t="e">
        <f>AND('SPR BARRANQUILLA'!GK137,"AAAAAHJv5yY=")</f>
        <v>#VALUE!</v>
      </c>
      <c r="AN116" t="e">
        <f>AND('SPR BARRANQUILLA'!GL137,"AAAAAHJv5yc=")</f>
        <v>#VALUE!</v>
      </c>
      <c r="AO116" t="e">
        <f>AND('SPR BARRANQUILLA'!GM137,"AAAAAHJv5yg=")</f>
        <v>#VALUE!</v>
      </c>
      <c r="AP116" t="e">
        <f>AND('SPR BARRANQUILLA'!GN137,"AAAAAHJv5yk=")</f>
        <v>#VALUE!</v>
      </c>
      <c r="AQ116" t="e">
        <f>AND('SPR BARRANQUILLA'!GO137,"AAAAAHJv5yo=")</f>
        <v>#VALUE!</v>
      </c>
      <c r="AR116" t="e">
        <f>AND('SPR BARRANQUILLA'!GP137,"AAAAAHJv5ys=")</f>
        <v>#VALUE!</v>
      </c>
      <c r="AS116" t="e">
        <f>AND('SPR BARRANQUILLA'!GQ137,"AAAAAHJv5yw=")</f>
        <v>#VALUE!</v>
      </c>
      <c r="AT116" t="e">
        <f>AND('SPR BARRANQUILLA'!GR137,"AAAAAHJv5y0=")</f>
        <v>#VALUE!</v>
      </c>
      <c r="AU116" t="e">
        <f>AND('SPR BARRANQUILLA'!GS137,"AAAAAHJv5y4=")</f>
        <v>#VALUE!</v>
      </c>
      <c r="AV116" t="e">
        <f>AND('SPR BARRANQUILLA'!GT137,"AAAAAHJv5y8=")</f>
        <v>#VALUE!</v>
      </c>
      <c r="AW116" t="e">
        <f>AND('SPR BARRANQUILLA'!GU137,"AAAAAHJv5zA=")</f>
        <v>#VALUE!</v>
      </c>
      <c r="AX116" t="e">
        <f>AND('SPR BARRANQUILLA'!GV137,"AAAAAHJv5zE=")</f>
        <v>#VALUE!</v>
      </c>
      <c r="AY116" t="e">
        <f>AND('SPR BARRANQUILLA'!GW137,"AAAAAHJv5zI=")</f>
        <v>#VALUE!</v>
      </c>
      <c r="AZ116" t="e">
        <f>AND('SPR BARRANQUILLA'!GX137,"AAAAAHJv5zM=")</f>
        <v>#VALUE!</v>
      </c>
      <c r="BA116" t="e">
        <f>AND('SPR BARRANQUILLA'!GY137,"AAAAAHJv5zQ=")</f>
        <v>#VALUE!</v>
      </c>
      <c r="BB116">
        <f>IF('SPR BARRANQUILLA'!138:138,"AAAAAHJv5zU=",0)</f>
        <v>0</v>
      </c>
      <c r="BC116" t="e">
        <f>AND('SPR BARRANQUILLA'!A138,"AAAAAHJv5zY=")</f>
        <v>#VALUE!</v>
      </c>
      <c r="BD116" t="e">
        <f>AND('SPR BARRANQUILLA'!B138,"AAAAAHJv5zc=")</f>
        <v>#VALUE!</v>
      </c>
      <c r="BE116" t="e">
        <f>AND('SPR BARRANQUILLA'!C138,"AAAAAHJv5zg=")</f>
        <v>#VALUE!</v>
      </c>
      <c r="BF116" t="e">
        <f>AND('SPR BARRANQUILLA'!D138,"AAAAAHJv5zk=")</f>
        <v>#VALUE!</v>
      </c>
      <c r="BG116" t="e">
        <f>AND('SPR BARRANQUILLA'!E138,"AAAAAHJv5zo=")</f>
        <v>#VALUE!</v>
      </c>
      <c r="BH116" t="e">
        <f>AND('SPR BARRANQUILLA'!F138,"AAAAAHJv5zs=")</f>
        <v>#VALUE!</v>
      </c>
      <c r="BI116" t="e">
        <f>AND('SPR BARRANQUILLA'!G138,"AAAAAHJv5zw=")</f>
        <v>#VALUE!</v>
      </c>
      <c r="BJ116" t="e">
        <f>AND('SPR BARRANQUILLA'!H138,"AAAAAHJv5z0=")</f>
        <v>#VALUE!</v>
      </c>
      <c r="BK116" t="e">
        <f>AND('SPR BARRANQUILLA'!I138,"AAAAAHJv5z4=")</f>
        <v>#VALUE!</v>
      </c>
      <c r="BL116" t="e">
        <f>AND('SPR BARRANQUILLA'!J138,"AAAAAHJv5z8=")</f>
        <v>#VALUE!</v>
      </c>
      <c r="BM116" t="e">
        <f>AND('SPR BARRANQUILLA'!K138,"AAAAAHJv50A=")</f>
        <v>#VALUE!</v>
      </c>
      <c r="BN116" t="e">
        <f>AND('SPR BARRANQUILLA'!L138,"AAAAAHJv50E=")</f>
        <v>#VALUE!</v>
      </c>
      <c r="BO116" t="e">
        <f>AND('SPR BARRANQUILLA'!M138,"AAAAAHJv50I=")</f>
        <v>#VALUE!</v>
      </c>
      <c r="BP116" t="e">
        <f>AND('SPR BARRANQUILLA'!N138,"AAAAAHJv50M=")</f>
        <v>#VALUE!</v>
      </c>
      <c r="BQ116" t="e">
        <f>AND('SPR BARRANQUILLA'!O138,"AAAAAHJv50Q=")</f>
        <v>#VALUE!</v>
      </c>
      <c r="BR116" t="e">
        <f>AND('SPR BARRANQUILLA'!P138,"AAAAAHJv50U=")</f>
        <v>#VALUE!</v>
      </c>
      <c r="BS116" t="e">
        <f>AND('SPR BARRANQUILLA'!Q138,"AAAAAHJv50Y=")</f>
        <v>#VALUE!</v>
      </c>
      <c r="BT116" t="e">
        <f>AND('SPR BARRANQUILLA'!R138,"AAAAAHJv50c=")</f>
        <v>#VALUE!</v>
      </c>
      <c r="BU116" t="e">
        <f>AND('SPR BARRANQUILLA'!S138,"AAAAAHJv50g=")</f>
        <v>#VALUE!</v>
      </c>
      <c r="BV116" t="e">
        <f>AND('SPR BARRANQUILLA'!T138,"AAAAAHJv50k=")</f>
        <v>#VALUE!</v>
      </c>
      <c r="BW116" t="e">
        <f>AND('SPR BARRANQUILLA'!U138,"AAAAAHJv50o=")</f>
        <v>#VALUE!</v>
      </c>
      <c r="BX116" t="e">
        <f>AND('SPR BARRANQUILLA'!V138,"AAAAAHJv50s=")</f>
        <v>#VALUE!</v>
      </c>
      <c r="BY116" t="e">
        <f>AND('SPR BARRANQUILLA'!W138,"AAAAAHJv50w=")</f>
        <v>#VALUE!</v>
      </c>
      <c r="BZ116" t="e">
        <f>AND('SPR BARRANQUILLA'!X138,"AAAAAHJv500=")</f>
        <v>#VALUE!</v>
      </c>
      <c r="CA116" t="e">
        <f>AND('SPR BARRANQUILLA'!Y138,"AAAAAHJv504=")</f>
        <v>#VALUE!</v>
      </c>
      <c r="CB116" t="e">
        <f>AND('SPR BARRANQUILLA'!Z138,"AAAAAHJv508=")</f>
        <v>#VALUE!</v>
      </c>
      <c r="CC116" t="e">
        <f>AND('SPR BARRANQUILLA'!AA138,"AAAAAHJv51A=")</f>
        <v>#VALUE!</v>
      </c>
      <c r="CD116" t="e">
        <f>AND('SPR BARRANQUILLA'!AB138,"AAAAAHJv51E=")</f>
        <v>#VALUE!</v>
      </c>
      <c r="CE116" t="e">
        <f>AND('SPR BARRANQUILLA'!AC138,"AAAAAHJv51I=")</f>
        <v>#VALUE!</v>
      </c>
      <c r="CF116" t="e">
        <f>AND('SPR BARRANQUILLA'!AD138,"AAAAAHJv51M=")</f>
        <v>#VALUE!</v>
      </c>
      <c r="CG116" t="e">
        <f>AND('SPR BARRANQUILLA'!AE138,"AAAAAHJv51Q=")</f>
        <v>#VALUE!</v>
      </c>
      <c r="CH116" t="e">
        <f>AND('SPR BARRANQUILLA'!AF138,"AAAAAHJv51U=")</f>
        <v>#VALUE!</v>
      </c>
      <c r="CI116" t="e">
        <f>AND('SPR BARRANQUILLA'!AG138,"AAAAAHJv51Y=")</f>
        <v>#VALUE!</v>
      </c>
      <c r="CJ116" t="e">
        <f>AND('SPR BARRANQUILLA'!AH138,"AAAAAHJv51c=")</f>
        <v>#VALUE!</v>
      </c>
      <c r="CK116" t="e">
        <f>AND('SPR BARRANQUILLA'!AI138,"AAAAAHJv51g=")</f>
        <v>#VALUE!</v>
      </c>
      <c r="CL116" t="e">
        <f>AND('SPR BARRANQUILLA'!AJ138,"AAAAAHJv51k=")</f>
        <v>#VALUE!</v>
      </c>
      <c r="CM116" t="e">
        <f>AND('SPR BARRANQUILLA'!AK138,"AAAAAHJv51o=")</f>
        <v>#VALUE!</v>
      </c>
      <c r="CN116" t="e">
        <f>AND('SPR BARRANQUILLA'!AL138,"AAAAAHJv51s=")</f>
        <v>#VALUE!</v>
      </c>
      <c r="CO116" t="e">
        <f>AND('SPR BARRANQUILLA'!AM138,"AAAAAHJv51w=")</f>
        <v>#VALUE!</v>
      </c>
      <c r="CP116" t="e">
        <f>AND('SPR BARRANQUILLA'!AN138,"AAAAAHJv510=")</f>
        <v>#VALUE!</v>
      </c>
      <c r="CQ116" t="e">
        <f>AND('SPR BARRANQUILLA'!AO138,"AAAAAHJv514=")</f>
        <v>#VALUE!</v>
      </c>
      <c r="CR116" t="e">
        <f>AND('SPR BARRANQUILLA'!AP138,"AAAAAHJv518=")</f>
        <v>#VALUE!</v>
      </c>
      <c r="CS116" t="e">
        <f>AND('SPR BARRANQUILLA'!AQ138,"AAAAAHJv52A=")</f>
        <v>#VALUE!</v>
      </c>
      <c r="CT116" t="e">
        <f>AND('SPR BARRANQUILLA'!AR138,"AAAAAHJv52E=")</f>
        <v>#VALUE!</v>
      </c>
      <c r="CU116" t="e">
        <f>AND('SPR BARRANQUILLA'!AS138,"AAAAAHJv52I=")</f>
        <v>#VALUE!</v>
      </c>
      <c r="CV116" t="e">
        <f>AND('SPR BARRANQUILLA'!AT138,"AAAAAHJv52M=")</f>
        <v>#VALUE!</v>
      </c>
      <c r="CW116" t="e">
        <f>AND('SPR BARRANQUILLA'!AU138,"AAAAAHJv52Q=")</f>
        <v>#VALUE!</v>
      </c>
      <c r="CX116" t="e">
        <f>AND('SPR BARRANQUILLA'!AV138,"AAAAAHJv52U=")</f>
        <v>#VALUE!</v>
      </c>
      <c r="CY116" t="e">
        <f>AND('SPR BARRANQUILLA'!AW138,"AAAAAHJv52Y=")</f>
        <v>#VALUE!</v>
      </c>
      <c r="CZ116" t="e">
        <f>AND('SPR BARRANQUILLA'!AX138,"AAAAAHJv52c=")</f>
        <v>#VALUE!</v>
      </c>
      <c r="DA116" t="e">
        <f>AND('SPR BARRANQUILLA'!AY138,"AAAAAHJv52g=")</f>
        <v>#VALUE!</v>
      </c>
      <c r="DB116" t="e">
        <f>AND('SPR BARRANQUILLA'!AZ138,"AAAAAHJv52k=")</f>
        <v>#VALUE!</v>
      </c>
      <c r="DC116" t="e">
        <f>AND('SPR BARRANQUILLA'!BA138,"AAAAAHJv52o=")</f>
        <v>#VALUE!</v>
      </c>
      <c r="DD116" t="e">
        <f>AND('SPR BARRANQUILLA'!BB138,"AAAAAHJv52s=")</f>
        <v>#VALUE!</v>
      </c>
      <c r="DE116" t="e">
        <f>AND('SPR BARRANQUILLA'!BC138,"AAAAAHJv52w=")</f>
        <v>#VALUE!</v>
      </c>
      <c r="DF116" t="e">
        <f>AND('SPR BARRANQUILLA'!BD138,"AAAAAHJv520=")</f>
        <v>#VALUE!</v>
      </c>
      <c r="DG116" t="e">
        <f>AND('SPR BARRANQUILLA'!BE138,"AAAAAHJv524=")</f>
        <v>#VALUE!</v>
      </c>
      <c r="DH116" t="e">
        <f>AND('SPR BARRANQUILLA'!BF138,"AAAAAHJv528=")</f>
        <v>#VALUE!</v>
      </c>
      <c r="DI116" t="e">
        <f>AND('SPR BARRANQUILLA'!BG138,"AAAAAHJv53A=")</f>
        <v>#VALUE!</v>
      </c>
      <c r="DJ116" t="e">
        <f>AND('SPR BARRANQUILLA'!BH138,"AAAAAHJv53E=")</f>
        <v>#VALUE!</v>
      </c>
      <c r="DK116" t="e">
        <f>AND('SPR BARRANQUILLA'!BI138,"AAAAAHJv53I=")</f>
        <v>#VALUE!</v>
      </c>
      <c r="DL116" t="e">
        <f>AND('SPR BARRANQUILLA'!BJ138,"AAAAAHJv53M=")</f>
        <v>#VALUE!</v>
      </c>
      <c r="DM116" t="e">
        <f>AND('SPR BARRANQUILLA'!BK138,"AAAAAHJv53Q=")</f>
        <v>#VALUE!</v>
      </c>
      <c r="DN116" t="e">
        <f>AND('SPR BARRANQUILLA'!BL138,"AAAAAHJv53U=")</f>
        <v>#VALUE!</v>
      </c>
      <c r="DO116" t="e">
        <f>AND('SPR BARRANQUILLA'!BM138,"AAAAAHJv53Y=")</f>
        <v>#VALUE!</v>
      </c>
      <c r="DP116" t="e">
        <f>AND('SPR BARRANQUILLA'!BN138,"AAAAAHJv53c=")</f>
        <v>#VALUE!</v>
      </c>
      <c r="DQ116" t="e">
        <f>AND('SPR BARRANQUILLA'!BO138,"AAAAAHJv53g=")</f>
        <v>#VALUE!</v>
      </c>
      <c r="DR116" t="e">
        <f>AND('SPR BARRANQUILLA'!BP138,"AAAAAHJv53k=")</f>
        <v>#VALUE!</v>
      </c>
      <c r="DS116" t="e">
        <f>AND('SPR BARRANQUILLA'!BQ138,"AAAAAHJv53o=")</f>
        <v>#VALUE!</v>
      </c>
      <c r="DT116" t="e">
        <f>AND('SPR BARRANQUILLA'!BR138,"AAAAAHJv53s=")</f>
        <v>#VALUE!</v>
      </c>
      <c r="DU116" t="e">
        <f>AND('SPR BARRANQUILLA'!BS138,"AAAAAHJv53w=")</f>
        <v>#VALUE!</v>
      </c>
      <c r="DV116" t="e">
        <f>AND('SPR BARRANQUILLA'!BT138,"AAAAAHJv530=")</f>
        <v>#VALUE!</v>
      </c>
      <c r="DW116" t="e">
        <f>AND('SPR BARRANQUILLA'!BU138,"AAAAAHJv534=")</f>
        <v>#VALUE!</v>
      </c>
      <c r="DX116" t="e">
        <f>AND('SPR BARRANQUILLA'!BV138,"AAAAAHJv538=")</f>
        <v>#VALUE!</v>
      </c>
      <c r="DY116" t="e">
        <f>AND('SPR BARRANQUILLA'!BW138,"AAAAAHJv54A=")</f>
        <v>#VALUE!</v>
      </c>
      <c r="DZ116" t="e">
        <f>AND('SPR BARRANQUILLA'!BX138,"AAAAAHJv54E=")</f>
        <v>#VALUE!</v>
      </c>
      <c r="EA116" t="e">
        <f>AND('SPR BARRANQUILLA'!BY138,"AAAAAHJv54I=")</f>
        <v>#VALUE!</v>
      </c>
      <c r="EB116" t="e">
        <f>AND('SPR BARRANQUILLA'!BZ138,"AAAAAHJv54M=")</f>
        <v>#VALUE!</v>
      </c>
      <c r="EC116" t="e">
        <f>AND('SPR BARRANQUILLA'!CA138,"AAAAAHJv54Q=")</f>
        <v>#VALUE!</v>
      </c>
      <c r="ED116" t="e">
        <f>AND('SPR BARRANQUILLA'!CB138,"AAAAAHJv54U=")</f>
        <v>#VALUE!</v>
      </c>
      <c r="EE116" t="e">
        <f>AND('SPR BARRANQUILLA'!CC138,"AAAAAHJv54Y=")</f>
        <v>#VALUE!</v>
      </c>
      <c r="EF116" t="e">
        <f>AND('SPR BARRANQUILLA'!CD138,"AAAAAHJv54c=")</f>
        <v>#VALUE!</v>
      </c>
      <c r="EG116" t="e">
        <f>AND('SPR BARRANQUILLA'!CE138,"AAAAAHJv54g=")</f>
        <v>#VALUE!</v>
      </c>
      <c r="EH116" t="e">
        <f>AND('SPR BARRANQUILLA'!CF138,"AAAAAHJv54k=")</f>
        <v>#VALUE!</v>
      </c>
      <c r="EI116" t="e">
        <f>AND('SPR BARRANQUILLA'!CG138,"AAAAAHJv54o=")</f>
        <v>#VALUE!</v>
      </c>
      <c r="EJ116" t="e">
        <f>AND('SPR BARRANQUILLA'!CH138,"AAAAAHJv54s=")</f>
        <v>#VALUE!</v>
      </c>
      <c r="EK116" t="e">
        <f>AND('SPR BARRANQUILLA'!CI138,"AAAAAHJv54w=")</f>
        <v>#VALUE!</v>
      </c>
      <c r="EL116" t="e">
        <f>AND('SPR BARRANQUILLA'!CJ138,"AAAAAHJv540=")</f>
        <v>#VALUE!</v>
      </c>
      <c r="EM116" t="e">
        <f>AND('SPR BARRANQUILLA'!CK138,"AAAAAHJv544=")</f>
        <v>#VALUE!</v>
      </c>
      <c r="EN116" t="e">
        <f>AND('SPR BARRANQUILLA'!CL138,"AAAAAHJv548=")</f>
        <v>#VALUE!</v>
      </c>
      <c r="EO116" t="e">
        <f>AND('SPR BARRANQUILLA'!CM138,"AAAAAHJv55A=")</f>
        <v>#VALUE!</v>
      </c>
      <c r="EP116" t="e">
        <f>AND('SPR BARRANQUILLA'!CN138,"AAAAAHJv55E=")</f>
        <v>#VALUE!</v>
      </c>
      <c r="EQ116" t="e">
        <f>AND('SPR BARRANQUILLA'!CO138,"AAAAAHJv55I=")</f>
        <v>#VALUE!</v>
      </c>
      <c r="ER116" t="e">
        <f>AND('SPR BARRANQUILLA'!CP138,"AAAAAHJv55M=")</f>
        <v>#VALUE!</v>
      </c>
      <c r="ES116" t="e">
        <f>AND('SPR BARRANQUILLA'!CQ138,"AAAAAHJv55Q=")</f>
        <v>#VALUE!</v>
      </c>
      <c r="ET116" t="e">
        <f>AND('SPR BARRANQUILLA'!CR138,"AAAAAHJv55U=")</f>
        <v>#VALUE!</v>
      </c>
      <c r="EU116" t="e">
        <f>AND('SPR BARRANQUILLA'!CS138,"AAAAAHJv55Y=")</f>
        <v>#VALUE!</v>
      </c>
      <c r="EV116" t="e">
        <f>AND('SPR BARRANQUILLA'!CT138,"AAAAAHJv55c=")</f>
        <v>#VALUE!</v>
      </c>
      <c r="EW116" t="e">
        <f>AND('SPR BARRANQUILLA'!CU138,"AAAAAHJv55g=")</f>
        <v>#VALUE!</v>
      </c>
      <c r="EX116" t="e">
        <f>AND('SPR BARRANQUILLA'!CV138,"AAAAAHJv55k=")</f>
        <v>#VALUE!</v>
      </c>
      <c r="EY116" t="e">
        <f>AND('SPR BARRANQUILLA'!CW138,"AAAAAHJv55o=")</f>
        <v>#VALUE!</v>
      </c>
      <c r="EZ116" t="e">
        <f>AND('SPR BARRANQUILLA'!CX138,"AAAAAHJv55s=")</f>
        <v>#VALUE!</v>
      </c>
      <c r="FA116" t="e">
        <f>AND('SPR BARRANQUILLA'!CY138,"AAAAAHJv55w=")</f>
        <v>#VALUE!</v>
      </c>
      <c r="FB116" t="e">
        <f>AND('SPR BARRANQUILLA'!CZ138,"AAAAAHJv550=")</f>
        <v>#VALUE!</v>
      </c>
      <c r="FC116" t="e">
        <f>AND('SPR BARRANQUILLA'!DA138,"AAAAAHJv554=")</f>
        <v>#VALUE!</v>
      </c>
      <c r="FD116" t="e">
        <f>AND('SPR BARRANQUILLA'!DB138,"AAAAAHJv558=")</f>
        <v>#VALUE!</v>
      </c>
      <c r="FE116" t="e">
        <f>AND('SPR BARRANQUILLA'!DC138,"AAAAAHJv56A=")</f>
        <v>#VALUE!</v>
      </c>
      <c r="FF116" t="e">
        <f>AND('SPR BARRANQUILLA'!DD138,"AAAAAHJv56E=")</f>
        <v>#VALUE!</v>
      </c>
      <c r="FG116" t="e">
        <f>AND('SPR BARRANQUILLA'!DE138,"AAAAAHJv56I=")</f>
        <v>#VALUE!</v>
      </c>
      <c r="FH116" t="e">
        <f>AND('SPR BARRANQUILLA'!DF138,"AAAAAHJv56M=")</f>
        <v>#VALUE!</v>
      </c>
      <c r="FI116" t="e">
        <f>AND('SPR BARRANQUILLA'!DG138,"AAAAAHJv56Q=")</f>
        <v>#VALUE!</v>
      </c>
      <c r="FJ116" t="e">
        <f>AND('SPR BARRANQUILLA'!DH138,"AAAAAHJv56U=")</f>
        <v>#VALUE!</v>
      </c>
      <c r="FK116" t="e">
        <f>AND('SPR BARRANQUILLA'!DI138,"AAAAAHJv56Y=")</f>
        <v>#VALUE!</v>
      </c>
      <c r="FL116" t="e">
        <f>AND('SPR BARRANQUILLA'!DJ138,"AAAAAHJv56c=")</f>
        <v>#VALUE!</v>
      </c>
      <c r="FM116" t="e">
        <f>AND('SPR BARRANQUILLA'!DK138,"AAAAAHJv56g=")</f>
        <v>#VALUE!</v>
      </c>
      <c r="FN116" t="e">
        <f>AND('SPR BARRANQUILLA'!DL138,"AAAAAHJv56k=")</f>
        <v>#VALUE!</v>
      </c>
      <c r="FO116" t="e">
        <f>AND('SPR BARRANQUILLA'!DM138,"AAAAAHJv56o=")</f>
        <v>#VALUE!</v>
      </c>
      <c r="FP116" t="e">
        <f>AND('SPR BARRANQUILLA'!DN138,"AAAAAHJv56s=")</f>
        <v>#VALUE!</v>
      </c>
      <c r="FQ116" t="e">
        <f>AND('SPR BARRANQUILLA'!DO138,"AAAAAHJv56w=")</f>
        <v>#VALUE!</v>
      </c>
      <c r="FR116" t="e">
        <f>AND('SPR BARRANQUILLA'!DP138,"AAAAAHJv560=")</f>
        <v>#VALUE!</v>
      </c>
      <c r="FS116" t="e">
        <f>AND('SPR BARRANQUILLA'!DQ138,"AAAAAHJv564=")</f>
        <v>#VALUE!</v>
      </c>
      <c r="FT116" t="e">
        <f>AND('SPR BARRANQUILLA'!DR138,"AAAAAHJv568=")</f>
        <v>#VALUE!</v>
      </c>
      <c r="FU116" t="e">
        <f>AND('SPR BARRANQUILLA'!DS138,"AAAAAHJv57A=")</f>
        <v>#VALUE!</v>
      </c>
      <c r="FV116" t="e">
        <f>AND('SPR BARRANQUILLA'!DT138,"AAAAAHJv57E=")</f>
        <v>#VALUE!</v>
      </c>
      <c r="FW116" t="e">
        <f>AND('SPR BARRANQUILLA'!DU138,"AAAAAHJv57I=")</f>
        <v>#VALUE!</v>
      </c>
      <c r="FX116" t="e">
        <f>AND('SPR BARRANQUILLA'!DV138,"AAAAAHJv57M=")</f>
        <v>#VALUE!</v>
      </c>
      <c r="FY116" t="e">
        <f>AND('SPR BARRANQUILLA'!DW138,"AAAAAHJv57Q=")</f>
        <v>#VALUE!</v>
      </c>
      <c r="FZ116" t="e">
        <f>AND('SPR BARRANQUILLA'!DX138,"AAAAAHJv57U=")</f>
        <v>#VALUE!</v>
      </c>
      <c r="GA116" t="e">
        <f>AND('SPR BARRANQUILLA'!DY138,"AAAAAHJv57Y=")</f>
        <v>#VALUE!</v>
      </c>
      <c r="GB116" t="e">
        <f>AND('SPR BARRANQUILLA'!DZ138,"AAAAAHJv57c=")</f>
        <v>#VALUE!</v>
      </c>
      <c r="GC116" t="e">
        <f>AND('SPR BARRANQUILLA'!EA138,"AAAAAHJv57g=")</f>
        <v>#VALUE!</v>
      </c>
      <c r="GD116" t="e">
        <f>AND('SPR BARRANQUILLA'!EB138,"AAAAAHJv57k=")</f>
        <v>#VALUE!</v>
      </c>
      <c r="GE116" t="e">
        <f>AND('SPR BARRANQUILLA'!EC138,"AAAAAHJv57o=")</f>
        <v>#VALUE!</v>
      </c>
      <c r="GF116" t="e">
        <f>AND('SPR BARRANQUILLA'!ED138,"AAAAAHJv57s=")</f>
        <v>#VALUE!</v>
      </c>
      <c r="GG116" t="e">
        <f>AND('SPR BARRANQUILLA'!EE138,"AAAAAHJv57w=")</f>
        <v>#VALUE!</v>
      </c>
      <c r="GH116" t="e">
        <f>AND('SPR BARRANQUILLA'!EF138,"AAAAAHJv570=")</f>
        <v>#VALUE!</v>
      </c>
      <c r="GI116" t="e">
        <f>AND('SPR BARRANQUILLA'!EG138,"AAAAAHJv574=")</f>
        <v>#VALUE!</v>
      </c>
      <c r="GJ116" t="e">
        <f>AND('SPR BARRANQUILLA'!EH138,"AAAAAHJv578=")</f>
        <v>#VALUE!</v>
      </c>
      <c r="GK116" t="e">
        <f>AND('SPR BARRANQUILLA'!EI138,"AAAAAHJv58A=")</f>
        <v>#VALUE!</v>
      </c>
      <c r="GL116" t="e">
        <f>AND('SPR BARRANQUILLA'!EJ138,"AAAAAHJv58E=")</f>
        <v>#VALUE!</v>
      </c>
      <c r="GM116" t="e">
        <f>AND('SPR BARRANQUILLA'!EK138,"AAAAAHJv58I=")</f>
        <v>#VALUE!</v>
      </c>
      <c r="GN116" t="e">
        <f>AND('SPR BARRANQUILLA'!EL138,"AAAAAHJv58M=")</f>
        <v>#VALUE!</v>
      </c>
      <c r="GO116" t="e">
        <f>AND('SPR BARRANQUILLA'!EM138,"AAAAAHJv58Q=")</f>
        <v>#VALUE!</v>
      </c>
      <c r="GP116" t="e">
        <f>AND('SPR BARRANQUILLA'!EN138,"AAAAAHJv58U=")</f>
        <v>#VALUE!</v>
      </c>
      <c r="GQ116" t="e">
        <f>AND('SPR BARRANQUILLA'!EO138,"AAAAAHJv58Y=")</f>
        <v>#VALUE!</v>
      </c>
      <c r="GR116" t="e">
        <f>AND('SPR BARRANQUILLA'!EP138,"AAAAAHJv58c=")</f>
        <v>#VALUE!</v>
      </c>
      <c r="GS116" t="e">
        <f>AND('SPR BARRANQUILLA'!EQ138,"AAAAAHJv58g=")</f>
        <v>#VALUE!</v>
      </c>
      <c r="GT116" t="e">
        <f>AND('SPR BARRANQUILLA'!ER138,"AAAAAHJv58k=")</f>
        <v>#VALUE!</v>
      </c>
      <c r="GU116" t="e">
        <f>AND('SPR BARRANQUILLA'!ES138,"AAAAAHJv58o=")</f>
        <v>#VALUE!</v>
      </c>
      <c r="GV116" t="e">
        <f>AND('SPR BARRANQUILLA'!ET138,"AAAAAHJv58s=")</f>
        <v>#VALUE!</v>
      </c>
      <c r="GW116" t="e">
        <f>AND('SPR BARRANQUILLA'!EU138,"AAAAAHJv58w=")</f>
        <v>#VALUE!</v>
      </c>
      <c r="GX116" t="e">
        <f>AND('SPR BARRANQUILLA'!EV138,"AAAAAHJv580=")</f>
        <v>#VALUE!</v>
      </c>
      <c r="GY116" t="e">
        <f>AND('SPR BARRANQUILLA'!EW138,"AAAAAHJv584=")</f>
        <v>#VALUE!</v>
      </c>
      <c r="GZ116" t="e">
        <f>AND('SPR BARRANQUILLA'!EX138,"AAAAAHJv588=")</f>
        <v>#VALUE!</v>
      </c>
      <c r="HA116" t="e">
        <f>AND('SPR BARRANQUILLA'!EY138,"AAAAAHJv59A=")</f>
        <v>#VALUE!</v>
      </c>
      <c r="HB116" t="e">
        <f>AND('SPR BARRANQUILLA'!EZ138,"AAAAAHJv59E=")</f>
        <v>#VALUE!</v>
      </c>
      <c r="HC116" t="e">
        <f>AND('SPR BARRANQUILLA'!FA138,"AAAAAHJv59I=")</f>
        <v>#VALUE!</v>
      </c>
      <c r="HD116" t="e">
        <f>AND('SPR BARRANQUILLA'!FB138,"AAAAAHJv59M=")</f>
        <v>#VALUE!</v>
      </c>
      <c r="HE116" t="e">
        <f>AND('SPR BARRANQUILLA'!FC138,"AAAAAHJv59Q=")</f>
        <v>#VALUE!</v>
      </c>
      <c r="HF116" t="e">
        <f>AND('SPR BARRANQUILLA'!FD138,"AAAAAHJv59U=")</f>
        <v>#VALUE!</v>
      </c>
      <c r="HG116" t="e">
        <f>AND('SPR BARRANQUILLA'!FE138,"AAAAAHJv59Y=")</f>
        <v>#VALUE!</v>
      </c>
      <c r="HH116" t="e">
        <f>AND('SPR BARRANQUILLA'!FF138,"AAAAAHJv59c=")</f>
        <v>#VALUE!</v>
      </c>
      <c r="HI116" t="e">
        <f>AND('SPR BARRANQUILLA'!FG138,"AAAAAHJv59g=")</f>
        <v>#VALUE!</v>
      </c>
      <c r="HJ116" t="e">
        <f>AND('SPR BARRANQUILLA'!FH138,"AAAAAHJv59k=")</f>
        <v>#VALUE!</v>
      </c>
      <c r="HK116" t="e">
        <f>AND('SPR BARRANQUILLA'!FI138,"AAAAAHJv59o=")</f>
        <v>#VALUE!</v>
      </c>
      <c r="HL116" t="e">
        <f>AND('SPR BARRANQUILLA'!FJ138,"AAAAAHJv59s=")</f>
        <v>#VALUE!</v>
      </c>
      <c r="HM116" t="e">
        <f>AND('SPR BARRANQUILLA'!FK138,"AAAAAHJv59w=")</f>
        <v>#VALUE!</v>
      </c>
      <c r="HN116" t="e">
        <f>AND('SPR BARRANQUILLA'!FL138,"AAAAAHJv590=")</f>
        <v>#VALUE!</v>
      </c>
      <c r="HO116" t="e">
        <f>AND('SPR BARRANQUILLA'!FM138,"AAAAAHJv594=")</f>
        <v>#VALUE!</v>
      </c>
      <c r="HP116" t="e">
        <f>AND('SPR BARRANQUILLA'!FN138,"AAAAAHJv598=")</f>
        <v>#VALUE!</v>
      </c>
      <c r="HQ116" t="e">
        <f>AND('SPR BARRANQUILLA'!FO138,"AAAAAHJv5+A=")</f>
        <v>#VALUE!</v>
      </c>
      <c r="HR116" t="e">
        <f>AND('SPR BARRANQUILLA'!FP138,"AAAAAHJv5+E=")</f>
        <v>#VALUE!</v>
      </c>
      <c r="HS116" t="e">
        <f>AND('SPR BARRANQUILLA'!FQ138,"AAAAAHJv5+I=")</f>
        <v>#VALUE!</v>
      </c>
      <c r="HT116" t="e">
        <f>AND('SPR BARRANQUILLA'!FR138,"AAAAAHJv5+M=")</f>
        <v>#VALUE!</v>
      </c>
      <c r="HU116" t="e">
        <f>AND('SPR BARRANQUILLA'!FS138,"AAAAAHJv5+Q=")</f>
        <v>#VALUE!</v>
      </c>
      <c r="HV116" t="e">
        <f>AND('SPR BARRANQUILLA'!FT138,"AAAAAHJv5+U=")</f>
        <v>#VALUE!</v>
      </c>
      <c r="HW116" t="e">
        <f>AND('SPR BARRANQUILLA'!FU138,"AAAAAHJv5+Y=")</f>
        <v>#VALUE!</v>
      </c>
      <c r="HX116" t="e">
        <f>AND('SPR BARRANQUILLA'!FV138,"AAAAAHJv5+c=")</f>
        <v>#VALUE!</v>
      </c>
      <c r="HY116" t="e">
        <f>AND('SPR BARRANQUILLA'!FW138,"AAAAAHJv5+g=")</f>
        <v>#VALUE!</v>
      </c>
      <c r="HZ116" t="e">
        <f>AND('SPR BARRANQUILLA'!FX138,"AAAAAHJv5+k=")</f>
        <v>#VALUE!</v>
      </c>
      <c r="IA116" t="e">
        <f>AND('SPR BARRANQUILLA'!FY138,"AAAAAHJv5+o=")</f>
        <v>#VALUE!</v>
      </c>
      <c r="IB116" t="e">
        <f>AND('SPR BARRANQUILLA'!FZ138,"AAAAAHJv5+s=")</f>
        <v>#VALUE!</v>
      </c>
      <c r="IC116" t="e">
        <f>AND('SPR BARRANQUILLA'!GA138,"AAAAAHJv5+w=")</f>
        <v>#VALUE!</v>
      </c>
      <c r="ID116" t="e">
        <f>AND('SPR BARRANQUILLA'!GB138,"AAAAAHJv5+0=")</f>
        <v>#VALUE!</v>
      </c>
      <c r="IE116" t="e">
        <f>AND('SPR BARRANQUILLA'!GC138,"AAAAAHJv5+4=")</f>
        <v>#VALUE!</v>
      </c>
      <c r="IF116" t="e">
        <f>AND('SPR BARRANQUILLA'!GD138,"AAAAAHJv5+8=")</f>
        <v>#VALUE!</v>
      </c>
      <c r="IG116" t="e">
        <f>AND('SPR BARRANQUILLA'!GE138,"AAAAAHJv5/A=")</f>
        <v>#VALUE!</v>
      </c>
      <c r="IH116" t="e">
        <f>AND('SPR BARRANQUILLA'!GF138,"AAAAAHJv5/E=")</f>
        <v>#VALUE!</v>
      </c>
      <c r="II116" t="e">
        <f>AND('SPR BARRANQUILLA'!GG138,"AAAAAHJv5/I=")</f>
        <v>#VALUE!</v>
      </c>
      <c r="IJ116" t="e">
        <f>AND('SPR BARRANQUILLA'!GH138,"AAAAAHJv5/M=")</f>
        <v>#VALUE!</v>
      </c>
      <c r="IK116" t="e">
        <f>AND('SPR BARRANQUILLA'!GI138,"AAAAAHJv5/Q=")</f>
        <v>#VALUE!</v>
      </c>
      <c r="IL116" t="e">
        <f>AND('SPR BARRANQUILLA'!GJ138,"AAAAAHJv5/U=")</f>
        <v>#VALUE!</v>
      </c>
      <c r="IM116" t="e">
        <f>AND('SPR BARRANQUILLA'!GK138,"AAAAAHJv5/Y=")</f>
        <v>#VALUE!</v>
      </c>
      <c r="IN116" t="e">
        <f>AND('SPR BARRANQUILLA'!GL138,"AAAAAHJv5/c=")</f>
        <v>#VALUE!</v>
      </c>
      <c r="IO116" t="e">
        <f>AND('SPR BARRANQUILLA'!GM138,"AAAAAHJv5/g=")</f>
        <v>#VALUE!</v>
      </c>
      <c r="IP116" t="e">
        <f>AND('SPR BARRANQUILLA'!GN138,"AAAAAHJv5/k=")</f>
        <v>#VALUE!</v>
      </c>
      <c r="IQ116" t="e">
        <f>AND('SPR BARRANQUILLA'!GO138,"AAAAAHJv5/o=")</f>
        <v>#VALUE!</v>
      </c>
      <c r="IR116" t="e">
        <f>AND('SPR BARRANQUILLA'!GP138,"AAAAAHJv5/s=")</f>
        <v>#VALUE!</v>
      </c>
      <c r="IS116" t="e">
        <f>AND('SPR BARRANQUILLA'!GQ138,"AAAAAHJv5/w=")</f>
        <v>#VALUE!</v>
      </c>
      <c r="IT116" t="e">
        <f>AND('SPR BARRANQUILLA'!GR138,"AAAAAHJv5/0=")</f>
        <v>#VALUE!</v>
      </c>
      <c r="IU116" t="e">
        <f>AND('SPR BARRANQUILLA'!GS138,"AAAAAHJv5/4=")</f>
        <v>#VALUE!</v>
      </c>
      <c r="IV116" t="e">
        <f>AND('SPR BARRANQUILLA'!GT138,"AAAAAHJv5/8=")</f>
        <v>#VALUE!</v>
      </c>
    </row>
    <row r="117" spans="1:256">
      <c r="A117" t="e">
        <f>AND('SPR BARRANQUILLA'!GU138,"AAAAADvX7wA=")</f>
        <v>#VALUE!</v>
      </c>
      <c r="B117" t="e">
        <f>AND('SPR BARRANQUILLA'!GV138,"AAAAADvX7wE=")</f>
        <v>#VALUE!</v>
      </c>
      <c r="C117" t="e">
        <f>AND('SPR BARRANQUILLA'!GW138,"AAAAADvX7wI=")</f>
        <v>#VALUE!</v>
      </c>
      <c r="D117" t="e">
        <f>AND('SPR BARRANQUILLA'!GX138,"AAAAADvX7wM=")</f>
        <v>#VALUE!</v>
      </c>
      <c r="E117" t="e">
        <f>AND('SPR BARRANQUILLA'!GY138,"AAAAADvX7wQ=")</f>
        <v>#VALUE!</v>
      </c>
      <c r="F117">
        <f>IF('SPR BARRANQUILLA'!139:139,"AAAAADvX7wU=",0)</f>
        <v>0</v>
      </c>
      <c r="G117" t="e">
        <f>AND('SPR BARRANQUILLA'!A139,"AAAAADvX7wY=")</f>
        <v>#VALUE!</v>
      </c>
      <c r="H117" t="e">
        <f>AND('SPR BARRANQUILLA'!B139,"AAAAADvX7wc=")</f>
        <v>#VALUE!</v>
      </c>
      <c r="I117" t="e">
        <f>AND('SPR BARRANQUILLA'!C139,"AAAAADvX7wg=")</f>
        <v>#VALUE!</v>
      </c>
      <c r="J117" t="e">
        <f>AND('SPR BARRANQUILLA'!D139,"AAAAADvX7wk=")</f>
        <v>#VALUE!</v>
      </c>
      <c r="K117" t="e">
        <f>AND('SPR BARRANQUILLA'!E139,"AAAAADvX7wo=")</f>
        <v>#VALUE!</v>
      </c>
      <c r="L117" t="e">
        <f>AND('SPR BARRANQUILLA'!F139,"AAAAADvX7ws=")</f>
        <v>#VALUE!</v>
      </c>
      <c r="M117" t="e">
        <f>AND('SPR BARRANQUILLA'!G139,"AAAAADvX7ww=")</f>
        <v>#VALUE!</v>
      </c>
      <c r="N117" t="e">
        <f>AND('SPR BARRANQUILLA'!H139,"AAAAADvX7w0=")</f>
        <v>#VALUE!</v>
      </c>
      <c r="O117" t="e">
        <f>AND('SPR BARRANQUILLA'!I139,"AAAAADvX7w4=")</f>
        <v>#VALUE!</v>
      </c>
      <c r="P117" t="e">
        <f>AND('SPR BARRANQUILLA'!J139,"AAAAADvX7w8=")</f>
        <v>#VALUE!</v>
      </c>
      <c r="Q117" t="e">
        <f>AND('SPR BARRANQUILLA'!K139,"AAAAADvX7xA=")</f>
        <v>#VALUE!</v>
      </c>
      <c r="R117" t="e">
        <f>AND('SPR BARRANQUILLA'!L139,"AAAAADvX7xE=")</f>
        <v>#VALUE!</v>
      </c>
      <c r="S117" t="e">
        <f>AND('SPR BARRANQUILLA'!M139,"AAAAADvX7xI=")</f>
        <v>#VALUE!</v>
      </c>
      <c r="T117" t="e">
        <f>AND('SPR BARRANQUILLA'!N139,"AAAAADvX7xM=")</f>
        <v>#VALUE!</v>
      </c>
      <c r="U117" t="e">
        <f>AND('SPR BARRANQUILLA'!O139,"AAAAADvX7xQ=")</f>
        <v>#VALUE!</v>
      </c>
      <c r="V117" t="e">
        <f>AND('SPR BARRANQUILLA'!P139,"AAAAADvX7xU=")</f>
        <v>#VALUE!</v>
      </c>
      <c r="W117" t="e">
        <f>AND('SPR BARRANQUILLA'!Q139,"AAAAADvX7xY=")</f>
        <v>#VALUE!</v>
      </c>
      <c r="X117" t="e">
        <f>AND('SPR BARRANQUILLA'!R139,"AAAAADvX7xc=")</f>
        <v>#VALUE!</v>
      </c>
      <c r="Y117" t="e">
        <f>AND('SPR BARRANQUILLA'!S139,"AAAAADvX7xg=")</f>
        <v>#VALUE!</v>
      </c>
      <c r="Z117" t="e">
        <f>AND('SPR BARRANQUILLA'!T139,"AAAAADvX7xk=")</f>
        <v>#VALUE!</v>
      </c>
      <c r="AA117" t="e">
        <f>AND('SPR BARRANQUILLA'!U139,"AAAAADvX7xo=")</f>
        <v>#VALUE!</v>
      </c>
      <c r="AB117" t="e">
        <f>AND('SPR BARRANQUILLA'!V139,"AAAAADvX7xs=")</f>
        <v>#VALUE!</v>
      </c>
      <c r="AC117" t="e">
        <f>AND('SPR BARRANQUILLA'!W139,"AAAAADvX7xw=")</f>
        <v>#VALUE!</v>
      </c>
      <c r="AD117" t="e">
        <f>AND('SPR BARRANQUILLA'!X139,"AAAAADvX7x0=")</f>
        <v>#VALUE!</v>
      </c>
      <c r="AE117" t="e">
        <f>AND('SPR BARRANQUILLA'!Y139,"AAAAADvX7x4=")</f>
        <v>#VALUE!</v>
      </c>
      <c r="AF117" t="e">
        <f>AND('SPR BARRANQUILLA'!Z139,"AAAAADvX7x8=")</f>
        <v>#VALUE!</v>
      </c>
      <c r="AG117" t="e">
        <f>AND('SPR BARRANQUILLA'!AA139,"AAAAADvX7yA=")</f>
        <v>#VALUE!</v>
      </c>
      <c r="AH117" t="e">
        <f>AND('SPR BARRANQUILLA'!AB139,"AAAAADvX7yE=")</f>
        <v>#VALUE!</v>
      </c>
      <c r="AI117" t="e">
        <f>AND('SPR BARRANQUILLA'!AC139,"AAAAADvX7yI=")</f>
        <v>#VALUE!</v>
      </c>
      <c r="AJ117" t="e">
        <f>AND('SPR BARRANQUILLA'!AD139,"AAAAADvX7yM=")</f>
        <v>#VALUE!</v>
      </c>
      <c r="AK117" t="e">
        <f>AND('SPR BARRANQUILLA'!AE139,"AAAAADvX7yQ=")</f>
        <v>#VALUE!</v>
      </c>
      <c r="AL117" t="e">
        <f>AND('SPR BARRANQUILLA'!AF139,"AAAAADvX7yU=")</f>
        <v>#VALUE!</v>
      </c>
      <c r="AM117" t="e">
        <f>AND('SPR BARRANQUILLA'!AG139,"AAAAADvX7yY=")</f>
        <v>#VALUE!</v>
      </c>
      <c r="AN117" t="e">
        <f>AND('SPR BARRANQUILLA'!AH139,"AAAAADvX7yc=")</f>
        <v>#VALUE!</v>
      </c>
      <c r="AO117" t="e">
        <f>AND('SPR BARRANQUILLA'!AI139,"AAAAADvX7yg=")</f>
        <v>#VALUE!</v>
      </c>
      <c r="AP117" t="e">
        <f>AND('SPR BARRANQUILLA'!AJ139,"AAAAADvX7yk=")</f>
        <v>#VALUE!</v>
      </c>
      <c r="AQ117" t="e">
        <f>AND('SPR BARRANQUILLA'!AK139,"AAAAADvX7yo=")</f>
        <v>#VALUE!</v>
      </c>
      <c r="AR117" t="e">
        <f>AND('SPR BARRANQUILLA'!AL139,"AAAAADvX7ys=")</f>
        <v>#VALUE!</v>
      </c>
      <c r="AS117" t="e">
        <f>AND('SPR BARRANQUILLA'!AM139,"AAAAADvX7yw=")</f>
        <v>#VALUE!</v>
      </c>
      <c r="AT117" t="e">
        <f>AND('SPR BARRANQUILLA'!AN139,"AAAAADvX7y0=")</f>
        <v>#VALUE!</v>
      </c>
      <c r="AU117" t="e">
        <f>AND('SPR BARRANQUILLA'!AO139,"AAAAADvX7y4=")</f>
        <v>#VALUE!</v>
      </c>
      <c r="AV117" t="e">
        <f>AND('SPR BARRANQUILLA'!AP139,"AAAAADvX7y8=")</f>
        <v>#VALUE!</v>
      </c>
      <c r="AW117" t="e">
        <f>AND('SPR BARRANQUILLA'!AQ139,"AAAAADvX7zA=")</f>
        <v>#VALUE!</v>
      </c>
      <c r="AX117" t="e">
        <f>AND('SPR BARRANQUILLA'!AR139,"AAAAADvX7zE=")</f>
        <v>#VALUE!</v>
      </c>
      <c r="AY117" t="e">
        <f>AND('SPR BARRANQUILLA'!AS139,"AAAAADvX7zI=")</f>
        <v>#VALUE!</v>
      </c>
      <c r="AZ117" t="e">
        <f>AND('SPR BARRANQUILLA'!AT139,"AAAAADvX7zM=")</f>
        <v>#VALUE!</v>
      </c>
      <c r="BA117" t="e">
        <f>AND('SPR BARRANQUILLA'!AU139,"AAAAADvX7zQ=")</f>
        <v>#VALUE!</v>
      </c>
      <c r="BB117" t="e">
        <f>AND('SPR BARRANQUILLA'!AV139,"AAAAADvX7zU=")</f>
        <v>#VALUE!</v>
      </c>
      <c r="BC117" t="e">
        <f>AND('SPR BARRANQUILLA'!AW139,"AAAAADvX7zY=")</f>
        <v>#VALUE!</v>
      </c>
      <c r="BD117" t="e">
        <f>AND('SPR BARRANQUILLA'!AX139,"AAAAADvX7zc=")</f>
        <v>#VALUE!</v>
      </c>
      <c r="BE117" t="e">
        <f>AND('SPR BARRANQUILLA'!AY139,"AAAAADvX7zg=")</f>
        <v>#VALUE!</v>
      </c>
      <c r="BF117" t="e">
        <f>AND('SPR BARRANQUILLA'!AZ139,"AAAAADvX7zk=")</f>
        <v>#VALUE!</v>
      </c>
      <c r="BG117" t="e">
        <f>AND('SPR BARRANQUILLA'!BA139,"AAAAADvX7zo=")</f>
        <v>#VALUE!</v>
      </c>
      <c r="BH117" t="e">
        <f>AND('SPR BARRANQUILLA'!BB139,"AAAAADvX7zs=")</f>
        <v>#VALUE!</v>
      </c>
      <c r="BI117" t="e">
        <f>AND('SPR BARRANQUILLA'!BC139,"AAAAADvX7zw=")</f>
        <v>#VALUE!</v>
      </c>
      <c r="BJ117" t="e">
        <f>AND('SPR BARRANQUILLA'!BD139,"AAAAADvX7z0=")</f>
        <v>#VALUE!</v>
      </c>
      <c r="BK117" t="e">
        <f>AND('SPR BARRANQUILLA'!BE139,"AAAAADvX7z4=")</f>
        <v>#VALUE!</v>
      </c>
      <c r="BL117" t="e">
        <f>AND('SPR BARRANQUILLA'!BF139,"AAAAADvX7z8=")</f>
        <v>#VALUE!</v>
      </c>
      <c r="BM117" t="e">
        <f>AND('SPR BARRANQUILLA'!BG139,"AAAAADvX70A=")</f>
        <v>#VALUE!</v>
      </c>
      <c r="BN117" t="e">
        <f>AND('SPR BARRANQUILLA'!BH139,"AAAAADvX70E=")</f>
        <v>#VALUE!</v>
      </c>
      <c r="BO117" t="e">
        <f>AND('SPR BARRANQUILLA'!BI139,"AAAAADvX70I=")</f>
        <v>#VALUE!</v>
      </c>
      <c r="BP117" t="e">
        <f>AND('SPR BARRANQUILLA'!BJ139,"AAAAADvX70M=")</f>
        <v>#VALUE!</v>
      </c>
      <c r="BQ117" t="e">
        <f>AND('SPR BARRANQUILLA'!BK139,"AAAAADvX70Q=")</f>
        <v>#VALUE!</v>
      </c>
      <c r="BR117" t="e">
        <f>AND('SPR BARRANQUILLA'!BL139,"AAAAADvX70U=")</f>
        <v>#VALUE!</v>
      </c>
      <c r="BS117" t="e">
        <f>AND('SPR BARRANQUILLA'!BM139,"AAAAADvX70Y=")</f>
        <v>#VALUE!</v>
      </c>
      <c r="BT117" t="e">
        <f>AND('SPR BARRANQUILLA'!BN139,"AAAAADvX70c=")</f>
        <v>#VALUE!</v>
      </c>
      <c r="BU117" t="e">
        <f>AND('SPR BARRANQUILLA'!BO139,"AAAAADvX70g=")</f>
        <v>#VALUE!</v>
      </c>
      <c r="BV117" t="e">
        <f>AND('SPR BARRANQUILLA'!BP139,"AAAAADvX70k=")</f>
        <v>#VALUE!</v>
      </c>
      <c r="BW117" t="e">
        <f>AND('SPR BARRANQUILLA'!BQ139,"AAAAADvX70o=")</f>
        <v>#VALUE!</v>
      </c>
      <c r="BX117" t="e">
        <f>AND('SPR BARRANQUILLA'!BR139,"AAAAADvX70s=")</f>
        <v>#VALUE!</v>
      </c>
      <c r="BY117" t="e">
        <f>AND('SPR BARRANQUILLA'!BS139,"AAAAADvX70w=")</f>
        <v>#VALUE!</v>
      </c>
      <c r="BZ117" t="e">
        <f>AND('SPR BARRANQUILLA'!BT139,"AAAAADvX700=")</f>
        <v>#VALUE!</v>
      </c>
      <c r="CA117" t="e">
        <f>AND('SPR BARRANQUILLA'!BU139,"AAAAADvX704=")</f>
        <v>#VALUE!</v>
      </c>
      <c r="CB117" t="e">
        <f>AND('SPR BARRANQUILLA'!BV139,"AAAAADvX708=")</f>
        <v>#VALUE!</v>
      </c>
      <c r="CC117" t="e">
        <f>AND('SPR BARRANQUILLA'!BW139,"AAAAADvX71A=")</f>
        <v>#VALUE!</v>
      </c>
      <c r="CD117" t="e">
        <f>AND('SPR BARRANQUILLA'!BX139,"AAAAADvX71E=")</f>
        <v>#VALUE!</v>
      </c>
      <c r="CE117" t="e">
        <f>AND('SPR BARRANQUILLA'!BY139,"AAAAADvX71I=")</f>
        <v>#VALUE!</v>
      </c>
      <c r="CF117" t="e">
        <f>AND('SPR BARRANQUILLA'!BZ139,"AAAAADvX71M=")</f>
        <v>#VALUE!</v>
      </c>
      <c r="CG117" t="e">
        <f>AND('SPR BARRANQUILLA'!CA139,"AAAAADvX71Q=")</f>
        <v>#VALUE!</v>
      </c>
      <c r="CH117" t="e">
        <f>AND('SPR BARRANQUILLA'!CB139,"AAAAADvX71U=")</f>
        <v>#VALUE!</v>
      </c>
      <c r="CI117" t="e">
        <f>AND('SPR BARRANQUILLA'!CC139,"AAAAADvX71Y=")</f>
        <v>#VALUE!</v>
      </c>
      <c r="CJ117" t="e">
        <f>AND('SPR BARRANQUILLA'!CD139,"AAAAADvX71c=")</f>
        <v>#VALUE!</v>
      </c>
      <c r="CK117" t="e">
        <f>AND('SPR BARRANQUILLA'!CE139,"AAAAADvX71g=")</f>
        <v>#VALUE!</v>
      </c>
      <c r="CL117" t="e">
        <f>AND('SPR BARRANQUILLA'!CF139,"AAAAADvX71k=")</f>
        <v>#VALUE!</v>
      </c>
      <c r="CM117" t="e">
        <f>AND('SPR BARRANQUILLA'!CG139,"AAAAADvX71o=")</f>
        <v>#VALUE!</v>
      </c>
      <c r="CN117" t="e">
        <f>AND('SPR BARRANQUILLA'!CH139,"AAAAADvX71s=")</f>
        <v>#VALUE!</v>
      </c>
      <c r="CO117" t="e">
        <f>AND('SPR BARRANQUILLA'!CI139,"AAAAADvX71w=")</f>
        <v>#VALUE!</v>
      </c>
      <c r="CP117" t="e">
        <f>AND('SPR BARRANQUILLA'!CJ139,"AAAAADvX710=")</f>
        <v>#VALUE!</v>
      </c>
      <c r="CQ117" t="e">
        <f>AND('SPR BARRANQUILLA'!CK139,"AAAAADvX714=")</f>
        <v>#VALUE!</v>
      </c>
      <c r="CR117" t="e">
        <f>AND('SPR BARRANQUILLA'!CL139,"AAAAADvX718=")</f>
        <v>#VALUE!</v>
      </c>
      <c r="CS117" t="e">
        <f>AND('SPR BARRANQUILLA'!CM139,"AAAAADvX72A=")</f>
        <v>#VALUE!</v>
      </c>
      <c r="CT117" t="e">
        <f>AND('SPR BARRANQUILLA'!CN139,"AAAAADvX72E=")</f>
        <v>#VALUE!</v>
      </c>
      <c r="CU117" t="e">
        <f>AND('SPR BARRANQUILLA'!CO139,"AAAAADvX72I=")</f>
        <v>#VALUE!</v>
      </c>
      <c r="CV117" t="e">
        <f>AND('SPR BARRANQUILLA'!CP139,"AAAAADvX72M=")</f>
        <v>#VALUE!</v>
      </c>
      <c r="CW117" t="e">
        <f>AND('SPR BARRANQUILLA'!CQ139,"AAAAADvX72Q=")</f>
        <v>#VALUE!</v>
      </c>
      <c r="CX117" t="e">
        <f>AND('SPR BARRANQUILLA'!CR139,"AAAAADvX72U=")</f>
        <v>#VALUE!</v>
      </c>
      <c r="CY117" t="e">
        <f>AND('SPR BARRANQUILLA'!CS139,"AAAAADvX72Y=")</f>
        <v>#VALUE!</v>
      </c>
      <c r="CZ117" t="e">
        <f>AND('SPR BARRANQUILLA'!CT139,"AAAAADvX72c=")</f>
        <v>#VALUE!</v>
      </c>
      <c r="DA117" t="e">
        <f>AND('SPR BARRANQUILLA'!CU139,"AAAAADvX72g=")</f>
        <v>#VALUE!</v>
      </c>
      <c r="DB117" t="e">
        <f>AND('SPR BARRANQUILLA'!CV139,"AAAAADvX72k=")</f>
        <v>#VALUE!</v>
      </c>
      <c r="DC117" t="e">
        <f>AND('SPR BARRANQUILLA'!CW139,"AAAAADvX72o=")</f>
        <v>#VALUE!</v>
      </c>
      <c r="DD117" t="e">
        <f>AND('SPR BARRANQUILLA'!CX139,"AAAAADvX72s=")</f>
        <v>#VALUE!</v>
      </c>
      <c r="DE117" t="e">
        <f>AND('SPR BARRANQUILLA'!CY139,"AAAAADvX72w=")</f>
        <v>#VALUE!</v>
      </c>
      <c r="DF117" t="e">
        <f>AND('SPR BARRANQUILLA'!CZ139,"AAAAADvX720=")</f>
        <v>#VALUE!</v>
      </c>
      <c r="DG117" t="e">
        <f>AND('SPR BARRANQUILLA'!DA139,"AAAAADvX724=")</f>
        <v>#VALUE!</v>
      </c>
      <c r="DH117" t="e">
        <f>AND('SPR BARRANQUILLA'!DB139,"AAAAADvX728=")</f>
        <v>#VALUE!</v>
      </c>
      <c r="DI117" t="e">
        <f>AND('SPR BARRANQUILLA'!DC139,"AAAAADvX73A=")</f>
        <v>#VALUE!</v>
      </c>
      <c r="DJ117" t="e">
        <f>AND('SPR BARRANQUILLA'!DD139,"AAAAADvX73E=")</f>
        <v>#VALUE!</v>
      </c>
      <c r="DK117" t="e">
        <f>AND('SPR BARRANQUILLA'!DE139,"AAAAADvX73I=")</f>
        <v>#VALUE!</v>
      </c>
      <c r="DL117" t="e">
        <f>AND('SPR BARRANQUILLA'!DF139,"AAAAADvX73M=")</f>
        <v>#VALUE!</v>
      </c>
      <c r="DM117" t="e">
        <f>AND('SPR BARRANQUILLA'!DG139,"AAAAADvX73Q=")</f>
        <v>#VALUE!</v>
      </c>
      <c r="DN117" t="e">
        <f>AND('SPR BARRANQUILLA'!DH139,"AAAAADvX73U=")</f>
        <v>#VALUE!</v>
      </c>
      <c r="DO117" t="e">
        <f>AND('SPR BARRANQUILLA'!DI139,"AAAAADvX73Y=")</f>
        <v>#VALUE!</v>
      </c>
      <c r="DP117" t="e">
        <f>AND('SPR BARRANQUILLA'!DJ139,"AAAAADvX73c=")</f>
        <v>#VALUE!</v>
      </c>
      <c r="DQ117" t="e">
        <f>AND('SPR BARRANQUILLA'!DK139,"AAAAADvX73g=")</f>
        <v>#VALUE!</v>
      </c>
      <c r="DR117" t="e">
        <f>AND('SPR BARRANQUILLA'!DL139,"AAAAADvX73k=")</f>
        <v>#VALUE!</v>
      </c>
      <c r="DS117" t="e">
        <f>AND('SPR BARRANQUILLA'!DM139,"AAAAADvX73o=")</f>
        <v>#VALUE!</v>
      </c>
      <c r="DT117" t="e">
        <f>AND('SPR BARRANQUILLA'!DN139,"AAAAADvX73s=")</f>
        <v>#VALUE!</v>
      </c>
      <c r="DU117" t="e">
        <f>AND('SPR BARRANQUILLA'!DO139,"AAAAADvX73w=")</f>
        <v>#VALUE!</v>
      </c>
      <c r="DV117" t="e">
        <f>AND('SPR BARRANQUILLA'!DP139,"AAAAADvX730=")</f>
        <v>#VALUE!</v>
      </c>
      <c r="DW117" t="e">
        <f>AND('SPR BARRANQUILLA'!DQ139,"AAAAADvX734=")</f>
        <v>#VALUE!</v>
      </c>
      <c r="DX117" t="e">
        <f>AND('SPR BARRANQUILLA'!DR139,"AAAAADvX738=")</f>
        <v>#VALUE!</v>
      </c>
      <c r="DY117" t="e">
        <f>AND('SPR BARRANQUILLA'!DS139,"AAAAADvX74A=")</f>
        <v>#VALUE!</v>
      </c>
      <c r="DZ117" t="e">
        <f>AND('SPR BARRANQUILLA'!DT139,"AAAAADvX74E=")</f>
        <v>#VALUE!</v>
      </c>
      <c r="EA117" t="e">
        <f>AND('SPR BARRANQUILLA'!DU139,"AAAAADvX74I=")</f>
        <v>#VALUE!</v>
      </c>
      <c r="EB117" t="e">
        <f>AND('SPR BARRANQUILLA'!DV139,"AAAAADvX74M=")</f>
        <v>#VALUE!</v>
      </c>
      <c r="EC117" t="e">
        <f>AND('SPR BARRANQUILLA'!DW139,"AAAAADvX74Q=")</f>
        <v>#VALUE!</v>
      </c>
      <c r="ED117" t="e">
        <f>AND('SPR BARRANQUILLA'!DX139,"AAAAADvX74U=")</f>
        <v>#VALUE!</v>
      </c>
      <c r="EE117" t="e">
        <f>AND('SPR BARRANQUILLA'!DY139,"AAAAADvX74Y=")</f>
        <v>#VALUE!</v>
      </c>
      <c r="EF117" t="e">
        <f>AND('SPR BARRANQUILLA'!DZ139,"AAAAADvX74c=")</f>
        <v>#VALUE!</v>
      </c>
      <c r="EG117" t="e">
        <f>AND('SPR BARRANQUILLA'!EA139,"AAAAADvX74g=")</f>
        <v>#VALUE!</v>
      </c>
      <c r="EH117" t="e">
        <f>AND('SPR BARRANQUILLA'!EB139,"AAAAADvX74k=")</f>
        <v>#VALUE!</v>
      </c>
      <c r="EI117" t="e">
        <f>AND('SPR BARRANQUILLA'!EC139,"AAAAADvX74o=")</f>
        <v>#VALUE!</v>
      </c>
      <c r="EJ117" t="e">
        <f>AND('SPR BARRANQUILLA'!ED139,"AAAAADvX74s=")</f>
        <v>#VALUE!</v>
      </c>
      <c r="EK117" t="e">
        <f>AND('SPR BARRANQUILLA'!EE139,"AAAAADvX74w=")</f>
        <v>#VALUE!</v>
      </c>
      <c r="EL117" t="e">
        <f>AND('SPR BARRANQUILLA'!EF139,"AAAAADvX740=")</f>
        <v>#VALUE!</v>
      </c>
      <c r="EM117" t="e">
        <f>AND('SPR BARRANQUILLA'!EG139,"AAAAADvX744=")</f>
        <v>#VALUE!</v>
      </c>
      <c r="EN117" t="e">
        <f>AND('SPR BARRANQUILLA'!EH139,"AAAAADvX748=")</f>
        <v>#VALUE!</v>
      </c>
      <c r="EO117" t="e">
        <f>AND('SPR BARRANQUILLA'!EI139,"AAAAADvX75A=")</f>
        <v>#VALUE!</v>
      </c>
      <c r="EP117" t="e">
        <f>AND('SPR BARRANQUILLA'!EJ139,"AAAAADvX75E=")</f>
        <v>#VALUE!</v>
      </c>
      <c r="EQ117" t="e">
        <f>AND('SPR BARRANQUILLA'!EK139,"AAAAADvX75I=")</f>
        <v>#VALUE!</v>
      </c>
      <c r="ER117" t="e">
        <f>AND('SPR BARRANQUILLA'!EL139,"AAAAADvX75M=")</f>
        <v>#VALUE!</v>
      </c>
      <c r="ES117" t="e">
        <f>AND('SPR BARRANQUILLA'!EM139,"AAAAADvX75Q=")</f>
        <v>#VALUE!</v>
      </c>
      <c r="ET117" t="e">
        <f>AND('SPR BARRANQUILLA'!EN139,"AAAAADvX75U=")</f>
        <v>#VALUE!</v>
      </c>
      <c r="EU117" t="e">
        <f>AND('SPR BARRANQUILLA'!EO139,"AAAAADvX75Y=")</f>
        <v>#VALUE!</v>
      </c>
      <c r="EV117" t="e">
        <f>AND('SPR BARRANQUILLA'!EP139,"AAAAADvX75c=")</f>
        <v>#VALUE!</v>
      </c>
      <c r="EW117" t="e">
        <f>AND('SPR BARRANQUILLA'!EQ139,"AAAAADvX75g=")</f>
        <v>#VALUE!</v>
      </c>
      <c r="EX117" t="e">
        <f>AND('SPR BARRANQUILLA'!ER139,"AAAAADvX75k=")</f>
        <v>#VALUE!</v>
      </c>
      <c r="EY117" t="e">
        <f>AND('SPR BARRANQUILLA'!ES139,"AAAAADvX75o=")</f>
        <v>#VALUE!</v>
      </c>
      <c r="EZ117" t="e">
        <f>AND('SPR BARRANQUILLA'!ET139,"AAAAADvX75s=")</f>
        <v>#VALUE!</v>
      </c>
      <c r="FA117" t="e">
        <f>AND('SPR BARRANQUILLA'!EU139,"AAAAADvX75w=")</f>
        <v>#VALUE!</v>
      </c>
      <c r="FB117" t="e">
        <f>AND('SPR BARRANQUILLA'!EV139,"AAAAADvX750=")</f>
        <v>#VALUE!</v>
      </c>
      <c r="FC117" t="e">
        <f>AND('SPR BARRANQUILLA'!EW139,"AAAAADvX754=")</f>
        <v>#VALUE!</v>
      </c>
      <c r="FD117" t="e">
        <f>AND('SPR BARRANQUILLA'!EX139,"AAAAADvX758=")</f>
        <v>#VALUE!</v>
      </c>
      <c r="FE117" t="e">
        <f>AND('SPR BARRANQUILLA'!EY139,"AAAAADvX76A=")</f>
        <v>#VALUE!</v>
      </c>
      <c r="FF117" t="e">
        <f>AND('SPR BARRANQUILLA'!EZ139,"AAAAADvX76E=")</f>
        <v>#VALUE!</v>
      </c>
      <c r="FG117" t="e">
        <f>AND('SPR BARRANQUILLA'!FA139,"AAAAADvX76I=")</f>
        <v>#VALUE!</v>
      </c>
      <c r="FH117" t="e">
        <f>AND('SPR BARRANQUILLA'!FB139,"AAAAADvX76M=")</f>
        <v>#VALUE!</v>
      </c>
      <c r="FI117" t="e">
        <f>AND('SPR BARRANQUILLA'!FC139,"AAAAADvX76Q=")</f>
        <v>#VALUE!</v>
      </c>
      <c r="FJ117" t="e">
        <f>AND('SPR BARRANQUILLA'!FD139,"AAAAADvX76U=")</f>
        <v>#VALUE!</v>
      </c>
      <c r="FK117" t="e">
        <f>AND('SPR BARRANQUILLA'!FE139,"AAAAADvX76Y=")</f>
        <v>#VALUE!</v>
      </c>
      <c r="FL117" t="e">
        <f>AND('SPR BARRANQUILLA'!FF139,"AAAAADvX76c=")</f>
        <v>#VALUE!</v>
      </c>
      <c r="FM117" t="e">
        <f>AND('SPR BARRANQUILLA'!FG139,"AAAAADvX76g=")</f>
        <v>#VALUE!</v>
      </c>
      <c r="FN117" t="e">
        <f>AND('SPR BARRANQUILLA'!FH139,"AAAAADvX76k=")</f>
        <v>#VALUE!</v>
      </c>
      <c r="FO117" t="e">
        <f>AND('SPR BARRANQUILLA'!FI139,"AAAAADvX76o=")</f>
        <v>#VALUE!</v>
      </c>
      <c r="FP117" t="e">
        <f>AND('SPR BARRANQUILLA'!FJ139,"AAAAADvX76s=")</f>
        <v>#VALUE!</v>
      </c>
      <c r="FQ117" t="e">
        <f>AND('SPR BARRANQUILLA'!FK139,"AAAAADvX76w=")</f>
        <v>#VALUE!</v>
      </c>
      <c r="FR117" t="e">
        <f>AND('SPR BARRANQUILLA'!FL139,"AAAAADvX760=")</f>
        <v>#VALUE!</v>
      </c>
      <c r="FS117" t="e">
        <f>AND('SPR BARRANQUILLA'!FM139,"AAAAADvX764=")</f>
        <v>#VALUE!</v>
      </c>
      <c r="FT117" t="e">
        <f>AND('SPR BARRANQUILLA'!FN139,"AAAAADvX768=")</f>
        <v>#VALUE!</v>
      </c>
      <c r="FU117" t="e">
        <f>AND('SPR BARRANQUILLA'!FO139,"AAAAADvX77A=")</f>
        <v>#VALUE!</v>
      </c>
      <c r="FV117" t="e">
        <f>AND('SPR BARRANQUILLA'!FP139,"AAAAADvX77E=")</f>
        <v>#VALUE!</v>
      </c>
      <c r="FW117" t="e">
        <f>AND('SPR BARRANQUILLA'!FQ139,"AAAAADvX77I=")</f>
        <v>#VALUE!</v>
      </c>
      <c r="FX117" t="e">
        <f>AND('SPR BARRANQUILLA'!FR139,"AAAAADvX77M=")</f>
        <v>#VALUE!</v>
      </c>
      <c r="FY117" t="e">
        <f>AND('SPR BARRANQUILLA'!FS139,"AAAAADvX77Q=")</f>
        <v>#VALUE!</v>
      </c>
      <c r="FZ117" t="e">
        <f>AND('SPR BARRANQUILLA'!FT139,"AAAAADvX77U=")</f>
        <v>#VALUE!</v>
      </c>
      <c r="GA117" t="e">
        <f>AND('SPR BARRANQUILLA'!FU139,"AAAAADvX77Y=")</f>
        <v>#VALUE!</v>
      </c>
      <c r="GB117" t="e">
        <f>AND('SPR BARRANQUILLA'!FV139,"AAAAADvX77c=")</f>
        <v>#VALUE!</v>
      </c>
      <c r="GC117" t="e">
        <f>AND('SPR BARRANQUILLA'!FW139,"AAAAADvX77g=")</f>
        <v>#VALUE!</v>
      </c>
      <c r="GD117" t="e">
        <f>AND('SPR BARRANQUILLA'!FX139,"AAAAADvX77k=")</f>
        <v>#VALUE!</v>
      </c>
      <c r="GE117" t="e">
        <f>AND('SPR BARRANQUILLA'!FY139,"AAAAADvX77o=")</f>
        <v>#VALUE!</v>
      </c>
      <c r="GF117" t="e">
        <f>AND('SPR BARRANQUILLA'!FZ139,"AAAAADvX77s=")</f>
        <v>#VALUE!</v>
      </c>
      <c r="GG117" t="e">
        <f>AND('SPR BARRANQUILLA'!GA139,"AAAAADvX77w=")</f>
        <v>#VALUE!</v>
      </c>
      <c r="GH117" t="e">
        <f>AND('SPR BARRANQUILLA'!GB139,"AAAAADvX770=")</f>
        <v>#VALUE!</v>
      </c>
      <c r="GI117" t="e">
        <f>AND('SPR BARRANQUILLA'!GC139,"AAAAADvX774=")</f>
        <v>#VALUE!</v>
      </c>
      <c r="GJ117" t="e">
        <f>AND('SPR BARRANQUILLA'!GD139,"AAAAADvX778=")</f>
        <v>#VALUE!</v>
      </c>
      <c r="GK117" t="e">
        <f>AND('SPR BARRANQUILLA'!GE139,"AAAAADvX78A=")</f>
        <v>#VALUE!</v>
      </c>
      <c r="GL117" t="e">
        <f>AND('SPR BARRANQUILLA'!GF139,"AAAAADvX78E=")</f>
        <v>#VALUE!</v>
      </c>
      <c r="GM117" t="e">
        <f>AND('SPR BARRANQUILLA'!GG139,"AAAAADvX78I=")</f>
        <v>#VALUE!</v>
      </c>
      <c r="GN117" t="e">
        <f>AND('SPR BARRANQUILLA'!GH139,"AAAAADvX78M=")</f>
        <v>#VALUE!</v>
      </c>
      <c r="GO117" t="e">
        <f>AND('SPR BARRANQUILLA'!GI139,"AAAAADvX78Q=")</f>
        <v>#VALUE!</v>
      </c>
      <c r="GP117" t="e">
        <f>AND('SPR BARRANQUILLA'!GJ139,"AAAAADvX78U=")</f>
        <v>#VALUE!</v>
      </c>
      <c r="GQ117" t="e">
        <f>AND('SPR BARRANQUILLA'!GK139,"AAAAADvX78Y=")</f>
        <v>#VALUE!</v>
      </c>
      <c r="GR117" t="e">
        <f>AND('SPR BARRANQUILLA'!GL139,"AAAAADvX78c=")</f>
        <v>#VALUE!</v>
      </c>
      <c r="GS117" t="e">
        <f>AND('SPR BARRANQUILLA'!GM139,"AAAAADvX78g=")</f>
        <v>#VALUE!</v>
      </c>
      <c r="GT117" t="e">
        <f>AND('SPR BARRANQUILLA'!GN139,"AAAAADvX78k=")</f>
        <v>#VALUE!</v>
      </c>
      <c r="GU117" t="e">
        <f>AND('SPR BARRANQUILLA'!GO139,"AAAAADvX78o=")</f>
        <v>#VALUE!</v>
      </c>
      <c r="GV117" t="e">
        <f>AND('SPR BARRANQUILLA'!GP139,"AAAAADvX78s=")</f>
        <v>#VALUE!</v>
      </c>
      <c r="GW117" t="e">
        <f>AND('SPR BARRANQUILLA'!GQ139,"AAAAADvX78w=")</f>
        <v>#VALUE!</v>
      </c>
      <c r="GX117" t="e">
        <f>AND('SPR BARRANQUILLA'!GR139,"AAAAADvX780=")</f>
        <v>#VALUE!</v>
      </c>
      <c r="GY117" t="e">
        <f>AND('SPR BARRANQUILLA'!GS139,"AAAAADvX784=")</f>
        <v>#VALUE!</v>
      </c>
      <c r="GZ117" t="e">
        <f>AND('SPR BARRANQUILLA'!GT139,"AAAAADvX788=")</f>
        <v>#VALUE!</v>
      </c>
      <c r="HA117" t="e">
        <f>AND('SPR BARRANQUILLA'!GU139,"AAAAADvX79A=")</f>
        <v>#VALUE!</v>
      </c>
      <c r="HB117" t="e">
        <f>AND('SPR BARRANQUILLA'!GV139,"AAAAADvX79E=")</f>
        <v>#VALUE!</v>
      </c>
      <c r="HC117" t="e">
        <f>AND('SPR BARRANQUILLA'!GW139,"AAAAADvX79I=")</f>
        <v>#VALUE!</v>
      </c>
      <c r="HD117" t="e">
        <f>AND('SPR BARRANQUILLA'!GX139,"AAAAADvX79M=")</f>
        <v>#VALUE!</v>
      </c>
      <c r="HE117" t="e">
        <f>AND('SPR BARRANQUILLA'!GY139,"AAAAADvX79Q=")</f>
        <v>#VALUE!</v>
      </c>
      <c r="HF117">
        <f>IF('SPR BARRANQUILLA'!140:140,"AAAAADvX79U=",0)</f>
        <v>0</v>
      </c>
      <c r="HG117" t="e">
        <f>AND('SPR BARRANQUILLA'!A140,"AAAAADvX79Y=")</f>
        <v>#VALUE!</v>
      </c>
      <c r="HH117" t="e">
        <f>AND('SPR BARRANQUILLA'!B140,"AAAAADvX79c=")</f>
        <v>#VALUE!</v>
      </c>
      <c r="HI117" t="e">
        <f>AND('SPR BARRANQUILLA'!C140,"AAAAADvX79g=")</f>
        <v>#VALUE!</v>
      </c>
      <c r="HJ117" t="e">
        <f>AND('SPR BARRANQUILLA'!D140,"AAAAADvX79k=")</f>
        <v>#VALUE!</v>
      </c>
      <c r="HK117" t="e">
        <f>AND('SPR BARRANQUILLA'!E140,"AAAAADvX79o=")</f>
        <v>#VALUE!</v>
      </c>
      <c r="HL117" t="e">
        <f>AND('SPR BARRANQUILLA'!F140,"AAAAADvX79s=")</f>
        <v>#VALUE!</v>
      </c>
      <c r="HM117" t="e">
        <f>AND('SPR BARRANQUILLA'!G140,"AAAAADvX79w=")</f>
        <v>#VALUE!</v>
      </c>
      <c r="HN117" t="e">
        <f>AND('SPR BARRANQUILLA'!H140,"AAAAADvX790=")</f>
        <v>#VALUE!</v>
      </c>
      <c r="HO117" t="e">
        <f>AND('SPR BARRANQUILLA'!I140,"AAAAADvX794=")</f>
        <v>#VALUE!</v>
      </c>
      <c r="HP117" t="e">
        <f>AND('SPR BARRANQUILLA'!J140,"AAAAADvX798=")</f>
        <v>#VALUE!</v>
      </c>
      <c r="HQ117" t="e">
        <f>AND('SPR BARRANQUILLA'!K140,"AAAAADvX7+A=")</f>
        <v>#VALUE!</v>
      </c>
      <c r="HR117" t="e">
        <f>AND('SPR BARRANQUILLA'!L140,"AAAAADvX7+E=")</f>
        <v>#VALUE!</v>
      </c>
      <c r="HS117" t="e">
        <f>AND('SPR BARRANQUILLA'!M140,"AAAAADvX7+I=")</f>
        <v>#VALUE!</v>
      </c>
      <c r="HT117" t="e">
        <f>AND('SPR BARRANQUILLA'!N140,"AAAAADvX7+M=")</f>
        <v>#VALUE!</v>
      </c>
      <c r="HU117" t="e">
        <f>AND('SPR BARRANQUILLA'!O140,"AAAAADvX7+Q=")</f>
        <v>#VALUE!</v>
      </c>
      <c r="HV117" t="e">
        <f>AND('SPR BARRANQUILLA'!P140,"AAAAADvX7+U=")</f>
        <v>#VALUE!</v>
      </c>
      <c r="HW117" t="e">
        <f>AND('SPR BARRANQUILLA'!Q140,"AAAAADvX7+Y=")</f>
        <v>#VALUE!</v>
      </c>
      <c r="HX117" t="e">
        <f>AND('SPR BARRANQUILLA'!R140,"AAAAADvX7+c=")</f>
        <v>#VALUE!</v>
      </c>
      <c r="HY117" t="e">
        <f>AND('SPR BARRANQUILLA'!S140,"AAAAADvX7+g=")</f>
        <v>#VALUE!</v>
      </c>
      <c r="HZ117" t="e">
        <f>AND('SPR BARRANQUILLA'!T140,"AAAAADvX7+k=")</f>
        <v>#VALUE!</v>
      </c>
      <c r="IA117" t="e">
        <f>AND('SPR BARRANQUILLA'!U140,"AAAAADvX7+o=")</f>
        <v>#VALUE!</v>
      </c>
      <c r="IB117" t="e">
        <f>AND('SPR BARRANQUILLA'!V140,"AAAAADvX7+s=")</f>
        <v>#VALUE!</v>
      </c>
      <c r="IC117" t="e">
        <f>AND('SPR BARRANQUILLA'!W140,"AAAAADvX7+w=")</f>
        <v>#VALUE!</v>
      </c>
      <c r="ID117" t="e">
        <f>AND('SPR BARRANQUILLA'!X140,"AAAAADvX7+0=")</f>
        <v>#VALUE!</v>
      </c>
      <c r="IE117" t="e">
        <f>AND('SPR BARRANQUILLA'!Y140,"AAAAADvX7+4=")</f>
        <v>#VALUE!</v>
      </c>
      <c r="IF117" t="e">
        <f>AND('SPR BARRANQUILLA'!Z140,"AAAAADvX7+8=")</f>
        <v>#VALUE!</v>
      </c>
      <c r="IG117" t="e">
        <f>AND('SPR BARRANQUILLA'!AA140,"AAAAADvX7/A=")</f>
        <v>#VALUE!</v>
      </c>
      <c r="IH117" t="e">
        <f>AND('SPR BARRANQUILLA'!AB140,"AAAAADvX7/E=")</f>
        <v>#VALUE!</v>
      </c>
      <c r="II117" t="e">
        <f>AND('SPR BARRANQUILLA'!AC140,"AAAAADvX7/I=")</f>
        <v>#VALUE!</v>
      </c>
      <c r="IJ117" t="e">
        <f>AND('SPR BARRANQUILLA'!AD140,"AAAAADvX7/M=")</f>
        <v>#VALUE!</v>
      </c>
      <c r="IK117" t="e">
        <f>AND('SPR BARRANQUILLA'!AE140,"AAAAADvX7/Q=")</f>
        <v>#VALUE!</v>
      </c>
      <c r="IL117" t="e">
        <f>AND('SPR BARRANQUILLA'!AF140,"AAAAADvX7/U=")</f>
        <v>#VALUE!</v>
      </c>
      <c r="IM117" t="e">
        <f>AND('SPR BARRANQUILLA'!AG140,"AAAAADvX7/Y=")</f>
        <v>#VALUE!</v>
      </c>
      <c r="IN117" t="e">
        <f>AND('SPR BARRANQUILLA'!AH140,"AAAAADvX7/c=")</f>
        <v>#VALUE!</v>
      </c>
      <c r="IO117" t="e">
        <f>AND('SPR BARRANQUILLA'!AI140,"AAAAADvX7/g=")</f>
        <v>#VALUE!</v>
      </c>
      <c r="IP117" t="e">
        <f>AND('SPR BARRANQUILLA'!AJ140,"AAAAADvX7/k=")</f>
        <v>#VALUE!</v>
      </c>
      <c r="IQ117" t="e">
        <f>AND('SPR BARRANQUILLA'!AK140,"AAAAADvX7/o=")</f>
        <v>#VALUE!</v>
      </c>
      <c r="IR117" t="e">
        <f>AND('SPR BARRANQUILLA'!AL140,"AAAAADvX7/s=")</f>
        <v>#VALUE!</v>
      </c>
      <c r="IS117" t="e">
        <f>AND('SPR BARRANQUILLA'!AM140,"AAAAADvX7/w=")</f>
        <v>#VALUE!</v>
      </c>
      <c r="IT117" t="e">
        <f>AND('SPR BARRANQUILLA'!AN140,"AAAAADvX7/0=")</f>
        <v>#VALUE!</v>
      </c>
      <c r="IU117" t="e">
        <f>AND('SPR BARRANQUILLA'!AO140,"AAAAADvX7/4=")</f>
        <v>#VALUE!</v>
      </c>
      <c r="IV117" t="e">
        <f>AND('SPR BARRANQUILLA'!AP140,"AAAAADvX7/8=")</f>
        <v>#VALUE!</v>
      </c>
    </row>
    <row r="118" spans="1:256">
      <c r="A118" t="e">
        <f>AND('SPR BARRANQUILLA'!AQ140,"AAAAAHm3/gA=")</f>
        <v>#VALUE!</v>
      </c>
      <c r="B118" t="e">
        <f>AND('SPR BARRANQUILLA'!AR140,"AAAAAHm3/gE=")</f>
        <v>#VALUE!</v>
      </c>
      <c r="C118" t="e">
        <f>AND('SPR BARRANQUILLA'!AS140,"AAAAAHm3/gI=")</f>
        <v>#VALUE!</v>
      </c>
      <c r="D118" t="e">
        <f>AND('SPR BARRANQUILLA'!AT140,"AAAAAHm3/gM=")</f>
        <v>#VALUE!</v>
      </c>
      <c r="E118" t="e">
        <f>AND('SPR BARRANQUILLA'!AU140,"AAAAAHm3/gQ=")</f>
        <v>#VALUE!</v>
      </c>
      <c r="F118" t="e">
        <f>AND('SPR BARRANQUILLA'!AV140,"AAAAAHm3/gU=")</f>
        <v>#VALUE!</v>
      </c>
      <c r="G118" t="e">
        <f>AND('SPR BARRANQUILLA'!AW140,"AAAAAHm3/gY=")</f>
        <v>#VALUE!</v>
      </c>
      <c r="H118" t="e">
        <f>AND('SPR BARRANQUILLA'!AX140,"AAAAAHm3/gc=")</f>
        <v>#VALUE!</v>
      </c>
      <c r="I118" t="e">
        <f>AND('SPR BARRANQUILLA'!AY140,"AAAAAHm3/gg=")</f>
        <v>#VALUE!</v>
      </c>
      <c r="J118" t="e">
        <f>AND('SPR BARRANQUILLA'!AZ140,"AAAAAHm3/gk=")</f>
        <v>#VALUE!</v>
      </c>
      <c r="K118" t="e">
        <f>AND('SPR BARRANQUILLA'!BA140,"AAAAAHm3/go=")</f>
        <v>#VALUE!</v>
      </c>
      <c r="L118" t="e">
        <f>AND('SPR BARRANQUILLA'!BB140,"AAAAAHm3/gs=")</f>
        <v>#VALUE!</v>
      </c>
      <c r="M118" t="e">
        <f>AND('SPR BARRANQUILLA'!BC140,"AAAAAHm3/gw=")</f>
        <v>#VALUE!</v>
      </c>
      <c r="N118" t="e">
        <f>AND('SPR BARRANQUILLA'!BD140,"AAAAAHm3/g0=")</f>
        <v>#VALUE!</v>
      </c>
      <c r="O118" t="e">
        <f>AND('SPR BARRANQUILLA'!BE140,"AAAAAHm3/g4=")</f>
        <v>#VALUE!</v>
      </c>
      <c r="P118" t="e">
        <f>AND('SPR BARRANQUILLA'!BF140,"AAAAAHm3/g8=")</f>
        <v>#VALUE!</v>
      </c>
      <c r="Q118" t="e">
        <f>AND('SPR BARRANQUILLA'!BG140,"AAAAAHm3/hA=")</f>
        <v>#VALUE!</v>
      </c>
      <c r="R118" t="e">
        <f>AND('SPR BARRANQUILLA'!BH140,"AAAAAHm3/hE=")</f>
        <v>#VALUE!</v>
      </c>
      <c r="S118" t="e">
        <f>AND('SPR BARRANQUILLA'!BI140,"AAAAAHm3/hI=")</f>
        <v>#VALUE!</v>
      </c>
      <c r="T118" t="e">
        <f>AND('SPR BARRANQUILLA'!BJ140,"AAAAAHm3/hM=")</f>
        <v>#VALUE!</v>
      </c>
      <c r="U118" t="e">
        <f>AND('SPR BARRANQUILLA'!BK140,"AAAAAHm3/hQ=")</f>
        <v>#VALUE!</v>
      </c>
      <c r="V118" t="e">
        <f>AND('SPR BARRANQUILLA'!BL140,"AAAAAHm3/hU=")</f>
        <v>#VALUE!</v>
      </c>
      <c r="W118" t="e">
        <f>AND('SPR BARRANQUILLA'!BM140,"AAAAAHm3/hY=")</f>
        <v>#VALUE!</v>
      </c>
      <c r="X118" t="e">
        <f>AND('SPR BARRANQUILLA'!BN140,"AAAAAHm3/hc=")</f>
        <v>#VALUE!</v>
      </c>
      <c r="Y118" t="e">
        <f>AND('SPR BARRANQUILLA'!BO140,"AAAAAHm3/hg=")</f>
        <v>#VALUE!</v>
      </c>
      <c r="Z118" t="e">
        <f>AND('SPR BARRANQUILLA'!BP140,"AAAAAHm3/hk=")</f>
        <v>#VALUE!</v>
      </c>
      <c r="AA118" t="e">
        <f>AND('SPR BARRANQUILLA'!BQ140,"AAAAAHm3/ho=")</f>
        <v>#VALUE!</v>
      </c>
      <c r="AB118" t="e">
        <f>AND('SPR BARRANQUILLA'!BR140,"AAAAAHm3/hs=")</f>
        <v>#VALUE!</v>
      </c>
      <c r="AC118" t="e">
        <f>AND('SPR BARRANQUILLA'!BS140,"AAAAAHm3/hw=")</f>
        <v>#VALUE!</v>
      </c>
      <c r="AD118" t="e">
        <f>AND('SPR BARRANQUILLA'!BT140,"AAAAAHm3/h0=")</f>
        <v>#VALUE!</v>
      </c>
      <c r="AE118" t="e">
        <f>AND('SPR BARRANQUILLA'!BU140,"AAAAAHm3/h4=")</f>
        <v>#VALUE!</v>
      </c>
      <c r="AF118" t="e">
        <f>AND('SPR BARRANQUILLA'!BV140,"AAAAAHm3/h8=")</f>
        <v>#VALUE!</v>
      </c>
      <c r="AG118" t="e">
        <f>AND('SPR BARRANQUILLA'!BW140,"AAAAAHm3/iA=")</f>
        <v>#VALUE!</v>
      </c>
      <c r="AH118" t="e">
        <f>AND('SPR BARRANQUILLA'!BX140,"AAAAAHm3/iE=")</f>
        <v>#VALUE!</v>
      </c>
      <c r="AI118" t="e">
        <f>AND('SPR BARRANQUILLA'!BY140,"AAAAAHm3/iI=")</f>
        <v>#VALUE!</v>
      </c>
      <c r="AJ118" t="e">
        <f>AND('SPR BARRANQUILLA'!BZ140,"AAAAAHm3/iM=")</f>
        <v>#VALUE!</v>
      </c>
      <c r="AK118" t="e">
        <f>AND('SPR BARRANQUILLA'!CA140,"AAAAAHm3/iQ=")</f>
        <v>#VALUE!</v>
      </c>
      <c r="AL118" t="e">
        <f>AND('SPR BARRANQUILLA'!CB140,"AAAAAHm3/iU=")</f>
        <v>#VALUE!</v>
      </c>
      <c r="AM118" t="e">
        <f>AND('SPR BARRANQUILLA'!CC140,"AAAAAHm3/iY=")</f>
        <v>#VALUE!</v>
      </c>
      <c r="AN118" t="e">
        <f>AND('SPR BARRANQUILLA'!CD140,"AAAAAHm3/ic=")</f>
        <v>#VALUE!</v>
      </c>
      <c r="AO118" t="e">
        <f>AND('SPR BARRANQUILLA'!CE140,"AAAAAHm3/ig=")</f>
        <v>#VALUE!</v>
      </c>
      <c r="AP118" t="e">
        <f>AND('SPR BARRANQUILLA'!CF140,"AAAAAHm3/ik=")</f>
        <v>#VALUE!</v>
      </c>
      <c r="AQ118" t="e">
        <f>AND('SPR BARRANQUILLA'!CG140,"AAAAAHm3/io=")</f>
        <v>#VALUE!</v>
      </c>
      <c r="AR118" t="e">
        <f>AND('SPR BARRANQUILLA'!CH140,"AAAAAHm3/is=")</f>
        <v>#VALUE!</v>
      </c>
      <c r="AS118" t="e">
        <f>AND('SPR BARRANQUILLA'!CI140,"AAAAAHm3/iw=")</f>
        <v>#VALUE!</v>
      </c>
      <c r="AT118" t="e">
        <f>AND('SPR BARRANQUILLA'!CJ140,"AAAAAHm3/i0=")</f>
        <v>#VALUE!</v>
      </c>
      <c r="AU118" t="e">
        <f>AND('SPR BARRANQUILLA'!CK140,"AAAAAHm3/i4=")</f>
        <v>#VALUE!</v>
      </c>
      <c r="AV118" t="e">
        <f>AND('SPR BARRANQUILLA'!CL140,"AAAAAHm3/i8=")</f>
        <v>#VALUE!</v>
      </c>
      <c r="AW118" t="e">
        <f>AND('SPR BARRANQUILLA'!CM140,"AAAAAHm3/jA=")</f>
        <v>#VALUE!</v>
      </c>
      <c r="AX118" t="e">
        <f>AND('SPR BARRANQUILLA'!CN140,"AAAAAHm3/jE=")</f>
        <v>#VALUE!</v>
      </c>
      <c r="AY118" t="e">
        <f>AND('SPR BARRANQUILLA'!CO140,"AAAAAHm3/jI=")</f>
        <v>#VALUE!</v>
      </c>
      <c r="AZ118" t="e">
        <f>AND('SPR BARRANQUILLA'!CP140,"AAAAAHm3/jM=")</f>
        <v>#VALUE!</v>
      </c>
      <c r="BA118" t="e">
        <f>AND('SPR BARRANQUILLA'!CQ140,"AAAAAHm3/jQ=")</f>
        <v>#VALUE!</v>
      </c>
      <c r="BB118" t="e">
        <f>AND('SPR BARRANQUILLA'!CR140,"AAAAAHm3/jU=")</f>
        <v>#VALUE!</v>
      </c>
      <c r="BC118" t="e">
        <f>AND('SPR BARRANQUILLA'!CS140,"AAAAAHm3/jY=")</f>
        <v>#VALUE!</v>
      </c>
      <c r="BD118" t="e">
        <f>AND('SPR BARRANQUILLA'!CT140,"AAAAAHm3/jc=")</f>
        <v>#VALUE!</v>
      </c>
      <c r="BE118" t="e">
        <f>AND('SPR BARRANQUILLA'!CU140,"AAAAAHm3/jg=")</f>
        <v>#VALUE!</v>
      </c>
      <c r="BF118" t="e">
        <f>AND('SPR BARRANQUILLA'!CV140,"AAAAAHm3/jk=")</f>
        <v>#VALUE!</v>
      </c>
      <c r="BG118" t="e">
        <f>AND('SPR BARRANQUILLA'!CW140,"AAAAAHm3/jo=")</f>
        <v>#VALUE!</v>
      </c>
      <c r="BH118" t="e">
        <f>AND('SPR BARRANQUILLA'!CX140,"AAAAAHm3/js=")</f>
        <v>#VALUE!</v>
      </c>
      <c r="BI118" t="e">
        <f>AND('SPR BARRANQUILLA'!CY140,"AAAAAHm3/jw=")</f>
        <v>#VALUE!</v>
      </c>
      <c r="BJ118" t="e">
        <f>AND('SPR BARRANQUILLA'!CZ140,"AAAAAHm3/j0=")</f>
        <v>#VALUE!</v>
      </c>
      <c r="BK118" t="e">
        <f>AND('SPR BARRANQUILLA'!DA140,"AAAAAHm3/j4=")</f>
        <v>#VALUE!</v>
      </c>
      <c r="BL118" t="e">
        <f>AND('SPR BARRANQUILLA'!DB140,"AAAAAHm3/j8=")</f>
        <v>#VALUE!</v>
      </c>
      <c r="BM118" t="e">
        <f>AND('SPR BARRANQUILLA'!DC140,"AAAAAHm3/kA=")</f>
        <v>#VALUE!</v>
      </c>
      <c r="BN118" t="e">
        <f>AND('SPR BARRANQUILLA'!DD140,"AAAAAHm3/kE=")</f>
        <v>#VALUE!</v>
      </c>
      <c r="BO118" t="e">
        <f>AND('SPR BARRANQUILLA'!DE140,"AAAAAHm3/kI=")</f>
        <v>#VALUE!</v>
      </c>
      <c r="BP118" t="e">
        <f>AND('SPR BARRANQUILLA'!DF140,"AAAAAHm3/kM=")</f>
        <v>#VALUE!</v>
      </c>
      <c r="BQ118" t="e">
        <f>AND('SPR BARRANQUILLA'!DG140,"AAAAAHm3/kQ=")</f>
        <v>#VALUE!</v>
      </c>
      <c r="BR118" t="e">
        <f>AND('SPR BARRANQUILLA'!DH140,"AAAAAHm3/kU=")</f>
        <v>#VALUE!</v>
      </c>
      <c r="BS118" t="e">
        <f>AND('SPR BARRANQUILLA'!DI140,"AAAAAHm3/kY=")</f>
        <v>#VALUE!</v>
      </c>
      <c r="BT118" t="e">
        <f>AND('SPR BARRANQUILLA'!DJ140,"AAAAAHm3/kc=")</f>
        <v>#VALUE!</v>
      </c>
      <c r="BU118" t="e">
        <f>AND('SPR BARRANQUILLA'!DK140,"AAAAAHm3/kg=")</f>
        <v>#VALUE!</v>
      </c>
      <c r="BV118" t="e">
        <f>AND('SPR BARRANQUILLA'!DL140,"AAAAAHm3/kk=")</f>
        <v>#VALUE!</v>
      </c>
      <c r="BW118" t="e">
        <f>AND('SPR BARRANQUILLA'!DM140,"AAAAAHm3/ko=")</f>
        <v>#VALUE!</v>
      </c>
      <c r="BX118" t="e">
        <f>AND('SPR BARRANQUILLA'!DN140,"AAAAAHm3/ks=")</f>
        <v>#VALUE!</v>
      </c>
      <c r="BY118" t="e">
        <f>AND('SPR BARRANQUILLA'!DO140,"AAAAAHm3/kw=")</f>
        <v>#VALUE!</v>
      </c>
      <c r="BZ118" t="e">
        <f>AND('SPR BARRANQUILLA'!DP140,"AAAAAHm3/k0=")</f>
        <v>#VALUE!</v>
      </c>
      <c r="CA118" t="e">
        <f>AND('SPR BARRANQUILLA'!DQ140,"AAAAAHm3/k4=")</f>
        <v>#VALUE!</v>
      </c>
      <c r="CB118" t="e">
        <f>AND('SPR BARRANQUILLA'!DR140,"AAAAAHm3/k8=")</f>
        <v>#VALUE!</v>
      </c>
      <c r="CC118" t="e">
        <f>AND('SPR BARRANQUILLA'!DS140,"AAAAAHm3/lA=")</f>
        <v>#VALUE!</v>
      </c>
      <c r="CD118" t="e">
        <f>AND('SPR BARRANQUILLA'!DT140,"AAAAAHm3/lE=")</f>
        <v>#VALUE!</v>
      </c>
      <c r="CE118" t="e">
        <f>AND('SPR BARRANQUILLA'!DU140,"AAAAAHm3/lI=")</f>
        <v>#VALUE!</v>
      </c>
      <c r="CF118" t="e">
        <f>AND('SPR BARRANQUILLA'!DV140,"AAAAAHm3/lM=")</f>
        <v>#VALUE!</v>
      </c>
      <c r="CG118" t="e">
        <f>AND('SPR BARRANQUILLA'!DW140,"AAAAAHm3/lQ=")</f>
        <v>#VALUE!</v>
      </c>
      <c r="CH118" t="e">
        <f>AND('SPR BARRANQUILLA'!DX140,"AAAAAHm3/lU=")</f>
        <v>#VALUE!</v>
      </c>
      <c r="CI118" t="e">
        <f>AND('SPR BARRANQUILLA'!DY140,"AAAAAHm3/lY=")</f>
        <v>#VALUE!</v>
      </c>
      <c r="CJ118" t="e">
        <f>AND('SPR BARRANQUILLA'!DZ140,"AAAAAHm3/lc=")</f>
        <v>#VALUE!</v>
      </c>
      <c r="CK118" t="e">
        <f>AND('SPR BARRANQUILLA'!EA140,"AAAAAHm3/lg=")</f>
        <v>#VALUE!</v>
      </c>
      <c r="CL118" t="e">
        <f>AND('SPR BARRANQUILLA'!EB140,"AAAAAHm3/lk=")</f>
        <v>#VALUE!</v>
      </c>
      <c r="CM118" t="e">
        <f>AND('SPR BARRANQUILLA'!EC140,"AAAAAHm3/lo=")</f>
        <v>#VALUE!</v>
      </c>
      <c r="CN118" t="e">
        <f>AND('SPR BARRANQUILLA'!ED140,"AAAAAHm3/ls=")</f>
        <v>#VALUE!</v>
      </c>
      <c r="CO118" t="e">
        <f>AND('SPR BARRANQUILLA'!EE140,"AAAAAHm3/lw=")</f>
        <v>#VALUE!</v>
      </c>
      <c r="CP118" t="e">
        <f>AND('SPR BARRANQUILLA'!EF140,"AAAAAHm3/l0=")</f>
        <v>#VALUE!</v>
      </c>
      <c r="CQ118" t="e">
        <f>AND('SPR BARRANQUILLA'!EG140,"AAAAAHm3/l4=")</f>
        <v>#VALUE!</v>
      </c>
      <c r="CR118" t="e">
        <f>AND('SPR BARRANQUILLA'!EH140,"AAAAAHm3/l8=")</f>
        <v>#VALUE!</v>
      </c>
      <c r="CS118" t="e">
        <f>AND('SPR BARRANQUILLA'!EI140,"AAAAAHm3/mA=")</f>
        <v>#VALUE!</v>
      </c>
      <c r="CT118" t="e">
        <f>AND('SPR BARRANQUILLA'!EJ140,"AAAAAHm3/mE=")</f>
        <v>#VALUE!</v>
      </c>
      <c r="CU118" t="e">
        <f>AND('SPR BARRANQUILLA'!EK140,"AAAAAHm3/mI=")</f>
        <v>#VALUE!</v>
      </c>
      <c r="CV118" t="e">
        <f>AND('SPR BARRANQUILLA'!EL140,"AAAAAHm3/mM=")</f>
        <v>#VALUE!</v>
      </c>
      <c r="CW118" t="e">
        <f>AND('SPR BARRANQUILLA'!EM140,"AAAAAHm3/mQ=")</f>
        <v>#VALUE!</v>
      </c>
      <c r="CX118" t="e">
        <f>AND('SPR BARRANQUILLA'!EN140,"AAAAAHm3/mU=")</f>
        <v>#VALUE!</v>
      </c>
      <c r="CY118" t="e">
        <f>AND('SPR BARRANQUILLA'!EO140,"AAAAAHm3/mY=")</f>
        <v>#VALUE!</v>
      </c>
      <c r="CZ118" t="e">
        <f>AND('SPR BARRANQUILLA'!EP140,"AAAAAHm3/mc=")</f>
        <v>#VALUE!</v>
      </c>
      <c r="DA118" t="e">
        <f>AND('SPR BARRANQUILLA'!EQ140,"AAAAAHm3/mg=")</f>
        <v>#VALUE!</v>
      </c>
      <c r="DB118" t="e">
        <f>AND('SPR BARRANQUILLA'!ER140,"AAAAAHm3/mk=")</f>
        <v>#VALUE!</v>
      </c>
      <c r="DC118" t="e">
        <f>AND('SPR BARRANQUILLA'!ES140,"AAAAAHm3/mo=")</f>
        <v>#VALUE!</v>
      </c>
      <c r="DD118" t="e">
        <f>AND('SPR BARRANQUILLA'!ET140,"AAAAAHm3/ms=")</f>
        <v>#VALUE!</v>
      </c>
      <c r="DE118" t="e">
        <f>AND('SPR BARRANQUILLA'!EU140,"AAAAAHm3/mw=")</f>
        <v>#VALUE!</v>
      </c>
      <c r="DF118" t="e">
        <f>AND('SPR BARRANQUILLA'!EV140,"AAAAAHm3/m0=")</f>
        <v>#VALUE!</v>
      </c>
      <c r="DG118" t="e">
        <f>AND('SPR BARRANQUILLA'!EW140,"AAAAAHm3/m4=")</f>
        <v>#VALUE!</v>
      </c>
      <c r="DH118" t="e">
        <f>AND('SPR BARRANQUILLA'!EX140,"AAAAAHm3/m8=")</f>
        <v>#VALUE!</v>
      </c>
      <c r="DI118" t="e">
        <f>AND('SPR BARRANQUILLA'!EY140,"AAAAAHm3/nA=")</f>
        <v>#VALUE!</v>
      </c>
      <c r="DJ118" t="e">
        <f>AND('SPR BARRANQUILLA'!EZ140,"AAAAAHm3/nE=")</f>
        <v>#VALUE!</v>
      </c>
      <c r="DK118" t="e">
        <f>AND('SPR BARRANQUILLA'!FA140,"AAAAAHm3/nI=")</f>
        <v>#VALUE!</v>
      </c>
      <c r="DL118" t="e">
        <f>AND('SPR BARRANQUILLA'!FB140,"AAAAAHm3/nM=")</f>
        <v>#VALUE!</v>
      </c>
      <c r="DM118" t="e">
        <f>AND('SPR BARRANQUILLA'!FC140,"AAAAAHm3/nQ=")</f>
        <v>#VALUE!</v>
      </c>
      <c r="DN118" t="e">
        <f>AND('SPR BARRANQUILLA'!FD140,"AAAAAHm3/nU=")</f>
        <v>#VALUE!</v>
      </c>
      <c r="DO118" t="e">
        <f>AND('SPR BARRANQUILLA'!FE140,"AAAAAHm3/nY=")</f>
        <v>#VALUE!</v>
      </c>
      <c r="DP118" t="e">
        <f>AND('SPR BARRANQUILLA'!FF140,"AAAAAHm3/nc=")</f>
        <v>#VALUE!</v>
      </c>
      <c r="DQ118" t="e">
        <f>AND('SPR BARRANQUILLA'!FG140,"AAAAAHm3/ng=")</f>
        <v>#VALUE!</v>
      </c>
      <c r="DR118" t="e">
        <f>AND('SPR BARRANQUILLA'!FH140,"AAAAAHm3/nk=")</f>
        <v>#VALUE!</v>
      </c>
      <c r="DS118" t="e">
        <f>AND('SPR BARRANQUILLA'!FI140,"AAAAAHm3/no=")</f>
        <v>#VALUE!</v>
      </c>
      <c r="DT118" t="e">
        <f>AND('SPR BARRANQUILLA'!FJ140,"AAAAAHm3/ns=")</f>
        <v>#VALUE!</v>
      </c>
      <c r="DU118" t="e">
        <f>AND('SPR BARRANQUILLA'!FK140,"AAAAAHm3/nw=")</f>
        <v>#VALUE!</v>
      </c>
      <c r="DV118" t="e">
        <f>AND('SPR BARRANQUILLA'!FL140,"AAAAAHm3/n0=")</f>
        <v>#VALUE!</v>
      </c>
      <c r="DW118" t="e">
        <f>AND('SPR BARRANQUILLA'!FM140,"AAAAAHm3/n4=")</f>
        <v>#VALUE!</v>
      </c>
      <c r="DX118" t="e">
        <f>AND('SPR BARRANQUILLA'!FN140,"AAAAAHm3/n8=")</f>
        <v>#VALUE!</v>
      </c>
      <c r="DY118" t="e">
        <f>AND('SPR BARRANQUILLA'!FO140,"AAAAAHm3/oA=")</f>
        <v>#VALUE!</v>
      </c>
      <c r="DZ118" t="e">
        <f>AND('SPR BARRANQUILLA'!FP140,"AAAAAHm3/oE=")</f>
        <v>#VALUE!</v>
      </c>
      <c r="EA118" t="e">
        <f>AND('SPR BARRANQUILLA'!FQ140,"AAAAAHm3/oI=")</f>
        <v>#VALUE!</v>
      </c>
      <c r="EB118" t="e">
        <f>AND('SPR BARRANQUILLA'!FR140,"AAAAAHm3/oM=")</f>
        <v>#VALUE!</v>
      </c>
      <c r="EC118" t="e">
        <f>AND('SPR BARRANQUILLA'!FS140,"AAAAAHm3/oQ=")</f>
        <v>#VALUE!</v>
      </c>
      <c r="ED118" t="e">
        <f>AND('SPR BARRANQUILLA'!FT140,"AAAAAHm3/oU=")</f>
        <v>#VALUE!</v>
      </c>
      <c r="EE118" t="e">
        <f>AND('SPR BARRANQUILLA'!FU140,"AAAAAHm3/oY=")</f>
        <v>#VALUE!</v>
      </c>
      <c r="EF118" t="e">
        <f>AND('SPR BARRANQUILLA'!FV140,"AAAAAHm3/oc=")</f>
        <v>#VALUE!</v>
      </c>
      <c r="EG118" t="e">
        <f>AND('SPR BARRANQUILLA'!FW140,"AAAAAHm3/og=")</f>
        <v>#VALUE!</v>
      </c>
      <c r="EH118" t="e">
        <f>AND('SPR BARRANQUILLA'!FX140,"AAAAAHm3/ok=")</f>
        <v>#VALUE!</v>
      </c>
      <c r="EI118" t="e">
        <f>AND('SPR BARRANQUILLA'!FY140,"AAAAAHm3/oo=")</f>
        <v>#VALUE!</v>
      </c>
      <c r="EJ118" t="e">
        <f>AND('SPR BARRANQUILLA'!FZ140,"AAAAAHm3/os=")</f>
        <v>#VALUE!</v>
      </c>
      <c r="EK118" t="e">
        <f>AND('SPR BARRANQUILLA'!GA140,"AAAAAHm3/ow=")</f>
        <v>#VALUE!</v>
      </c>
      <c r="EL118" t="e">
        <f>AND('SPR BARRANQUILLA'!GB140,"AAAAAHm3/o0=")</f>
        <v>#VALUE!</v>
      </c>
      <c r="EM118" t="e">
        <f>AND('SPR BARRANQUILLA'!GC140,"AAAAAHm3/o4=")</f>
        <v>#VALUE!</v>
      </c>
      <c r="EN118" t="e">
        <f>AND('SPR BARRANQUILLA'!GD140,"AAAAAHm3/o8=")</f>
        <v>#VALUE!</v>
      </c>
      <c r="EO118" t="e">
        <f>AND('SPR BARRANQUILLA'!GE140,"AAAAAHm3/pA=")</f>
        <v>#VALUE!</v>
      </c>
      <c r="EP118" t="e">
        <f>AND('SPR BARRANQUILLA'!GF140,"AAAAAHm3/pE=")</f>
        <v>#VALUE!</v>
      </c>
      <c r="EQ118" t="e">
        <f>AND('SPR BARRANQUILLA'!GG140,"AAAAAHm3/pI=")</f>
        <v>#VALUE!</v>
      </c>
      <c r="ER118" t="e">
        <f>AND('SPR BARRANQUILLA'!GH140,"AAAAAHm3/pM=")</f>
        <v>#VALUE!</v>
      </c>
      <c r="ES118" t="e">
        <f>AND('SPR BARRANQUILLA'!GI140,"AAAAAHm3/pQ=")</f>
        <v>#VALUE!</v>
      </c>
      <c r="ET118" t="e">
        <f>AND('SPR BARRANQUILLA'!GJ140,"AAAAAHm3/pU=")</f>
        <v>#VALUE!</v>
      </c>
      <c r="EU118" t="e">
        <f>AND('SPR BARRANQUILLA'!GK140,"AAAAAHm3/pY=")</f>
        <v>#VALUE!</v>
      </c>
      <c r="EV118" t="e">
        <f>AND('SPR BARRANQUILLA'!GL140,"AAAAAHm3/pc=")</f>
        <v>#VALUE!</v>
      </c>
      <c r="EW118" t="e">
        <f>AND('SPR BARRANQUILLA'!GM140,"AAAAAHm3/pg=")</f>
        <v>#VALUE!</v>
      </c>
      <c r="EX118" t="e">
        <f>AND('SPR BARRANQUILLA'!GN140,"AAAAAHm3/pk=")</f>
        <v>#VALUE!</v>
      </c>
      <c r="EY118" t="e">
        <f>AND('SPR BARRANQUILLA'!GO140,"AAAAAHm3/po=")</f>
        <v>#VALUE!</v>
      </c>
      <c r="EZ118" t="e">
        <f>AND('SPR BARRANQUILLA'!GP140,"AAAAAHm3/ps=")</f>
        <v>#VALUE!</v>
      </c>
      <c r="FA118" t="e">
        <f>AND('SPR BARRANQUILLA'!GQ140,"AAAAAHm3/pw=")</f>
        <v>#VALUE!</v>
      </c>
      <c r="FB118" t="e">
        <f>AND('SPR BARRANQUILLA'!GR140,"AAAAAHm3/p0=")</f>
        <v>#VALUE!</v>
      </c>
      <c r="FC118" t="e">
        <f>AND('SPR BARRANQUILLA'!GS140,"AAAAAHm3/p4=")</f>
        <v>#VALUE!</v>
      </c>
      <c r="FD118" t="e">
        <f>AND('SPR BARRANQUILLA'!GT140,"AAAAAHm3/p8=")</f>
        <v>#VALUE!</v>
      </c>
      <c r="FE118" t="e">
        <f>AND('SPR BARRANQUILLA'!GU140,"AAAAAHm3/qA=")</f>
        <v>#VALUE!</v>
      </c>
      <c r="FF118" t="e">
        <f>AND('SPR BARRANQUILLA'!GV140,"AAAAAHm3/qE=")</f>
        <v>#VALUE!</v>
      </c>
      <c r="FG118" t="e">
        <f>AND('SPR BARRANQUILLA'!GW140,"AAAAAHm3/qI=")</f>
        <v>#VALUE!</v>
      </c>
      <c r="FH118" t="e">
        <f>AND('SPR BARRANQUILLA'!GX140,"AAAAAHm3/qM=")</f>
        <v>#VALUE!</v>
      </c>
      <c r="FI118" t="e">
        <f>AND('SPR BARRANQUILLA'!GY140,"AAAAAHm3/qQ=")</f>
        <v>#VALUE!</v>
      </c>
      <c r="FJ118">
        <f>IF('SPR BARRANQUILLA'!141:141,"AAAAAHm3/qU=",0)</f>
        <v>0</v>
      </c>
      <c r="FK118" t="e">
        <f>AND('SPR BARRANQUILLA'!A141,"AAAAAHm3/qY=")</f>
        <v>#VALUE!</v>
      </c>
      <c r="FL118" t="e">
        <f>AND('SPR BARRANQUILLA'!B141,"AAAAAHm3/qc=")</f>
        <v>#VALUE!</v>
      </c>
      <c r="FM118" t="e">
        <f>AND('SPR BARRANQUILLA'!C141,"AAAAAHm3/qg=")</f>
        <v>#VALUE!</v>
      </c>
      <c r="FN118" t="e">
        <f>AND('SPR BARRANQUILLA'!D141,"AAAAAHm3/qk=")</f>
        <v>#VALUE!</v>
      </c>
      <c r="FO118" t="e">
        <f>AND('SPR BARRANQUILLA'!E141,"AAAAAHm3/qo=")</f>
        <v>#VALUE!</v>
      </c>
      <c r="FP118" t="e">
        <f>AND('SPR BARRANQUILLA'!F141,"AAAAAHm3/qs=")</f>
        <v>#VALUE!</v>
      </c>
      <c r="FQ118" t="e">
        <f>AND('SPR BARRANQUILLA'!G141,"AAAAAHm3/qw=")</f>
        <v>#VALUE!</v>
      </c>
      <c r="FR118" t="e">
        <f>AND('SPR BARRANQUILLA'!H141,"AAAAAHm3/q0=")</f>
        <v>#VALUE!</v>
      </c>
      <c r="FS118" t="e">
        <f>AND('SPR BARRANQUILLA'!I141,"AAAAAHm3/q4=")</f>
        <v>#VALUE!</v>
      </c>
      <c r="FT118" t="e">
        <f>AND('SPR BARRANQUILLA'!J141,"AAAAAHm3/q8=")</f>
        <v>#VALUE!</v>
      </c>
      <c r="FU118" t="e">
        <f>AND('SPR BARRANQUILLA'!K141,"AAAAAHm3/rA=")</f>
        <v>#VALUE!</v>
      </c>
      <c r="FV118" t="e">
        <f>AND('SPR BARRANQUILLA'!L141,"AAAAAHm3/rE=")</f>
        <v>#VALUE!</v>
      </c>
      <c r="FW118" t="e">
        <f>AND('SPR BARRANQUILLA'!M141,"AAAAAHm3/rI=")</f>
        <v>#VALUE!</v>
      </c>
      <c r="FX118" t="e">
        <f>AND('SPR BARRANQUILLA'!N141,"AAAAAHm3/rM=")</f>
        <v>#VALUE!</v>
      </c>
      <c r="FY118" t="e">
        <f>AND('SPR BARRANQUILLA'!O141,"AAAAAHm3/rQ=")</f>
        <v>#VALUE!</v>
      </c>
      <c r="FZ118" t="e">
        <f>AND('SPR BARRANQUILLA'!P141,"AAAAAHm3/rU=")</f>
        <v>#VALUE!</v>
      </c>
      <c r="GA118" t="e">
        <f>AND('SPR BARRANQUILLA'!Q141,"AAAAAHm3/rY=")</f>
        <v>#VALUE!</v>
      </c>
      <c r="GB118" t="e">
        <f>AND('SPR BARRANQUILLA'!R141,"AAAAAHm3/rc=")</f>
        <v>#VALUE!</v>
      </c>
      <c r="GC118" t="e">
        <f>AND('SPR BARRANQUILLA'!S141,"AAAAAHm3/rg=")</f>
        <v>#VALUE!</v>
      </c>
      <c r="GD118" t="e">
        <f>AND('SPR BARRANQUILLA'!T141,"AAAAAHm3/rk=")</f>
        <v>#VALUE!</v>
      </c>
      <c r="GE118" t="e">
        <f>AND('SPR BARRANQUILLA'!U141,"AAAAAHm3/ro=")</f>
        <v>#VALUE!</v>
      </c>
      <c r="GF118" t="e">
        <f>AND('SPR BARRANQUILLA'!V141,"AAAAAHm3/rs=")</f>
        <v>#VALUE!</v>
      </c>
      <c r="GG118" t="e">
        <f>AND('SPR BARRANQUILLA'!W141,"AAAAAHm3/rw=")</f>
        <v>#VALUE!</v>
      </c>
      <c r="GH118" t="e">
        <f>AND('SPR BARRANQUILLA'!X141,"AAAAAHm3/r0=")</f>
        <v>#VALUE!</v>
      </c>
      <c r="GI118" t="e">
        <f>AND('SPR BARRANQUILLA'!Y141,"AAAAAHm3/r4=")</f>
        <v>#VALUE!</v>
      </c>
      <c r="GJ118" t="e">
        <f>AND('SPR BARRANQUILLA'!Z141,"AAAAAHm3/r8=")</f>
        <v>#VALUE!</v>
      </c>
      <c r="GK118" t="e">
        <f>AND('SPR BARRANQUILLA'!AA141,"AAAAAHm3/sA=")</f>
        <v>#VALUE!</v>
      </c>
      <c r="GL118" t="e">
        <f>AND('SPR BARRANQUILLA'!AB141,"AAAAAHm3/sE=")</f>
        <v>#VALUE!</v>
      </c>
      <c r="GM118" t="e">
        <f>AND('SPR BARRANQUILLA'!AC141,"AAAAAHm3/sI=")</f>
        <v>#VALUE!</v>
      </c>
      <c r="GN118" t="e">
        <f>AND('SPR BARRANQUILLA'!AD141,"AAAAAHm3/sM=")</f>
        <v>#VALUE!</v>
      </c>
      <c r="GO118" t="e">
        <f>AND('SPR BARRANQUILLA'!AE141,"AAAAAHm3/sQ=")</f>
        <v>#VALUE!</v>
      </c>
      <c r="GP118" t="e">
        <f>AND('SPR BARRANQUILLA'!AF141,"AAAAAHm3/sU=")</f>
        <v>#VALUE!</v>
      </c>
      <c r="GQ118" t="e">
        <f>AND('SPR BARRANQUILLA'!AG141,"AAAAAHm3/sY=")</f>
        <v>#VALUE!</v>
      </c>
      <c r="GR118" t="e">
        <f>AND('SPR BARRANQUILLA'!AH141,"AAAAAHm3/sc=")</f>
        <v>#VALUE!</v>
      </c>
      <c r="GS118" t="e">
        <f>AND('SPR BARRANQUILLA'!AI141,"AAAAAHm3/sg=")</f>
        <v>#VALUE!</v>
      </c>
      <c r="GT118" t="e">
        <f>AND('SPR BARRANQUILLA'!AJ141,"AAAAAHm3/sk=")</f>
        <v>#VALUE!</v>
      </c>
      <c r="GU118" t="e">
        <f>AND('SPR BARRANQUILLA'!AK141,"AAAAAHm3/so=")</f>
        <v>#VALUE!</v>
      </c>
      <c r="GV118" t="e">
        <f>AND('SPR BARRANQUILLA'!AL141,"AAAAAHm3/ss=")</f>
        <v>#VALUE!</v>
      </c>
      <c r="GW118" t="e">
        <f>AND('SPR BARRANQUILLA'!AM141,"AAAAAHm3/sw=")</f>
        <v>#VALUE!</v>
      </c>
      <c r="GX118" t="e">
        <f>AND('SPR BARRANQUILLA'!AN141,"AAAAAHm3/s0=")</f>
        <v>#VALUE!</v>
      </c>
      <c r="GY118" t="e">
        <f>AND('SPR BARRANQUILLA'!AO141,"AAAAAHm3/s4=")</f>
        <v>#VALUE!</v>
      </c>
      <c r="GZ118" t="e">
        <f>AND('SPR BARRANQUILLA'!AP141,"AAAAAHm3/s8=")</f>
        <v>#VALUE!</v>
      </c>
      <c r="HA118" t="e">
        <f>AND('SPR BARRANQUILLA'!AQ141,"AAAAAHm3/tA=")</f>
        <v>#VALUE!</v>
      </c>
      <c r="HB118" t="e">
        <f>AND('SPR BARRANQUILLA'!AR141,"AAAAAHm3/tE=")</f>
        <v>#VALUE!</v>
      </c>
      <c r="HC118" t="e">
        <f>AND('SPR BARRANQUILLA'!AS141,"AAAAAHm3/tI=")</f>
        <v>#VALUE!</v>
      </c>
      <c r="HD118" t="e">
        <f>AND('SPR BARRANQUILLA'!AT141,"AAAAAHm3/tM=")</f>
        <v>#VALUE!</v>
      </c>
      <c r="HE118" t="e">
        <f>AND('SPR BARRANQUILLA'!AU141,"AAAAAHm3/tQ=")</f>
        <v>#VALUE!</v>
      </c>
      <c r="HF118" t="e">
        <f>AND('SPR BARRANQUILLA'!AV141,"AAAAAHm3/tU=")</f>
        <v>#VALUE!</v>
      </c>
      <c r="HG118" t="e">
        <f>AND('SPR BARRANQUILLA'!AW141,"AAAAAHm3/tY=")</f>
        <v>#VALUE!</v>
      </c>
      <c r="HH118" t="e">
        <f>AND('SPR BARRANQUILLA'!AX141,"AAAAAHm3/tc=")</f>
        <v>#VALUE!</v>
      </c>
      <c r="HI118" t="e">
        <f>AND('SPR BARRANQUILLA'!AY141,"AAAAAHm3/tg=")</f>
        <v>#VALUE!</v>
      </c>
      <c r="HJ118" t="e">
        <f>AND('SPR BARRANQUILLA'!AZ141,"AAAAAHm3/tk=")</f>
        <v>#VALUE!</v>
      </c>
      <c r="HK118" t="e">
        <f>AND('SPR BARRANQUILLA'!BA141,"AAAAAHm3/to=")</f>
        <v>#VALUE!</v>
      </c>
      <c r="HL118" t="e">
        <f>AND('SPR BARRANQUILLA'!BB141,"AAAAAHm3/ts=")</f>
        <v>#VALUE!</v>
      </c>
      <c r="HM118" t="e">
        <f>AND('SPR BARRANQUILLA'!BC141,"AAAAAHm3/tw=")</f>
        <v>#VALUE!</v>
      </c>
      <c r="HN118" t="e">
        <f>AND('SPR BARRANQUILLA'!BD141,"AAAAAHm3/t0=")</f>
        <v>#VALUE!</v>
      </c>
      <c r="HO118" t="e">
        <f>AND('SPR BARRANQUILLA'!BE141,"AAAAAHm3/t4=")</f>
        <v>#VALUE!</v>
      </c>
      <c r="HP118" t="e">
        <f>AND('SPR BARRANQUILLA'!BF141,"AAAAAHm3/t8=")</f>
        <v>#VALUE!</v>
      </c>
      <c r="HQ118" t="e">
        <f>AND('SPR BARRANQUILLA'!BG141,"AAAAAHm3/uA=")</f>
        <v>#VALUE!</v>
      </c>
      <c r="HR118" t="e">
        <f>AND('SPR BARRANQUILLA'!BH141,"AAAAAHm3/uE=")</f>
        <v>#VALUE!</v>
      </c>
      <c r="HS118" t="e">
        <f>AND('SPR BARRANQUILLA'!BI141,"AAAAAHm3/uI=")</f>
        <v>#VALUE!</v>
      </c>
      <c r="HT118" t="e">
        <f>AND('SPR BARRANQUILLA'!BJ141,"AAAAAHm3/uM=")</f>
        <v>#VALUE!</v>
      </c>
      <c r="HU118" t="e">
        <f>AND('SPR BARRANQUILLA'!BK141,"AAAAAHm3/uQ=")</f>
        <v>#VALUE!</v>
      </c>
      <c r="HV118" t="e">
        <f>AND('SPR BARRANQUILLA'!BL141,"AAAAAHm3/uU=")</f>
        <v>#VALUE!</v>
      </c>
      <c r="HW118" t="e">
        <f>AND('SPR BARRANQUILLA'!BM141,"AAAAAHm3/uY=")</f>
        <v>#VALUE!</v>
      </c>
      <c r="HX118" t="e">
        <f>AND('SPR BARRANQUILLA'!BN141,"AAAAAHm3/uc=")</f>
        <v>#VALUE!</v>
      </c>
      <c r="HY118" t="e">
        <f>AND('SPR BARRANQUILLA'!BO141,"AAAAAHm3/ug=")</f>
        <v>#VALUE!</v>
      </c>
      <c r="HZ118" t="e">
        <f>AND('SPR BARRANQUILLA'!BP141,"AAAAAHm3/uk=")</f>
        <v>#VALUE!</v>
      </c>
      <c r="IA118" t="e">
        <f>AND('SPR BARRANQUILLA'!BQ141,"AAAAAHm3/uo=")</f>
        <v>#VALUE!</v>
      </c>
      <c r="IB118" t="e">
        <f>AND('SPR BARRANQUILLA'!BR141,"AAAAAHm3/us=")</f>
        <v>#VALUE!</v>
      </c>
      <c r="IC118" t="e">
        <f>AND('SPR BARRANQUILLA'!BS141,"AAAAAHm3/uw=")</f>
        <v>#VALUE!</v>
      </c>
      <c r="ID118" t="e">
        <f>AND('SPR BARRANQUILLA'!BT141,"AAAAAHm3/u0=")</f>
        <v>#VALUE!</v>
      </c>
      <c r="IE118" t="e">
        <f>AND('SPR BARRANQUILLA'!BU141,"AAAAAHm3/u4=")</f>
        <v>#VALUE!</v>
      </c>
      <c r="IF118" t="e">
        <f>AND('SPR BARRANQUILLA'!BV141,"AAAAAHm3/u8=")</f>
        <v>#VALUE!</v>
      </c>
      <c r="IG118" t="e">
        <f>AND('SPR BARRANQUILLA'!BW141,"AAAAAHm3/vA=")</f>
        <v>#VALUE!</v>
      </c>
      <c r="IH118" t="e">
        <f>AND('SPR BARRANQUILLA'!BX141,"AAAAAHm3/vE=")</f>
        <v>#VALUE!</v>
      </c>
      <c r="II118" t="e">
        <f>AND('SPR BARRANQUILLA'!BY141,"AAAAAHm3/vI=")</f>
        <v>#VALUE!</v>
      </c>
      <c r="IJ118" t="e">
        <f>AND('SPR BARRANQUILLA'!BZ141,"AAAAAHm3/vM=")</f>
        <v>#VALUE!</v>
      </c>
      <c r="IK118" t="e">
        <f>AND('SPR BARRANQUILLA'!CA141,"AAAAAHm3/vQ=")</f>
        <v>#VALUE!</v>
      </c>
      <c r="IL118" t="e">
        <f>AND('SPR BARRANQUILLA'!CB141,"AAAAAHm3/vU=")</f>
        <v>#VALUE!</v>
      </c>
      <c r="IM118" t="e">
        <f>AND('SPR BARRANQUILLA'!CC141,"AAAAAHm3/vY=")</f>
        <v>#VALUE!</v>
      </c>
      <c r="IN118" t="e">
        <f>AND('SPR BARRANQUILLA'!CD141,"AAAAAHm3/vc=")</f>
        <v>#VALUE!</v>
      </c>
      <c r="IO118" t="e">
        <f>AND('SPR BARRANQUILLA'!CE141,"AAAAAHm3/vg=")</f>
        <v>#VALUE!</v>
      </c>
      <c r="IP118" t="e">
        <f>AND('SPR BARRANQUILLA'!CF141,"AAAAAHm3/vk=")</f>
        <v>#VALUE!</v>
      </c>
      <c r="IQ118" t="e">
        <f>AND('SPR BARRANQUILLA'!CG141,"AAAAAHm3/vo=")</f>
        <v>#VALUE!</v>
      </c>
      <c r="IR118" t="e">
        <f>AND('SPR BARRANQUILLA'!CH141,"AAAAAHm3/vs=")</f>
        <v>#VALUE!</v>
      </c>
      <c r="IS118" t="e">
        <f>AND('SPR BARRANQUILLA'!CI141,"AAAAAHm3/vw=")</f>
        <v>#VALUE!</v>
      </c>
      <c r="IT118" t="e">
        <f>AND('SPR BARRANQUILLA'!CJ141,"AAAAAHm3/v0=")</f>
        <v>#VALUE!</v>
      </c>
      <c r="IU118" t="e">
        <f>AND('SPR BARRANQUILLA'!CK141,"AAAAAHm3/v4=")</f>
        <v>#VALUE!</v>
      </c>
      <c r="IV118" t="e">
        <f>AND('SPR BARRANQUILLA'!CL141,"AAAAAHm3/v8=")</f>
        <v>#VALUE!</v>
      </c>
    </row>
    <row r="119" spans="1:256">
      <c r="A119" t="e">
        <f>AND('SPR BARRANQUILLA'!CM141,"AAAAAD62/gA=")</f>
        <v>#VALUE!</v>
      </c>
      <c r="B119" t="e">
        <f>AND('SPR BARRANQUILLA'!CN141,"AAAAAD62/gE=")</f>
        <v>#VALUE!</v>
      </c>
      <c r="C119" t="e">
        <f>AND('SPR BARRANQUILLA'!CO141,"AAAAAD62/gI=")</f>
        <v>#VALUE!</v>
      </c>
      <c r="D119" t="e">
        <f>AND('SPR BARRANQUILLA'!CP141,"AAAAAD62/gM=")</f>
        <v>#VALUE!</v>
      </c>
      <c r="E119" t="e">
        <f>AND('SPR BARRANQUILLA'!CQ141,"AAAAAD62/gQ=")</f>
        <v>#VALUE!</v>
      </c>
      <c r="F119" t="e">
        <f>AND('SPR BARRANQUILLA'!CR141,"AAAAAD62/gU=")</f>
        <v>#VALUE!</v>
      </c>
      <c r="G119" t="e">
        <f>AND('SPR BARRANQUILLA'!CS141,"AAAAAD62/gY=")</f>
        <v>#VALUE!</v>
      </c>
      <c r="H119" t="e">
        <f>AND('SPR BARRANQUILLA'!CT141,"AAAAAD62/gc=")</f>
        <v>#VALUE!</v>
      </c>
      <c r="I119" t="e">
        <f>AND('SPR BARRANQUILLA'!CU141,"AAAAAD62/gg=")</f>
        <v>#VALUE!</v>
      </c>
      <c r="J119" t="e">
        <f>AND('SPR BARRANQUILLA'!CV141,"AAAAAD62/gk=")</f>
        <v>#VALUE!</v>
      </c>
      <c r="K119" t="e">
        <f>AND('SPR BARRANQUILLA'!CW141,"AAAAAD62/go=")</f>
        <v>#VALUE!</v>
      </c>
      <c r="L119" t="e">
        <f>AND('SPR BARRANQUILLA'!CX141,"AAAAAD62/gs=")</f>
        <v>#VALUE!</v>
      </c>
      <c r="M119" t="e">
        <f>AND('SPR BARRANQUILLA'!CY141,"AAAAAD62/gw=")</f>
        <v>#VALUE!</v>
      </c>
      <c r="N119" t="e">
        <f>AND('SPR BARRANQUILLA'!CZ141,"AAAAAD62/g0=")</f>
        <v>#VALUE!</v>
      </c>
      <c r="O119" t="e">
        <f>AND('SPR BARRANQUILLA'!DA141,"AAAAAD62/g4=")</f>
        <v>#VALUE!</v>
      </c>
      <c r="P119" t="e">
        <f>AND('SPR BARRANQUILLA'!DB141,"AAAAAD62/g8=")</f>
        <v>#VALUE!</v>
      </c>
      <c r="Q119" t="e">
        <f>AND('SPR BARRANQUILLA'!DC141,"AAAAAD62/hA=")</f>
        <v>#VALUE!</v>
      </c>
      <c r="R119" t="e">
        <f>AND('SPR BARRANQUILLA'!DD141,"AAAAAD62/hE=")</f>
        <v>#VALUE!</v>
      </c>
      <c r="S119" t="e">
        <f>AND('SPR BARRANQUILLA'!DE141,"AAAAAD62/hI=")</f>
        <v>#VALUE!</v>
      </c>
      <c r="T119" t="e">
        <f>AND('SPR BARRANQUILLA'!DF141,"AAAAAD62/hM=")</f>
        <v>#VALUE!</v>
      </c>
      <c r="U119" t="e">
        <f>AND('SPR BARRANQUILLA'!DG141,"AAAAAD62/hQ=")</f>
        <v>#VALUE!</v>
      </c>
      <c r="V119" t="e">
        <f>AND('SPR BARRANQUILLA'!DH141,"AAAAAD62/hU=")</f>
        <v>#VALUE!</v>
      </c>
      <c r="W119" t="e">
        <f>AND('SPR BARRANQUILLA'!DI141,"AAAAAD62/hY=")</f>
        <v>#VALUE!</v>
      </c>
      <c r="X119" t="e">
        <f>AND('SPR BARRANQUILLA'!DJ141,"AAAAAD62/hc=")</f>
        <v>#VALUE!</v>
      </c>
      <c r="Y119" t="e">
        <f>AND('SPR BARRANQUILLA'!DK141,"AAAAAD62/hg=")</f>
        <v>#VALUE!</v>
      </c>
      <c r="Z119" t="e">
        <f>AND('SPR BARRANQUILLA'!DL141,"AAAAAD62/hk=")</f>
        <v>#VALUE!</v>
      </c>
      <c r="AA119" t="e">
        <f>AND('SPR BARRANQUILLA'!DM141,"AAAAAD62/ho=")</f>
        <v>#VALUE!</v>
      </c>
      <c r="AB119" t="e">
        <f>AND('SPR BARRANQUILLA'!DN141,"AAAAAD62/hs=")</f>
        <v>#VALUE!</v>
      </c>
      <c r="AC119" t="e">
        <f>AND('SPR BARRANQUILLA'!DO141,"AAAAAD62/hw=")</f>
        <v>#VALUE!</v>
      </c>
      <c r="AD119" t="e">
        <f>AND('SPR BARRANQUILLA'!DP141,"AAAAAD62/h0=")</f>
        <v>#VALUE!</v>
      </c>
      <c r="AE119" t="e">
        <f>AND('SPR BARRANQUILLA'!DQ141,"AAAAAD62/h4=")</f>
        <v>#VALUE!</v>
      </c>
      <c r="AF119" t="e">
        <f>AND('SPR BARRANQUILLA'!DR141,"AAAAAD62/h8=")</f>
        <v>#VALUE!</v>
      </c>
      <c r="AG119" t="e">
        <f>AND('SPR BARRANQUILLA'!DS141,"AAAAAD62/iA=")</f>
        <v>#VALUE!</v>
      </c>
      <c r="AH119" t="e">
        <f>AND('SPR BARRANQUILLA'!DT141,"AAAAAD62/iE=")</f>
        <v>#VALUE!</v>
      </c>
      <c r="AI119" t="e">
        <f>AND('SPR BARRANQUILLA'!DU141,"AAAAAD62/iI=")</f>
        <v>#VALUE!</v>
      </c>
      <c r="AJ119" t="e">
        <f>AND('SPR BARRANQUILLA'!DV141,"AAAAAD62/iM=")</f>
        <v>#VALUE!</v>
      </c>
      <c r="AK119" t="e">
        <f>AND('SPR BARRANQUILLA'!DW141,"AAAAAD62/iQ=")</f>
        <v>#VALUE!</v>
      </c>
      <c r="AL119" t="e">
        <f>AND('SPR BARRANQUILLA'!DX141,"AAAAAD62/iU=")</f>
        <v>#VALUE!</v>
      </c>
      <c r="AM119" t="e">
        <f>AND('SPR BARRANQUILLA'!DY141,"AAAAAD62/iY=")</f>
        <v>#VALUE!</v>
      </c>
      <c r="AN119" t="e">
        <f>AND('SPR BARRANQUILLA'!DZ141,"AAAAAD62/ic=")</f>
        <v>#VALUE!</v>
      </c>
      <c r="AO119" t="e">
        <f>AND('SPR BARRANQUILLA'!EA141,"AAAAAD62/ig=")</f>
        <v>#VALUE!</v>
      </c>
      <c r="AP119" t="e">
        <f>AND('SPR BARRANQUILLA'!EB141,"AAAAAD62/ik=")</f>
        <v>#VALUE!</v>
      </c>
      <c r="AQ119" t="e">
        <f>AND('SPR BARRANQUILLA'!EC141,"AAAAAD62/io=")</f>
        <v>#VALUE!</v>
      </c>
      <c r="AR119" t="e">
        <f>AND('SPR BARRANQUILLA'!ED141,"AAAAAD62/is=")</f>
        <v>#VALUE!</v>
      </c>
      <c r="AS119" t="e">
        <f>AND('SPR BARRANQUILLA'!EE141,"AAAAAD62/iw=")</f>
        <v>#VALUE!</v>
      </c>
      <c r="AT119" t="e">
        <f>AND('SPR BARRANQUILLA'!EF141,"AAAAAD62/i0=")</f>
        <v>#VALUE!</v>
      </c>
      <c r="AU119" t="e">
        <f>AND('SPR BARRANQUILLA'!EG141,"AAAAAD62/i4=")</f>
        <v>#VALUE!</v>
      </c>
      <c r="AV119" t="e">
        <f>AND('SPR BARRANQUILLA'!EH141,"AAAAAD62/i8=")</f>
        <v>#VALUE!</v>
      </c>
      <c r="AW119" t="e">
        <f>AND('SPR BARRANQUILLA'!EI141,"AAAAAD62/jA=")</f>
        <v>#VALUE!</v>
      </c>
      <c r="AX119" t="e">
        <f>AND('SPR BARRANQUILLA'!EJ141,"AAAAAD62/jE=")</f>
        <v>#VALUE!</v>
      </c>
      <c r="AY119" t="e">
        <f>AND('SPR BARRANQUILLA'!EK141,"AAAAAD62/jI=")</f>
        <v>#VALUE!</v>
      </c>
      <c r="AZ119" t="e">
        <f>AND('SPR BARRANQUILLA'!EL141,"AAAAAD62/jM=")</f>
        <v>#VALUE!</v>
      </c>
      <c r="BA119" t="e">
        <f>AND('SPR BARRANQUILLA'!EM141,"AAAAAD62/jQ=")</f>
        <v>#VALUE!</v>
      </c>
      <c r="BB119" t="e">
        <f>AND('SPR BARRANQUILLA'!EN141,"AAAAAD62/jU=")</f>
        <v>#VALUE!</v>
      </c>
      <c r="BC119" t="e">
        <f>AND('SPR BARRANQUILLA'!EO141,"AAAAAD62/jY=")</f>
        <v>#VALUE!</v>
      </c>
      <c r="BD119" t="e">
        <f>AND('SPR BARRANQUILLA'!EP141,"AAAAAD62/jc=")</f>
        <v>#VALUE!</v>
      </c>
      <c r="BE119" t="e">
        <f>AND('SPR BARRANQUILLA'!EQ141,"AAAAAD62/jg=")</f>
        <v>#VALUE!</v>
      </c>
      <c r="BF119" t="e">
        <f>AND('SPR BARRANQUILLA'!ER141,"AAAAAD62/jk=")</f>
        <v>#VALUE!</v>
      </c>
      <c r="BG119" t="e">
        <f>AND('SPR BARRANQUILLA'!ES141,"AAAAAD62/jo=")</f>
        <v>#VALUE!</v>
      </c>
      <c r="BH119" t="e">
        <f>AND('SPR BARRANQUILLA'!ET141,"AAAAAD62/js=")</f>
        <v>#VALUE!</v>
      </c>
      <c r="BI119" t="e">
        <f>AND('SPR BARRANQUILLA'!EU141,"AAAAAD62/jw=")</f>
        <v>#VALUE!</v>
      </c>
      <c r="BJ119" t="e">
        <f>AND('SPR BARRANQUILLA'!EV141,"AAAAAD62/j0=")</f>
        <v>#VALUE!</v>
      </c>
      <c r="BK119" t="e">
        <f>AND('SPR BARRANQUILLA'!EW141,"AAAAAD62/j4=")</f>
        <v>#VALUE!</v>
      </c>
      <c r="BL119" t="e">
        <f>AND('SPR BARRANQUILLA'!EX141,"AAAAAD62/j8=")</f>
        <v>#VALUE!</v>
      </c>
      <c r="BM119" t="e">
        <f>AND('SPR BARRANQUILLA'!EY141,"AAAAAD62/kA=")</f>
        <v>#VALUE!</v>
      </c>
      <c r="BN119" t="e">
        <f>AND('SPR BARRANQUILLA'!EZ141,"AAAAAD62/kE=")</f>
        <v>#VALUE!</v>
      </c>
      <c r="BO119" t="e">
        <f>AND('SPR BARRANQUILLA'!FA141,"AAAAAD62/kI=")</f>
        <v>#VALUE!</v>
      </c>
      <c r="BP119" t="e">
        <f>AND('SPR BARRANQUILLA'!FB141,"AAAAAD62/kM=")</f>
        <v>#VALUE!</v>
      </c>
      <c r="BQ119" t="e">
        <f>AND('SPR BARRANQUILLA'!FC141,"AAAAAD62/kQ=")</f>
        <v>#VALUE!</v>
      </c>
      <c r="BR119" t="e">
        <f>AND('SPR BARRANQUILLA'!FD141,"AAAAAD62/kU=")</f>
        <v>#VALUE!</v>
      </c>
      <c r="BS119" t="e">
        <f>AND('SPR BARRANQUILLA'!FE141,"AAAAAD62/kY=")</f>
        <v>#VALUE!</v>
      </c>
      <c r="BT119" t="e">
        <f>AND('SPR BARRANQUILLA'!FF141,"AAAAAD62/kc=")</f>
        <v>#VALUE!</v>
      </c>
      <c r="BU119" t="e">
        <f>AND('SPR BARRANQUILLA'!FG141,"AAAAAD62/kg=")</f>
        <v>#VALUE!</v>
      </c>
      <c r="BV119" t="e">
        <f>AND('SPR BARRANQUILLA'!FH141,"AAAAAD62/kk=")</f>
        <v>#VALUE!</v>
      </c>
      <c r="BW119" t="e">
        <f>AND('SPR BARRANQUILLA'!FI141,"AAAAAD62/ko=")</f>
        <v>#VALUE!</v>
      </c>
      <c r="BX119" t="e">
        <f>AND('SPR BARRANQUILLA'!FJ141,"AAAAAD62/ks=")</f>
        <v>#VALUE!</v>
      </c>
      <c r="BY119" t="e">
        <f>AND('SPR BARRANQUILLA'!FK141,"AAAAAD62/kw=")</f>
        <v>#VALUE!</v>
      </c>
      <c r="BZ119" t="e">
        <f>AND('SPR BARRANQUILLA'!FL141,"AAAAAD62/k0=")</f>
        <v>#VALUE!</v>
      </c>
      <c r="CA119" t="e">
        <f>AND('SPR BARRANQUILLA'!FM141,"AAAAAD62/k4=")</f>
        <v>#VALUE!</v>
      </c>
      <c r="CB119" t="e">
        <f>AND('SPR BARRANQUILLA'!FN141,"AAAAAD62/k8=")</f>
        <v>#VALUE!</v>
      </c>
      <c r="CC119" t="e">
        <f>AND('SPR BARRANQUILLA'!FO141,"AAAAAD62/lA=")</f>
        <v>#VALUE!</v>
      </c>
      <c r="CD119" t="e">
        <f>AND('SPR BARRANQUILLA'!FP141,"AAAAAD62/lE=")</f>
        <v>#VALUE!</v>
      </c>
      <c r="CE119" t="e">
        <f>AND('SPR BARRANQUILLA'!FQ141,"AAAAAD62/lI=")</f>
        <v>#VALUE!</v>
      </c>
      <c r="CF119" t="e">
        <f>AND('SPR BARRANQUILLA'!FR141,"AAAAAD62/lM=")</f>
        <v>#VALUE!</v>
      </c>
      <c r="CG119" t="e">
        <f>AND('SPR BARRANQUILLA'!FS141,"AAAAAD62/lQ=")</f>
        <v>#VALUE!</v>
      </c>
      <c r="CH119" t="e">
        <f>AND('SPR BARRANQUILLA'!FT141,"AAAAAD62/lU=")</f>
        <v>#VALUE!</v>
      </c>
      <c r="CI119" t="e">
        <f>AND('SPR BARRANQUILLA'!FU141,"AAAAAD62/lY=")</f>
        <v>#VALUE!</v>
      </c>
      <c r="CJ119" t="e">
        <f>AND('SPR BARRANQUILLA'!FV141,"AAAAAD62/lc=")</f>
        <v>#VALUE!</v>
      </c>
      <c r="CK119" t="e">
        <f>AND('SPR BARRANQUILLA'!FW141,"AAAAAD62/lg=")</f>
        <v>#VALUE!</v>
      </c>
      <c r="CL119" t="e">
        <f>AND('SPR BARRANQUILLA'!FX141,"AAAAAD62/lk=")</f>
        <v>#VALUE!</v>
      </c>
      <c r="CM119" t="e">
        <f>AND('SPR BARRANQUILLA'!FY141,"AAAAAD62/lo=")</f>
        <v>#VALUE!</v>
      </c>
      <c r="CN119" t="e">
        <f>AND('SPR BARRANQUILLA'!FZ141,"AAAAAD62/ls=")</f>
        <v>#VALUE!</v>
      </c>
      <c r="CO119" t="e">
        <f>AND('SPR BARRANQUILLA'!GA141,"AAAAAD62/lw=")</f>
        <v>#VALUE!</v>
      </c>
      <c r="CP119" t="e">
        <f>AND('SPR BARRANQUILLA'!GB141,"AAAAAD62/l0=")</f>
        <v>#VALUE!</v>
      </c>
      <c r="CQ119" t="e">
        <f>AND('SPR BARRANQUILLA'!GC141,"AAAAAD62/l4=")</f>
        <v>#VALUE!</v>
      </c>
      <c r="CR119" t="e">
        <f>AND('SPR BARRANQUILLA'!GD141,"AAAAAD62/l8=")</f>
        <v>#VALUE!</v>
      </c>
      <c r="CS119" t="e">
        <f>AND('SPR BARRANQUILLA'!GE141,"AAAAAD62/mA=")</f>
        <v>#VALUE!</v>
      </c>
      <c r="CT119" t="e">
        <f>AND('SPR BARRANQUILLA'!GF141,"AAAAAD62/mE=")</f>
        <v>#VALUE!</v>
      </c>
      <c r="CU119" t="e">
        <f>AND('SPR BARRANQUILLA'!GG141,"AAAAAD62/mI=")</f>
        <v>#VALUE!</v>
      </c>
      <c r="CV119" t="e">
        <f>AND('SPR BARRANQUILLA'!GH141,"AAAAAD62/mM=")</f>
        <v>#VALUE!</v>
      </c>
      <c r="CW119" t="e">
        <f>AND('SPR BARRANQUILLA'!GI141,"AAAAAD62/mQ=")</f>
        <v>#VALUE!</v>
      </c>
      <c r="CX119" t="e">
        <f>AND('SPR BARRANQUILLA'!GJ141,"AAAAAD62/mU=")</f>
        <v>#VALUE!</v>
      </c>
      <c r="CY119" t="e">
        <f>AND('SPR BARRANQUILLA'!GK141,"AAAAAD62/mY=")</f>
        <v>#VALUE!</v>
      </c>
      <c r="CZ119" t="e">
        <f>AND('SPR BARRANQUILLA'!GL141,"AAAAAD62/mc=")</f>
        <v>#VALUE!</v>
      </c>
      <c r="DA119" t="e">
        <f>AND('SPR BARRANQUILLA'!GM141,"AAAAAD62/mg=")</f>
        <v>#VALUE!</v>
      </c>
      <c r="DB119" t="e">
        <f>AND('SPR BARRANQUILLA'!GN141,"AAAAAD62/mk=")</f>
        <v>#VALUE!</v>
      </c>
      <c r="DC119" t="e">
        <f>AND('SPR BARRANQUILLA'!GO141,"AAAAAD62/mo=")</f>
        <v>#VALUE!</v>
      </c>
      <c r="DD119" t="e">
        <f>AND('SPR BARRANQUILLA'!GP141,"AAAAAD62/ms=")</f>
        <v>#VALUE!</v>
      </c>
      <c r="DE119" t="e">
        <f>AND('SPR BARRANQUILLA'!GQ141,"AAAAAD62/mw=")</f>
        <v>#VALUE!</v>
      </c>
      <c r="DF119" t="e">
        <f>AND('SPR BARRANQUILLA'!GR141,"AAAAAD62/m0=")</f>
        <v>#VALUE!</v>
      </c>
      <c r="DG119" t="e">
        <f>AND('SPR BARRANQUILLA'!GS141,"AAAAAD62/m4=")</f>
        <v>#VALUE!</v>
      </c>
      <c r="DH119" t="e">
        <f>AND('SPR BARRANQUILLA'!GT141,"AAAAAD62/m8=")</f>
        <v>#VALUE!</v>
      </c>
      <c r="DI119" t="e">
        <f>AND('SPR BARRANQUILLA'!GU141,"AAAAAD62/nA=")</f>
        <v>#VALUE!</v>
      </c>
      <c r="DJ119" t="e">
        <f>AND('SPR BARRANQUILLA'!GV141,"AAAAAD62/nE=")</f>
        <v>#VALUE!</v>
      </c>
      <c r="DK119" t="e">
        <f>AND('SPR BARRANQUILLA'!GW141,"AAAAAD62/nI=")</f>
        <v>#VALUE!</v>
      </c>
      <c r="DL119" t="e">
        <f>AND('SPR BARRANQUILLA'!GX141,"AAAAAD62/nM=")</f>
        <v>#VALUE!</v>
      </c>
      <c r="DM119" t="e">
        <f>AND('SPR BARRANQUILLA'!GY141,"AAAAAD62/nQ=")</f>
        <v>#VALUE!</v>
      </c>
      <c r="DN119">
        <f>IF('SPR BARRANQUILLA'!142:142,"AAAAAD62/nU=",0)</f>
        <v>0</v>
      </c>
      <c r="DO119" t="e">
        <f>AND('SPR BARRANQUILLA'!A142,"AAAAAD62/nY=")</f>
        <v>#VALUE!</v>
      </c>
      <c r="DP119" t="e">
        <f>AND('SPR BARRANQUILLA'!B142,"AAAAAD62/nc=")</f>
        <v>#VALUE!</v>
      </c>
      <c r="DQ119" t="e">
        <f>AND('SPR BARRANQUILLA'!C142,"AAAAAD62/ng=")</f>
        <v>#VALUE!</v>
      </c>
      <c r="DR119" t="e">
        <f>AND('SPR BARRANQUILLA'!D142,"AAAAAD62/nk=")</f>
        <v>#VALUE!</v>
      </c>
      <c r="DS119" t="e">
        <f>AND('SPR BARRANQUILLA'!E142,"AAAAAD62/no=")</f>
        <v>#VALUE!</v>
      </c>
      <c r="DT119" t="e">
        <f>AND('SPR BARRANQUILLA'!F142,"AAAAAD62/ns=")</f>
        <v>#VALUE!</v>
      </c>
      <c r="DU119" t="e">
        <f>AND('SPR BARRANQUILLA'!G142,"AAAAAD62/nw=")</f>
        <v>#VALUE!</v>
      </c>
      <c r="DV119" t="e">
        <f>AND('SPR BARRANQUILLA'!H142,"AAAAAD62/n0=")</f>
        <v>#VALUE!</v>
      </c>
      <c r="DW119" t="e">
        <f>AND('SPR BARRANQUILLA'!I142,"AAAAAD62/n4=")</f>
        <v>#VALUE!</v>
      </c>
      <c r="DX119" t="e">
        <f>AND('SPR BARRANQUILLA'!J142,"AAAAAD62/n8=")</f>
        <v>#VALUE!</v>
      </c>
      <c r="DY119" t="e">
        <f>AND('SPR BARRANQUILLA'!K142,"AAAAAD62/oA=")</f>
        <v>#VALUE!</v>
      </c>
      <c r="DZ119" t="e">
        <f>AND('SPR BARRANQUILLA'!L142,"AAAAAD62/oE=")</f>
        <v>#VALUE!</v>
      </c>
      <c r="EA119" t="e">
        <f>AND('SPR BARRANQUILLA'!M142,"AAAAAD62/oI=")</f>
        <v>#VALUE!</v>
      </c>
      <c r="EB119" t="e">
        <f>AND('SPR BARRANQUILLA'!N142,"AAAAAD62/oM=")</f>
        <v>#VALUE!</v>
      </c>
      <c r="EC119" t="e">
        <f>AND('SPR BARRANQUILLA'!O142,"AAAAAD62/oQ=")</f>
        <v>#VALUE!</v>
      </c>
      <c r="ED119" t="e">
        <f>AND('SPR BARRANQUILLA'!P142,"AAAAAD62/oU=")</f>
        <v>#VALUE!</v>
      </c>
      <c r="EE119" t="e">
        <f>AND('SPR BARRANQUILLA'!Q142,"AAAAAD62/oY=")</f>
        <v>#VALUE!</v>
      </c>
      <c r="EF119" t="e">
        <f>AND('SPR BARRANQUILLA'!R142,"AAAAAD62/oc=")</f>
        <v>#VALUE!</v>
      </c>
      <c r="EG119" t="e">
        <f>AND('SPR BARRANQUILLA'!S142,"AAAAAD62/og=")</f>
        <v>#VALUE!</v>
      </c>
      <c r="EH119" t="e">
        <f>AND('SPR BARRANQUILLA'!T142,"AAAAAD62/ok=")</f>
        <v>#VALUE!</v>
      </c>
      <c r="EI119" t="e">
        <f>AND('SPR BARRANQUILLA'!U142,"AAAAAD62/oo=")</f>
        <v>#VALUE!</v>
      </c>
      <c r="EJ119" t="e">
        <f>AND('SPR BARRANQUILLA'!V142,"AAAAAD62/os=")</f>
        <v>#VALUE!</v>
      </c>
      <c r="EK119" t="e">
        <f>AND('SPR BARRANQUILLA'!W142,"AAAAAD62/ow=")</f>
        <v>#VALUE!</v>
      </c>
      <c r="EL119" t="e">
        <f>AND('SPR BARRANQUILLA'!X142,"AAAAAD62/o0=")</f>
        <v>#VALUE!</v>
      </c>
      <c r="EM119" t="e">
        <f>AND('SPR BARRANQUILLA'!Y142,"AAAAAD62/o4=")</f>
        <v>#VALUE!</v>
      </c>
      <c r="EN119" t="e">
        <f>AND('SPR BARRANQUILLA'!Z142,"AAAAAD62/o8=")</f>
        <v>#VALUE!</v>
      </c>
      <c r="EO119" t="e">
        <f>AND('SPR BARRANQUILLA'!AA142,"AAAAAD62/pA=")</f>
        <v>#VALUE!</v>
      </c>
      <c r="EP119" t="e">
        <f>AND('SPR BARRANQUILLA'!AB142,"AAAAAD62/pE=")</f>
        <v>#VALUE!</v>
      </c>
      <c r="EQ119" t="e">
        <f>AND('SPR BARRANQUILLA'!AC142,"AAAAAD62/pI=")</f>
        <v>#VALUE!</v>
      </c>
      <c r="ER119" t="e">
        <f>AND('SPR BARRANQUILLA'!AD142,"AAAAAD62/pM=")</f>
        <v>#VALUE!</v>
      </c>
      <c r="ES119" t="e">
        <f>AND('SPR BARRANQUILLA'!AE142,"AAAAAD62/pQ=")</f>
        <v>#VALUE!</v>
      </c>
      <c r="ET119" t="e">
        <f>AND('SPR BARRANQUILLA'!AF142,"AAAAAD62/pU=")</f>
        <v>#VALUE!</v>
      </c>
      <c r="EU119" t="e">
        <f>AND('SPR BARRANQUILLA'!AG142,"AAAAAD62/pY=")</f>
        <v>#VALUE!</v>
      </c>
      <c r="EV119" t="e">
        <f>AND('SPR BARRANQUILLA'!AH142,"AAAAAD62/pc=")</f>
        <v>#VALUE!</v>
      </c>
      <c r="EW119" t="e">
        <f>AND('SPR BARRANQUILLA'!AI142,"AAAAAD62/pg=")</f>
        <v>#VALUE!</v>
      </c>
      <c r="EX119" t="e">
        <f>AND('SPR BARRANQUILLA'!AJ142,"AAAAAD62/pk=")</f>
        <v>#VALUE!</v>
      </c>
      <c r="EY119" t="e">
        <f>AND('SPR BARRANQUILLA'!AK142,"AAAAAD62/po=")</f>
        <v>#VALUE!</v>
      </c>
      <c r="EZ119" t="e">
        <f>AND('SPR BARRANQUILLA'!AL142,"AAAAAD62/ps=")</f>
        <v>#VALUE!</v>
      </c>
      <c r="FA119" t="e">
        <f>AND('SPR BARRANQUILLA'!AM142,"AAAAAD62/pw=")</f>
        <v>#VALUE!</v>
      </c>
      <c r="FB119" t="e">
        <f>AND('SPR BARRANQUILLA'!AN142,"AAAAAD62/p0=")</f>
        <v>#VALUE!</v>
      </c>
      <c r="FC119" t="e">
        <f>AND('SPR BARRANQUILLA'!AO142,"AAAAAD62/p4=")</f>
        <v>#VALUE!</v>
      </c>
      <c r="FD119" t="e">
        <f>AND('SPR BARRANQUILLA'!AP142,"AAAAAD62/p8=")</f>
        <v>#VALUE!</v>
      </c>
      <c r="FE119" t="e">
        <f>AND('SPR BARRANQUILLA'!AQ142,"AAAAAD62/qA=")</f>
        <v>#VALUE!</v>
      </c>
      <c r="FF119" t="e">
        <f>AND('SPR BARRANQUILLA'!AR142,"AAAAAD62/qE=")</f>
        <v>#VALUE!</v>
      </c>
      <c r="FG119" t="e">
        <f>AND('SPR BARRANQUILLA'!AS142,"AAAAAD62/qI=")</f>
        <v>#VALUE!</v>
      </c>
      <c r="FH119" t="e">
        <f>AND('SPR BARRANQUILLA'!AT142,"AAAAAD62/qM=")</f>
        <v>#VALUE!</v>
      </c>
      <c r="FI119" t="e">
        <f>AND('SPR BARRANQUILLA'!AU142,"AAAAAD62/qQ=")</f>
        <v>#VALUE!</v>
      </c>
      <c r="FJ119" t="e">
        <f>AND('SPR BARRANQUILLA'!AV142,"AAAAAD62/qU=")</f>
        <v>#VALUE!</v>
      </c>
      <c r="FK119" t="e">
        <f>AND('SPR BARRANQUILLA'!AW142,"AAAAAD62/qY=")</f>
        <v>#VALUE!</v>
      </c>
      <c r="FL119" t="e">
        <f>AND('SPR BARRANQUILLA'!AX142,"AAAAAD62/qc=")</f>
        <v>#VALUE!</v>
      </c>
      <c r="FM119" t="e">
        <f>AND('SPR BARRANQUILLA'!AY142,"AAAAAD62/qg=")</f>
        <v>#VALUE!</v>
      </c>
      <c r="FN119" t="e">
        <f>AND('SPR BARRANQUILLA'!AZ142,"AAAAAD62/qk=")</f>
        <v>#VALUE!</v>
      </c>
      <c r="FO119" t="e">
        <f>AND('SPR BARRANQUILLA'!BA142,"AAAAAD62/qo=")</f>
        <v>#VALUE!</v>
      </c>
      <c r="FP119" t="e">
        <f>AND('SPR BARRANQUILLA'!BB142,"AAAAAD62/qs=")</f>
        <v>#VALUE!</v>
      </c>
      <c r="FQ119" t="e">
        <f>AND('SPR BARRANQUILLA'!BC142,"AAAAAD62/qw=")</f>
        <v>#VALUE!</v>
      </c>
      <c r="FR119" t="e">
        <f>AND('SPR BARRANQUILLA'!BD142,"AAAAAD62/q0=")</f>
        <v>#VALUE!</v>
      </c>
      <c r="FS119" t="e">
        <f>AND('SPR BARRANQUILLA'!BE142,"AAAAAD62/q4=")</f>
        <v>#VALUE!</v>
      </c>
      <c r="FT119" t="e">
        <f>AND('SPR BARRANQUILLA'!BF142,"AAAAAD62/q8=")</f>
        <v>#VALUE!</v>
      </c>
      <c r="FU119" t="e">
        <f>AND('SPR BARRANQUILLA'!BG142,"AAAAAD62/rA=")</f>
        <v>#VALUE!</v>
      </c>
      <c r="FV119" t="e">
        <f>AND('SPR BARRANQUILLA'!BH142,"AAAAAD62/rE=")</f>
        <v>#VALUE!</v>
      </c>
      <c r="FW119" t="e">
        <f>AND('SPR BARRANQUILLA'!BI142,"AAAAAD62/rI=")</f>
        <v>#VALUE!</v>
      </c>
      <c r="FX119" t="e">
        <f>AND('SPR BARRANQUILLA'!BJ142,"AAAAAD62/rM=")</f>
        <v>#VALUE!</v>
      </c>
      <c r="FY119" t="e">
        <f>AND('SPR BARRANQUILLA'!BK142,"AAAAAD62/rQ=")</f>
        <v>#VALUE!</v>
      </c>
      <c r="FZ119" t="e">
        <f>AND('SPR BARRANQUILLA'!BL142,"AAAAAD62/rU=")</f>
        <v>#VALUE!</v>
      </c>
      <c r="GA119" t="e">
        <f>AND('SPR BARRANQUILLA'!BM142,"AAAAAD62/rY=")</f>
        <v>#VALUE!</v>
      </c>
      <c r="GB119" t="e">
        <f>AND('SPR BARRANQUILLA'!BN142,"AAAAAD62/rc=")</f>
        <v>#VALUE!</v>
      </c>
      <c r="GC119" t="e">
        <f>AND('SPR BARRANQUILLA'!BO142,"AAAAAD62/rg=")</f>
        <v>#VALUE!</v>
      </c>
      <c r="GD119" t="e">
        <f>AND('SPR BARRANQUILLA'!BP142,"AAAAAD62/rk=")</f>
        <v>#VALUE!</v>
      </c>
      <c r="GE119" t="e">
        <f>AND('SPR BARRANQUILLA'!BQ142,"AAAAAD62/ro=")</f>
        <v>#VALUE!</v>
      </c>
      <c r="GF119" t="e">
        <f>AND('SPR BARRANQUILLA'!BR142,"AAAAAD62/rs=")</f>
        <v>#VALUE!</v>
      </c>
      <c r="GG119" t="e">
        <f>AND('SPR BARRANQUILLA'!BS142,"AAAAAD62/rw=")</f>
        <v>#VALUE!</v>
      </c>
      <c r="GH119" t="e">
        <f>AND('SPR BARRANQUILLA'!BT142,"AAAAAD62/r0=")</f>
        <v>#VALUE!</v>
      </c>
      <c r="GI119" t="e">
        <f>AND('SPR BARRANQUILLA'!BU142,"AAAAAD62/r4=")</f>
        <v>#VALUE!</v>
      </c>
      <c r="GJ119" t="e">
        <f>AND('SPR BARRANQUILLA'!BV142,"AAAAAD62/r8=")</f>
        <v>#VALUE!</v>
      </c>
      <c r="GK119" t="e">
        <f>AND('SPR BARRANQUILLA'!BW142,"AAAAAD62/sA=")</f>
        <v>#VALUE!</v>
      </c>
      <c r="GL119" t="e">
        <f>AND('SPR BARRANQUILLA'!BX142,"AAAAAD62/sE=")</f>
        <v>#VALUE!</v>
      </c>
      <c r="GM119" t="e">
        <f>AND('SPR BARRANQUILLA'!BY142,"AAAAAD62/sI=")</f>
        <v>#VALUE!</v>
      </c>
      <c r="GN119" t="e">
        <f>AND('SPR BARRANQUILLA'!BZ142,"AAAAAD62/sM=")</f>
        <v>#VALUE!</v>
      </c>
      <c r="GO119" t="e">
        <f>AND('SPR BARRANQUILLA'!CA142,"AAAAAD62/sQ=")</f>
        <v>#VALUE!</v>
      </c>
      <c r="GP119" t="e">
        <f>AND('SPR BARRANQUILLA'!CB142,"AAAAAD62/sU=")</f>
        <v>#VALUE!</v>
      </c>
      <c r="GQ119" t="e">
        <f>AND('SPR BARRANQUILLA'!CC142,"AAAAAD62/sY=")</f>
        <v>#VALUE!</v>
      </c>
      <c r="GR119" t="e">
        <f>AND('SPR BARRANQUILLA'!CD142,"AAAAAD62/sc=")</f>
        <v>#VALUE!</v>
      </c>
      <c r="GS119" t="e">
        <f>AND('SPR BARRANQUILLA'!CE142,"AAAAAD62/sg=")</f>
        <v>#VALUE!</v>
      </c>
      <c r="GT119" t="e">
        <f>AND('SPR BARRANQUILLA'!CF142,"AAAAAD62/sk=")</f>
        <v>#VALUE!</v>
      </c>
      <c r="GU119" t="e">
        <f>AND('SPR BARRANQUILLA'!CG142,"AAAAAD62/so=")</f>
        <v>#VALUE!</v>
      </c>
      <c r="GV119" t="e">
        <f>AND('SPR BARRANQUILLA'!CH142,"AAAAAD62/ss=")</f>
        <v>#VALUE!</v>
      </c>
      <c r="GW119" t="e">
        <f>AND('SPR BARRANQUILLA'!CI142,"AAAAAD62/sw=")</f>
        <v>#VALUE!</v>
      </c>
      <c r="GX119" t="e">
        <f>AND('SPR BARRANQUILLA'!CJ142,"AAAAAD62/s0=")</f>
        <v>#VALUE!</v>
      </c>
      <c r="GY119" t="e">
        <f>AND('SPR BARRANQUILLA'!CK142,"AAAAAD62/s4=")</f>
        <v>#VALUE!</v>
      </c>
      <c r="GZ119" t="e">
        <f>AND('SPR BARRANQUILLA'!CL142,"AAAAAD62/s8=")</f>
        <v>#VALUE!</v>
      </c>
      <c r="HA119" t="e">
        <f>AND('SPR BARRANQUILLA'!CM142,"AAAAAD62/tA=")</f>
        <v>#VALUE!</v>
      </c>
      <c r="HB119" t="e">
        <f>AND('SPR BARRANQUILLA'!CN142,"AAAAAD62/tE=")</f>
        <v>#VALUE!</v>
      </c>
      <c r="HC119" t="e">
        <f>AND('SPR BARRANQUILLA'!CO142,"AAAAAD62/tI=")</f>
        <v>#VALUE!</v>
      </c>
      <c r="HD119" t="e">
        <f>AND('SPR BARRANQUILLA'!CP142,"AAAAAD62/tM=")</f>
        <v>#VALUE!</v>
      </c>
      <c r="HE119" t="e">
        <f>AND('SPR BARRANQUILLA'!CQ142,"AAAAAD62/tQ=")</f>
        <v>#VALUE!</v>
      </c>
      <c r="HF119" t="e">
        <f>AND('SPR BARRANQUILLA'!CR142,"AAAAAD62/tU=")</f>
        <v>#VALUE!</v>
      </c>
      <c r="HG119" t="e">
        <f>AND('SPR BARRANQUILLA'!CS142,"AAAAAD62/tY=")</f>
        <v>#VALUE!</v>
      </c>
      <c r="HH119" t="e">
        <f>AND('SPR BARRANQUILLA'!CT142,"AAAAAD62/tc=")</f>
        <v>#VALUE!</v>
      </c>
      <c r="HI119" t="e">
        <f>AND('SPR BARRANQUILLA'!CU142,"AAAAAD62/tg=")</f>
        <v>#VALUE!</v>
      </c>
      <c r="HJ119" t="e">
        <f>AND('SPR BARRANQUILLA'!CV142,"AAAAAD62/tk=")</f>
        <v>#VALUE!</v>
      </c>
      <c r="HK119" t="e">
        <f>AND('SPR BARRANQUILLA'!CW142,"AAAAAD62/to=")</f>
        <v>#VALUE!</v>
      </c>
      <c r="HL119" t="e">
        <f>AND('SPR BARRANQUILLA'!CX142,"AAAAAD62/ts=")</f>
        <v>#VALUE!</v>
      </c>
      <c r="HM119" t="e">
        <f>AND('SPR BARRANQUILLA'!CY142,"AAAAAD62/tw=")</f>
        <v>#VALUE!</v>
      </c>
      <c r="HN119" t="e">
        <f>AND('SPR BARRANQUILLA'!CZ142,"AAAAAD62/t0=")</f>
        <v>#VALUE!</v>
      </c>
      <c r="HO119" t="e">
        <f>AND('SPR BARRANQUILLA'!DA142,"AAAAAD62/t4=")</f>
        <v>#VALUE!</v>
      </c>
      <c r="HP119" t="e">
        <f>AND('SPR BARRANQUILLA'!DB142,"AAAAAD62/t8=")</f>
        <v>#VALUE!</v>
      </c>
      <c r="HQ119" t="e">
        <f>AND('SPR BARRANQUILLA'!DC142,"AAAAAD62/uA=")</f>
        <v>#VALUE!</v>
      </c>
      <c r="HR119" t="e">
        <f>AND('SPR BARRANQUILLA'!DD142,"AAAAAD62/uE=")</f>
        <v>#VALUE!</v>
      </c>
      <c r="HS119" t="e">
        <f>AND('SPR BARRANQUILLA'!DE142,"AAAAAD62/uI=")</f>
        <v>#VALUE!</v>
      </c>
      <c r="HT119" t="e">
        <f>AND('SPR BARRANQUILLA'!DF142,"AAAAAD62/uM=")</f>
        <v>#VALUE!</v>
      </c>
      <c r="HU119" t="e">
        <f>AND('SPR BARRANQUILLA'!DG142,"AAAAAD62/uQ=")</f>
        <v>#VALUE!</v>
      </c>
      <c r="HV119" t="e">
        <f>AND('SPR BARRANQUILLA'!DH142,"AAAAAD62/uU=")</f>
        <v>#VALUE!</v>
      </c>
      <c r="HW119" t="e">
        <f>AND('SPR BARRANQUILLA'!DI142,"AAAAAD62/uY=")</f>
        <v>#VALUE!</v>
      </c>
      <c r="HX119" t="e">
        <f>AND('SPR BARRANQUILLA'!DJ142,"AAAAAD62/uc=")</f>
        <v>#VALUE!</v>
      </c>
      <c r="HY119" t="e">
        <f>AND('SPR BARRANQUILLA'!DK142,"AAAAAD62/ug=")</f>
        <v>#VALUE!</v>
      </c>
      <c r="HZ119" t="e">
        <f>AND('SPR BARRANQUILLA'!DL142,"AAAAAD62/uk=")</f>
        <v>#VALUE!</v>
      </c>
      <c r="IA119" t="e">
        <f>AND('SPR BARRANQUILLA'!DM142,"AAAAAD62/uo=")</f>
        <v>#VALUE!</v>
      </c>
      <c r="IB119" t="e">
        <f>AND('SPR BARRANQUILLA'!DN142,"AAAAAD62/us=")</f>
        <v>#VALUE!</v>
      </c>
      <c r="IC119" t="e">
        <f>AND('SPR BARRANQUILLA'!DO142,"AAAAAD62/uw=")</f>
        <v>#VALUE!</v>
      </c>
      <c r="ID119" t="e">
        <f>AND('SPR BARRANQUILLA'!DP142,"AAAAAD62/u0=")</f>
        <v>#VALUE!</v>
      </c>
      <c r="IE119" t="e">
        <f>AND('SPR BARRANQUILLA'!DQ142,"AAAAAD62/u4=")</f>
        <v>#VALUE!</v>
      </c>
      <c r="IF119" t="e">
        <f>AND('SPR BARRANQUILLA'!DR142,"AAAAAD62/u8=")</f>
        <v>#VALUE!</v>
      </c>
      <c r="IG119" t="e">
        <f>AND('SPR BARRANQUILLA'!DS142,"AAAAAD62/vA=")</f>
        <v>#VALUE!</v>
      </c>
      <c r="IH119" t="e">
        <f>AND('SPR BARRANQUILLA'!DT142,"AAAAAD62/vE=")</f>
        <v>#VALUE!</v>
      </c>
      <c r="II119" t="e">
        <f>AND('SPR BARRANQUILLA'!DU142,"AAAAAD62/vI=")</f>
        <v>#VALUE!</v>
      </c>
      <c r="IJ119" t="e">
        <f>AND('SPR BARRANQUILLA'!DV142,"AAAAAD62/vM=")</f>
        <v>#VALUE!</v>
      </c>
      <c r="IK119" t="e">
        <f>AND('SPR BARRANQUILLA'!DW142,"AAAAAD62/vQ=")</f>
        <v>#VALUE!</v>
      </c>
      <c r="IL119" t="e">
        <f>AND('SPR BARRANQUILLA'!DX142,"AAAAAD62/vU=")</f>
        <v>#VALUE!</v>
      </c>
      <c r="IM119" t="e">
        <f>AND('SPR BARRANQUILLA'!DY142,"AAAAAD62/vY=")</f>
        <v>#VALUE!</v>
      </c>
      <c r="IN119" t="e">
        <f>AND('SPR BARRANQUILLA'!DZ142,"AAAAAD62/vc=")</f>
        <v>#VALUE!</v>
      </c>
      <c r="IO119" t="e">
        <f>AND('SPR BARRANQUILLA'!EA142,"AAAAAD62/vg=")</f>
        <v>#VALUE!</v>
      </c>
      <c r="IP119" t="e">
        <f>AND('SPR BARRANQUILLA'!EB142,"AAAAAD62/vk=")</f>
        <v>#VALUE!</v>
      </c>
      <c r="IQ119" t="e">
        <f>AND('SPR BARRANQUILLA'!EC142,"AAAAAD62/vo=")</f>
        <v>#VALUE!</v>
      </c>
      <c r="IR119" t="e">
        <f>AND('SPR BARRANQUILLA'!ED142,"AAAAAD62/vs=")</f>
        <v>#VALUE!</v>
      </c>
      <c r="IS119" t="e">
        <f>AND('SPR BARRANQUILLA'!EE142,"AAAAAD62/vw=")</f>
        <v>#VALUE!</v>
      </c>
      <c r="IT119" t="e">
        <f>AND('SPR BARRANQUILLA'!EF142,"AAAAAD62/v0=")</f>
        <v>#VALUE!</v>
      </c>
      <c r="IU119" t="e">
        <f>AND('SPR BARRANQUILLA'!EG142,"AAAAAD62/v4=")</f>
        <v>#VALUE!</v>
      </c>
      <c r="IV119" t="e">
        <f>AND('SPR BARRANQUILLA'!EH142,"AAAAAD62/v8=")</f>
        <v>#VALUE!</v>
      </c>
    </row>
    <row r="120" spans="1:256">
      <c r="A120" t="e">
        <f>AND('SPR BARRANQUILLA'!EI142,"AAAAABf+ngA=")</f>
        <v>#VALUE!</v>
      </c>
      <c r="B120" t="e">
        <f>AND('SPR BARRANQUILLA'!EJ142,"AAAAABf+ngE=")</f>
        <v>#VALUE!</v>
      </c>
      <c r="C120" t="e">
        <f>AND('SPR BARRANQUILLA'!EK142,"AAAAABf+ngI=")</f>
        <v>#VALUE!</v>
      </c>
      <c r="D120" t="e">
        <f>AND('SPR BARRANQUILLA'!EL142,"AAAAABf+ngM=")</f>
        <v>#VALUE!</v>
      </c>
      <c r="E120" t="e">
        <f>AND('SPR BARRANQUILLA'!EM142,"AAAAABf+ngQ=")</f>
        <v>#VALUE!</v>
      </c>
      <c r="F120" t="e">
        <f>AND('SPR BARRANQUILLA'!EN142,"AAAAABf+ngU=")</f>
        <v>#VALUE!</v>
      </c>
      <c r="G120" t="e">
        <f>AND('SPR BARRANQUILLA'!EO142,"AAAAABf+ngY=")</f>
        <v>#VALUE!</v>
      </c>
      <c r="H120" t="e">
        <f>AND('SPR BARRANQUILLA'!EP142,"AAAAABf+ngc=")</f>
        <v>#VALUE!</v>
      </c>
      <c r="I120" t="e">
        <f>AND('SPR BARRANQUILLA'!EQ142,"AAAAABf+ngg=")</f>
        <v>#VALUE!</v>
      </c>
      <c r="J120" t="e">
        <f>AND('SPR BARRANQUILLA'!ER142,"AAAAABf+ngk=")</f>
        <v>#VALUE!</v>
      </c>
      <c r="K120" t="e">
        <f>AND('SPR BARRANQUILLA'!ES142,"AAAAABf+ngo=")</f>
        <v>#VALUE!</v>
      </c>
      <c r="L120" t="e">
        <f>AND('SPR BARRANQUILLA'!ET142,"AAAAABf+ngs=")</f>
        <v>#VALUE!</v>
      </c>
      <c r="M120" t="e">
        <f>AND('SPR BARRANQUILLA'!EU142,"AAAAABf+ngw=")</f>
        <v>#VALUE!</v>
      </c>
      <c r="N120" t="e">
        <f>AND('SPR BARRANQUILLA'!EV142,"AAAAABf+ng0=")</f>
        <v>#VALUE!</v>
      </c>
      <c r="O120" t="e">
        <f>AND('SPR BARRANQUILLA'!EW142,"AAAAABf+ng4=")</f>
        <v>#VALUE!</v>
      </c>
      <c r="P120" t="e">
        <f>AND('SPR BARRANQUILLA'!EX142,"AAAAABf+ng8=")</f>
        <v>#VALUE!</v>
      </c>
      <c r="Q120" t="e">
        <f>AND('SPR BARRANQUILLA'!EY142,"AAAAABf+nhA=")</f>
        <v>#VALUE!</v>
      </c>
      <c r="R120" t="e">
        <f>AND('SPR BARRANQUILLA'!EZ142,"AAAAABf+nhE=")</f>
        <v>#VALUE!</v>
      </c>
      <c r="S120" t="e">
        <f>AND('SPR BARRANQUILLA'!FA142,"AAAAABf+nhI=")</f>
        <v>#VALUE!</v>
      </c>
      <c r="T120" t="e">
        <f>AND('SPR BARRANQUILLA'!FB142,"AAAAABf+nhM=")</f>
        <v>#VALUE!</v>
      </c>
      <c r="U120" t="e">
        <f>AND('SPR BARRANQUILLA'!FC142,"AAAAABf+nhQ=")</f>
        <v>#VALUE!</v>
      </c>
      <c r="V120" t="e">
        <f>AND('SPR BARRANQUILLA'!FD142,"AAAAABf+nhU=")</f>
        <v>#VALUE!</v>
      </c>
      <c r="W120" t="e">
        <f>AND('SPR BARRANQUILLA'!FE142,"AAAAABf+nhY=")</f>
        <v>#VALUE!</v>
      </c>
      <c r="X120" t="e">
        <f>AND('SPR BARRANQUILLA'!FF142,"AAAAABf+nhc=")</f>
        <v>#VALUE!</v>
      </c>
      <c r="Y120" t="e">
        <f>AND('SPR BARRANQUILLA'!FG142,"AAAAABf+nhg=")</f>
        <v>#VALUE!</v>
      </c>
      <c r="Z120" t="e">
        <f>AND('SPR BARRANQUILLA'!FH142,"AAAAABf+nhk=")</f>
        <v>#VALUE!</v>
      </c>
      <c r="AA120" t="e">
        <f>AND('SPR BARRANQUILLA'!FI142,"AAAAABf+nho=")</f>
        <v>#VALUE!</v>
      </c>
      <c r="AB120" t="e">
        <f>AND('SPR BARRANQUILLA'!FJ142,"AAAAABf+nhs=")</f>
        <v>#VALUE!</v>
      </c>
      <c r="AC120" t="e">
        <f>AND('SPR BARRANQUILLA'!FK142,"AAAAABf+nhw=")</f>
        <v>#VALUE!</v>
      </c>
      <c r="AD120" t="e">
        <f>AND('SPR BARRANQUILLA'!FL142,"AAAAABf+nh0=")</f>
        <v>#VALUE!</v>
      </c>
      <c r="AE120" t="e">
        <f>AND('SPR BARRANQUILLA'!FM142,"AAAAABf+nh4=")</f>
        <v>#VALUE!</v>
      </c>
      <c r="AF120" t="e">
        <f>AND('SPR BARRANQUILLA'!FN142,"AAAAABf+nh8=")</f>
        <v>#VALUE!</v>
      </c>
      <c r="AG120" t="e">
        <f>AND('SPR BARRANQUILLA'!FO142,"AAAAABf+niA=")</f>
        <v>#VALUE!</v>
      </c>
      <c r="AH120" t="e">
        <f>AND('SPR BARRANQUILLA'!FP142,"AAAAABf+niE=")</f>
        <v>#VALUE!</v>
      </c>
      <c r="AI120" t="e">
        <f>AND('SPR BARRANQUILLA'!FQ142,"AAAAABf+niI=")</f>
        <v>#VALUE!</v>
      </c>
      <c r="AJ120" t="e">
        <f>AND('SPR BARRANQUILLA'!FR142,"AAAAABf+niM=")</f>
        <v>#VALUE!</v>
      </c>
      <c r="AK120" t="e">
        <f>AND('SPR BARRANQUILLA'!FS142,"AAAAABf+niQ=")</f>
        <v>#VALUE!</v>
      </c>
      <c r="AL120" t="e">
        <f>AND('SPR BARRANQUILLA'!FT142,"AAAAABf+niU=")</f>
        <v>#VALUE!</v>
      </c>
      <c r="AM120" t="e">
        <f>AND('SPR BARRANQUILLA'!FU142,"AAAAABf+niY=")</f>
        <v>#VALUE!</v>
      </c>
      <c r="AN120" t="e">
        <f>AND('SPR BARRANQUILLA'!FV142,"AAAAABf+nic=")</f>
        <v>#VALUE!</v>
      </c>
      <c r="AO120" t="e">
        <f>AND('SPR BARRANQUILLA'!FW142,"AAAAABf+nig=")</f>
        <v>#VALUE!</v>
      </c>
      <c r="AP120" t="e">
        <f>AND('SPR BARRANQUILLA'!FX142,"AAAAABf+nik=")</f>
        <v>#VALUE!</v>
      </c>
      <c r="AQ120" t="e">
        <f>AND('SPR BARRANQUILLA'!FY142,"AAAAABf+nio=")</f>
        <v>#VALUE!</v>
      </c>
      <c r="AR120" t="e">
        <f>AND('SPR BARRANQUILLA'!FZ142,"AAAAABf+nis=")</f>
        <v>#VALUE!</v>
      </c>
      <c r="AS120" t="e">
        <f>AND('SPR BARRANQUILLA'!GA142,"AAAAABf+niw=")</f>
        <v>#VALUE!</v>
      </c>
      <c r="AT120" t="e">
        <f>AND('SPR BARRANQUILLA'!GB142,"AAAAABf+ni0=")</f>
        <v>#VALUE!</v>
      </c>
      <c r="AU120" t="e">
        <f>AND('SPR BARRANQUILLA'!GC142,"AAAAABf+ni4=")</f>
        <v>#VALUE!</v>
      </c>
      <c r="AV120" t="e">
        <f>AND('SPR BARRANQUILLA'!GD142,"AAAAABf+ni8=")</f>
        <v>#VALUE!</v>
      </c>
      <c r="AW120" t="e">
        <f>AND('SPR BARRANQUILLA'!GE142,"AAAAABf+njA=")</f>
        <v>#VALUE!</v>
      </c>
      <c r="AX120" t="e">
        <f>AND('SPR BARRANQUILLA'!GF142,"AAAAABf+njE=")</f>
        <v>#VALUE!</v>
      </c>
      <c r="AY120" t="e">
        <f>AND('SPR BARRANQUILLA'!GG142,"AAAAABf+njI=")</f>
        <v>#VALUE!</v>
      </c>
      <c r="AZ120" t="e">
        <f>AND('SPR BARRANQUILLA'!GH142,"AAAAABf+njM=")</f>
        <v>#VALUE!</v>
      </c>
      <c r="BA120" t="e">
        <f>AND('SPR BARRANQUILLA'!GI142,"AAAAABf+njQ=")</f>
        <v>#VALUE!</v>
      </c>
      <c r="BB120" t="e">
        <f>AND('SPR BARRANQUILLA'!GJ142,"AAAAABf+njU=")</f>
        <v>#VALUE!</v>
      </c>
      <c r="BC120" t="e">
        <f>AND('SPR BARRANQUILLA'!GK142,"AAAAABf+njY=")</f>
        <v>#VALUE!</v>
      </c>
      <c r="BD120" t="e">
        <f>AND('SPR BARRANQUILLA'!GL142,"AAAAABf+njc=")</f>
        <v>#VALUE!</v>
      </c>
      <c r="BE120" t="e">
        <f>AND('SPR BARRANQUILLA'!GM142,"AAAAABf+njg=")</f>
        <v>#VALUE!</v>
      </c>
      <c r="BF120" t="e">
        <f>AND('SPR BARRANQUILLA'!GN142,"AAAAABf+njk=")</f>
        <v>#VALUE!</v>
      </c>
      <c r="BG120" t="e">
        <f>AND('SPR BARRANQUILLA'!GO142,"AAAAABf+njo=")</f>
        <v>#VALUE!</v>
      </c>
      <c r="BH120" t="e">
        <f>AND('SPR BARRANQUILLA'!GP142,"AAAAABf+njs=")</f>
        <v>#VALUE!</v>
      </c>
      <c r="BI120" t="e">
        <f>AND('SPR BARRANQUILLA'!GQ142,"AAAAABf+njw=")</f>
        <v>#VALUE!</v>
      </c>
      <c r="BJ120" t="e">
        <f>AND('SPR BARRANQUILLA'!GR142,"AAAAABf+nj0=")</f>
        <v>#VALUE!</v>
      </c>
      <c r="BK120" t="e">
        <f>AND('SPR BARRANQUILLA'!GS142,"AAAAABf+nj4=")</f>
        <v>#VALUE!</v>
      </c>
      <c r="BL120" t="e">
        <f>AND('SPR BARRANQUILLA'!GT142,"AAAAABf+nj8=")</f>
        <v>#VALUE!</v>
      </c>
      <c r="BM120" t="e">
        <f>AND('SPR BARRANQUILLA'!GU142,"AAAAABf+nkA=")</f>
        <v>#VALUE!</v>
      </c>
      <c r="BN120" t="e">
        <f>AND('SPR BARRANQUILLA'!GV142,"AAAAABf+nkE=")</f>
        <v>#VALUE!</v>
      </c>
      <c r="BO120" t="e">
        <f>AND('SPR BARRANQUILLA'!GW142,"AAAAABf+nkI=")</f>
        <v>#VALUE!</v>
      </c>
      <c r="BP120" t="e">
        <f>AND('SPR BARRANQUILLA'!GX142,"AAAAABf+nkM=")</f>
        <v>#VALUE!</v>
      </c>
      <c r="BQ120" t="e">
        <f>AND('SPR BARRANQUILLA'!GY142,"AAAAABf+nkQ=")</f>
        <v>#VALUE!</v>
      </c>
      <c r="BR120">
        <f>IF('SPR BARRANQUILLA'!143:143,"AAAAABf+nkU=",0)</f>
        <v>0</v>
      </c>
      <c r="BS120" t="e">
        <f>AND('SPR BARRANQUILLA'!A143,"AAAAABf+nkY=")</f>
        <v>#VALUE!</v>
      </c>
      <c r="BT120" t="e">
        <f>AND('SPR BARRANQUILLA'!B143,"AAAAABf+nkc=")</f>
        <v>#VALUE!</v>
      </c>
      <c r="BU120" t="e">
        <f>AND('SPR BARRANQUILLA'!C143,"AAAAABf+nkg=")</f>
        <v>#VALUE!</v>
      </c>
      <c r="BV120" t="e">
        <f>AND('SPR BARRANQUILLA'!D143,"AAAAABf+nkk=")</f>
        <v>#VALUE!</v>
      </c>
      <c r="BW120" t="e">
        <f>AND('SPR BARRANQUILLA'!E143,"AAAAABf+nko=")</f>
        <v>#VALUE!</v>
      </c>
      <c r="BX120" t="e">
        <f>AND('SPR BARRANQUILLA'!F143,"AAAAABf+nks=")</f>
        <v>#VALUE!</v>
      </c>
      <c r="BY120" t="e">
        <f>AND('SPR BARRANQUILLA'!G143,"AAAAABf+nkw=")</f>
        <v>#VALUE!</v>
      </c>
      <c r="BZ120" t="e">
        <f>AND('SPR BARRANQUILLA'!H143,"AAAAABf+nk0=")</f>
        <v>#VALUE!</v>
      </c>
      <c r="CA120" t="e">
        <f>AND('SPR BARRANQUILLA'!I143,"AAAAABf+nk4=")</f>
        <v>#VALUE!</v>
      </c>
      <c r="CB120" t="e">
        <f>AND('SPR BARRANQUILLA'!J143,"AAAAABf+nk8=")</f>
        <v>#VALUE!</v>
      </c>
      <c r="CC120" t="e">
        <f>AND('SPR BARRANQUILLA'!K143,"AAAAABf+nlA=")</f>
        <v>#VALUE!</v>
      </c>
      <c r="CD120" t="e">
        <f>AND('SPR BARRANQUILLA'!L143,"AAAAABf+nlE=")</f>
        <v>#VALUE!</v>
      </c>
      <c r="CE120" t="e">
        <f>AND('SPR BARRANQUILLA'!M143,"AAAAABf+nlI=")</f>
        <v>#VALUE!</v>
      </c>
      <c r="CF120" t="e">
        <f>AND('SPR BARRANQUILLA'!N143,"AAAAABf+nlM=")</f>
        <v>#VALUE!</v>
      </c>
      <c r="CG120" t="e">
        <f>AND('SPR BARRANQUILLA'!O143,"AAAAABf+nlQ=")</f>
        <v>#VALUE!</v>
      </c>
      <c r="CH120" t="e">
        <f>AND('SPR BARRANQUILLA'!P143,"AAAAABf+nlU=")</f>
        <v>#VALUE!</v>
      </c>
      <c r="CI120" t="e">
        <f>AND('SPR BARRANQUILLA'!Q143,"AAAAABf+nlY=")</f>
        <v>#VALUE!</v>
      </c>
      <c r="CJ120" t="e">
        <f>AND('SPR BARRANQUILLA'!R143,"AAAAABf+nlc=")</f>
        <v>#VALUE!</v>
      </c>
      <c r="CK120" t="e">
        <f>AND('SPR BARRANQUILLA'!S143,"AAAAABf+nlg=")</f>
        <v>#VALUE!</v>
      </c>
      <c r="CL120" t="e">
        <f>AND('SPR BARRANQUILLA'!T143,"AAAAABf+nlk=")</f>
        <v>#VALUE!</v>
      </c>
      <c r="CM120" t="e">
        <f>AND('SPR BARRANQUILLA'!U143,"AAAAABf+nlo=")</f>
        <v>#VALUE!</v>
      </c>
      <c r="CN120" t="e">
        <f>AND('SPR BARRANQUILLA'!V143,"AAAAABf+nls=")</f>
        <v>#VALUE!</v>
      </c>
      <c r="CO120" t="e">
        <f>AND('SPR BARRANQUILLA'!W143,"AAAAABf+nlw=")</f>
        <v>#VALUE!</v>
      </c>
      <c r="CP120" t="e">
        <f>AND('SPR BARRANQUILLA'!X143,"AAAAABf+nl0=")</f>
        <v>#VALUE!</v>
      </c>
      <c r="CQ120" t="e">
        <f>AND('SPR BARRANQUILLA'!Y143,"AAAAABf+nl4=")</f>
        <v>#VALUE!</v>
      </c>
      <c r="CR120" t="e">
        <f>AND('SPR BARRANQUILLA'!Z143,"AAAAABf+nl8=")</f>
        <v>#VALUE!</v>
      </c>
      <c r="CS120" t="e">
        <f>AND('SPR BARRANQUILLA'!AA143,"AAAAABf+nmA=")</f>
        <v>#VALUE!</v>
      </c>
      <c r="CT120" t="e">
        <f>AND('SPR BARRANQUILLA'!AB143,"AAAAABf+nmE=")</f>
        <v>#VALUE!</v>
      </c>
      <c r="CU120" t="e">
        <f>AND('SPR BARRANQUILLA'!AC143,"AAAAABf+nmI=")</f>
        <v>#VALUE!</v>
      </c>
      <c r="CV120" t="e">
        <f>AND('SPR BARRANQUILLA'!AD143,"AAAAABf+nmM=")</f>
        <v>#VALUE!</v>
      </c>
      <c r="CW120" t="e">
        <f>AND('SPR BARRANQUILLA'!AE143,"AAAAABf+nmQ=")</f>
        <v>#VALUE!</v>
      </c>
      <c r="CX120" t="e">
        <f>AND('SPR BARRANQUILLA'!AF143,"AAAAABf+nmU=")</f>
        <v>#VALUE!</v>
      </c>
      <c r="CY120" t="e">
        <f>AND('SPR BARRANQUILLA'!AG143,"AAAAABf+nmY=")</f>
        <v>#VALUE!</v>
      </c>
      <c r="CZ120" t="e">
        <f>AND('SPR BARRANQUILLA'!AH143,"AAAAABf+nmc=")</f>
        <v>#VALUE!</v>
      </c>
      <c r="DA120" t="e">
        <f>AND('SPR BARRANQUILLA'!AI143,"AAAAABf+nmg=")</f>
        <v>#VALUE!</v>
      </c>
      <c r="DB120" t="e">
        <f>AND('SPR BARRANQUILLA'!AJ143,"AAAAABf+nmk=")</f>
        <v>#VALUE!</v>
      </c>
      <c r="DC120" t="e">
        <f>AND('SPR BARRANQUILLA'!AK143,"AAAAABf+nmo=")</f>
        <v>#VALUE!</v>
      </c>
      <c r="DD120" t="e">
        <f>AND('SPR BARRANQUILLA'!AL143,"AAAAABf+nms=")</f>
        <v>#VALUE!</v>
      </c>
      <c r="DE120" t="e">
        <f>AND('SPR BARRANQUILLA'!AM143,"AAAAABf+nmw=")</f>
        <v>#VALUE!</v>
      </c>
      <c r="DF120" t="e">
        <f>AND('SPR BARRANQUILLA'!AN143,"AAAAABf+nm0=")</f>
        <v>#VALUE!</v>
      </c>
      <c r="DG120" t="e">
        <f>AND('SPR BARRANQUILLA'!AO143,"AAAAABf+nm4=")</f>
        <v>#VALUE!</v>
      </c>
      <c r="DH120" t="e">
        <f>AND('SPR BARRANQUILLA'!AP143,"AAAAABf+nm8=")</f>
        <v>#VALUE!</v>
      </c>
      <c r="DI120" t="e">
        <f>AND('SPR BARRANQUILLA'!AQ143,"AAAAABf+nnA=")</f>
        <v>#VALUE!</v>
      </c>
      <c r="DJ120" t="e">
        <f>AND('SPR BARRANQUILLA'!AR143,"AAAAABf+nnE=")</f>
        <v>#VALUE!</v>
      </c>
      <c r="DK120" t="e">
        <f>AND('SPR BARRANQUILLA'!AS143,"AAAAABf+nnI=")</f>
        <v>#VALUE!</v>
      </c>
      <c r="DL120" t="e">
        <f>AND('SPR BARRANQUILLA'!AT143,"AAAAABf+nnM=")</f>
        <v>#VALUE!</v>
      </c>
      <c r="DM120" t="e">
        <f>AND('SPR BARRANQUILLA'!AU143,"AAAAABf+nnQ=")</f>
        <v>#VALUE!</v>
      </c>
      <c r="DN120" t="e">
        <f>AND('SPR BARRANQUILLA'!AV143,"AAAAABf+nnU=")</f>
        <v>#VALUE!</v>
      </c>
      <c r="DO120" t="e">
        <f>AND('SPR BARRANQUILLA'!AW143,"AAAAABf+nnY=")</f>
        <v>#VALUE!</v>
      </c>
      <c r="DP120" t="e">
        <f>AND('SPR BARRANQUILLA'!AX143,"AAAAABf+nnc=")</f>
        <v>#VALUE!</v>
      </c>
      <c r="DQ120" t="e">
        <f>AND('SPR BARRANQUILLA'!AY143,"AAAAABf+nng=")</f>
        <v>#VALUE!</v>
      </c>
      <c r="DR120" t="e">
        <f>AND('SPR BARRANQUILLA'!AZ143,"AAAAABf+nnk=")</f>
        <v>#VALUE!</v>
      </c>
      <c r="DS120" t="e">
        <f>AND('SPR BARRANQUILLA'!BA143,"AAAAABf+nno=")</f>
        <v>#VALUE!</v>
      </c>
      <c r="DT120" t="e">
        <f>AND('SPR BARRANQUILLA'!BB143,"AAAAABf+nns=")</f>
        <v>#VALUE!</v>
      </c>
      <c r="DU120" t="e">
        <f>AND('SPR BARRANQUILLA'!BC143,"AAAAABf+nnw=")</f>
        <v>#VALUE!</v>
      </c>
      <c r="DV120" t="e">
        <f>AND('SPR BARRANQUILLA'!BD143,"AAAAABf+nn0=")</f>
        <v>#VALUE!</v>
      </c>
      <c r="DW120" t="e">
        <f>AND('SPR BARRANQUILLA'!BE143,"AAAAABf+nn4=")</f>
        <v>#VALUE!</v>
      </c>
      <c r="DX120" t="e">
        <f>AND('SPR BARRANQUILLA'!BF143,"AAAAABf+nn8=")</f>
        <v>#VALUE!</v>
      </c>
      <c r="DY120" t="e">
        <f>AND('SPR BARRANQUILLA'!BG143,"AAAAABf+noA=")</f>
        <v>#VALUE!</v>
      </c>
      <c r="DZ120" t="e">
        <f>AND('SPR BARRANQUILLA'!BH143,"AAAAABf+noE=")</f>
        <v>#VALUE!</v>
      </c>
      <c r="EA120" t="e">
        <f>AND('SPR BARRANQUILLA'!BI143,"AAAAABf+noI=")</f>
        <v>#VALUE!</v>
      </c>
      <c r="EB120" t="e">
        <f>AND('SPR BARRANQUILLA'!BJ143,"AAAAABf+noM=")</f>
        <v>#VALUE!</v>
      </c>
      <c r="EC120" t="e">
        <f>AND('SPR BARRANQUILLA'!BK143,"AAAAABf+noQ=")</f>
        <v>#VALUE!</v>
      </c>
      <c r="ED120" t="e">
        <f>AND('SPR BARRANQUILLA'!BL143,"AAAAABf+noU=")</f>
        <v>#VALUE!</v>
      </c>
      <c r="EE120" t="e">
        <f>AND('SPR BARRANQUILLA'!BM143,"AAAAABf+noY=")</f>
        <v>#VALUE!</v>
      </c>
      <c r="EF120" t="e">
        <f>AND('SPR BARRANQUILLA'!BN143,"AAAAABf+noc=")</f>
        <v>#VALUE!</v>
      </c>
      <c r="EG120" t="e">
        <f>AND('SPR BARRANQUILLA'!BO143,"AAAAABf+nog=")</f>
        <v>#VALUE!</v>
      </c>
      <c r="EH120" t="e">
        <f>AND('SPR BARRANQUILLA'!BP143,"AAAAABf+nok=")</f>
        <v>#VALUE!</v>
      </c>
      <c r="EI120" t="e">
        <f>AND('SPR BARRANQUILLA'!BQ143,"AAAAABf+noo=")</f>
        <v>#VALUE!</v>
      </c>
      <c r="EJ120" t="e">
        <f>AND('SPR BARRANQUILLA'!BR143,"AAAAABf+nos=")</f>
        <v>#VALUE!</v>
      </c>
      <c r="EK120" t="e">
        <f>AND('SPR BARRANQUILLA'!BS143,"AAAAABf+now=")</f>
        <v>#VALUE!</v>
      </c>
      <c r="EL120" t="e">
        <f>AND('SPR BARRANQUILLA'!BT143,"AAAAABf+no0=")</f>
        <v>#VALUE!</v>
      </c>
      <c r="EM120" t="e">
        <f>AND('SPR BARRANQUILLA'!BU143,"AAAAABf+no4=")</f>
        <v>#VALUE!</v>
      </c>
      <c r="EN120" t="e">
        <f>AND('SPR BARRANQUILLA'!BV143,"AAAAABf+no8=")</f>
        <v>#VALUE!</v>
      </c>
      <c r="EO120" t="e">
        <f>AND('SPR BARRANQUILLA'!BW143,"AAAAABf+npA=")</f>
        <v>#VALUE!</v>
      </c>
      <c r="EP120" t="e">
        <f>AND('SPR BARRANQUILLA'!BX143,"AAAAABf+npE=")</f>
        <v>#VALUE!</v>
      </c>
      <c r="EQ120" t="e">
        <f>AND('SPR BARRANQUILLA'!BY143,"AAAAABf+npI=")</f>
        <v>#VALUE!</v>
      </c>
      <c r="ER120" t="e">
        <f>AND('SPR BARRANQUILLA'!BZ143,"AAAAABf+npM=")</f>
        <v>#VALUE!</v>
      </c>
      <c r="ES120" t="e">
        <f>AND('SPR BARRANQUILLA'!CA143,"AAAAABf+npQ=")</f>
        <v>#VALUE!</v>
      </c>
      <c r="ET120" t="e">
        <f>AND('SPR BARRANQUILLA'!CB143,"AAAAABf+npU=")</f>
        <v>#VALUE!</v>
      </c>
      <c r="EU120" t="e">
        <f>AND('SPR BARRANQUILLA'!CC143,"AAAAABf+npY=")</f>
        <v>#VALUE!</v>
      </c>
      <c r="EV120" t="e">
        <f>AND('SPR BARRANQUILLA'!CD143,"AAAAABf+npc=")</f>
        <v>#VALUE!</v>
      </c>
      <c r="EW120" t="e">
        <f>AND('SPR BARRANQUILLA'!CE143,"AAAAABf+npg=")</f>
        <v>#VALUE!</v>
      </c>
      <c r="EX120" t="e">
        <f>AND('SPR BARRANQUILLA'!CF143,"AAAAABf+npk=")</f>
        <v>#VALUE!</v>
      </c>
      <c r="EY120" t="e">
        <f>AND('SPR BARRANQUILLA'!CG143,"AAAAABf+npo=")</f>
        <v>#VALUE!</v>
      </c>
      <c r="EZ120" t="e">
        <f>AND('SPR BARRANQUILLA'!CH143,"AAAAABf+nps=")</f>
        <v>#VALUE!</v>
      </c>
      <c r="FA120" t="e">
        <f>AND('SPR BARRANQUILLA'!CI143,"AAAAABf+npw=")</f>
        <v>#VALUE!</v>
      </c>
      <c r="FB120" t="e">
        <f>AND('SPR BARRANQUILLA'!CJ143,"AAAAABf+np0=")</f>
        <v>#VALUE!</v>
      </c>
      <c r="FC120" t="e">
        <f>AND('SPR BARRANQUILLA'!CK143,"AAAAABf+np4=")</f>
        <v>#VALUE!</v>
      </c>
      <c r="FD120" t="e">
        <f>AND('SPR BARRANQUILLA'!CL143,"AAAAABf+np8=")</f>
        <v>#VALUE!</v>
      </c>
      <c r="FE120" t="e">
        <f>AND('SPR BARRANQUILLA'!CM143,"AAAAABf+nqA=")</f>
        <v>#VALUE!</v>
      </c>
      <c r="FF120" t="e">
        <f>AND('SPR BARRANQUILLA'!CN143,"AAAAABf+nqE=")</f>
        <v>#VALUE!</v>
      </c>
      <c r="FG120" t="e">
        <f>AND('SPR BARRANQUILLA'!CO143,"AAAAABf+nqI=")</f>
        <v>#VALUE!</v>
      </c>
      <c r="FH120" t="e">
        <f>AND('SPR BARRANQUILLA'!CP143,"AAAAABf+nqM=")</f>
        <v>#VALUE!</v>
      </c>
      <c r="FI120" t="e">
        <f>AND('SPR BARRANQUILLA'!CQ143,"AAAAABf+nqQ=")</f>
        <v>#VALUE!</v>
      </c>
      <c r="FJ120" t="e">
        <f>AND('SPR BARRANQUILLA'!CR143,"AAAAABf+nqU=")</f>
        <v>#VALUE!</v>
      </c>
      <c r="FK120" t="e">
        <f>AND('SPR BARRANQUILLA'!CS143,"AAAAABf+nqY=")</f>
        <v>#VALUE!</v>
      </c>
      <c r="FL120" t="e">
        <f>AND('SPR BARRANQUILLA'!CT143,"AAAAABf+nqc=")</f>
        <v>#VALUE!</v>
      </c>
      <c r="FM120" t="e">
        <f>AND('SPR BARRANQUILLA'!CU143,"AAAAABf+nqg=")</f>
        <v>#VALUE!</v>
      </c>
      <c r="FN120" t="e">
        <f>AND('SPR BARRANQUILLA'!CV143,"AAAAABf+nqk=")</f>
        <v>#VALUE!</v>
      </c>
      <c r="FO120" t="e">
        <f>AND('SPR BARRANQUILLA'!CW143,"AAAAABf+nqo=")</f>
        <v>#VALUE!</v>
      </c>
      <c r="FP120" t="e">
        <f>AND('SPR BARRANQUILLA'!CX143,"AAAAABf+nqs=")</f>
        <v>#VALUE!</v>
      </c>
      <c r="FQ120" t="e">
        <f>AND('SPR BARRANQUILLA'!CY143,"AAAAABf+nqw=")</f>
        <v>#VALUE!</v>
      </c>
      <c r="FR120" t="e">
        <f>AND('SPR BARRANQUILLA'!CZ143,"AAAAABf+nq0=")</f>
        <v>#VALUE!</v>
      </c>
      <c r="FS120" t="e">
        <f>AND('SPR BARRANQUILLA'!DA143,"AAAAABf+nq4=")</f>
        <v>#VALUE!</v>
      </c>
      <c r="FT120" t="e">
        <f>AND('SPR BARRANQUILLA'!DB143,"AAAAABf+nq8=")</f>
        <v>#VALUE!</v>
      </c>
      <c r="FU120" t="e">
        <f>AND('SPR BARRANQUILLA'!DC143,"AAAAABf+nrA=")</f>
        <v>#VALUE!</v>
      </c>
      <c r="FV120" t="e">
        <f>AND('SPR BARRANQUILLA'!DD143,"AAAAABf+nrE=")</f>
        <v>#VALUE!</v>
      </c>
      <c r="FW120" t="e">
        <f>AND('SPR BARRANQUILLA'!DE143,"AAAAABf+nrI=")</f>
        <v>#VALUE!</v>
      </c>
      <c r="FX120" t="e">
        <f>AND('SPR BARRANQUILLA'!DF143,"AAAAABf+nrM=")</f>
        <v>#VALUE!</v>
      </c>
      <c r="FY120" t="e">
        <f>AND('SPR BARRANQUILLA'!DG143,"AAAAABf+nrQ=")</f>
        <v>#VALUE!</v>
      </c>
      <c r="FZ120" t="e">
        <f>AND('SPR BARRANQUILLA'!DH143,"AAAAABf+nrU=")</f>
        <v>#VALUE!</v>
      </c>
      <c r="GA120" t="e">
        <f>AND('SPR BARRANQUILLA'!DI143,"AAAAABf+nrY=")</f>
        <v>#VALUE!</v>
      </c>
      <c r="GB120" t="e">
        <f>AND('SPR BARRANQUILLA'!DJ143,"AAAAABf+nrc=")</f>
        <v>#VALUE!</v>
      </c>
      <c r="GC120" t="e">
        <f>AND('SPR BARRANQUILLA'!DK143,"AAAAABf+nrg=")</f>
        <v>#VALUE!</v>
      </c>
      <c r="GD120" t="e">
        <f>AND('SPR BARRANQUILLA'!DL143,"AAAAABf+nrk=")</f>
        <v>#VALUE!</v>
      </c>
      <c r="GE120" t="e">
        <f>AND('SPR BARRANQUILLA'!DM143,"AAAAABf+nro=")</f>
        <v>#VALUE!</v>
      </c>
      <c r="GF120" t="e">
        <f>AND('SPR BARRANQUILLA'!DN143,"AAAAABf+nrs=")</f>
        <v>#VALUE!</v>
      </c>
      <c r="GG120" t="e">
        <f>AND('SPR BARRANQUILLA'!DO143,"AAAAABf+nrw=")</f>
        <v>#VALUE!</v>
      </c>
      <c r="GH120" t="e">
        <f>AND('SPR BARRANQUILLA'!DP143,"AAAAABf+nr0=")</f>
        <v>#VALUE!</v>
      </c>
      <c r="GI120" t="e">
        <f>AND('SPR BARRANQUILLA'!DQ143,"AAAAABf+nr4=")</f>
        <v>#VALUE!</v>
      </c>
      <c r="GJ120" t="e">
        <f>AND('SPR BARRANQUILLA'!DR143,"AAAAABf+nr8=")</f>
        <v>#VALUE!</v>
      </c>
      <c r="GK120" t="e">
        <f>AND('SPR BARRANQUILLA'!DS143,"AAAAABf+nsA=")</f>
        <v>#VALUE!</v>
      </c>
      <c r="GL120" t="e">
        <f>AND('SPR BARRANQUILLA'!DT143,"AAAAABf+nsE=")</f>
        <v>#VALUE!</v>
      </c>
      <c r="GM120" t="e">
        <f>AND('SPR BARRANQUILLA'!DU143,"AAAAABf+nsI=")</f>
        <v>#VALUE!</v>
      </c>
      <c r="GN120" t="e">
        <f>AND('SPR BARRANQUILLA'!DV143,"AAAAABf+nsM=")</f>
        <v>#VALUE!</v>
      </c>
      <c r="GO120" t="e">
        <f>AND('SPR BARRANQUILLA'!DW143,"AAAAABf+nsQ=")</f>
        <v>#VALUE!</v>
      </c>
      <c r="GP120" t="e">
        <f>AND('SPR BARRANQUILLA'!DX143,"AAAAABf+nsU=")</f>
        <v>#VALUE!</v>
      </c>
      <c r="GQ120" t="e">
        <f>AND('SPR BARRANQUILLA'!DY143,"AAAAABf+nsY=")</f>
        <v>#VALUE!</v>
      </c>
      <c r="GR120" t="e">
        <f>AND('SPR BARRANQUILLA'!DZ143,"AAAAABf+nsc=")</f>
        <v>#VALUE!</v>
      </c>
      <c r="GS120" t="e">
        <f>AND('SPR BARRANQUILLA'!EA143,"AAAAABf+nsg=")</f>
        <v>#VALUE!</v>
      </c>
      <c r="GT120" t="e">
        <f>AND('SPR BARRANQUILLA'!EB143,"AAAAABf+nsk=")</f>
        <v>#VALUE!</v>
      </c>
      <c r="GU120" t="e">
        <f>AND('SPR BARRANQUILLA'!EC143,"AAAAABf+nso=")</f>
        <v>#VALUE!</v>
      </c>
      <c r="GV120" t="e">
        <f>AND('SPR BARRANQUILLA'!ED143,"AAAAABf+nss=")</f>
        <v>#VALUE!</v>
      </c>
      <c r="GW120" t="e">
        <f>AND('SPR BARRANQUILLA'!EE143,"AAAAABf+nsw=")</f>
        <v>#VALUE!</v>
      </c>
      <c r="GX120" t="e">
        <f>AND('SPR BARRANQUILLA'!EF143,"AAAAABf+ns0=")</f>
        <v>#VALUE!</v>
      </c>
      <c r="GY120" t="e">
        <f>AND('SPR BARRANQUILLA'!EG143,"AAAAABf+ns4=")</f>
        <v>#VALUE!</v>
      </c>
      <c r="GZ120" t="e">
        <f>AND('SPR BARRANQUILLA'!EH143,"AAAAABf+ns8=")</f>
        <v>#VALUE!</v>
      </c>
      <c r="HA120" t="e">
        <f>AND('SPR BARRANQUILLA'!EI143,"AAAAABf+ntA=")</f>
        <v>#VALUE!</v>
      </c>
      <c r="HB120" t="e">
        <f>AND('SPR BARRANQUILLA'!EJ143,"AAAAABf+ntE=")</f>
        <v>#VALUE!</v>
      </c>
      <c r="HC120" t="e">
        <f>AND('SPR BARRANQUILLA'!EK143,"AAAAABf+ntI=")</f>
        <v>#VALUE!</v>
      </c>
      <c r="HD120" t="e">
        <f>AND('SPR BARRANQUILLA'!EL143,"AAAAABf+ntM=")</f>
        <v>#VALUE!</v>
      </c>
      <c r="HE120" t="e">
        <f>AND('SPR BARRANQUILLA'!EM143,"AAAAABf+ntQ=")</f>
        <v>#VALUE!</v>
      </c>
      <c r="HF120" t="e">
        <f>AND('SPR BARRANQUILLA'!EN143,"AAAAABf+ntU=")</f>
        <v>#VALUE!</v>
      </c>
      <c r="HG120" t="e">
        <f>AND('SPR BARRANQUILLA'!EO143,"AAAAABf+ntY=")</f>
        <v>#VALUE!</v>
      </c>
      <c r="HH120" t="e">
        <f>AND('SPR BARRANQUILLA'!EP143,"AAAAABf+ntc=")</f>
        <v>#VALUE!</v>
      </c>
      <c r="HI120" t="e">
        <f>AND('SPR BARRANQUILLA'!EQ143,"AAAAABf+ntg=")</f>
        <v>#VALUE!</v>
      </c>
      <c r="HJ120" t="e">
        <f>AND('SPR BARRANQUILLA'!ER143,"AAAAABf+ntk=")</f>
        <v>#VALUE!</v>
      </c>
      <c r="HK120" t="e">
        <f>AND('SPR BARRANQUILLA'!ES143,"AAAAABf+nto=")</f>
        <v>#VALUE!</v>
      </c>
      <c r="HL120" t="e">
        <f>AND('SPR BARRANQUILLA'!ET143,"AAAAABf+nts=")</f>
        <v>#VALUE!</v>
      </c>
      <c r="HM120" t="e">
        <f>AND('SPR BARRANQUILLA'!EU143,"AAAAABf+ntw=")</f>
        <v>#VALUE!</v>
      </c>
      <c r="HN120" t="e">
        <f>AND('SPR BARRANQUILLA'!EV143,"AAAAABf+nt0=")</f>
        <v>#VALUE!</v>
      </c>
      <c r="HO120" t="e">
        <f>AND('SPR BARRANQUILLA'!EW143,"AAAAABf+nt4=")</f>
        <v>#VALUE!</v>
      </c>
      <c r="HP120" t="e">
        <f>AND('SPR BARRANQUILLA'!EX143,"AAAAABf+nt8=")</f>
        <v>#VALUE!</v>
      </c>
      <c r="HQ120" t="e">
        <f>AND('SPR BARRANQUILLA'!EY143,"AAAAABf+nuA=")</f>
        <v>#VALUE!</v>
      </c>
      <c r="HR120" t="e">
        <f>AND('SPR BARRANQUILLA'!EZ143,"AAAAABf+nuE=")</f>
        <v>#VALUE!</v>
      </c>
      <c r="HS120" t="e">
        <f>AND('SPR BARRANQUILLA'!FA143,"AAAAABf+nuI=")</f>
        <v>#VALUE!</v>
      </c>
      <c r="HT120" t="e">
        <f>AND('SPR BARRANQUILLA'!FB143,"AAAAABf+nuM=")</f>
        <v>#VALUE!</v>
      </c>
      <c r="HU120" t="e">
        <f>AND('SPR BARRANQUILLA'!FC143,"AAAAABf+nuQ=")</f>
        <v>#VALUE!</v>
      </c>
      <c r="HV120" t="e">
        <f>AND('SPR BARRANQUILLA'!FD143,"AAAAABf+nuU=")</f>
        <v>#VALUE!</v>
      </c>
      <c r="HW120" t="e">
        <f>AND('SPR BARRANQUILLA'!FE143,"AAAAABf+nuY=")</f>
        <v>#VALUE!</v>
      </c>
      <c r="HX120" t="e">
        <f>AND('SPR BARRANQUILLA'!FF143,"AAAAABf+nuc=")</f>
        <v>#VALUE!</v>
      </c>
      <c r="HY120" t="e">
        <f>AND('SPR BARRANQUILLA'!FG143,"AAAAABf+nug=")</f>
        <v>#VALUE!</v>
      </c>
      <c r="HZ120" t="e">
        <f>AND('SPR BARRANQUILLA'!FH143,"AAAAABf+nuk=")</f>
        <v>#VALUE!</v>
      </c>
      <c r="IA120" t="e">
        <f>AND('SPR BARRANQUILLA'!FI143,"AAAAABf+nuo=")</f>
        <v>#VALUE!</v>
      </c>
      <c r="IB120" t="e">
        <f>AND('SPR BARRANQUILLA'!FJ143,"AAAAABf+nus=")</f>
        <v>#VALUE!</v>
      </c>
      <c r="IC120" t="e">
        <f>AND('SPR BARRANQUILLA'!FK143,"AAAAABf+nuw=")</f>
        <v>#VALUE!</v>
      </c>
      <c r="ID120" t="e">
        <f>AND('SPR BARRANQUILLA'!FL143,"AAAAABf+nu0=")</f>
        <v>#VALUE!</v>
      </c>
      <c r="IE120" t="e">
        <f>AND('SPR BARRANQUILLA'!FM143,"AAAAABf+nu4=")</f>
        <v>#VALUE!</v>
      </c>
      <c r="IF120" t="e">
        <f>AND('SPR BARRANQUILLA'!FN143,"AAAAABf+nu8=")</f>
        <v>#VALUE!</v>
      </c>
      <c r="IG120" t="e">
        <f>AND('SPR BARRANQUILLA'!FO143,"AAAAABf+nvA=")</f>
        <v>#VALUE!</v>
      </c>
      <c r="IH120" t="e">
        <f>AND('SPR BARRANQUILLA'!FP143,"AAAAABf+nvE=")</f>
        <v>#VALUE!</v>
      </c>
      <c r="II120" t="e">
        <f>AND('SPR BARRANQUILLA'!FQ143,"AAAAABf+nvI=")</f>
        <v>#VALUE!</v>
      </c>
      <c r="IJ120" t="e">
        <f>AND('SPR BARRANQUILLA'!FR143,"AAAAABf+nvM=")</f>
        <v>#VALUE!</v>
      </c>
      <c r="IK120" t="e">
        <f>AND('SPR BARRANQUILLA'!FS143,"AAAAABf+nvQ=")</f>
        <v>#VALUE!</v>
      </c>
      <c r="IL120" t="e">
        <f>AND('SPR BARRANQUILLA'!FT143,"AAAAABf+nvU=")</f>
        <v>#VALUE!</v>
      </c>
      <c r="IM120" t="e">
        <f>AND('SPR BARRANQUILLA'!FU143,"AAAAABf+nvY=")</f>
        <v>#VALUE!</v>
      </c>
      <c r="IN120" t="e">
        <f>AND('SPR BARRANQUILLA'!FV143,"AAAAABf+nvc=")</f>
        <v>#VALUE!</v>
      </c>
      <c r="IO120" t="e">
        <f>AND('SPR BARRANQUILLA'!FW143,"AAAAABf+nvg=")</f>
        <v>#VALUE!</v>
      </c>
      <c r="IP120" t="e">
        <f>AND('SPR BARRANQUILLA'!FX143,"AAAAABf+nvk=")</f>
        <v>#VALUE!</v>
      </c>
      <c r="IQ120" t="e">
        <f>AND('SPR BARRANQUILLA'!FY143,"AAAAABf+nvo=")</f>
        <v>#VALUE!</v>
      </c>
      <c r="IR120" t="e">
        <f>AND('SPR BARRANQUILLA'!FZ143,"AAAAABf+nvs=")</f>
        <v>#VALUE!</v>
      </c>
      <c r="IS120" t="e">
        <f>AND('SPR BARRANQUILLA'!GA143,"AAAAABf+nvw=")</f>
        <v>#VALUE!</v>
      </c>
      <c r="IT120" t="e">
        <f>AND('SPR BARRANQUILLA'!GB143,"AAAAABf+nv0=")</f>
        <v>#VALUE!</v>
      </c>
      <c r="IU120" t="e">
        <f>AND('SPR BARRANQUILLA'!GC143,"AAAAABf+nv4=")</f>
        <v>#VALUE!</v>
      </c>
      <c r="IV120" t="e">
        <f>AND('SPR BARRANQUILLA'!GD143,"AAAAABf+nv8=")</f>
        <v>#VALUE!</v>
      </c>
    </row>
    <row r="121" spans="1:256">
      <c r="A121" t="e">
        <f>AND('SPR BARRANQUILLA'!GE143,"AAAAAH/WvwA=")</f>
        <v>#VALUE!</v>
      </c>
      <c r="B121" t="e">
        <f>AND('SPR BARRANQUILLA'!GF143,"AAAAAH/WvwE=")</f>
        <v>#VALUE!</v>
      </c>
      <c r="C121" t="e">
        <f>AND('SPR BARRANQUILLA'!GG143,"AAAAAH/WvwI=")</f>
        <v>#VALUE!</v>
      </c>
      <c r="D121" t="e">
        <f>AND('SPR BARRANQUILLA'!GH143,"AAAAAH/WvwM=")</f>
        <v>#VALUE!</v>
      </c>
      <c r="E121" t="e">
        <f>AND('SPR BARRANQUILLA'!GI143,"AAAAAH/WvwQ=")</f>
        <v>#VALUE!</v>
      </c>
      <c r="F121" t="e">
        <f>AND('SPR BARRANQUILLA'!GJ143,"AAAAAH/WvwU=")</f>
        <v>#VALUE!</v>
      </c>
      <c r="G121" t="e">
        <f>AND('SPR BARRANQUILLA'!GK143,"AAAAAH/WvwY=")</f>
        <v>#VALUE!</v>
      </c>
      <c r="H121" t="e">
        <f>AND('SPR BARRANQUILLA'!GL143,"AAAAAH/Wvwc=")</f>
        <v>#VALUE!</v>
      </c>
      <c r="I121" t="e">
        <f>AND('SPR BARRANQUILLA'!GM143,"AAAAAH/Wvwg=")</f>
        <v>#VALUE!</v>
      </c>
      <c r="J121" t="e">
        <f>AND('SPR BARRANQUILLA'!GN143,"AAAAAH/Wvwk=")</f>
        <v>#VALUE!</v>
      </c>
      <c r="K121" t="e">
        <f>AND('SPR BARRANQUILLA'!GO143,"AAAAAH/Wvwo=")</f>
        <v>#VALUE!</v>
      </c>
      <c r="L121" t="e">
        <f>AND('SPR BARRANQUILLA'!GP143,"AAAAAH/Wvws=")</f>
        <v>#VALUE!</v>
      </c>
      <c r="M121" t="e">
        <f>AND('SPR BARRANQUILLA'!GQ143,"AAAAAH/Wvww=")</f>
        <v>#VALUE!</v>
      </c>
      <c r="N121" t="e">
        <f>AND('SPR BARRANQUILLA'!GR143,"AAAAAH/Wvw0=")</f>
        <v>#VALUE!</v>
      </c>
      <c r="O121" t="e">
        <f>AND('SPR BARRANQUILLA'!GS143,"AAAAAH/Wvw4=")</f>
        <v>#VALUE!</v>
      </c>
      <c r="P121" t="e">
        <f>AND('SPR BARRANQUILLA'!GT143,"AAAAAH/Wvw8=")</f>
        <v>#VALUE!</v>
      </c>
      <c r="Q121" t="e">
        <f>AND('SPR BARRANQUILLA'!GU143,"AAAAAH/WvxA=")</f>
        <v>#VALUE!</v>
      </c>
      <c r="R121" t="e">
        <f>AND('SPR BARRANQUILLA'!GV143,"AAAAAH/WvxE=")</f>
        <v>#VALUE!</v>
      </c>
      <c r="S121" t="e">
        <f>AND('SPR BARRANQUILLA'!GW143,"AAAAAH/WvxI=")</f>
        <v>#VALUE!</v>
      </c>
      <c r="T121" t="e">
        <f>AND('SPR BARRANQUILLA'!GX143,"AAAAAH/WvxM=")</f>
        <v>#VALUE!</v>
      </c>
      <c r="U121" t="e">
        <f>AND('SPR BARRANQUILLA'!GY143,"AAAAAH/WvxQ=")</f>
        <v>#VALUE!</v>
      </c>
      <c r="V121">
        <f>IF('SPR BARRANQUILLA'!144:144,"AAAAAH/WvxU=",0)</f>
        <v>0</v>
      </c>
      <c r="W121" t="e">
        <f>AND('SPR BARRANQUILLA'!A144,"AAAAAH/WvxY=")</f>
        <v>#VALUE!</v>
      </c>
      <c r="X121" t="e">
        <f>AND('SPR BARRANQUILLA'!B144,"AAAAAH/Wvxc=")</f>
        <v>#VALUE!</v>
      </c>
      <c r="Y121" t="e">
        <f>AND('SPR BARRANQUILLA'!C144,"AAAAAH/Wvxg=")</f>
        <v>#VALUE!</v>
      </c>
      <c r="Z121" t="e">
        <f>AND('SPR BARRANQUILLA'!D144,"AAAAAH/Wvxk=")</f>
        <v>#VALUE!</v>
      </c>
      <c r="AA121" t="e">
        <f>AND('SPR BARRANQUILLA'!E144,"AAAAAH/Wvxo=")</f>
        <v>#VALUE!</v>
      </c>
      <c r="AB121" t="e">
        <f>AND('SPR BARRANQUILLA'!F144,"AAAAAH/Wvxs=")</f>
        <v>#VALUE!</v>
      </c>
      <c r="AC121" t="e">
        <f>AND('SPR BARRANQUILLA'!G144,"AAAAAH/Wvxw=")</f>
        <v>#VALUE!</v>
      </c>
      <c r="AD121" t="e">
        <f>AND('SPR BARRANQUILLA'!H144,"AAAAAH/Wvx0=")</f>
        <v>#VALUE!</v>
      </c>
      <c r="AE121" t="e">
        <f>AND('SPR BARRANQUILLA'!I144,"AAAAAH/Wvx4=")</f>
        <v>#VALUE!</v>
      </c>
      <c r="AF121" t="e">
        <f>AND('SPR BARRANQUILLA'!J144,"AAAAAH/Wvx8=")</f>
        <v>#VALUE!</v>
      </c>
      <c r="AG121" t="e">
        <f>AND('SPR BARRANQUILLA'!K144,"AAAAAH/WvyA=")</f>
        <v>#VALUE!</v>
      </c>
      <c r="AH121" t="e">
        <f>AND('SPR BARRANQUILLA'!L144,"AAAAAH/WvyE=")</f>
        <v>#VALUE!</v>
      </c>
      <c r="AI121" t="e">
        <f>AND('SPR BARRANQUILLA'!M144,"AAAAAH/WvyI=")</f>
        <v>#VALUE!</v>
      </c>
      <c r="AJ121" t="e">
        <f>AND('SPR BARRANQUILLA'!N144,"AAAAAH/WvyM=")</f>
        <v>#VALUE!</v>
      </c>
      <c r="AK121" t="e">
        <f>AND('SPR BARRANQUILLA'!O144,"AAAAAH/WvyQ=")</f>
        <v>#VALUE!</v>
      </c>
      <c r="AL121" t="e">
        <f>AND('SPR BARRANQUILLA'!P144,"AAAAAH/WvyU=")</f>
        <v>#VALUE!</v>
      </c>
      <c r="AM121" t="e">
        <f>AND('SPR BARRANQUILLA'!Q144,"AAAAAH/WvyY=")</f>
        <v>#VALUE!</v>
      </c>
      <c r="AN121" t="e">
        <f>AND('SPR BARRANQUILLA'!R144,"AAAAAH/Wvyc=")</f>
        <v>#VALUE!</v>
      </c>
      <c r="AO121" t="e">
        <f>AND('SPR BARRANQUILLA'!S144,"AAAAAH/Wvyg=")</f>
        <v>#VALUE!</v>
      </c>
      <c r="AP121" t="e">
        <f>AND('SPR BARRANQUILLA'!T144,"AAAAAH/Wvyk=")</f>
        <v>#VALUE!</v>
      </c>
      <c r="AQ121" t="e">
        <f>AND('SPR BARRANQUILLA'!U144,"AAAAAH/Wvyo=")</f>
        <v>#VALUE!</v>
      </c>
      <c r="AR121" t="e">
        <f>AND('SPR BARRANQUILLA'!V144,"AAAAAH/Wvys=")</f>
        <v>#VALUE!</v>
      </c>
      <c r="AS121" t="e">
        <f>AND('SPR BARRANQUILLA'!W144,"AAAAAH/Wvyw=")</f>
        <v>#VALUE!</v>
      </c>
      <c r="AT121" t="e">
        <f>AND('SPR BARRANQUILLA'!X144,"AAAAAH/Wvy0=")</f>
        <v>#VALUE!</v>
      </c>
      <c r="AU121" t="e">
        <f>AND('SPR BARRANQUILLA'!Y144,"AAAAAH/Wvy4=")</f>
        <v>#VALUE!</v>
      </c>
      <c r="AV121" t="e">
        <f>AND('SPR BARRANQUILLA'!Z144,"AAAAAH/Wvy8=")</f>
        <v>#VALUE!</v>
      </c>
      <c r="AW121" t="e">
        <f>AND('SPR BARRANQUILLA'!AA144,"AAAAAH/WvzA=")</f>
        <v>#VALUE!</v>
      </c>
      <c r="AX121" t="e">
        <f>AND('SPR BARRANQUILLA'!AB144,"AAAAAH/WvzE=")</f>
        <v>#VALUE!</v>
      </c>
      <c r="AY121" t="e">
        <f>AND('SPR BARRANQUILLA'!AC144,"AAAAAH/WvzI=")</f>
        <v>#VALUE!</v>
      </c>
      <c r="AZ121" t="e">
        <f>AND('SPR BARRANQUILLA'!AD144,"AAAAAH/WvzM=")</f>
        <v>#VALUE!</v>
      </c>
      <c r="BA121" t="e">
        <f>AND('SPR BARRANQUILLA'!AE144,"AAAAAH/WvzQ=")</f>
        <v>#VALUE!</v>
      </c>
      <c r="BB121" t="e">
        <f>AND('SPR BARRANQUILLA'!AF144,"AAAAAH/WvzU=")</f>
        <v>#VALUE!</v>
      </c>
      <c r="BC121" t="e">
        <f>AND('SPR BARRANQUILLA'!AG144,"AAAAAH/WvzY=")</f>
        <v>#VALUE!</v>
      </c>
      <c r="BD121" t="e">
        <f>AND('SPR BARRANQUILLA'!AH144,"AAAAAH/Wvzc=")</f>
        <v>#VALUE!</v>
      </c>
      <c r="BE121" t="e">
        <f>AND('SPR BARRANQUILLA'!AI144,"AAAAAH/Wvzg=")</f>
        <v>#VALUE!</v>
      </c>
      <c r="BF121" t="e">
        <f>AND('SPR BARRANQUILLA'!AJ144,"AAAAAH/Wvzk=")</f>
        <v>#VALUE!</v>
      </c>
      <c r="BG121" t="e">
        <f>AND('SPR BARRANQUILLA'!AK144,"AAAAAH/Wvzo=")</f>
        <v>#VALUE!</v>
      </c>
      <c r="BH121" t="e">
        <f>AND('SPR BARRANQUILLA'!AL144,"AAAAAH/Wvzs=")</f>
        <v>#VALUE!</v>
      </c>
      <c r="BI121" t="e">
        <f>AND('SPR BARRANQUILLA'!AM144,"AAAAAH/Wvzw=")</f>
        <v>#VALUE!</v>
      </c>
      <c r="BJ121" t="e">
        <f>AND('SPR BARRANQUILLA'!AN144,"AAAAAH/Wvz0=")</f>
        <v>#VALUE!</v>
      </c>
      <c r="BK121" t="e">
        <f>AND('SPR BARRANQUILLA'!AO144,"AAAAAH/Wvz4=")</f>
        <v>#VALUE!</v>
      </c>
      <c r="BL121" t="e">
        <f>AND('SPR BARRANQUILLA'!AP144,"AAAAAH/Wvz8=")</f>
        <v>#VALUE!</v>
      </c>
      <c r="BM121" t="e">
        <f>AND('SPR BARRANQUILLA'!AQ144,"AAAAAH/Wv0A=")</f>
        <v>#VALUE!</v>
      </c>
      <c r="BN121" t="e">
        <f>AND('SPR BARRANQUILLA'!AR144,"AAAAAH/Wv0E=")</f>
        <v>#VALUE!</v>
      </c>
      <c r="BO121" t="e">
        <f>AND('SPR BARRANQUILLA'!AS144,"AAAAAH/Wv0I=")</f>
        <v>#VALUE!</v>
      </c>
      <c r="BP121" t="e">
        <f>AND('SPR BARRANQUILLA'!AT144,"AAAAAH/Wv0M=")</f>
        <v>#VALUE!</v>
      </c>
      <c r="BQ121" t="e">
        <f>AND('SPR BARRANQUILLA'!AU144,"AAAAAH/Wv0Q=")</f>
        <v>#VALUE!</v>
      </c>
      <c r="BR121" t="e">
        <f>AND('SPR BARRANQUILLA'!AV144,"AAAAAH/Wv0U=")</f>
        <v>#VALUE!</v>
      </c>
      <c r="BS121" t="e">
        <f>AND('SPR BARRANQUILLA'!AW144,"AAAAAH/Wv0Y=")</f>
        <v>#VALUE!</v>
      </c>
      <c r="BT121" t="e">
        <f>AND('SPR BARRANQUILLA'!AX144,"AAAAAH/Wv0c=")</f>
        <v>#VALUE!</v>
      </c>
      <c r="BU121" t="e">
        <f>AND('SPR BARRANQUILLA'!AY144,"AAAAAH/Wv0g=")</f>
        <v>#VALUE!</v>
      </c>
      <c r="BV121" t="e">
        <f>AND('SPR BARRANQUILLA'!AZ144,"AAAAAH/Wv0k=")</f>
        <v>#VALUE!</v>
      </c>
      <c r="BW121" t="e">
        <f>AND('SPR BARRANQUILLA'!BA144,"AAAAAH/Wv0o=")</f>
        <v>#VALUE!</v>
      </c>
      <c r="BX121" t="e">
        <f>AND('SPR BARRANQUILLA'!BB144,"AAAAAH/Wv0s=")</f>
        <v>#VALUE!</v>
      </c>
      <c r="BY121" t="e">
        <f>AND('SPR BARRANQUILLA'!BC144,"AAAAAH/Wv0w=")</f>
        <v>#VALUE!</v>
      </c>
      <c r="BZ121" t="e">
        <f>AND('SPR BARRANQUILLA'!BD144,"AAAAAH/Wv00=")</f>
        <v>#VALUE!</v>
      </c>
      <c r="CA121" t="e">
        <f>AND('SPR BARRANQUILLA'!BE144,"AAAAAH/Wv04=")</f>
        <v>#VALUE!</v>
      </c>
      <c r="CB121" t="e">
        <f>AND('SPR BARRANQUILLA'!BF144,"AAAAAH/Wv08=")</f>
        <v>#VALUE!</v>
      </c>
      <c r="CC121" t="e">
        <f>AND('SPR BARRANQUILLA'!BG144,"AAAAAH/Wv1A=")</f>
        <v>#VALUE!</v>
      </c>
      <c r="CD121" t="e">
        <f>AND('SPR BARRANQUILLA'!BH144,"AAAAAH/Wv1E=")</f>
        <v>#VALUE!</v>
      </c>
      <c r="CE121" t="e">
        <f>AND('SPR BARRANQUILLA'!BI144,"AAAAAH/Wv1I=")</f>
        <v>#VALUE!</v>
      </c>
      <c r="CF121" t="e">
        <f>AND('SPR BARRANQUILLA'!BJ144,"AAAAAH/Wv1M=")</f>
        <v>#VALUE!</v>
      </c>
      <c r="CG121" t="e">
        <f>AND('SPR BARRANQUILLA'!BK144,"AAAAAH/Wv1Q=")</f>
        <v>#VALUE!</v>
      </c>
      <c r="CH121" t="e">
        <f>AND('SPR BARRANQUILLA'!BL144,"AAAAAH/Wv1U=")</f>
        <v>#VALUE!</v>
      </c>
      <c r="CI121" t="e">
        <f>AND('SPR BARRANQUILLA'!BM144,"AAAAAH/Wv1Y=")</f>
        <v>#VALUE!</v>
      </c>
      <c r="CJ121" t="e">
        <f>AND('SPR BARRANQUILLA'!BN144,"AAAAAH/Wv1c=")</f>
        <v>#VALUE!</v>
      </c>
      <c r="CK121" t="e">
        <f>AND('SPR BARRANQUILLA'!BO144,"AAAAAH/Wv1g=")</f>
        <v>#VALUE!</v>
      </c>
      <c r="CL121" t="e">
        <f>AND('SPR BARRANQUILLA'!BP144,"AAAAAH/Wv1k=")</f>
        <v>#VALUE!</v>
      </c>
      <c r="CM121" t="e">
        <f>AND('SPR BARRANQUILLA'!BQ144,"AAAAAH/Wv1o=")</f>
        <v>#VALUE!</v>
      </c>
      <c r="CN121" t="e">
        <f>AND('SPR BARRANQUILLA'!BR144,"AAAAAH/Wv1s=")</f>
        <v>#VALUE!</v>
      </c>
      <c r="CO121" t="e">
        <f>AND('SPR BARRANQUILLA'!BS144,"AAAAAH/Wv1w=")</f>
        <v>#VALUE!</v>
      </c>
      <c r="CP121" t="e">
        <f>AND('SPR BARRANQUILLA'!BT144,"AAAAAH/Wv10=")</f>
        <v>#VALUE!</v>
      </c>
      <c r="CQ121" t="e">
        <f>AND('SPR BARRANQUILLA'!BU144,"AAAAAH/Wv14=")</f>
        <v>#VALUE!</v>
      </c>
      <c r="CR121" t="e">
        <f>AND('SPR BARRANQUILLA'!BV144,"AAAAAH/Wv18=")</f>
        <v>#VALUE!</v>
      </c>
      <c r="CS121" t="e">
        <f>AND('SPR BARRANQUILLA'!BW144,"AAAAAH/Wv2A=")</f>
        <v>#VALUE!</v>
      </c>
      <c r="CT121" t="e">
        <f>AND('SPR BARRANQUILLA'!BX144,"AAAAAH/Wv2E=")</f>
        <v>#VALUE!</v>
      </c>
      <c r="CU121" t="e">
        <f>AND('SPR BARRANQUILLA'!BY144,"AAAAAH/Wv2I=")</f>
        <v>#VALUE!</v>
      </c>
      <c r="CV121" t="e">
        <f>AND('SPR BARRANQUILLA'!BZ144,"AAAAAH/Wv2M=")</f>
        <v>#VALUE!</v>
      </c>
      <c r="CW121" t="e">
        <f>AND('SPR BARRANQUILLA'!CA144,"AAAAAH/Wv2Q=")</f>
        <v>#VALUE!</v>
      </c>
      <c r="CX121" t="e">
        <f>AND('SPR BARRANQUILLA'!CB144,"AAAAAH/Wv2U=")</f>
        <v>#VALUE!</v>
      </c>
      <c r="CY121" t="e">
        <f>AND('SPR BARRANQUILLA'!CC144,"AAAAAH/Wv2Y=")</f>
        <v>#VALUE!</v>
      </c>
      <c r="CZ121" t="e">
        <f>AND('SPR BARRANQUILLA'!CD144,"AAAAAH/Wv2c=")</f>
        <v>#VALUE!</v>
      </c>
      <c r="DA121" t="e">
        <f>AND('SPR BARRANQUILLA'!CE144,"AAAAAH/Wv2g=")</f>
        <v>#VALUE!</v>
      </c>
      <c r="DB121" t="e">
        <f>AND('SPR BARRANQUILLA'!CF144,"AAAAAH/Wv2k=")</f>
        <v>#VALUE!</v>
      </c>
      <c r="DC121" t="e">
        <f>AND('SPR BARRANQUILLA'!CG144,"AAAAAH/Wv2o=")</f>
        <v>#VALUE!</v>
      </c>
      <c r="DD121" t="e">
        <f>AND('SPR BARRANQUILLA'!CH144,"AAAAAH/Wv2s=")</f>
        <v>#VALUE!</v>
      </c>
      <c r="DE121" t="e">
        <f>AND('SPR BARRANQUILLA'!CI144,"AAAAAH/Wv2w=")</f>
        <v>#VALUE!</v>
      </c>
      <c r="DF121" t="e">
        <f>AND('SPR BARRANQUILLA'!CJ144,"AAAAAH/Wv20=")</f>
        <v>#VALUE!</v>
      </c>
      <c r="DG121" t="e">
        <f>AND('SPR BARRANQUILLA'!CK144,"AAAAAH/Wv24=")</f>
        <v>#VALUE!</v>
      </c>
      <c r="DH121" t="e">
        <f>AND('SPR BARRANQUILLA'!CL144,"AAAAAH/Wv28=")</f>
        <v>#VALUE!</v>
      </c>
      <c r="DI121" t="e">
        <f>AND('SPR BARRANQUILLA'!CM144,"AAAAAH/Wv3A=")</f>
        <v>#VALUE!</v>
      </c>
      <c r="DJ121" t="e">
        <f>AND('SPR BARRANQUILLA'!CN144,"AAAAAH/Wv3E=")</f>
        <v>#VALUE!</v>
      </c>
      <c r="DK121" t="e">
        <f>AND('SPR BARRANQUILLA'!CO144,"AAAAAH/Wv3I=")</f>
        <v>#VALUE!</v>
      </c>
      <c r="DL121" t="e">
        <f>AND('SPR BARRANQUILLA'!CP144,"AAAAAH/Wv3M=")</f>
        <v>#VALUE!</v>
      </c>
      <c r="DM121" t="e">
        <f>AND('SPR BARRANQUILLA'!CQ144,"AAAAAH/Wv3Q=")</f>
        <v>#VALUE!</v>
      </c>
      <c r="DN121" t="e">
        <f>AND('SPR BARRANQUILLA'!CR144,"AAAAAH/Wv3U=")</f>
        <v>#VALUE!</v>
      </c>
      <c r="DO121" t="e">
        <f>AND('SPR BARRANQUILLA'!CS144,"AAAAAH/Wv3Y=")</f>
        <v>#VALUE!</v>
      </c>
      <c r="DP121" t="e">
        <f>AND('SPR BARRANQUILLA'!CT144,"AAAAAH/Wv3c=")</f>
        <v>#VALUE!</v>
      </c>
      <c r="DQ121" t="e">
        <f>AND('SPR BARRANQUILLA'!CU144,"AAAAAH/Wv3g=")</f>
        <v>#VALUE!</v>
      </c>
      <c r="DR121" t="e">
        <f>AND('SPR BARRANQUILLA'!CV144,"AAAAAH/Wv3k=")</f>
        <v>#VALUE!</v>
      </c>
      <c r="DS121" t="e">
        <f>AND('SPR BARRANQUILLA'!CW144,"AAAAAH/Wv3o=")</f>
        <v>#VALUE!</v>
      </c>
      <c r="DT121" t="e">
        <f>AND('SPR BARRANQUILLA'!CX144,"AAAAAH/Wv3s=")</f>
        <v>#VALUE!</v>
      </c>
      <c r="DU121" t="e">
        <f>AND('SPR BARRANQUILLA'!CY144,"AAAAAH/Wv3w=")</f>
        <v>#VALUE!</v>
      </c>
      <c r="DV121" t="e">
        <f>AND('SPR BARRANQUILLA'!CZ144,"AAAAAH/Wv30=")</f>
        <v>#VALUE!</v>
      </c>
      <c r="DW121" t="e">
        <f>AND('SPR BARRANQUILLA'!DA144,"AAAAAH/Wv34=")</f>
        <v>#VALUE!</v>
      </c>
      <c r="DX121" t="e">
        <f>AND('SPR BARRANQUILLA'!DB144,"AAAAAH/Wv38=")</f>
        <v>#VALUE!</v>
      </c>
      <c r="DY121" t="e">
        <f>AND('SPR BARRANQUILLA'!DC144,"AAAAAH/Wv4A=")</f>
        <v>#VALUE!</v>
      </c>
      <c r="DZ121" t="e">
        <f>AND('SPR BARRANQUILLA'!DD144,"AAAAAH/Wv4E=")</f>
        <v>#VALUE!</v>
      </c>
      <c r="EA121" t="e">
        <f>AND('SPR BARRANQUILLA'!DE144,"AAAAAH/Wv4I=")</f>
        <v>#VALUE!</v>
      </c>
      <c r="EB121" t="e">
        <f>AND('SPR BARRANQUILLA'!DF144,"AAAAAH/Wv4M=")</f>
        <v>#VALUE!</v>
      </c>
      <c r="EC121" t="e">
        <f>AND('SPR BARRANQUILLA'!DG144,"AAAAAH/Wv4Q=")</f>
        <v>#VALUE!</v>
      </c>
      <c r="ED121" t="e">
        <f>AND('SPR BARRANQUILLA'!DH144,"AAAAAH/Wv4U=")</f>
        <v>#VALUE!</v>
      </c>
      <c r="EE121" t="e">
        <f>AND('SPR BARRANQUILLA'!DI144,"AAAAAH/Wv4Y=")</f>
        <v>#VALUE!</v>
      </c>
      <c r="EF121" t="e">
        <f>AND('SPR BARRANQUILLA'!DJ144,"AAAAAH/Wv4c=")</f>
        <v>#VALUE!</v>
      </c>
      <c r="EG121" t="e">
        <f>AND('SPR BARRANQUILLA'!DK144,"AAAAAH/Wv4g=")</f>
        <v>#VALUE!</v>
      </c>
      <c r="EH121" t="e">
        <f>AND('SPR BARRANQUILLA'!DL144,"AAAAAH/Wv4k=")</f>
        <v>#VALUE!</v>
      </c>
      <c r="EI121" t="e">
        <f>AND('SPR BARRANQUILLA'!DM144,"AAAAAH/Wv4o=")</f>
        <v>#VALUE!</v>
      </c>
      <c r="EJ121" t="e">
        <f>AND('SPR BARRANQUILLA'!DN144,"AAAAAH/Wv4s=")</f>
        <v>#VALUE!</v>
      </c>
      <c r="EK121" t="e">
        <f>AND('SPR BARRANQUILLA'!DO144,"AAAAAH/Wv4w=")</f>
        <v>#VALUE!</v>
      </c>
      <c r="EL121" t="e">
        <f>AND('SPR BARRANQUILLA'!DP144,"AAAAAH/Wv40=")</f>
        <v>#VALUE!</v>
      </c>
      <c r="EM121" t="e">
        <f>AND('SPR BARRANQUILLA'!DQ144,"AAAAAH/Wv44=")</f>
        <v>#VALUE!</v>
      </c>
      <c r="EN121" t="e">
        <f>AND('SPR BARRANQUILLA'!DR144,"AAAAAH/Wv48=")</f>
        <v>#VALUE!</v>
      </c>
      <c r="EO121" t="e">
        <f>AND('SPR BARRANQUILLA'!DS144,"AAAAAH/Wv5A=")</f>
        <v>#VALUE!</v>
      </c>
      <c r="EP121" t="e">
        <f>AND('SPR BARRANQUILLA'!DT144,"AAAAAH/Wv5E=")</f>
        <v>#VALUE!</v>
      </c>
      <c r="EQ121" t="e">
        <f>AND('SPR BARRANQUILLA'!DU144,"AAAAAH/Wv5I=")</f>
        <v>#VALUE!</v>
      </c>
      <c r="ER121" t="e">
        <f>AND('SPR BARRANQUILLA'!DV144,"AAAAAH/Wv5M=")</f>
        <v>#VALUE!</v>
      </c>
      <c r="ES121" t="e">
        <f>AND('SPR BARRANQUILLA'!DW144,"AAAAAH/Wv5Q=")</f>
        <v>#VALUE!</v>
      </c>
      <c r="ET121" t="e">
        <f>AND('SPR BARRANQUILLA'!DX144,"AAAAAH/Wv5U=")</f>
        <v>#VALUE!</v>
      </c>
      <c r="EU121" t="e">
        <f>AND('SPR BARRANQUILLA'!DY144,"AAAAAH/Wv5Y=")</f>
        <v>#VALUE!</v>
      </c>
      <c r="EV121" t="e">
        <f>AND('SPR BARRANQUILLA'!DZ144,"AAAAAH/Wv5c=")</f>
        <v>#VALUE!</v>
      </c>
      <c r="EW121" t="e">
        <f>AND('SPR BARRANQUILLA'!EA144,"AAAAAH/Wv5g=")</f>
        <v>#VALUE!</v>
      </c>
      <c r="EX121" t="e">
        <f>AND('SPR BARRANQUILLA'!EB144,"AAAAAH/Wv5k=")</f>
        <v>#VALUE!</v>
      </c>
      <c r="EY121" t="e">
        <f>AND('SPR BARRANQUILLA'!EC144,"AAAAAH/Wv5o=")</f>
        <v>#VALUE!</v>
      </c>
      <c r="EZ121" t="e">
        <f>AND('SPR BARRANQUILLA'!ED144,"AAAAAH/Wv5s=")</f>
        <v>#VALUE!</v>
      </c>
      <c r="FA121" t="e">
        <f>AND('SPR BARRANQUILLA'!EE144,"AAAAAH/Wv5w=")</f>
        <v>#VALUE!</v>
      </c>
      <c r="FB121" t="e">
        <f>AND('SPR BARRANQUILLA'!EF144,"AAAAAH/Wv50=")</f>
        <v>#VALUE!</v>
      </c>
      <c r="FC121" t="e">
        <f>AND('SPR BARRANQUILLA'!EG144,"AAAAAH/Wv54=")</f>
        <v>#VALUE!</v>
      </c>
      <c r="FD121" t="e">
        <f>AND('SPR BARRANQUILLA'!EH144,"AAAAAH/Wv58=")</f>
        <v>#VALUE!</v>
      </c>
      <c r="FE121" t="e">
        <f>AND('SPR BARRANQUILLA'!EI144,"AAAAAH/Wv6A=")</f>
        <v>#VALUE!</v>
      </c>
      <c r="FF121" t="e">
        <f>AND('SPR BARRANQUILLA'!EJ144,"AAAAAH/Wv6E=")</f>
        <v>#VALUE!</v>
      </c>
      <c r="FG121" t="e">
        <f>AND('SPR BARRANQUILLA'!EK144,"AAAAAH/Wv6I=")</f>
        <v>#VALUE!</v>
      </c>
      <c r="FH121" t="e">
        <f>AND('SPR BARRANQUILLA'!EL144,"AAAAAH/Wv6M=")</f>
        <v>#VALUE!</v>
      </c>
      <c r="FI121" t="e">
        <f>AND('SPR BARRANQUILLA'!EM144,"AAAAAH/Wv6Q=")</f>
        <v>#VALUE!</v>
      </c>
      <c r="FJ121" t="e">
        <f>AND('SPR BARRANQUILLA'!EN144,"AAAAAH/Wv6U=")</f>
        <v>#VALUE!</v>
      </c>
      <c r="FK121" t="e">
        <f>AND('SPR BARRANQUILLA'!EO144,"AAAAAH/Wv6Y=")</f>
        <v>#VALUE!</v>
      </c>
      <c r="FL121" t="e">
        <f>AND('SPR BARRANQUILLA'!EP144,"AAAAAH/Wv6c=")</f>
        <v>#VALUE!</v>
      </c>
      <c r="FM121" t="e">
        <f>AND('SPR BARRANQUILLA'!EQ144,"AAAAAH/Wv6g=")</f>
        <v>#VALUE!</v>
      </c>
      <c r="FN121" t="e">
        <f>AND('SPR BARRANQUILLA'!ER144,"AAAAAH/Wv6k=")</f>
        <v>#VALUE!</v>
      </c>
      <c r="FO121" t="e">
        <f>AND('SPR BARRANQUILLA'!ES144,"AAAAAH/Wv6o=")</f>
        <v>#VALUE!</v>
      </c>
      <c r="FP121" t="e">
        <f>AND('SPR BARRANQUILLA'!ET144,"AAAAAH/Wv6s=")</f>
        <v>#VALUE!</v>
      </c>
      <c r="FQ121" t="e">
        <f>AND('SPR BARRANQUILLA'!EU144,"AAAAAH/Wv6w=")</f>
        <v>#VALUE!</v>
      </c>
      <c r="FR121" t="e">
        <f>AND('SPR BARRANQUILLA'!EV144,"AAAAAH/Wv60=")</f>
        <v>#VALUE!</v>
      </c>
      <c r="FS121" t="e">
        <f>AND('SPR BARRANQUILLA'!EW144,"AAAAAH/Wv64=")</f>
        <v>#VALUE!</v>
      </c>
      <c r="FT121" t="e">
        <f>AND('SPR BARRANQUILLA'!EX144,"AAAAAH/Wv68=")</f>
        <v>#VALUE!</v>
      </c>
      <c r="FU121" t="e">
        <f>AND('SPR BARRANQUILLA'!EY144,"AAAAAH/Wv7A=")</f>
        <v>#VALUE!</v>
      </c>
      <c r="FV121" t="e">
        <f>AND('SPR BARRANQUILLA'!EZ144,"AAAAAH/Wv7E=")</f>
        <v>#VALUE!</v>
      </c>
      <c r="FW121" t="e">
        <f>AND('SPR BARRANQUILLA'!FA144,"AAAAAH/Wv7I=")</f>
        <v>#VALUE!</v>
      </c>
      <c r="FX121" t="e">
        <f>AND('SPR BARRANQUILLA'!FB144,"AAAAAH/Wv7M=")</f>
        <v>#VALUE!</v>
      </c>
      <c r="FY121" t="e">
        <f>AND('SPR BARRANQUILLA'!FC144,"AAAAAH/Wv7Q=")</f>
        <v>#VALUE!</v>
      </c>
      <c r="FZ121" t="e">
        <f>AND('SPR BARRANQUILLA'!FD144,"AAAAAH/Wv7U=")</f>
        <v>#VALUE!</v>
      </c>
      <c r="GA121" t="e">
        <f>AND('SPR BARRANQUILLA'!FE144,"AAAAAH/Wv7Y=")</f>
        <v>#VALUE!</v>
      </c>
      <c r="GB121" t="e">
        <f>AND('SPR BARRANQUILLA'!FF144,"AAAAAH/Wv7c=")</f>
        <v>#VALUE!</v>
      </c>
      <c r="GC121" t="e">
        <f>AND('SPR BARRANQUILLA'!FG144,"AAAAAH/Wv7g=")</f>
        <v>#VALUE!</v>
      </c>
      <c r="GD121" t="e">
        <f>AND('SPR BARRANQUILLA'!FH144,"AAAAAH/Wv7k=")</f>
        <v>#VALUE!</v>
      </c>
      <c r="GE121" t="e">
        <f>AND('SPR BARRANQUILLA'!FI144,"AAAAAH/Wv7o=")</f>
        <v>#VALUE!</v>
      </c>
      <c r="GF121" t="e">
        <f>AND('SPR BARRANQUILLA'!FJ144,"AAAAAH/Wv7s=")</f>
        <v>#VALUE!</v>
      </c>
      <c r="GG121" t="e">
        <f>AND('SPR BARRANQUILLA'!FK144,"AAAAAH/Wv7w=")</f>
        <v>#VALUE!</v>
      </c>
      <c r="GH121" t="e">
        <f>AND('SPR BARRANQUILLA'!FL144,"AAAAAH/Wv70=")</f>
        <v>#VALUE!</v>
      </c>
      <c r="GI121" t="e">
        <f>AND('SPR BARRANQUILLA'!FM144,"AAAAAH/Wv74=")</f>
        <v>#VALUE!</v>
      </c>
      <c r="GJ121" t="e">
        <f>AND('SPR BARRANQUILLA'!FN144,"AAAAAH/Wv78=")</f>
        <v>#VALUE!</v>
      </c>
      <c r="GK121" t="e">
        <f>AND('SPR BARRANQUILLA'!FO144,"AAAAAH/Wv8A=")</f>
        <v>#VALUE!</v>
      </c>
      <c r="GL121" t="e">
        <f>AND('SPR BARRANQUILLA'!FP144,"AAAAAH/Wv8E=")</f>
        <v>#VALUE!</v>
      </c>
      <c r="GM121" t="e">
        <f>AND('SPR BARRANQUILLA'!FQ144,"AAAAAH/Wv8I=")</f>
        <v>#VALUE!</v>
      </c>
      <c r="GN121" t="e">
        <f>AND('SPR BARRANQUILLA'!FR144,"AAAAAH/Wv8M=")</f>
        <v>#VALUE!</v>
      </c>
      <c r="GO121" t="e">
        <f>AND('SPR BARRANQUILLA'!FS144,"AAAAAH/Wv8Q=")</f>
        <v>#VALUE!</v>
      </c>
      <c r="GP121" t="e">
        <f>AND('SPR BARRANQUILLA'!FT144,"AAAAAH/Wv8U=")</f>
        <v>#VALUE!</v>
      </c>
      <c r="GQ121" t="e">
        <f>AND('SPR BARRANQUILLA'!FU144,"AAAAAH/Wv8Y=")</f>
        <v>#VALUE!</v>
      </c>
      <c r="GR121" t="e">
        <f>AND('SPR BARRANQUILLA'!FV144,"AAAAAH/Wv8c=")</f>
        <v>#VALUE!</v>
      </c>
      <c r="GS121" t="e">
        <f>AND('SPR BARRANQUILLA'!FW144,"AAAAAH/Wv8g=")</f>
        <v>#VALUE!</v>
      </c>
      <c r="GT121" t="e">
        <f>AND('SPR BARRANQUILLA'!FX144,"AAAAAH/Wv8k=")</f>
        <v>#VALUE!</v>
      </c>
      <c r="GU121" t="e">
        <f>AND('SPR BARRANQUILLA'!FY144,"AAAAAH/Wv8o=")</f>
        <v>#VALUE!</v>
      </c>
      <c r="GV121" t="e">
        <f>AND('SPR BARRANQUILLA'!FZ144,"AAAAAH/Wv8s=")</f>
        <v>#VALUE!</v>
      </c>
      <c r="GW121" t="e">
        <f>AND('SPR BARRANQUILLA'!GA144,"AAAAAH/Wv8w=")</f>
        <v>#VALUE!</v>
      </c>
      <c r="GX121" t="e">
        <f>AND('SPR BARRANQUILLA'!GB144,"AAAAAH/Wv80=")</f>
        <v>#VALUE!</v>
      </c>
      <c r="GY121" t="e">
        <f>AND('SPR BARRANQUILLA'!GC144,"AAAAAH/Wv84=")</f>
        <v>#VALUE!</v>
      </c>
      <c r="GZ121" t="e">
        <f>AND('SPR BARRANQUILLA'!GD144,"AAAAAH/Wv88=")</f>
        <v>#VALUE!</v>
      </c>
      <c r="HA121" t="e">
        <f>AND('SPR BARRANQUILLA'!GE144,"AAAAAH/Wv9A=")</f>
        <v>#VALUE!</v>
      </c>
      <c r="HB121" t="e">
        <f>AND('SPR BARRANQUILLA'!GF144,"AAAAAH/Wv9E=")</f>
        <v>#VALUE!</v>
      </c>
      <c r="HC121" t="e">
        <f>AND('SPR BARRANQUILLA'!GG144,"AAAAAH/Wv9I=")</f>
        <v>#VALUE!</v>
      </c>
      <c r="HD121" t="e">
        <f>AND('SPR BARRANQUILLA'!GH144,"AAAAAH/Wv9M=")</f>
        <v>#VALUE!</v>
      </c>
      <c r="HE121" t="e">
        <f>AND('SPR BARRANQUILLA'!GI144,"AAAAAH/Wv9Q=")</f>
        <v>#VALUE!</v>
      </c>
      <c r="HF121" t="e">
        <f>AND('SPR BARRANQUILLA'!GJ144,"AAAAAH/Wv9U=")</f>
        <v>#VALUE!</v>
      </c>
      <c r="HG121" t="e">
        <f>AND('SPR BARRANQUILLA'!GK144,"AAAAAH/Wv9Y=")</f>
        <v>#VALUE!</v>
      </c>
      <c r="HH121" t="e">
        <f>AND('SPR BARRANQUILLA'!GL144,"AAAAAH/Wv9c=")</f>
        <v>#VALUE!</v>
      </c>
      <c r="HI121" t="e">
        <f>AND('SPR BARRANQUILLA'!GM144,"AAAAAH/Wv9g=")</f>
        <v>#VALUE!</v>
      </c>
      <c r="HJ121" t="e">
        <f>AND('SPR BARRANQUILLA'!GN144,"AAAAAH/Wv9k=")</f>
        <v>#VALUE!</v>
      </c>
      <c r="HK121" t="e">
        <f>AND('SPR BARRANQUILLA'!GO144,"AAAAAH/Wv9o=")</f>
        <v>#VALUE!</v>
      </c>
      <c r="HL121" t="e">
        <f>AND('SPR BARRANQUILLA'!GP144,"AAAAAH/Wv9s=")</f>
        <v>#VALUE!</v>
      </c>
      <c r="HM121" t="e">
        <f>AND('SPR BARRANQUILLA'!GQ144,"AAAAAH/Wv9w=")</f>
        <v>#VALUE!</v>
      </c>
      <c r="HN121" t="e">
        <f>AND('SPR BARRANQUILLA'!GR144,"AAAAAH/Wv90=")</f>
        <v>#VALUE!</v>
      </c>
      <c r="HO121" t="e">
        <f>AND('SPR BARRANQUILLA'!GS144,"AAAAAH/Wv94=")</f>
        <v>#VALUE!</v>
      </c>
      <c r="HP121" t="e">
        <f>AND('SPR BARRANQUILLA'!GT144,"AAAAAH/Wv98=")</f>
        <v>#VALUE!</v>
      </c>
      <c r="HQ121" t="e">
        <f>AND('SPR BARRANQUILLA'!GU144,"AAAAAH/Wv+A=")</f>
        <v>#VALUE!</v>
      </c>
      <c r="HR121" t="e">
        <f>AND('SPR BARRANQUILLA'!GV144,"AAAAAH/Wv+E=")</f>
        <v>#VALUE!</v>
      </c>
      <c r="HS121" t="e">
        <f>AND('SPR BARRANQUILLA'!GW144,"AAAAAH/Wv+I=")</f>
        <v>#VALUE!</v>
      </c>
      <c r="HT121" t="e">
        <f>AND('SPR BARRANQUILLA'!GX144,"AAAAAH/Wv+M=")</f>
        <v>#VALUE!</v>
      </c>
      <c r="HU121" t="e">
        <f>AND('SPR BARRANQUILLA'!GY144,"AAAAAH/Wv+Q=")</f>
        <v>#VALUE!</v>
      </c>
      <c r="HV121">
        <f>IF('SPR BARRANQUILLA'!145:145,"AAAAAH/Wv+U=",0)</f>
        <v>0</v>
      </c>
      <c r="HW121" t="e">
        <f>AND('SPR BARRANQUILLA'!A145,"AAAAAH/Wv+Y=")</f>
        <v>#VALUE!</v>
      </c>
      <c r="HX121" t="e">
        <f>AND('SPR BARRANQUILLA'!B145,"AAAAAH/Wv+c=")</f>
        <v>#VALUE!</v>
      </c>
      <c r="HY121" t="e">
        <f>AND('SPR BARRANQUILLA'!C145,"AAAAAH/Wv+g=")</f>
        <v>#VALUE!</v>
      </c>
      <c r="HZ121" t="e">
        <f>AND('SPR BARRANQUILLA'!D145,"AAAAAH/Wv+k=")</f>
        <v>#VALUE!</v>
      </c>
      <c r="IA121" t="e">
        <f>AND('SPR BARRANQUILLA'!E145,"AAAAAH/Wv+o=")</f>
        <v>#VALUE!</v>
      </c>
      <c r="IB121" t="e">
        <f>AND('SPR BARRANQUILLA'!F145,"AAAAAH/Wv+s=")</f>
        <v>#VALUE!</v>
      </c>
      <c r="IC121" t="e">
        <f>AND('SPR BARRANQUILLA'!G145,"AAAAAH/Wv+w=")</f>
        <v>#VALUE!</v>
      </c>
      <c r="ID121" t="e">
        <f>AND('SPR BARRANQUILLA'!H145,"AAAAAH/Wv+0=")</f>
        <v>#VALUE!</v>
      </c>
      <c r="IE121" t="e">
        <f>AND('SPR BARRANQUILLA'!I145,"AAAAAH/Wv+4=")</f>
        <v>#VALUE!</v>
      </c>
      <c r="IF121" t="e">
        <f>AND('SPR BARRANQUILLA'!J145,"AAAAAH/Wv+8=")</f>
        <v>#VALUE!</v>
      </c>
      <c r="IG121" t="e">
        <f>AND('SPR BARRANQUILLA'!K145,"AAAAAH/Wv/A=")</f>
        <v>#VALUE!</v>
      </c>
      <c r="IH121" t="e">
        <f>AND('SPR BARRANQUILLA'!L145,"AAAAAH/Wv/E=")</f>
        <v>#VALUE!</v>
      </c>
      <c r="II121" t="e">
        <f>AND('SPR BARRANQUILLA'!M145,"AAAAAH/Wv/I=")</f>
        <v>#VALUE!</v>
      </c>
      <c r="IJ121" t="e">
        <f>AND('SPR BARRANQUILLA'!N145,"AAAAAH/Wv/M=")</f>
        <v>#VALUE!</v>
      </c>
      <c r="IK121" t="e">
        <f>AND('SPR BARRANQUILLA'!O145,"AAAAAH/Wv/Q=")</f>
        <v>#VALUE!</v>
      </c>
      <c r="IL121" t="e">
        <f>AND('SPR BARRANQUILLA'!P145,"AAAAAH/Wv/U=")</f>
        <v>#VALUE!</v>
      </c>
      <c r="IM121" t="e">
        <f>AND('SPR BARRANQUILLA'!Q145,"AAAAAH/Wv/Y=")</f>
        <v>#VALUE!</v>
      </c>
      <c r="IN121" t="e">
        <f>AND('SPR BARRANQUILLA'!R145,"AAAAAH/Wv/c=")</f>
        <v>#VALUE!</v>
      </c>
      <c r="IO121" t="e">
        <f>AND('SPR BARRANQUILLA'!S145,"AAAAAH/Wv/g=")</f>
        <v>#VALUE!</v>
      </c>
      <c r="IP121" t="e">
        <f>AND('SPR BARRANQUILLA'!T145,"AAAAAH/Wv/k=")</f>
        <v>#VALUE!</v>
      </c>
      <c r="IQ121" t="e">
        <f>AND('SPR BARRANQUILLA'!U145,"AAAAAH/Wv/o=")</f>
        <v>#VALUE!</v>
      </c>
      <c r="IR121" t="e">
        <f>AND('SPR BARRANQUILLA'!V145,"AAAAAH/Wv/s=")</f>
        <v>#VALUE!</v>
      </c>
      <c r="IS121" t="e">
        <f>AND('SPR BARRANQUILLA'!W145,"AAAAAH/Wv/w=")</f>
        <v>#VALUE!</v>
      </c>
      <c r="IT121" t="e">
        <f>AND('SPR BARRANQUILLA'!X145,"AAAAAH/Wv/0=")</f>
        <v>#VALUE!</v>
      </c>
      <c r="IU121" t="e">
        <f>AND('SPR BARRANQUILLA'!Y145,"AAAAAH/Wv/4=")</f>
        <v>#VALUE!</v>
      </c>
      <c r="IV121" t="e">
        <f>AND('SPR BARRANQUILLA'!Z145,"AAAAAH/Wv/8=")</f>
        <v>#VALUE!</v>
      </c>
    </row>
    <row r="122" spans="1:256">
      <c r="A122" t="e">
        <f>AND('SPR BARRANQUILLA'!AA145,"AAAAAB/6fwA=")</f>
        <v>#VALUE!</v>
      </c>
      <c r="B122" t="e">
        <f>AND('SPR BARRANQUILLA'!AB145,"AAAAAB/6fwE=")</f>
        <v>#VALUE!</v>
      </c>
      <c r="C122" t="e">
        <f>AND('SPR BARRANQUILLA'!AC145,"AAAAAB/6fwI=")</f>
        <v>#VALUE!</v>
      </c>
      <c r="D122" t="e">
        <f>AND('SPR BARRANQUILLA'!AD145,"AAAAAB/6fwM=")</f>
        <v>#VALUE!</v>
      </c>
      <c r="E122" t="e">
        <f>AND('SPR BARRANQUILLA'!AE145,"AAAAAB/6fwQ=")</f>
        <v>#VALUE!</v>
      </c>
      <c r="F122" t="e">
        <f>AND('SPR BARRANQUILLA'!AF145,"AAAAAB/6fwU=")</f>
        <v>#VALUE!</v>
      </c>
      <c r="G122" t="e">
        <f>AND('SPR BARRANQUILLA'!AG145,"AAAAAB/6fwY=")</f>
        <v>#VALUE!</v>
      </c>
      <c r="H122" t="e">
        <f>AND('SPR BARRANQUILLA'!AH145,"AAAAAB/6fwc=")</f>
        <v>#VALUE!</v>
      </c>
      <c r="I122" t="e">
        <f>AND('SPR BARRANQUILLA'!AI145,"AAAAAB/6fwg=")</f>
        <v>#VALUE!</v>
      </c>
      <c r="J122" t="e">
        <f>AND('SPR BARRANQUILLA'!AJ145,"AAAAAB/6fwk=")</f>
        <v>#VALUE!</v>
      </c>
      <c r="K122" t="e">
        <f>AND('SPR BARRANQUILLA'!AK145,"AAAAAB/6fwo=")</f>
        <v>#VALUE!</v>
      </c>
      <c r="L122" t="e">
        <f>AND('SPR BARRANQUILLA'!AL145,"AAAAAB/6fws=")</f>
        <v>#VALUE!</v>
      </c>
      <c r="M122" t="e">
        <f>AND('SPR BARRANQUILLA'!AM145,"AAAAAB/6fww=")</f>
        <v>#VALUE!</v>
      </c>
      <c r="N122" t="e">
        <f>AND('SPR BARRANQUILLA'!AN145,"AAAAAB/6fw0=")</f>
        <v>#VALUE!</v>
      </c>
      <c r="O122" t="e">
        <f>AND('SPR BARRANQUILLA'!AO145,"AAAAAB/6fw4=")</f>
        <v>#VALUE!</v>
      </c>
      <c r="P122" t="e">
        <f>AND('SPR BARRANQUILLA'!AP145,"AAAAAB/6fw8=")</f>
        <v>#VALUE!</v>
      </c>
      <c r="Q122" t="e">
        <f>AND('SPR BARRANQUILLA'!AQ145,"AAAAAB/6fxA=")</f>
        <v>#VALUE!</v>
      </c>
      <c r="R122" t="e">
        <f>AND('SPR BARRANQUILLA'!AR145,"AAAAAB/6fxE=")</f>
        <v>#VALUE!</v>
      </c>
      <c r="S122" t="e">
        <f>AND('SPR BARRANQUILLA'!AS145,"AAAAAB/6fxI=")</f>
        <v>#VALUE!</v>
      </c>
      <c r="T122" t="e">
        <f>AND('SPR BARRANQUILLA'!AT145,"AAAAAB/6fxM=")</f>
        <v>#VALUE!</v>
      </c>
      <c r="U122" t="e">
        <f>AND('SPR BARRANQUILLA'!AU145,"AAAAAB/6fxQ=")</f>
        <v>#VALUE!</v>
      </c>
      <c r="V122" t="e">
        <f>AND('SPR BARRANQUILLA'!AV145,"AAAAAB/6fxU=")</f>
        <v>#VALUE!</v>
      </c>
      <c r="W122" t="e">
        <f>AND('SPR BARRANQUILLA'!AW145,"AAAAAB/6fxY=")</f>
        <v>#VALUE!</v>
      </c>
      <c r="X122" t="e">
        <f>AND('SPR BARRANQUILLA'!AX145,"AAAAAB/6fxc=")</f>
        <v>#VALUE!</v>
      </c>
      <c r="Y122" t="e">
        <f>AND('SPR BARRANQUILLA'!AY145,"AAAAAB/6fxg=")</f>
        <v>#VALUE!</v>
      </c>
      <c r="Z122" t="e">
        <f>AND('SPR BARRANQUILLA'!AZ145,"AAAAAB/6fxk=")</f>
        <v>#VALUE!</v>
      </c>
      <c r="AA122" t="e">
        <f>AND('SPR BARRANQUILLA'!BA145,"AAAAAB/6fxo=")</f>
        <v>#VALUE!</v>
      </c>
      <c r="AB122" t="e">
        <f>AND('SPR BARRANQUILLA'!BB145,"AAAAAB/6fxs=")</f>
        <v>#VALUE!</v>
      </c>
      <c r="AC122" t="e">
        <f>AND('SPR BARRANQUILLA'!BC145,"AAAAAB/6fxw=")</f>
        <v>#VALUE!</v>
      </c>
      <c r="AD122" t="e">
        <f>AND('SPR BARRANQUILLA'!BD145,"AAAAAB/6fx0=")</f>
        <v>#VALUE!</v>
      </c>
      <c r="AE122" t="e">
        <f>AND('SPR BARRANQUILLA'!BE145,"AAAAAB/6fx4=")</f>
        <v>#VALUE!</v>
      </c>
      <c r="AF122" t="e">
        <f>AND('SPR BARRANQUILLA'!BF145,"AAAAAB/6fx8=")</f>
        <v>#VALUE!</v>
      </c>
      <c r="AG122" t="e">
        <f>AND('SPR BARRANQUILLA'!BG145,"AAAAAB/6fyA=")</f>
        <v>#VALUE!</v>
      </c>
      <c r="AH122" t="e">
        <f>AND('SPR BARRANQUILLA'!BH145,"AAAAAB/6fyE=")</f>
        <v>#VALUE!</v>
      </c>
      <c r="AI122" t="e">
        <f>AND('SPR BARRANQUILLA'!BI145,"AAAAAB/6fyI=")</f>
        <v>#VALUE!</v>
      </c>
      <c r="AJ122" t="e">
        <f>AND('SPR BARRANQUILLA'!BJ145,"AAAAAB/6fyM=")</f>
        <v>#VALUE!</v>
      </c>
      <c r="AK122" t="e">
        <f>AND('SPR BARRANQUILLA'!BK145,"AAAAAB/6fyQ=")</f>
        <v>#VALUE!</v>
      </c>
      <c r="AL122" t="e">
        <f>AND('SPR BARRANQUILLA'!BL145,"AAAAAB/6fyU=")</f>
        <v>#VALUE!</v>
      </c>
      <c r="AM122" t="e">
        <f>AND('SPR BARRANQUILLA'!BM145,"AAAAAB/6fyY=")</f>
        <v>#VALUE!</v>
      </c>
      <c r="AN122" t="e">
        <f>AND('SPR BARRANQUILLA'!BN145,"AAAAAB/6fyc=")</f>
        <v>#VALUE!</v>
      </c>
      <c r="AO122" t="e">
        <f>AND('SPR BARRANQUILLA'!BO145,"AAAAAB/6fyg=")</f>
        <v>#VALUE!</v>
      </c>
      <c r="AP122" t="e">
        <f>AND('SPR BARRANQUILLA'!BP145,"AAAAAB/6fyk=")</f>
        <v>#VALUE!</v>
      </c>
      <c r="AQ122" t="e">
        <f>AND('SPR BARRANQUILLA'!BQ145,"AAAAAB/6fyo=")</f>
        <v>#VALUE!</v>
      </c>
      <c r="AR122" t="e">
        <f>AND('SPR BARRANQUILLA'!BR145,"AAAAAB/6fys=")</f>
        <v>#VALUE!</v>
      </c>
      <c r="AS122" t="e">
        <f>AND('SPR BARRANQUILLA'!BS145,"AAAAAB/6fyw=")</f>
        <v>#VALUE!</v>
      </c>
      <c r="AT122" t="e">
        <f>AND('SPR BARRANQUILLA'!BT145,"AAAAAB/6fy0=")</f>
        <v>#VALUE!</v>
      </c>
      <c r="AU122" t="e">
        <f>AND('SPR BARRANQUILLA'!BU145,"AAAAAB/6fy4=")</f>
        <v>#VALUE!</v>
      </c>
      <c r="AV122" t="e">
        <f>AND('SPR BARRANQUILLA'!BV145,"AAAAAB/6fy8=")</f>
        <v>#VALUE!</v>
      </c>
      <c r="AW122" t="e">
        <f>AND('SPR BARRANQUILLA'!BW145,"AAAAAB/6fzA=")</f>
        <v>#VALUE!</v>
      </c>
      <c r="AX122" t="e">
        <f>AND('SPR BARRANQUILLA'!BX145,"AAAAAB/6fzE=")</f>
        <v>#VALUE!</v>
      </c>
      <c r="AY122" t="e">
        <f>AND('SPR BARRANQUILLA'!BY145,"AAAAAB/6fzI=")</f>
        <v>#VALUE!</v>
      </c>
      <c r="AZ122" t="e">
        <f>AND('SPR BARRANQUILLA'!BZ145,"AAAAAB/6fzM=")</f>
        <v>#VALUE!</v>
      </c>
      <c r="BA122" t="e">
        <f>AND('SPR BARRANQUILLA'!CA145,"AAAAAB/6fzQ=")</f>
        <v>#VALUE!</v>
      </c>
      <c r="BB122" t="e">
        <f>AND('SPR BARRANQUILLA'!CB145,"AAAAAB/6fzU=")</f>
        <v>#VALUE!</v>
      </c>
      <c r="BC122" t="e">
        <f>AND('SPR BARRANQUILLA'!CC145,"AAAAAB/6fzY=")</f>
        <v>#VALUE!</v>
      </c>
      <c r="BD122" t="e">
        <f>AND('SPR BARRANQUILLA'!CD145,"AAAAAB/6fzc=")</f>
        <v>#VALUE!</v>
      </c>
      <c r="BE122" t="e">
        <f>AND('SPR BARRANQUILLA'!CE145,"AAAAAB/6fzg=")</f>
        <v>#VALUE!</v>
      </c>
      <c r="BF122" t="e">
        <f>AND('SPR BARRANQUILLA'!CF145,"AAAAAB/6fzk=")</f>
        <v>#VALUE!</v>
      </c>
      <c r="BG122" t="e">
        <f>AND('SPR BARRANQUILLA'!CG145,"AAAAAB/6fzo=")</f>
        <v>#VALUE!</v>
      </c>
      <c r="BH122" t="e">
        <f>AND('SPR BARRANQUILLA'!CH145,"AAAAAB/6fzs=")</f>
        <v>#VALUE!</v>
      </c>
      <c r="BI122" t="e">
        <f>AND('SPR BARRANQUILLA'!CI145,"AAAAAB/6fzw=")</f>
        <v>#VALUE!</v>
      </c>
      <c r="BJ122" t="e">
        <f>AND('SPR BARRANQUILLA'!CJ145,"AAAAAB/6fz0=")</f>
        <v>#VALUE!</v>
      </c>
      <c r="BK122" t="e">
        <f>AND('SPR BARRANQUILLA'!CK145,"AAAAAB/6fz4=")</f>
        <v>#VALUE!</v>
      </c>
      <c r="BL122" t="e">
        <f>AND('SPR BARRANQUILLA'!CL145,"AAAAAB/6fz8=")</f>
        <v>#VALUE!</v>
      </c>
      <c r="BM122" t="e">
        <f>AND('SPR BARRANQUILLA'!CM145,"AAAAAB/6f0A=")</f>
        <v>#VALUE!</v>
      </c>
      <c r="BN122" t="e">
        <f>AND('SPR BARRANQUILLA'!CN145,"AAAAAB/6f0E=")</f>
        <v>#VALUE!</v>
      </c>
      <c r="BO122" t="e">
        <f>AND('SPR BARRANQUILLA'!CO145,"AAAAAB/6f0I=")</f>
        <v>#VALUE!</v>
      </c>
      <c r="BP122" t="e">
        <f>AND('SPR BARRANQUILLA'!CP145,"AAAAAB/6f0M=")</f>
        <v>#VALUE!</v>
      </c>
      <c r="BQ122" t="e">
        <f>AND('SPR BARRANQUILLA'!CQ145,"AAAAAB/6f0Q=")</f>
        <v>#VALUE!</v>
      </c>
      <c r="BR122" t="e">
        <f>AND('SPR BARRANQUILLA'!CR145,"AAAAAB/6f0U=")</f>
        <v>#VALUE!</v>
      </c>
      <c r="BS122" t="e">
        <f>AND('SPR BARRANQUILLA'!CS145,"AAAAAB/6f0Y=")</f>
        <v>#VALUE!</v>
      </c>
      <c r="BT122" t="e">
        <f>AND('SPR BARRANQUILLA'!CT145,"AAAAAB/6f0c=")</f>
        <v>#VALUE!</v>
      </c>
      <c r="BU122" t="e">
        <f>AND('SPR BARRANQUILLA'!CU145,"AAAAAB/6f0g=")</f>
        <v>#VALUE!</v>
      </c>
      <c r="BV122" t="e">
        <f>AND('SPR BARRANQUILLA'!CV145,"AAAAAB/6f0k=")</f>
        <v>#VALUE!</v>
      </c>
      <c r="BW122" t="e">
        <f>AND('SPR BARRANQUILLA'!CW145,"AAAAAB/6f0o=")</f>
        <v>#VALUE!</v>
      </c>
      <c r="BX122" t="e">
        <f>AND('SPR BARRANQUILLA'!CX145,"AAAAAB/6f0s=")</f>
        <v>#VALUE!</v>
      </c>
      <c r="BY122" t="e">
        <f>AND('SPR BARRANQUILLA'!CY145,"AAAAAB/6f0w=")</f>
        <v>#VALUE!</v>
      </c>
      <c r="BZ122" t="e">
        <f>AND('SPR BARRANQUILLA'!CZ145,"AAAAAB/6f00=")</f>
        <v>#VALUE!</v>
      </c>
      <c r="CA122" t="e">
        <f>AND('SPR BARRANQUILLA'!DA145,"AAAAAB/6f04=")</f>
        <v>#VALUE!</v>
      </c>
      <c r="CB122" t="e">
        <f>AND('SPR BARRANQUILLA'!DB145,"AAAAAB/6f08=")</f>
        <v>#VALUE!</v>
      </c>
      <c r="CC122" t="e">
        <f>AND('SPR BARRANQUILLA'!DC145,"AAAAAB/6f1A=")</f>
        <v>#VALUE!</v>
      </c>
      <c r="CD122" t="e">
        <f>AND('SPR BARRANQUILLA'!DD145,"AAAAAB/6f1E=")</f>
        <v>#VALUE!</v>
      </c>
      <c r="CE122" t="e">
        <f>AND('SPR BARRANQUILLA'!DE145,"AAAAAB/6f1I=")</f>
        <v>#VALUE!</v>
      </c>
      <c r="CF122" t="e">
        <f>AND('SPR BARRANQUILLA'!DF145,"AAAAAB/6f1M=")</f>
        <v>#VALUE!</v>
      </c>
      <c r="CG122" t="e">
        <f>AND('SPR BARRANQUILLA'!DG145,"AAAAAB/6f1Q=")</f>
        <v>#VALUE!</v>
      </c>
      <c r="CH122" t="e">
        <f>AND('SPR BARRANQUILLA'!DH145,"AAAAAB/6f1U=")</f>
        <v>#VALUE!</v>
      </c>
      <c r="CI122" t="e">
        <f>AND('SPR BARRANQUILLA'!DI145,"AAAAAB/6f1Y=")</f>
        <v>#VALUE!</v>
      </c>
      <c r="CJ122" t="e">
        <f>AND('SPR BARRANQUILLA'!DJ145,"AAAAAB/6f1c=")</f>
        <v>#VALUE!</v>
      </c>
      <c r="CK122" t="e">
        <f>AND('SPR BARRANQUILLA'!DK145,"AAAAAB/6f1g=")</f>
        <v>#VALUE!</v>
      </c>
      <c r="CL122" t="e">
        <f>AND('SPR BARRANQUILLA'!DL145,"AAAAAB/6f1k=")</f>
        <v>#VALUE!</v>
      </c>
      <c r="CM122" t="e">
        <f>AND('SPR BARRANQUILLA'!DM145,"AAAAAB/6f1o=")</f>
        <v>#VALUE!</v>
      </c>
      <c r="CN122" t="e">
        <f>AND('SPR BARRANQUILLA'!DN145,"AAAAAB/6f1s=")</f>
        <v>#VALUE!</v>
      </c>
      <c r="CO122" t="e">
        <f>AND('SPR BARRANQUILLA'!DO145,"AAAAAB/6f1w=")</f>
        <v>#VALUE!</v>
      </c>
      <c r="CP122" t="e">
        <f>AND('SPR BARRANQUILLA'!DP145,"AAAAAB/6f10=")</f>
        <v>#VALUE!</v>
      </c>
      <c r="CQ122" t="e">
        <f>AND('SPR BARRANQUILLA'!DQ145,"AAAAAB/6f14=")</f>
        <v>#VALUE!</v>
      </c>
      <c r="CR122" t="e">
        <f>AND('SPR BARRANQUILLA'!DR145,"AAAAAB/6f18=")</f>
        <v>#VALUE!</v>
      </c>
      <c r="CS122" t="e">
        <f>AND('SPR BARRANQUILLA'!DS145,"AAAAAB/6f2A=")</f>
        <v>#VALUE!</v>
      </c>
      <c r="CT122" t="e">
        <f>AND('SPR BARRANQUILLA'!DT145,"AAAAAB/6f2E=")</f>
        <v>#VALUE!</v>
      </c>
      <c r="CU122" t="e">
        <f>AND('SPR BARRANQUILLA'!DU145,"AAAAAB/6f2I=")</f>
        <v>#VALUE!</v>
      </c>
      <c r="CV122" t="e">
        <f>AND('SPR BARRANQUILLA'!DV145,"AAAAAB/6f2M=")</f>
        <v>#VALUE!</v>
      </c>
      <c r="CW122" t="e">
        <f>AND('SPR BARRANQUILLA'!DW145,"AAAAAB/6f2Q=")</f>
        <v>#VALUE!</v>
      </c>
      <c r="CX122" t="e">
        <f>AND('SPR BARRANQUILLA'!DX145,"AAAAAB/6f2U=")</f>
        <v>#VALUE!</v>
      </c>
      <c r="CY122" t="e">
        <f>AND('SPR BARRANQUILLA'!DY145,"AAAAAB/6f2Y=")</f>
        <v>#VALUE!</v>
      </c>
      <c r="CZ122" t="e">
        <f>AND('SPR BARRANQUILLA'!DZ145,"AAAAAB/6f2c=")</f>
        <v>#VALUE!</v>
      </c>
      <c r="DA122" t="e">
        <f>AND('SPR BARRANQUILLA'!EA145,"AAAAAB/6f2g=")</f>
        <v>#VALUE!</v>
      </c>
      <c r="DB122" t="e">
        <f>AND('SPR BARRANQUILLA'!EB145,"AAAAAB/6f2k=")</f>
        <v>#VALUE!</v>
      </c>
      <c r="DC122" t="e">
        <f>AND('SPR BARRANQUILLA'!EC145,"AAAAAB/6f2o=")</f>
        <v>#VALUE!</v>
      </c>
      <c r="DD122" t="e">
        <f>AND('SPR BARRANQUILLA'!ED145,"AAAAAB/6f2s=")</f>
        <v>#VALUE!</v>
      </c>
      <c r="DE122" t="e">
        <f>AND('SPR BARRANQUILLA'!EE145,"AAAAAB/6f2w=")</f>
        <v>#VALUE!</v>
      </c>
      <c r="DF122" t="e">
        <f>AND('SPR BARRANQUILLA'!EF145,"AAAAAB/6f20=")</f>
        <v>#VALUE!</v>
      </c>
      <c r="DG122" t="e">
        <f>AND('SPR BARRANQUILLA'!EG145,"AAAAAB/6f24=")</f>
        <v>#VALUE!</v>
      </c>
      <c r="DH122" t="e">
        <f>AND('SPR BARRANQUILLA'!EH145,"AAAAAB/6f28=")</f>
        <v>#VALUE!</v>
      </c>
      <c r="DI122" t="e">
        <f>AND('SPR BARRANQUILLA'!EI145,"AAAAAB/6f3A=")</f>
        <v>#VALUE!</v>
      </c>
      <c r="DJ122" t="e">
        <f>AND('SPR BARRANQUILLA'!EJ145,"AAAAAB/6f3E=")</f>
        <v>#VALUE!</v>
      </c>
      <c r="DK122" t="e">
        <f>AND('SPR BARRANQUILLA'!EK145,"AAAAAB/6f3I=")</f>
        <v>#VALUE!</v>
      </c>
      <c r="DL122" t="e">
        <f>AND('SPR BARRANQUILLA'!EL145,"AAAAAB/6f3M=")</f>
        <v>#VALUE!</v>
      </c>
      <c r="DM122" t="e">
        <f>AND('SPR BARRANQUILLA'!EM145,"AAAAAB/6f3Q=")</f>
        <v>#VALUE!</v>
      </c>
      <c r="DN122" t="e">
        <f>AND('SPR BARRANQUILLA'!EN145,"AAAAAB/6f3U=")</f>
        <v>#VALUE!</v>
      </c>
      <c r="DO122" t="e">
        <f>AND('SPR BARRANQUILLA'!EO145,"AAAAAB/6f3Y=")</f>
        <v>#VALUE!</v>
      </c>
      <c r="DP122" t="e">
        <f>AND('SPR BARRANQUILLA'!EP145,"AAAAAB/6f3c=")</f>
        <v>#VALUE!</v>
      </c>
      <c r="DQ122" t="e">
        <f>AND('SPR BARRANQUILLA'!EQ145,"AAAAAB/6f3g=")</f>
        <v>#VALUE!</v>
      </c>
      <c r="DR122" t="e">
        <f>AND('SPR BARRANQUILLA'!ER145,"AAAAAB/6f3k=")</f>
        <v>#VALUE!</v>
      </c>
      <c r="DS122" t="e">
        <f>AND('SPR BARRANQUILLA'!ES145,"AAAAAB/6f3o=")</f>
        <v>#VALUE!</v>
      </c>
      <c r="DT122" t="e">
        <f>AND('SPR BARRANQUILLA'!ET145,"AAAAAB/6f3s=")</f>
        <v>#VALUE!</v>
      </c>
      <c r="DU122" t="e">
        <f>AND('SPR BARRANQUILLA'!EU145,"AAAAAB/6f3w=")</f>
        <v>#VALUE!</v>
      </c>
      <c r="DV122" t="e">
        <f>AND('SPR BARRANQUILLA'!EV145,"AAAAAB/6f30=")</f>
        <v>#VALUE!</v>
      </c>
      <c r="DW122" t="e">
        <f>AND('SPR BARRANQUILLA'!EW145,"AAAAAB/6f34=")</f>
        <v>#VALUE!</v>
      </c>
      <c r="DX122" t="e">
        <f>AND('SPR BARRANQUILLA'!EX145,"AAAAAB/6f38=")</f>
        <v>#VALUE!</v>
      </c>
      <c r="DY122" t="e">
        <f>AND('SPR BARRANQUILLA'!EY145,"AAAAAB/6f4A=")</f>
        <v>#VALUE!</v>
      </c>
      <c r="DZ122" t="e">
        <f>AND('SPR BARRANQUILLA'!EZ145,"AAAAAB/6f4E=")</f>
        <v>#VALUE!</v>
      </c>
      <c r="EA122" t="e">
        <f>AND('SPR BARRANQUILLA'!FA145,"AAAAAB/6f4I=")</f>
        <v>#VALUE!</v>
      </c>
      <c r="EB122" t="e">
        <f>AND('SPR BARRANQUILLA'!FB145,"AAAAAB/6f4M=")</f>
        <v>#VALUE!</v>
      </c>
      <c r="EC122" t="e">
        <f>AND('SPR BARRANQUILLA'!FC145,"AAAAAB/6f4Q=")</f>
        <v>#VALUE!</v>
      </c>
      <c r="ED122" t="e">
        <f>AND('SPR BARRANQUILLA'!FD145,"AAAAAB/6f4U=")</f>
        <v>#VALUE!</v>
      </c>
      <c r="EE122" t="e">
        <f>AND('SPR BARRANQUILLA'!FE145,"AAAAAB/6f4Y=")</f>
        <v>#VALUE!</v>
      </c>
      <c r="EF122" t="e">
        <f>AND('SPR BARRANQUILLA'!FF145,"AAAAAB/6f4c=")</f>
        <v>#VALUE!</v>
      </c>
      <c r="EG122" t="e">
        <f>AND('SPR BARRANQUILLA'!FG145,"AAAAAB/6f4g=")</f>
        <v>#VALUE!</v>
      </c>
      <c r="EH122" t="e">
        <f>AND('SPR BARRANQUILLA'!FH145,"AAAAAB/6f4k=")</f>
        <v>#VALUE!</v>
      </c>
      <c r="EI122" t="e">
        <f>AND('SPR BARRANQUILLA'!FI145,"AAAAAB/6f4o=")</f>
        <v>#VALUE!</v>
      </c>
      <c r="EJ122" t="e">
        <f>AND('SPR BARRANQUILLA'!FJ145,"AAAAAB/6f4s=")</f>
        <v>#VALUE!</v>
      </c>
      <c r="EK122" t="e">
        <f>AND('SPR BARRANQUILLA'!FK145,"AAAAAB/6f4w=")</f>
        <v>#VALUE!</v>
      </c>
      <c r="EL122" t="e">
        <f>AND('SPR BARRANQUILLA'!FL145,"AAAAAB/6f40=")</f>
        <v>#VALUE!</v>
      </c>
      <c r="EM122" t="e">
        <f>AND('SPR BARRANQUILLA'!FM145,"AAAAAB/6f44=")</f>
        <v>#VALUE!</v>
      </c>
      <c r="EN122" t="e">
        <f>AND('SPR BARRANQUILLA'!FN145,"AAAAAB/6f48=")</f>
        <v>#VALUE!</v>
      </c>
      <c r="EO122" t="e">
        <f>AND('SPR BARRANQUILLA'!FO145,"AAAAAB/6f5A=")</f>
        <v>#VALUE!</v>
      </c>
      <c r="EP122" t="e">
        <f>AND('SPR BARRANQUILLA'!FP145,"AAAAAB/6f5E=")</f>
        <v>#VALUE!</v>
      </c>
      <c r="EQ122" t="e">
        <f>AND('SPR BARRANQUILLA'!FQ145,"AAAAAB/6f5I=")</f>
        <v>#VALUE!</v>
      </c>
      <c r="ER122" t="e">
        <f>AND('SPR BARRANQUILLA'!FR145,"AAAAAB/6f5M=")</f>
        <v>#VALUE!</v>
      </c>
      <c r="ES122" t="e">
        <f>AND('SPR BARRANQUILLA'!FS145,"AAAAAB/6f5Q=")</f>
        <v>#VALUE!</v>
      </c>
      <c r="ET122" t="e">
        <f>AND('SPR BARRANQUILLA'!FT145,"AAAAAB/6f5U=")</f>
        <v>#VALUE!</v>
      </c>
      <c r="EU122" t="e">
        <f>AND('SPR BARRANQUILLA'!FU145,"AAAAAB/6f5Y=")</f>
        <v>#VALUE!</v>
      </c>
      <c r="EV122" t="e">
        <f>AND('SPR BARRANQUILLA'!FV145,"AAAAAB/6f5c=")</f>
        <v>#VALUE!</v>
      </c>
      <c r="EW122" t="e">
        <f>AND('SPR BARRANQUILLA'!FW145,"AAAAAB/6f5g=")</f>
        <v>#VALUE!</v>
      </c>
      <c r="EX122" t="e">
        <f>AND('SPR BARRANQUILLA'!FX145,"AAAAAB/6f5k=")</f>
        <v>#VALUE!</v>
      </c>
      <c r="EY122" t="e">
        <f>AND('SPR BARRANQUILLA'!FY145,"AAAAAB/6f5o=")</f>
        <v>#VALUE!</v>
      </c>
      <c r="EZ122" t="e">
        <f>AND('SPR BARRANQUILLA'!FZ145,"AAAAAB/6f5s=")</f>
        <v>#VALUE!</v>
      </c>
      <c r="FA122" t="e">
        <f>AND('SPR BARRANQUILLA'!GA145,"AAAAAB/6f5w=")</f>
        <v>#VALUE!</v>
      </c>
      <c r="FB122" t="e">
        <f>AND('SPR BARRANQUILLA'!GB145,"AAAAAB/6f50=")</f>
        <v>#VALUE!</v>
      </c>
      <c r="FC122" t="e">
        <f>AND('SPR BARRANQUILLA'!GC145,"AAAAAB/6f54=")</f>
        <v>#VALUE!</v>
      </c>
      <c r="FD122" t="e">
        <f>AND('SPR BARRANQUILLA'!GD145,"AAAAAB/6f58=")</f>
        <v>#VALUE!</v>
      </c>
      <c r="FE122" t="e">
        <f>AND('SPR BARRANQUILLA'!GE145,"AAAAAB/6f6A=")</f>
        <v>#VALUE!</v>
      </c>
      <c r="FF122" t="e">
        <f>AND('SPR BARRANQUILLA'!GF145,"AAAAAB/6f6E=")</f>
        <v>#VALUE!</v>
      </c>
      <c r="FG122" t="e">
        <f>AND('SPR BARRANQUILLA'!GG145,"AAAAAB/6f6I=")</f>
        <v>#VALUE!</v>
      </c>
      <c r="FH122" t="e">
        <f>AND('SPR BARRANQUILLA'!GH145,"AAAAAB/6f6M=")</f>
        <v>#VALUE!</v>
      </c>
      <c r="FI122" t="e">
        <f>AND('SPR BARRANQUILLA'!GI145,"AAAAAB/6f6Q=")</f>
        <v>#VALUE!</v>
      </c>
      <c r="FJ122" t="e">
        <f>AND('SPR BARRANQUILLA'!GJ145,"AAAAAB/6f6U=")</f>
        <v>#VALUE!</v>
      </c>
      <c r="FK122" t="e">
        <f>AND('SPR BARRANQUILLA'!GK145,"AAAAAB/6f6Y=")</f>
        <v>#VALUE!</v>
      </c>
      <c r="FL122" t="e">
        <f>AND('SPR BARRANQUILLA'!GL145,"AAAAAB/6f6c=")</f>
        <v>#VALUE!</v>
      </c>
      <c r="FM122" t="e">
        <f>AND('SPR BARRANQUILLA'!GM145,"AAAAAB/6f6g=")</f>
        <v>#VALUE!</v>
      </c>
      <c r="FN122" t="e">
        <f>AND('SPR BARRANQUILLA'!GN145,"AAAAAB/6f6k=")</f>
        <v>#VALUE!</v>
      </c>
      <c r="FO122" t="e">
        <f>AND('SPR BARRANQUILLA'!GO145,"AAAAAB/6f6o=")</f>
        <v>#VALUE!</v>
      </c>
      <c r="FP122" t="e">
        <f>AND('SPR BARRANQUILLA'!GP145,"AAAAAB/6f6s=")</f>
        <v>#VALUE!</v>
      </c>
      <c r="FQ122" t="e">
        <f>AND('SPR BARRANQUILLA'!GQ145,"AAAAAB/6f6w=")</f>
        <v>#VALUE!</v>
      </c>
      <c r="FR122" t="e">
        <f>AND('SPR BARRANQUILLA'!GR145,"AAAAAB/6f60=")</f>
        <v>#VALUE!</v>
      </c>
      <c r="FS122" t="e">
        <f>AND('SPR BARRANQUILLA'!GS145,"AAAAAB/6f64=")</f>
        <v>#VALUE!</v>
      </c>
      <c r="FT122" t="e">
        <f>AND('SPR BARRANQUILLA'!GT145,"AAAAAB/6f68=")</f>
        <v>#VALUE!</v>
      </c>
      <c r="FU122" t="e">
        <f>AND('SPR BARRANQUILLA'!GU145,"AAAAAB/6f7A=")</f>
        <v>#VALUE!</v>
      </c>
      <c r="FV122" t="e">
        <f>AND('SPR BARRANQUILLA'!GV145,"AAAAAB/6f7E=")</f>
        <v>#VALUE!</v>
      </c>
      <c r="FW122" t="e">
        <f>AND('SPR BARRANQUILLA'!GW145,"AAAAAB/6f7I=")</f>
        <v>#VALUE!</v>
      </c>
      <c r="FX122" t="e">
        <f>AND('SPR BARRANQUILLA'!GX145,"AAAAAB/6f7M=")</f>
        <v>#VALUE!</v>
      </c>
      <c r="FY122" t="e">
        <f>AND('SPR BARRANQUILLA'!GY145,"AAAAAB/6f7Q=")</f>
        <v>#VALUE!</v>
      </c>
      <c r="FZ122">
        <f>IF('SPR BARRANQUILLA'!146:146,"AAAAAB/6f7U=",0)</f>
        <v>0</v>
      </c>
      <c r="GA122" t="e">
        <f>AND('SPR BARRANQUILLA'!A146,"AAAAAB/6f7Y=")</f>
        <v>#VALUE!</v>
      </c>
      <c r="GB122" t="e">
        <f>AND('SPR BARRANQUILLA'!B146,"AAAAAB/6f7c=")</f>
        <v>#VALUE!</v>
      </c>
      <c r="GC122" t="e">
        <f>AND('SPR BARRANQUILLA'!C146,"AAAAAB/6f7g=")</f>
        <v>#VALUE!</v>
      </c>
      <c r="GD122" t="e">
        <f>AND('SPR BARRANQUILLA'!D146,"AAAAAB/6f7k=")</f>
        <v>#VALUE!</v>
      </c>
      <c r="GE122" t="e">
        <f>AND('SPR BARRANQUILLA'!E146,"AAAAAB/6f7o=")</f>
        <v>#VALUE!</v>
      </c>
      <c r="GF122" t="e">
        <f>AND('SPR BARRANQUILLA'!F146,"AAAAAB/6f7s=")</f>
        <v>#VALUE!</v>
      </c>
      <c r="GG122" t="e">
        <f>AND('SPR BARRANQUILLA'!G146,"AAAAAB/6f7w=")</f>
        <v>#VALUE!</v>
      </c>
      <c r="GH122" t="e">
        <f>AND('SPR BARRANQUILLA'!H146,"AAAAAB/6f70=")</f>
        <v>#VALUE!</v>
      </c>
      <c r="GI122" t="e">
        <f>AND('SPR BARRANQUILLA'!I146,"AAAAAB/6f74=")</f>
        <v>#VALUE!</v>
      </c>
      <c r="GJ122" t="e">
        <f>AND('SPR BARRANQUILLA'!J146,"AAAAAB/6f78=")</f>
        <v>#VALUE!</v>
      </c>
      <c r="GK122" t="e">
        <f>AND('SPR BARRANQUILLA'!K146,"AAAAAB/6f8A=")</f>
        <v>#VALUE!</v>
      </c>
      <c r="GL122" t="e">
        <f>AND('SPR BARRANQUILLA'!L146,"AAAAAB/6f8E=")</f>
        <v>#VALUE!</v>
      </c>
      <c r="GM122" t="e">
        <f>AND('SPR BARRANQUILLA'!M146,"AAAAAB/6f8I=")</f>
        <v>#VALUE!</v>
      </c>
      <c r="GN122" t="e">
        <f>AND('SPR BARRANQUILLA'!N146,"AAAAAB/6f8M=")</f>
        <v>#VALUE!</v>
      </c>
      <c r="GO122" t="e">
        <f>AND('SPR BARRANQUILLA'!O146,"AAAAAB/6f8Q=")</f>
        <v>#VALUE!</v>
      </c>
      <c r="GP122" t="e">
        <f>AND('SPR BARRANQUILLA'!P146,"AAAAAB/6f8U=")</f>
        <v>#VALUE!</v>
      </c>
      <c r="GQ122" t="e">
        <f>AND('SPR BARRANQUILLA'!Q146,"AAAAAB/6f8Y=")</f>
        <v>#VALUE!</v>
      </c>
      <c r="GR122" t="e">
        <f>AND('SPR BARRANQUILLA'!R146,"AAAAAB/6f8c=")</f>
        <v>#VALUE!</v>
      </c>
      <c r="GS122" t="e">
        <f>AND('SPR BARRANQUILLA'!S146,"AAAAAB/6f8g=")</f>
        <v>#VALUE!</v>
      </c>
      <c r="GT122" t="e">
        <f>AND('SPR BARRANQUILLA'!T146,"AAAAAB/6f8k=")</f>
        <v>#VALUE!</v>
      </c>
      <c r="GU122" t="e">
        <f>AND('SPR BARRANQUILLA'!U146,"AAAAAB/6f8o=")</f>
        <v>#VALUE!</v>
      </c>
      <c r="GV122" t="e">
        <f>AND('SPR BARRANQUILLA'!V146,"AAAAAB/6f8s=")</f>
        <v>#VALUE!</v>
      </c>
      <c r="GW122" t="e">
        <f>AND('SPR BARRANQUILLA'!W146,"AAAAAB/6f8w=")</f>
        <v>#VALUE!</v>
      </c>
      <c r="GX122" t="e">
        <f>AND('SPR BARRANQUILLA'!X146,"AAAAAB/6f80=")</f>
        <v>#VALUE!</v>
      </c>
      <c r="GY122" t="e">
        <f>AND('SPR BARRANQUILLA'!Y146,"AAAAAB/6f84=")</f>
        <v>#VALUE!</v>
      </c>
      <c r="GZ122" t="e">
        <f>AND('SPR BARRANQUILLA'!Z146,"AAAAAB/6f88=")</f>
        <v>#VALUE!</v>
      </c>
      <c r="HA122" t="e">
        <f>AND('SPR BARRANQUILLA'!AA146,"AAAAAB/6f9A=")</f>
        <v>#VALUE!</v>
      </c>
      <c r="HB122" t="e">
        <f>AND('SPR BARRANQUILLA'!AB146,"AAAAAB/6f9E=")</f>
        <v>#VALUE!</v>
      </c>
      <c r="HC122" t="e">
        <f>AND('SPR BARRANQUILLA'!AC146,"AAAAAB/6f9I=")</f>
        <v>#VALUE!</v>
      </c>
      <c r="HD122" t="e">
        <f>AND('SPR BARRANQUILLA'!AD146,"AAAAAB/6f9M=")</f>
        <v>#VALUE!</v>
      </c>
      <c r="HE122" t="e">
        <f>AND('SPR BARRANQUILLA'!AE146,"AAAAAB/6f9Q=")</f>
        <v>#VALUE!</v>
      </c>
      <c r="HF122" t="e">
        <f>AND('SPR BARRANQUILLA'!AF146,"AAAAAB/6f9U=")</f>
        <v>#VALUE!</v>
      </c>
      <c r="HG122" t="e">
        <f>AND('SPR BARRANQUILLA'!AG146,"AAAAAB/6f9Y=")</f>
        <v>#VALUE!</v>
      </c>
      <c r="HH122" t="e">
        <f>AND('SPR BARRANQUILLA'!AH146,"AAAAAB/6f9c=")</f>
        <v>#VALUE!</v>
      </c>
      <c r="HI122" t="e">
        <f>AND('SPR BARRANQUILLA'!AI146,"AAAAAB/6f9g=")</f>
        <v>#VALUE!</v>
      </c>
      <c r="HJ122" t="e">
        <f>AND('SPR BARRANQUILLA'!AJ146,"AAAAAB/6f9k=")</f>
        <v>#VALUE!</v>
      </c>
      <c r="HK122" t="e">
        <f>AND('SPR BARRANQUILLA'!AK146,"AAAAAB/6f9o=")</f>
        <v>#VALUE!</v>
      </c>
      <c r="HL122" t="e">
        <f>AND('SPR BARRANQUILLA'!AL146,"AAAAAB/6f9s=")</f>
        <v>#VALUE!</v>
      </c>
      <c r="HM122" t="e">
        <f>AND('SPR BARRANQUILLA'!AM146,"AAAAAB/6f9w=")</f>
        <v>#VALUE!</v>
      </c>
      <c r="HN122" t="e">
        <f>AND('SPR BARRANQUILLA'!AN146,"AAAAAB/6f90=")</f>
        <v>#VALUE!</v>
      </c>
      <c r="HO122" t="e">
        <f>AND('SPR BARRANQUILLA'!AO146,"AAAAAB/6f94=")</f>
        <v>#VALUE!</v>
      </c>
      <c r="HP122" t="e">
        <f>AND('SPR BARRANQUILLA'!AP146,"AAAAAB/6f98=")</f>
        <v>#VALUE!</v>
      </c>
      <c r="HQ122" t="e">
        <f>AND('SPR BARRANQUILLA'!AQ146,"AAAAAB/6f+A=")</f>
        <v>#VALUE!</v>
      </c>
      <c r="HR122" t="e">
        <f>AND('SPR BARRANQUILLA'!AR146,"AAAAAB/6f+E=")</f>
        <v>#VALUE!</v>
      </c>
      <c r="HS122" t="e">
        <f>AND('SPR BARRANQUILLA'!AS146,"AAAAAB/6f+I=")</f>
        <v>#VALUE!</v>
      </c>
      <c r="HT122" t="e">
        <f>AND('SPR BARRANQUILLA'!AT146,"AAAAAB/6f+M=")</f>
        <v>#VALUE!</v>
      </c>
      <c r="HU122" t="e">
        <f>AND('SPR BARRANQUILLA'!AU146,"AAAAAB/6f+Q=")</f>
        <v>#VALUE!</v>
      </c>
      <c r="HV122" t="e">
        <f>AND('SPR BARRANQUILLA'!AV146,"AAAAAB/6f+U=")</f>
        <v>#VALUE!</v>
      </c>
      <c r="HW122" t="e">
        <f>AND('SPR BARRANQUILLA'!AW146,"AAAAAB/6f+Y=")</f>
        <v>#VALUE!</v>
      </c>
      <c r="HX122" t="e">
        <f>AND('SPR BARRANQUILLA'!AX146,"AAAAAB/6f+c=")</f>
        <v>#VALUE!</v>
      </c>
      <c r="HY122" t="e">
        <f>AND('SPR BARRANQUILLA'!AY146,"AAAAAB/6f+g=")</f>
        <v>#VALUE!</v>
      </c>
      <c r="HZ122" t="e">
        <f>AND('SPR BARRANQUILLA'!AZ146,"AAAAAB/6f+k=")</f>
        <v>#VALUE!</v>
      </c>
      <c r="IA122" t="e">
        <f>AND('SPR BARRANQUILLA'!BA146,"AAAAAB/6f+o=")</f>
        <v>#VALUE!</v>
      </c>
      <c r="IB122" t="e">
        <f>AND('SPR BARRANQUILLA'!BB146,"AAAAAB/6f+s=")</f>
        <v>#VALUE!</v>
      </c>
      <c r="IC122" t="e">
        <f>AND('SPR BARRANQUILLA'!BC146,"AAAAAB/6f+w=")</f>
        <v>#VALUE!</v>
      </c>
      <c r="ID122" t="e">
        <f>AND('SPR BARRANQUILLA'!BD146,"AAAAAB/6f+0=")</f>
        <v>#VALUE!</v>
      </c>
      <c r="IE122" t="e">
        <f>AND('SPR BARRANQUILLA'!BE146,"AAAAAB/6f+4=")</f>
        <v>#VALUE!</v>
      </c>
      <c r="IF122" t="e">
        <f>AND('SPR BARRANQUILLA'!BF146,"AAAAAB/6f+8=")</f>
        <v>#VALUE!</v>
      </c>
      <c r="IG122" t="e">
        <f>AND('SPR BARRANQUILLA'!BG146,"AAAAAB/6f/A=")</f>
        <v>#VALUE!</v>
      </c>
      <c r="IH122" t="e">
        <f>AND('SPR BARRANQUILLA'!BH146,"AAAAAB/6f/E=")</f>
        <v>#VALUE!</v>
      </c>
      <c r="II122" t="e">
        <f>AND('SPR BARRANQUILLA'!BI146,"AAAAAB/6f/I=")</f>
        <v>#VALUE!</v>
      </c>
      <c r="IJ122" t="e">
        <f>AND('SPR BARRANQUILLA'!BJ146,"AAAAAB/6f/M=")</f>
        <v>#VALUE!</v>
      </c>
      <c r="IK122" t="e">
        <f>AND('SPR BARRANQUILLA'!BK146,"AAAAAB/6f/Q=")</f>
        <v>#VALUE!</v>
      </c>
      <c r="IL122" t="e">
        <f>AND('SPR BARRANQUILLA'!BL146,"AAAAAB/6f/U=")</f>
        <v>#VALUE!</v>
      </c>
      <c r="IM122" t="e">
        <f>AND('SPR BARRANQUILLA'!BM146,"AAAAAB/6f/Y=")</f>
        <v>#VALUE!</v>
      </c>
      <c r="IN122" t="e">
        <f>AND('SPR BARRANQUILLA'!BN146,"AAAAAB/6f/c=")</f>
        <v>#VALUE!</v>
      </c>
      <c r="IO122" t="e">
        <f>AND('SPR BARRANQUILLA'!BO146,"AAAAAB/6f/g=")</f>
        <v>#VALUE!</v>
      </c>
      <c r="IP122" t="e">
        <f>AND('SPR BARRANQUILLA'!BP146,"AAAAAB/6f/k=")</f>
        <v>#VALUE!</v>
      </c>
      <c r="IQ122" t="e">
        <f>AND('SPR BARRANQUILLA'!BQ146,"AAAAAB/6f/o=")</f>
        <v>#VALUE!</v>
      </c>
      <c r="IR122" t="e">
        <f>AND('SPR BARRANQUILLA'!BR146,"AAAAAB/6f/s=")</f>
        <v>#VALUE!</v>
      </c>
      <c r="IS122" t="e">
        <f>AND('SPR BARRANQUILLA'!BS146,"AAAAAB/6f/w=")</f>
        <v>#VALUE!</v>
      </c>
      <c r="IT122" t="e">
        <f>AND('SPR BARRANQUILLA'!BT146,"AAAAAB/6f/0=")</f>
        <v>#VALUE!</v>
      </c>
      <c r="IU122" t="e">
        <f>AND('SPR BARRANQUILLA'!BU146,"AAAAAB/6f/4=")</f>
        <v>#VALUE!</v>
      </c>
      <c r="IV122" t="e">
        <f>AND('SPR BARRANQUILLA'!BV146,"AAAAAB/6f/8=")</f>
        <v>#VALUE!</v>
      </c>
    </row>
    <row r="123" spans="1:256">
      <c r="A123" t="e">
        <f>AND('SPR BARRANQUILLA'!BW146,"AAAAAG9P3gA=")</f>
        <v>#VALUE!</v>
      </c>
      <c r="B123" t="e">
        <f>AND('SPR BARRANQUILLA'!BX146,"AAAAAG9P3gE=")</f>
        <v>#VALUE!</v>
      </c>
      <c r="C123" t="e">
        <f>AND('SPR BARRANQUILLA'!BY146,"AAAAAG9P3gI=")</f>
        <v>#VALUE!</v>
      </c>
      <c r="D123" t="e">
        <f>AND('SPR BARRANQUILLA'!BZ146,"AAAAAG9P3gM=")</f>
        <v>#VALUE!</v>
      </c>
      <c r="E123" t="e">
        <f>AND('SPR BARRANQUILLA'!CA146,"AAAAAG9P3gQ=")</f>
        <v>#VALUE!</v>
      </c>
      <c r="F123" t="e">
        <f>AND('SPR BARRANQUILLA'!CB146,"AAAAAG9P3gU=")</f>
        <v>#VALUE!</v>
      </c>
      <c r="G123" t="e">
        <f>AND('SPR BARRANQUILLA'!CC146,"AAAAAG9P3gY=")</f>
        <v>#VALUE!</v>
      </c>
      <c r="H123" t="e">
        <f>AND('SPR BARRANQUILLA'!CD146,"AAAAAG9P3gc=")</f>
        <v>#VALUE!</v>
      </c>
      <c r="I123" t="e">
        <f>AND('SPR BARRANQUILLA'!CE146,"AAAAAG9P3gg=")</f>
        <v>#VALUE!</v>
      </c>
      <c r="J123" t="e">
        <f>AND('SPR BARRANQUILLA'!CF146,"AAAAAG9P3gk=")</f>
        <v>#VALUE!</v>
      </c>
      <c r="K123" t="e">
        <f>AND('SPR BARRANQUILLA'!CG146,"AAAAAG9P3go=")</f>
        <v>#VALUE!</v>
      </c>
      <c r="L123" t="e">
        <f>AND('SPR BARRANQUILLA'!CH146,"AAAAAG9P3gs=")</f>
        <v>#VALUE!</v>
      </c>
      <c r="M123" t="e">
        <f>AND('SPR BARRANQUILLA'!CI146,"AAAAAG9P3gw=")</f>
        <v>#VALUE!</v>
      </c>
      <c r="N123" t="e">
        <f>AND('SPR BARRANQUILLA'!CJ146,"AAAAAG9P3g0=")</f>
        <v>#VALUE!</v>
      </c>
      <c r="O123" t="e">
        <f>AND('SPR BARRANQUILLA'!CK146,"AAAAAG9P3g4=")</f>
        <v>#VALUE!</v>
      </c>
      <c r="P123" t="e">
        <f>AND('SPR BARRANQUILLA'!CL146,"AAAAAG9P3g8=")</f>
        <v>#VALUE!</v>
      </c>
      <c r="Q123" t="e">
        <f>AND('SPR BARRANQUILLA'!CM146,"AAAAAG9P3hA=")</f>
        <v>#VALUE!</v>
      </c>
      <c r="R123" t="e">
        <f>AND('SPR BARRANQUILLA'!CN146,"AAAAAG9P3hE=")</f>
        <v>#VALUE!</v>
      </c>
      <c r="S123" t="e">
        <f>AND('SPR BARRANQUILLA'!CO146,"AAAAAG9P3hI=")</f>
        <v>#VALUE!</v>
      </c>
      <c r="T123" t="e">
        <f>AND('SPR BARRANQUILLA'!CP146,"AAAAAG9P3hM=")</f>
        <v>#VALUE!</v>
      </c>
      <c r="U123" t="e">
        <f>AND('SPR BARRANQUILLA'!CQ146,"AAAAAG9P3hQ=")</f>
        <v>#VALUE!</v>
      </c>
      <c r="V123" t="e">
        <f>AND('SPR BARRANQUILLA'!CR146,"AAAAAG9P3hU=")</f>
        <v>#VALUE!</v>
      </c>
      <c r="W123" t="e">
        <f>AND('SPR BARRANQUILLA'!CS146,"AAAAAG9P3hY=")</f>
        <v>#VALUE!</v>
      </c>
      <c r="X123" t="e">
        <f>AND('SPR BARRANQUILLA'!CT146,"AAAAAG9P3hc=")</f>
        <v>#VALUE!</v>
      </c>
      <c r="Y123" t="e">
        <f>AND('SPR BARRANQUILLA'!CU146,"AAAAAG9P3hg=")</f>
        <v>#VALUE!</v>
      </c>
      <c r="Z123" t="e">
        <f>AND('SPR BARRANQUILLA'!CV146,"AAAAAG9P3hk=")</f>
        <v>#VALUE!</v>
      </c>
      <c r="AA123" t="e">
        <f>AND('SPR BARRANQUILLA'!CW146,"AAAAAG9P3ho=")</f>
        <v>#VALUE!</v>
      </c>
      <c r="AB123" t="e">
        <f>AND('SPR BARRANQUILLA'!CX146,"AAAAAG9P3hs=")</f>
        <v>#VALUE!</v>
      </c>
      <c r="AC123" t="e">
        <f>AND('SPR BARRANQUILLA'!CY146,"AAAAAG9P3hw=")</f>
        <v>#VALUE!</v>
      </c>
      <c r="AD123" t="e">
        <f>AND('SPR BARRANQUILLA'!CZ146,"AAAAAG9P3h0=")</f>
        <v>#VALUE!</v>
      </c>
      <c r="AE123" t="e">
        <f>AND('SPR BARRANQUILLA'!DA146,"AAAAAG9P3h4=")</f>
        <v>#VALUE!</v>
      </c>
      <c r="AF123" t="e">
        <f>AND('SPR BARRANQUILLA'!DB146,"AAAAAG9P3h8=")</f>
        <v>#VALUE!</v>
      </c>
      <c r="AG123" t="e">
        <f>AND('SPR BARRANQUILLA'!DC146,"AAAAAG9P3iA=")</f>
        <v>#VALUE!</v>
      </c>
      <c r="AH123" t="e">
        <f>AND('SPR BARRANQUILLA'!DD146,"AAAAAG9P3iE=")</f>
        <v>#VALUE!</v>
      </c>
      <c r="AI123" t="e">
        <f>AND('SPR BARRANQUILLA'!DE146,"AAAAAG9P3iI=")</f>
        <v>#VALUE!</v>
      </c>
      <c r="AJ123" t="e">
        <f>AND('SPR BARRANQUILLA'!DF146,"AAAAAG9P3iM=")</f>
        <v>#VALUE!</v>
      </c>
      <c r="AK123" t="e">
        <f>AND('SPR BARRANQUILLA'!DG146,"AAAAAG9P3iQ=")</f>
        <v>#VALUE!</v>
      </c>
      <c r="AL123" t="e">
        <f>AND('SPR BARRANQUILLA'!DH146,"AAAAAG9P3iU=")</f>
        <v>#VALUE!</v>
      </c>
      <c r="AM123" t="e">
        <f>AND('SPR BARRANQUILLA'!DI146,"AAAAAG9P3iY=")</f>
        <v>#VALUE!</v>
      </c>
      <c r="AN123" t="e">
        <f>AND('SPR BARRANQUILLA'!DJ146,"AAAAAG9P3ic=")</f>
        <v>#VALUE!</v>
      </c>
      <c r="AO123" t="e">
        <f>AND('SPR BARRANQUILLA'!DK146,"AAAAAG9P3ig=")</f>
        <v>#VALUE!</v>
      </c>
      <c r="AP123" t="e">
        <f>AND('SPR BARRANQUILLA'!DL146,"AAAAAG9P3ik=")</f>
        <v>#VALUE!</v>
      </c>
      <c r="AQ123" t="e">
        <f>AND('SPR BARRANQUILLA'!DM146,"AAAAAG9P3io=")</f>
        <v>#VALUE!</v>
      </c>
      <c r="AR123" t="e">
        <f>AND('SPR BARRANQUILLA'!DN146,"AAAAAG9P3is=")</f>
        <v>#VALUE!</v>
      </c>
      <c r="AS123" t="e">
        <f>AND('SPR BARRANQUILLA'!DO146,"AAAAAG9P3iw=")</f>
        <v>#VALUE!</v>
      </c>
      <c r="AT123" t="e">
        <f>AND('SPR BARRANQUILLA'!DP146,"AAAAAG9P3i0=")</f>
        <v>#VALUE!</v>
      </c>
      <c r="AU123" t="e">
        <f>AND('SPR BARRANQUILLA'!DQ146,"AAAAAG9P3i4=")</f>
        <v>#VALUE!</v>
      </c>
      <c r="AV123" t="e">
        <f>AND('SPR BARRANQUILLA'!DR146,"AAAAAG9P3i8=")</f>
        <v>#VALUE!</v>
      </c>
      <c r="AW123" t="e">
        <f>AND('SPR BARRANQUILLA'!DS146,"AAAAAG9P3jA=")</f>
        <v>#VALUE!</v>
      </c>
      <c r="AX123" t="e">
        <f>AND('SPR BARRANQUILLA'!DT146,"AAAAAG9P3jE=")</f>
        <v>#VALUE!</v>
      </c>
      <c r="AY123" t="e">
        <f>AND('SPR BARRANQUILLA'!DU146,"AAAAAG9P3jI=")</f>
        <v>#VALUE!</v>
      </c>
      <c r="AZ123" t="e">
        <f>AND('SPR BARRANQUILLA'!DV146,"AAAAAG9P3jM=")</f>
        <v>#VALUE!</v>
      </c>
      <c r="BA123" t="e">
        <f>AND('SPR BARRANQUILLA'!DW146,"AAAAAG9P3jQ=")</f>
        <v>#VALUE!</v>
      </c>
      <c r="BB123" t="e">
        <f>AND('SPR BARRANQUILLA'!DX146,"AAAAAG9P3jU=")</f>
        <v>#VALUE!</v>
      </c>
      <c r="BC123" t="e">
        <f>AND('SPR BARRANQUILLA'!DY146,"AAAAAG9P3jY=")</f>
        <v>#VALUE!</v>
      </c>
      <c r="BD123" t="e">
        <f>AND('SPR BARRANQUILLA'!DZ146,"AAAAAG9P3jc=")</f>
        <v>#VALUE!</v>
      </c>
      <c r="BE123" t="e">
        <f>AND('SPR BARRANQUILLA'!EA146,"AAAAAG9P3jg=")</f>
        <v>#VALUE!</v>
      </c>
      <c r="BF123" t="e">
        <f>AND('SPR BARRANQUILLA'!EB146,"AAAAAG9P3jk=")</f>
        <v>#VALUE!</v>
      </c>
      <c r="BG123" t="e">
        <f>AND('SPR BARRANQUILLA'!EC146,"AAAAAG9P3jo=")</f>
        <v>#VALUE!</v>
      </c>
      <c r="BH123" t="e">
        <f>AND('SPR BARRANQUILLA'!ED146,"AAAAAG9P3js=")</f>
        <v>#VALUE!</v>
      </c>
      <c r="BI123" t="e">
        <f>AND('SPR BARRANQUILLA'!EE146,"AAAAAG9P3jw=")</f>
        <v>#VALUE!</v>
      </c>
      <c r="BJ123" t="e">
        <f>AND('SPR BARRANQUILLA'!EF146,"AAAAAG9P3j0=")</f>
        <v>#VALUE!</v>
      </c>
      <c r="BK123" t="e">
        <f>AND('SPR BARRANQUILLA'!EG146,"AAAAAG9P3j4=")</f>
        <v>#VALUE!</v>
      </c>
      <c r="BL123" t="e">
        <f>AND('SPR BARRANQUILLA'!EH146,"AAAAAG9P3j8=")</f>
        <v>#VALUE!</v>
      </c>
      <c r="BM123" t="e">
        <f>AND('SPR BARRANQUILLA'!EI146,"AAAAAG9P3kA=")</f>
        <v>#VALUE!</v>
      </c>
      <c r="BN123" t="e">
        <f>AND('SPR BARRANQUILLA'!EJ146,"AAAAAG9P3kE=")</f>
        <v>#VALUE!</v>
      </c>
      <c r="BO123" t="e">
        <f>AND('SPR BARRANQUILLA'!EK146,"AAAAAG9P3kI=")</f>
        <v>#VALUE!</v>
      </c>
      <c r="BP123" t="e">
        <f>AND('SPR BARRANQUILLA'!EL146,"AAAAAG9P3kM=")</f>
        <v>#VALUE!</v>
      </c>
      <c r="BQ123" t="e">
        <f>AND('SPR BARRANQUILLA'!EM146,"AAAAAG9P3kQ=")</f>
        <v>#VALUE!</v>
      </c>
      <c r="BR123" t="e">
        <f>AND('SPR BARRANQUILLA'!EN146,"AAAAAG9P3kU=")</f>
        <v>#VALUE!</v>
      </c>
      <c r="BS123" t="e">
        <f>AND('SPR BARRANQUILLA'!EO146,"AAAAAG9P3kY=")</f>
        <v>#VALUE!</v>
      </c>
      <c r="BT123" t="e">
        <f>AND('SPR BARRANQUILLA'!EP146,"AAAAAG9P3kc=")</f>
        <v>#VALUE!</v>
      </c>
      <c r="BU123" t="e">
        <f>AND('SPR BARRANQUILLA'!EQ146,"AAAAAG9P3kg=")</f>
        <v>#VALUE!</v>
      </c>
      <c r="BV123" t="e">
        <f>AND('SPR BARRANQUILLA'!ER146,"AAAAAG9P3kk=")</f>
        <v>#VALUE!</v>
      </c>
      <c r="BW123" t="e">
        <f>AND('SPR BARRANQUILLA'!ES146,"AAAAAG9P3ko=")</f>
        <v>#VALUE!</v>
      </c>
      <c r="BX123" t="e">
        <f>AND('SPR BARRANQUILLA'!ET146,"AAAAAG9P3ks=")</f>
        <v>#VALUE!</v>
      </c>
      <c r="BY123" t="e">
        <f>AND('SPR BARRANQUILLA'!EU146,"AAAAAG9P3kw=")</f>
        <v>#VALUE!</v>
      </c>
      <c r="BZ123" t="e">
        <f>AND('SPR BARRANQUILLA'!EV146,"AAAAAG9P3k0=")</f>
        <v>#VALUE!</v>
      </c>
      <c r="CA123" t="e">
        <f>AND('SPR BARRANQUILLA'!EW146,"AAAAAG9P3k4=")</f>
        <v>#VALUE!</v>
      </c>
      <c r="CB123" t="e">
        <f>AND('SPR BARRANQUILLA'!EX146,"AAAAAG9P3k8=")</f>
        <v>#VALUE!</v>
      </c>
      <c r="CC123" t="e">
        <f>AND('SPR BARRANQUILLA'!EY146,"AAAAAG9P3lA=")</f>
        <v>#VALUE!</v>
      </c>
      <c r="CD123" t="e">
        <f>AND('SPR BARRANQUILLA'!EZ146,"AAAAAG9P3lE=")</f>
        <v>#VALUE!</v>
      </c>
      <c r="CE123" t="e">
        <f>AND('SPR BARRANQUILLA'!FA146,"AAAAAG9P3lI=")</f>
        <v>#VALUE!</v>
      </c>
      <c r="CF123" t="e">
        <f>AND('SPR BARRANQUILLA'!FB146,"AAAAAG9P3lM=")</f>
        <v>#VALUE!</v>
      </c>
      <c r="CG123" t="e">
        <f>AND('SPR BARRANQUILLA'!FC146,"AAAAAG9P3lQ=")</f>
        <v>#VALUE!</v>
      </c>
      <c r="CH123" t="e">
        <f>AND('SPR BARRANQUILLA'!FD146,"AAAAAG9P3lU=")</f>
        <v>#VALUE!</v>
      </c>
      <c r="CI123" t="e">
        <f>AND('SPR BARRANQUILLA'!FE146,"AAAAAG9P3lY=")</f>
        <v>#VALUE!</v>
      </c>
      <c r="CJ123" t="e">
        <f>AND('SPR BARRANQUILLA'!FF146,"AAAAAG9P3lc=")</f>
        <v>#VALUE!</v>
      </c>
      <c r="CK123" t="e">
        <f>AND('SPR BARRANQUILLA'!FG146,"AAAAAG9P3lg=")</f>
        <v>#VALUE!</v>
      </c>
      <c r="CL123" t="e">
        <f>AND('SPR BARRANQUILLA'!FH146,"AAAAAG9P3lk=")</f>
        <v>#VALUE!</v>
      </c>
      <c r="CM123" t="e">
        <f>AND('SPR BARRANQUILLA'!FI146,"AAAAAG9P3lo=")</f>
        <v>#VALUE!</v>
      </c>
      <c r="CN123" t="e">
        <f>AND('SPR BARRANQUILLA'!FJ146,"AAAAAG9P3ls=")</f>
        <v>#VALUE!</v>
      </c>
      <c r="CO123" t="e">
        <f>AND('SPR BARRANQUILLA'!FK146,"AAAAAG9P3lw=")</f>
        <v>#VALUE!</v>
      </c>
      <c r="CP123" t="e">
        <f>AND('SPR BARRANQUILLA'!FL146,"AAAAAG9P3l0=")</f>
        <v>#VALUE!</v>
      </c>
      <c r="CQ123" t="e">
        <f>AND('SPR BARRANQUILLA'!FM146,"AAAAAG9P3l4=")</f>
        <v>#VALUE!</v>
      </c>
      <c r="CR123" t="e">
        <f>AND('SPR BARRANQUILLA'!FN146,"AAAAAG9P3l8=")</f>
        <v>#VALUE!</v>
      </c>
      <c r="CS123" t="e">
        <f>AND('SPR BARRANQUILLA'!FO146,"AAAAAG9P3mA=")</f>
        <v>#VALUE!</v>
      </c>
      <c r="CT123" t="e">
        <f>AND('SPR BARRANQUILLA'!FP146,"AAAAAG9P3mE=")</f>
        <v>#VALUE!</v>
      </c>
      <c r="CU123" t="e">
        <f>AND('SPR BARRANQUILLA'!FQ146,"AAAAAG9P3mI=")</f>
        <v>#VALUE!</v>
      </c>
      <c r="CV123" t="e">
        <f>AND('SPR BARRANQUILLA'!FR146,"AAAAAG9P3mM=")</f>
        <v>#VALUE!</v>
      </c>
      <c r="CW123" t="e">
        <f>AND('SPR BARRANQUILLA'!FS146,"AAAAAG9P3mQ=")</f>
        <v>#VALUE!</v>
      </c>
      <c r="CX123" t="e">
        <f>AND('SPR BARRANQUILLA'!FT146,"AAAAAG9P3mU=")</f>
        <v>#VALUE!</v>
      </c>
      <c r="CY123" t="e">
        <f>AND('SPR BARRANQUILLA'!FU146,"AAAAAG9P3mY=")</f>
        <v>#VALUE!</v>
      </c>
      <c r="CZ123" t="e">
        <f>AND('SPR BARRANQUILLA'!FV146,"AAAAAG9P3mc=")</f>
        <v>#VALUE!</v>
      </c>
      <c r="DA123" t="e">
        <f>AND('SPR BARRANQUILLA'!FW146,"AAAAAG9P3mg=")</f>
        <v>#VALUE!</v>
      </c>
      <c r="DB123" t="e">
        <f>AND('SPR BARRANQUILLA'!FX146,"AAAAAG9P3mk=")</f>
        <v>#VALUE!</v>
      </c>
      <c r="DC123" t="e">
        <f>AND('SPR BARRANQUILLA'!FY146,"AAAAAG9P3mo=")</f>
        <v>#VALUE!</v>
      </c>
      <c r="DD123" t="e">
        <f>AND('SPR BARRANQUILLA'!FZ146,"AAAAAG9P3ms=")</f>
        <v>#VALUE!</v>
      </c>
      <c r="DE123" t="e">
        <f>AND('SPR BARRANQUILLA'!GA146,"AAAAAG9P3mw=")</f>
        <v>#VALUE!</v>
      </c>
      <c r="DF123" t="e">
        <f>AND('SPR BARRANQUILLA'!GB146,"AAAAAG9P3m0=")</f>
        <v>#VALUE!</v>
      </c>
      <c r="DG123" t="e">
        <f>AND('SPR BARRANQUILLA'!GC146,"AAAAAG9P3m4=")</f>
        <v>#VALUE!</v>
      </c>
      <c r="DH123" t="e">
        <f>AND('SPR BARRANQUILLA'!GD146,"AAAAAG9P3m8=")</f>
        <v>#VALUE!</v>
      </c>
      <c r="DI123" t="e">
        <f>AND('SPR BARRANQUILLA'!GE146,"AAAAAG9P3nA=")</f>
        <v>#VALUE!</v>
      </c>
      <c r="DJ123" t="e">
        <f>AND('SPR BARRANQUILLA'!GF146,"AAAAAG9P3nE=")</f>
        <v>#VALUE!</v>
      </c>
      <c r="DK123" t="e">
        <f>AND('SPR BARRANQUILLA'!GG146,"AAAAAG9P3nI=")</f>
        <v>#VALUE!</v>
      </c>
      <c r="DL123" t="e">
        <f>AND('SPR BARRANQUILLA'!GH146,"AAAAAG9P3nM=")</f>
        <v>#VALUE!</v>
      </c>
      <c r="DM123" t="e">
        <f>AND('SPR BARRANQUILLA'!GI146,"AAAAAG9P3nQ=")</f>
        <v>#VALUE!</v>
      </c>
      <c r="DN123" t="e">
        <f>AND('SPR BARRANQUILLA'!GJ146,"AAAAAG9P3nU=")</f>
        <v>#VALUE!</v>
      </c>
      <c r="DO123" t="e">
        <f>AND('SPR BARRANQUILLA'!GK146,"AAAAAG9P3nY=")</f>
        <v>#VALUE!</v>
      </c>
      <c r="DP123" t="e">
        <f>AND('SPR BARRANQUILLA'!GL146,"AAAAAG9P3nc=")</f>
        <v>#VALUE!</v>
      </c>
      <c r="DQ123" t="e">
        <f>AND('SPR BARRANQUILLA'!GM146,"AAAAAG9P3ng=")</f>
        <v>#VALUE!</v>
      </c>
      <c r="DR123" t="e">
        <f>AND('SPR BARRANQUILLA'!GN146,"AAAAAG9P3nk=")</f>
        <v>#VALUE!</v>
      </c>
      <c r="DS123" t="e">
        <f>AND('SPR BARRANQUILLA'!GO146,"AAAAAG9P3no=")</f>
        <v>#VALUE!</v>
      </c>
      <c r="DT123" t="e">
        <f>AND('SPR BARRANQUILLA'!GP146,"AAAAAG9P3ns=")</f>
        <v>#VALUE!</v>
      </c>
      <c r="DU123" t="e">
        <f>AND('SPR BARRANQUILLA'!GQ146,"AAAAAG9P3nw=")</f>
        <v>#VALUE!</v>
      </c>
      <c r="DV123" t="e">
        <f>AND('SPR BARRANQUILLA'!GR146,"AAAAAG9P3n0=")</f>
        <v>#VALUE!</v>
      </c>
      <c r="DW123" t="e">
        <f>AND('SPR BARRANQUILLA'!GS146,"AAAAAG9P3n4=")</f>
        <v>#VALUE!</v>
      </c>
      <c r="DX123" t="e">
        <f>AND('SPR BARRANQUILLA'!GT146,"AAAAAG9P3n8=")</f>
        <v>#VALUE!</v>
      </c>
      <c r="DY123" t="e">
        <f>AND('SPR BARRANQUILLA'!GU146,"AAAAAG9P3oA=")</f>
        <v>#VALUE!</v>
      </c>
      <c r="DZ123" t="e">
        <f>AND('SPR BARRANQUILLA'!GV146,"AAAAAG9P3oE=")</f>
        <v>#VALUE!</v>
      </c>
      <c r="EA123" t="e">
        <f>AND('SPR BARRANQUILLA'!GW146,"AAAAAG9P3oI=")</f>
        <v>#VALUE!</v>
      </c>
      <c r="EB123" t="e">
        <f>AND('SPR BARRANQUILLA'!GX146,"AAAAAG9P3oM=")</f>
        <v>#VALUE!</v>
      </c>
      <c r="EC123" t="e">
        <f>AND('SPR BARRANQUILLA'!GY146,"AAAAAG9P3oQ=")</f>
        <v>#VALUE!</v>
      </c>
      <c r="ED123">
        <f>IF('SPR BARRANQUILLA'!147:147,"AAAAAG9P3oU=",0)</f>
        <v>0</v>
      </c>
      <c r="EE123" t="e">
        <f>AND('SPR BARRANQUILLA'!A147,"AAAAAG9P3oY=")</f>
        <v>#VALUE!</v>
      </c>
      <c r="EF123" t="e">
        <f>AND('SPR BARRANQUILLA'!B147,"AAAAAG9P3oc=")</f>
        <v>#VALUE!</v>
      </c>
      <c r="EG123" t="e">
        <f>AND('SPR BARRANQUILLA'!C147,"AAAAAG9P3og=")</f>
        <v>#VALUE!</v>
      </c>
      <c r="EH123" t="e">
        <f>AND('SPR BARRANQUILLA'!D147,"AAAAAG9P3ok=")</f>
        <v>#VALUE!</v>
      </c>
      <c r="EI123" t="e">
        <f>AND('SPR BARRANQUILLA'!E147,"AAAAAG9P3oo=")</f>
        <v>#VALUE!</v>
      </c>
      <c r="EJ123" t="e">
        <f>AND('SPR BARRANQUILLA'!F147,"AAAAAG9P3os=")</f>
        <v>#VALUE!</v>
      </c>
      <c r="EK123" t="e">
        <f>AND('SPR BARRANQUILLA'!G147,"AAAAAG9P3ow=")</f>
        <v>#VALUE!</v>
      </c>
      <c r="EL123" t="e">
        <f>AND('SPR BARRANQUILLA'!H147,"AAAAAG9P3o0=")</f>
        <v>#VALUE!</v>
      </c>
      <c r="EM123" t="e">
        <f>AND('SPR BARRANQUILLA'!I147,"AAAAAG9P3o4=")</f>
        <v>#VALUE!</v>
      </c>
      <c r="EN123" t="e">
        <f>AND('SPR BARRANQUILLA'!J147,"AAAAAG9P3o8=")</f>
        <v>#VALUE!</v>
      </c>
      <c r="EO123" t="e">
        <f>AND('SPR BARRANQUILLA'!K147,"AAAAAG9P3pA=")</f>
        <v>#VALUE!</v>
      </c>
      <c r="EP123" t="e">
        <f>AND('SPR BARRANQUILLA'!L147,"AAAAAG9P3pE=")</f>
        <v>#VALUE!</v>
      </c>
      <c r="EQ123" t="e">
        <f>AND('SPR BARRANQUILLA'!M147,"AAAAAG9P3pI=")</f>
        <v>#VALUE!</v>
      </c>
      <c r="ER123" t="e">
        <f>AND('SPR BARRANQUILLA'!N147,"AAAAAG9P3pM=")</f>
        <v>#VALUE!</v>
      </c>
      <c r="ES123" t="e">
        <f>AND('SPR BARRANQUILLA'!O147,"AAAAAG9P3pQ=")</f>
        <v>#VALUE!</v>
      </c>
      <c r="ET123" t="e">
        <f>AND('SPR BARRANQUILLA'!P147,"AAAAAG9P3pU=")</f>
        <v>#VALUE!</v>
      </c>
      <c r="EU123" t="e">
        <f>AND('SPR BARRANQUILLA'!Q147,"AAAAAG9P3pY=")</f>
        <v>#VALUE!</v>
      </c>
      <c r="EV123" t="e">
        <f>AND('SPR BARRANQUILLA'!R147,"AAAAAG9P3pc=")</f>
        <v>#VALUE!</v>
      </c>
      <c r="EW123" t="e">
        <f>AND('SPR BARRANQUILLA'!S147,"AAAAAG9P3pg=")</f>
        <v>#VALUE!</v>
      </c>
      <c r="EX123" t="e">
        <f>AND('SPR BARRANQUILLA'!T147,"AAAAAG9P3pk=")</f>
        <v>#VALUE!</v>
      </c>
      <c r="EY123" t="e">
        <f>AND('SPR BARRANQUILLA'!U147,"AAAAAG9P3po=")</f>
        <v>#VALUE!</v>
      </c>
      <c r="EZ123" t="e">
        <f>AND('SPR BARRANQUILLA'!V147,"AAAAAG9P3ps=")</f>
        <v>#VALUE!</v>
      </c>
      <c r="FA123" t="e">
        <f>AND('SPR BARRANQUILLA'!W147,"AAAAAG9P3pw=")</f>
        <v>#VALUE!</v>
      </c>
      <c r="FB123" t="e">
        <f>AND('SPR BARRANQUILLA'!X147,"AAAAAG9P3p0=")</f>
        <v>#VALUE!</v>
      </c>
      <c r="FC123" t="e">
        <f>AND('SPR BARRANQUILLA'!Y147,"AAAAAG9P3p4=")</f>
        <v>#VALUE!</v>
      </c>
      <c r="FD123" t="e">
        <f>AND('SPR BARRANQUILLA'!Z147,"AAAAAG9P3p8=")</f>
        <v>#VALUE!</v>
      </c>
      <c r="FE123" t="e">
        <f>AND('SPR BARRANQUILLA'!AA147,"AAAAAG9P3qA=")</f>
        <v>#VALUE!</v>
      </c>
      <c r="FF123" t="e">
        <f>AND('SPR BARRANQUILLA'!AB147,"AAAAAG9P3qE=")</f>
        <v>#VALUE!</v>
      </c>
      <c r="FG123" t="e">
        <f>AND('SPR BARRANQUILLA'!AC147,"AAAAAG9P3qI=")</f>
        <v>#VALUE!</v>
      </c>
      <c r="FH123" t="e">
        <f>AND('SPR BARRANQUILLA'!AD147,"AAAAAG9P3qM=")</f>
        <v>#VALUE!</v>
      </c>
      <c r="FI123" t="e">
        <f>AND('SPR BARRANQUILLA'!AE147,"AAAAAG9P3qQ=")</f>
        <v>#VALUE!</v>
      </c>
      <c r="FJ123" t="e">
        <f>AND('SPR BARRANQUILLA'!AF147,"AAAAAG9P3qU=")</f>
        <v>#VALUE!</v>
      </c>
      <c r="FK123" t="e">
        <f>AND('SPR BARRANQUILLA'!AG147,"AAAAAG9P3qY=")</f>
        <v>#VALUE!</v>
      </c>
      <c r="FL123" t="e">
        <f>AND('SPR BARRANQUILLA'!AH147,"AAAAAG9P3qc=")</f>
        <v>#VALUE!</v>
      </c>
      <c r="FM123" t="e">
        <f>AND('SPR BARRANQUILLA'!AI147,"AAAAAG9P3qg=")</f>
        <v>#VALUE!</v>
      </c>
      <c r="FN123" t="e">
        <f>AND('SPR BARRANQUILLA'!AJ147,"AAAAAG9P3qk=")</f>
        <v>#VALUE!</v>
      </c>
      <c r="FO123" t="e">
        <f>AND('SPR BARRANQUILLA'!AK147,"AAAAAG9P3qo=")</f>
        <v>#VALUE!</v>
      </c>
      <c r="FP123" t="e">
        <f>AND('SPR BARRANQUILLA'!AL147,"AAAAAG9P3qs=")</f>
        <v>#VALUE!</v>
      </c>
      <c r="FQ123" t="e">
        <f>AND('SPR BARRANQUILLA'!AM147,"AAAAAG9P3qw=")</f>
        <v>#VALUE!</v>
      </c>
      <c r="FR123" t="e">
        <f>AND('SPR BARRANQUILLA'!AN147,"AAAAAG9P3q0=")</f>
        <v>#VALUE!</v>
      </c>
      <c r="FS123" t="e">
        <f>AND('SPR BARRANQUILLA'!AO147,"AAAAAG9P3q4=")</f>
        <v>#VALUE!</v>
      </c>
      <c r="FT123" t="e">
        <f>AND('SPR BARRANQUILLA'!AP147,"AAAAAG9P3q8=")</f>
        <v>#VALUE!</v>
      </c>
      <c r="FU123" t="e">
        <f>AND('SPR BARRANQUILLA'!AQ147,"AAAAAG9P3rA=")</f>
        <v>#VALUE!</v>
      </c>
      <c r="FV123" t="e">
        <f>AND('SPR BARRANQUILLA'!AR147,"AAAAAG9P3rE=")</f>
        <v>#VALUE!</v>
      </c>
      <c r="FW123" t="e">
        <f>AND('SPR BARRANQUILLA'!AS147,"AAAAAG9P3rI=")</f>
        <v>#VALUE!</v>
      </c>
      <c r="FX123" t="e">
        <f>AND('SPR BARRANQUILLA'!AT147,"AAAAAG9P3rM=")</f>
        <v>#VALUE!</v>
      </c>
      <c r="FY123" t="e">
        <f>AND('SPR BARRANQUILLA'!AU147,"AAAAAG9P3rQ=")</f>
        <v>#VALUE!</v>
      </c>
      <c r="FZ123" t="e">
        <f>AND('SPR BARRANQUILLA'!AV147,"AAAAAG9P3rU=")</f>
        <v>#VALUE!</v>
      </c>
      <c r="GA123" t="e">
        <f>AND('SPR BARRANQUILLA'!AW147,"AAAAAG9P3rY=")</f>
        <v>#VALUE!</v>
      </c>
      <c r="GB123" t="e">
        <f>AND('SPR BARRANQUILLA'!AX147,"AAAAAG9P3rc=")</f>
        <v>#VALUE!</v>
      </c>
      <c r="GC123" t="e">
        <f>AND('SPR BARRANQUILLA'!AY147,"AAAAAG9P3rg=")</f>
        <v>#VALUE!</v>
      </c>
      <c r="GD123" t="e">
        <f>AND('SPR BARRANQUILLA'!AZ147,"AAAAAG9P3rk=")</f>
        <v>#VALUE!</v>
      </c>
      <c r="GE123" t="e">
        <f>AND('SPR BARRANQUILLA'!BA147,"AAAAAG9P3ro=")</f>
        <v>#VALUE!</v>
      </c>
      <c r="GF123" t="e">
        <f>AND('SPR BARRANQUILLA'!BB147,"AAAAAG9P3rs=")</f>
        <v>#VALUE!</v>
      </c>
      <c r="GG123" t="e">
        <f>AND('SPR BARRANQUILLA'!BC147,"AAAAAG9P3rw=")</f>
        <v>#VALUE!</v>
      </c>
      <c r="GH123" t="e">
        <f>AND('SPR BARRANQUILLA'!BD147,"AAAAAG9P3r0=")</f>
        <v>#VALUE!</v>
      </c>
      <c r="GI123" t="e">
        <f>AND('SPR BARRANQUILLA'!BE147,"AAAAAG9P3r4=")</f>
        <v>#VALUE!</v>
      </c>
      <c r="GJ123" t="e">
        <f>AND('SPR BARRANQUILLA'!BF147,"AAAAAG9P3r8=")</f>
        <v>#VALUE!</v>
      </c>
      <c r="GK123" t="e">
        <f>AND('SPR BARRANQUILLA'!BG147,"AAAAAG9P3sA=")</f>
        <v>#VALUE!</v>
      </c>
      <c r="GL123" t="e">
        <f>AND('SPR BARRANQUILLA'!BH147,"AAAAAG9P3sE=")</f>
        <v>#VALUE!</v>
      </c>
      <c r="GM123" t="e">
        <f>AND('SPR BARRANQUILLA'!BI147,"AAAAAG9P3sI=")</f>
        <v>#VALUE!</v>
      </c>
      <c r="GN123" t="e">
        <f>AND('SPR BARRANQUILLA'!BJ147,"AAAAAG9P3sM=")</f>
        <v>#VALUE!</v>
      </c>
      <c r="GO123" t="e">
        <f>AND('SPR BARRANQUILLA'!BK147,"AAAAAG9P3sQ=")</f>
        <v>#VALUE!</v>
      </c>
      <c r="GP123" t="e">
        <f>AND('SPR BARRANQUILLA'!BL147,"AAAAAG9P3sU=")</f>
        <v>#VALUE!</v>
      </c>
      <c r="GQ123" t="e">
        <f>AND('SPR BARRANQUILLA'!BM147,"AAAAAG9P3sY=")</f>
        <v>#VALUE!</v>
      </c>
      <c r="GR123" t="e">
        <f>AND('SPR BARRANQUILLA'!BN147,"AAAAAG9P3sc=")</f>
        <v>#VALUE!</v>
      </c>
      <c r="GS123" t="e">
        <f>AND('SPR BARRANQUILLA'!BO147,"AAAAAG9P3sg=")</f>
        <v>#VALUE!</v>
      </c>
      <c r="GT123" t="e">
        <f>AND('SPR BARRANQUILLA'!BP147,"AAAAAG9P3sk=")</f>
        <v>#VALUE!</v>
      </c>
      <c r="GU123" t="e">
        <f>AND('SPR BARRANQUILLA'!BQ147,"AAAAAG9P3so=")</f>
        <v>#VALUE!</v>
      </c>
      <c r="GV123" t="e">
        <f>AND('SPR BARRANQUILLA'!BR147,"AAAAAG9P3ss=")</f>
        <v>#VALUE!</v>
      </c>
      <c r="GW123" t="e">
        <f>AND('SPR BARRANQUILLA'!BS147,"AAAAAG9P3sw=")</f>
        <v>#VALUE!</v>
      </c>
      <c r="GX123" t="e">
        <f>AND('SPR BARRANQUILLA'!BT147,"AAAAAG9P3s0=")</f>
        <v>#VALUE!</v>
      </c>
      <c r="GY123" t="e">
        <f>AND('SPR BARRANQUILLA'!BU147,"AAAAAG9P3s4=")</f>
        <v>#VALUE!</v>
      </c>
      <c r="GZ123" t="e">
        <f>AND('SPR BARRANQUILLA'!BV147,"AAAAAG9P3s8=")</f>
        <v>#VALUE!</v>
      </c>
      <c r="HA123" t="e">
        <f>AND('SPR BARRANQUILLA'!BW147,"AAAAAG9P3tA=")</f>
        <v>#VALUE!</v>
      </c>
      <c r="HB123" t="e">
        <f>AND('SPR BARRANQUILLA'!BX147,"AAAAAG9P3tE=")</f>
        <v>#VALUE!</v>
      </c>
      <c r="HC123" t="e">
        <f>AND('SPR BARRANQUILLA'!BY147,"AAAAAG9P3tI=")</f>
        <v>#VALUE!</v>
      </c>
      <c r="HD123" t="e">
        <f>AND('SPR BARRANQUILLA'!BZ147,"AAAAAG9P3tM=")</f>
        <v>#VALUE!</v>
      </c>
      <c r="HE123" t="e">
        <f>AND('SPR BARRANQUILLA'!CA147,"AAAAAG9P3tQ=")</f>
        <v>#VALUE!</v>
      </c>
      <c r="HF123" t="e">
        <f>AND('SPR BARRANQUILLA'!CB147,"AAAAAG9P3tU=")</f>
        <v>#VALUE!</v>
      </c>
      <c r="HG123" t="e">
        <f>AND('SPR BARRANQUILLA'!CC147,"AAAAAG9P3tY=")</f>
        <v>#VALUE!</v>
      </c>
      <c r="HH123" t="e">
        <f>AND('SPR BARRANQUILLA'!CD147,"AAAAAG9P3tc=")</f>
        <v>#VALUE!</v>
      </c>
      <c r="HI123" t="e">
        <f>AND('SPR BARRANQUILLA'!CE147,"AAAAAG9P3tg=")</f>
        <v>#VALUE!</v>
      </c>
      <c r="HJ123" t="e">
        <f>AND('SPR BARRANQUILLA'!CF147,"AAAAAG9P3tk=")</f>
        <v>#VALUE!</v>
      </c>
      <c r="HK123" t="e">
        <f>AND('SPR BARRANQUILLA'!CG147,"AAAAAG9P3to=")</f>
        <v>#VALUE!</v>
      </c>
      <c r="HL123" t="e">
        <f>AND('SPR BARRANQUILLA'!CH147,"AAAAAG9P3ts=")</f>
        <v>#VALUE!</v>
      </c>
      <c r="HM123" t="e">
        <f>AND('SPR BARRANQUILLA'!CI147,"AAAAAG9P3tw=")</f>
        <v>#VALUE!</v>
      </c>
      <c r="HN123" t="e">
        <f>AND('SPR BARRANQUILLA'!CJ147,"AAAAAG9P3t0=")</f>
        <v>#VALUE!</v>
      </c>
      <c r="HO123" t="e">
        <f>AND('SPR BARRANQUILLA'!CK147,"AAAAAG9P3t4=")</f>
        <v>#VALUE!</v>
      </c>
      <c r="HP123" t="e">
        <f>AND('SPR BARRANQUILLA'!CL147,"AAAAAG9P3t8=")</f>
        <v>#VALUE!</v>
      </c>
      <c r="HQ123" t="e">
        <f>AND('SPR BARRANQUILLA'!CM147,"AAAAAG9P3uA=")</f>
        <v>#VALUE!</v>
      </c>
      <c r="HR123" t="e">
        <f>AND('SPR BARRANQUILLA'!CN147,"AAAAAG9P3uE=")</f>
        <v>#VALUE!</v>
      </c>
      <c r="HS123" t="e">
        <f>AND('SPR BARRANQUILLA'!CO147,"AAAAAG9P3uI=")</f>
        <v>#VALUE!</v>
      </c>
      <c r="HT123" t="e">
        <f>AND('SPR BARRANQUILLA'!CP147,"AAAAAG9P3uM=")</f>
        <v>#VALUE!</v>
      </c>
      <c r="HU123" t="e">
        <f>AND('SPR BARRANQUILLA'!CQ147,"AAAAAG9P3uQ=")</f>
        <v>#VALUE!</v>
      </c>
      <c r="HV123" t="e">
        <f>AND('SPR BARRANQUILLA'!CR147,"AAAAAG9P3uU=")</f>
        <v>#VALUE!</v>
      </c>
      <c r="HW123" t="e">
        <f>AND('SPR BARRANQUILLA'!CS147,"AAAAAG9P3uY=")</f>
        <v>#VALUE!</v>
      </c>
      <c r="HX123" t="e">
        <f>AND('SPR BARRANQUILLA'!CT147,"AAAAAG9P3uc=")</f>
        <v>#VALUE!</v>
      </c>
      <c r="HY123" t="e">
        <f>AND('SPR BARRANQUILLA'!CU147,"AAAAAG9P3ug=")</f>
        <v>#VALUE!</v>
      </c>
      <c r="HZ123" t="e">
        <f>AND('SPR BARRANQUILLA'!CV147,"AAAAAG9P3uk=")</f>
        <v>#VALUE!</v>
      </c>
      <c r="IA123" t="e">
        <f>AND('SPR BARRANQUILLA'!CW147,"AAAAAG9P3uo=")</f>
        <v>#VALUE!</v>
      </c>
      <c r="IB123" t="e">
        <f>AND('SPR BARRANQUILLA'!CX147,"AAAAAG9P3us=")</f>
        <v>#VALUE!</v>
      </c>
      <c r="IC123" t="e">
        <f>AND('SPR BARRANQUILLA'!CY147,"AAAAAG9P3uw=")</f>
        <v>#VALUE!</v>
      </c>
      <c r="ID123" t="e">
        <f>AND('SPR BARRANQUILLA'!CZ147,"AAAAAG9P3u0=")</f>
        <v>#VALUE!</v>
      </c>
      <c r="IE123" t="e">
        <f>AND('SPR BARRANQUILLA'!DA147,"AAAAAG9P3u4=")</f>
        <v>#VALUE!</v>
      </c>
      <c r="IF123" t="e">
        <f>AND('SPR BARRANQUILLA'!DB147,"AAAAAG9P3u8=")</f>
        <v>#VALUE!</v>
      </c>
      <c r="IG123" t="e">
        <f>AND('SPR BARRANQUILLA'!DC147,"AAAAAG9P3vA=")</f>
        <v>#VALUE!</v>
      </c>
      <c r="IH123" t="e">
        <f>AND('SPR BARRANQUILLA'!DD147,"AAAAAG9P3vE=")</f>
        <v>#VALUE!</v>
      </c>
      <c r="II123" t="e">
        <f>AND('SPR BARRANQUILLA'!DE147,"AAAAAG9P3vI=")</f>
        <v>#VALUE!</v>
      </c>
      <c r="IJ123" t="e">
        <f>AND('SPR BARRANQUILLA'!DF147,"AAAAAG9P3vM=")</f>
        <v>#VALUE!</v>
      </c>
      <c r="IK123" t="e">
        <f>AND('SPR BARRANQUILLA'!DG147,"AAAAAG9P3vQ=")</f>
        <v>#VALUE!</v>
      </c>
      <c r="IL123" t="e">
        <f>AND('SPR BARRANQUILLA'!DH147,"AAAAAG9P3vU=")</f>
        <v>#VALUE!</v>
      </c>
      <c r="IM123" t="e">
        <f>AND('SPR BARRANQUILLA'!DI147,"AAAAAG9P3vY=")</f>
        <v>#VALUE!</v>
      </c>
      <c r="IN123" t="e">
        <f>AND('SPR BARRANQUILLA'!DJ147,"AAAAAG9P3vc=")</f>
        <v>#VALUE!</v>
      </c>
      <c r="IO123" t="e">
        <f>AND('SPR BARRANQUILLA'!DK147,"AAAAAG9P3vg=")</f>
        <v>#VALUE!</v>
      </c>
      <c r="IP123" t="e">
        <f>AND('SPR BARRANQUILLA'!DL147,"AAAAAG9P3vk=")</f>
        <v>#VALUE!</v>
      </c>
      <c r="IQ123" t="e">
        <f>AND('SPR BARRANQUILLA'!DM147,"AAAAAG9P3vo=")</f>
        <v>#VALUE!</v>
      </c>
      <c r="IR123" t="e">
        <f>AND('SPR BARRANQUILLA'!DN147,"AAAAAG9P3vs=")</f>
        <v>#VALUE!</v>
      </c>
      <c r="IS123" t="e">
        <f>AND('SPR BARRANQUILLA'!DO147,"AAAAAG9P3vw=")</f>
        <v>#VALUE!</v>
      </c>
      <c r="IT123" t="e">
        <f>AND('SPR BARRANQUILLA'!DP147,"AAAAAG9P3v0=")</f>
        <v>#VALUE!</v>
      </c>
      <c r="IU123" t="e">
        <f>AND('SPR BARRANQUILLA'!DQ147,"AAAAAG9P3v4=")</f>
        <v>#VALUE!</v>
      </c>
      <c r="IV123" t="e">
        <f>AND('SPR BARRANQUILLA'!DR147,"AAAAAG9P3v8=")</f>
        <v>#VALUE!</v>
      </c>
    </row>
    <row r="124" spans="1:256">
      <c r="A124" t="e">
        <f>AND('SPR BARRANQUILLA'!DS147,"AAAAAH78uwA=")</f>
        <v>#VALUE!</v>
      </c>
      <c r="B124" t="e">
        <f>AND('SPR BARRANQUILLA'!DT147,"AAAAAH78uwE=")</f>
        <v>#VALUE!</v>
      </c>
      <c r="C124" t="e">
        <f>AND('SPR BARRANQUILLA'!DU147,"AAAAAH78uwI=")</f>
        <v>#VALUE!</v>
      </c>
      <c r="D124" t="e">
        <f>AND('SPR BARRANQUILLA'!DV147,"AAAAAH78uwM=")</f>
        <v>#VALUE!</v>
      </c>
      <c r="E124" t="e">
        <f>AND('SPR BARRANQUILLA'!DW147,"AAAAAH78uwQ=")</f>
        <v>#VALUE!</v>
      </c>
      <c r="F124" t="e">
        <f>AND('SPR BARRANQUILLA'!DX147,"AAAAAH78uwU=")</f>
        <v>#VALUE!</v>
      </c>
      <c r="G124" t="e">
        <f>AND('SPR BARRANQUILLA'!DY147,"AAAAAH78uwY=")</f>
        <v>#VALUE!</v>
      </c>
      <c r="H124" t="e">
        <f>AND('SPR BARRANQUILLA'!DZ147,"AAAAAH78uwc=")</f>
        <v>#VALUE!</v>
      </c>
      <c r="I124" t="e">
        <f>AND('SPR BARRANQUILLA'!EA147,"AAAAAH78uwg=")</f>
        <v>#VALUE!</v>
      </c>
      <c r="J124" t="e">
        <f>AND('SPR BARRANQUILLA'!EB147,"AAAAAH78uwk=")</f>
        <v>#VALUE!</v>
      </c>
      <c r="K124" t="e">
        <f>AND('SPR BARRANQUILLA'!EC147,"AAAAAH78uwo=")</f>
        <v>#VALUE!</v>
      </c>
      <c r="L124" t="e">
        <f>AND('SPR BARRANQUILLA'!ED147,"AAAAAH78uws=")</f>
        <v>#VALUE!</v>
      </c>
      <c r="M124" t="e">
        <f>AND('SPR BARRANQUILLA'!EE147,"AAAAAH78uww=")</f>
        <v>#VALUE!</v>
      </c>
      <c r="N124" t="e">
        <f>AND('SPR BARRANQUILLA'!EF147,"AAAAAH78uw0=")</f>
        <v>#VALUE!</v>
      </c>
      <c r="O124" t="e">
        <f>AND('SPR BARRANQUILLA'!EG147,"AAAAAH78uw4=")</f>
        <v>#VALUE!</v>
      </c>
      <c r="P124" t="e">
        <f>AND('SPR BARRANQUILLA'!EH147,"AAAAAH78uw8=")</f>
        <v>#VALUE!</v>
      </c>
      <c r="Q124" t="e">
        <f>AND('SPR BARRANQUILLA'!EI147,"AAAAAH78uxA=")</f>
        <v>#VALUE!</v>
      </c>
      <c r="R124" t="e">
        <f>AND('SPR BARRANQUILLA'!EJ147,"AAAAAH78uxE=")</f>
        <v>#VALUE!</v>
      </c>
      <c r="S124" t="e">
        <f>AND('SPR BARRANQUILLA'!EK147,"AAAAAH78uxI=")</f>
        <v>#VALUE!</v>
      </c>
      <c r="T124" t="e">
        <f>AND('SPR BARRANQUILLA'!EL147,"AAAAAH78uxM=")</f>
        <v>#VALUE!</v>
      </c>
      <c r="U124" t="e">
        <f>AND('SPR BARRANQUILLA'!EM147,"AAAAAH78uxQ=")</f>
        <v>#VALUE!</v>
      </c>
      <c r="V124" t="e">
        <f>AND('SPR BARRANQUILLA'!EN147,"AAAAAH78uxU=")</f>
        <v>#VALUE!</v>
      </c>
      <c r="W124" t="e">
        <f>AND('SPR BARRANQUILLA'!EO147,"AAAAAH78uxY=")</f>
        <v>#VALUE!</v>
      </c>
      <c r="X124" t="e">
        <f>AND('SPR BARRANQUILLA'!EP147,"AAAAAH78uxc=")</f>
        <v>#VALUE!</v>
      </c>
      <c r="Y124" t="e">
        <f>AND('SPR BARRANQUILLA'!EQ147,"AAAAAH78uxg=")</f>
        <v>#VALUE!</v>
      </c>
      <c r="Z124" t="e">
        <f>AND('SPR BARRANQUILLA'!ER147,"AAAAAH78uxk=")</f>
        <v>#VALUE!</v>
      </c>
      <c r="AA124" t="e">
        <f>AND('SPR BARRANQUILLA'!ES147,"AAAAAH78uxo=")</f>
        <v>#VALUE!</v>
      </c>
      <c r="AB124" t="e">
        <f>AND('SPR BARRANQUILLA'!ET147,"AAAAAH78uxs=")</f>
        <v>#VALUE!</v>
      </c>
      <c r="AC124" t="e">
        <f>AND('SPR BARRANQUILLA'!EU147,"AAAAAH78uxw=")</f>
        <v>#VALUE!</v>
      </c>
      <c r="AD124" t="e">
        <f>AND('SPR BARRANQUILLA'!EV147,"AAAAAH78ux0=")</f>
        <v>#VALUE!</v>
      </c>
      <c r="AE124" t="e">
        <f>AND('SPR BARRANQUILLA'!EW147,"AAAAAH78ux4=")</f>
        <v>#VALUE!</v>
      </c>
      <c r="AF124" t="e">
        <f>AND('SPR BARRANQUILLA'!EX147,"AAAAAH78ux8=")</f>
        <v>#VALUE!</v>
      </c>
      <c r="AG124" t="e">
        <f>AND('SPR BARRANQUILLA'!EY147,"AAAAAH78uyA=")</f>
        <v>#VALUE!</v>
      </c>
      <c r="AH124" t="e">
        <f>AND('SPR BARRANQUILLA'!EZ147,"AAAAAH78uyE=")</f>
        <v>#VALUE!</v>
      </c>
      <c r="AI124" t="e">
        <f>AND('SPR BARRANQUILLA'!FA147,"AAAAAH78uyI=")</f>
        <v>#VALUE!</v>
      </c>
      <c r="AJ124" t="e">
        <f>AND('SPR BARRANQUILLA'!FB147,"AAAAAH78uyM=")</f>
        <v>#VALUE!</v>
      </c>
      <c r="AK124" t="e">
        <f>AND('SPR BARRANQUILLA'!FC147,"AAAAAH78uyQ=")</f>
        <v>#VALUE!</v>
      </c>
      <c r="AL124" t="e">
        <f>AND('SPR BARRANQUILLA'!FD147,"AAAAAH78uyU=")</f>
        <v>#VALUE!</v>
      </c>
      <c r="AM124" t="e">
        <f>AND('SPR BARRANQUILLA'!FE147,"AAAAAH78uyY=")</f>
        <v>#VALUE!</v>
      </c>
      <c r="AN124" t="e">
        <f>AND('SPR BARRANQUILLA'!FF147,"AAAAAH78uyc=")</f>
        <v>#VALUE!</v>
      </c>
      <c r="AO124" t="e">
        <f>AND('SPR BARRANQUILLA'!FG147,"AAAAAH78uyg=")</f>
        <v>#VALUE!</v>
      </c>
      <c r="AP124" t="e">
        <f>AND('SPR BARRANQUILLA'!FH147,"AAAAAH78uyk=")</f>
        <v>#VALUE!</v>
      </c>
      <c r="AQ124" t="e">
        <f>AND('SPR BARRANQUILLA'!FI147,"AAAAAH78uyo=")</f>
        <v>#VALUE!</v>
      </c>
      <c r="AR124" t="e">
        <f>AND('SPR BARRANQUILLA'!FJ147,"AAAAAH78uys=")</f>
        <v>#VALUE!</v>
      </c>
      <c r="AS124" t="e">
        <f>AND('SPR BARRANQUILLA'!FK147,"AAAAAH78uyw=")</f>
        <v>#VALUE!</v>
      </c>
      <c r="AT124" t="e">
        <f>AND('SPR BARRANQUILLA'!FL147,"AAAAAH78uy0=")</f>
        <v>#VALUE!</v>
      </c>
      <c r="AU124" t="e">
        <f>AND('SPR BARRANQUILLA'!FM147,"AAAAAH78uy4=")</f>
        <v>#VALUE!</v>
      </c>
      <c r="AV124" t="e">
        <f>AND('SPR BARRANQUILLA'!FN147,"AAAAAH78uy8=")</f>
        <v>#VALUE!</v>
      </c>
      <c r="AW124" t="e">
        <f>AND('SPR BARRANQUILLA'!FO147,"AAAAAH78uzA=")</f>
        <v>#VALUE!</v>
      </c>
      <c r="AX124" t="e">
        <f>AND('SPR BARRANQUILLA'!FP147,"AAAAAH78uzE=")</f>
        <v>#VALUE!</v>
      </c>
      <c r="AY124" t="e">
        <f>AND('SPR BARRANQUILLA'!FQ147,"AAAAAH78uzI=")</f>
        <v>#VALUE!</v>
      </c>
      <c r="AZ124" t="e">
        <f>AND('SPR BARRANQUILLA'!FR147,"AAAAAH78uzM=")</f>
        <v>#VALUE!</v>
      </c>
      <c r="BA124" t="e">
        <f>AND('SPR BARRANQUILLA'!FS147,"AAAAAH78uzQ=")</f>
        <v>#VALUE!</v>
      </c>
      <c r="BB124" t="e">
        <f>AND('SPR BARRANQUILLA'!FT147,"AAAAAH78uzU=")</f>
        <v>#VALUE!</v>
      </c>
      <c r="BC124" t="e">
        <f>AND('SPR BARRANQUILLA'!FU147,"AAAAAH78uzY=")</f>
        <v>#VALUE!</v>
      </c>
      <c r="BD124" t="e">
        <f>AND('SPR BARRANQUILLA'!FV147,"AAAAAH78uzc=")</f>
        <v>#VALUE!</v>
      </c>
      <c r="BE124" t="e">
        <f>AND('SPR BARRANQUILLA'!FW147,"AAAAAH78uzg=")</f>
        <v>#VALUE!</v>
      </c>
      <c r="BF124" t="e">
        <f>AND('SPR BARRANQUILLA'!FX147,"AAAAAH78uzk=")</f>
        <v>#VALUE!</v>
      </c>
      <c r="BG124" t="e">
        <f>AND('SPR BARRANQUILLA'!FY147,"AAAAAH78uzo=")</f>
        <v>#VALUE!</v>
      </c>
      <c r="BH124" t="e">
        <f>AND('SPR BARRANQUILLA'!FZ147,"AAAAAH78uzs=")</f>
        <v>#VALUE!</v>
      </c>
      <c r="BI124" t="e">
        <f>AND('SPR BARRANQUILLA'!GA147,"AAAAAH78uzw=")</f>
        <v>#VALUE!</v>
      </c>
      <c r="BJ124" t="e">
        <f>AND('SPR BARRANQUILLA'!GB147,"AAAAAH78uz0=")</f>
        <v>#VALUE!</v>
      </c>
      <c r="BK124" t="e">
        <f>AND('SPR BARRANQUILLA'!GC147,"AAAAAH78uz4=")</f>
        <v>#VALUE!</v>
      </c>
      <c r="BL124" t="e">
        <f>AND('SPR BARRANQUILLA'!GD147,"AAAAAH78uz8=")</f>
        <v>#VALUE!</v>
      </c>
      <c r="BM124" t="e">
        <f>AND('SPR BARRANQUILLA'!GE147,"AAAAAH78u0A=")</f>
        <v>#VALUE!</v>
      </c>
      <c r="BN124" t="e">
        <f>AND('SPR BARRANQUILLA'!GF147,"AAAAAH78u0E=")</f>
        <v>#VALUE!</v>
      </c>
      <c r="BO124" t="e">
        <f>AND('SPR BARRANQUILLA'!GG147,"AAAAAH78u0I=")</f>
        <v>#VALUE!</v>
      </c>
      <c r="BP124" t="e">
        <f>AND('SPR BARRANQUILLA'!GH147,"AAAAAH78u0M=")</f>
        <v>#VALUE!</v>
      </c>
      <c r="BQ124" t="e">
        <f>AND('SPR BARRANQUILLA'!GI147,"AAAAAH78u0Q=")</f>
        <v>#VALUE!</v>
      </c>
      <c r="BR124" t="e">
        <f>AND('SPR BARRANQUILLA'!GJ147,"AAAAAH78u0U=")</f>
        <v>#VALUE!</v>
      </c>
      <c r="BS124" t="e">
        <f>AND('SPR BARRANQUILLA'!GK147,"AAAAAH78u0Y=")</f>
        <v>#VALUE!</v>
      </c>
      <c r="BT124" t="e">
        <f>AND('SPR BARRANQUILLA'!GL147,"AAAAAH78u0c=")</f>
        <v>#VALUE!</v>
      </c>
      <c r="BU124" t="e">
        <f>AND('SPR BARRANQUILLA'!GM147,"AAAAAH78u0g=")</f>
        <v>#VALUE!</v>
      </c>
      <c r="BV124" t="e">
        <f>AND('SPR BARRANQUILLA'!GN147,"AAAAAH78u0k=")</f>
        <v>#VALUE!</v>
      </c>
      <c r="BW124" t="e">
        <f>AND('SPR BARRANQUILLA'!GO147,"AAAAAH78u0o=")</f>
        <v>#VALUE!</v>
      </c>
      <c r="BX124" t="e">
        <f>AND('SPR BARRANQUILLA'!GP147,"AAAAAH78u0s=")</f>
        <v>#VALUE!</v>
      </c>
      <c r="BY124" t="e">
        <f>AND('SPR BARRANQUILLA'!GQ147,"AAAAAH78u0w=")</f>
        <v>#VALUE!</v>
      </c>
      <c r="BZ124" t="e">
        <f>AND('SPR BARRANQUILLA'!GR147,"AAAAAH78u00=")</f>
        <v>#VALUE!</v>
      </c>
      <c r="CA124" t="e">
        <f>AND('SPR BARRANQUILLA'!GS147,"AAAAAH78u04=")</f>
        <v>#VALUE!</v>
      </c>
      <c r="CB124" t="e">
        <f>AND('SPR BARRANQUILLA'!GT147,"AAAAAH78u08=")</f>
        <v>#VALUE!</v>
      </c>
      <c r="CC124" t="e">
        <f>AND('SPR BARRANQUILLA'!GU147,"AAAAAH78u1A=")</f>
        <v>#VALUE!</v>
      </c>
      <c r="CD124" t="e">
        <f>AND('SPR BARRANQUILLA'!GV147,"AAAAAH78u1E=")</f>
        <v>#VALUE!</v>
      </c>
      <c r="CE124" t="e">
        <f>AND('SPR BARRANQUILLA'!GW147,"AAAAAH78u1I=")</f>
        <v>#VALUE!</v>
      </c>
      <c r="CF124" t="e">
        <f>AND('SPR BARRANQUILLA'!GX147,"AAAAAH78u1M=")</f>
        <v>#VALUE!</v>
      </c>
      <c r="CG124" t="e">
        <f>AND('SPR BARRANQUILLA'!GY147,"AAAAAH78u1Q=")</f>
        <v>#VALUE!</v>
      </c>
      <c r="CH124">
        <f>IF('SPR BARRANQUILLA'!148:148,"AAAAAH78u1U=",0)</f>
        <v>0</v>
      </c>
      <c r="CI124" t="e">
        <f>AND('SPR BARRANQUILLA'!A148,"AAAAAH78u1Y=")</f>
        <v>#VALUE!</v>
      </c>
      <c r="CJ124" t="e">
        <f>AND('SPR BARRANQUILLA'!B148,"AAAAAH78u1c=")</f>
        <v>#VALUE!</v>
      </c>
      <c r="CK124" t="e">
        <f>AND('SPR BARRANQUILLA'!C148,"AAAAAH78u1g=")</f>
        <v>#VALUE!</v>
      </c>
      <c r="CL124" t="e">
        <f>AND('SPR BARRANQUILLA'!D148,"AAAAAH78u1k=")</f>
        <v>#VALUE!</v>
      </c>
      <c r="CM124" t="e">
        <f>AND('SPR BARRANQUILLA'!E148,"AAAAAH78u1o=")</f>
        <v>#VALUE!</v>
      </c>
      <c r="CN124" t="e">
        <f>AND('SPR BARRANQUILLA'!F148,"AAAAAH78u1s=")</f>
        <v>#VALUE!</v>
      </c>
      <c r="CO124" t="e">
        <f>AND('SPR BARRANQUILLA'!G148,"AAAAAH78u1w=")</f>
        <v>#VALUE!</v>
      </c>
      <c r="CP124" t="e">
        <f>AND('SPR BARRANQUILLA'!H148,"AAAAAH78u10=")</f>
        <v>#VALUE!</v>
      </c>
      <c r="CQ124" t="e">
        <f>AND('SPR BARRANQUILLA'!I148,"AAAAAH78u14=")</f>
        <v>#VALUE!</v>
      </c>
      <c r="CR124" t="e">
        <f>AND('SPR BARRANQUILLA'!J148,"AAAAAH78u18=")</f>
        <v>#VALUE!</v>
      </c>
      <c r="CS124" t="e">
        <f>AND('SPR BARRANQUILLA'!K148,"AAAAAH78u2A=")</f>
        <v>#VALUE!</v>
      </c>
      <c r="CT124" t="e">
        <f>AND('SPR BARRANQUILLA'!L148,"AAAAAH78u2E=")</f>
        <v>#VALUE!</v>
      </c>
      <c r="CU124" t="e">
        <f>AND('SPR BARRANQUILLA'!M148,"AAAAAH78u2I=")</f>
        <v>#VALUE!</v>
      </c>
      <c r="CV124" t="e">
        <f>AND('SPR BARRANQUILLA'!N148,"AAAAAH78u2M=")</f>
        <v>#VALUE!</v>
      </c>
      <c r="CW124" t="e">
        <f>AND('SPR BARRANQUILLA'!O148,"AAAAAH78u2Q=")</f>
        <v>#VALUE!</v>
      </c>
      <c r="CX124" t="e">
        <f>AND('SPR BARRANQUILLA'!P148,"AAAAAH78u2U=")</f>
        <v>#VALUE!</v>
      </c>
      <c r="CY124" t="e">
        <f>AND('SPR BARRANQUILLA'!Q148,"AAAAAH78u2Y=")</f>
        <v>#VALUE!</v>
      </c>
      <c r="CZ124" t="e">
        <f>AND('SPR BARRANQUILLA'!R148,"AAAAAH78u2c=")</f>
        <v>#VALUE!</v>
      </c>
      <c r="DA124" t="e">
        <f>AND('SPR BARRANQUILLA'!S148,"AAAAAH78u2g=")</f>
        <v>#VALUE!</v>
      </c>
      <c r="DB124" t="e">
        <f>AND('SPR BARRANQUILLA'!T148,"AAAAAH78u2k=")</f>
        <v>#VALUE!</v>
      </c>
      <c r="DC124" t="e">
        <f>AND('SPR BARRANQUILLA'!U148,"AAAAAH78u2o=")</f>
        <v>#VALUE!</v>
      </c>
      <c r="DD124" t="e">
        <f>AND('SPR BARRANQUILLA'!V148,"AAAAAH78u2s=")</f>
        <v>#VALUE!</v>
      </c>
      <c r="DE124" t="e">
        <f>AND('SPR BARRANQUILLA'!W148,"AAAAAH78u2w=")</f>
        <v>#VALUE!</v>
      </c>
      <c r="DF124" t="e">
        <f>AND('SPR BARRANQUILLA'!X148,"AAAAAH78u20=")</f>
        <v>#VALUE!</v>
      </c>
      <c r="DG124" t="e">
        <f>AND('SPR BARRANQUILLA'!Y148,"AAAAAH78u24=")</f>
        <v>#VALUE!</v>
      </c>
      <c r="DH124" t="e">
        <f>AND('SPR BARRANQUILLA'!Z148,"AAAAAH78u28=")</f>
        <v>#VALUE!</v>
      </c>
      <c r="DI124" t="e">
        <f>AND('SPR BARRANQUILLA'!AA148,"AAAAAH78u3A=")</f>
        <v>#VALUE!</v>
      </c>
      <c r="DJ124" t="e">
        <f>AND('SPR BARRANQUILLA'!AB148,"AAAAAH78u3E=")</f>
        <v>#VALUE!</v>
      </c>
      <c r="DK124" t="e">
        <f>AND('SPR BARRANQUILLA'!AC148,"AAAAAH78u3I=")</f>
        <v>#VALUE!</v>
      </c>
      <c r="DL124" t="e">
        <f>AND('SPR BARRANQUILLA'!AD148,"AAAAAH78u3M=")</f>
        <v>#VALUE!</v>
      </c>
      <c r="DM124" t="e">
        <f>AND('SPR BARRANQUILLA'!AE148,"AAAAAH78u3Q=")</f>
        <v>#VALUE!</v>
      </c>
      <c r="DN124" t="e">
        <f>AND('SPR BARRANQUILLA'!AF148,"AAAAAH78u3U=")</f>
        <v>#VALUE!</v>
      </c>
      <c r="DO124" t="e">
        <f>AND('SPR BARRANQUILLA'!AG148,"AAAAAH78u3Y=")</f>
        <v>#VALUE!</v>
      </c>
      <c r="DP124" t="e">
        <f>AND('SPR BARRANQUILLA'!AH148,"AAAAAH78u3c=")</f>
        <v>#VALUE!</v>
      </c>
      <c r="DQ124" t="e">
        <f>AND('SPR BARRANQUILLA'!AI148,"AAAAAH78u3g=")</f>
        <v>#VALUE!</v>
      </c>
      <c r="DR124" t="e">
        <f>AND('SPR BARRANQUILLA'!AJ148,"AAAAAH78u3k=")</f>
        <v>#VALUE!</v>
      </c>
      <c r="DS124" t="e">
        <f>AND('SPR BARRANQUILLA'!AK148,"AAAAAH78u3o=")</f>
        <v>#VALUE!</v>
      </c>
      <c r="DT124" t="e">
        <f>AND('SPR BARRANQUILLA'!AL148,"AAAAAH78u3s=")</f>
        <v>#VALUE!</v>
      </c>
      <c r="DU124" t="e">
        <f>AND('SPR BARRANQUILLA'!AM148,"AAAAAH78u3w=")</f>
        <v>#VALUE!</v>
      </c>
      <c r="DV124" t="e">
        <f>AND('SPR BARRANQUILLA'!AN148,"AAAAAH78u30=")</f>
        <v>#VALUE!</v>
      </c>
      <c r="DW124" t="e">
        <f>AND('SPR BARRANQUILLA'!AO148,"AAAAAH78u34=")</f>
        <v>#VALUE!</v>
      </c>
      <c r="DX124" t="e">
        <f>AND('SPR BARRANQUILLA'!AP148,"AAAAAH78u38=")</f>
        <v>#VALUE!</v>
      </c>
      <c r="DY124" t="e">
        <f>AND('SPR BARRANQUILLA'!AQ148,"AAAAAH78u4A=")</f>
        <v>#VALUE!</v>
      </c>
      <c r="DZ124" t="e">
        <f>AND('SPR BARRANQUILLA'!AR148,"AAAAAH78u4E=")</f>
        <v>#VALUE!</v>
      </c>
      <c r="EA124" t="e">
        <f>AND('SPR BARRANQUILLA'!AS148,"AAAAAH78u4I=")</f>
        <v>#VALUE!</v>
      </c>
      <c r="EB124" t="e">
        <f>AND('SPR BARRANQUILLA'!AT148,"AAAAAH78u4M=")</f>
        <v>#VALUE!</v>
      </c>
      <c r="EC124" t="e">
        <f>AND('SPR BARRANQUILLA'!AU148,"AAAAAH78u4Q=")</f>
        <v>#VALUE!</v>
      </c>
      <c r="ED124" t="e">
        <f>AND('SPR BARRANQUILLA'!AV148,"AAAAAH78u4U=")</f>
        <v>#VALUE!</v>
      </c>
      <c r="EE124" t="e">
        <f>AND('SPR BARRANQUILLA'!AW148,"AAAAAH78u4Y=")</f>
        <v>#VALUE!</v>
      </c>
      <c r="EF124" t="e">
        <f>AND('SPR BARRANQUILLA'!AX148,"AAAAAH78u4c=")</f>
        <v>#VALUE!</v>
      </c>
      <c r="EG124" t="e">
        <f>AND('SPR BARRANQUILLA'!AY148,"AAAAAH78u4g=")</f>
        <v>#VALUE!</v>
      </c>
      <c r="EH124" t="e">
        <f>AND('SPR BARRANQUILLA'!AZ148,"AAAAAH78u4k=")</f>
        <v>#VALUE!</v>
      </c>
      <c r="EI124" t="e">
        <f>AND('SPR BARRANQUILLA'!BA148,"AAAAAH78u4o=")</f>
        <v>#VALUE!</v>
      </c>
      <c r="EJ124" t="e">
        <f>AND('SPR BARRANQUILLA'!BB148,"AAAAAH78u4s=")</f>
        <v>#VALUE!</v>
      </c>
      <c r="EK124" t="e">
        <f>AND('SPR BARRANQUILLA'!BC148,"AAAAAH78u4w=")</f>
        <v>#VALUE!</v>
      </c>
      <c r="EL124" t="e">
        <f>AND('SPR BARRANQUILLA'!BD148,"AAAAAH78u40=")</f>
        <v>#VALUE!</v>
      </c>
      <c r="EM124" t="e">
        <f>AND('SPR BARRANQUILLA'!BE148,"AAAAAH78u44=")</f>
        <v>#VALUE!</v>
      </c>
      <c r="EN124" t="e">
        <f>AND('SPR BARRANQUILLA'!BF148,"AAAAAH78u48=")</f>
        <v>#VALUE!</v>
      </c>
      <c r="EO124" t="e">
        <f>AND('SPR BARRANQUILLA'!BG148,"AAAAAH78u5A=")</f>
        <v>#VALUE!</v>
      </c>
      <c r="EP124" t="e">
        <f>AND('SPR BARRANQUILLA'!BH148,"AAAAAH78u5E=")</f>
        <v>#VALUE!</v>
      </c>
      <c r="EQ124" t="e">
        <f>AND('SPR BARRANQUILLA'!BI148,"AAAAAH78u5I=")</f>
        <v>#VALUE!</v>
      </c>
      <c r="ER124" t="e">
        <f>AND('SPR BARRANQUILLA'!BJ148,"AAAAAH78u5M=")</f>
        <v>#VALUE!</v>
      </c>
      <c r="ES124" t="e">
        <f>AND('SPR BARRANQUILLA'!BK148,"AAAAAH78u5Q=")</f>
        <v>#VALUE!</v>
      </c>
      <c r="ET124" t="e">
        <f>AND('SPR BARRANQUILLA'!BL148,"AAAAAH78u5U=")</f>
        <v>#VALUE!</v>
      </c>
      <c r="EU124" t="e">
        <f>AND('SPR BARRANQUILLA'!BM148,"AAAAAH78u5Y=")</f>
        <v>#VALUE!</v>
      </c>
      <c r="EV124" t="e">
        <f>AND('SPR BARRANQUILLA'!BN148,"AAAAAH78u5c=")</f>
        <v>#VALUE!</v>
      </c>
      <c r="EW124" t="e">
        <f>AND('SPR BARRANQUILLA'!BO148,"AAAAAH78u5g=")</f>
        <v>#VALUE!</v>
      </c>
      <c r="EX124" t="e">
        <f>AND('SPR BARRANQUILLA'!BP148,"AAAAAH78u5k=")</f>
        <v>#VALUE!</v>
      </c>
      <c r="EY124" t="e">
        <f>AND('SPR BARRANQUILLA'!BQ148,"AAAAAH78u5o=")</f>
        <v>#VALUE!</v>
      </c>
      <c r="EZ124" t="e">
        <f>AND('SPR BARRANQUILLA'!BR148,"AAAAAH78u5s=")</f>
        <v>#VALUE!</v>
      </c>
      <c r="FA124" t="e">
        <f>AND('SPR BARRANQUILLA'!BS148,"AAAAAH78u5w=")</f>
        <v>#VALUE!</v>
      </c>
      <c r="FB124" t="e">
        <f>AND('SPR BARRANQUILLA'!BT148,"AAAAAH78u50=")</f>
        <v>#VALUE!</v>
      </c>
      <c r="FC124" t="e">
        <f>AND('SPR BARRANQUILLA'!BU148,"AAAAAH78u54=")</f>
        <v>#VALUE!</v>
      </c>
      <c r="FD124" t="e">
        <f>AND('SPR BARRANQUILLA'!BV148,"AAAAAH78u58=")</f>
        <v>#VALUE!</v>
      </c>
      <c r="FE124" t="e">
        <f>AND('SPR BARRANQUILLA'!BW148,"AAAAAH78u6A=")</f>
        <v>#VALUE!</v>
      </c>
      <c r="FF124" t="e">
        <f>AND('SPR BARRANQUILLA'!BX148,"AAAAAH78u6E=")</f>
        <v>#VALUE!</v>
      </c>
      <c r="FG124" t="e">
        <f>AND('SPR BARRANQUILLA'!BY148,"AAAAAH78u6I=")</f>
        <v>#VALUE!</v>
      </c>
      <c r="FH124" t="e">
        <f>AND('SPR BARRANQUILLA'!BZ148,"AAAAAH78u6M=")</f>
        <v>#VALUE!</v>
      </c>
      <c r="FI124" t="e">
        <f>AND('SPR BARRANQUILLA'!CA148,"AAAAAH78u6Q=")</f>
        <v>#VALUE!</v>
      </c>
      <c r="FJ124" t="e">
        <f>AND('SPR BARRANQUILLA'!CB148,"AAAAAH78u6U=")</f>
        <v>#VALUE!</v>
      </c>
      <c r="FK124" t="e">
        <f>AND('SPR BARRANQUILLA'!CC148,"AAAAAH78u6Y=")</f>
        <v>#VALUE!</v>
      </c>
      <c r="FL124" t="e">
        <f>AND('SPR BARRANQUILLA'!CD148,"AAAAAH78u6c=")</f>
        <v>#VALUE!</v>
      </c>
      <c r="FM124" t="e">
        <f>AND('SPR BARRANQUILLA'!CE148,"AAAAAH78u6g=")</f>
        <v>#VALUE!</v>
      </c>
      <c r="FN124" t="e">
        <f>AND('SPR BARRANQUILLA'!CF148,"AAAAAH78u6k=")</f>
        <v>#VALUE!</v>
      </c>
      <c r="FO124" t="e">
        <f>AND('SPR BARRANQUILLA'!CG148,"AAAAAH78u6o=")</f>
        <v>#VALUE!</v>
      </c>
      <c r="FP124" t="e">
        <f>AND('SPR BARRANQUILLA'!CH148,"AAAAAH78u6s=")</f>
        <v>#VALUE!</v>
      </c>
      <c r="FQ124" t="e">
        <f>AND('SPR BARRANQUILLA'!CI148,"AAAAAH78u6w=")</f>
        <v>#VALUE!</v>
      </c>
      <c r="FR124" t="e">
        <f>AND('SPR BARRANQUILLA'!CJ148,"AAAAAH78u60=")</f>
        <v>#VALUE!</v>
      </c>
      <c r="FS124" t="e">
        <f>AND('SPR BARRANQUILLA'!CK148,"AAAAAH78u64=")</f>
        <v>#VALUE!</v>
      </c>
      <c r="FT124" t="e">
        <f>AND('SPR BARRANQUILLA'!CL148,"AAAAAH78u68=")</f>
        <v>#VALUE!</v>
      </c>
      <c r="FU124" t="e">
        <f>AND('SPR BARRANQUILLA'!CM148,"AAAAAH78u7A=")</f>
        <v>#VALUE!</v>
      </c>
      <c r="FV124" t="e">
        <f>AND('SPR BARRANQUILLA'!CN148,"AAAAAH78u7E=")</f>
        <v>#VALUE!</v>
      </c>
      <c r="FW124" t="e">
        <f>AND('SPR BARRANQUILLA'!CO148,"AAAAAH78u7I=")</f>
        <v>#VALUE!</v>
      </c>
      <c r="FX124" t="e">
        <f>AND('SPR BARRANQUILLA'!CP148,"AAAAAH78u7M=")</f>
        <v>#VALUE!</v>
      </c>
      <c r="FY124" t="e">
        <f>AND('SPR BARRANQUILLA'!CQ148,"AAAAAH78u7Q=")</f>
        <v>#VALUE!</v>
      </c>
      <c r="FZ124" t="e">
        <f>AND('SPR BARRANQUILLA'!CR148,"AAAAAH78u7U=")</f>
        <v>#VALUE!</v>
      </c>
      <c r="GA124" t="e">
        <f>AND('SPR BARRANQUILLA'!CS148,"AAAAAH78u7Y=")</f>
        <v>#VALUE!</v>
      </c>
      <c r="GB124" t="e">
        <f>AND('SPR BARRANQUILLA'!CT148,"AAAAAH78u7c=")</f>
        <v>#VALUE!</v>
      </c>
      <c r="GC124" t="e">
        <f>AND('SPR BARRANQUILLA'!CU148,"AAAAAH78u7g=")</f>
        <v>#VALUE!</v>
      </c>
      <c r="GD124" t="e">
        <f>AND('SPR BARRANQUILLA'!CV148,"AAAAAH78u7k=")</f>
        <v>#VALUE!</v>
      </c>
      <c r="GE124" t="e">
        <f>AND('SPR BARRANQUILLA'!CW148,"AAAAAH78u7o=")</f>
        <v>#VALUE!</v>
      </c>
      <c r="GF124" t="e">
        <f>AND('SPR BARRANQUILLA'!CX148,"AAAAAH78u7s=")</f>
        <v>#VALUE!</v>
      </c>
      <c r="GG124" t="e">
        <f>AND('SPR BARRANQUILLA'!CY148,"AAAAAH78u7w=")</f>
        <v>#VALUE!</v>
      </c>
      <c r="GH124" t="e">
        <f>AND('SPR BARRANQUILLA'!CZ148,"AAAAAH78u70=")</f>
        <v>#VALUE!</v>
      </c>
      <c r="GI124" t="e">
        <f>AND('SPR BARRANQUILLA'!DA148,"AAAAAH78u74=")</f>
        <v>#VALUE!</v>
      </c>
      <c r="GJ124" t="e">
        <f>AND('SPR BARRANQUILLA'!DB148,"AAAAAH78u78=")</f>
        <v>#VALUE!</v>
      </c>
      <c r="GK124" t="e">
        <f>AND('SPR BARRANQUILLA'!DC148,"AAAAAH78u8A=")</f>
        <v>#VALUE!</v>
      </c>
      <c r="GL124" t="e">
        <f>AND('SPR BARRANQUILLA'!DD148,"AAAAAH78u8E=")</f>
        <v>#VALUE!</v>
      </c>
      <c r="GM124" t="e">
        <f>AND('SPR BARRANQUILLA'!DE148,"AAAAAH78u8I=")</f>
        <v>#VALUE!</v>
      </c>
      <c r="GN124" t="e">
        <f>AND('SPR BARRANQUILLA'!DF148,"AAAAAH78u8M=")</f>
        <v>#VALUE!</v>
      </c>
      <c r="GO124" t="e">
        <f>AND('SPR BARRANQUILLA'!DG148,"AAAAAH78u8Q=")</f>
        <v>#VALUE!</v>
      </c>
      <c r="GP124" t="e">
        <f>AND('SPR BARRANQUILLA'!DH148,"AAAAAH78u8U=")</f>
        <v>#VALUE!</v>
      </c>
      <c r="GQ124" t="e">
        <f>AND('SPR BARRANQUILLA'!DI148,"AAAAAH78u8Y=")</f>
        <v>#VALUE!</v>
      </c>
      <c r="GR124" t="e">
        <f>AND('SPR BARRANQUILLA'!DJ148,"AAAAAH78u8c=")</f>
        <v>#VALUE!</v>
      </c>
      <c r="GS124" t="e">
        <f>AND('SPR BARRANQUILLA'!DK148,"AAAAAH78u8g=")</f>
        <v>#VALUE!</v>
      </c>
      <c r="GT124" t="e">
        <f>AND('SPR BARRANQUILLA'!DL148,"AAAAAH78u8k=")</f>
        <v>#VALUE!</v>
      </c>
      <c r="GU124" t="e">
        <f>AND('SPR BARRANQUILLA'!DM148,"AAAAAH78u8o=")</f>
        <v>#VALUE!</v>
      </c>
      <c r="GV124" t="e">
        <f>AND('SPR BARRANQUILLA'!DN148,"AAAAAH78u8s=")</f>
        <v>#VALUE!</v>
      </c>
      <c r="GW124" t="e">
        <f>AND('SPR BARRANQUILLA'!DO148,"AAAAAH78u8w=")</f>
        <v>#VALUE!</v>
      </c>
      <c r="GX124" t="e">
        <f>AND('SPR BARRANQUILLA'!DP148,"AAAAAH78u80=")</f>
        <v>#VALUE!</v>
      </c>
      <c r="GY124" t="e">
        <f>AND('SPR BARRANQUILLA'!DQ148,"AAAAAH78u84=")</f>
        <v>#VALUE!</v>
      </c>
      <c r="GZ124" t="e">
        <f>AND('SPR BARRANQUILLA'!DR148,"AAAAAH78u88=")</f>
        <v>#VALUE!</v>
      </c>
      <c r="HA124" t="e">
        <f>AND('SPR BARRANQUILLA'!DS148,"AAAAAH78u9A=")</f>
        <v>#VALUE!</v>
      </c>
      <c r="HB124" t="e">
        <f>AND('SPR BARRANQUILLA'!DT148,"AAAAAH78u9E=")</f>
        <v>#VALUE!</v>
      </c>
      <c r="HC124" t="e">
        <f>AND('SPR BARRANQUILLA'!DU148,"AAAAAH78u9I=")</f>
        <v>#VALUE!</v>
      </c>
      <c r="HD124" t="e">
        <f>AND('SPR BARRANQUILLA'!DV148,"AAAAAH78u9M=")</f>
        <v>#VALUE!</v>
      </c>
      <c r="HE124" t="e">
        <f>AND('SPR BARRANQUILLA'!DW148,"AAAAAH78u9Q=")</f>
        <v>#VALUE!</v>
      </c>
      <c r="HF124" t="e">
        <f>AND('SPR BARRANQUILLA'!DX148,"AAAAAH78u9U=")</f>
        <v>#VALUE!</v>
      </c>
      <c r="HG124" t="e">
        <f>AND('SPR BARRANQUILLA'!DY148,"AAAAAH78u9Y=")</f>
        <v>#VALUE!</v>
      </c>
      <c r="HH124" t="e">
        <f>AND('SPR BARRANQUILLA'!DZ148,"AAAAAH78u9c=")</f>
        <v>#VALUE!</v>
      </c>
      <c r="HI124" t="e">
        <f>AND('SPR BARRANQUILLA'!EA148,"AAAAAH78u9g=")</f>
        <v>#VALUE!</v>
      </c>
      <c r="HJ124" t="e">
        <f>AND('SPR BARRANQUILLA'!EB148,"AAAAAH78u9k=")</f>
        <v>#VALUE!</v>
      </c>
      <c r="HK124" t="e">
        <f>AND('SPR BARRANQUILLA'!EC148,"AAAAAH78u9o=")</f>
        <v>#VALUE!</v>
      </c>
      <c r="HL124" t="e">
        <f>AND('SPR BARRANQUILLA'!ED148,"AAAAAH78u9s=")</f>
        <v>#VALUE!</v>
      </c>
      <c r="HM124" t="e">
        <f>AND('SPR BARRANQUILLA'!EE148,"AAAAAH78u9w=")</f>
        <v>#VALUE!</v>
      </c>
      <c r="HN124" t="e">
        <f>AND('SPR BARRANQUILLA'!EF148,"AAAAAH78u90=")</f>
        <v>#VALUE!</v>
      </c>
      <c r="HO124" t="e">
        <f>AND('SPR BARRANQUILLA'!EG148,"AAAAAH78u94=")</f>
        <v>#VALUE!</v>
      </c>
      <c r="HP124" t="e">
        <f>AND('SPR BARRANQUILLA'!EH148,"AAAAAH78u98=")</f>
        <v>#VALUE!</v>
      </c>
      <c r="HQ124" t="e">
        <f>AND('SPR BARRANQUILLA'!EI148,"AAAAAH78u+A=")</f>
        <v>#VALUE!</v>
      </c>
      <c r="HR124" t="e">
        <f>AND('SPR BARRANQUILLA'!EJ148,"AAAAAH78u+E=")</f>
        <v>#VALUE!</v>
      </c>
      <c r="HS124" t="e">
        <f>AND('SPR BARRANQUILLA'!EK148,"AAAAAH78u+I=")</f>
        <v>#VALUE!</v>
      </c>
      <c r="HT124" t="e">
        <f>AND('SPR BARRANQUILLA'!EL148,"AAAAAH78u+M=")</f>
        <v>#VALUE!</v>
      </c>
      <c r="HU124" t="e">
        <f>AND('SPR BARRANQUILLA'!EM148,"AAAAAH78u+Q=")</f>
        <v>#VALUE!</v>
      </c>
      <c r="HV124" t="e">
        <f>AND('SPR BARRANQUILLA'!EN148,"AAAAAH78u+U=")</f>
        <v>#VALUE!</v>
      </c>
      <c r="HW124" t="e">
        <f>AND('SPR BARRANQUILLA'!EO148,"AAAAAH78u+Y=")</f>
        <v>#VALUE!</v>
      </c>
      <c r="HX124" t="e">
        <f>AND('SPR BARRANQUILLA'!EP148,"AAAAAH78u+c=")</f>
        <v>#VALUE!</v>
      </c>
      <c r="HY124" t="e">
        <f>AND('SPR BARRANQUILLA'!EQ148,"AAAAAH78u+g=")</f>
        <v>#VALUE!</v>
      </c>
      <c r="HZ124" t="e">
        <f>AND('SPR BARRANQUILLA'!ER148,"AAAAAH78u+k=")</f>
        <v>#VALUE!</v>
      </c>
      <c r="IA124" t="e">
        <f>AND('SPR BARRANQUILLA'!ES148,"AAAAAH78u+o=")</f>
        <v>#VALUE!</v>
      </c>
      <c r="IB124" t="e">
        <f>AND('SPR BARRANQUILLA'!ET148,"AAAAAH78u+s=")</f>
        <v>#VALUE!</v>
      </c>
      <c r="IC124" t="e">
        <f>AND('SPR BARRANQUILLA'!EU148,"AAAAAH78u+w=")</f>
        <v>#VALUE!</v>
      </c>
      <c r="ID124" t="e">
        <f>AND('SPR BARRANQUILLA'!EV148,"AAAAAH78u+0=")</f>
        <v>#VALUE!</v>
      </c>
      <c r="IE124" t="e">
        <f>AND('SPR BARRANQUILLA'!EW148,"AAAAAH78u+4=")</f>
        <v>#VALUE!</v>
      </c>
      <c r="IF124" t="e">
        <f>AND('SPR BARRANQUILLA'!EX148,"AAAAAH78u+8=")</f>
        <v>#VALUE!</v>
      </c>
      <c r="IG124" t="e">
        <f>AND('SPR BARRANQUILLA'!EY148,"AAAAAH78u/A=")</f>
        <v>#VALUE!</v>
      </c>
      <c r="IH124" t="e">
        <f>AND('SPR BARRANQUILLA'!EZ148,"AAAAAH78u/E=")</f>
        <v>#VALUE!</v>
      </c>
      <c r="II124" t="e">
        <f>AND('SPR BARRANQUILLA'!FA148,"AAAAAH78u/I=")</f>
        <v>#VALUE!</v>
      </c>
      <c r="IJ124" t="e">
        <f>AND('SPR BARRANQUILLA'!FB148,"AAAAAH78u/M=")</f>
        <v>#VALUE!</v>
      </c>
      <c r="IK124" t="e">
        <f>AND('SPR BARRANQUILLA'!FC148,"AAAAAH78u/Q=")</f>
        <v>#VALUE!</v>
      </c>
      <c r="IL124" t="e">
        <f>AND('SPR BARRANQUILLA'!FD148,"AAAAAH78u/U=")</f>
        <v>#VALUE!</v>
      </c>
      <c r="IM124" t="e">
        <f>AND('SPR BARRANQUILLA'!FE148,"AAAAAH78u/Y=")</f>
        <v>#VALUE!</v>
      </c>
      <c r="IN124" t="e">
        <f>AND('SPR BARRANQUILLA'!FF148,"AAAAAH78u/c=")</f>
        <v>#VALUE!</v>
      </c>
      <c r="IO124" t="e">
        <f>AND('SPR BARRANQUILLA'!FG148,"AAAAAH78u/g=")</f>
        <v>#VALUE!</v>
      </c>
      <c r="IP124" t="e">
        <f>AND('SPR BARRANQUILLA'!FH148,"AAAAAH78u/k=")</f>
        <v>#VALUE!</v>
      </c>
      <c r="IQ124" t="e">
        <f>AND('SPR BARRANQUILLA'!FI148,"AAAAAH78u/o=")</f>
        <v>#VALUE!</v>
      </c>
      <c r="IR124" t="e">
        <f>AND('SPR BARRANQUILLA'!FJ148,"AAAAAH78u/s=")</f>
        <v>#VALUE!</v>
      </c>
      <c r="IS124" t="e">
        <f>AND('SPR BARRANQUILLA'!FK148,"AAAAAH78u/w=")</f>
        <v>#VALUE!</v>
      </c>
      <c r="IT124" t="e">
        <f>AND('SPR BARRANQUILLA'!FL148,"AAAAAH78u/0=")</f>
        <v>#VALUE!</v>
      </c>
      <c r="IU124" t="e">
        <f>AND('SPR BARRANQUILLA'!FM148,"AAAAAH78u/4=")</f>
        <v>#VALUE!</v>
      </c>
      <c r="IV124" t="e">
        <f>AND('SPR BARRANQUILLA'!FN148,"AAAAAH78u/8=")</f>
        <v>#VALUE!</v>
      </c>
    </row>
    <row r="125" spans="1:256">
      <c r="A125" t="e">
        <f>AND('SPR BARRANQUILLA'!FO148,"AAAAAH98zQA=")</f>
        <v>#VALUE!</v>
      </c>
      <c r="B125" t="e">
        <f>AND('SPR BARRANQUILLA'!FP148,"AAAAAH98zQE=")</f>
        <v>#VALUE!</v>
      </c>
      <c r="C125" t="e">
        <f>AND('SPR BARRANQUILLA'!FQ148,"AAAAAH98zQI=")</f>
        <v>#VALUE!</v>
      </c>
      <c r="D125" t="e">
        <f>AND('SPR BARRANQUILLA'!FR148,"AAAAAH98zQM=")</f>
        <v>#VALUE!</v>
      </c>
      <c r="E125" t="e">
        <f>AND('SPR BARRANQUILLA'!FS148,"AAAAAH98zQQ=")</f>
        <v>#VALUE!</v>
      </c>
      <c r="F125" t="e">
        <f>AND('SPR BARRANQUILLA'!FT148,"AAAAAH98zQU=")</f>
        <v>#VALUE!</v>
      </c>
      <c r="G125" t="e">
        <f>AND('SPR BARRANQUILLA'!FU148,"AAAAAH98zQY=")</f>
        <v>#VALUE!</v>
      </c>
      <c r="H125" t="e">
        <f>AND('SPR BARRANQUILLA'!FV148,"AAAAAH98zQc=")</f>
        <v>#VALUE!</v>
      </c>
      <c r="I125" t="e">
        <f>AND('SPR BARRANQUILLA'!FW148,"AAAAAH98zQg=")</f>
        <v>#VALUE!</v>
      </c>
      <c r="J125" t="e">
        <f>AND('SPR BARRANQUILLA'!FX148,"AAAAAH98zQk=")</f>
        <v>#VALUE!</v>
      </c>
      <c r="K125" t="e">
        <f>AND('SPR BARRANQUILLA'!FY148,"AAAAAH98zQo=")</f>
        <v>#VALUE!</v>
      </c>
      <c r="L125" t="e">
        <f>AND('SPR BARRANQUILLA'!FZ148,"AAAAAH98zQs=")</f>
        <v>#VALUE!</v>
      </c>
      <c r="M125" t="e">
        <f>AND('SPR BARRANQUILLA'!GA148,"AAAAAH98zQw=")</f>
        <v>#VALUE!</v>
      </c>
      <c r="N125" t="e">
        <f>AND('SPR BARRANQUILLA'!GB148,"AAAAAH98zQ0=")</f>
        <v>#VALUE!</v>
      </c>
      <c r="O125" t="e">
        <f>AND('SPR BARRANQUILLA'!GC148,"AAAAAH98zQ4=")</f>
        <v>#VALUE!</v>
      </c>
      <c r="P125" t="e">
        <f>AND('SPR BARRANQUILLA'!GD148,"AAAAAH98zQ8=")</f>
        <v>#VALUE!</v>
      </c>
      <c r="Q125" t="e">
        <f>AND('SPR BARRANQUILLA'!GE148,"AAAAAH98zRA=")</f>
        <v>#VALUE!</v>
      </c>
      <c r="R125" t="e">
        <f>AND('SPR BARRANQUILLA'!GF148,"AAAAAH98zRE=")</f>
        <v>#VALUE!</v>
      </c>
      <c r="S125" t="e">
        <f>AND('SPR BARRANQUILLA'!GG148,"AAAAAH98zRI=")</f>
        <v>#VALUE!</v>
      </c>
      <c r="T125" t="e">
        <f>AND('SPR BARRANQUILLA'!GH148,"AAAAAH98zRM=")</f>
        <v>#VALUE!</v>
      </c>
      <c r="U125" t="e">
        <f>AND('SPR BARRANQUILLA'!GI148,"AAAAAH98zRQ=")</f>
        <v>#VALUE!</v>
      </c>
      <c r="V125" t="e">
        <f>AND('SPR BARRANQUILLA'!GJ148,"AAAAAH98zRU=")</f>
        <v>#VALUE!</v>
      </c>
      <c r="W125" t="e">
        <f>AND('SPR BARRANQUILLA'!GK148,"AAAAAH98zRY=")</f>
        <v>#VALUE!</v>
      </c>
      <c r="X125" t="e">
        <f>AND('SPR BARRANQUILLA'!GL148,"AAAAAH98zRc=")</f>
        <v>#VALUE!</v>
      </c>
      <c r="Y125" t="e">
        <f>AND('SPR BARRANQUILLA'!GM148,"AAAAAH98zRg=")</f>
        <v>#VALUE!</v>
      </c>
      <c r="Z125" t="e">
        <f>AND('SPR BARRANQUILLA'!GN148,"AAAAAH98zRk=")</f>
        <v>#VALUE!</v>
      </c>
      <c r="AA125" t="e">
        <f>AND('SPR BARRANQUILLA'!GO148,"AAAAAH98zRo=")</f>
        <v>#VALUE!</v>
      </c>
      <c r="AB125" t="e">
        <f>AND('SPR BARRANQUILLA'!GP148,"AAAAAH98zRs=")</f>
        <v>#VALUE!</v>
      </c>
      <c r="AC125" t="e">
        <f>AND('SPR BARRANQUILLA'!GQ148,"AAAAAH98zRw=")</f>
        <v>#VALUE!</v>
      </c>
      <c r="AD125" t="e">
        <f>AND('SPR BARRANQUILLA'!GR148,"AAAAAH98zR0=")</f>
        <v>#VALUE!</v>
      </c>
      <c r="AE125" t="e">
        <f>AND('SPR BARRANQUILLA'!GS148,"AAAAAH98zR4=")</f>
        <v>#VALUE!</v>
      </c>
      <c r="AF125" t="e">
        <f>AND('SPR BARRANQUILLA'!GT148,"AAAAAH98zR8=")</f>
        <v>#VALUE!</v>
      </c>
      <c r="AG125" t="e">
        <f>AND('SPR BARRANQUILLA'!GU148,"AAAAAH98zSA=")</f>
        <v>#VALUE!</v>
      </c>
      <c r="AH125" t="e">
        <f>AND('SPR BARRANQUILLA'!GV148,"AAAAAH98zSE=")</f>
        <v>#VALUE!</v>
      </c>
      <c r="AI125" t="e">
        <f>AND('SPR BARRANQUILLA'!GW148,"AAAAAH98zSI=")</f>
        <v>#VALUE!</v>
      </c>
      <c r="AJ125" t="e">
        <f>AND('SPR BARRANQUILLA'!GX148,"AAAAAH98zSM=")</f>
        <v>#VALUE!</v>
      </c>
      <c r="AK125" t="e">
        <f>AND('SPR BARRANQUILLA'!GY148,"AAAAAH98zSQ=")</f>
        <v>#VALUE!</v>
      </c>
      <c r="AL125">
        <f>IF('SPR BARRANQUILLA'!149:149,"AAAAAH98zSU=",0)</f>
        <v>0</v>
      </c>
      <c r="AM125" t="e">
        <f>AND('SPR BARRANQUILLA'!A149,"AAAAAH98zSY=")</f>
        <v>#VALUE!</v>
      </c>
      <c r="AN125" t="e">
        <f>AND('SPR BARRANQUILLA'!B149,"AAAAAH98zSc=")</f>
        <v>#VALUE!</v>
      </c>
      <c r="AO125" t="e">
        <f>AND('SPR BARRANQUILLA'!C149,"AAAAAH98zSg=")</f>
        <v>#VALUE!</v>
      </c>
      <c r="AP125" t="e">
        <f>AND('SPR BARRANQUILLA'!D149,"AAAAAH98zSk=")</f>
        <v>#VALUE!</v>
      </c>
      <c r="AQ125" t="e">
        <f>AND('SPR BARRANQUILLA'!E149,"AAAAAH98zSo=")</f>
        <v>#VALUE!</v>
      </c>
      <c r="AR125" t="e">
        <f>AND('SPR BARRANQUILLA'!F149,"AAAAAH98zSs=")</f>
        <v>#VALUE!</v>
      </c>
      <c r="AS125" t="e">
        <f>AND('SPR BARRANQUILLA'!G149,"AAAAAH98zSw=")</f>
        <v>#VALUE!</v>
      </c>
      <c r="AT125" t="e">
        <f>AND('SPR BARRANQUILLA'!H149,"AAAAAH98zS0=")</f>
        <v>#VALUE!</v>
      </c>
      <c r="AU125" t="e">
        <f>AND('SPR BARRANQUILLA'!I149,"AAAAAH98zS4=")</f>
        <v>#VALUE!</v>
      </c>
      <c r="AV125" t="e">
        <f>AND('SPR BARRANQUILLA'!J149,"AAAAAH98zS8=")</f>
        <v>#VALUE!</v>
      </c>
      <c r="AW125" t="e">
        <f>AND('SPR BARRANQUILLA'!K149,"AAAAAH98zTA=")</f>
        <v>#VALUE!</v>
      </c>
      <c r="AX125" t="e">
        <f>AND('SPR BARRANQUILLA'!L149,"AAAAAH98zTE=")</f>
        <v>#VALUE!</v>
      </c>
      <c r="AY125" t="e">
        <f>AND('SPR BARRANQUILLA'!M149,"AAAAAH98zTI=")</f>
        <v>#VALUE!</v>
      </c>
      <c r="AZ125" t="e">
        <f>AND('SPR BARRANQUILLA'!N149,"AAAAAH98zTM=")</f>
        <v>#VALUE!</v>
      </c>
      <c r="BA125" t="e">
        <f>AND('SPR BARRANQUILLA'!O149,"AAAAAH98zTQ=")</f>
        <v>#VALUE!</v>
      </c>
      <c r="BB125" t="e">
        <f>AND('SPR BARRANQUILLA'!P149,"AAAAAH98zTU=")</f>
        <v>#VALUE!</v>
      </c>
      <c r="BC125" t="e">
        <f>AND('SPR BARRANQUILLA'!Q149,"AAAAAH98zTY=")</f>
        <v>#VALUE!</v>
      </c>
      <c r="BD125" t="e">
        <f>AND('SPR BARRANQUILLA'!R149,"AAAAAH98zTc=")</f>
        <v>#VALUE!</v>
      </c>
      <c r="BE125" t="e">
        <f>AND('SPR BARRANQUILLA'!S149,"AAAAAH98zTg=")</f>
        <v>#VALUE!</v>
      </c>
      <c r="BF125" t="e">
        <f>AND('SPR BARRANQUILLA'!T149,"AAAAAH98zTk=")</f>
        <v>#VALUE!</v>
      </c>
      <c r="BG125" t="e">
        <f>AND('SPR BARRANQUILLA'!U149,"AAAAAH98zTo=")</f>
        <v>#VALUE!</v>
      </c>
      <c r="BH125" t="e">
        <f>AND('SPR BARRANQUILLA'!V149,"AAAAAH98zTs=")</f>
        <v>#VALUE!</v>
      </c>
      <c r="BI125" t="e">
        <f>AND('SPR BARRANQUILLA'!W149,"AAAAAH98zTw=")</f>
        <v>#VALUE!</v>
      </c>
      <c r="BJ125" t="e">
        <f>AND('SPR BARRANQUILLA'!X149,"AAAAAH98zT0=")</f>
        <v>#VALUE!</v>
      </c>
      <c r="BK125" t="e">
        <f>AND('SPR BARRANQUILLA'!Y149,"AAAAAH98zT4=")</f>
        <v>#VALUE!</v>
      </c>
      <c r="BL125" t="e">
        <f>AND('SPR BARRANQUILLA'!Z149,"AAAAAH98zT8=")</f>
        <v>#VALUE!</v>
      </c>
      <c r="BM125" t="e">
        <f>AND('SPR BARRANQUILLA'!AA149,"AAAAAH98zUA=")</f>
        <v>#VALUE!</v>
      </c>
      <c r="BN125" t="e">
        <f>AND('SPR BARRANQUILLA'!AB149,"AAAAAH98zUE=")</f>
        <v>#VALUE!</v>
      </c>
      <c r="BO125" t="e">
        <f>AND('SPR BARRANQUILLA'!AC149,"AAAAAH98zUI=")</f>
        <v>#VALUE!</v>
      </c>
      <c r="BP125" t="e">
        <f>AND('SPR BARRANQUILLA'!AD149,"AAAAAH98zUM=")</f>
        <v>#VALUE!</v>
      </c>
      <c r="BQ125" t="e">
        <f>AND('SPR BARRANQUILLA'!AE149,"AAAAAH98zUQ=")</f>
        <v>#VALUE!</v>
      </c>
      <c r="BR125" t="e">
        <f>AND('SPR BARRANQUILLA'!AF149,"AAAAAH98zUU=")</f>
        <v>#VALUE!</v>
      </c>
      <c r="BS125" t="e">
        <f>AND('SPR BARRANQUILLA'!AG149,"AAAAAH98zUY=")</f>
        <v>#VALUE!</v>
      </c>
      <c r="BT125" t="e">
        <f>AND('SPR BARRANQUILLA'!AH149,"AAAAAH98zUc=")</f>
        <v>#VALUE!</v>
      </c>
      <c r="BU125" t="e">
        <f>AND('SPR BARRANQUILLA'!AI149,"AAAAAH98zUg=")</f>
        <v>#VALUE!</v>
      </c>
      <c r="BV125" t="e">
        <f>AND('SPR BARRANQUILLA'!AJ149,"AAAAAH98zUk=")</f>
        <v>#VALUE!</v>
      </c>
      <c r="BW125" t="e">
        <f>AND('SPR BARRANQUILLA'!AK149,"AAAAAH98zUo=")</f>
        <v>#VALUE!</v>
      </c>
      <c r="BX125" t="e">
        <f>AND('SPR BARRANQUILLA'!AL149,"AAAAAH98zUs=")</f>
        <v>#VALUE!</v>
      </c>
      <c r="BY125" t="e">
        <f>AND('SPR BARRANQUILLA'!AM149,"AAAAAH98zUw=")</f>
        <v>#VALUE!</v>
      </c>
      <c r="BZ125" t="e">
        <f>AND('SPR BARRANQUILLA'!AN149,"AAAAAH98zU0=")</f>
        <v>#VALUE!</v>
      </c>
      <c r="CA125" t="e">
        <f>AND('SPR BARRANQUILLA'!AO149,"AAAAAH98zU4=")</f>
        <v>#VALUE!</v>
      </c>
      <c r="CB125" t="e">
        <f>AND('SPR BARRANQUILLA'!AP149,"AAAAAH98zU8=")</f>
        <v>#VALUE!</v>
      </c>
      <c r="CC125" t="e">
        <f>AND('SPR BARRANQUILLA'!AQ149,"AAAAAH98zVA=")</f>
        <v>#VALUE!</v>
      </c>
      <c r="CD125" t="e">
        <f>AND('SPR BARRANQUILLA'!AR149,"AAAAAH98zVE=")</f>
        <v>#VALUE!</v>
      </c>
      <c r="CE125" t="e">
        <f>AND('SPR BARRANQUILLA'!AS149,"AAAAAH98zVI=")</f>
        <v>#VALUE!</v>
      </c>
      <c r="CF125" t="e">
        <f>AND('SPR BARRANQUILLA'!AT149,"AAAAAH98zVM=")</f>
        <v>#VALUE!</v>
      </c>
      <c r="CG125" t="e">
        <f>AND('SPR BARRANQUILLA'!AU149,"AAAAAH98zVQ=")</f>
        <v>#VALUE!</v>
      </c>
      <c r="CH125" t="e">
        <f>AND('SPR BARRANQUILLA'!AV149,"AAAAAH98zVU=")</f>
        <v>#VALUE!</v>
      </c>
      <c r="CI125" t="e">
        <f>AND('SPR BARRANQUILLA'!AW149,"AAAAAH98zVY=")</f>
        <v>#VALUE!</v>
      </c>
      <c r="CJ125" t="e">
        <f>AND('SPR BARRANQUILLA'!AX149,"AAAAAH98zVc=")</f>
        <v>#VALUE!</v>
      </c>
      <c r="CK125" t="e">
        <f>AND('SPR BARRANQUILLA'!AY149,"AAAAAH98zVg=")</f>
        <v>#VALUE!</v>
      </c>
      <c r="CL125" t="e">
        <f>AND('SPR BARRANQUILLA'!AZ149,"AAAAAH98zVk=")</f>
        <v>#VALUE!</v>
      </c>
      <c r="CM125" t="e">
        <f>AND('SPR BARRANQUILLA'!BA149,"AAAAAH98zVo=")</f>
        <v>#VALUE!</v>
      </c>
      <c r="CN125" t="e">
        <f>AND('SPR BARRANQUILLA'!BB149,"AAAAAH98zVs=")</f>
        <v>#VALUE!</v>
      </c>
      <c r="CO125" t="e">
        <f>AND('SPR BARRANQUILLA'!BC149,"AAAAAH98zVw=")</f>
        <v>#VALUE!</v>
      </c>
      <c r="CP125" t="e">
        <f>AND('SPR BARRANQUILLA'!BD149,"AAAAAH98zV0=")</f>
        <v>#VALUE!</v>
      </c>
      <c r="CQ125" t="e">
        <f>AND('SPR BARRANQUILLA'!BE149,"AAAAAH98zV4=")</f>
        <v>#VALUE!</v>
      </c>
      <c r="CR125" t="e">
        <f>AND('SPR BARRANQUILLA'!BF149,"AAAAAH98zV8=")</f>
        <v>#VALUE!</v>
      </c>
      <c r="CS125" t="e">
        <f>AND('SPR BARRANQUILLA'!BG149,"AAAAAH98zWA=")</f>
        <v>#VALUE!</v>
      </c>
      <c r="CT125" t="e">
        <f>AND('SPR BARRANQUILLA'!BH149,"AAAAAH98zWE=")</f>
        <v>#VALUE!</v>
      </c>
      <c r="CU125" t="e">
        <f>AND('SPR BARRANQUILLA'!BI149,"AAAAAH98zWI=")</f>
        <v>#VALUE!</v>
      </c>
      <c r="CV125" t="e">
        <f>AND('SPR BARRANQUILLA'!BJ149,"AAAAAH98zWM=")</f>
        <v>#VALUE!</v>
      </c>
      <c r="CW125" t="e">
        <f>AND('SPR BARRANQUILLA'!BK149,"AAAAAH98zWQ=")</f>
        <v>#VALUE!</v>
      </c>
      <c r="CX125" t="e">
        <f>AND('SPR BARRANQUILLA'!BL149,"AAAAAH98zWU=")</f>
        <v>#VALUE!</v>
      </c>
      <c r="CY125" t="e">
        <f>AND('SPR BARRANQUILLA'!BM149,"AAAAAH98zWY=")</f>
        <v>#VALUE!</v>
      </c>
      <c r="CZ125" t="e">
        <f>AND('SPR BARRANQUILLA'!BN149,"AAAAAH98zWc=")</f>
        <v>#VALUE!</v>
      </c>
      <c r="DA125" t="e">
        <f>AND('SPR BARRANQUILLA'!BO149,"AAAAAH98zWg=")</f>
        <v>#VALUE!</v>
      </c>
      <c r="DB125" t="e">
        <f>AND('SPR BARRANQUILLA'!BP149,"AAAAAH98zWk=")</f>
        <v>#VALUE!</v>
      </c>
      <c r="DC125" t="e">
        <f>AND('SPR BARRANQUILLA'!BQ149,"AAAAAH98zWo=")</f>
        <v>#VALUE!</v>
      </c>
      <c r="DD125" t="e">
        <f>AND('SPR BARRANQUILLA'!BR149,"AAAAAH98zWs=")</f>
        <v>#VALUE!</v>
      </c>
      <c r="DE125" t="e">
        <f>AND('SPR BARRANQUILLA'!BS149,"AAAAAH98zWw=")</f>
        <v>#VALUE!</v>
      </c>
      <c r="DF125" t="e">
        <f>AND('SPR BARRANQUILLA'!BT149,"AAAAAH98zW0=")</f>
        <v>#VALUE!</v>
      </c>
      <c r="DG125" t="e">
        <f>AND('SPR BARRANQUILLA'!BU149,"AAAAAH98zW4=")</f>
        <v>#VALUE!</v>
      </c>
      <c r="DH125" t="e">
        <f>AND('SPR BARRANQUILLA'!BV149,"AAAAAH98zW8=")</f>
        <v>#VALUE!</v>
      </c>
      <c r="DI125" t="e">
        <f>AND('SPR BARRANQUILLA'!BW149,"AAAAAH98zXA=")</f>
        <v>#VALUE!</v>
      </c>
      <c r="DJ125" t="e">
        <f>AND('SPR BARRANQUILLA'!BX149,"AAAAAH98zXE=")</f>
        <v>#VALUE!</v>
      </c>
      <c r="DK125" t="e">
        <f>AND('SPR BARRANQUILLA'!BY149,"AAAAAH98zXI=")</f>
        <v>#VALUE!</v>
      </c>
      <c r="DL125" t="e">
        <f>AND('SPR BARRANQUILLA'!BZ149,"AAAAAH98zXM=")</f>
        <v>#VALUE!</v>
      </c>
      <c r="DM125" t="e">
        <f>AND('SPR BARRANQUILLA'!CA149,"AAAAAH98zXQ=")</f>
        <v>#VALUE!</v>
      </c>
      <c r="DN125" t="e">
        <f>AND('SPR BARRANQUILLA'!CB149,"AAAAAH98zXU=")</f>
        <v>#VALUE!</v>
      </c>
      <c r="DO125" t="e">
        <f>AND('SPR BARRANQUILLA'!CC149,"AAAAAH98zXY=")</f>
        <v>#VALUE!</v>
      </c>
      <c r="DP125" t="e">
        <f>AND('SPR BARRANQUILLA'!CD149,"AAAAAH98zXc=")</f>
        <v>#VALUE!</v>
      </c>
      <c r="DQ125" t="e">
        <f>AND('SPR BARRANQUILLA'!CE149,"AAAAAH98zXg=")</f>
        <v>#VALUE!</v>
      </c>
      <c r="DR125" t="e">
        <f>AND('SPR BARRANQUILLA'!CF149,"AAAAAH98zXk=")</f>
        <v>#VALUE!</v>
      </c>
      <c r="DS125" t="e">
        <f>AND('SPR BARRANQUILLA'!CG149,"AAAAAH98zXo=")</f>
        <v>#VALUE!</v>
      </c>
      <c r="DT125" t="e">
        <f>AND('SPR BARRANQUILLA'!CH149,"AAAAAH98zXs=")</f>
        <v>#VALUE!</v>
      </c>
      <c r="DU125" t="e">
        <f>AND('SPR BARRANQUILLA'!CI149,"AAAAAH98zXw=")</f>
        <v>#VALUE!</v>
      </c>
      <c r="DV125" t="e">
        <f>AND('SPR BARRANQUILLA'!CJ149,"AAAAAH98zX0=")</f>
        <v>#VALUE!</v>
      </c>
      <c r="DW125" t="e">
        <f>AND('SPR BARRANQUILLA'!CK149,"AAAAAH98zX4=")</f>
        <v>#VALUE!</v>
      </c>
      <c r="DX125" t="e">
        <f>AND('SPR BARRANQUILLA'!CL149,"AAAAAH98zX8=")</f>
        <v>#VALUE!</v>
      </c>
      <c r="DY125" t="e">
        <f>AND('SPR BARRANQUILLA'!CM149,"AAAAAH98zYA=")</f>
        <v>#VALUE!</v>
      </c>
      <c r="DZ125" t="e">
        <f>AND('SPR BARRANQUILLA'!CN149,"AAAAAH98zYE=")</f>
        <v>#VALUE!</v>
      </c>
      <c r="EA125" t="e">
        <f>AND('SPR BARRANQUILLA'!CO149,"AAAAAH98zYI=")</f>
        <v>#VALUE!</v>
      </c>
      <c r="EB125" t="e">
        <f>AND('SPR BARRANQUILLA'!CP149,"AAAAAH98zYM=")</f>
        <v>#VALUE!</v>
      </c>
      <c r="EC125" t="e">
        <f>AND('SPR BARRANQUILLA'!CQ149,"AAAAAH98zYQ=")</f>
        <v>#VALUE!</v>
      </c>
      <c r="ED125" t="e">
        <f>AND('SPR BARRANQUILLA'!CR149,"AAAAAH98zYU=")</f>
        <v>#VALUE!</v>
      </c>
      <c r="EE125" t="e">
        <f>AND('SPR BARRANQUILLA'!CS149,"AAAAAH98zYY=")</f>
        <v>#VALUE!</v>
      </c>
      <c r="EF125" t="e">
        <f>AND('SPR BARRANQUILLA'!CT149,"AAAAAH98zYc=")</f>
        <v>#VALUE!</v>
      </c>
      <c r="EG125" t="e">
        <f>AND('SPR BARRANQUILLA'!CU149,"AAAAAH98zYg=")</f>
        <v>#VALUE!</v>
      </c>
      <c r="EH125" t="e">
        <f>AND('SPR BARRANQUILLA'!CV149,"AAAAAH98zYk=")</f>
        <v>#VALUE!</v>
      </c>
      <c r="EI125" t="e">
        <f>AND('SPR BARRANQUILLA'!CW149,"AAAAAH98zYo=")</f>
        <v>#VALUE!</v>
      </c>
      <c r="EJ125" t="e">
        <f>AND('SPR BARRANQUILLA'!CX149,"AAAAAH98zYs=")</f>
        <v>#VALUE!</v>
      </c>
      <c r="EK125" t="e">
        <f>AND('SPR BARRANQUILLA'!CY149,"AAAAAH98zYw=")</f>
        <v>#VALUE!</v>
      </c>
      <c r="EL125" t="e">
        <f>AND('SPR BARRANQUILLA'!CZ149,"AAAAAH98zY0=")</f>
        <v>#VALUE!</v>
      </c>
      <c r="EM125" t="e">
        <f>AND('SPR BARRANQUILLA'!DA149,"AAAAAH98zY4=")</f>
        <v>#VALUE!</v>
      </c>
      <c r="EN125" t="e">
        <f>AND('SPR BARRANQUILLA'!DB149,"AAAAAH98zY8=")</f>
        <v>#VALUE!</v>
      </c>
      <c r="EO125" t="e">
        <f>AND('SPR BARRANQUILLA'!DC149,"AAAAAH98zZA=")</f>
        <v>#VALUE!</v>
      </c>
      <c r="EP125" t="e">
        <f>AND('SPR BARRANQUILLA'!DD149,"AAAAAH98zZE=")</f>
        <v>#VALUE!</v>
      </c>
      <c r="EQ125" t="e">
        <f>AND('SPR BARRANQUILLA'!DE149,"AAAAAH98zZI=")</f>
        <v>#VALUE!</v>
      </c>
      <c r="ER125" t="e">
        <f>AND('SPR BARRANQUILLA'!DF149,"AAAAAH98zZM=")</f>
        <v>#VALUE!</v>
      </c>
      <c r="ES125" t="e">
        <f>AND('SPR BARRANQUILLA'!DG149,"AAAAAH98zZQ=")</f>
        <v>#VALUE!</v>
      </c>
      <c r="ET125" t="e">
        <f>AND('SPR BARRANQUILLA'!DH149,"AAAAAH98zZU=")</f>
        <v>#VALUE!</v>
      </c>
      <c r="EU125" t="e">
        <f>AND('SPR BARRANQUILLA'!DI149,"AAAAAH98zZY=")</f>
        <v>#VALUE!</v>
      </c>
      <c r="EV125" t="e">
        <f>AND('SPR BARRANQUILLA'!DJ149,"AAAAAH98zZc=")</f>
        <v>#VALUE!</v>
      </c>
      <c r="EW125" t="e">
        <f>AND('SPR BARRANQUILLA'!DK149,"AAAAAH98zZg=")</f>
        <v>#VALUE!</v>
      </c>
      <c r="EX125" t="e">
        <f>AND('SPR BARRANQUILLA'!DL149,"AAAAAH98zZk=")</f>
        <v>#VALUE!</v>
      </c>
      <c r="EY125" t="e">
        <f>AND('SPR BARRANQUILLA'!DM149,"AAAAAH98zZo=")</f>
        <v>#VALUE!</v>
      </c>
      <c r="EZ125" t="e">
        <f>AND('SPR BARRANQUILLA'!DN149,"AAAAAH98zZs=")</f>
        <v>#VALUE!</v>
      </c>
      <c r="FA125" t="e">
        <f>AND('SPR BARRANQUILLA'!DO149,"AAAAAH98zZw=")</f>
        <v>#VALUE!</v>
      </c>
      <c r="FB125" t="e">
        <f>AND('SPR BARRANQUILLA'!DP149,"AAAAAH98zZ0=")</f>
        <v>#VALUE!</v>
      </c>
      <c r="FC125" t="e">
        <f>AND('SPR BARRANQUILLA'!DQ149,"AAAAAH98zZ4=")</f>
        <v>#VALUE!</v>
      </c>
      <c r="FD125" t="e">
        <f>AND('SPR BARRANQUILLA'!DR149,"AAAAAH98zZ8=")</f>
        <v>#VALUE!</v>
      </c>
      <c r="FE125" t="e">
        <f>AND('SPR BARRANQUILLA'!DS149,"AAAAAH98zaA=")</f>
        <v>#VALUE!</v>
      </c>
      <c r="FF125" t="e">
        <f>AND('SPR BARRANQUILLA'!DT149,"AAAAAH98zaE=")</f>
        <v>#VALUE!</v>
      </c>
      <c r="FG125" t="e">
        <f>AND('SPR BARRANQUILLA'!DU149,"AAAAAH98zaI=")</f>
        <v>#VALUE!</v>
      </c>
      <c r="FH125" t="e">
        <f>AND('SPR BARRANQUILLA'!DV149,"AAAAAH98zaM=")</f>
        <v>#VALUE!</v>
      </c>
      <c r="FI125" t="e">
        <f>AND('SPR BARRANQUILLA'!DW149,"AAAAAH98zaQ=")</f>
        <v>#VALUE!</v>
      </c>
      <c r="FJ125" t="e">
        <f>AND('SPR BARRANQUILLA'!DX149,"AAAAAH98zaU=")</f>
        <v>#VALUE!</v>
      </c>
      <c r="FK125" t="e">
        <f>AND('SPR BARRANQUILLA'!DY149,"AAAAAH98zaY=")</f>
        <v>#VALUE!</v>
      </c>
      <c r="FL125" t="e">
        <f>AND('SPR BARRANQUILLA'!DZ149,"AAAAAH98zac=")</f>
        <v>#VALUE!</v>
      </c>
      <c r="FM125" t="e">
        <f>AND('SPR BARRANQUILLA'!EA149,"AAAAAH98zag=")</f>
        <v>#VALUE!</v>
      </c>
      <c r="FN125" t="e">
        <f>AND('SPR BARRANQUILLA'!EB149,"AAAAAH98zak=")</f>
        <v>#VALUE!</v>
      </c>
      <c r="FO125" t="e">
        <f>AND('SPR BARRANQUILLA'!EC149,"AAAAAH98zao=")</f>
        <v>#VALUE!</v>
      </c>
      <c r="FP125" t="e">
        <f>AND('SPR BARRANQUILLA'!ED149,"AAAAAH98zas=")</f>
        <v>#VALUE!</v>
      </c>
      <c r="FQ125" t="e">
        <f>AND('SPR BARRANQUILLA'!EE149,"AAAAAH98zaw=")</f>
        <v>#VALUE!</v>
      </c>
      <c r="FR125" t="e">
        <f>AND('SPR BARRANQUILLA'!EF149,"AAAAAH98za0=")</f>
        <v>#VALUE!</v>
      </c>
      <c r="FS125" t="e">
        <f>AND('SPR BARRANQUILLA'!EG149,"AAAAAH98za4=")</f>
        <v>#VALUE!</v>
      </c>
      <c r="FT125" t="e">
        <f>AND('SPR BARRANQUILLA'!EH149,"AAAAAH98za8=")</f>
        <v>#VALUE!</v>
      </c>
      <c r="FU125" t="e">
        <f>AND('SPR BARRANQUILLA'!EI149,"AAAAAH98zbA=")</f>
        <v>#VALUE!</v>
      </c>
      <c r="FV125" t="e">
        <f>AND('SPR BARRANQUILLA'!EJ149,"AAAAAH98zbE=")</f>
        <v>#VALUE!</v>
      </c>
      <c r="FW125" t="e">
        <f>AND('SPR BARRANQUILLA'!EK149,"AAAAAH98zbI=")</f>
        <v>#VALUE!</v>
      </c>
      <c r="FX125" t="e">
        <f>AND('SPR BARRANQUILLA'!EL149,"AAAAAH98zbM=")</f>
        <v>#VALUE!</v>
      </c>
      <c r="FY125" t="e">
        <f>AND('SPR BARRANQUILLA'!EM149,"AAAAAH98zbQ=")</f>
        <v>#VALUE!</v>
      </c>
      <c r="FZ125" t="e">
        <f>AND('SPR BARRANQUILLA'!EN149,"AAAAAH98zbU=")</f>
        <v>#VALUE!</v>
      </c>
      <c r="GA125" t="e">
        <f>AND('SPR BARRANQUILLA'!EO149,"AAAAAH98zbY=")</f>
        <v>#VALUE!</v>
      </c>
      <c r="GB125" t="e">
        <f>AND('SPR BARRANQUILLA'!EP149,"AAAAAH98zbc=")</f>
        <v>#VALUE!</v>
      </c>
      <c r="GC125" t="e">
        <f>AND('SPR BARRANQUILLA'!EQ149,"AAAAAH98zbg=")</f>
        <v>#VALUE!</v>
      </c>
      <c r="GD125" t="e">
        <f>AND('SPR BARRANQUILLA'!ER149,"AAAAAH98zbk=")</f>
        <v>#VALUE!</v>
      </c>
      <c r="GE125" t="e">
        <f>AND('SPR BARRANQUILLA'!ES149,"AAAAAH98zbo=")</f>
        <v>#VALUE!</v>
      </c>
      <c r="GF125" t="e">
        <f>AND('SPR BARRANQUILLA'!ET149,"AAAAAH98zbs=")</f>
        <v>#VALUE!</v>
      </c>
      <c r="GG125" t="e">
        <f>AND('SPR BARRANQUILLA'!EU149,"AAAAAH98zbw=")</f>
        <v>#VALUE!</v>
      </c>
      <c r="GH125" t="e">
        <f>AND('SPR BARRANQUILLA'!EV149,"AAAAAH98zb0=")</f>
        <v>#VALUE!</v>
      </c>
      <c r="GI125" t="e">
        <f>AND('SPR BARRANQUILLA'!EW149,"AAAAAH98zb4=")</f>
        <v>#VALUE!</v>
      </c>
      <c r="GJ125" t="e">
        <f>AND('SPR BARRANQUILLA'!EX149,"AAAAAH98zb8=")</f>
        <v>#VALUE!</v>
      </c>
      <c r="GK125" t="e">
        <f>AND('SPR BARRANQUILLA'!EY149,"AAAAAH98zcA=")</f>
        <v>#VALUE!</v>
      </c>
      <c r="GL125" t="e">
        <f>AND('SPR BARRANQUILLA'!EZ149,"AAAAAH98zcE=")</f>
        <v>#VALUE!</v>
      </c>
      <c r="GM125" t="e">
        <f>AND('SPR BARRANQUILLA'!FA149,"AAAAAH98zcI=")</f>
        <v>#VALUE!</v>
      </c>
      <c r="GN125" t="e">
        <f>AND('SPR BARRANQUILLA'!FB149,"AAAAAH98zcM=")</f>
        <v>#VALUE!</v>
      </c>
      <c r="GO125" t="e">
        <f>AND('SPR BARRANQUILLA'!FC149,"AAAAAH98zcQ=")</f>
        <v>#VALUE!</v>
      </c>
      <c r="GP125" t="e">
        <f>AND('SPR BARRANQUILLA'!FD149,"AAAAAH98zcU=")</f>
        <v>#VALUE!</v>
      </c>
      <c r="GQ125" t="e">
        <f>AND('SPR BARRANQUILLA'!FE149,"AAAAAH98zcY=")</f>
        <v>#VALUE!</v>
      </c>
      <c r="GR125" t="e">
        <f>AND('SPR BARRANQUILLA'!FF149,"AAAAAH98zcc=")</f>
        <v>#VALUE!</v>
      </c>
      <c r="GS125" t="e">
        <f>AND('SPR BARRANQUILLA'!FG149,"AAAAAH98zcg=")</f>
        <v>#VALUE!</v>
      </c>
      <c r="GT125" t="e">
        <f>AND('SPR BARRANQUILLA'!FH149,"AAAAAH98zck=")</f>
        <v>#VALUE!</v>
      </c>
      <c r="GU125" t="e">
        <f>AND('SPR BARRANQUILLA'!FI149,"AAAAAH98zco=")</f>
        <v>#VALUE!</v>
      </c>
      <c r="GV125" t="e">
        <f>AND('SPR BARRANQUILLA'!FJ149,"AAAAAH98zcs=")</f>
        <v>#VALUE!</v>
      </c>
      <c r="GW125" t="e">
        <f>AND('SPR BARRANQUILLA'!FK149,"AAAAAH98zcw=")</f>
        <v>#VALUE!</v>
      </c>
      <c r="GX125" t="e">
        <f>AND('SPR BARRANQUILLA'!FL149,"AAAAAH98zc0=")</f>
        <v>#VALUE!</v>
      </c>
      <c r="GY125" t="e">
        <f>AND('SPR BARRANQUILLA'!FM149,"AAAAAH98zc4=")</f>
        <v>#VALUE!</v>
      </c>
      <c r="GZ125" t="e">
        <f>AND('SPR BARRANQUILLA'!FN149,"AAAAAH98zc8=")</f>
        <v>#VALUE!</v>
      </c>
      <c r="HA125" t="e">
        <f>AND('SPR BARRANQUILLA'!FO149,"AAAAAH98zdA=")</f>
        <v>#VALUE!</v>
      </c>
      <c r="HB125" t="e">
        <f>AND('SPR BARRANQUILLA'!FP149,"AAAAAH98zdE=")</f>
        <v>#VALUE!</v>
      </c>
      <c r="HC125" t="e">
        <f>AND('SPR BARRANQUILLA'!FQ149,"AAAAAH98zdI=")</f>
        <v>#VALUE!</v>
      </c>
      <c r="HD125" t="e">
        <f>AND('SPR BARRANQUILLA'!FR149,"AAAAAH98zdM=")</f>
        <v>#VALUE!</v>
      </c>
      <c r="HE125" t="e">
        <f>AND('SPR BARRANQUILLA'!FS149,"AAAAAH98zdQ=")</f>
        <v>#VALUE!</v>
      </c>
      <c r="HF125" t="e">
        <f>AND('SPR BARRANQUILLA'!FT149,"AAAAAH98zdU=")</f>
        <v>#VALUE!</v>
      </c>
      <c r="HG125" t="e">
        <f>AND('SPR BARRANQUILLA'!FU149,"AAAAAH98zdY=")</f>
        <v>#VALUE!</v>
      </c>
      <c r="HH125" t="e">
        <f>AND('SPR BARRANQUILLA'!FV149,"AAAAAH98zdc=")</f>
        <v>#VALUE!</v>
      </c>
      <c r="HI125" t="e">
        <f>AND('SPR BARRANQUILLA'!FW149,"AAAAAH98zdg=")</f>
        <v>#VALUE!</v>
      </c>
      <c r="HJ125" t="e">
        <f>AND('SPR BARRANQUILLA'!FX149,"AAAAAH98zdk=")</f>
        <v>#VALUE!</v>
      </c>
      <c r="HK125" t="e">
        <f>AND('SPR BARRANQUILLA'!FY149,"AAAAAH98zdo=")</f>
        <v>#VALUE!</v>
      </c>
      <c r="HL125" t="e">
        <f>AND('SPR BARRANQUILLA'!FZ149,"AAAAAH98zds=")</f>
        <v>#VALUE!</v>
      </c>
      <c r="HM125" t="e">
        <f>AND('SPR BARRANQUILLA'!GA149,"AAAAAH98zdw=")</f>
        <v>#VALUE!</v>
      </c>
      <c r="HN125" t="e">
        <f>AND('SPR BARRANQUILLA'!GB149,"AAAAAH98zd0=")</f>
        <v>#VALUE!</v>
      </c>
      <c r="HO125" t="e">
        <f>AND('SPR BARRANQUILLA'!GC149,"AAAAAH98zd4=")</f>
        <v>#VALUE!</v>
      </c>
      <c r="HP125" t="e">
        <f>AND('SPR BARRANQUILLA'!GD149,"AAAAAH98zd8=")</f>
        <v>#VALUE!</v>
      </c>
      <c r="HQ125" t="e">
        <f>AND('SPR BARRANQUILLA'!GE149,"AAAAAH98zeA=")</f>
        <v>#VALUE!</v>
      </c>
      <c r="HR125" t="e">
        <f>AND('SPR BARRANQUILLA'!GF149,"AAAAAH98zeE=")</f>
        <v>#VALUE!</v>
      </c>
      <c r="HS125" t="e">
        <f>AND('SPR BARRANQUILLA'!GG149,"AAAAAH98zeI=")</f>
        <v>#VALUE!</v>
      </c>
      <c r="HT125" t="e">
        <f>AND('SPR BARRANQUILLA'!GH149,"AAAAAH98zeM=")</f>
        <v>#VALUE!</v>
      </c>
      <c r="HU125" t="e">
        <f>AND('SPR BARRANQUILLA'!GI149,"AAAAAH98zeQ=")</f>
        <v>#VALUE!</v>
      </c>
      <c r="HV125" t="e">
        <f>AND('SPR BARRANQUILLA'!GJ149,"AAAAAH98zeU=")</f>
        <v>#VALUE!</v>
      </c>
      <c r="HW125" t="e">
        <f>AND('SPR BARRANQUILLA'!GK149,"AAAAAH98zeY=")</f>
        <v>#VALUE!</v>
      </c>
      <c r="HX125" t="e">
        <f>AND('SPR BARRANQUILLA'!GL149,"AAAAAH98zec=")</f>
        <v>#VALUE!</v>
      </c>
      <c r="HY125" t="e">
        <f>AND('SPR BARRANQUILLA'!GM149,"AAAAAH98zeg=")</f>
        <v>#VALUE!</v>
      </c>
      <c r="HZ125" t="e">
        <f>AND('SPR BARRANQUILLA'!GN149,"AAAAAH98zek=")</f>
        <v>#VALUE!</v>
      </c>
      <c r="IA125" t="e">
        <f>AND('SPR BARRANQUILLA'!GO149,"AAAAAH98zeo=")</f>
        <v>#VALUE!</v>
      </c>
      <c r="IB125" t="e">
        <f>AND('SPR BARRANQUILLA'!GP149,"AAAAAH98zes=")</f>
        <v>#VALUE!</v>
      </c>
      <c r="IC125" t="e">
        <f>AND('SPR BARRANQUILLA'!GQ149,"AAAAAH98zew=")</f>
        <v>#VALUE!</v>
      </c>
      <c r="ID125" t="e">
        <f>AND('SPR BARRANQUILLA'!GR149,"AAAAAH98ze0=")</f>
        <v>#VALUE!</v>
      </c>
      <c r="IE125" t="e">
        <f>AND('SPR BARRANQUILLA'!GS149,"AAAAAH98ze4=")</f>
        <v>#VALUE!</v>
      </c>
      <c r="IF125" t="e">
        <f>AND('SPR BARRANQUILLA'!GT149,"AAAAAH98ze8=")</f>
        <v>#VALUE!</v>
      </c>
      <c r="IG125" t="e">
        <f>AND('SPR BARRANQUILLA'!GU149,"AAAAAH98zfA=")</f>
        <v>#VALUE!</v>
      </c>
      <c r="IH125" t="e">
        <f>AND('SPR BARRANQUILLA'!GV149,"AAAAAH98zfE=")</f>
        <v>#VALUE!</v>
      </c>
      <c r="II125" t="e">
        <f>AND('SPR BARRANQUILLA'!GW149,"AAAAAH98zfI=")</f>
        <v>#VALUE!</v>
      </c>
      <c r="IJ125" t="e">
        <f>AND('SPR BARRANQUILLA'!GX149,"AAAAAH98zfM=")</f>
        <v>#VALUE!</v>
      </c>
      <c r="IK125" t="e">
        <f>AND('SPR BARRANQUILLA'!GY149,"AAAAAH98zfQ=")</f>
        <v>#VALUE!</v>
      </c>
      <c r="IL125">
        <f>IF('SPR BARRANQUILLA'!150:150,"AAAAAH98zfU=",0)</f>
        <v>0</v>
      </c>
      <c r="IM125" t="e">
        <f>AND('SPR BARRANQUILLA'!A150,"AAAAAH98zfY=")</f>
        <v>#VALUE!</v>
      </c>
      <c r="IN125" t="e">
        <f>AND('SPR BARRANQUILLA'!B150,"AAAAAH98zfc=")</f>
        <v>#VALUE!</v>
      </c>
      <c r="IO125" t="e">
        <f>AND('SPR BARRANQUILLA'!C150,"AAAAAH98zfg=")</f>
        <v>#VALUE!</v>
      </c>
      <c r="IP125" t="e">
        <f>AND('SPR BARRANQUILLA'!D150,"AAAAAH98zfk=")</f>
        <v>#VALUE!</v>
      </c>
      <c r="IQ125" t="e">
        <f>AND('SPR BARRANQUILLA'!E150,"AAAAAH98zfo=")</f>
        <v>#VALUE!</v>
      </c>
      <c r="IR125" t="e">
        <f>AND('SPR BARRANQUILLA'!F150,"AAAAAH98zfs=")</f>
        <v>#VALUE!</v>
      </c>
      <c r="IS125" t="e">
        <f>AND('SPR BARRANQUILLA'!G150,"AAAAAH98zfw=")</f>
        <v>#VALUE!</v>
      </c>
      <c r="IT125" t="e">
        <f>AND('SPR BARRANQUILLA'!H150,"AAAAAH98zf0=")</f>
        <v>#VALUE!</v>
      </c>
      <c r="IU125" t="e">
        <f>AND('SPR BARRANQUILLA'!I150,"AAAAAH98zf4=")</f>
        <v>#VALUE!</v>
      </c>
      <c r="IV125" t="e">
        <f>AND('SPR BARRANQUILLA'!J150,"AAAAAH98zf8=")</f>
        <v>#VALUE!</v>
      </c>
    </row>
    <row r="126" spans="1:256">
      <c r="A126" t="e">
        <f>AND('SPR BARRANQUILLA'!K150,"AAAAAF7//gA=")</f>
        <v>#VALUE!</v>
      </c>
      <c r="B126" t="e">
        <f>AND('SPR BARRANQUILLA'!L150,"AAAAAF7//gE=")</f>
        <v>#VALUE!</v>
      </c>
      <c r="C126" t="e">
        <f>AND('SPR BARRANQUILLA'!M150,"AAAAAF7//gI=")</f>
        <v>#VALUE!</v>
      </c>
      <c r="D126" t="e">
        <f>AND('SPR BARRANQUILLA'!N150,"AAAAAF7//gM=")</f>
        <v>#VALUE!</v>
      </c>
      <c r="E126" t="e">
        <f>AND('SPR BARRANQUILLA'!O150,"AAAAAF7//gQ=")</f>
        <v>#VALUE!</v>
      </c>
      <c r="F126" t="e">
        <f>AND('SPR BARRANQUILLA'!P150,"AAAAAF7//gU=")</f>
        <v>#VALUE!</v>
      </c>
      <c r="G126" t="e">
        <f>AND('SPR BARRANQUILLA'!Q150,"AAAAAF7//gY=")</f>
        <v>#VALUE!</v>
      </c>
      <c r="H126" t="e">
        <f>AND('SPR BARRANQUILLA'!R150,"AAAAAF7//gc=")</f>
        <v>#VALUE!</v>
      </c>
      <c r="I126" t="e">
        <f>AND('SPR BARRANQUILLA'!S150,"AAAAAF7//gg=")</f>
        <v>#VALUE!</v>
      </c>
      <c r="J126" t="e">
        <f>AND('SPR BARRANQUILLA'!T150,"AAAAAF7//gk=")</f>
        <v>#VALUE!</v>
      </c>
      <c r="K126" t="e">
        <f>AND('SPR BARRANQUILLA'!U150,"AAAAAF7//go=")</f>
        <v>#VALUE!</v>
      </c>
      <c r="L126" t="e">
        <f>AND('SPR BARRANQUILLA'!V150,"AAAAAF7//gs=")</f>
        <v>#VALUE!</v>
      </c>
      <c r="M126" t="e">
        <f>AND('SPR BARRANQUILLA'!W150,"AAAAAF7//gw=")</f>
        <v>#VALUE!</v>
      </c>
      <c r="N126" t="e">
        <f>AND('SPR BARRANQUILLA'!X150,"AAAAAF7//g0=")</f>
        <v>#VALUE!</v>
      </c>
      <c r="O126" t="e">
        <f>AND('SPR BARRANQUILLA'!Y150,"AAAAAF7//g4=")</f>
        <v>#VALUE!</v>
      </c>
      <c r="P126" t="e">
        <f>AND('SPR BARRANQUILLA'!Z150,"AAAAAF7//g8=")</f>
        <v>#VALUE!</v>
      </c>
      <c r="Q126" t="e">
        <f>AND('SPR BARRANQUILLA'!AA150,"AAAAAF7//hA=")</f>
        <v>#VALUE!</v>
      </c>
      <c r="R126" t="e">
        <f>AND('SPR BARRANQUILLA'!AB150,"AAAAAF7//hE=")</f>
        <v>#VALUE!</v>
      </c>
      <c r="S126" t="e">
        <f>AND('SPR BARRANQUILLA'!AC150,"AAAAAF7//hI=")</f>
        <v>#VALUE!</v>
      </c>
      <c r="T126" t="e">
        <f>AND('SPR BARRANQUILLA'!AD150,"AAAAAF7//hM=")</f>
        <v>#VALUE!</v>
      </c>
      <c r="U126" t="e">
        <f>AND('SPR BARRANQUILLA'!AE150,"AAAAAF7//hQ=")</f>
        <v>#VALUE!</v>
      </c>
      <c r="V126" t="e">
        <f>AND('SPR BARRANQUILLA'!AF150,"AAAAAF7//hU=")</f>
        <v>#VALUE!</v>
      </c>
      <c r="W126" t="e">
        <f>AND('SPR BARRANQUILLA'!AG150,"AAAAAF7//hY=")</f>
        <v>#VALUE!</v>
      </c>
      <c r="X126" t="e">
        <f>AND('SPR BARRANQUILLA'!AH150,"AAAAAF7//hc=")</f>
        <v>#VALUE!</v>
      </c>
      <c r="Y126" t="e">
        <f>AND('SPR BARRANQUILLA'!AI150,"AAAAAF7//hg=")</f>
        <v>#VALUE!</v>
      </c>
      <c r="Z126" t="e">
        <f>AND('SPR BARRANQUILLA'!AJ150,"AAAAAF7//hk=")</f>
        <v>#VALUE!</v>
      </c>
      <c r="AA126" t="e">
        <f>AND('SPR BARRANQUILLA'!AK150,"AAAAAF7//ho=")</f>
        <v>#VALUE!</v>
      </c>
      <c r="AB126" t="e">
        <f>AND('SPR BARRANQUILLA'!AL150,"AAAAAF7//hs=")</f>
        <v>#VALUE!</v>
      </c>
      <c r="AC126" t="e">
        <f>AND('SPR BARRANQUILLA'!AM150,"AAAAAF7//hw=")</f>
        <v>#VALUE!</v>
      </c>
      <c r="AD126" t="e">
        <f>AND('SPR BARRANQUILLA'!AN150,"AAAAAF7//h0=")</f>
        <v>#VALUE!</v>
      </c>
      <c r="AE126" t="e">
        <f>AND('SPR BARRANQUILLA'!AO150,"AAAAAF7//h4=")</f>
        <v>#VALUE!</v>
      </c>
      <c r="AF126" t="e">
        <f>AND('SPR BARRANQUILLA'!AP150,"AAAAAF7//h8=")</f>
        <v>#VALUE!</v>
      </c>
      <c r="AG126" t="e">
        <f>AND('SPR BARRANQUILLA'!AQ150,"AAAAAF7//iA=")</f>
        <v>#VALUE!</v>
      </c>
      <c r="AH126" t="e">
        <f>AND('SPR BARRANQUILLA'!AR150,"AAAAAF7//iE=")</f>
        <v>#VALUE!</v>
      </c>
      <c r="AI126" t="e">
        <f>AND('SPR BARRANQUILLA'!AS150,"AAAAAF7//iI=")</f>
        <v>#VALUE!</v>
      </c>
      <c r="AJ126" t="e">
        <f>AND('SPR BARRANQUILLA'!AT150,"AAAAAF7//iM=")</f>
        <v>#VALUE!</v>
      </c>
      <c r="AK126" t="e">
        <f>AND('SPR BARRANQUILLA'!AU150,"AAAAAF7//iQ=")</f>
        <v>#VALUE!</v>
      </c>
      <c r="AL126" t="e">
        <f>AND('SPR BARRANQUILLA'!AV150,"AAAAAF7//iU=")</f>
        <v>#VALUE!</v>
      </c>
      <c r="AM126" t="e">
        <f>AND('SPR BARRANQUILLA'!AW150,"AAAAAF7//iY=")</f>
        <v>#VALUE!</v>
      </c>
      <c r="AN126" t="e">
        <f>AND('SPR BARRANQUILLA'!AX150,"AAAAAF7//ic=")</f>
        <v>#VALUE!</v>
      </c>
      <c r="AO126" t="e">
        <f>AND('SPR BARRANQUILLA'!AY150,"AAAAAF7//ig=")</f>
        <v>#VALUE!</v>
      </c>
      <c r="AP126" t="e">
        <f>AND('SPR BARRANQUILLA'!AZ150,"AAAAAF7//ik=")</f>
        <v>#VALUE!</v>
      </c>
      <c r="AQ126" t="e">
        <f>AND('SPR BARRANQUILLA'!BA150,"AAAAAF7//io=")</f>
        <v>#VALUE!</v>
      </c>
      <c r="AR126" t="e">
        <f>AND('SPR BARRANQUILLA'!BB150,"AAAAAF7//is=")</f>
        <v>#VALUE!</v>
      </c>
      <c r="AS126" t="e">
        <f>AND('SPR BARRANQUILLA'!BC150,"AAAAAF7//iw=")</f>
        <v>#VALUE!</v>
      </c>
      <c r="AT126" t="e">
        <f>AND('SPR BARRANQUILLA'!BD150,"AAAAAF7//i0=")</f>
        <v>#VALUE!</v>
      </c>
      <c r="AU126" t="e">
        <f>AND('SPR BARRANQUILLA'!BE150,"AAAAAF7//i4=")</f>
        <v>#VALUE!</v>
      </c>
      <c r="AV126" t="e">
        <f>AND('SPR BARRANQUILLA'!BF150,"AAAAAF7//i8=")</f>
        <v>#VALUE!</v>
      </c>
      <c r="AW126" t="e">
        <f>AND('SPR BARRANQUILLA'!BG150,"AAAAAF7//jA=")</f>
        <v>#VALUE!</v>
      </c>
      <c r="AX126" t="e">
        <f>AND('SPR BARRANQUILLA'!BH150,"AAAAAF7//jE=")</f>
        <v>#VALUE!</v>
      </c>
      <c r="AY126" t="e">
        <f>AND('SPR BARRANQUILLA'!BI150,"AAAAAF7//jI=")</f>
        <v>#VALUE!</v>
      </c>
      <c r="AZ126" t="e">
        <f>AND('SPR BARRANQUILLA'!BJ150,"AAAAAF7//jM=")</f>
        <v>#VALUE!</v>
      </c>
      <c r="BA126" t="e">
        <f>AND('SPR BARRANQUILLA'!BK150,"AAAAAF7//jQ=")</f>
        <v>#VALUE!</v>
      </c>
      <c r="BB126" t="e">
        <f>AND('SPR BARRANQUILLA'!BL150,"AAAAAF7//jU=")</f>
        <v>#VALUE!</v>
      </c>
      <c r="BC126" t="e">
        <f>AND('SPR BARRANQUILLA'!BM150,"AAAAAF7//jY=")</f>
        <v>#VALUE!</v>
      </c>
      <c r="BD126" t="e">
        <f>AND('SPR BARRANQUILLA'!BN150,"AAAAAF7//jc=")</f>
        <v>#VALUE!</v>
      </c>
      <c r="BE126" t="e">
        <f>AND('SPR BARRANQUILLA'!BO150,"AAAAAF7//jg=")</f>
        <v>#VALUE!</v>
      </c>
      <c r="BF126" t="e">
        <f>AND('SPR BARRANQUILLA'!BP150,"AAAAAF7//jk=")</f>
        <v>#VALUE!</v>
      </c>
      <c r="BG126" t="e">
        <f>AND('SPR BARRANQUILLA'!BQ150,"AAAAAF7//jo=")</f>
        <v>#VALUE!</v>
      </c>
      <c r="BH126" t="e">
        <f>AND('SPR BARRANQUILLA'!BR150,"AAAAAF7//js=")</f>
        <v>#VALUE!</v>
      </c>
      <c r="BI126" t="e">
        <f>AND('SPR BARRANQUILLA'!BS150,"AAAAAF7//jw=")</f>
        <v>#VALUE!</v>
      </c>
      <c r="BJ126" t="e">
        <f>AND('SPR BARRANQUILLA'!BT150,"AAAAAF7//j0=")</f>
        <v>#VALUE!</v>
      </c>
      <c r="BK126" t="e">
        <f>AND('SPR BARRANQUILLA'!BU150,"AAAAAF7//j4=")</f>
        <v>#VALUE!</v>
      </c>
      <c r="BL126" t="e">
        <f>AND('SPR BARRANQUILLA'!BV150,"AAAAAF7//j8=")</f>
        <v>#VALUE!</v>
      </c>
      <c r="BM126" t="e">
        <f>AND('SPR BARRANQUILLA'!BW150,"AAAAAF7//kA=")</f>
        <v>#VALUE!</v>
      </c>
      <c r="BN126" t="e">
        <f>AND('SPR BARRANQUILLA'!BX150,"AAAAAF7//kE=")</f>
        <v>#VALUE!</v>
      </c>
      <c r="BO126" t="e">
        <f>AND('SPR BARRANQUILLA'!BY150,"AAAAAF7//kI=")</f>
        <v>#VALUE!</v>
      </c>
      <c r="BP126" t="e">
        <f>AND('SPR BARRANQUILLA'!BZ150,"AAAAAF7//kM=")</f>
        <v>#VALUE!</v>
      </c>
      <c r="BQ126" t="e">
        <f>AND('SPR BARRANQUILLA'!CA150,"AAAAAF7//kQ=")</f>
        <v>#VALUE!</v>
      </c>
      <c r="BR126" t="e">
        <f>AND('SPR BARRANQUILLA'!CB150,"AAAAAF7//kU=")</f>
        <v>#VALUE!</v>
      </c>
      <c r="BS126" t="e">
        <f>AND('SPR BARRANQUILLA'!CC150,"AAAAAF7//kY=")</f>
        <v>#VALUE!</v>
      </c>
      <c r="BT126" t="e">
        <f>AND('SPR BARRANQUILLA'!CD150,"AAAAAF7//kc=")</f>
        <v>#VALUE!</v>
      </c>
      <c r="BU126" t="e">
        <f>AND('SPR BARRANQUILLA'!CE150,"AAAAAF7//kg=")</f>
        <v>#VALUE!</v>
      </c>
      <c r="BV126" t="e">
        <f>AND('SPR BARRANQUILLA'!CF150,"AAAAAF7//kk=")</f>
        <v>#VALUE!</v>
      </c>
      <c r="BW126" t="e">
        <f>AND('SPR BARRANQUILLA'!CG150,"AAAAAF7//ko=")</f>
        <v>#VALUE!</v>
      </c>
      <c r="BX126" t="e">
        <f>AND('SPR BARRANQUILLA'!CH150,"AAAAAF7//ks=")</f>
        <v>#VALUE!</v>
      </c>
      <c r="BY126" t="e">
        <f>AND('SPR BARRANQUILLA'!CI150,"AAAAAF7//kw=")</f>
        <v>#VALUE!</v>
      </c>
      <c r="BZ126" t="e">
        <f>AND('SPR BARRANQUILLA'!CJ150,"AAAAAF7//k0=")</f>
        <v>#VALUE!</v>
      </c>
      <c r="CA126" t="e">
        <f>AND('SPR BARRANQUILLA'!CK150,"AAAAAF7//k4=")</f>
        <v>#VALUE!</v>
      </c>
      <c r="CB126" t="e">
        <f>AND('SPR BARRANQUILLA'!CL150,"AAAAAF7//k8=")</f>
        <v>#VALUE!</v>
      </c>
      <c r="CC126" t="e">
        <f>AND('SPR BARRANQUILLA'!CM150,"AAAAAF7//lA=")</f>
        <v>#VALUE!</v>
      </c>
      <c r="CD126" t="e">
        <f>AND('SPR BARRANQUILLA'!CN150,"AAAAAF7//lE=")</f>
        <v>#VALUE!</v>
      </c>
      <c r="CE126" t="e">
        <f>AND('SPR BARRANQUILLA'!CO150,"AAAAAF7//lI=")</f>
        <v>#VALUE!</v>
      </c>
      <c r="CF126" t="e">
        <f>AND('SPR BARRANQUILLA'!CP150,"AAAAAF7//lM=")</f>
        <v>#VALUE!</v>
      </c>
      <c r="CG126" t="e">
        <f>AND('SPR BARRANQUILLA'!CQ150,"AAAAAF7//lQ=")</f>
        <v>#VALUE!</v>
      </c>
      <c r="CH126" t="e">
        <f>AND('SPR BARRANQUILLA'!CR150,"AAAAAF7//lU=")</f>
        <v>#VALUE!</v>
      </c>
      <c r="CI126" t="e">
        <f>AND('SPR BARRANQUILLA'!CS150,"AAAAAF7//lY=")</f>
        <v>#VALUE!</v>
      </c>
      <c r="CJ126" t="e">
        <f>AND('SPR BARRANQUILLA'!CT150,"AAAAAF7//lc=")</f>
        <v>#VALUE!</v>
      </c>
      <c r="CK126" t="e">
        <f>AND('SPR BARRANQUILLA'!CU150,"AAAAAF7//lg=")</f>
        <v>#VALUE!</v>
      </c>
      <c r="CL126" t="e">
        <f>AND('SPR BARRANQUILLA'!CV150,"AAAAAF7//lk=")</f>
        <v>#VALUE!</v>
      </c>
      <c r="CM126" t="e">
        <f>AND('SPR BARRANQUILLA'!CW150,"AAAAAF7//lo=")</f>
        <v>#VALUE!</v>
      </c>
      <c r="CN126" t="e">
        <f>AND('SPR BARRANQUILLA'!CX150,"AAAAAF7//ls=")</f>
        <v>#VALUE!</v>
      </c>
      <c r="CO126" t="e">
        <f>AND('SPR BARRANQUILLA'!CY150,"AAAAAF7//lw=")</f>
        <v>#VALUE!</v>
      </c>
      <c r="CP126" t="e">
        <f>AND('SPR BARRANQUILLA'!CZ150,"AAAAAF7//l0=")</f>
        <v>#VALUE!</v>
      </c>
      <c r="CQ126" t="e">
        <f>AND('SPR BARRANQUILLA'!DA150,"AAAAAF7//l4=")</f>
        <v>#VALUE!</v>
      </c>
      <c r="CR126" t="e">
        <f>AND('SPR BARRANQUILLA'!DB150,"AAAAAF7//l8=")</f>
        <v>#VALUE!</v>
      </c>
      <c r="CS126" t="e">
        <f>AND('SPR BARRANQUILLA'!DC150,"AAAAAF7//mA=")</f>
        <v>#VALUE!</v>
      </c>
      <c r="CT126" t="e">
        <f>AND('SPR BARRANQUILLA'!DD150,"AAAAAF7//mE=")</f>
        <v>#VALUE!</v>
      </c>
      <c r="CU126" t="e">
        <f>AND('SPR BARRANQUILLA'!DE150,"AAAAAF7//mI=")</f>
        <v>#VALUE!</v>
      </c>
      <c r="CV126" t="e">
        <f>AND('SPR BARRANQUILLA'!DF150,"AAAAAF7//mM=")</f>
        <v>#VALUE!</v>
      </c>
      <c r="CW126" t="e">
        <f>AND('SPR BARRANQUILLA'!DG150,"AAAAAF7//mQ=")</f>
        <v>#VALUE!</v>
      </c>
      <c r="CX126" t="e">
        <f>AND('SPR BARRANQUILLA'!DH150,"AAAAAF7//mU=")</f>
        <v>#VALUE!</v>
      </c>
      <c r="CY126" t="e">
        <f>AND('SPR BARRANQUILLA'!DI150,"AAAAAF7//mY=")</f>
        <v>#VALUE!</v>
      </c>
      <c r="CZ126" t="e">
        <f>AND('SPR BARRANQUILLA'!DJ150,"AAAAAF7//mc=")</f>
        <v>#VALUE!</v>
      </c>
      <c r="DA126" t="e">
        <f>AND('SPR BARRANQUILLA'!DK150,"AAAAAF7//mg=")</f>
        <v>#VALUE!</v>
      </c>
      <c r="DB126" t="e">
        <f>AND('SPR BARRANQUILLA'!DL150,"AAAAAF7//mk=")</f>
        <v>#VALUE!</v>
      </c>
      <c r="DC126" t="e">
        <f>AND('SPR BARRANQUILLA'!DM150,"AAAAAF7//mo=")</f>
        <v>#VALUE!</v>
      </c>
      <c r="DD126" t="e">
        <f>AND('SPR BARRANQUILLA'!DN150,"AAAAAF7//ms=")</f>
        <v>#VALUE!</v>
      </c>
      <c r="DE126" t="e">
        <f>AND('SPR BARRANQUILLA'!DO150,"AAAAAF7//mw=")</f>
        <v>#VALUE!</v>
      </c>
      <c r="DF126" t="e">
        <f>AND('SPR BARRANQUILLA'!DP150,"AAAAAF7//m0=")</f>
        <v>#VALUE!</v>
      </c>
      <c r="DG126" t="e">
        <f>AND('SPR BARRANQUILLA'!DQ150,"AAAAAF7//m4=")</f>
        <v>#VALUE!</v>
      </c>
      <c r="DH126" t="e">
        <f>AND('SPR BARRANQUILLA'!DR150,"AAAAAF7//m8=")</f>
        <v>#VALUE!</v>
      </c>
      <c r="DI126" t="e">
        <f>AND('SPR BARRANQUILLA'!DS150,"AAAAAF7//nA=")</f>
        <v>#VALUE!</v>
      </c>
      <c r="DJ126" t="e">
        <f>AND('SPR BARRANQUILLA'!DT150,"AAAAAF7//nE=")</f>
        <v>#VALUE!</v>
      </c>
      <c r="DK126" t="e">
        <f>AND('SPR BARRANQUILLA'!DU150,"AAAAAF7//nI=")</f>
        <v>#VALUE!</v>
      </c>
      <c r="DL126" t="e">
        <f>AND('SPR BARRANQUILLA'!DV150,"AAAAAF7//nM=")</f>
        <v>#VALUE!</v>
      </c>
      <c r="DM126" t="e">
        <f>AND('SPR BARRANQUILLA'!DW150,"AAAAAF7//nQ=")</f>
        <v>#VALUE!</v>
      </c>
      <c r="DN126" t="e">
        <f>AND('SPR BARRANQUILLA'!DX150,"AAAAAF7//nU=")</f>
        <v>#VALUE!</v>
      </c>
      <c r="DO126" t="e">
        <f>AND('SPR BARRANQUILLA'!DY150,"AAAAAF7//nY=")</f>
        <v>#VALUE!</v>
      </c>
      <c r="DP126" t="e">
        <f>AND('SPR BARRANQUILLA'!DZ150,"AAAAAF7//nc=")</f>
        <v>#VALUE!</v>
      </c>
      <c r="DQ126" t="e">
        <f>AND('SPR BARRANQUILLA'!EA150,"AAAAAF7//ng=")</f>
        <v>#VALUE!</v>
      </c>
      <c r="DR126" t="e">
        <f>AND('SPR BARRANQUILLA'!EB150,"AAAAAF7//nk=")</f>
        <v>#VALUE!</v>
      </c>
      <c r="DS126" t="e">
        <f>AND('SPR BARRANQUILLA'!EC150,"AAAAAF7//no=")</f>
        <v>#VALUE!</v>
      </c>
      <c r="DT126" t="e">
        <f>AND('SPR BARRANQUILLA'!ED150,"AAAAAF7//ns=")</f>
        <v>#VALUE!</v>
      </c>
      <c r="DU126" t="e">
        <f>AND('SPR BARRANQUILLA'!EE150,"AAAAAF7//nw=")</f>
        <v>#VALUE!</v>
      </c>
      <c r="DV126" t="e">
        <f>AND('SPR BARRANQUILLA'!EF150,"AAAAAF7//n0=")</f>
        <v>#VALUE!</v>
      </c>
      <c r="DW126" t="e">
        <f>AND('SPR BARRANQUILLA'!EG150,"AAAAAF7//n4=")</f>
        <v>#VALUE!</v>
      </c>
      <c r="DX126" t="e">
        <f>AND('SPR BARRANQUILLA'!EH150,"AAAAAF7//n8=")</f>
        <v>#VALUE!</v>
      </c>
      <c r="DY126" t="e">
        <f>AND('SPR BARRANQUILLA'!EI150,"AAAAAF7//oA=")</f>
        <v>#VALUE!</v>
      </c>
      <c r="DZ126" t="e">
        <f>AND('SPR BARRANQUILLA'!EJ150,"AAAAAF7//oE=")</f>
        <v>#VALUE!</v>
      </c>
      <c r="EA126" t="e">
        <f>AND('SPR BARRANQUILLA'!EK150,"AAAAAF7//oI=")</f>
        <v>#VALUE!</v>
      </c>
      <c r="EB126" t="e">
        <f>AND('SPR BARRANQUILLA'!EL150,"AAAAAF7//oM=")</f>
        <v>#VALUE!</v>
      </c>
      <c r="EC126" t="e">
        <f>AND('SPR BARRANQUILLA'!EM150,"AAAAAF7//oQ=")</f>
        <v>#VALUE!</v>
      </c>
      <c r="ED126" t="e">
        <f>AND('SPR BARRANQUILLA'!EN150,"AAAAAF7//oU=")</f>
        <v>#VALUE!</v>
      </c>
      <c r="EE126" t="e">
        <f>AND('SPR BARRANQUILLA'!EO150,"AAAAAF7//oY=")</f>
        <v>#VALUE!</v>
      </c>
      <c r="EF126" t="e">
        <f>AND('SPR BARRANQUILLA'!EP150,"AAAAAF7//oc=")</f>
        <v>#VALUE!</v>
      </c>
      <c r="EG126" t="e">
        <f>AND('SPR BARRANQUILLA'!EQ150,"AAAAAF7//og=")</f>
        <v>#VALUE!</v>
      </c>
      <c r="EH126" t="e">
        <f>AND('SPR BARRANQUILLA'!ER150,"AAAAAF7//ok=")</f>
        <v>#VALUE!</v>
      </c>
      <c r="EI126" t="e">
        <f>AND('SPR BARRANQUILLA'!ES150,"AAAAAF7//oo=")</f>
        <v>#VALUE!</v>
      </c>
      <c r="EJ126" t="e">
        <f>AND('SPR BARRANQUILLA'!ET150,"AAAAAF7//os=")</f>
        <v>#VALUE!</v>
      </c>
      <c r="EK126" t="e">
        <f>AND('SPR BARRANQUILLA'!EU150,"AAAAAF7//ow=")</f>
        <v>#VALUE!</v>
      </c>
      <c r="EL126" t="e">
        <f>AND('SPR BARRANQUILLA'!EV150,"AAAAAF7//o0=")</f>
        <v>#VALUE!</v>
      </c>
      <c r="EM126" t="e">
        <f>AND('SPR BARRANQUILLA'!EW150,"AAAAAF7//o4=")</f>
        <v>#VALUE!</v>
      </c>
      <c r="EN126" t="e">
        <f>AND('SPR BARRANQUILLA'!EX150,"AAAAAF7//o8=")</f>
        <v>#VALUE!</v>
      </c>
      <c r="EO126" t="e">
        <f>AND('SPR BARRANQUILLA'!EY150,"AAAAAF7//pA=")</f>
        <v>#VALUE!</v>
      </c>
      <c r="EP126" t="e">
        <f>AND('SPR BARRANQUILLA'!EZ150,"AAAAAF7//pE=")</f>
        <v>#VALUE!</v>
      </c>
      <c r="EQ126" t="e">
        <f>AND('SPR BARRANQUILLA'!FA150,"AAAAAF7//pI=")</f>
        <v>#VALUE!</v>
      </c>
      <c r="ER126" t="e">
        <f>AND('SPR BARRANQUILLA'!FB150,"AAAAAF7//pM=")</f>
        <v>#VALUE!</v>
      </c>
      <c r="ES126" t="e">
        <f>AND('SPR BARRANQUILLA'!FC150,"AAAAAF7//pQ=")</f>
        <v>#VALUE!</v>
      </c>
      <c r="ET126" t="e">
        <f>AND('SPR BARRANQUILLA'!FD150,"AAAAAF7//pU=")</f>
        <v>#VALUE!</v>
      </c>
      <c r="EU126" t="e">
        <f>AND('SPR BARRANQUILLA'!FE150,"AAAAAF7//pY=")</f>
        <v>#VALUE!</v>
      </c>
      <c r="EV126" t="e">
        <f>AND('SPR BARRANQUILLA'!FF150,"AAAAAF7//pc=")</f>
        <v>#VALUE!</v>
      </c>
      <c r="EW126" t="e">
        <f>AND('SPR BARRANQUILLA'!FG150,"AAAAAF7//pg=")</f>
        <v>#VALUE!</v>
      </c>
      <c r="EX126" t="e">
        <f>AND('SPR BARRANQUILLA'!FH150,"AAAAAF7//pk=")</f>
        <v>#VALUE!</v>
      </c>
      <c r="EY126" t="e">
        <f>AND('SPR BARRANQUILLA'!FI150,"AAAAAF7//po=")</f>
        <v>#VALUE!</v>
      </c>
      <c r="EZ126" t="e">
        <f>AND('SPR BARRANQUILLA'!FJ150,"AAAAAF7//ps=")</f>
        <v>#VALUE!</v>
      </c>
      <c r="FA126" t="e">
        <f>AND('SPR BARRANQUILLA'!FK150,"AAAAAF7//pw=")</f>
        <v>#VALUE!</v>
      </c>
      <c r="FB126" t="e">
        <f>AND('SPR BARRANQUILLA'!FL150,"AAAAAF7//p0=")</f>
        <v>#VALUE!</v>
      </c>
      <c r="FC126" t="e">
        <f>AND('SPR BARRANQUILLA'!FM150,"AAAAAF7//p4=")</f>
        <v>#VALUE!</v>
      </c>
      <c r="FD126" t="e">
        <f>AND('SPR BARRANQUILLA'!FN150,"AAAAAF7//p8=")</f>
        <v>#VALUE!</v>
      </c>
      <c r="FE126" t="e">
        <f>AND('SPR BARRANQUILLA'!FO150,"AAAAAF7//qA=")</f>
        <v>#VALUE!</v>
      </c>
      <c r="FF126" t="e">
        <f>AND('SPR BARRANQUILLA'!FP150,"AAAAAF7//qE=")</f>
        <v>#VALUE!</v>
      </c>
      <c r="FG126" t="e">
        <f>AND('SPR BARRANQUILLA'!FQ150,"AAAAAF7//qI=")</f>
        <v>#VALUE!</v>
      </c>
      <c r="FH126" t="e">
        <f>AND('SPR BARRANQUILLA'!FR150,"AAAAAF7//qM=")</f>
        <v>#VALUE!</v>
      </c>
      <c r="FI126" t="e">
        <f>AND('SPR BARRANQUILLA'!FS150,"AAAAAF7//qQ=")</f>
        <v>#VALUE!</v>
      </c>
      <c r="FJ126" t="e">
        <f>AND('SPR BARRANQUILLA'!FT150,"AAAAAF7//qU=")</f>
        <v>#VALUE!</v>
      </c>
      <c r="FK126" t="e">
        <f>AND('SPR BARRANQUILLA'!FU150,"AAAAAF7//qY=")</f>
        <v>#VALUE!</v>
      </c>
      <c r="FL126" t="e">
        <f>AND('SPR BARRANQUILLA'!FV150,"AAAAAF7//qc=")</f>
        <v>#VALUE!</v>
      </c>
      <c r="FM126" t="e">
        <f>AND('SPR BARRANQUILLA'!FW150,"AAAAAF7//qg=")</f>
        <v>#VALUE!</v>
      </c>
      <c r="FN126" t="e">
        <f>AND('SPR BARRANQUILLA'!FX150,"AAAAAF7//qk=")</f>
        <v>#VALUE!</v>
      </c>
      <c r="FO126" t="e">
        <f>AND('SPR BARRANQUILLA'!FY150,"AAAAAF7//qo=")</f>
        <v>#VALUE!</v>
      </c>
      <c r="FP126" t="e">
        <f>AND('SPR BARRANQUILLA'!FZ150,"AAAAAF7//qs=")</f>
        <v>#VALUE!</v>
      </c>
      <c r="FQ126" t="e">
        <f>AND('SPR BARRANQUILLA'!GA150,"AAAAAF7//qw=")</f>
        <v>#VALUE!</v>
      </c>
      <c r="FR126" t="e">
        <f>AND('SPR BARRANQUILLA'!GB150,"AAAAAF7//q0=")</f>
        <v>#VALUE!</v>
      </c>
      <c r="FS126" t="e">
        <f>AND('SPR BARRANQUILLA'!GC150,"AAAAAF7//q4=")</f>
        <v>#VALUE!</v>
      </c>
      <c r="FT126" t="e">
        <f>AND('SPR BARRANQUILLA'!GD150,"AAAAAF7//q8=")</f>
        <v>#VALUE!</v>
      </c>
      <c r="FU126" t="e">
        <f>AND('SPR BARRANQUILLA'!GE150,"AAAAAF7//rA=")</f>
        <v>#VALUE!</v>
      </c>
      <c r="FV126" t="e">
        <f>AND('SPR BARRANQUILLA'!GF150,"AAAAAF7//rE=")</f>
        <v>#VALUE!</v>
      </c>
      <c r="FW126" t="e">
        <f>AND('SPR BARRANQUILLA'!GG150,"AAAAAF7//rI=")</f>
        <v>#VALUE!</v>
      </c>
      <c r="FX126" t="e">
        <f>AND('SPR BARRANQUILLA'!GH150,"AAAAAF7//rM=")</f>
        <v>#VALUE!</v>
      </c>
      <c r="FY126" t="e">
        <f>AND('SPR BARRANQUILLA'!GI150,"AAAAAF7//rQ=")</f>
        <v>#VALUE!</v>
      </c>
      <c r="FZ126" t="e">
        <f>AND('SPR BARRANQUILLA'!GJ150,"AAAAAF7//rU=")</f>
        <v>#VALUE!</v>
      </c>
      <c r="GA126" t="e">
        <f>AND('SPR BARRANQUILLA'!GK150,"AAAAAF7//rY=")</f>
        <v>#VALUE!</v>
      </c>
      <c r="GB126" t="e">
        <f>AND('SPR BARRANQUILLA'!GL150,"AAAAAF7//rc=")</f>
        <v>#VALUE!</v>
      </c>
      <c r="GC126" t="e">
        <f>AND('SPR BARRANQUILLA'!GM150,"AAAAAF7//rg=")</f>
        <v>#VALUE!</v>
      </c>
      <c r="GD126" t="e">
        <f>AND('SPR BARRANQUILLA'!GN150,"AAAAAF7//rk=")</f>
        <v>#VALUE!</v>
      </c>
      <c r="GE126" t="e">
        <f>AND('SPR BARRANQUILLA'!GO150,"AAAAAF7//ro=")</f>
        <v>#VALUE!</v>
      </c>
      <c r="GF126" t="e">
        <f>AND('SPR BARRANQUILLA'!GP150,"AAAAAF7//rs=")</f>
        <v>#VALUE!</v>
      </c>
      <c r="GG126" t="e">
        <f>AND('SPR BARRANQUILLA'!GQ150,"AAAAAF7//rw=")</f>
        <v>#VALUE!</v>
      </c>
      <c r="GH126" t="e">
        <f>AND('SPR BARRANQUILLA'!GR150,"AAAAAF7//r0=")</f>
        <v>#VALUE!</v>
      </c>
      <c r="GI126" t="e">
        <f>AND('SPR BARRANQUILLA'!GS150,"AAAAAF7//r4=")</f>
        <v>#VALUE!</v>
      </c>
      <c r="GJ126" t="e">
        <f>AND('SPR BARRANQUILLA'!GT150,"AAAAAF7//r8=")</f>
        <v>#VALUE!</v>
      </c>
      <c r="GK126" t="e">
        <f>AND('SPR BARRANQUILLA'!GU150,"AAAAAF7//sA=")</f>
        <v>#VALUE!</v>
      </c>
      <c r="GL126" t="e">
        <f>AND('SPR BARRANQUILLA'!GV150,"AAAAAF7//sE=")</f>
        <v>#VALUE!</v>
      </c>
      <c r="GM126" t="e">
        <f>AND('SPR BARRANQUILLA'!GW150,"AAAAAF7//sI=")</f>
        <v>#VALUE!</v>
      </c>
      <c r="GN126" t="e">
        <f>AND('SPR BARRANQUILLA'!GX150,"AAAAAF7//sM=")</f>
        <v>#VALUE!</v>
      </c>
      <c r="GO126" t="e">
        <f>AND('SPR BARRANQUILLA'!GY150,"AAAAAF7//sQ=")</f>
        <v>#VALUE!</v>
      </c>
      <c r="GP126">
        <f>IF('SPR BARRANQUILLA'!151:151,"AAAAAF7//sU=",0)</f>
        <v>0</v>
      </c>
      <c r="GQ126" t="e">
        <f>AND('SPR BARRANQUILLA'!A151,"AAAAAF7//sY=")</f>
        <v>#VALUE!</v>
      </c>
      <c r="GR126" t="e">
        <f>AND('SPR BARRANQUILLA'!B151,"AAAAAF7//sc=")</f>
        <v>#VALUE!</v>
      </c>
      <c r="GS126" t="e">
        <f>AND('SPR BARRANQUILLA'!C151,"AAAAAF7//sg=")</f>
        <v>#VALUE!</v>
      </c>
      <c r="GT126" t="e">
        <f>AND('SPR BARRANQUILLA'!D151,"AAAAAF7//sk=")</f>
        <v>#VALUE!</v>
      </c>
      <c r="GU126" t="e">
        <f>AND('SPR BARRANQUILLA'!E151,"AAAAAF7//so=")</f>
        <v>#VALUE!</v>
      </c>
      <c r="GV126" t="e">
        <f>AND('SPR BARRANQUILLA'!F151,"AAAAAF7//ss=")</f>
        <v>#VALUE!</v>
      </c>
      <c r="GW126" t="e">
        <f>AND('SPR BARRANQUILLA'!G151,"AAAAAF7//sw=")</f>
        <v>#VALUE!</v>
      </c>
      <c r="GX126" t="e">
        <f>AND('SPR BARRANQUILLA'!H151,"AAAAAF7//s0=")</f>
        <v>#VALUE!</v>
      </c>
      <c r="GY126" t="e">
        <f>AND('SPR BARRANQUILLA'!I151,"AAAAAF7//s4=")</f>
        <v>#VALUE!</v>
      </c>
      <c r="GZ126" t="e">
        <f>AND('SPR BARRANQUILLA'!J151,"AAAAAF7//s8=")</f>
        <v>#VALUE!</v>
      </c>
      <c r="HA126" t="e">
        <f>AND('SPR BARRANQUILLA'!K151,"AAAAAF7//tA=")</f>
        <v>#VALUE!</v>
      </c>
      <c r="HB126" t="e">
        <f>AND('SPR BARRANQUILLA'!L151,"AAAAAF7//tE=")</f>
        <v>#VALUE!</v>
      </c>
      <c r="HC126" t="e">
        <f>AND('SPR BARRANQUILLA'!M151,"AAAAAF7//tI=")</f>
        <v>#VALUE!</v>
      </c>
      <c r="HD126" t="e">
        <f>AND('SPR BARRANQUILLA'!N151,"AAAAAF7//tM=")</f>
        <v>#VALUE!</v>
      </c>
      <c r="HE126" t="e">
        <f>AND('SPR BARRANQUILLA'!O151,"AAAAAF7//tQ=")</f>
        <v>#VALUE!</v>
      </c>
      <c r="HF126" t="e">
        <f>AND('SPR BARRANQUILLA'!P151,"AAAAAF7//tU=")</f>
        <v>#VALUE!</v>
      </c>
      <c r="HG126" t="e">
        <f>AND('SPR BARRANQUILLA'!Q151,"AAAAAF7//tY=")</f>
        <v>#VALUE!</v>
      </c>
      <c r="HH126" t="e">
        <f>AND('SPR BARRANQUILLA'!R151,"AAAAAF7//tc=")</f>
        <v>#VALUE!</v>
      </c>
      <c r="HI126" t="e">
        <f>AND('SPR BARRANQUILLA'!S151,"AAAAAF7//tg=")</f>
        <v>#VALUE!</v>
      </c>
      <c r="HJ126" t="e">
        <f>AND('SPR BARRANQUILLA'!T151,"AAAAAF7//tk=")</f>
        <v>#VALUE!</v>
      </c>
      <c r="HK126" t="e">
        <f>AND('SPR BARRANQUILLA'!U151,"AAAAAF7//to=")</f>
        <v>#VALUE!</v>
      </c>
      <c r="HL126" t="e">
        <f>AND('SPR BARRANQUILLA'!V151,"AAAAAF7//ts=")</f>
        <v>#VALUE!</v>
      </c>
      <c r="HM126" t="e">
        <f>AND('SPR BARRANQUILLA'!W151,"AAAAAF7//tw=")</f>
        <v>#VALUE!</v>
      </c>
      <c r="HN126" t="e">
        <f>AND('SPR BARRANQUILLA'!X151,"AAAAAF7//t0=")</f>
        <v>#VALUE!</v>
      </c>
      <c r="HO126" t="e">
        <f>AND('SPR BARRANQUILLA'!Y151,"AAAAAF7//t4=")</f>
        <v>#VALUE!</v>
      </c>
      <c r="HP126" t="e">
        <f>AND('SPR BARRANQUILLA'!Z151,"AAAAAF7//t8=")</f>
        <v>#VALUE!</v>
      </c>
      <c r="HQ126" t="e">
        <f>AND('SPR BARRANQUILLA'!AA151,"AAAAAF7//uA=")</f>
        <v>#VALUE!</v>
      </c>
      <c r="HR126" t="e">
        <f>AND('SPR BARRANQUILLA'!AB151,"AAAAAF7//uE=")</f>
        <v>#VALUE!</v>
      </c>
      <c r="HS126" t="e">
        <f>AND('SPR BARRANQUILLA'!AC151,"AAAAAF7//uI=")</f>
        <v>#VALUE!</v>
      </c>
      <c r="HT126" t="e">
        <f>AND('SPR BARRANQUILLA'!AD151,"AAAAAF7//uM=")</f>
        <v>#VALUE!</v>
      </c>
      <c r="HU126" t="e">
        <f>AND('SPR BARRANQUILLA'!AE151,"AAAAAF7//uQ=")</f>
        <v>#VALUE!</v>
      </c>
      <c r="HV126" t="e">
        <f>AND('SPR BARRANQUILLA'!AF151,"AAAAAF7//uU=")</f>
        <v>#VALUE!</v>
      </c>
      <c r="HW126" t="e">
        <f>AND('SPR BARRANQUILLA'!AG151,"AAAAAF7//uY=")</f>
        <v>#VALUE!</v>
      </c>
      <c r="HX126" t="e">
        <f>AND('SPR BARRANQUILLA'!AH151,"AAAAAF7//uc=")</f>
        <v>#VALUE!</v>
      </c>
      <c r="HY126" t="e">
        <f>AND('SPR BARRANQUILLA'!AI151,"AAAAAF7//ug=")</f>
        <v>#VALUE!</v>
      </c>
      <c r="HZ126" t="e">
        <f>AND('SPR BARRANQUILLA'!AJ151,"AAAAAF7//uk=")</f>
        <v>#VALUE!</v>
      </c>
      <c r="IA126" t="e">
        <f>AND('SPR BARRANQUILLA'!AK151,"AAAAAF7//uo=")</f>
        <v>#VALUE!</v>
      </c>
      <c r="IB126" t="e">
        <f>AND('SPR BARRANQUILLA'!AL151,"AAAAAF7//us=")</f>
        <v>#VALUE!</v>
      </c>
      <c r="IC126" t="e">
        <f>AND('SPR BARRANQUILLA'!AM151,"AAAAAF7//uw=")</f>
        <v>#VALUE!</v>
      </c>
      <c r="ID126" t="e">
        <f>AND('SPR BARRANQUILLA'!AN151,"AAAAAF7//u0=")</f>
        <v>#VALUE!</v>
      </c>
      <c r="IE126" t="e">
        <f>AND('SPR BARRANQUILLA'!AO151,"AAAAAF7//u4=")</f>
        <v>#VALUE!</v>
      </c>
      <c r="IF126" t="e">
        <f>AND('SPR BARRANQUILLA'!AP151,"AAAAAF7//u8=")</f>
        <v>#VALUE!</v>
      </c>
      <c r="IG126" t="e">
        <f>AND('SPR BARRANQUILLA'!AQ151,"AAAAAF7//vA=")</f>
        <v>#VALUE!</v>
      </c>
      <c r="IH126" t="e">
        <f>AND('SPR BARRANQUILLA'!AR151,"AAAAAF7//vE=")</f>
        <v>#VALUE!</v>
      </c>
      <c r="II126" t="e">
        <f>AND('SPR BARRANQUILLA'!AS151,"AAAAAF7//vI=")</f>
        <v>#VALUE!</v>
      </c>
      <c r="IJ126" t="e">
        <f>AND('SPR BARRANQUILLA'!AT151,"AAAAAF7//vM=")</f>
        <v>#VALUE!</v>
      </c>
      <c r="IK126" t="e">
        <f>AND('SPR BARRANQUILLA'!AU151,"AAAAAF7//vQ=")</f>
        <v>#VALUE!</v>
      </c>
      <c r="IL126" t="e">
        <f>AND('SPR BARRANQUILLA'!AV151,"AAAAAF7//vU=")</f>
        <v>#VALUE!</v>
      </c>
      <c r="IM126" t="e">
        <f>AND('SPR BARRANQUILLA'!AW151,"AAAAAF7//vY=")</f>
        <v>#VALUE!</v>
      </c>
      <c r="IN126" t="e">
        <f>AND('SPR BARRANQUILLA'!AX151,"AAAAAF7//vc=")</f>
        <v>#VALUE!</v>
      </c>
      <c r="IO126" t="e">
        <f>AND('SPR BARRANQUILLA'!AY151,"AAAAAF7//vg=")</f>
        <v>#VALUE!</v>
      </c>
      <c r="IP126" t="e">
        <f>AND('SPR BARRANQUILLA'!AZ151,"AAAAAF7//vk=")</f>
        <v>#VALUE!</v>
      </c>
      <c r="IQ126" t="e">
        <f>AND('SPR BARRANQUILLA'!BA151,"AAAAAF7//vo=")</f>
        <v>#VALUE!</v>
      </c>
      <c r="IR126" t="e">
        <f>AND('SPR BARRANQUILLA'!BB151,"AAAAAF7//vs=")</f>
        <v>#VALUE!</v>
      </c>
      <c r="IS126" t="e">
        <f>AND('SPR BARRANQUILLA'!BC151,"AAAAAF7//vw=")</f>
        <v>#VALUE!</v>
      </c>
      <c r="IT126" t="e">
        <f>AND('SPR BARRANQUILLA'!BD151,"AAAAAF7//v0=")</f>
        <v>#VALUE!</v>
      </c>
      <c r="IU126" t="e">
        <f>AND('SPR BARRANQUILLA'!BE151,"AAAAAF7//v4=")</f>
        <v>#VALUE!</v>
      </c>
      <c r="IV126" t="e">
        <f>AND('SPR BARRANQUILLA'!BF151,"AAAAAF7//v8=")</f>
        <v>#VALUE!</v>
      </c>
    </row>
    <row r="127" spans="1:256">
      <c r="A127" t="e">
        <f>AND('SPR BARRANQUILLA'!BG151,"AAAAAH9+XgA=")</f>
        <v>#VALUE!</v>
      </c>
      <c r="B127" t="e">
        <f>AND('SPR BARRANQUILLA'!BH151,"AAAAAH9+XgE=")</f>
        <v>#VALUE!</v>
      </c>
      <c r="C127" t="e">
        <f>AND('SPR BARRANQUILLA'!BI151,"AAAAAH9+XgI=")</f>
        <v>#VALUE!</v>
      </c>
      <c r="D127" t="e">
        <f>AND('SPR BARRANQUILLA'!BJ151,"AAAAAH9+XgM=")</f>
        <v>#VALUE!</v>
      </c>
      <c r="E127" t="e">
        <f>AND('SPR BARRANQUILLA'!BK151,"AAAAAH9+XgQ=")</f>
        <v>#VALUE!</v>
      </c>
      <c r="F127" t="e">
        <f>AND('SPR BARRANQUILLA'!BL151,"AAAAAH9+XgU=")</f>
        <v>#VALUE!</v>
      </c>
      <c r="G127" t="e">
        <f>AND('SPR BARRANQUILLA'!BM151,"AAAAAH9+XgY=")</f>
        <v>#VALUE!</v>
      </c>
      <c r="H127" t="e">
        <f>AND('SPR BARRANQUILLA'!BN151,"AAAAAH9+Xgc=")</f>
        <v>#VALUE!</v>
      </c>
      <c r="I127" t="e">
        <f>AND('SPR BARRANQUILLA'!BO151,"AAAAAH9+Xgg=")</f>
        <v>#VALUE!</v>
      </c>
      <c r="J127" t="e">
        <f>AND('SPR BARRANQUILLA'!BP151,"AAAAAH9+Xgk=")</f>
        <v>#VALUE!</v>
      </c>
      <c r="K127" t="e">
        <f>AND('SPR BARRANQUILLA'!BQ151,"AAAAAH9+Xgo=")</f>
        <v>#VALUE!</v>
      </c>
      <c r="L127" t="e">
        <f>AND('SPR BARRANQUILLA'!BR151,"AAAAAH9+Xgs=")</f>
        <v>#VALUE!</v>
      </c>
      <c r="M127" t="e">
        <f>AND('SPR BARRANQUILLA'!BS151,"AAAAAH9+Xgw=")</f>
        <v>#VALUE!</v>
      </c>
      <c r="N127" t="e">
        <f>AND('SPR BARRANQUILLA'!BT151,"AAAAAH9+Xg0=")</f>
        <v>#VALUE!</v>
      </c>
      <c r="O127" t="e">
        <f>AND('SPR BARRANQUILLA'!BU151,"AAAAAH9+Xg4=")</f>
        <v>#VALUE!</v>
      </c>
      <c r="P127" t="e">
        <f>AND('SPR BARRANQUILLA'!BV151,"AAAAAH9+Xg8=")</f>
        <v>#VALUE!</v>
      </c>
      <c r="Q127" t="e">
        <f>AND('SPR BARRANQUILLA'!BW151,"AAAAAH9+XhA=")</f>
        <v>#VALUE!</v>
      </c>
      <c r="R127" t="e">
        <f>AND('SPR BARRANQUILLA'!BX151,"AAAAAH9+XhE=")</f>
        <v>#VALUE!</v>
      </c>
      <c r="S127" t="e">
        <f>AND('SPR BARRANQUILLA'!BY151,"AAAAAH9+XhI=")</f>
        <v>#VALUE!</v>
      </c>
      <c r="T127" t="e">
        <f>AND('SPR BARRANQUILLA'!BZ151,"AAAAAH9+XhM=")</f>
        <v>#VALUE!</v>
      </c>
      <c r="U127" t="e">
        <f>AND('SPR BARRANQUILLA'!CA151,"AAAAAH9+XhQ=")</f>
        <v>#VALUE!</v>
      </c>
      <c r="V127" t="e">
        <f>AND('SPR BARRANQUILLA'!CB151,"AAAAAH9+XhU=")</f>
        <v>#VALUE!</v>
      </c>
      <c r="W127" t="e">
        <f>AND('SPR BARRANQUILLA'!CC151,"AAAAAH9+XhY=")</f>
        <v>#VALUE!</v>
      </c>
      <c r="X127" t="e">
        <f>AND('SPR BARRANQUILLA'!CD151,"AAAAAH9+Xhc=")</f>
        <v>#VALUE!</v>
      </c>
      <c r="Y127" t="e">
        <f>AND('SPR BARRANQUILLA'!CE151,"AAAAAH9+Xhg=")</f>
        <v>#VALUE!</v>
      </c>
      <c r="Z127" t="e">
        <f>AND('SPR BARRANQUILLA'!CF151,"AAAAAH9+Xhk=")</f>
        <v>#VALUE!</v>
      </c>
      <c r="AA127" t="e">
        <f>AND('SPR BARRANQUILLA'!CG151,"AAAAAH9+Xho=")</f>
        <v>#VALUE!</v>
      </c>
      <c r="AB127" t="e">
        <f>AND('SPR BARRANQUILLA'!CH151,"AAAAAH9+Xhs=")</f>
        <v>#VALUE!</v>
      </c>
      <c r="AC127" t="e">
        <f>AND('SPR BARRANQUILLA'!CI151,"AAAAAH9+Xhw=")</f>
        <v>#VALUE!</v>
      </c>
      <c r="AD127" t="e">
        <f>AND('SPR BARRANQUILLA'!CJ151,"AAAAAH9+Xh0=")</f>
        <v>#VALUE!</v>
      </c>
      <c r="AE127" t="e">
        <f>AND('SPR BARRANQUILLA'!CK151,"AAAAAH9+Xh4=")</f>
        <v>#VALUE!</v>
      </c>
      <c r="AF127" t="e">
        <f>AND('SPR BARRANQUILLA'!CL151,"AAAAAH9+Xh8=")</f>
        <v>#VALUE!</v>
      </c>
      <c r="AG127" t="e">
        <f>AND('SPR BARRANQUILLA'!CM151,"AAAAAH9+XiA=")</f>
        <v>#VALUE!</v>
      </c>
      <c r="AH127" t="e">
        <f>AND('SPR BARRANQUILLA'!CN151,"AAAAAH9+XiE=")</f>
        <v>#VALUE!</v>
      </c>
      <c r="AI127" t="e">
        <f>AND('SPR BARRANQUILLA'!CO151,"AAAAAH9+XiI=")</f>
        <v>#VALUE!</v>
      </c>
      <c r="AJ127" t="e">
        <f>AND('SPR BARRANQUILLA'!CP151,"AAAAAH9+XiM=")</f>
        <v>#VALUE!</v>
      </c>
      <c r="AK127" t="e">
        <f>AND('SPR BARRANQUILLA'!CQ151,"AAAAAH9+XiQ=")</f>
        <v>#VALUE!</v>
      </c>
      <c r="AL127" t="e">
        <f>AND('SPR BARRANQUILLA'!CR151,"AAAAAH9+XiU=")</f>
        <v>#VALUE!</v>
      </c>
      <c r="AM127" t="e">
        <f>AND('SPR BARRANQUILLA'!CS151,"AAAAAH9+XiY=")</f>
        <v>#VALUE!</v>
      </c>
      <c r="AN127" t="e">
        <f>AND('SPR BARRANQUILLA'!CT151,"AAAAAH9+Xic=")</f>
        <v>#VALUE!</v>
      </c>
      <c r="AO127" t="e">
        <f>AND('SPR BARRANQUILLA'!CU151,"AAAAAH9+Xig=")</f>
        <v>#VALUE!</v>
      </c>
      <c r="AP127" t="e">
        <f>AND('SPR BARRANQUILLA'!CV151,"AAAAAH9+Xik=")</f>
        <v>#VALUE!</v>
      </c>
      <c r="AQ127" t="e">
        <f>AND('SPR BARRANQUILLA'!CW151,"AAAAAH9+Xio=")</f>
        <v>#VALUE!</v>
      </c>
      <c r="AR127" t="e">
        <f>AND('SPR BARRANQUILLA'!CX151,"AAAAAH9+Xis=")</f>
        <v>#VALUE!</v>
      </c>
      <c r="AS127" t="e">
        <f>AND('SPR BARRANQUILLA'!CY151,"AAAAAH9+Xiw=")</f>
        <v>#VALUE!</v>
      </c>
      <c r="AT127" t="e">
        <f>AND('SPR BARRANQUILLA'!CZ151,"AAAAAH9+Xi0=")</f>
        <v>#VALUE!</v>
      </c>
      <c r="AU127" t="e">
        <f>AND('SPR BARRANQUILLA'!DA151,"AAAAAH9+Xi4=")</f>
        <v>#VALUE!</v>
      </c>
      <c r="AV127" t="e">
        <f>AND('SPR BARRANQUILLA'!DB151,"AAAAAH9+Xi8=")</f>
        <v>#VALUE!</v>
      </c>
      <c r="AW127" t="e">
        <f>AND('SPR BARRANQUILLA'!DC151,"AAAAAH9+XjA=")</f>
        <v>#VALUE!</v>
      </c>
      <c r="AX127" t="e">
        <f>AND('SPR BARRANQUILLA'!DD151,"AAAAAH9+XjE=")</f>
        <v>#VALUE!</v>
      </c>
      <c r="AY127" t="e">
        <f>AND('SPR BARRANQUILLA'!DE151,"AAAAAH9+XjI=")</f>
        <v>#VALUE!</v>
      </c>
      <c r="AZ127" t="e">
        <f>AND('SPR BARRANQUILLA'!DF151,"AAAAAH9+XjM=")</f>
        <v>#VALUE!</v>
      </c>
      <c r="BA127" t="e">
        <f>AND('SPR BARRANQUILLA'!DG151,"AAAAAH9+XjQ=")</f>
        <v>#VALUE!</v>
      </c>
      <c r="BB127" t="e">
        <f>AND('SPR BARRANQUILLA'!DH151,"AAAAAH9+XjU=")</f>
        <v>#VALUE!</v>
      </c>
      <c r="BC127" t="e">
        <f>AND('SPR BARRANQUILLA'!DI151,"AAAAAH9+XjY=")</f>
        <v>#VALUE!</v>
      </c>
      <c r="BD127" t="e">
        <f>AND('SPR BARRANQUILLA'!DJ151,"AAAAAH9+Xjc=")</f>
        <v>#VALUE!</v>
      </c>
      <c r="BE127" t="e">
        <f>AND('SPR BARRANQUILLA'!DK151,"AAAAAH9+Xjg=")</f>
        <v>#VALUE!</v>
      </c>
      <c r="BF127" t="e">
        <f>AND('SPR BARRANQUILLA'!DL151,"AAAAAH9+Xjk=")</f>
        <v>#VALUE!</v>
      </c>
      <c r="BG127" t="e">
        <f>AND('SPR BARRANQUILLA'!DM151,"AAAAAH9+Xjo=")</f>
        <v>#VALUE!</v>
      </c>
      <c r="BH127" t="e">
        <f>AND('SPR BARRANQUILLA'!DN151,"AAAAAH9+Xjs=")</f>
        <v>#VALUE!</v>
      </c>
      <c r="BI127" t="e">
        <f>AND('SPR BARRANQUILLA'!DO151,"AAAAAH9+Xjw=")</f>
        <v>#VALUE!</v>
      </c>
      <c r="BJ127" t="e">
        <f>AND('SPR BARRANQUILLA'!DP151,"AAAAAH9+Xj0=")</f>
        <v>#VALUE!</v>
      </c>
      <c r="BK127" t="e">
        <f>AND('SPR BARRANQUILLA'!DQ151,"AAAAAH9+Xj4=")</f>
        <v>#VALUE!</v>
      </c>
      <c r="BL127" t="e">
        <f>AND('SPR BARRANQUILLA'!DR151,"AAAAAH9+Xj8=")</f>
        <v>#VALUE!</v>
      </c>
      <c r="BM127" t="e">
        <f>AND('SPR BARRANQUILLA'!DS151,"AAAAAH9+XkA=")</f>
        <v>#VALUE!</v>
      </c>
      <c r="BN127" t="e">
        <f>AND('SPR BARRANQUILLA'!DT151,"AAAAAH9+XkE=")</f>
        <v>#VALUE!</v>
      </c>
      <c r="BO127" t="e">
        <f>AND('SPR BARRANQUILLA'!DU151,"AAAAAH9+XkI=")</f>
        <v>#VALUE!</v>
      </c>
      <c r="BP127" t="e">
        <f>AND('SPR BARRANQUILLA'!DV151,"AAAAAH9+XkM=")</f>
        <v>#VALUE!</v>
      </c>
      <c r="BQ127" t="e">
        <f>AND('SPR BARRANQUILLA'!DW151,"AAAAAH9+XkQ=")</f>
        <v>#VALUE!</v>
      </c>
      <c r="BR127" t="e">
        <f>AND('SPR BARRANQUILLA'!DX151,"AAAAAH9+XkU=")</f>
        <v>#VALUE!</v>
      </c>
      <c r="BS127" t="e">
        <f>AND('SPR BARRANQUILLA'!DY151,"AAAAAH9+XkY=")</f>
        <v>#VALUE!</v>
      </c>
      <c r="BT127" t="e">
        <f>AND('SPR BARRANQUILLA'!DZ151,"AAAAAH9+Xkc=")</f>
        <v>#VALUE!</v>
      </c>
      <c r="BU127" t="e">
        <f>AND('SPR BARRANQUILLA'!EA151,"AAAAAH9+Xkg=")</f>
        <v>#VALUE!</v>
      </c>
      <c r="BV127" t="e">
        <f>AND('SPR BARRANQUILLA'!EB151,"AAAAAH9+Xkk=")</f>
        <v>#VALUE!</v>
      </c>
      <c r="BW127" t="e">
        <f>AND('SPR BARRANQUILLA'!EC151,"AAAAAH9+Xko=")</f>
        <v>#VALUE!</v>
      </c>
      <c r="BX127" t="e">
        <f>AND('SPR BARRANQUILLA'!ED151,"AAAAAH9+Xks=")</f>
        <v>#VALUE!</v>
      </c>
      <c r="BY127" t="e">
        <f>AND('SPR BARRANQUILLA'!EE151,"AAAAAH9+Xkw=")</f>
        <v>#VALUE!</v>
      </c>
      <c r="BZ127" t="e">
        <f>AND('SPR BARRANQUILLA'!EF151,"AAAAAH9+Xk0=")</f>
        <v>#VALUE!</v>
      </c>
      <c r="CA127" t="e">
        <f>AND('SPR BARRANQUILLA'!EG151,"AAAAAH9+Xk4=")</f>
        <v>#VALUE!</v>
      </c>
      <c r="CB127" t="e">
        <f>AND('SPR BARRANQUILLA'!EH151,"AAAAAH9+Xk8=")</f>
        <v>#VALUE!</v>
      </c>
      <c r="CC127" t="e">
        <f>AND('SPR BARRANQUILLA'!EI151,"AAAAAH9+XlA=")</f>
        <v>#VALUE!</v>
      </c>
      <c r="CD127" t="e">
        <f>AND('SPR BARRANQUILLA'!EJ151,"AAAAAH9+XlE=")</f>
        <v>#VALUE!</v>
      </c>
      <c r="CE127" t="e">
        <f>AND('SPR BARRANQUILLA'!EK151,"AAAAAH9+XlI=")</f>
        <v>#VALUE!</v>
      </c>
      <c r="CF127" t="e">
        <f>AND('SPR BARRANQUILLA'!EL151,"AAAAAH9+XlM=")</f>
        <v>#VALUE!</v>
      </c>
      <c r="CG127" t="e">
        <f>AND('SPR BARRANQUILLA'!EM151,"AAAAAH9+XlQ=")</f>
        <v>#VALUE!</v>
      </c>
      <c r="CH127" t="e">
        <f>AND('SPR BARRANQUILLA'!EN151,"AAAAAH9+XlU=")</f>
        <v>#VALUE!</v>
      </c>
      <c r="CI127" t="e">
        <f>AND('SPR BARRANQUILLA'!EO151,"AAAAAH9+XlY=")</f>
        <v>#VALUE!</v>
      </c>
      <c r="CJ127" t="e">
        <f>AND('SPR BARRANQUILLA'!EP151,"AAAAAH9+Xlc=")</f>
        <v>#VALUE!</v>
      </c>
      <c r="CK127" t="e">
        <f>AND('SPR BARRANQUILLA'!EQ151,"AAAAAH9+Xlg=")</f>
        <v>#VALUE!</v>
      </c>
      <c r="CL127" t="e">
        <f>AND('SPR BARRANQUILLA'!ER151,"AAAAAH9+Xlk=")</f>
        <v>#VALUE!</v>
      </c>
      <c r="CM127" t="e">
        <f>AND('SPR BARRANQUILLA'!ES151,"AAAAAH9+Xlo=")</f>
        <v>#VALUE!</v>
      </c>
      <c r="CN127" t="e">
        <f>AND('SPR BARRANQUILLA'!ET151,"AAAAAH9+Xls=")</f>
        <v>#VALUE!</v>
      </c>
      <c r="CO127" t="e">
        <f>AND('SPR BARRANQUILLA'!EU151,"AAAAAH9+Xlw=")</f>
        <v>#VALUE!</v>
      </c>
      <c r="CP127" t="e">
        <f>AND('SPR BARRANQUILLA'!EV151,"AAAAAH9+Xl0=")</f>
        <v>#VALUE!</v>
      </c>
      <c r="CQ127" t="e">
        <f>AND('SPR BARRANQUILLA'!EW151,"AAAAAH9+Xl4=")</f>
        <v>#VALUE!</v>
      </c>
      <c r="CR127" t="e">
        <f>AND('SPR BARRANQUILLA'!EX151,"AAAAAH9+Xl8=")</f>
        <v>#VALUE!</v>
      </c>
      <c r="CS127" t="e">
        <f>AND('SPR BARRANQUILLA'!EY151,"AAAAAH9+XmA=")</f>
        <v>#VALUE!</v>
      </c>
      <c r="CT127" t="e">
        <f>AND('SPR BARRANQUILLA'!EZ151,"AAAAAH9+XmE=")</f>
        <v>#VALUE!</v>
      </c>
      <c r="CU127" t="e">
        <f>AND('SPR BARRANQUILLA'!FA151,"AAAAAH9+XmI=")</f>
        <v>#VALUE!</v>
      </c>
      <c r="CV127" t="e">
        <f>AND('SPR BARRANQUILLA'!FB151,"AAAAAH9+XmM=")</f>
        <v>#VALUE!</v>
      </c>
      <c r="CW127" t="e">
        <f>AND('SPR BARRANQUILLA'!FC151,"AAAAAH9+XmQ=")</f>
        <v>#VALUE!</v>
      </c>
      <c r="CX127" t="e">
        <f>AND('SPR BARRANQUILLA'!FD151,"AAAAAH9+XmU=")</f>
        <v>#VALUE!</v>
      </c>
      <c r="CY127" t="e">
        <f>AND('SPR BARRANQUILLA'!FE151,"AAAAAH9+XmY=")</f>
        <v>#VALUE!</v>
      </c>
      <c r="CZ127" t="e">
        <f>AND('SPR BARRANQUILLA'!FF151,"AAAAAH9+Xmc=")</f>
        <v>#VALUE!</v>
      </c>
      <c r="DA127" t="e">
        <f>AND('SPR BARRANQUILLA'!FG151,"AAAAAH9+Xmg=")</f>
        <v>#VALUE!</v>
      </c>
      <c r="DB127" t="e">
        <f>AND('SPR BARRANQUILLA'!FH151,"AAAAAH9+Xmk=")</f>
        <v>#VALUE!</v>
      </c>
      <c r="DC127" t="e">
        <f>AND('SPR BARRANQUILLA'!FI151,"AAAAAH9+Xmo=")</f>
        <v>#VALUE!</v>
      </c>
      <c r="DD127" t="e">
        <f>AND('SPR BARRANQUILLA'!FJ151,"AAAAAH9+Xms=")</f>
        <v>#VALUE!</v>
      </c>
      <c r="DE127" t="e">
        <f>AND('SPR BARRANQUILLA'!FK151,"AAAAAH9+Xmw=")</f>
        <v>#VALUE!</v>
      </c>
      <c r="DF127" t="e">
        <f>AND('SPR BARRANQUILLA'!FL151,"AAAAAH9+Xm0=")</f>
        <v>#VALUE!</v>
      </c>
      <c r="DG127" t="e">
        <f>AND('SPR BARRANQUILLA'!FM151,"AAAAAH9+Xm4=")</f>
        <v>#VALUE!</v>
      </c>
      <c r="DH127" t="e">
        <f>AND('SPR BARRANQUILLA'!FN151,"AAAAAH9+Xm8=")</f>
        <v>#VALUE!</v>
      </c>
      <c r="DI127" t="e">
        <f>AND('SPR BARRANQUILLA'!FO151,"AAAAAH9+XnA=")</f>
        <v>#VALUE!</v>
      </c>
      <c r="DJ127" t="e">
        <f>AND('SPR BARRANQUILLA'!FP151,"AAAAAH9+XnE=")</f>
        <v>#VALUE!</v>
      </c>
      <c r="DK127" t="e">
        <f>AND('SPR BARRANQUILLA'!FQ151,"AAAAAH9+XnI=")</f>
        <v>#VALUE!</v>
      </c>
      <c r="DL127" t="e">
        <f>AND('SPR BARRANQUILLA'!FR151,"AAAAAH9+XnM=")</f>
        <v>#VALUE!</v>
      </c>
      <c r="DM127" t="e">
        <f>AND('SPR BARRANQUILLA'!FS151,"AAAAAH9+XnQ=")</f>
        <v>#VALUE!</v>
      </c>
      <c r="DN127" t="e">
        <f>AND('SPR BARRANQUILLA'!FT151,"AAAAAH9+XnU=")</f>
        <v>#VALUE!</v>
      </c>
      <c r="DO127" t="e">
        <f>AND('SPR BARRANQUILLA'!FU151,"AAAAAH9+XnY=")</f>
        <v>#VALUE!</v>
      </c>
      <c r="DP127" t="e">
        <f>AND('SPR BARRANQUILLA'!FV151,"AAAAAH9+Xnc=")</f>
        <v>#VALUE!</v>
      </c>
      <c r="DQ127" t="e">
        <f>AND('SPR BARRANQUILLA'!FW151,"AAAAAH9+Xng=")</f>
        <v>#VALUE!</v>
      </c>
      <c r="DR127" t="e">
        <f>AND('SPR BARRANQUILLA'!FX151,"AAAAAH9+Xnk=")</f>
        <v>#VALUE!</v>
      </c>
      <c r="DS127" t="e">
        <f>AND('SPR BARRANQUILLA'!FY151,"AAAAAH9+Xno=")</f>
        <v>#VALUE!</v>
      </c>
      <c r="DT127" t="e">
        <f>AND('SPR BARRANQUILLA'!FZ151,"AAAAAH9+Xns=")</f>
        <v>#VALUE!</v>
      </c>
      <c r="DU127" t="e">
        <f>AND('SPR BARRANQUILLA'!GA151,"AAAAAH9+Xnw=")</f>
        <v>#VALUE!</v>
      </c>
      <c r="DV127" t="e">
        <f>AND('SPR BARRANQUILLA'!GB151,"AAAAAH9+Xn0=")</f>
        <v>#VALUE!</v>
      </c>
      <c r="DW127" t="e">
        <f>AND('SPR BARRANQUILLA'!GC151,"AAAAAH9+Xn4=")</f>
        <v>#VALUE!</v>
      </c>
      <c r="DX127" t="e">
        <f>AND('SPR BARRANQUILLA'!GD151,"AAAAAH9+Xn8=")</f>
        <v>#VALUE!</v>
      </c>
      <c r="DY127" t="e">
        <f>AND('SPR BARRANQUILLA'!GE151,"AAAAAH9+XoA=")</f>
        <v>#VALUE!</v>
      </c>
      <c r="DZ127" t="e">
        <f>AND('SPR BARRANQUILLA'!GF151,"AAAAAH9+XoE=")</f>
        <v>#VALUE!</v>
      </c>
      <c r="EA127" t="e">
        <f>AND('SPR BARRANQUILLA'!GG151,"AAAAAH9+XoI=")</f>
        <v>#VALUE!</v>
      </c>
      <c r="EB127" t="e">
        <f>AND('SPR BARRANQUILLA'!GH151,"AAAAAH9+XoM=")</f>
        <v>#VALUE!</v>
      </c>
      <c r="EC127" t="e">
        <f>AND('SPR BARRANQUILLA'!GI151,"AAAAAH9+XoQ=")</f>
        <v>#VALUE!</v>
      </c>
      <c r="ED127" t="e">
        <f>AND('SPR BARRANQUILLA'!GJ151,"AAAAAH9+XoU=")</f>
        <v>#VALUE!</v>
      </c>
      <c r="EE127" t="e">
        <f>AND('SPR BARRANQUILLA'!GK151,"AAAAAH9+XoY=")</f>
        <v>#VALUE!</v>
      </c>
      <c r="EF127" t="e">
        <f>AND('SPR BARRANQUILLA'!GL151,"AAAAAH9+Xoc=")</f>
        <v>#VALUE!</v>
      </c>
      <c r="EG127" t="e">
        <f>AND('SPR BARRANQUILLA'!GM151,"AAAAAH9+Xog=")</f>
        <v>#VALUE!</v>
      </c>
      <c r="EH127" t="e">
        <f>AND('SPR BARRANQUILLA'!GN151,"AAAAAH9+Xok=")</f>
        <v>#VALUE!</v>
      </c>
      <c r="EI127" t="e">
        <f>AND('SPR BARRANQUILLA'!GO151,"AAAAAH9+Xoo=")</f>
        <v>#VALUE!</v>
      </c>
      <c r="EJ127" t="e">
        <f>AND('SPR BARRANQUILLA'!GP151,"AAAAAH9+Xos=")</f>
        <v>#VALUE!</v>
      </c>
      <c r="EK127" t="e">
        <f>AND('SPR BARRANQUILLA'!GQ151,"AAAAAH9+Xow=")</f>
        <v>#VALUE!</v>
      </c>
      <c r="EL127" t="e">
        <f>AND('SPR BARRANQUILLA'!GR151,"AAAAAH9+Xo0=")</f>
        <v>#VALUE!</v>
      </c>
      <c r="EM127" t="e">
        <f>AND('SPR BARRANQUILLA'!GS151,"AAAAAH9+Xo4=")</f>
        <v>#VALUE!</v>
      </c>
      <c r="EN127" t="e">
        <f>AND('SPR BARRANQUILLA'!GT151,"AAAAAH9+Xo8=")</f>
        <v>#VALUE!</v>
      </c>
      <c r="EO127" t="e">
        <f>AND('SPR BARRANQUILLA'!GU151,"AAAAAH9+XpA=")</f>
        <v>#VALUE!</v>
      </c>
      <c r="EP127" t="e">
        <f>AND('SPR BARRANQUILLA'!GV151,"AAAAAH9+XpE=")</f>
        <v>#VALUE!</v>
      </c>
      <c r="EQ127" t="e">
        <f>AND('SPR BARRANQUILLA'!GW151,"AAAAAH9+XpI=")</f>
        <v>#VALUE!</v>
      </c>
      <c r="ER127" t="e">
        <f>AND('SPR BARRANQUILLA'!GX151,"AAAAAH9+XpM=")</f>
        <v>#VALUE!</v>
      </c>
      <c r="ES127" t="e">
        <f>AND('SPR BARRANQUILLA'!GY151,"AAAAAH9+XpQ=")</f>
        <v>#VALUE!</v>
      </c>
      <c r="ET127">
        <f>IF('SPR BARRANQUILLA'!152:152,"AAAAAH9+XpU=",0)</f>
        <v>0</v>
      </c>
      <c r="EU127" t="e">
        <f>AND('SPR BARRANQUILLA'!A152,"AAAAAH9+XpY=")</f>
        <v>#VALUE!</v>
      </c>
      <c r="EV127" t="e">
        <f>AND('SPR BARRANQUILLA'!B152,"AAAAAH9+Xpc=")</f>
        <v>#VALUE!</v>
      </c>
      <c r="EW127" t="e">
        <f>AND('SPR BARRANQUILLA'!C152,"AAAAAH9+Xpg=")</f>
        <v>#VALUE!</v>
      </c>
      <c r="EX127" t="e">
        <f>AND('SPR BARRANQUILLA'!D152,"AAAAAH9+Xpk=")</f>
        <v>#VALUE!</v>
      </c>
      <c r="EY127" t="e">
        <f>AND('SPR BARRANQUILLA'!E152,"AAAAAH9+Xpo=")</f>
        <v>#VALUE!</v>
      </c>
      <c r="EZ127" t="e">
        <f>AND('SPR BARRANQUILLA'!F152,"AAAAAH9+Xps=")</f>
        <v>#VALUE!</v>
      </c>
      <c r="FA127" t="e">
        <f>AND('SPR BARRANQUILLA'!G152,"AAAAAH9+Xpw=")</f>
        <v>#VALUE!</v>
      </c>
      <c r="FB127" t="e">
        <f>AND('SPR BARRANQUILLA'!H152,"AAAAAH9+Xp0=")</f>
        <v>#VALUE!</v>
      </c>
      <c r="FC127" t="e">
        <f>AND('SPR BARRANQUILLA'!I152,"AAAAAH9+Xp4=")</f>
        <v>#VALUE!</v>
      </c>
      <c r="FD127" t="e">
        <f>AND('SPR BARRANQUILLA'!J152,"AAAAAH9+Xp8=")</f>
        <v>#VALUE!</v>
      </c>
      <c r="FE127" t="e">
        <f>AND('SPR BARRANQUILLA'!K152,"AAAAAH9+XqA=")</f>
        <v>#VALUE!</v>
      </c>
      <c r="FF127" t="e">
        <f>AND('SPR BARRANQUILLA'!L152,"AAAAAH9+XqE=")</f>
        <v>#VALUE!</v>
      </c>
      <c r="FG127" t="e">
        <f>AND('SPR BARRANQUILLA'!M152,"AAAAAH9+XqI=")</f>
        <v>#VALUE!</v>
      </c>
      <c r="FH127" t="e">
        <f>AND('SPR BARRANQUILLA'!N152,"AAAAAH9+XqM=")</f>
        <v>#VALUE!</v>
      </c>
      <c r="FI127" t="e">
        <f>AND('SPR BARRANQUILLA'!O152,"AAAAAH9+XqQ=")</f>
        <v>#VALUE!</v>
      </c>
      <c r="FJ127" t="e">
        <f>AND('SPR BARRANQUILLA'!P152,"AAAAAH9+XqU=")</f>
        <v>#VALUE!</v>
      </c>
      <c r="FK127" t="e">
        <f>AND('SPR BARRANQUILLA'!Q152,"AAAAAH9+XqY=")</f>
        <v>#VALUE!</v>
      </c>
      <c r="FL127" t="e">
        <f>AND('SPR BARRANQUILLA'!R152,"AAAAAH9+Xqc=")</f>
        <v>#VALUE!</v>
      </c>
      <c r="FM127" t="e">
        <f>AND('SPR BARRANQUILLA'!S152,"AAAAAH9+Xqg=")</f>
        <v>#VALUE!</v>
      </c>
      <c r="FN127" t="e">
        <f>AND('SPR BARRANQUILLA'!T152,"AAAAAH9+Xqk=")</f>
        <v>#VALUE!</v>
      </c>
      <c r="FO127" t="e">
        <f>AND('SPR BARRANQUILLA'!U152,"AAAAAH9+Xqo=")</f>
        <v>#VALUE!</v>
      </c>
      <c r="FP127" t="e">
        <f>AND('SPR BARRANQUILLA'!V152,"AAAAAH9+Xqs=")</f>
        <v>#VALUE!</v>
      </c>
      <c r="FQ127" t="e">
        <f>AND('SPR BARRANQUILLA'!W152,"AAAAAH9+Xqw=")</f>
        <v>#VALUE!</v>
      </c>
      <c r="FR127" t="e">
        <f>AND('SPR BARRANQUILLA'!X152,"AAAAAH9+Xq0=")</f>
        <v>#VALUE!</v>
      </c>
      <c r="FS127" t="e">
        <f>AND('SPR BARRANQUILLA'!Y152,"AAAAAH9+Xq4=")</f>
        <v>#VALUE!</v>
      </c>
      <c r="FT127" t="e">
        <f>AND('SPR BARRANQUILLA'!Z152,"AAAAAH9+Xq8=")</f>
        <v>#VALUE!</v>
      </c>
      <c r="FU127" t="e">
        <f>AND('SPR BARRANQUILLA'!AA152,"AAAAAH9+XrA=")</f>
        <v>#VALUE!</v>
      </c>
      <c r="FV127" t="e">
        <f>AND('SPR BARRANQUILLA'!AB152,"AAAAAH9+XrE=")</f>
        <v>#VALUE!</v>
      </c>
      <c r="FW127" t="e">
        <f>AND('SPR BARRANQUILLA'!AC152,"AAAAAH9+XrI=")</f>
        <v>#VALUE!</v>
      </c>
      <c r="FX127" t="e">
        <f>AND('SPR BARRANQUILLA'!AD152,"AAAAAH9+XrM=")</f>
        <v>#VALUE!</v>
      </c>
      <c r="FY127" t="e">
        <f>AND('SPR BARRANQUILLA'!AE152,"AAAAAH9+XrQ=")</f>
        <v>#VALUE!</v>
      </c>
      <c r="FZ127" t="e">
        <f>AND('SPR BARRANQUILLA'!AF152,"AAAAAH9+XrU=")</f>
        <v>#VALUE!</v>
      </c>
      <c r="GA127" t="e">
        <f>AND('SPR BARRANQUILLA'!AG152,"AAAAAH9+XrY=")</f>
        <v>#VALUE!</v>
      </c>
      <c r="GB127" t="e">
        <f>AND('SPR BARRANQUILLA'!AH152,"AAAAAH9+Xrc=")</f>
        <v>#VALUE!</v>
      </c>
      <c r="GC127" t="e">
        <f>AND('SPR BARRANQUILLA'!AI152,"AAAAAH9+Xrg=")</f>
        <v>#VALUE!</v>
      </c>
      <c r="GD127" t="e">
        <f>AND('SPR BARRANQUILLA'!AJ152,"AAAAAH9+Xrk=")</f>
        <v>#VALUE!</v>
      </c>
      <c r="GE127" t="e">
        <f>AND('SPR BARRANQUILLA'!AK152,"AAAAAH9+Xro=")</f>
        <v>#VALUE!</v>
      </c>
      <c r="GF127" t="e">
        <f>AND('SPR BARRANQUILLA'!AL152,"AAAAAH9+Xrs=")</f>
        <v>#VALUE!</v>
      </c>
      <c r="GG127" t="e">
        <f>AND('SPR BARRANQUILLA'!AM152,"AAAAAH9+Xrw=")</f>
        <v>#VALUE!</v>
      </c>
      <c r="GH127" t="e">
        <f>AND('SPR BARRANQUILLA'!AN152,"AAAAAH9+Xr0=")</f>
        <v>#VALUE!</v>
      </c>
      <c r="GI127" t="e">
        <f>AND('SPR BARRANQUILLA'!AO152,"AAAAAH9+Xr4=")</f>
        <v>#VALUE!</v>
      </c>
      <c r="GJ127" t="e">
        <f>AND('SPR BARRANQUILLA'!AP152,"AAAAAH9+Xr8=")</f>
        <v>#VALUE!</v>
      </c>
      <c r="GK127" t="e">
        <f>AND('SPR BARRANQUILLA'!AQ152,"AAAAAH9+XsA=")</f>
        <v>#VALUE!</v>
      </c>
      <c r="GL127" t="e">
        <f>AND('SPR BARRANQUILLA'!AR152,"AAAAAH9+XsE=")</f>
        <v>#VALUE!</v>
      </c>
      <c r="GM127" t="e">
        <f>AND('SPR BARRANQUILLA'!AS152,"AAAAAH9+XsI=")</f>
        <v>#VALUE!</v>
      </c>
      <c r="GN127" t="e">
        <f>AND('SPR BARRANQUILLA'!AT152,"AAAAAH9+XsM=")</f>
        <v>#VALUE!</v>
      </c>
      <c r="GO127" t="e">
        <f>AND('SPR BARRANQUILLA'!AU152,"AAAAAH9+XsQ=")</f>
        <v>#VALUE!</v>
      </c>
      <c r="GP127" t="e">
        <f>AND('SPR BARRANQUILLA'!AV152,"AAAAAH9+XsU=")</f>
        <v>#VALUE!</v>
      </c>
      <c r="GQ127" t="e">
        <f>AND('SPR BARRANQUILLA'!AW152,"AAAAAH9+XsY=")</f>
        <v>#VALUE!</v>
      </c>
      <c r="GR127" t="e">
        <f>AND('SPR BARRANQUILLA'!AX152,"AAAAAH9+Xsc=")</f>
        <v>#VALUE!</v>
      </c>
      <c r="GS127" t="e">
        <f>AND('SPR BARRANQUILLA'!AY152,"AAAAAH9+Xsg=")</f>
        <v>#VALUE!</v>
      </c>
      <c r="GT127" t="e">
        <f>AND('SPR BARRANQUILLA'!AZ152,"AAAAAH9+Xsk=")</f>
        <v>#VALUE!</v>
      </c>
      <c r="GU127" t="e">
        <f>AND('SPR BARRANQUILLA'!BA152,"AAAAAH9+Xso=")</f>
        <v>#VALUE!</v>
      </c>
      <c r="GV127" t="e">
        <f>AND('SPR BARRANQUILLA'!BB152,"AAAAAH9+Xss=")</f>
        <v>#VALUE!</v>
      </c>
      <c r="GW127" t="e">
        <f>AND('SPR BARRANQUILLA'!BC152,"AAAAAH9+Xsw=")</f>
        <v>#VALUE!</v>
      </c>
      <c r="GX127" t="e">
        <f>AND('SPR BARRANQUILLA'!BD152,"AAAAAH9+Xs0=")</f>
        <v>#VALUE!</v>
      </c>
      <c r="GY127" t="e">
        <f>AND('SPR BARRANQUILLA'!BE152,"AAAAAH9+Xs4=")</f>
        <v>#VALUE!</v>
      </c>
      <c r="GZ127" t="e">
        <f>AND('SPR BARRANQUILLA'!BF152,"AAAAAH9+Xs8=")</f>
        <v>#VALUE!</v>
      </c>
      <c r="HA127" t="e">
        <f>AND('SPR BARRANQUILLA'!BG152,"AAAAAH9+XtA=")</f>
        <v>#VALUE!</v>
      </c>
      <c r="HB127" t="e">
        <f>AND('SPR BARRANQUILLA'!BH152,"AAAAAH9+XtE=")</f>
        <v>#VALUE!</v>
      </c>
      <c r="HC127" t="e">
        <f>AND('SPR BARRANQUILLA'!BI152,"AAAAAH9+XtI=")</f>
        <v>#VALUE!</v>
      </c>
      <c r="HD127" t="e">
        <f>AND('SPR BARRANQUILLA'!BJ152,"AAAAAH9+XtM=")</f>
        <v>#VALUE!</v>
      </c>
      <c r="HE127" t="e">
        <f>AND('SPR BARRANQUILLA'!BK152,"AAAAAH9+XtQ=")</f>
        <v>#VALUE!</v>
      </c>
      <c r="HF127" t="e">
        <f>AND('SPR BARRANQUILLA'!BL152,"AAAAAH9+XtU=")</f>
        <v>#VALUE!</v>
      </c>
      <c r="HG127" t="e">
        <f>AND('SPR BARRANQUILLA'!BM152,"AAAAAH9+XtY=")</f>
        <v>#VALUE!</v>
      </c>
      <c r="HH127" t="e">
        <f>AND('SPR BARRANQUILLA'!BN152,"AAAAAH9+Xtc=")</f>
        <v>#VALUE!</v>
      </c>
      <c r="HI127" t="e">
        <f>AND('SPR BARRANQUILLA'!BO152,"AAAAAH9+Xtg=")</f>
        <v>#VALUE!</v>
      </c>
      <c r="HJ127" t="e">
        <f>AND('SPR BARRANQUILLA'!BP152,"AAAAAH9+Xtk=")</f>
        <v>#VALUE!</v>
      </c>
      <c r="HK127" t="e">
        <f>AND('SPR BARRANQUILLA'!BQ152,"AAAAAH9+Xto=")</f>
        <v>#VALUE!</v>
      </c>
      <c r="HL127" t="e">
        <f>AND('SPR BARRANQUILLA'!BR152,"AAAAAH9+Xts=")</f>
        <v>#VALUE!</v>
      </c>
      <c r="HM127" t="e">
        <f>AND('SPR BARRANQUILLA'!BS152,"AAAAAH9+Xtw=")</f>
        <v>#VALUE!</v>
      </c>
      <c r="HN127" t="e">
        <f>AND('SPR BARRANQUILLA'!BT152,"AAAAAH9+Xt0=")</f>
        <v>#VALUE!</v>
      </c>
      <c r="HO127" t="e">
        <f>AND('SPR BARRANQUILLA'!BU152,"AAAAAH9+Xt4=")</f>
        <v>#VALUE!</v>
      </c>
      <c r="HP127" t="e">
        <f>AND('SPR BARRANQUILLA'!BV152,"AAAAAH9+Xt8=")</f>
        <v>#VALUE!</v>
      </c>
      <c r="HQ127" t="e">
        <f>AND('SPR BARRANQUILLA'!BW152,"AAAAAH9+XuA=")</f>
        <v>#VALUE!</v>
      </c>
      <c r="HR127" t="e">
        <f>AND('SPR BARRANQUILLA'!BX152,"AAAAAH9+XuE=")</f>
        <v>#VALUE!</v>
      </c>
      <c r="HS127" t="e">
        <f>AND('SPR BARRANQUILLA'!BY152,"AAAAAH9+XuI=")</f>
        <v>#VALUE!</v>
      </c>
      <c r="HT127" t="e">
        <f>AND('SPR BARRANQUILLA'!BZ152,"AAAAAH9+XuM=")</f>
        <v>#VALUE!</v>
      </c>
      <c r="HU127" t="e">
        <f>AND('SPR BARRANQUILLA'!CA152,"AAAAAH9+XuQ=")</f>
        <v>#VALUE!</v>
      </c>
      <c r="HV127" t="e">
        <f>AND('SPR BARRANQUILLA'!CB152,"AAAAAH9+XuU=")</f>
        <v>#VALUE!</v>
      </c>
      <c r="HW127" t="e">
        <f>AND('SPR BARRANQUILLA'!CC152,"AAAAAH9+XuY=")</f>
        <v>#VALUE!</v>
      </c>
      <c r="HX127" t="e">
        <f>AND('SPR BARRANQUILLA'!CD152,"AAAAAH9+Xuc=")</f>
        <v>#VALUE!</v>
      </c>
      <c r="HY127" t="e">
        <f>AND('SPR BARRANQUILLA'!CE152,"AAAAAH9+Xug=")</f>
        <v>#VALUE!</v>
      </c>
      <c r="HZ127" t="e">
        <f>AND('SPR BARRANQUILLA'!CF152,"AAAAAH9+Xuk=")</f>
        <v>#VALUE!</v>
      </c>
      <c r="IA127" t="e">
        <f>AND('SPR BARRANQUILLA'!CG152,"AAAAAH9+Xuo=")</f>
        <v>#VALUE!</v>
      </c>
      <c r="IB127" t="e">
        <f>AND('SPR BARRANQUILLA'!CH152,"AAAAAH9+Xus=")</f>
        <v>#VALUE!</v>
      </c>
      <c r="IC127" t="e">
        <f>AND('SPR BARRANQUILLA'!CI152,"AAAAAH9+Xuw=")</f>
        <v>#VALUE!</v>
      </c>
      <c r="ID127" t="e">
        <f>AND('SPR BARRANQUILLA'!CJ152,"AAAAAH9+Xu0=")</f>
        <v>#VALUE!</v>
      </c>
      <c r="IE127" t="e">
        <f>AND('SPR BARRANQUILLA'!CK152,"AAAAAH9+Xu4=")</f>
        <v>#VALUE!</v>
      </c>
      <c r="IF127" t="e">
        <f>AND('SPR BARRANQUILLA'!CL152,"AAAAAH9+Xu8=")</f>
        <v>#VALUE!</v>
      </c>
      <c r="IG127" t="e">
        <f>AND('SPR BARRANQUILLA'!CM152,"AAAAAH9+XvA=")</f>
        <v>#VALUE!</v>
      </c>
      <c r="IH127" t="e">
        <f>AND('SPR BARRANQUILLA'!CN152,"AAAAAH9+XvE=")</f>
        <v>#VALUE!</v>
      </c>
      <c r="II127" t="e">
        <f>AND('SPR BARRANQUILLA'!CO152,"AAAAAH9+XvI=")</f>
        <v>#VALUE!</v>
      </c>
      <c r="IJ127" t="e">
        <f>AND('SPR BARRANQUILLA'!CP152,"AAAAAH9+XvM=")</f>
        <v>#VALUE!</v>
      </c>
      <c r="IK127" t="e">
        <f>AND('SPR BARRANQUILLA'!CQ152,"AAAAAH9+XvQ=")</f>
        <v>#VALUE!</v>
      </c>
      <c r="IL127" t="e">
        <f>AND('SPR BARRANQUILLA'!CR152,"AAAAAH9+XvU=")</f>
        <v>#VALUE!</v>
      </c>
      <c r="IM127" t="e">
        <f>AND('SPR BARRANQUILLA'!CS152,"AAAAAH9+XvY=")</f>
        <v>#VALUE!</v>
      </c>
      <c r="IN127" t="e">
        <f>AND('SPR BARRANQUILLA'!CT152,"AAAAAH9+Xvc=")</f>
        <v>#VALUE!</v>
      </c>
      <c r="IO127" t="e">
        <f>AND('SPR BARRANQUILLA'!CU152,"AAAAAH9+Xvg=")</f>
        <v>#VALUE!</v>
      </c>
      <c r="IP127" t="e">
        <f>AND('SPR BARRANQUILLA'!CV152,"AAAAAH9+Xvk=")</f>
        <v>#VALUE!</v>
      </c>
      <c r="IQ127" t="e">
        <f>AND('SPR BARRANQUILLA'!CW152,"AAAAAH9+Xvo=")</f>
        <v>#VALUE!</v>
      </c>
      <c r="IR127" t="e">
        <f>AND('SPR BARRANQUILLA'!CX152,"AAAAAH9+Xvs=")</f>
        <v>#VALUE!</v>
      </c>
      <c r="IS127" t="e">
        <f>AND('SPR BARRANQUILLA'!CY152,"AAAAAH9+Xvw=")</f>
        <v>#VALUE!</v>
      </c>
      <c r="IT127" t="e">
        <f>AND('SPR BARRANQUILLA'!CZ152,"AAAAAH9+Xv0=")</f>
        <v>#VALUE!</v>
      </c>
      <c r="IU127" t="e">
        <f>AND('SPR BARRANQUILLA'!DA152,"AAAAAH9+Xv4=")</f>
        <v>#VALUE!</v>
      </c>
      <c r="IV127" t="e">
        <f>AND('SPR BARRANQUILLA'!DB152,"AAAAAH9+Xv8=")</f>
        <v>#VALUE!</v>
      </c>
    </row>
    <row r="128" spans="1:256">
      <c r="A128" t="e">
        <f>AND('SPR BARRANQUILLA'!DC152,"AAAAAHrdewA=")</f>
        <v>#VALUE!</v>
      </c>
      <c r="B128" t="e">
        <f>AND('SPR BARRANQUILLA'!DD152,"AAAAAHrdewE=")</f>
        <v>#VALUE!</v>
      </c>
      <c r="C128" t="e">
        <f>AND('SPR BARRANQUILLA'!DE152,"AAAAAHrdewI=")</f>
        <v>#VALUE!</v>
      </c>
      <c r="D128" t="e">
        <f>AND('SPR BARRANQUILLA'!DF152,"AAAAAHrdewM=")</f>
        <v>#VALUE!</v>
      </c>
      <c r="E128" t="e">
        <f>AND('SPR BARRANQUILLA'!DG152,"AAAAAHrdewQ=")</f>
        <v>#VALUE!</v>
      </c>
      <c r="F128" t="e">
        <f>AND('SPR BARRANQUILLA'!DH152,"AAAAAHrdewU=")</f>
        <v>#VALUE!</v>
      </c>
      <c r="G128" t="e">
        <f>AND('SPR BARRANQUILLA'!DI152,"AAAAAHrdewY=")</f>
        <v>#VALUE!</v>
      </c>
      <c r="H128" t="e">
        <f>AND('SPR BARRANQUILLA'!DJ152,"AAAAAHrdewc=")</f>
        <v>#VALUE!</v>
      </c>
      <c r="I128" t="e">
        <f>AND('SPR BARRANQUILLA'!DK152,"AAAAAHrdewg=")</f>
        <v>#VALUE!</v>
      </c>
      <c r="J128" t="e">
        <f>AND('SPR BARRANQUILLA'!DL152,"AAAAAHrdewk=")</f>
        <v>#VALUE!</v>
      </c>
      <c r="K128" t="e">
        <f>AND('SPR BARRANQUILLA'!DM152,"AAAAAHrdewo=")</f>
        <v>#VALUE!</v>
      </c>
      <c r="L128" t="e">
        <f>AND('SPR BARRANQUILLA'!DN152,"AAAAAHrdews=")</f>
        <v>#VALUE!</v>
      </c>
      <c r="M128" t="e">
        <f>AND('SPR BARRANQUILLA'!DO152,"AAAAAHrdeww=")</f>
        <v>#VALUE!</v>
      </c>
      <c r="N128" t="e">
        <f>AND('SPR BARRANQUILLA'!DP152,"AAAAAHrdew0=")</f>
        <v>#VALUE!</v>
      </c>
      <c r="O128" t="e">
        <f>AND('SPR BARRANQUILLA'!DQ152,"AAAAAHrdew4=")</f>
        <v>#VALUE!</v>
      </c>
      <c r="P128" t="e">
        <f>AND('SPR BARRANQUILLA'!DR152,"AAAAAHrdew8=")</f>
        <v>#VALUE!</v>
      </c>
      <c r="Q128" t="e">
        <f>AND('SPR BARRANQUILLA'!DS152,"AAAAAHrdexA=")</f>
        <v>#VALUE!</v>
      </c>
      <c r="R128" t="e">
        <f>AND('SPR BARRANQUILLA'!DT152,"AAAAAHrdexE=")</f>
        <v>#VALUE!</v>
      </c>
      <c r="S128" t="e">
        <f>AND('SPR BARRANQUILLA'!DU152,"AAAAAHrdexI=")</f>
        <v>#VALUE!</v>
      </c>
      <c r="T128" t="e">
        <f>AND('SPR BARRANQUILLA'!DV152,"AAAAAHrdexM=")</f>
        <v>#VALUE!</v>
      </c>
      <c r="U128" t="e">
        <f>AND('SPR BARRANQUILLA'!DW152,"AAAAAHrdexQ=")</f>
        <v>#VALUE!</v>
      </c>
      <c r="V128" t="e">
        <f>AND('SPR BARRANQUILLA'!DX152,"AAAAAHrdexU=")</f>
        <v>#VALUE!</v>
      </c>
      <c r="W128" t="e">
        <f>AND('SPR BARRANQUILLA'!DY152,"AAAAAHrdexY=")</f>
        <v>#VALUE!</v>
      </c>
      <c r="X128" t="e">
        <f>AND('SPR BARRANQUILLA'!DZ152,"AAAAAHrdexc=")</f>
        <v>#VALUE!</v>
      </c>
      <c r="Y128" t="e">
        <f>AND('SPR BARRANQUILLA'!EA152,"AAAAAHrdexg=")</f>
        <v>#VALUE!</v>
      </c>
      <c r="Z128" t="e">
        <f>AND('SPR BARRANQUILLA'!EB152,"AAAAAHrdexk=")</f>
        <v>#VALUE!</v>
      </c>
      <c r="AA128" t="e">
        <f>AND('SPR BARRANQUILLA'!EC152,"AAAAAHrdexo=")</f>
        <v>#VALUE!</v>
      </c>
      <c r="AB128" t="e">
        <f>AND('SPR BARRANQUILLA'!ED152,"AAAAAHrdexs=")</f>
        <v>#VALUE!</v>
      </c>
      <c r="AC128" t="e">
        <f>AND('SPR BARRANQUILLA'!EE152,"AAAAAHrdexw=")</f>
        <v>#VALUE!</v>
      </c>
      <c r="AD128" t="e">
        <f>AND('SPR BARRANQUILLA'!EF152,"AAAAAHrdex0=")</f>
        <v>#VALUE!</v>
      </c>
      <c r="AE128" t="e">
        <f>AND('SPR BARRANQUILLA'!EG152,"AAAAAHrdex4=")</f>
        <v>#VALUE!</v>
      </c>
      <c r="AF128" t="e">
        <f>AND('SPR BARRANQUILLA'!EH152,"AAAAAHrdex8=")</f>
        <v>#VALUE!</v>
      </c>
      <c r="AG128" t="e">
        <f>AND('SPR BARRANQUILLA'!EI152,"AAAAAHrdeyA=")</f>
        <v>#VALUE!</v>
      </c>
      <c r="AH128" t="e">
        <f>AND('SPR BARRANQUILLA'!EJ152,"AAAAAHrdeyE=")</f>
        <v>#VALUE!</v>
      </c>
      <c r="AI128" t="e">
        <f>AND('SPR BARRANQUILLA'!EK152,"AAAAAHrdeyI=")</f>
        <v>#VALUE!</v>
      </c>
      <c r="AJ128" t="e">
        <f>AND('SPR BARRANQUILLA'!EL152,"AAAAAHrdeyM=")</f>
        <v>#VALUE!</v>
      </c>
      <c r="AK128" t="e">
        <f>AND('SPR BARRANQUILLA'!EM152,"AAAAAHrdeyQ=")</f>
        <v>#VALUE!</v>
      </c>
      <c r="AL128" t="e">
        <f>AND('SPR BARRANQUILLA'!EN152,"AAAAAHrdeyU=")</f>
        <v>#VALUE!</v>
      </c>
      <c r="AM128" t="e">
        <f>AND('SPR BARRANQUILLA'!EO152,"AAAAAHrdeyY=")</f>
        <v>#VALUE!</v>
      </c>
      <c r="AN128" t="e">
        <f>AND('SPR BARRANQUILLA'!EP152,"AAAAAHrdeyc=")</f>
        <v>#VALUE!</v>
      </c>
      <c r="AO128" t="e">
        <f>AND('SPR BARRANQUILLA'!EQ152,"AAAAAHrdeyg=")</f>
        <v>#VALUE!</v>
      </c>
      <c r="AP128" t="e">
        <f>AND('SPR BARRANQUILLA'!ER152,"AAAAAHrdeyk=")</f>
        <v>#VALUE!</v>
      </c>
      <c r="AQ128" t="e">
        <f>AND('SPR BARRANQUILLA'!ES152,"AAAAAHrdeyo=")</f>
        <v>#VALUE!</v>
      </c>
      <c r="AR128" t="e">
        <f>AND('SPR BARRANQUILLA'!ET152,"AAAAAHrdeys=")</f>
        <v>#VALUE!</v>
      </c>
      <c r="AS128" t="e">
        <f>AND('SPR BARRANQUILLA'!EU152,"AAAAAHrdeyw=")</f>
        <v>#VALUE!</v>
      </c>
      <c r="AT128" t="e">
        <f>AND('SPR BARRANQUILLA'!EV152,"AAAAAHrdey0=")</f>
        <v>#VALUE!</v>
      </c>
      <c r="AU128" t="e">
        <f>AND('SPR BARRANQUILLA'!EW152,"AAAAAHrdey4=")</f>
        <v>#VALUE!</v>
      </c>
      <c r="AV128" t="e">
        <f>AND('SPR BARRANQUILLA'!EX152,"AAAAAHrdey8=")</f>
        <v>#VALUE!</v>
      </c>
      <c r="AW128" t="e">
        <f>AND('SPR BARRANQUILLA'!EY152,"AAAAAHrdezA=")</f>
        <v>#VALUE!</v>
      </c>
      <c r="AX128" t="e">
        <f>AND('SPR BARRANQUILLA'!EZ152,"AAAAAHrdezE=")</f>
        <v>#VALUE!</v>
      </c>
      <c r="AY128" t="e">
        <f>AND('SPR BARRANQUILLA'!FA152,"AAAAAHrdezI=")</f>
        <v>#VALUE!</v>
      </c>
      <c r="AZ128" t="e">
        <f>AND('SPR BARRANQUILLA'!FB152,"AAAAAHrdezM=")</f>
        <v>#VALUE!</v>
      </c>
      <c r="BA128" t="e">
        <f>AND('SPR BARRANQUILLA'!FC152,"AAAAAHrdezQ=")</f>
        <v>#VALUE!</v>
      </c>
      <c r="BB128" t="e">
        <f>AND('SPR BARRANQUILLA'!FD152,"AAAAAHrdezU=")</f>
        <v>#VALUE!</v>
      </c>
      <c r="BC128" t="e">
        <f>AND('SPR BARRANQUILLA'!FE152,"AAAAAHrdezY=")</f>
        <v>#VALUE!</v>
      </c>
      <c r="BD128" t="e">
        <f>AND('SPR BARRANQUILLA'!FF152,"AAAAAHrdezc=")</f>
        <v>#VALUE!</v>
      </c>
      <c r="BE128" t="e">
        <f>AND('SPR BARRANQUILLA'!FG152,"AAAAAHrdezg=")</f>
        <v>#VALUE!</v>
      </c>
      <c r="BF128" t="e">
        <f>AND('SPR BARRANQUILLA'!FH152,"AAAAAHrdezk=")</f>
        <v>#VALUE!</v>
      </c>
      <c r="BG128" t="e">
        <f>AND('SPR BARRANQUILLA'!FI152,"AAAAAHrdezo=")</f>
        <v>#VALUE!</v>
      </c>
      <c r="BH128" t="e">
        <f>AND('SPR BARRANQUILLA'!FJ152,"AAAAAHrdezs=")</f>
        <v>#VALUE!</v>
      </c>
      <c r="BI128" t="e">
        <f>AND('SPR BARRANQUILLA'!FK152,"AAAAAHrdezw=")</f>
        <v>#VALUE!</v>
      </c>
      <c r="BJ128" t="e">
        <f>AND('SPR BARRANQUILLA'!FL152,"AAAAAHrdez0=")</f>
        <v>#VALUE!</v>
      </c>
      <c r="BK128" t="e">
        <f>AND('SPR BARRANQUILLA'!FM152,"AAAAAHrdez4=")</f>
        <v>#VALUE!</v>
      </c>
      <c r="BL128" t="e">
        <f>AND('SPR BARRANQUILLA'!FN152,"AAAAAHrdez8=")</f>
        <v>#VALUE!</v>
      </c>
      <c r="BM128" t="e">
        <f>AND('SPR BARRANQUILLA'!FO152,"AAAAAHrde0A=")</f>
        <v>#VALUE!</v>
      </c>
      <c r="BN128" t="e">
        <f>AND('SPR BARRANQUILLA'!FP152,"AAAAAHrde0E=")</f>
        <v>#VALUE!</v>
      </c>
      <c r="BO128" t="e">
        <f>AND('SPR BARRANQUILLA'!FQ152,"AAAAAHrde0I=")</f>
        <v>#VALUE!</v>
      </c>
      <c r="BP128" t="e">
        <f>AND('SPR BARRANQUILLA'!FR152,"AAAAAHrde0M=")</f>
        <v>#VALUE!</v>
      </c>
      <c r="BQ128" t="e">
        <f>AND('SPR BARRANQUILLA'!FS152,"AAAAAHrde0Q=")</f>
        <v>#VALUE!</v>
      </c>
      <c r="BR128" t="e">
        <f>AND('SPR BARRANQUILLA'!FT152,"AAAAAHrde0U=")</f>
        <v>#VALUE!</v>
      </c>
      <c r="BS128" t="e">
        <f>AND('SPR BARRANQUILLA'!FU152,"AAAAAHrde0Y=")</f>
        <v>#VALUE!</v>
      </c>
      <c r="BT128" t="e">
        <f>AND('SPR BARRANQUILLA'!FV152,"AAAAAHrde0c=")</f>
        <v>#VALUE!</v>
      </c>
      <c r="BU128" t="e">
        <f>AND('SPR BARRANQUILLA'!FW152,"AAAAAHrde0g=")</f>
        <v>#VALUE!</v>
      </c>
      <c r="BV128" t="e">
        <f>AND('SPR BARRANQUILLA'!FX152,"AAAAAHrde0k=")</f>
        <v>#VALUE!</v>
      </c>
      <c r="BW128" t="e">
        <f>AND('SPR BARRANQUILLA'!FY152,"AAAAAHrde0o=")</f>
        <v>#VALUE!</v>
      </c>
      <c r="BX128" t="e">
        <f>AND('SPR BARRANQUILLA'!FZ152,"AAAAAHrde0s=")</f>
        <v>#VALUE!</v>
      </c>
      <c r="BY128" t="e">
        <f>AND('SPR BARRANQUILLA'!GA152,"AAAAAHrde0w=")</f>
        <v>#VALUE!</v>
      </c>
      <c r="BZ128" t="e">
        <f>AND('SPR BARRANQUILLA'!GB152,"AAAAAHrde00=")</f>
        <v>#VALUE!</v>
      </c>
      <c r="CA128" t="e">
        <f>AND('SPR BARRANQUILLA'!GC152,"AAAAAHrde04=")</f>
        <v>#VALUE!</v>
      </c>
      <c r="CB128" t="e">
        <f>AND('SPR BARRANQUILLA'!GD152,"AAAAAHrde08=")</f>
        <v>#VALUE!</v>
      </c>
      <c r="CC128" t="e">
        <f>AND('SPR BARRANQUILLA'!GE152,"AAAAAHrde1A=")</f>
        <v>#VALUE!</v>
      </c>
      <c r="CD128" t="e">
        <f>AND('SPR BARRANQUILLA'!GF152,"AAAAAHrde1E=")</f>
        <v>#VALUE!</v>
      </c>
      <c r="CE128" t="e">
        <f>AND('SPR BARRANQUILLA'!GG152,"AAAAAHrde1I=")</f>
        <v>#VALUE!</v>
      </c>
      <c r="CF128" t="e">
        <f>AND('SPR BARRANQUILLA'!GH152,"AAAAAHrde1M=")</f>
        <v>#VALUE!</v>
      </c>
      <c r="CG128" t="e">
        <f>AND('SPR BARRANQUILLA'!GI152,"AAAAAHrde1Q=")</f>
        <v>#VALUE!</v>
      </c>
      <c r="CH128" t="e">
        <f>AND('SPR BARRANQUILLA'!GJ152,"AAAAAHrde1U=")</f>
        <v>#VALUE!</v>
      </c>
      <c r="CI128" t="e">
        <f>AND('SPR BARRANQUILLA'!GK152,"AAAAAHrde1Y=")</f>
        <v>#VALUE!</v>
      </c>
      <c r="CJ128" t="e">
        <f>AND('SPR BARRANQUILLA'!GL152,"AAAAAHrde1c=")</f>
        <v>#VALUE!</v>
      </c>
      <c r="CK128" t="e">
        <f>AND('SPR BARRANQUILLA'!GM152,"AAAAAHrde1g=")</f>
        <v>#VALUE!</v>
      </c>
      <c r="CL128" t="e">
        <f>AND('SPR BARRANQUILLA'!GN152,"AAAAAHrde1k=")</f>
        <v>#VALUE!</v>
      </c>
      <c r="CM128" t="e">
        <f>AND('SPR BARRANQUILLA'!GO152,"AAAAAHrde1o=")</f>
        <v>#VALUE!</v>
      </c>
      <c r="CN128" t="e">
        <f>AND('SPR BARRANQUILLA'!GP152,"AAAAAHrde1s=")</f>
        <v>#VALUE!</v>
      </c>
      <c r="CO128" t="e">
        <f>AND('SPR BARRANQUILLA'!GQ152,"AAAAAHrde1w=")</f>
        <v>#VALUE!</v>
      </c>
      <c r="CP128" t="e">
        <f>AND('SPR BARRANQUILLA'!GR152,"AAAAAHrde10=")</f>
        <v>#VALUE!</v>
      </c>
      <c r="CQ128" t="e">
        <f>AND('SPR BARRANQUILLA'!GS152,"AAAAAHrde14=")</f>
        <v>#VALUE!</v>
      </c>
      <c r="CR128" t="e">
        <f>AND('SPR BARRANQUILLA'!GT152,"AAAAAHrde18=")</f>
        <v>#VALUE!</v>
      </c>
      <c r="CS128" t="e">
        <f>AND('SPR BARRANQUILLA'!GU152,"AAAAAHrde2A=")</f>
        <v>#VALUE!</v>
      </c>
      <c r="CT128" t="e">
        <f>AND('SPR BARRANQUILLA'!GV152,"AAAAAHrde2E=")</f>
        <v>#VALUE!</v>
      </c>
      <c r="CU128" t="e">
        <f>AND('SPR BARRANQUILLA'!GW152,"AAAAAHrde2I=")</f>
        <v>#VALUE!</v>
      </c>
      <c r="CV128" t="e">
        <f>AND('SPR BARRANQUILLA'!GX152,"AAAAAHrde2M=")</f>
        <v>#VALUE!</v>
      </c>
      <c r="CW128" t="e">
        <f>AND('SPR BARRANQUILLA'!GY152,"AAAAAHrde2Q=")</f>
        <v>#VALUE!</v>
      </c>
      <c r="CX128">
        <f>IF('SPR BARRANQUILLA'!153:153,"AAAAAHrde2U=",0)</f>
        <v>0</v>
      </c>
      <c r="CY128" t="e">
        <f>AND('SPR BARRANQUILLA'!A153,"AAAAAHrde2Y=")</f>
        <v>#VALUE!</v>
      </c>
      <c r="CZ128" t="e">
        <f>AND('SPR BARRANQUILLA'!B153,"AAAAAHrde2c=")</f>
        <v>#VALUE!</v>
      </c>
      <c r="DA128" t="e">
        <f>AND('SPR BARRANQUILLA'!C153,"AAAAAHrde2g=")</f>
        <v>#VALUE!</v>
      </c>
      <c r="DB128" t="e">
        <f>AND('SPR BARRANQUILLA'!D153,"AAAAAHrde2k=")</f>
        <v>#VALUE!</v>
      </c>
      <c r="DC128" t="e">
        <f>AND('SPR BARRANQUILLA'!E153,"AAAAAHrde2o=")</f>
        <v>#VALUE!</v>
      </c>
      <c r="DD128" t="e">
        <f>AND('SPR BARRANQUILLA'!F153,"AAAAAHrde2s=")</f>
        <v>#VALUE!</v>
      </c>
      <c r="DE128" t="e">
        <f>AND('SPR BARRANQUILLA'!G153,"AAAAAHrde2w=")</f>
        <v>#VALUE!</v>
      </c>
      <c r="DF128" t="e">
        <f>AND('SPR BARRANQUILLA'!H153,"AAAAAHrde20=")</f>
        <v>#VALUE!</v>
      </c>
      <c r="DG128" t="e">
        <f>AND('SPR BARRANQUILLA'!I153,"AAAAAHrde24=")</f>
        <v>#VALUE!</v>
      </c>
      <c r="DH128" t="e">
        <f>AND('SPR BARRANQUILLA'!J153,"AAAAAHrde28=")</f>
        <v>#VALUE!</v>
      </c>
      <c r="DI128" t="e">
        <f>AND('SPR BARRANQUILLA'!K153,"AAAAAHrde3A=")</f>
        <v>#VALUE!</v>
      </c>
      <c r="DJ128" t="e">
        <f>AND('SPR BARRANQUILLA'!L153,"AAAAAHrde3E=")</f>
        <v>#VALUE!</v>
      </c>
      <c r="DK128" t="e">
        <f>AND('SPR BARRANQUILLA'!M153,"AAAAAHrde3I=")</f>
        <v>#VALUE!</v>
      </c>
      <c r="DL128" t="e">
        <f>AND('SPR BARRANQUILLA'!N153,"AAAAAHrde3M=")</f>
        <v>#VALUE!</v>
      </c>
      <c r="DM128" t="e">
        <f>AND('SPR BARRANQUILLA'!O153,"AAAAAHrde3Q=")</f>
        <v>#VALUE!</v>
      </c>
      <c r="DN128" t="e">
        <f>AND('SPR BARRANQUILLA'!P153,"AAAAAHrde3U=")</f>
        <v>#VALUE!</v>
      </c>
      <c r="DO128" t="e">
        <f>AND('SPR BARRANQUILLA'!Q153,"AAAAAHrde3Y=")</f>
        <v>#VALUE!</v>
      </c>
      <c r="DP128" t="e">
        <f>AND('SPR BARRANQUILLA'!R153,"AAAAAHrde3c=")</f>
        <v>#VALUE!</v>
      </c>
      <c r="DQ128" t="e">
        <f>AND('SPR BARRANQUILLA'!S153,"AAAAAHrde3g=")</f>
        <v>#VALUE!</v>
      </c>
      <c r="DR128" t="e">
        <f>AND('SPR BARRANQUILLA'!T153,"AAAAAHrde3k=")</f>
        <v>#VALUE!</v>
      </c>
      <c r="DS128" t="e">
        <f>AND('SPR BARRANQUILLA'!U153,"AAAAAHrde3o=")</f>
        <v>#VALUE!</v>
      </c>
      <c r="DT128" t="e">
        <f>AND('SPR BARRANQUILLA'!V153,"AAAAAHrde3s=")</f>
        <v>#VALUE!</v>
      </c>
      <c r="DU128" t="e">
        <f>AND('SPR BARRANQUILLA'!W153,"AAAAAHrde3w=")</f>
        <v>#VALUE!</v>
      </c>
      <c r="DV128" t="e">
        <f>AND('SPR BARRANQUILLA'!X153,"AAAAAHrde30=")</f>
        <v>#VALUE!</v>
      </c>
      <c r="DW128" t="e">
        <f>AND('SPR BARRANQUILLA'!Y153,"AAAAAHrde34=")</f>
        <v>#VALUE!</v>
      </c>
      <c r="DX128" t="e">
        <f>AND('SPR BARRANQUILLA'!Z153,"AAAAAHrde38=")</f>
        <v>#VALUE!</v>
      </c>
      <c r="DY128" t="e">
        <f>AND('SPR BARRANQUILLA'!AA153,"AAAAAHrde4A=")</f>
        <v>#VALUE!</v>
      </c>
      <c r="DZ128" t="e">
        <f>AND('SPR BARRANQUILLA'!AB153,"AAAAAHrde4E=")</f>
        <v>#VALUE!</v>
      </c>
      <c r="EA128" t="e">
        <f>AND('SPR BARRANQUILLA'!AC153,"AAAAAHrde4I=")</f>
        <v>#VALUE!</v>
      </c>
      <c r="EB128" t="e">
        <f>AND('SPR BARRANQUILLA'!AD153,"AAAAAHrde4M=")</f>
        <v>#VALUE!</v>
      </c>
      <c r="EC128" t="e">
        <f>AND('SPR BARRANQUILLA'!AE153,"AAAAAHrde4Q=")</f>
        <v>#VALUE!</v>
      </c>
      <c r="ED128" t="e">
        <f>AND('SPR BARRANQUILLA'!AF153,"AAAAAHrde4U=")</f>
        <v>#VALUE!</v>
      </c>
      <c r="EE128" t="e">
        <f>AND('SPR BARRANQUILLA'!AG153,"AAAAAHrde4Y=")</f>
        <v>#VALUE!</v>
      </c>
      <c r="EF128" t="e">
        <f>AND('SPR BARRANQUILLA'!AH153,"AAAAAHrde4c=")</f>
        <v>#VALUE!</v>
      </c>
      <c r="EG128" t="e">
        <f>AND('SPR BARRANQUILLA'!AI153,"AAAAAHrde4g=")</f>
        <v>#VALUE!</v>
      </c>
      <c r="EH128" t="e">
        <f>AND('SPR BARRANQUILLA'!AJ153,"AAAAAHrde4k=")</f>
        <v>#VALUE!</v>
      </c>
      <c r="EI128" t="e">
        <f>AND('SPR BARRANQUILLA'!AK153,"AAAAAHrde4o=")</f>
        <v>#VALUE!</v>
      </c>
      <c r="EJ128" t="e">
        <f>AND('SPR BARRANQUILLA'!AL153,"AAAAAHrde4s=")</f>
        <v>#VALUE!</v>
      </c>
      <c r="EK128" t="e">
        <f>AND('SPR BARRANQUILLA'!AM153,"AAAAAHrde4w=")</f>
        <v>#VALUE!</v>
      </c>
      <c r="EL128" t="e">
        <f>AND('SPR BARRANQUILLA'!AN153,"AAAAAHrde40=")</f>
        <v>#VALUE!</v>
      </c>
      <c r="EM128" t="e">
        <f>AND('SPR BARRANQUILLA'!AO153,"AAAAAHrde44=")</f>
        <v>#VALUE!</v>
      </c>
      <c r="EN128" t="e">
        <f>AND('SPR BARRANQUILLA'!AP153,"AAAAAHrde48=")</f>
        <v>#VALUE!</v>
      </c>
      <c r="EO128" t="e">
        <f>AND('SPR BARRANQUILLA'!AQ153,"AAAAAHrde5A=")</f>
        <v>#VALUE!</v>
      </c>
      <c r="EP128" t="e">
        <f>AND('SPR BARRANQUILLA'!AR153,"AAAAAHrde5E=")</f>
        <v>#VALUE!</v>
      </c>
      <c r="EQ128" t="e">
        <f>AND('SPR BARRANQUILLA'!AS153,"AAAAAHrde5I=")</f>
        <v>#VALUE!</v>
      </c>
      <c r="ER128" t="e">
        <f>AND('SPR BARRANQUILLA'!AT153,"AAAAAHrde5M=")</f>
        <v>#VALUE!</v>
      </c>
      <c r="ES128" t="e">
        <f>AND('SPR BARRANQUILLA'!AU153,"AAAAAHrde5Q=")</f>
        <v>#VALUE!</v>
      </c>
      <c r="ET128" t="e">
        <f>AND('SPR BARRANQUILLA'!AV153,"AAAAAHrde5U=")</f>
        <v>#VALUE!</v>
      </c>
      <c r="EU128" t="e">
        <f>AND('SPR BARRANQUILLA'!AW153,"AAAAAHrde5Y=")</f>
        <v>#VALUE!</v>
      </c>
      <c r="EV128" t="e">
        <f>AND('SPR BARRANQUILLA'!AX153,"AAAAAHrde5c=")</f>
        <v>#VALUE!</v>
      </c>
      <c r="EW128" t="e">
        <f>AND('SPR BARRANQUILLA'!AY153,"AAAAAHrde5g=")</f>
        <v>#VALUE!</v>
      </c>
      <c r="EX128" t="e">
        <f>AND('SPR BARRANQUILLA'!AZ153,"AAAAAHrde5k=")</f>
        <v>#VALUE!</v>
      </c>
      <c r="EY128" t="e">
        <f>AND('SPR BARRANQUILLA'!BA153,"AAAAAHrde5o=")</f>
        <v>#VALUE!</v>
      </c>
      <c r="EZ128" t="e">
        <f>AND('SPR BARRANQUILLA'!BB153,"AAAAAHrde5s=")</f>
        <v>#VALUE!</v>
      </c>
      <c r="FA128" t="e">
        <f>AND('SPR BARRANQUILLA'!BC153,"AAAAAHrde5w=")</f>
        <v>#VALUE!</v>
      </c>
      <c r="FB128" t="e">
        <f>AND('SPR BARRANQUILLA'!BD153,"AAAAAHrde50=")</f>
        <v>#VALUE!</v>
      </c>
      <c r="FC128" t="e">
        <f>AND('SPR BARRANQUILLA'!BE153,"AAAAAHrde54=")</f>
        <v>#VALUE!</v>
      </c>
      <c r="FD128" t="e">
        <f>AND('SPR BARRANQUILLA'!BF153,"AAAAAHrde58=")</f>
        <v>#VALUE!</v>
      </c>
      <c r="FE128" t="e">
        <f>AND('SPR BARRANQUILLA'!BG153,"AAAAAHrde6A=")</f>
        <v>#VALUE!</v>
      </c>
      <c r="FF128" t="e">
        <f>AND('SPR BARRANQUILLA'!BH153,"AAAAAHrde6E=")</f>
        <v>#VALUE!</v>
      </c>
      <c r="FG128" t="e">
        <f>AND('SPR BARRANQUILLA'!BI153,"AAAAAHrde6I=")</f>
        <v>#VALUE!</v>
      </c>
      <c r="FH128" t="e">
        <f>AND('SPR BARRANQUILLA'!BJ153,"AAAAAHrde6M=")</f>
        <v>#VALUE!</v>
      </c>
      <c r="FI128" t="e">
        <f>AND('SPR BARRANQUILLA'!BK153,"AAAAAHrde6Q=")</f>
        <v>#VALUE!</v>
      </c>
      <c r="FJ128" t="e">
        <f>AND('SPR BARRANQUILLA'!BL153,"AAAAAHrde6U=")</f>
        <v>#VALUE!</v>
      </c>
      <c r="FK128" t="e">
        <f>AND('SPR BARRANQUILLA'!BM153,"AAAAAHrde6Y=")</f>
        <v>#VALUE!</v>
      </c>
      <c r="FL128" t="e">
        <f>AND('SPR BARRANQUILLA'!BN153,"AAAAAHrde6c=")</f>
        <v>#VALUE!</v>
      </c>
      <c r="FM128" t="e">
        <f>AND('SPR BARRANQUILLA'!BO153,"AAAAAHrde6g=")</f>
        <v>#VALUE!</v>
      </c>
      <c r="FN128" t="e">
        <f>AND('SPR BARRANQUILLA'!BP153,"AAAAAHrde6k=")</f>
        <v>#VALUE!</v>
      </c>
      <c r="FO128" t="e">
        <f>AND('SPR BARRANQUILLA'!BQ153,"AAAAAHrde6o=")</f>
        <v>#VALUE!</v>
      </c>
      <c r="FP128" t="e">
        <f>AND('SPR BARRANQUILLA'!BR153,"AAAAAHrde6s=")</f>
        <v>#VALUE!</v>
      </c>
      <c r="FQ128" t="e">
        <f>AND('SPR BARRANQUILLA'!BS153,"AAAAAHrde6w=")</f>
        <v>#VALUE!</v>
      </c>
      <c r="FR128" t="e">
        <f>AND('SPR BARRANQUILLA'!BT153,"AAAAAHrde60=")</f>
        <v>#VALUE!</v>
      </c>
      <c r="FS128" t="e">
        <f>AND('SPR BARRANQUILLA'!BU153,"AAAAAHrde64=")</f>
        <v>#VALUE!</v>
      </c>
      <c r="FT128" t="e">
        <f>AND('SPR BARRANQUILLA'!BV153,"AAAAAHrde68=")</f>
        <v>#VALUE!</v>
      </c>
      <c r="FU128" t="e">
        <f>AND('SPR BARRANQUILLA'!BW153,"AAAAAHrde7A=")</f>
        <v>#VALUE!</v>
      </c>
      <c r="FV128" t="e">
        <f>AND('SPR BARRANQUILLA'!BX153,"AAAAAHrde7E=")</f>
        <v>#VALUE!</v>
      </c>
      <c r="FW128" t="e">
        <f>AND('SPR BARRANQUILLA'!BY153,"AAAAAHrde7I=")</f>
        <v>#VALUE!</v>
      </c>
      <c r="FX128" t="e">
        <f>AND('SPR BARRANQUILLA'!BZ153,"AAAAAHrde7M=")</f>
        <v>#VALUE!</v>
      </c>
      <c r="FY128" t="e">
        <f>AND('SPR BARRANQUILLA'!CA153,"AAAAAHrde7Q=")</f>
        <v>#VALUE!</v>
      </c>
      <c r="FZ128" t="e">
        <f>AND('SPR BARRANQUILLA'!CB153,"AAAAAHrde7U=")</f>
        <v>#VALUE!</v>
      </c>
      <c r="GA128" t="e">
        <f>AND('SPR BARRANQUILLA'!CC153,"AAAAAHrde7Y=")</f>
        <v>#VALUE!</v>
      </c>
      <c r="GB128" t="e">
        <f>AND('SPR BARRANQUILLA'!CD153,"AAAAAHrde7c=")</f>
        <v>#VALUE!</v>
      </c>
      <c r="GC128" t="e">
        <f>AND('SPR BARRANQUILLA'!CE153,"AAAAAHrde7g=")</f>
        <v>#VALUE!</v>
      </c>
      <c r="GD128" t="e">
        <f>AND('SPR BARRANQUILLA'!CF153,"AAAAAHrde7k=")</f>
        <v>#VALUE!</v>
      </c>
      <c r="GE128" t="e">
        <f>AND('SPR BARRANQUILLA'!CG153,"AAAAAHrde7o=")</f>
        <v>#VALUE!</v>
      </c>
      <c r="GF128" t="e">
        <f>AND('SPR BARRANQUILLA'!CH153,"AAAAAHrde7s=")</f>
        <v>#VALUE!</v>
      </c>
      <c r="GG128" t="e">
        <f>AND('SPR BARRANQUILLA'!CI153,"AAAAAHrde7w=")</f>
        <v>#VALUE!</v>
      </c>
      <c r="GH128" t="e">
        <f>AND('SPR BARRANQUILLA'!CJ153,"AAAAAHrde70=")</f>
        <v>#VALUE!</v>
      </c>
      <c r="GI128" t="e">
        <f>AND('SPR BARRANQUILLA'!CK153,"AAAAAHrde74=")</f>
        <v>#VALUE!</v>
      </c>
      <c r="GJ128" t="e">
        <f>AND('SPR BARRANQUILLA'!CL153,"AAAAAHrde78=")</f>
        <v>#VALUE!</v>
      </c>
      <c r="GK128" t="e">
        <f>AND('SPR BARRANQUILLA'!CM153,"AAAAAHrde8A=")</f>
        <v>#VALUE!</v>
      </c>
      <c r="GL128" t="e">
        <f>AND('SPR BARRANQUILLA'!CN153,"AAAAAHrde8E=")</f>
        <v>#VALUE!</v>
      </c>
      <c r="GM128" t="e">
        <f>AND('SPR BARRANQUILLA'!CO153,"AAAAAHrde8I=")</f>
        <v>#VALUE!</v>
      </c>
      <c r="GN128" t="e">
        <f>AND('SPR BARRANQUILLA'!CP153,"AAAAAHrde8M=")</f>
        <v>#VALUE!</v>
      </c>
      <c r="GO128" t="e">
        <f>AND('SPR BARRANQUILLA'!CQ153,"AAAAAHrde8Q=")</f>
        <v>#VALUE!</v>
      </c>
      <c r="GP128" t="e">
        <f>AND('SPR BARRANQUILLA'!CR153,"AAAAAHrde8U=")</f>
        <v>#VALUE!</v>
      </c>
      <c r="GQ128" t="e">
        <f>AND('SPR BARRANQUILLA'!CS153,"AAAAAHrde8Y=")</f>
        <v>#VALUE!</v>
      </c>
      <c r="GR128" t="e">
        <f>AND('SPR BARRANQUILLA'!CT153,"AAAAAHrde8c=")</f>
        <v>#VALUE!</v>
      </c>
      <c r="GS128" t="e">
        <f>AND('SPR BARRANQUILLA'!CU153,"AAAAAHrde8g=")</f>
        <v>#VALUE!</v>
      </c>
      <c r="GT128" t="e">
        <f>AND('SPR BARRANQUILLA'!CV153,"AAAAAHrde8k=")</f>
        <v>#VALUE!</v>
      </c>
      <c r="GU128" t="e">
        <f>AND('SPR BARRANQUILLA'!CW153,"AAAAAHrde8o=")</f>
        <v>#VALUE!</v>
      </c>
      <c r="GV128" t="e">
        <f>AND('SPR BARRANQUILLA'!CX153,"AAAAAHrde8s=")</f>
        <v>#VALUE!</v>
      </c>
      <c r="GW128" t="e">
        <f>AND('SPR BARRANQUILLA'!CY153,"AAAAAHrde8w=")</f>
        <v>#VALUE!</v>
      </c>
      <c r="GX128" t="e">
        <f>AND('SPR BARRANQUILLA'!CZ153,"AAAAAHrde80=")</f>
        <v>#VALUE!</v>
      </c>
      <c r="GY128" t="e">
        <f>AND('SPR BARRANQUILLA'!DA153,"AAAAAHrde84=")</f>
        <v>#VALUE!</v>
      </c>
      <c r="GZ128" t="e">
        <f>AND('SPR BARRANQUILLA'!DB153,"AAAAAHrde88=")</f>
        <v>#VALUE!</v>
      </c>
      <c r="HA128" t="e">
        <f>AND('SPR BARRANQUILLA'!DC153,"AAAAAHrde9A=")</f>
        <v>#VALUE!</v>
      </c>
      <c r="HB128" t="e">
        <f>AND('SPR BARRANQUILLA'!DD153,"AAAAAHrde9E=")</f>
        <v>#VALUE!</v>
      </c>
      <c r="HC128" t="e">
        <f>AND('SPR BARRANQUILLA'!DE153,"AAAAAHrde9I=")</f>
        <v>#VALUE!</v>
      </c>
      <c r="HD128" t="e">
        <f>AND('SPR BARRANQUILLA'!DF153,"AAAAAHrde9M=")</f>
        <v>#VALUE!</v>
      </c>
      <c r="HE128" t="e">
        <f>AND('SPR BARRANQUILLA'!DG153,"AAAAAHrde9Q=")</f>
        <v>#VALUE!</v>
      </c>
      <c r="HF128" t="e">
        <f>AND('SPR BARRANQUILLA'!DH153,"AAAAAHrde9U=")</f>
        <v>#VALUE!</v>
      </c>
      <c r="HG128" t="e">
        <f>AND('SPR BARRANQUILLA'!DI153,"AAAAAHrde9Y=")</f>
        <v>#VALUE!</v>
      </c>
      <c r="HH128" t="e">
        <f>AND('SPR BARRANQUILLA'!DJ153,"AAAAAHrde9c=")</f>
        <v>#VALUE!</v>
      </c>
      <c r="HI128" t="e">
        <f>AND('SPR BARRANQUILLA'!DK153,"AAAAAHrde9g=")</f>
        <v>#VALUE!</v>
      </c>
      <c r="HJ128" t="e">
        <f>AND('SPR BARRANQUILLA'!DL153,"AAAAAHrde9k=")</f>
        <v>#VALUE!</v>
      </c>
      <c r="HK128" t="e">
        <f>AND('SPR BARRANQUILLA'!DM153,"AAAAAHrde9o=")</f>
        <v>#VALUE!</v>
      </c>
      <c r="HL128" t="e">
        <f>AND('SPR BARRANQUILLA'!DN153,"AAAAAHrde9s=")</f>
        <v>#VALUE!</v>
      </c>
      <c r="HM128" t="e">
        <f>AND('SPR BARRANQUILLA'!DO153,"AAAAAHrde9w=")</f>
        <v>#VALUE!</v>
      </c>
      <c r="HN128" t="e">
        <f>AND('SPR BARRANQUILLA'!DP153,"AAAAAHrde90=")</f>
        <v>#VALUE!</v>
      </c>
      <c r="HO128" t="e">
        <f>AND('SPR BARRANQUILLA'!DQ153,"AAAAAHrde94=")</f>
        <v>#VALUE!</v>
      </c>
      <c r="HP128" t="e">
        <f>AND('SPR BARRANQUILLA'!DR153,"AAAAAHrde98=")</f>
        <v>#VALUE!</v>
      </c>
      <c r="HQ128" t="e">
        <f>AND('SPR BARRANQUILLA'!DS153,"AAAAAHrde+A=")</f>
        <v>#VALUE!</v>
      </c>
      <c r="HR128" t="e">
        <f>AND('SPR BARRANQUILLA'!DT153,"AAAAAHrde+E=")</f>
        <v>#VALUE!</v>
      </c>
      <c r="HS128" t="e">
        <f>AND('SPR BARRANQUILLA'!DU153,"AAAAAHrde+I=")</f>
        <v>#VALUE!</v>
      </c>
      <c r="HT128" t="e">
        <f>AND('SPR BARRANQUILLA'!DV153,"AAAAAHrde+M=")</f>
        <v>#VALUE!</v>
      </c>
      <c r="HU128" t="e">
        <f>AND('SPR BARRANQUILLA'!DW153,"AAAAAHrde+Q=")</f>
        <v>#VALUE!</v>
      </c>
      <c r="HV128" t="e">
        <f>AND('SPR BARRANQUILLA'!DX153,"AAAAAHrde+U=")</f>
        <v>#VALUE!</v>
      </c>
      <c r="HW128" t="e">
        <f>AND('SPR BARRANQUILLA'!DY153,"AAAAAHrde+Y=")</f>
        <v>#VALUE!</v>
      </c>
      <c r="HX128" t="e">
        <f>AND('SPR BARRANQUILLA'!DZ153,"AAAAAHrde+c=")</f>
        <v>#VALUE!</v>
      </c>
      <c r="HY128" t="e">
        <f>AND('SPR BARRANQUILLA'!EA153,"AAAAAHrde+g=")</f>
        <v>#VALUE!</v>
      </c>
      <c r="HZ128" t="e">
        <f>AND('SPR BARRANQUILLA'!EB153,"AAAAAHrde+k=")</f>
        <v>#VALUE!</v>
      </c>
      <c r="IA128" t="e">
        <f>AND('SPR BARRANQUILLA'!EC153,"AAAAAHrde+o=")</f>
        <v>#VALUE!</v>
      </c>
      <c r="IB128" t="e">
        <f>AND('SPR BARRANQUILLA'!ED153,"AAAAAHrde+s=")</f>
        <v>#VALUE!</v>
      </c>
      <c r="IC128" t="e">
        <f>AND('SPR BARRANQUILLA'!EE153,"AAAAAHrde+w=")</f>
        <v>#VALUE!</v>
      </c>
      <c r="ID128" t="e">
        <f>AND('SPR BARRANQUILLA'!EF153,"AAAAAHrde+0=")</f>
        <v>#VALUE!</v>
      </c>
      <c r="IE128" t="e">
        <f>AND('SPR BARRANQUILLA'!EG153,"AAAAAHrde+4=")</f>
        <v>#VALUE!</v>
      </c>
      <c r="IF128" t="e">
        <f>AND('SPR BARRANQUILLA'!EH153,"AAAAAHrde+8=")</f>
        <v>#VALUE!</v>
      </c>
      <c r="IG128" t="e">
        <f>AND('SPR BARRANQUILLA'!EI153,"AAAAAHrde/A=")</f>
        <v>#VALUE!</v>
      </c>
      <c r="IH128" t="e">
        <f>AND('SPR BARRANQUILLA'!EJ153,"AAAAAHrde/E=")</f>
        <v>#VALUE!</v>
      </c>
      <c r="II128" t="e">
        <f>AND('SPR BARRANQUILLA'!EK153,"AAAAAHrde/I=")</f>
        <v>#VALUE!</v>
      </c>
      <c r="IJ128" t="e">
        <f>AND('SPR BARRANQUILLA'!EL153,"AAAAAHrde/M=")</f>
        <v>#VALUE!</v>
      </c>
      <c r="IK128" t="e">
        <f>AND('SPR BARRANQUILLA'!EM153,"AAAAAHrde/Q=")</f>
        <v>#VALUE!</v>
      </c>
      <c r="IL128" t="e">
        <f>AND('SPR BARRANQUILLA'!EN153,"AAAAAHrde/U=")</f>
        <v>#VALUE!</v>
      </c>
      <c r="IM128" t="e">
        <f>AND('SPR BARRANQUILLA'!EO153,"AAAAAHrde/Y=")</f>
        <v>#VALUE!</v>
      </c>
      <c r="IN128" t="e">
        <f>AND('SPR BARRANQUILLA'!EP153,"AAAAAHrde/c=")</f>
        <v>#VALUE!</v>
      </c>
      <c r="IO128" t="e">
        <f>AND('SPR BARRANQUILLA'!EQ153,"AAAAAHrde/g=")</f>
        <v>#VALUE!</v>
      </c>
      <c r="IP128" t="e">
        <f>AND('SPR BARRANQUILLA'!ER153,"AAAAAHrde/k=")</f>
        <v>#VALUE!</v>
      </c>
      <c r="IQ128" t="e">
        <f>AND('SPR BARRANQUILLA'!ES153,"AAAAAHrde/o=")</f>
        <v>#VALUE!</v>
      </c>
      <c r="IR128" t="e">
        <f>AND('SPR BARRANQUILLA'!ET153,"AAAAAHrde/s=")</f>
        <v>#VALUE!</v>
      </c>
      <c r="IS128" t="e">
        <f>AND('SPR BARRANQUILLA'!EU153,"AAAAAHrde/w=")</f>
        <v>#VALUE!</v>
      </c>
      <c r="IT128" t="e">
        <f>AND('SPR BARRANQUILLA'!EV153,"AAAAAHrde/0=")</f>
        <v>#VALUE!</v>
      </c>
      <c r="IU128" t="e">
        <f>AND('SPR BARRANQUILLA'!EW153,"AAAAAHrde/4=")</f>
        <v>#VALUE!</v>
      </c>
      <c r="IV128" t="e">
        <f>AND('SPR BARRANQUILLA'!EX153,"AAAAAHrde/8=")</f>
        <v>#VALUE!</v>
      </c>
    </row>
    <row r="129" spans="1:256">
      <c r="A129" t="e">
        <f>AND('SPR BARRANQUILLA'!EY153,"AAAAADrz+wA=")</f>
        <v>#VALUE!</v>
      </c>
      <c r="B129" t="e">
        <f>AND('SPR BARRANQUILLA'!EZ153,"AAAAADrz+wE=")</f>
        <v>#VALUE!</v>
      </c>
      <c r="C129" t="e">
        <f>AND('SPR BARRANQUILLA'!FA153,"AAAAADrz+wI=")</f>
        <v>#VALUE!</v>
      </c>
      <c r="D129" t="e">
        <f>AND('SPR BARRANQUILLA'!FB153,"AAAAADrz+wM=")</f>
        <v>#VALUE!</v>
      </c>
      <c r="E129" t="e">
        <f>AND('SPR BARRANQUILLA'!FC153,"AAAAADrz+wQ=")</f>
        <v>#VALUE!</v>
      </c>
      <c r="F129" t="e">
        <f>AND('SPR BARRANQUILLA'!FD153,"AAAAADrz+wU=")</f>
        <v>#VALUE!</v>
      </c>
      <c r="G129" t="e">
        <f>AND('SPR BARRANQUILLA'!FE153,"AAAAADrz+wY=")</f>
        <v>#VALUE!</v>
      </c>
      <c r="H129" t="e">
        <f>AND('SPR BARRANQUILLA'!FF153,"AAAAADrz+wc=")</f>
        <v>#VALUE!</v>
      </c>
      <c r="I129" t="e">
        <f>AND('SPR BARRANQUILLA'!FG153,"AAAAADrz+wg=")</f>
        <v>#VALUE!</v>
      </c>
      <c r="J129" t="e">
        <f>AND('SPR BARRANQUILLA'!FH153,"AAAAADrz+wk=")</f>
        <v>#VALUE!</v>
      </c>
      <c r="K129" t="e">
        <f>AND('SPR BARRANQUILLA'!FI153,"AAAAADrz+wo=")</f>
        <v>#VALUE!</v>
      </c>
      <c r="L129" t="e">
        <f>AND('SPR BARRANQUILLA'!FJ153,"AAAAADrz+ws=")</f>
        <v>#VALUE!</v>
      </c>
      <c r="M129" t="e">
        <f>AND('SPR BARRANQUILLA'!FK153,"AAAAADrz+ww=")</f>
        <v>#VALUE!</v>
      </c>
      <c r="N129" t="e">
        <f>AND('SPR BARRANQUILLA'!FL153,"AAAAADrz+w0=")</f>
        <v>#VALUE!</v>
      </c>
      <c r="O129" t="e">
        <f>AND('SPR BARRANQUILLA'!FM153,"AAAAADrz+w4=")</f>
        <v>#VALUE!</v>
      </c>
      <c r="P129" t="e">
        <f>AND('SPR BARRANQUILLA'!FN153,"AAAAADrz+w8=")</f>
        <v>#VALUE!</v>
      </c>
      <c r="Q129" t="e">
        <f>AND('SPR BARRANQUILLA'!FO153,"AAAAADrz+xA=")</f>
        <v>#VALUE!</v>
      </c>
      <c r="R129" t="e">
        <f>AND('SPR BARRANQUILLA'!FP153,"AAAAADrz+xE=")</f>
        <v>#VALUE!</v>
      </c>
      <c r="S129" t="e">
        <f>AND('SPR BARRANQUILLA'!FQ153,"AAAAADrz+xI=")</f>
        <v>#VALUE!</v>
      </c>
      <c r="T129" t="e">
        <f>AND('SPR BARRANQUILLA'!FR153,"AAAAADrz+xM=")</f>
        <v>#VALUE!</v>
      </c>
      <c r="U129" t="e">
        <f>AND('SPR BARRANQUILLA'!FS153,"AAAAADrz+xQ=")</f>
        <v>#VALUE!</v>
      </c>
      <c r="V129" t="e">
        <f>AND('SPR BARRANQUILLA'!FT153,"AAAAADrz+xU=")</f>
        <v>#VALUE!</v>
      </c>
      <c r="W129" t="e">
        <f>AND('SPR BARRANQUILLA'!FU153,"AAAAADrz+xY=")</f>
        <v>#VALUE!</v>
      </c>
      <c r="X129" t="e">
        <f>AND('SPR BARRANQUILLA'!FV153,"AAAAADrz+xc=")</f>
        <v>#VALUE!</v>
      </c>
      <c r="Y129" t="e">
        <f>AND('SPR BARRANQUILLA'!FW153,"AAAAADrz+xg=")</f>
        <v>#VALUE!</v>
      </c>
      <c r="Z129" t="e">
        <f>AND('SPR BARRANQUILLA'!FX153,"AAAAADrz+xk=")</f>
        <v>#VALUE!</v>
      </c>
      <c r="AA129" t="e">
        <f>AND('SPR BARRANQUILLA'!FY153,"AAAAADrz+xo=")</f>
        <v>#VALUE!</v>
      </c>
      <c r="AB129" t="e">
        <f>AND('SPR BARRANQUILLA'!FZ153,"AAAAADrz+xs=")</f>
        <v>#VALUE!</v>
      </c>
      <c r="AC129" t="e">
        <f>AND('SPR BARRANQUILLA'!GA153,"AAAAADrz+xw=")</f>
        <v>#VALUE!</v>
      </c>
      <c r="AD129" t="e">
        <f>AND('SPR BARRANQUILLA'!GB153,"AAAAADrz+x0=")</f>
        <v>#VALUE!</v>
      </c>
      <c r="AE129" t="e">
        <f>AND('SPR BARRANQUILLA'!GC153,"AAAAADrz+x4=")</f>
        <v>#VALUE!</v>
      </c>
      <c r="AF129" t="e">
        <f>AND('SPR BARRANQUILLA'!GD153,"AAAAADrz+x8=")</f>
        <v>#VALUE!</v>
      </c>
      <c r="AG129" t="e">
        <f>AND('SPR BARRANQUILLA'!GE153,"AAAAADrz+yA=")</f>
        <v>#VALUE!</v>
      </c>
      <c r="AH129" t="e">
        <f>AND('SPR BARRANQUILLA'!GF153,"AAAAADrz+yE=")</f>
        <v>#VALUE!</v>
      </c>
      <c r="AI129" t="e">
        <f>AND('SPR BARRANQUILLA'!GG153,"AAAAADrz+yI=")</f>
        <v>#VALUE!</v>
      </c>
      <c r="AJ129" t="e">
        <f>AND('SPR BARRANQUILLA'!GH153,"AAAAADrz+yM=")</f>
        <v>#VALUE!</v>
      </c>
      <c r="AK129" t="e">
        <f>AND('SPR BARRANQUILLA'!GI153,"AAAAADrz+yQ=")</f>
        <v>#VALUE!</v>
      </c>
      <c r="AL129" t="e">
        <f>AND('SPR BARRANQUILLA'!GJ153,"AAAAADrz+yU=")</f>
        <v>#VALUE!</v>
      </c>
      <c r="AM129" t="e">
        <f>AND('SPR BARRANQUILLA'!GK153,"AAAAADrz+yY=")</f>
        <v>#VALUE!</v>
      </c>
      <c r="AN129" t="e">
        <f>AND('SPR BARRANQUILLA'!GL153,"AAAAADrz+yc=")</f>
        <v>#VALUE!</v>
      </c>
      <c r="AO129" t="e">
        <f>AND('SPR BARRANQUILLA'!GM153,"AAAAADrz+yg=")</f>
        <v>#VALUE!</v>
      </c>
      <c r="AP129" t="e">
        <f>AND('SPR BARRANQUILLA'!GN153,"AAAAADrz+yk=")</f>
        <v>#VALUE!</v>
      </c>
      <c r="AQ129" t="e">
        <f>AND('SPR BARRANQUILLA'!GO153,"AAAAADrz+yo=")</f>
        <v>#VALUE!</v>
      </c>
      <c r="AR129" t="e">
        <f>AND('SPR BARRANQUILLA'!GP153,"AAAAADrz+ys=")</f>
        <v>#VALUE!</v>
      </c>
      <c r="AS129" t="e">
        <f>AND('SPR BARRANQUILLA'!GQ153,"AAAAADrz+yw=")</f>
        <v>#VALUE!</v>
      </c>
      <c r="AT129" t="e">
        <f>AND('SPR BARRANQUILLA'!GR153,"AAAAADrz+y0=")</f>
        <v>#VALUE!</v>
      </c>
      <c r="AU129" t="e">
        <f>AND('SPR BARRANQUILLA'!GS153,"AAAAADrz+y4=")</f>
        <v>#VALUE!</v>
      </c>
      <c r="AV129" t="e">
        <f>AND('SPR BARRANQUILLA'!GT153,"AAAAADrz+y8=")</f>
        <v>#VALUE!</v>
      </c>
      <c r="AW129" t="e">
        <f>AND('SPR BARRANQUILLA'!GU153,"AAAAADrz+zA=")</f>
        <v>#VALUE!</v>
      </c>
      <c r="AX129" t="e">
        <f>AND('SPR BARRANQUILLA'!GV153,"AAAAADrz+zE=")</f>
        <v>#VALUE!</v>
      </c>
      <c r="AY129" t="e">
        <f>AND('SPR BARRANQUILLA'!GW153,"AAAAADrz+zI=")</f>
        <v>#VALUE!</v>
      </c>
      <c r="AZ129" t="e">
        <f>AND('SPR BARRANQUILLA'!GX153,"AAAAADrz+zM=")</f>
        <v>#VALUE!</v>
      </c>
      <c r="BA129" t="e">
        <f>AND('SPR BARRANQUILLA'!GY153,"AAAAADrz+zQ=")</f>
        <v>#VALUE!</v>
      </c>
      <c r="BB129">
        <f>IF('SPR BARRANQUILLA'!154:154,"AAAAADrz+zU=",0)</f>
        <v>0</v>
      </c>
      <c r="BC129" t="e">
        <f>AND('SPR BARRANQUILLA'!A154,"AAAAADrz+zY=")</f>
        <v>#VALUE!</v>
      </c>
      <c r="BD129" t="e">
        <f>AND('SPR BARRANQUILLA'!B154,"AAAAADrz+zc=")</f>
        <v>#VALUE!</v>
      </c>
      <c r="BE129" t="e">
        <f>AND('SPR BARRANQUILLA'!C154,"AAAAADrz+zg=")</f>
        <v>#VALUE!</v>
      </c>
      <c r="BF129" t="e">
        <f>AND('SPR BARRANQUILLA'!D154,"AAAAADrz+zk=")</f>
        <v>#VALUE!</v>
      </c>
      <c r="BG129" t="e">
        <f>AND('SPR BARRANQUILLA'!E154,"AAAAADrz+zo=")</f>
        <v>#VALUE!</v>
      </c>
      <c r="BH129" t="e">
        <f>AND('SPR BARRANQUILLA'!F154,"AAAAADrz+zs=")</f>
        <v>#VALUE!</v>
      </c>
      <c r="BI129" t="e">
        <f>AND('SPR BARRANQUILLA'!G154,"AAAAADrz+zw=")</f>
        <v>#VALUE!</v>
      </c>
      <c r="BJ129" t="e">
        <f>AND('SPR BARRANQUILLA'!H154,"AAAAADrz+z0=")</f>
        <v>#VALUE!</v>
      </c>
      <c r="BK129" t="e">
        <f>AND('SPR BARRANQUILLA'!I154,"AAAAADrz+z4=")</f>
        <v>#VALUE!</v>
      </c>
      <c r="BL129" t="e">
        <f>AND('SPR BARRANQUILLA'!J154,"AAAAADrz+z8=")</f>
        <v>#VALUE!</v>
      </c>
      <c r="BM129" t="e">
        <f>AND('SPR BARRANQUILLA'!K154,"AAAAADrz+0A=")</f>
        <v>#VALUE!</v>
      </c>
      <c r="BN129" t="e">
        <f>AND('SPR BARRANQUILLA'!L154,"AAAAADrz+0E=")</f>
        <v>#VALUE!</v>
      </c>
      <c r="BO129" t="e">
        <f>AND('SPR BARRANQUILLA'!M154,"AAAAADrz+0I=")</f>
        <v>#VALUE!</v>
      </c>
      <c r="BP129" t="e">
        <f>AND('SPR BARRANQUILLA'!N154,"AAAAADrz+0M=")</f>
        <v>#VALUE!</v>
      </c>
      <c r="BQ129" t="e">
        <f>AND('SPR BARRANQUILLA'!O154,"AAAAADrz+0Q=")</f>
        <v>#VALUE!</v>
      </c>
      <c r="BR129" t="e">
        <f>AND('SPR BARRANQUILLA'!P154,"AAAAADrz+0U=")</f>
        <v>#VALUE!</v>
      </c>
      <c r="BS129" t="e">
        <f>AND('SPR BARRANQUILLA'!Q154,"AAAAADrz+0Y=")</f>
        <v>#VALUE!</v>
      </c>
      <c r="BT129" t="e">
        <f>AND('SPR BARRANQUILLA'!R154,"AAAAADrz+0c=")</f>
        <v>#VALUE!</v>
      </c>
      <c r="BU129" t="e">
        <f>AND('SPR BARRANQUILLA'!S154,"AAAAADrz+0g=")</f>
        <v>#VALUE!</v>
      </c>
      <c r="BV129" t="e">
        <f>AND('SPR BARRANQUILLA'!T154,"AAAAADrz+0k=")</f>
        <v>#VALUE!</v>
      </c>
      <c r="BW129" t="e">
        <f>AND('SPR BARRANQUILLA'!U154,"AAAAADrz+0o=")</f>
        <v>#VALUE!</v>
      </c>
      <c r="BX129" t="e">
        <f>AND('SPR BARRANQUILLA'!V154,"AAAAADrz+0s=")</f>
        <v>#VALUE!</v>
      </c>
      <c r="BY129" t="e">
        <f>AND('SPR BARRANQUILLA'!W154,"AAAAADrz+0w=")</f>
        <v>#VALUE!</v>
      </c>
      <c r="BZ129" t="e">
        <f>AND('SPR BARRANQUILLA'!X154,"AAAAADrz+00=")</f>
        <v>#VALUE!</v>
      </c>
      <c r="CA129" t="e">
        <f>AND('SPR BARRANQUILLA'!Y154,"AAAAADrz+04=")</f>
        <v>#VALUE!</v>
      </c>
      <c r="CB129" t="e">
        <f>AND('SPR BARRANQUILLA'!Z154,"AAAAADrz+08=")</f>
        <v>#VALUE!</v>
      </c>
      <c r="CC129" t="e">
        <f>AND('SPR BARRANQUILLA'!AA154,"AAAAADrz+1A=")</f>
        <v>#VALUE!</v>
      </c>
      <c r="CD129" t="e">
        <f>AND('SPR BARRANQUILLA'!AB154,"AAAAADrz+1E=")</f>
        <v>#VALUE!</v>
      </c>
      <c r="CE129" t="e">
        <f>AND('SPR BARRANQUILLA'!AC154,"AAAAADrz+1I=")</f>
        <v>#VALUE!</v>
      </c>
      <c r="CF129" t="e">
        <f>AND('SPR BARRANQUILLA'!AD154,"AAAAADrz+1M=")</f>
        <v>#VALUE!</v>
      </c>
      <c r="CG129" t="e">
        <f>AND('SPR BARRANQUILLA'!AE154,"AAAAADrz+1Q=")</f>
        <v>#VALUE!</v>
      </c>
      <c r="CH129" t="e">
        <f>AND('SPR BARRANQUILLA'!AF154,"AAAAADrz+1U=")</f>
        <v>#VALUE!</v>
      </c>
      <c r="CI129" t="e">
        <f>AND('SPR BARRANQUILLA'!AG154,"AAAAADrz+1Y=")</f>
        <v>#VALUE!</v>
      </c>
      <c r="CJ129" t="e">
        <f>AND('SPR BARRANQUILLA'!AH154,"AAAAADrz+1c=")</f>
        <v>#VALUE!</v>
      </c>
      <c r="CK129" t="e">
        <f>AND('SPR BARRANQUILLA'!AI154,"AAAAADrz+1g=")</f>
        <v>#VALUE!</v>
      </c>
      <c r="CL129" t="e">
        <f>AND('SPR BARRANQUILLA'!AJ154,"AAAAADrz+1k=")</f>
        <v>#VALUE!</v>
      </c>
      <c r="CM129" t="e">
        <f>AND('SPR BARRANQUILLA'!AK154,"AAAAADrz+1o=")</f>
        <v>#VALUE!</v>
      </c>
      <c r="CN129" t="e">
        <f>AND('SPR BARRANQUILLA'!AL154,"AAAAADrz+1s=")</f>
        <v>#VALUE!</v>
      </c>
      <c r="CO129" t="e">
        <f>AND('SPR BARRANQUILLA'!AM154,"AAAAADrz+1w=")</f>
        <v>#VALUE!</v>
      </c>
      <c r="CP129" t="e">
        <f>AND('SPR BARRANQUILLA'!AN154,"AAAAADrz+10=")</f>
        <v>#VALUE!</v>
      </c>
      <c r="CQ129" t="e">
        <f>AND('SPR BARRANQUILLA'!AO154,"AAAAADrz+14=")</f>
        <v>#VALUE!</v>
      </c>
      <c r="CR129" t="e">
        <f>AND('SPR BARRANQUILLA'!AP154,"AAAAADrz+18=")</f>
        <v>#VALUE!</v>
      </c>
      <c r="CS129" t="e">
        <f>AND('SPR BARRANQUILLA'!AQ154,"AAAAADrz+2A=")</f>
        <v>#VALUE!</v>
      </c>
      <c r="CT129" t="e">
        <f>AND('SPR BARRANQUILLA'!AR154,"AAAAADrz+2E=")</f>
        <v>#VALUE!</v>
      </c>
      <c r="CU129" t="e">
        <f>AND('SPR BARRANQUILLA'!AS154,"AAAAADrz+2I=")</f>
        <v>#VALUE!</v>
      </c>
      <c r="CV129" t="e">
        <f>AND('SPR BARRANQUILLA'!AT154,"AAAAADrz+2M=")</f>
        <v>#VALUE!</v>
      </c>
      <c r="CW129" t="e">
        <f>AND('SPR BARRANQUILLA'!AU154,"AAAAADrz+2Q=")</f>
        <v>#VALUE!</v>
      </c>
      <c r="CX129" t="e">
        <f>AND('SPR BARRANQUILLA'!AV154,"AAAAADrz+2U=")</f>
        <v>#VALUE!</v>
      </c>
      <c r="CY129" t="e">
        <f>AND('SPR BARRANQUILLA'!AW154,"AAAAADrz+2Y=")</f>
        <v>#VALUE!</v>
      </c>
      <c r="CZ129" t="e">
        <f>AND('SPR BARRANQUILLA'!AX154,"AAAAADrz+2c=")</f>
        <v>#VALUE!</v>
      </c>
      <c r="DA129" t="e">
        <f>AND('SPR BARRANQUILLA'!AY154,"AAAAADrz+2g=")</f>
        <v>#VALUE!</v>
      </c>
      <c r="DB129" t="e">
        <f>AND('SPR BARRANQUILLA'!AZ154,"AAAAADrz+2k=")</f>
        <v>#VALUE!</v>
      </c>
      <c r="DC129" t="e">
        <f>AND('SPR BARRANQUILLA'!BA154,"AAAAADrz+2o=")</f>
        <v>#VALUE!</v>
      </c>
      <c r="DD129" t="e">
        <f>AND('SPR BARRANQUILLA'!BB154,"AAAAADrz+2s=")</f>
        <v>#VALUE!</v>
      </c>
      <c r="DE129" t="e">
        <f>AND('SPR BARRANQUILLA'!BC154,"AAAAADrz+2w=")</f>
        <v>#VALUE!</v>
      </c>
      <c r="DF129" t="e">
        <f>AND('SPR BARRANQUILLA'!BD154,"AAAAADrz+20=")</f>
        <v>#VALUE!</v>
      </c>
      <c r="DG129" t="e">
        <f>AND('SPR BARRANQUILLA'!BE154,"AAAAADrz+24=")</f>
        <v>#VALUE!</v>
      </c>
      <c r="DH129" t="e">
        <f>AND('SPR BARRANQUILLA'!BF154,"AAAAADrz+28=")</f>
        <v>#VALUE!</v>
      </c>
      <c r="DI129" t="e">
        <f>AND('SPR BARRANQUILLA'!BG154,"AAAAADrz+3A=")</f>
        <v>#VALUE!</v>
      </c>
      <c r="DJ129" t="e">
        <f>AND('SPR BARRANQUILLA'!BH154,"AAAAADrz+3E=")</f>
        <v>#VALUE!</v>
      </c>
      <c r="DK129" t="e">
        <f>AND('SPR BARRANQUILLA'!BI154,"AAAAADrz+3I=")</f>
        <v>#VALUE!</v>
      </c>
      <c r="DL129" t="e">
        <f>AND('SPR BARRANQUILLA'!BJ154,"AAAAADrz+3M=")</f>
        <v>#VALUE!</v>
      </c>
      <c r="DM129" t="e">
        <f>AND('SPR BARRANQUILLA'!BK154,"AAAAADrz+3Q=")</f>
        <v>#VALUE!</v>
      </c>
      <c r="DN129" t="e">
        <f>AND('SPR BARRANQUILLA'!BL154,"AAAAADrz+3U=")</f>
        <v>#VALUE!</v>
      </c>
      <c r="DO129" t="e">
        <f>AND('SPR BARRANQUILLA'!BM154,"AAAAADrz+3Y=")</f>
        <v>#VALUE!</v>
      </c>
      <c r="DP129" t="e">
        <f>AND('SPR BARRANQUILLA'!BN154,"AAAAADrz+3c=")</f>
        <v>#VALUE!</v>
      </c>
      <c r="DQ129" t="e">
        <f>AND('SPR BARRANQUILLA'!BO154,"AAAAADrz+3g=")</f>
        <v>#VALUE!</v>
      </c>
      <c r="DR129" t="e">
        <f>AND('SPR BARRANQUILLA'!BP154,"AAAAADrz+3k=")</f>
        <v>#VALUE!</v>
      </c>
      <c r="DS129" t="e">
        <f>AND('SPR BARRANQUILLA'!BQ154,"AAAAADrz+3o=")</f>
        <v>#VALUE!</v>
      </c>
      <c r="DT129" t="e">
        <f>AND('SPR BARRANQUILLA'!BR154,"AAAAADrz+3s=")</f>
        <v>#VALUE!</v>
      </c>
      <c r="DU129" t="e">
        <f>AND('SPR BARRANQUILLA'!BS154,"AAAAADrz+3w=")</f>
        <v>#VALUE!</v>
      </c>
      <c r="DV129" t="e">
        <f>AND('SPR BARRANQUILLA'!BT154,"AAAAADrz+30=")</f>
        <v>#VALUE!</v>
      </c>
      <c r="DW129" t="e">
        <f>AND('SPR BARRANQUILLA'!BU154,"AAAAADrz+34=")</f>
        <v>#VALUE!</v>
      </c>
      <c r="DX129" t="e">
        <f>AND('SPR BARRANQUILLA'!BV154,"AAAAADrz+38=")</f>
        <v>#VALUE!</v>
      </c>
      <c r="DY129" t="e">
        <f>AND('SPR BARRANQUILLA'!BW154,"AAAAADrz+4A=")</f>
        <v>#VALUE!</v>
      </c>
      <c r="DZ129" t="e">
        <f>AND('SPR BARRANQUILLA'!BX154,"AAAAADrz+4E=")</f>
        <v>#VALUE!</v>
      </c>
      <c r="EA129" t="e">
        <f>AND('SPR BARRANQUILLA'!BY154,"AAAAADrz+4I=")</f>
        <v>#VALUE!</v>
      </c>
      <c r="EB129" t="e">
        <f>AND('SPR BARRANQUILLA'!BZ154,"AAAAADrz+4M=")</f>
        <v>#VALUE!</v>
      </c>
      <c r="EC129" t="e">
        <f>AND('SPR BARRANQUILLA'!CA154,"AAAAADrz+4Q=")</f>
        <v>#VALUE!</v>
      </c>
      <c r="ED129" t="e">
        <f>AND('SPR BARRANQUILLA'!CB154,"AAAAADrz+4U=")</f>
        <v>#VALUE!</v>
      </c>
      <c r="EE129" t="e">
        <f>AND('SPR BARRANQUILLA'!CC154,"AAAAADrz+4Y=")</f>
        <v>#VALUE!</v>
      </c>
      <c r="EF129" t="e">
        <f>AND('SPR BARRANQUILLA'!CD154,"AAAAADrz+4c=")</f>
        <v>#VALUE!</v>
      </c>
      <c r="EG129" t="e">
        <f>AND('SPR BARRANQUILLA'!CE154,"AAAAADrz+4g=")</f>
        <v>#VALUE!</v>
      </c>
      <c r="EH129" t="e">
        <f>AND('SPR BARRANQUILLA'!CF154,"AAAAADrz+4k=")</f>
        <v>#VALUE!</v>
      </c>
      <c r="EI129" t="e">
        <f>AND('SPR BARRANQUILLA'!CG154,"AAAAADrz+4o=")</f>
        <v>#VALUE!</v>
      </c>
      <c r="EJ129" t="e">
        <f>AND('SPR BARRANQUILLA'!CH154,"AAAAADrz+4s=")</f>
        <v>#VALUE!</v>
      </c>
      <c r="EK129" t="e">
        <f>AND('SPR BARRANQUILLA'!CI154,"AAAAADrz+4w=")</f>
        <v>#VALUE!</v>
      </c>
      <c r="EL129" t="e">
        <f>AND('SPR BARRANQUILLA'!CJ154,"AAAAADrz+40=")</f>
        <v>#VALUE!</v>
      </c>
      <c r="EM129" t="e">
        <f>AND('SPR BARRANQUILLA'!CK154,"AAAAADrz+44=")</f>
        <v>#VALUE!</v>
      </c>
      <c r="EN129" t="e">
        <f>AND('SPR BARRANQUILLA'!CL154,"AAAAADrz+48=")</f>
        <v>#VALUE!</v>
      </c>
      <c r="EO129" t="e">
        <f>AND('SPR BARRANQUILLA'!CM154,"AAAAADrz+5A=")</f>
        <v>#VALUE!</v>
      </c>
      <c r="EP129" t="e">
        <f>AND('SPR BARRANQUILLA'!CN154,"AAAAADrz+5E=")</f>
        <v>#VALUE!</v>
      </c>
      <c r="EQ129" t="e">
        <f>AND('SPR BARRANQUILLA'!CO154,"AAAAADrz+5I=")</f>
        <v>#VALUE!</v>
      </c>
      <c r="ER129" t="e">
        <f>AND('SPR BARRANQUILLA'!CP154,"AAAAADrz+5M=")</f>
        <v>#VALUE!</v>
      </c>
      <c r="ES129" t="e">
        <f>AND('SPR BARRANQUILLA'!CQ154,"AAAAADrz+5Q=")</f>
        <v>#VALUE!</v>
      </c>
      <c r="ET129" t="e">
        <f>AND('SPR BARRANQUILLA'!CR154,"AAAAADrz+5U=")</f>
        <v>#VALUE!</v>
      </c>
      <c r="EU129" t="e">
        <f>AND('SPR BARRANQUILLA'!CS154,"AAAAADrz+5Y=")</f>
        <v>#VALUE!</v>
      </c>
      <c r="EV129" t="e">
        <f>AND('SPR BARRANQUILLA'!CT154,"AAAAADrz+5c=")</f>
        <v>#VALUE!</v>
      </c>
      <c r="EW129" t="e">
        <f>AND('SPR BARRANQUILLA'!CU154,"AAAAADrz+5g=")</f>
        <v>#VALUE!</v>
      </c>
      <c r="EX129" t="e">
        <f>AND('SPR BARRANQUILLA'!CV154,"AAAAADrz+5k=")</f>
        <v>#VALUE!</v>
      </c>
      <c r="EY129" t="e">
        <f>AND('SPR BARRANQUILLA'!CW154,"AAAAADrz+5o=")</f>
        <v>#VALUE!</v>
      </c>
      <c r="EZ129" t="e">
        <f>AND('SPR BARRANQUILLA'!CX154,"AAAAADrz+5s=")</f>
        <v>#VALUE!</v>
      </c>
      <c r="FA129" t="e">
        <f>AND('SPR BARRANQUILLA'!CY154,"AAAAADrz+5w=")</f>
        <v>#VALUE!</v>
      </c>
      <c r="FB129" t="e">
        <f>AND('SPR BARRANQUILLA'!CZ154,"AAAAADrz+50=")</f>
        <v>#VALUE!</v>
      </c>
      <c r="FC129" t="e">
        <f>AND('SPR BARRANQUILLA'!DA154,"AAAAADrz+54=")</f>
        <v>#VALUE!</v>
      </c>
      <c r="FD129" t="e">
        <f>AND('SPR BARRANQUILLA'!DB154,"AAAAADrz+58=")</f>
        <v>#VALUE!</v>
      </c>
      <c r="FE129" t="e">
        <f>AND('SPR BARRANQUILLA'!DC154,"AAAAADrz+6A=")</f>
        <v>#VALUE!</v>
      </c>
      <c r="FF129" t="e">
        <f>AND('SPR BARRANQUILLA'!DD154,"AAAAADrz+6E=")</f>
        <v>#VALUE!</v>
      </c>
      <c r="FG129" t="e">
        <f>AND('SPR BARRANQUILLA'!DE154,"AAAAADrz+6I=")</f>
        <v>#VALUE!</v>
      </c>
      <c r="FH129" t="e">
        <f>AND('SPR BARRANQUILLA'!DF154,"AAAAADrz+6M=")</f>
        <v>#VALUE!</v>
      </c>
      <c r="FI129" t="e">
        <f>AND('SPR BARRANQUILLA'!DG154,"AAAAADrz+6Q=")</f>
        <v>#VALUE!</v>
      </c>
      <c r="FJ129" t="e">
        <f>AND('SPR BARRANQUILLA'!DH154,"AAAAADrz+6U=")</f>
        <v>#VALUE!</v>
      </c>
      <c r="FK129" t="e">
        <f>AND('SPR BARRANQUILLA'!DI154,"AAAAADrz+6Y=")</f>
        <v>#VALUE!</v>
      </c>
      <c r="FL129" t="e">
        <f>AND('SPR BARRANQUILLA'!DJ154,"AAAAADrz+6c=")</f>
        <v>#VALUE!</v>
      </c>
      <c r="FM129" t="e">
        <f>AND('SPR BARRANQUILLA'!DK154,"AAAAADrz+6g=")</f>
        <v>#VALUE!</v>
      </c>
      <c r="FN129" t="e">
        <f>AND('SPR BARRANQUILLA'!DL154,"AAAAADrz+6k=")</f>
        <v>#VALUE!</v>
      </c>
      <c r="FO129" t="e">
        <f>AND('SPR BARRANQUILLA'!DM154,"AAAAADrz+6o=")</f>
        <v>#VALUE!</v>
      </c>
      <c r="FP129" t="e">
        <f>AND('SPR BARRANQUILLA'!DN154,"AAAAADrz+6s=")</f>
        <v>#VALUE!</v>
      </c>
      <c r="FQ129" t="e">
        <f>AND('SPR BARRANQUILLA'!DO154,"AAAAADrz+6w=")</f>
        <v>#VALUE!</v>
      </c>
      <c r="FR129" t="e">
        <f>AND('SPR BARRANQUILLA'!DP154,"AAAAADrz+60=")</f>
        <v>#VALUE!</v>
      </c>
      <c r="FS129" t="e">
        <f>AND('SPR BARRANQUILLA'!DQ154,"AAAAADrz+64=")</f>
        <v>#VALUE!</v>
      </c>
      <c r="FT129" t="e">
        <f>AND('SPR BARRANQUILLA'!DR154,"AAAAADrz+68=")</f>
        <v>#VALUE!</v>
      </c>
      <c r="FU129" t="e">
        <f>AND('SPR BARRANQUILLA'!DS154,"AAAAADrz+7A=")</f>
        <v>#VALUE!</v>
      </c>
      <c r="FV129" t="e">
        <f>AND('SPR BARRANQUILLA'!DT154,"AAAAADrz+7E=")</f>
        <v>#VALUE!</v>
      </c>
      <c r="FW129" t="e">
        <f>AND('SPR BARRANQUILLA'!DU154,"AAAAADrz+7I=")</f>
        <v>#VALUE!</v>
      </c>
      <c r="FX129" t="e">
        <f>AND('SPR BARRANQUILLA'!DV154,"AAAAADrz+7M=")</f>
        <v>#VALUE!</v>
      </c>
      <c r="FY129" t="e">
        <f>AND('SPR BARRANQUILLA'!DW154,"AAAAADrz+7Q=")</f>
        <v>#VALUE!</v>
      </c>
      <c r="FZ129" t="e">
        <f>AND('SPR BARRANQUILLA'!DX154,"AAAAADrz+7U=")</f>
        <v>#VALUE!</v>
      </c>
      <c r="GA129" t="e">
        <f>AND('SPR BARRANQUILLA'!DY154,"AAAAADrz+7Y=")</f>
        <v>#VALUE!</v>
      </c>
      <c r="GB129" t="e">
        <f>AND('SPR BARRANQUILLA'!DZ154,"AAAAADrz+7c=")</f>
        <v>#VALUE!</v>
      </c>
      <c r="GC129" t="e">
        <f>AND('SPR BARRANQUILLA'!EA154,"AAAAADrz+7g=")</f>
        <v>#VALUE!</v>
      </c>
      <c r="GD129" t="e">
        <f>AND('SPR BARRANQUILLA'!EB154,"AAAAADrz+7k=")</f>
        <v>#VALUE!</v>
      </c>
      <c r="GE129" t="e">
        <f>AND('SPR BARRANQUILLA'!EC154,"AAAAADrz+7o=")</f>
        <v>#VALUE!</v>
      </c>
      <c r="GF129" t="e">
        <f>AND('SPR BARRANQUILLA'!ED154,"AAAAADrz+7s=")</f>
        <v>#VALUE!</v>
      </c>
      <c r="GG129" t="e">
        <f>AND('SPR BARRANQUILLA'!EE154,"AAAAADrz+7w=")</f>
        <v>#VALUE!</v>
      </c>
      <c r="GH129" t="e">
        <f>AND('SPR BARRANQUILLA'!EF154,"AAAAADrz+70=")</f>
        <v>#VALUE!</v>
      </c>
      <c r="GI129" t="e">
        <f>AND('SPR BARRANQUILLA'!EG154,"AAAAADrz+74=")</f>
        <v>#VALUE!</v>
      </c>
      <c r="GJ129" t="e">
        <f>AND('SPR BARRANQUILLA'!EH154,"AAAAADrz+78=")</f>
        <v>#VALUE!</v>
      </c>
      <c r="GK129" t="e">
        <f>AND('SPR BARRANQUILLA'!EI154,"AAAAADrz+8A=")</f>
        <v>#VALUE!</v>
      </c>
      <c r="GL129" t="e">
        <f>AND('SPR BARRANQUILLA'!EJ154,"AAAAADrz+8E=")</f>
        <v>#VALUE!</v>
      </c>
      <c r="GM129" t="e">
        <f>AND('SPR BARRANQUILLA'!EK154,"AAAAADrz+8I=")</f>
        <v>#VALUE!</v>
      </c>
      <c r="GN129" t="e">
        <f>AND('SPR BARRANQUILLA'!EL154,"AAAAADrz+8M=")</f>
        <v>#VALUE!</v>
      </c>
      <c r="GO129" t="e">
        <f>AND('SPR BARRANQUILLA'!EM154,"AAAAADrz+8Q=")</f>
        <v>#VALUE!</v>
      </c>
      <c r="GP129" t="e">
        <f>AND('SPR BARRANQUILLA'!EN154,"AAAAADrz+8U=")</f>
        <v>#VALUE!</v>
      </c>
      <c r="GQ129" t="e">
        <f>AND('SPR BARRANQUILLA'!EO154,"AAAAADrz+8Y=")</f>
        <v>#VALUE!</v>
      </c>
      <c r="GR129" t="e">
        <f>AND('SPR BARRANQUILLA'!EP154,"AAAAADrz+8c=")</f>
        <v>#VALUE!</v>
      </c>
      <c r="GS129" t="e">
        <f>AND('SPR BARRANQUILLA'!EQ154,"AAAAADrz+8g=")</f>
        <v>#VALUE!</v>
      </c>
      <c r="GT129" t="e">
        <f>AND('SPR BARRANQUILLA'!ER154,"AAAAADrz+8k=")</f>
        <v>#VALUE!</v>
      </c>
      <c r="GU129" t="e">
        <f>AND('SPR BARRANQUILLA'!ES154,"AAAAADrz+8o=")</f>
        <v>#VALUE!</v>
      </c>
      <c r="GV129" t="e">
        <f>AND('SPR BARRANQUILLA'!ET154,"AAAAADrz+8s=")</f>
        <v>#VALUE!</v>
      </c>
      <c r="GW129" t="e">
        <f>AND('SPR BARRANQUILLA'!EU154,"AAAAADrz+8w=")</f>
        <v>#VALUE!</v>
      </c>
      <c r="GX129" t="e">
        <f>AND('SPR BARRANQUILLA'!EV154,"AAAAADrz+80=")</f>
        <v>#VALUE!</v>
      </c>
      <c r="GY129" t="e">
        <f>AND('SPR BARRANQUILLA'!EW154,"AAAAADrz+84=")</f>
        <v>#VALUE!</v>
      </c>
      <c r="GZ129" t="e">
        <f>AND('SPR BARRANQUILLA'!EX154,"AAAAADrz+88=")</f>
        <v>#VALUE!</v>
      </c>
      <c r="HA129" t="e">
        <f>AND('SPR BARRANQUILLA'!EY154,"AAAAADrz+9A=")</f>
        <v>#VALUE!</v>
      </c>
      <c r="HB129" t="e">
        <f>AND('SPR BARRANQUILLA'!EZ154,"AAAAADrz+9E=")</f>
        <v>#VALUE!</v>
      </c>
      <c r="HC129" t="e">
        <f>AND('SPR BARRANQUILLA'!FA154,"AAAAADrz+9I=")</f>
        <v>#VALUE!</v>
      </c>
      <c r="HD129" t="e">
        <f>AND('SPR BARRANQUILLA'!FB154,"AAAAADrz+9M=")</f>
        <v>#VALUE!</v>
      </c>
      <c r="HE129" t="e">
        <f>AND('SPR BARRANQUILLA'!FC154,"AAAAADrz+9Q=")</f>
        <v>#VALUE!</v>
      </c>
      <c r="HF129" t="e">
        <f>AND('SPR BARRANQUILLA'!FD154,"AAAAADrz+9U=")</f>
        <v>#VALUE!</v>
      </c>
      <c r="HG129" t="e">
        <f>AND('SPR BARRANQUILLA'!FE154,"AAAAADrz+9Y=")</f>
        <v>#VALUE!</v>
      </c>
      <c r="HH129" t="e">
        <f>AND('SPR BARRANQUILLA'!FF154,"AAAAADrz+9c=")</f>
        <v>#VALUE!</v>
      </c>
      <c r="HI129" t="e">
        <f>AND('SPR BARRANQUILLA'!FG154,"AAAAADrz+9g=")</f>
        <v>#VALUE!</v>
      </c>
      <c r="HJ129" t="e">
        <f>AND('SPR BARRANQUILLA'!FH154,"AAAAADrz+9k=")</f>
        <v>#VALUE!</v>
      </c>
      <c r="HK129" t="e">
        <f>AND('SPR BARRANQUILLA'!FI154,"AAAAADrz+9o=")</f>
        <v>#VALUE!</v>
      </c>
      <c r="HL129" t="e">
        <f>AND('SPR BARRANQUILLA'!FJ154,"AAAAADrz+9s=")</f>
        <v>#VALUE!</v>
      </c>
      <c r="HM129" t="e">
        <f>AND('SPR BARRANQUILLA'!FK154,"AAAAADrz+9w=")</f>
        <v>#VALUE!</v>
      </c>
      <c r="HN129" t="e">
        <f>AND('SPR BARRANQUILLA'!FL154,"AAAAADrz+90=")</f>
        <v>#VALUE!</v>
      </c>
      <c r="HO129" t="e">
        <f>AND('SPR BARRANQUILLA'!FM154,"AAAAADrz+94=")</f>
        <v>#VALUE!</v>
      </c>
      <c r="HP129" t="e">
        <f>AND('SPR BARRANQUILLA'!FN154,"AAAAADrz+98=")</f>
        <v>#VALUE!</v>
      </c>
      <c r="HQ129" t="e">
        <f>AND('SPR BARRANQUILLA'!FO154,"AAAAADrz++A=")</f>
        <v>#VALUE!</v>
      </c>
      <c r="HR129" t="e">
        <f>AND('SPR BARRANQUILLA'!FP154,"AAAAADrz++E=")</f>
        <v>#VALUE!</v>
      </c>
      <c r="HS129" t="e">
        <f>AND('SPR BARRANQUILLA'!FQ154,"AAAAADrz++I=")</f>
        <v>#VALUE!</v>
      </c>
      <c r="HT129" t="e">
        <f>AND('SPR BARRANQUILLA'!FR154,"AAAAADrz++M=")</f>
        <v>#VALUE!</v>
      </c>
      <c r="HU129" t="e">
        <f>AND('SPR BARRANQUILLA'!FS154,"AAAAADrz++Q=")</f>
        <v>#VALUE!</v>
      </c>
      <c r="HV129" t="e">
        <f>AND('SPR BARRANQUILLA'!FT154,"AAAAADrz++U=")</f>
        <v>#VALUE!</v>
      </c>
      <c r="HW129" t="e">
        <f>AND('SPR BARRANQUILLA'!FU154,"AAAAADrz++Y=")</f>
        <v>#VALUE!</v>
      </c>
      <c r="HX129" t="e">
        <f>AND('SPR BARRANQUILLA'!FV154,"AAAAADrz++c=")</f>
        <v>#VALUE!</v>
      </c>
      <c r="HY129" t="e">
        <f>AND('SPR BARRANQUILLA'!FW154,"AAAAADrz++g=")</f>
        <v>#VALUE!</v>
      </c>
      <c r="HZ129" t="e">
        <f>AND('SPR BARRANQUILLA'!FX154,"AAAAADrz++k=")</f>
        <v>#VALUE!</v>
      </c>
      <c r="IA129" t="e">
        <f>AND('SPR BARRANQUILLA'!FY154,"AAAAADrz++o=")</f>
        <v>#VALUE!</v>
      </c>
      <c r="IB129" t="e">
        <f>AND('SPR BARRANQUILLA'!FZ154,"AAAAADrz++s=")</f>
        <v>#VALUE!</v>
      </c>
      <c r="IC129" t="e">
        <f>AND('SPR BARRANQUILLA'!GA154,"AAAAADrz++w=")</f>
        <v>#VALUE!</v>
      </c>
      <c r="ID129" t="e">
        <f>AND('SPR BARRANQUILLA'!GB154,"AAAAADrz++0=")</f>
        <v>#VALUE!</v>
      </c>
      <c r="IE129" t="e">
        <f>AND('SPR BARRANQUILLA'!GC154,"AAAAADrz++4=")</f>
        <v>#VALUE!</v>
      </c>
      <c r="IF129" t="e">
        <f>AND('SPR BARRANQUILLA'!GD154,"AAAAADrz++8=")</f>
        <v>#VALUE!</v>
      </c>
      <c r="IG129" t="e">
        <f>AND('SPR BARRANQUILLA'!GE154,"AAAAADrz+/A=")</f>
        <v>#VALUE!</v>
      </c>
      <c r="IH129" t="e">
        <f>AND('SPR BARRANQUILLA'!GF154,"AAAAADrz+/E=")</f>
        <v>#VALUE!</v>
      </c>
      <c r="II129" t="e">
        <f>AND('SPR BARRANQUILLA'!GG154,"AAAAADrz+/I=")</f>
        <v>#VALUE!</v>
      </c>
      <c r="IJ129" t="e">
        <f>AND('SPR BARRANQUILLA'!GH154,"AAAAADrz+/M=")</f>
        <v>#VALUE!</v>
      </c>
      <c r="IK129" t="e">
        <f>AND('SPR BARRANQUILLA'!GI154,"AAAAADrz+/Q=")</f>
        <v>#VALUE!</v>
      </c>
      <c r="IL129" t="e">
        <f>AND('SPR BARRANQUILLA'!GJ154,"AAAAADrz+/U=")</f>
        <v>#VALUE!</v>
      </c>
      <c r="IM129" t="e">
        <f>AND('SPR BARRANQUILLA'!GK154,"AAAAADrz+/Y=")</f>
        <v>#VALUE!</v>
      </c>
      <c r="IN129" t="e">
        <f>AND('SPR BARRANQUILLA'!GL154,"AAAAADrz+/c=")</f>
        <v>#VALUE!</v>
      </c>
      <c r="IO129" t="e">
        <f>AND('SPR BARRANQUILLA'!GM154,"AAAAADrz+/g=")</f>
        <v>#VALUE!</v>
      </c>
      <c r="IP129" t="e">
        <f>AND('SPR BARRANQUILLA'!GN154,"AAAAADrz+/k=")</f>
        <v>#VALUE!</v>
      </c>
      <c r="IQ129" t="e">
        <f>AND('SPR BARRANQUILLA'!GO154,"AAAAADrz+/o=")</f>
        <v>#VALUE!</v>
      </c>
      <c r="IR129" t="e">
        <f>AND('SPR BARRANQUILLA'!GP154,"AAAAADrz+/s=")</f>
        <v>#VALUE!</v>
      </c>
      <c r="IS129" t="e">
        <f>AND('SPR BARRANQUILLA'!GQ154,"AAAAADrz+/w=")</f>
        <v>#VALUE!</v>
      </c>
      <c r="IT129" t="e">
        <f>AND('SPR BARRANQUILLA'!GR154,"AAAAADrz+/0=")</f>
        <v>#VALUE!</v>
      </c>
      <c r="IU129" t="e">
        <f>AND('SPR BARRANQUILLA'!GS154,"AAAAADrz+/4=")</f>
        <v>#VALUE!</v>
      </c>
      <c r="IV129" t="e">
        <f>AND('SPR BARRANQUILLA'!GT154,"AAAAADrz+/8=")</f>
        <v>#VALUE!</v>
      </c>
    </row>
    <row r="130" spans="1:256">
      <c r="A130" t="e">
        <f>AND('SPR BARRANQUILLA'!GU154,"AAAAAEex+wA=")</f>
        <v>#VALUE!</v>
      </c>
      <c r="B130" t="e">
        <f>AND('SPR BARRANQUILLA'!GV154,"AAAAAEex+wE=")</f>
        <v>#VALUE!</v>
      </c>
      <c r="C130" t="e">
        <f>AND('SPR BARRANQUILLA'!GW154,"AAAAAEex+wI=")</f>
        <v>#VALUE!</v>
      </c>
      <c r="D130" t="e">
        <f>AND('SPR BARRANQUILLA'!GX154,"AAAAAEex+wM=")</f>
        <v>#VALUE!</v>
      </c>
      <c r="E130" t="e">
        <f>AND('SPR BARRANQUILLA'!GY154,"AAAAAEex+wQ=")</f>
        <v>#VALUE!</v>
      </c>
      <c r="F130" t="e">
        <f>IF('SPR BARRANQUILLA'!155:155,"AAAAAEex+wU=",0)</f>
        <v>#VALUE!</v>
      </c>
      <c r="G130" t="e">
        <f>AND('SPR BARRANQUILLA'!A155,"AAAAAEex+wY=")</f>
        <v>#VALUE!</v>
      </c>
      <c r="H130" t="e">
        <f>AND('SPR BARRANQUILLA'!B155,"AAAAAEex+wc=")</f>
        <v>#VALUE!</v>
      </c>
      <c r="I130" t="e">
        <f>AND('SPR BARRANQUILLA'!C155,"AAAAAEex+wg=")</f>
        <v>#VALUE!</v>
      </c>
      <c r="J130" t="e">
        <f>AND('SPR BARRANQUILLA'!D155,"AAAAAEex+wk=")</f>
        <v>#VALUE!</v>
      </c>
      <c r="K130" t="e">
        <f>AND('SPR BARRANQUILLA'!E155,"AAAAAEex+wo=")</f>
        <v>#VALUE!</v>
      </c>
      <c r="L130" t="e">
        <f>AND('SPR BARRANQUILLA'!F155,"AAAAAEex+ws=")</f>
        <v>#VALUE!</v>
      </c>
      <c r="M130" t="e">
        <f>AND('SPR BARRANQUILLA'!G155,"AAAAAEex+ww=")</f>
        <v>#VALUE!</v>
      </c>
      <c r="N130" t="e">
        <f>AND('SPR BARRANQUILLA'!H155,"AAAAAEex+w0=")</f>
        <v>#VALUE!</v>
      </c>
      <c r="O130" t="e">
        <f>AND('SPR BARRANQUILLA'!I155,"AAAAAEex+w4=")</f>
        <v>#VALUE!</v>
      </c>
      <c r="P130" t="e">
        <f>AND('SPR BARRANQUILLA'!J155,"AAAAAEex+w8=")</f>
        <v>#VALUE!</v>
      </c>
      <c r="Q130" t="e">
        <f>AND('SPR BARRANQUILLA'!K155,"AAAAAEex+xA=")</f>
        <v>#VALUE!</v>
      </c>
      <c r="R130" t="e">
        <f>AND('SPR BARRANQUILLA'!L155,"AAAAAEex+xE=")</f>
        <v>#VALUE!</v>
      </c>
      <c r="S130" t="e">
        <f>AND('SPR BARRANQUILLA'!M155,"AAAAAEex+xI=")</f>
        <v>#VALUE!</v>
      </c>
      <c r="T130" t="e">
        <f>AND('SPR BARRANQUILLA'!N155,"AAAAAEex+xM=")</f>
        <v>#VALUE!</v>
      </c>
      <c r="U130" t="e">
        <f>AND('SPR BARRANQUILLA'!O155,"AAAAAEex+xQ=")</f>
        <v>#VALUE!</v>
      </c>
      <c r="V130" t="e">
        <f>AND('SPR BARRANQUILLA'!P155,"AAAAAEex+xU=")</f>
        <v>#VALUE!</v>
      </c>
      <c r="W130" t="e">
        <f>AND('SPR BARRANQUILLA'!Q155,"AAAAAEex+xY=")</f>
        <v>#VALUE!</v>
      </c>
      <c r="X130" t="e">
        <f>AND('SPR BARRANQUILLA'!R155,"AAAAAEex+xc=")</f>
        <v>#VALUE!</v>
      </c>
      <c r="Y130" t="e">
        <f>AND('SPR BARRANQUILLA'!S155,"AAAAAEex+xg=")</f>
        <v>#VALUE!</v>
      </c>
      <c r="Z130" t="e">
        <f>AND('SPR BARRANQUILLA'!T155,"AAAAAEex+xk=")</f>
        <v>#VALUE!</v>
      </c>
      <c r="AA130" t="e">
        <f>AND('SPR BARRANQUILLA'!U155,"AAAAAEex+xo=")</f>
        <v>#VALUE!</v>
      </c>
      <c r="AB130" t="e">
        <f>AND('SPR BARRANQUILLA'!V155,"AAAAAEex+xs=")</f>
        <v>#VALUE!</v>
      </c>
      <c r="AC130" t="e">
        <f>AND('SPR BARRANQUILLA'!W155,"AAAAAEex+xw=")</f>
        <v>#VALUE!</v>
      </c>
      <c r="AD130" t="e">
        <f>AND('SPR BARRANQUILLA'!X155,"AAAAAEex+x0=")</f>
        <v>#VALUE!</v>
      </c>
      <c r="AE130" t="e">
        <f>AND('SPR BARRANQUILLA'!Y155,"AAAAAEex+x4=")</f>
        <v>#VALUE!</v>
      </c>
      <c r="AF130" t="e">
        <f>AND('SPR BARRANQUILLA'!Z155,"AAAAAEex+x8=")</f>
        <v>#VALUE!</v>
      </c>
      <c r="AG130" t="e">
        <f>AND('SPR BARRANQUILLA'!AA155,"AAAAAEex+yA=")</f>
        <v>#VALUE!</v>
      </c>
      <c r="AH130" t="e">
        <f>AND('SPR BARRANQUILLA'!AB155,"AAAAAEex+yE=")</f>
        <v>#VALUE!</v>
      </c>
      <c r="AI130" t="e">
        <f>AND('SPR BARRANQUILLA'!AC155,"AAAAAEex+yI=")</f>
        <v>#VALUE!</v>
      </c>
      <c r="AJ130" t="e">
        <f>AND('SPR BARRANQUILLA'!AD155,"AAAAAEex+yM=")</f>
        <v>#VALUE!</v>
      </c>
      <c r="AK130" t="e">
        <f>AND('SPR BARRANQUILLA'!AE155,"AAAAAEex+yQ=")</f>
        <v>#VALUE!</v>
      </c>
      <c r="AL130" t="e">
        <f>AND('SPR BARRANQUILLA'!AF155,"AAAAAEex+yU=")</f>
        <v>#VALUE!</v>
      </c>
      <c r="AM130" t="e">
        <f>AND('SPR BARRANQUILLA'!AG155,"AAAAAEex+yY=")</f>
        <v>#VALUE!</v>
      </c>
      <c r="AN130" t="e">
        <f>AND('SPR BARRANQUILLA'!AH155,"AAAAAEex+yc=")</f>
        <v>#VALUE!</v>
      </c>
      <c r="AO130" t="e">
        <f>AND('SPR BARRANQUILLA'!AI155,"AAAAAEex+yg=")</f>
        <v>#VALUE!</v>
      </c>
      <c r="AP130" t="e">
        <f>AND('SPR BARRANQUILLA'!AJ155,"AAAAAEex+yk=")</f>
        <v>#VALUE!</v>
      </c>
      <c r="AQ130" t="e">
        <f>AND('SPR BARRANQUILLA'!AK155,"AAAAAEex+yo=")</f>
        <v>#VALUE!</v>
      </c>
      <c r="AR130" t="e">
        <f>AND('SPR BARRANQUILLA'!AL155,"AAAAAEex+ys=")</f>
        <v>#VALUE!</v>
      </c>
      <c r="AS130" t="e">
        <f>AND('SPR BARRANQUILLA'!AM155,"AAAAAEex+yw=")</f>
        <v>#VALUE!</v>
      </c>
      <c r="AT130" t="e">
        <f>AND('SPR BARRANQUILLA'!AN155,"AAAAAEex+y0=")</f>
        <v>#VALUE!</v>
      </c>
      <c r="AU130" t="e">
        <f>AND('SPR BARRANQUILLA'!AO155,"AAAAAEex+y4=")</f>
        <v>#VALUE!</v>
      </c>
      <c r="AV130" t="e">
        <f>AND('SPR BARRANQUILLA'!AP155,"AAAAAEex+y8=")</f>
        <v>#VALUE!</v>
      </c>
      <c r="AW130" t="e">
        <f>AND('SPR BARRANQUILLA'!AQ155,"AAAAAEex+zA=")</f>
        <v>#VALUE!</v>
      </c>
      <c r="AX130" t="e">
        <f>AND('SPR BARRANQUILLA'!AR155,"AAAAAEex+zE=")</f>
        <v>#VALUE!</v>
      </c>
      <c r="AY130" t="e">
        <f>AND('SPR BARRANQUILLA'!AS155,"AAAAAEex+zI=")</f>
        <v>#VALUE!</v>
      </c>
      <c r="AZ130" t="e">
        <f>AND('SPR BARRANQUILLA'!AT155,"AAAAAEex+zM=")</f>
        <v>#VALUE!</v>
      </c>
      <c r="BA130" t="e">
        <f>AND('SPR BARRANQUILLA'!AU155,"AAAAAEex+zQ=")</f>
        <v>#VALUE!</v>
      </c>
      <c r="BB130" t="e">
        <f>AND('SPR BARRANQUILLA'!AV155,"AAAAAEex+zU=")</f>
        <v>#VALUE!</v>
      </c>
      <c r="BC130" t="e">
        <f>AND('SPR BARRANQUILLA'!AW155,"AAAAAEex+zY=")</f>
        <v>#VALUE!</v>
      </c>
      <c r="BD130" t="e">
        <f>AND('SPR BARRANQUILLA'!AX155,"AAAAAEex+zc=")</f>
        <v>#VALUE!</v>
      </c>
      <c r="BE130" t="e">
        <f>AND('SPR BARRANQUILLA'!AY155,"AAAAAEex+zg=")</f>
        <v>#VALUE!</v>
      </c>
      <c r="BF130" t="e">
        <f>AND('SPR BARRANQUILLA'!AZ155,"AAAAAEex+zk=")</f>
        <v>#VALUE!</v>
      </c>
      <c r="BG130" t="e">
        <f>AND('SPR BARRANQUILLA'!BA155,"AAAAAEex+zo=")</f>
        <v>#VALUE!</v>
      </c>
      <c r="BH130" t="e">
        <f>AND('SPR BARRANQUILLA'!BB155,"AAAAAEex+zs=")</f>
        <v>#VALUE!</v>
      </c>
      <c r="BI130" t="e">
        <f>AND('SPR BARRANQUILLA'!BC155,"AAAAAEex+zw=")</f>
        <v>#VALUE!</v>
      </c>
      <c r="BJ130" t="e">
        <f>AND('SPR BARRANQUILLA'!BD155,"AAAAAEex+z0=")</f>
        <v>#VALUE!</v>
      </c>
      <c r="BK130" t="e">
        <f>AND('SPR BARRANQUILLA'!BE155,"AAAAAEex+z4=")</f>
        <v>#VALUE!</v>
      </c>
      <c r="BL130" t="e">
        <f>AND('SPR BARRANQUILLA'!BF155,"AAAAAEex+z8=")</f>
        <v>#VALUE!</v>
      </c>
      <c r="BM130" t="e">
        <f>AND('SPR BARRANQUILLA'!BG155,"AAAAAEex+0A=")</f>
        <v>#VALUE!</v>
      </c>
      <c r="BN130" t="e">
        <f>AND('SPR BARRANQUILLA'!BH155,"AAAAAEex+0E=")</f>
        <v>#VALUE!</v>
      </c>
      <c r="BO130" t="e">
        <f>AND('SPR BARRANQUILLA'!BI155,"AAAAAEex+0I=")</f>
        <v>#VALUE!</v>
      </c>
      <c r="BP130" t="e">
        <f>AND('SPR BARRANQUILLA'!BJ155,"AAAAAEex+0M=")</f>
        <v>#VALUE!</v>
      </c>
      <c r="BQ130" t="e">
        <f>AND('SPR BARRANQUILLA'!BK155,"AAAAAEex+0Q=")</f>
        <v>#VALUE!</v>
      </c>
      <c r="BR130" t="e">
        <f>AND('SPR BARRANQUILLA'!BL155,"AAAAAEex+0U=")</f>
        <v>#VALUE!</v>
      </c>
      <c r="BS130" t="e">
        <f>AND('SPR BARRANQUILLA'!BM155,"AAAAAEex+0Y=")</f>
        <v>#VALUE!</v>
      </c>
      <c r="BT130" t="e">
        <f>AND('SPR BARRANQUILLA'!BN155,"AAAAAEex+0c=")</f>
        <v>#VALUE!</v>
      </c>
      <c r="BU130" t="e">
        <f>AND('SPR BARRANQUILLA'!BO155,"AAAAAEex+0g=")</f>
        <v>#VALUE!</v>
      </c>
      <c r="BV130" t="e">
        <f>AND('SPR BARRANQUILLA'!BP155,"AAAAAEex+0k=")</f>
        <v>#VALUE!</v>
      </c>
      <c r="BW130" t="e">
        <f>AND('SPR BARRANQUILLA'!BQ155,"AAAAAEex+0o=")</f>
        <v>#VALUE!</v>
      </c>
      <c r="BX130" t="e">
        <f>AND('SPR BARRANQUILLA'!BR155,"AAAAAEex+0s=")</f>
        <v>#VALUE!</v>
      </c>
      <c r="BY130" t="e">
        <f>AND('SPR BARRANQUILLA'!BS155,"AAAAAEex+0w=")</f>
        <v>#VALUE!</v>
      </c>
      <c r="BZ130" t="e">
        <f>AND('SPR BARRANQUILLA'!BT155,"AAAAAEex+00=")</f>
        <v>#VALUE!</v>
      </c>
      <c r="CA130" t="e">
        <f>AND('SPR BARRANQUILLA'!BU155,"AAAAAEex+04=")</f>
        <v>#VALUE!</v>
      </c>
      <c r="CB130" t="e">
        <f>AND('SPR BARRANQUILLA'!BV155,"AAAAAEex+08=")</f>
        <v>#VALUE!</v>
      </c>
      <c r="CC130" t="e">
        <f>AND('SPR BARRANQUILLA'!BW155,"AAAAAEex+1A=")</f>
        <v>#VALUE!</v>
      </c>
      <c r="CD130" t="e">
        <f>AND('SPR BARRANQUILLA'!BX155,"AAAAAEex+1E=")</f>
        <v>#VALUE!</v>
      </c>
      <c r="CE130" t="e">
        <f>AND('SPR BARRANQUILLA'!BY155,"AAAAAEex+1I=")</f>
        <v>#VALUE!</v>
      </c>
      <c r="CF130" t="e">
        <f>AND('SPR BARRANQUILLA'!BZ155,"AAAAAEex+1M=")</f>
        <v>#VALUE!</v>
      </c>
      <c r="CG130" t="e">
        <f>AND('SPR BARRANQUILLA'!CA155,"AAAAAEex+1Q=")</f>
        <v>#VALUE!</v>
      </c>
      <c r="CH130" t="e">
        <f>AND('SPR BARRANQUILLA'!CB155,"AAAAAEex+1U=")</f>
        <v>#VALUE!</v>
      </c>
      <c r="CI130" t="e">
        <f>AND('SPR BARRANQUILLA'!CC155,"AAAAAEex+1Y=")</f>
        <v>#VALUE!</v>
      </c>
      <c r="CJ130" t="e">
        <f>AND('SPR BARRANQUILLA'!CD155,"AAAAAEex+1c=")</f>
        <v>#VALUE!</v>
      </c>
      <c r="CK130" t="e">
        <f>AND('SPR BARRANQUILLA'!CE155,"AAAAAEex+1g=")</f>
        <v>#VALUE!</v>
      </c>
      <c r="CL130" t="e">
        <f>AND('SPR BARRANQUILLA'!CF155,"AAAAAEex+1k=")</f>
        <v>#VALUE!</v>
      </c>
      <c r="CM130" t="e">
        <f>AND('SPR BARRANQUILLA'!CG155,"AAAAAEex+1o=")</f>
        <v>#VALUE!</v>
      </c>
      <c r="CN130" t="e">
        <f>AND('SPR BARRANQUILLA'!CH155,"AAAAAEex+1s=")</f>
        <v>#VALUE!</v>
      </c>
      <c r="CO130" t="e">
        <f>AND('SPR BARRANQUILLA'!CI155,"AAAAAEex+1w=")</f>
        <v>#VALUE!</v>
      </c>
      <c r="CP130" t="e">
        <f>AND('SPR BARRANQUILLA'!CJ155,"AAAAAEex+10=")</f>
        <v>#VALUE!</v>
      </c>
      <c r="CQ130" t="e">
        <f>AND('SPR BARRANQUILLA'!CK155,"AAAAAEex+14=")</f>
        <v>#VALUE!</v>
      </c>
      <c r="CR130" t="e">
        <f>AND('SPR BARRANQUILLA'!CL155,"AAAAAEex+18=")</f>
        <v>#VALUE!</v>
      </c>
      <c r="CS130" t="e">
        <f>AND('SPR BARRANQUILLA'!CM155,"AAAAAEex+2A=")</f>
        <v>#VALUE!</v>
      </c>
      <c r="CT130" t="e">
        <f>AND('SPR BARRANQUILLA'!CN155,"AAAAAEex+2E=")</f>
        <v>#VALUE!</v>
      </c>
      <c r="CU130" t="e">
        <f>AND('SPR BARRANQUILLA'!CO155,"AAAAAEex+2I=")</f>
        <v>#VALUE!</v>
      </c>
      <c r="CV130" t="e">
        <f>AND('SPR BARRANQUILLA'!CP155,"AAAAAEex+2M=")</f>
        <v>#VALUE!</v>
      </c>
      <c r="CW130" t="e">
        <f>AND('SPR BARRANQUILLA'!CQ155,"AAAAAEex+2Q=")</f>
        <v>#VALUE!</v>
      </c>
      <c r="CX130" t="e">
        <f>AND('SPR BARRANQUILLA'!CR155,"AAAAAEex+2U=")</f>
        <v>#VALUE!</v>
      </c>
      <c r="CY130" t="e">
        <f>AND('SPR BARRANQUILLA'!CS155,"AAAAAEex+2Y=")</f>
        <v>#VALUE!</v>
      </c>
      <c r="CZ130" t="e">
        <f>AND('SPR BARRANQUILLA'!CT155,"AAAAAEex+2c=")</f>
        <v>#VALUE!</v>
      </c>
      <c r="DA130" t="e">
        <f>AND('SPR BARRANQUILLA'!CU155,"AAAAAEex+2g=")</f>
        <v>#VALUE!</v>
      </c>
      <c r="DB130" t="e">
        <f>AND('SPR BARRANQUILLA'!CV155,"AAAAAEex+2k=")</f>
        <v>#VALUE!</v>
      </c>
      <c r="DC130" t="e">
        <f>AND('SPR BARRANQUILLA'!CW155,"AAAAAEex+2o=")</f>
        <v>#VALUE!</v>
      </c>
      <c r="DD130" t="e">
        <f>AND('SPR BARRANQUILLA'!CX155,"AAAAAEex+2s=")</f>
        <v>#VALUE!</v>
      </c>
      <c r="DE130" t="e">
        <f>AND('SPR BARRANQUILLA'!CY155,"AAAAAEex+2w=")</f>
        <v>#VALUE!</v>
      </c>
      <c r="DF130" t="e">
        <f>AND('SPR BARRANQUILLA'!CZ155,"AAAAAEex+20=")</f>
        <v>#VALUE!</v>
      </c>
      <c r="DG130" t="e">
        <f>AND('SPR BARRANQUILLA'!DA155,"AAAAAEex+24=")</f>
        <v>#VALUE!</v>
      </c>
      <c r="DH130" t="e">
        <f>AND('SPR BARRANQUILLA'!DB155,"AAAAAEex+28=")</f>
        <v>#VALUE!</v>
      </c>
      <c r="DI130" t="e">
        <f>AND('SPR BARRANQUILLA'!DC155,"AAAAAEex+3A=")</f>
        <v>#VALUE!</v>
      </c>
      <c r="DJ130" t="e">
        <f>AND('SPR BARRANQUILLA'!DD155,"AAAAAEex+3E=")</f>
        <v>#VALUE!</v>
      </c>
      <c r="DK130" t="e">
        <f>AND('SPR BARRANQUILLA'!DE155,"AAAAAEex+3I=")</f>
        <v>#VALUE!</v>
      </c>
      <c r="DL130" t="e">
        <f>AND('SPR BARRANQUILLA'!DF155,"AAAAAEex+3M=")</f>
        <v>#VALUE!</v>
      </c>
      <c r="DM130" t="e">
        <f>AND('SPR BARRANQUILLA'!DG155,"AAAAAEex+3Q=")</f>
        <v>#VALUE!</v>
      </c>
      <c r="DN130" t="e">
        <f>AND('SPR BARRANQUILLA'!DH155,"AAAAAEex+3U=")</f>
        <v>#VALUE!</v>
      </c>
      <c r="DO130" t="e">
        <f>AND('SPR BARRANQUILLA'!DI155,"AAAAAEex+3Y=")</f>
        <v>#VALUE!</v>
      </c>
      <c r="DP130" t="e">
        <f>AND('SPR BARRANQUILLA'!DJ155,"AAAAAEex+3c=")</f>
        <v>#VALUE!</v>
      </c>
      <c r="DQ130" t="e">
        <f>AND('SPR BARRANQUILLA'!DK155,"AAAAAEex+3g=")</f>
        <v>#VALUE!</v>
      </c>
      <c r="DR130" t="e">
        <f>AND('SPR BARRANQUILLA'!DL155,"AAAAAEex+3k=")</f>
        <v>#VALUE!</v>
      </c>
      <c r="DS130" t="e">
        <f>AND('SPR BARRANQUILLA'!DM155,"AAAAAEex+3o=")</f>
        <v>#VALUE!</v>
      </c>
      <c r="DT130" t="e">
        <f>AND('SPR BARRANQUILLA'!DN155,"AAAAAEex+3s=")</f>
        <v>#VALUE!</v>
      </c>
      <c r="DU130" t="e">
        <f>AND('SPR BARRANQUILLA'!DO155,"AAAAAEex+3w=")</f>
        <v>#VALUE!</v>
      </c>
      <c r="DV130" t="e">
        <f>AND('SPR BARRANQUILLA'!DP155,"AAAAAEex+30=")</f>
        <v>#VALUE!</v>
      </c>
      <c r="DW130" t="e">
        <f>AND('SPR BARRANQUILLA'!DQ155,"AAAAAEex+34=")</f>
        <v>#VALUE!</v>
      </c>
      <c r="DX130" t="e">
        <f>AND('SPR BARRANQUILLA'!DR155,"AAAAAEex+38=")</f>
        <v>#VALUE!</v>
      </c>
      <c r="DY130" t="e">
        <f>AND('SPR BARRANQUILLA'!DS155,"AAAAAEex+4A=")</f>
        <v>#VALUE!</v>
      </c>
      <c r="DZ130" t="e">
        <f>AND('SPR BARRANQUILLA'!DT155,"AAAAAEex+4E=")</f>
        <v>#VALUE!</v>
      </c>
      <c r="EA130" t="e">
        <f>AND('SPR BARRANQUILLA'!DU155,"AAAAAEex+4I=")</f>
        <v>#VALUE!</v>
      </c>
      <c r="EB130" t="e">
        <f>AND('SPR BARRANQUILLA'!DV155,"AAAAAEex+4M=")</f>
        <v>#VALUE!</v>
      </c>
      <c r="EC130" t="e">
        <f>AND('SPR BARRANQUILLA'!DW155,"AAAAAEex+4Q=")</f>
        <v>#VALUE!</v>
      </c>
      <c r="ED130" t="e">
        <f>AND('SPR BARRANQUILLA'!DX155,"AAAAAEex+4U=")</f>
        <v>#VALUE!</v>
      </c>
      <c r="EE130" t="e">
        <f>AND('SPR BARRANQUILLA'!DY155,"AAAAAEex+4Y=")</f>
        <v>#VALUE!</v>
      </c>
      <c r="EF130" t="e">
        <f>AND('SPR BARRANQUILLA'!DZ155,"AAAAAEex+4c=")</f>
        <v>#VALUE!</v>
      </c>
      <c r="EG130" t="e">
        <f>AND('SPR BARRANQUILLA'!EA155,"AAAAAEex+4g=")</f>
        <v>#VALUE!</v>
      </c>
      <c r="EH130" t="e">
        <f>AND('SPR BARRANQUILLA'!EB155,"AAAAAEex+4k=")</f>
        <v>#VALUE!</v>
      </c>
      <c r="EI130" t="e">
        <f>AND('SPR BARRANQUILLA'!EC155,"AAAAAEex+4o=")</f>
        <v>#VALUE!</v>
      </c>
      <c r="EJ130" t="e">
        <f>AND('SPR BARRANQUILLA'!ED155,"AAAAAEex+4s=")</f>
        <v>#VALUE!</v>
      </c>
      <c r="EK130" t="e">
        <f>AND('SPR BARRANQUILLA'!EE155,"AAAAAEex+4w=")</f>
        <v>#VALUE!</v>
      </c>
      <c r="EL130" t="e">
        <f>AND('SPR BARRANQUILLA'!EF155,"AAAAAEex+40=")</f>
        <v>#VALUE!</v>
      </c>
      <c r="EM130" t="e">
        <f>AND('SPR BARRANQUILLA'!EG155,"AAAAAEex+44=")</f>
        <v>#VALUE!</v>
      </c>
      <c r="EN130" t="e">
        <f>AND('SPR BARRANQUILLA'!EH155,"AAAAAEex+48=")</f>
        <v>#VALUE!</v>
      </c>
      <c r="EO130" t="e">
        <f>AND('SPR BARRANQUILLA'!EI155,"AAAAAEex+5A=")</f>
        <v>#VALUE!</v>
      </c>
      <c r="EP130" t="e">
        <f>AND('SPR BARRANQUILLA'!EJ155,"AAAAAEex+5E=")</f>
        <v>#VALUE!</v>
      </c>
      <c r="EQ130" t="e">
        <f>AND('SPR BARRANQUILLA'!EK155,"AAAAAEex+5I=")</f>
        <v>#VALUE!</v>
      </c>
      <c r="ER130" t="e">
        <f>AND('SPR BARRANQUILLA'!EL155,"AAAAAEex+5M=")</f>
        <v>#VALUE!</v>
      </c>
      <c r="ES130" t="e">
        <f>AND('SPR BARRANQUILLA'!EM155,"AAAAAEex+5Q=")</f>
        <v>#VALUE!</v>
      </c>
      <c r="ET130" t="e">
        <f>AND('SPR BARRANQUILLA'!EN155,"AAAAAEex+5U=")</f>
        <v>#VALUE!</v>
      </c>
      <c r="EU130" t="e">
        <f>AND('SPR BARRANQUILLA'!EO155,"AAAAAEex+5Y=")</f>
        <v>#VALUE!</v>
      </c>
      <c r="EV130" t="e">
        <f>AND('SPR BARRANQUILLA'!EP155,"AAAAAEex+5c=")</f>
        <v>#VALUE!</v>
      </c>
      <c r="EW130" t="e">
        <f>AND('SPR BARRANQUILLA'!EQ155,"AAAAAEex+5g=")</f>
        <v>#VALUE!</v>
      </c>
      <c r="EX130" t="e">
        <f>AND('SPR BARRANQUILLA'!ER155,"AAAAAEex+5k=")</f>
        <v>#VALUE!</v>
      </c>
      <c r="EY130" t="e">
        <f>AND('SPR BARRANQUILLA'!ES155,"AAAAAEex+5o=")</f>
        <v>#VALUE!</v>
      </c>
      <c r="EZ130" t="e">
        <f>AND('SPR BARRANQUILLA'!ET155,"AAAAAEex+5s=")</f>
        <v>#VALUE!</v>
      </c>
      <c r="FA130" t="e">
        <f>AND('SPR BARRANQUILLA'!EU155,"AAAAAEex+5w=")</f>
        <v>#VALUE!</v>
      </c>
      <c r="FB130" t="e">
        <f>AND('SPR BARRANQUILLA'!EV155,"AAAAAEex+50=")</f>
        <v>#VALUE!</v>
      </c>
      <c r="FC130" t="e">
        <f>AND('SPR BARRANQUILLA'!EW155,"AAAAAEex+54=")</f>
        <v>#VALUE!</v>
      </c>
      <c r="FD130" t="e">
        <f>AND('SPR BARRANQUILLA'!EX155,"AAAAAEex+58=")</f>
        <v>#VALUE!</v>
      </c>
      <c r="FE130" t="e">
        <f>AND('SPR BARRANQUILLA'!EY155,"AAAAAEex+6A=")</f>
        <v>#VALUE!</v>
      </c>
      <c r="FF130" t="e">
        <f>AND('SPR BARRANQUILLA'!EZ155,"AAAAAEex+6E=")</f>
        <v>#VALUE!</v>
      </c>
      <c r="FG130" t="e">
        <f>AND('SPR BARRANQUILLA'!FA155,"AAAAAEex+6I=")</f>
        <v>#VALUE!</v>
      </c>
      <c r="FH130" t="e">
        <f>AND('SPR BARRANQUILLA'!FB155,"AAAAAEex+6M=")</f>
        <v>#VALUE!</v>
      </c>
      <c r="FI130" t="e">
        <f>AND('SPR BARRANQUILLA'!FC155,"AAAAAEex+6Q=")</f>
        <v>#VALUE!</v>
      </c>
      <c r="FJ130" t="e">
        <f>AND('SPR BARRANQUILLA'!FD155,"AAAAAEex+6U=")</f>
        <v>#VALUE!</v>
      </c>
      <c r="FK130" t="e">
        <f>AND('SPR BARRANQUILLA'!FE155,"AAAAAEex+6Y=")</f>
        <v>#VALUE!</v>
      </c>
      <c r="FL130" t="e">
        <f>AND('SPR BARRANQUILLA'!FF155,"AAAAAEex+6c=")</f>
        <v>#VALUE!</v>
      </c>
      <c r="FM130" t="e">
        <f>AND('SPR BARRANQUILLA'!FG155,"AAAAAEex+6g=")</f>
        <v>#VALUE!</v>
      </c>
      <c r="FN130" t="e">
        <f>AND('SPR BARRANQUILLA'!FH155,"AAAAAEex+6k=")</f>
        <v>#VALUE!</v>
      </c>
      <c r="FO130" t="e">
        <f>AND('SPR BARRANQUILLA'!FI155,"AAAAAEex+6o=")</f>
        <v>#VALUE!</v>
      </c>
      <c r="FP130" t="e">
        <f>AND('SPR BARRANQUILLA'!FJ155,"AAAAAEex+6s=")</f>
        <v>#VALUE!</v>
      </c>
      <c r="FQ130" t="e">
        <f>AND('SPR BARRANQUILLA'!FK155,"AAAAAEex+6w=")</f>
        <v>#VALUE!</v>
      </c>
      <c r="FR130" t="e">
        <f>AND('SPR BARRANQUILLA'!FL155,"AAAAAEex+60=")</f>
        <v>#VALUE!</v>
      </c>
      <c r="FS130" t="e">
        <f>AND('SPR BARRANQUILLA'!FM155,"AAAAAEex+64=")</f>
        <v>#VALUE!</v>
      </c>
      <c r="FT130" t="e">
        <f>AND('SPR BARRANQUILLA'!FN155,"AAAAAEex+68=")</f>
        <v>#VALUE!</v>
      </c>
      <c r="FU130" t="e">
        <f>AND('SPR BARRANQUILLA'!FO155,"AAAAAEex+7A=")</f>
        <v>#VALUE!</v>
      </c>
      <c r="FV130" t="e">
        <f>AND('SPR BARRANQUILLA'!FP155,"AAAAAEex+7E=")</f>
        <v>#VALUE!</v>
      </c>
      <c r="FW130" t="e">
        <f>AND('SPR BARRANQUILLA'!FQ155,"AAAAAEex+7I=")</f>
        <v>#VALUE!</v>
      </c>
      <c r="FX130" t="e">
        <f>AND('SPR BARRANQUILLA'!FR155,"AAAAAEex+7M=")</f>
        <v>#VALUE!</v>
      </c>
      <c r="FY130" t="e">
        <f>AND('SPR BARRANQUILLA'!FS155,"AAAAAEex+7Q=")</f>
        <v>#VALUE!</v>
      </c>
      <c r="FZ130" t="e">
        <f>AND('SPR BARRANQUILLA'!FT155,"AAAAAEex+7U=")</f>
        <v>#VALUE!</v>
      </c>
      <c r="GA130" t="e">
        <f>AND('SPR BARRANQUILLA'!FU155,"AAAAAEex+7Y=")</f>
        <v>#VALUE!</v>
      </c>
      <c r="GB130" t="e">
        <f>AND('SPR BARRANQUILLA'!FV155,"AAAAAEex+7c=")</f>
        <v>#VALUE!</v>
      </c>
      <c r="GC130" t="e">
        <f>AND('SPR BARRANQUILLA'!FW155,"AAAAAEex+7g=")</f>
        <v>#VALUE!</v>
      </c>
      <c r="GD130" t="e">
        <f>AND('SPR BARRANQUILLA'!FX155,"AAAAAEex+7k=")</f>
        <v>#VALUE!</v>
      </c>
      <c r="GE130" t="e">
        <f>AND('SPR BARRANQUILLA'!FY155,"AAAAAEex+7o=")</f>
        <v>#VALUE!</v>
      </c>
      <c r="GF130" t="e">
        <f>AND('SPR BARRANQUILLA'!FZ155,"AAAAAEex+7s=")</f>
        <v>#VALUE!</v>
      </c>
      <c r="GG130" t="e">
        <f>AND('SPR BARRANQUILLA'!GA155,"AAAAAEex+7w=")</f>
        <v>#VALUE!</v>
      </c>
      <c r="GH130" t="e">
        <f>AND('SPR BARRANQUILLA'!GB155,"AAAAAEex+70=")</f>
        <v>#VALUE!</v>
      </c>
      <c r="GI130" t="e">
        <f>AND('SPR BARRANQUILLA'!GC155,"AAAAAEex+74=")</f>
        <v>#VALUE!</v>
      </c>
      <c r="GJ130" t="e">
        <f>AND('SPR BARRANQUILLA'!GD155,"AAAAAEex+78=")</f>
        <v>#VALUE!</v>
      </c>
      <c r="GK130" t="e">
        <f>AND('SPR BARRANQUILLA'!GE155,"AAAAAEex+8A=")</f>
        <v>#VALUE!</v>
      </c>
      <c r="GL130" t="e">
        <f>AND('SPR BARRANQUILLA'!GF155,"AAAAAEex+8E=")</f>
        <v>#VALUE!</v>
      </c>
      <c r="GM130" t="e">
        <f>AND('SPR BARRANQUILLA'!GG155,"AAAAAEex+8I=")</f>
        <v>#VALUE!</v>
      </c>
      <c r="GN130" t="e">
        <f>AND('SPR BARRANQUILLA'!GH155,"AAAAAEex+8M=")</f>
        <v>#VALUE!</v>
      </c>
      <c r="GO130" t="e">
        <f>AND('SPR BARRANQUILLA'!GI155,"AAAAAEex+8Q=")</f>
        <v>#VALUE!</v>
      </c>
      <c r="GP130" t="e">
        <f>AND('SPR BARRANQUILLA'!GJ155,"AAAAAEex+8U=")</f>
        <v>#VALUE!</v>
      </c>
      <c r="GQ130" t="e">
        <f>AND('SPR BARRANQUILLA'!GK155,"AAAAAEex+8Y=")</f>
        <v>#VALUE!</v>
      </c>
      <c r="GR130" t="e">
        <f>AND('SPR BARRANQUILLA'!GL155,"AAAAAEex+8c=")</f>
        <v>#VALUE!</v>
      </c>
      <c r="GS130" t="e">
        <f>AND('SPR BARRANQUILLA'!GM155,"AAAAAEex+8g=")</f>
        <v>#VALUE!</v>
      </c>
      <c r="GT130" t="e">
        <f>AND('SPR BARRANQUILLA'!GN155,"AAAAAEex+8k=")</f>
        <v>#VALUE!</v>
      </c>
      <c r="GU130" t="e">
        <f>AND('SPR BARRANQUILLA'!GO155,"AAAAAEex+8o=")</f>
        <v>#VALUE!</v>
      </c>
      <c r="GV130" t="e">
        <f>AND('SPR BARRANQUILLA'!GP155,"AAAAAEex+8s=")</f>
        <v>#VALUE!</v>
      </c>
      <c r="GW130" t="e">
        <f>AND('SPR BARRANQUILLA'!GQ155,"AAAAAEex+8w=")</f>
        <v>#VALUE!</v>
      </c>
      <c r="GX130" t="e">
        <f>AND('SPR BARRANQUILLA'!GR155,"AAAAAEex+80=")</f>
        <v>#VALUE!</v>
      </c>
      <c r="GY130" t="e">
        <f>AND('SPR BARRANQUILLA'!GS155,"AAAAAEex+84=")</f>
        <v>#VALUE!</v>
      </c>
      <c r="GZ130" t="e">
        <f>AND('SPR BARRANQUILLA'!GT155,"AAAAAEex+88=")</f>
        <v>#VALUE!</v>
      </c>
      <c r="HA130" t="e">
        <f>AND('SPR BARRANQUILLA'!GU155,"AAAAAEex+9A=")</f>
        <v>#VALUE!</v>
      </c>
      <c r="HB130" t="e">
        <f>AND('SPR BARRANQUILLA'!GV155,"AAAAAEex+9E=")</f>
        <v>#VALUE!</v>
      </c>
      <c r="HC130" t="e">
        <f>AND('SPR BARRANQUILLA'!GW155,"AAAAAEex+9I=")</f>
        <v>#VALUE!</v>
      </c>
      <c r="HD130" t="e">
        <f>AND('SPR BARRANQUILLA'!GX155,"AAAAAEex+9M=")</f>
        <v>#VALUE!</v>
      </c>
      <c r="HE130" t="e">
        <f>AND('SPR BARRANQUILLA'!GY155,"AAAAAEex+9Q=")</f>
        <v>#VALUE!</v>
      </c>
      <c r="HF130">
        <f>IF('SPR BARRANQUILLA'!156:156,"AAAAAEex+9U=",0)</f>
        <v>0</v>
      </c>
      <c r="HG130" t="e">
        <f>AND('SPR BARRANQUILLA'!A156,"AAAAAEex+9Y=")</f>
        <v>#VALUE!</v>
      </c>
      <c r="HH130" t="e">
        <f>AND('SPR BARRANQUILLA'!B156,"AAAAAEex+9c=")</f>
        <v>#VALUE!</v>
      </c>
      <c r="HI130" t="e">
        <f>AND('SPR BARRANQUILLA'!C156,"AAAAAEex+9g=")</f>
        <v>#VALUE!</v>
      </c>
      <c r="HJ130" t="e">
        <f>AND('SPR BARRANQUILLA'!D156,"AAAAAEex+9k=")</f>
        <v>#VALUE!</v>
      </c>
      <c r="HK130" t="e">
        <f>AND('SPR BARRANQUILLA'!E156,"AAAAAEex+9o=")</f>
        <v>#VALUE!</v>
      </c>
      <c r="HL130" t="e">
        <f>AND('SPR BARRANQUILLA'!F156,"AAAAAEex+9s=")</f>
        <v>#VALUE!</v>
      </c>
      <c r="HM130" t="e">
        <f>AND('SPR BARRANQUILLA'!G156,"AAAAAEex+9w=")</f>
        <v>#VALUE!</v>
      </c>
      <c r="HN130" t="e">
        <f>AND('SPR BARRANQUILLA'!H156,"AAAAAEex+90=")</f>
        <v>#VALUE!</v>
      </c>
      <c r="HO130" t="e">
        <f>AND('SPR BARRANQUILLA'!I156,"AAAAAEex+94=")</f>
        <v>#VALUE!</v>
      </c>
      <c r="HP130" t="e">
        <f>AND('SPR BARRANQUILLA'!J156,"AAAAAEex+98=")</f>
        <v>#VALUE!</v>
      </c>
      <c r="HQ130" t="e">
        <f>AND('SPR BARRANQUILLA'!K156,"AAAAAEex++A=")</f>
        <v>#VALUE!</v>
      </c>
      <c r="HR130" t="e">
        <f>AND('SPR BARRANQUILLA'!L156,"AAAAAEex++E=")</f>
        <v>#VALUE!</v>
      </c>
      <c r="HS130" t="e">
        <f>AND('SPR BARRANQUILLA'!M156,"AAAAAEex++I=")</f>
        <v>#VALUE!</v>
      </c>
      <c r="HT130" t="e">
        <f>AND('SPR BARRANQUILLA'!N156,"AAAAAEex++M=")</f>
        <v>#VALUE!</v>
      </c>
      <c r="HU130" t="e">
        <f>AND('SPR BARRANQUILLA'!O156,"AAAAAEex++Q=")</f>
        <v>#VALUE!</v>
      </c>
      <c r="HV130" t="e">
        <f>AND('SPR BARRANQUILLA'!P156,"AAAAAEex++U=")</f>
        <v>#VALUE!</v>
      </c>
      <c r="HW130" t="e">
        <f>AND('SPR BARRANQUILLA'!Q156,"AAAAAEex++Y=")</f>
        <v>#VALUE!</v>
      </c>
      <c r="HX130" t="e">
        <f>AND('SPR BARRANQUILLA'!R156,"AAAAAEex++c=")</f>
        <v>#VALUE!</v>
      </c>
      <c r="HY130" t="e">
        <f>AND('SPR BARRANQUILLA'!S156,"AAAAAEex++g=")</f>
        <v>#VALUE!</v>
      </c>
      <c r="HZ130" t="e">
        <f>AND('SPR BARRANQUILLA'!T156,"AAAAAEex++k=")</f>
        <v>#VALUE!</v>
      </c>
      <c r="IA130" t="e">
        <f>AND('SPR BARRANQUILLA'!U156,"AAAAAEex++o=")</f>
        <v>#VALUE!</v>
      </c>
      <c r="IB130" t="e">
        <f>AND('SPR BARRANQUILLA'!V156,"AAAAAEex++s=")</f>
        <v>#VALUE!</v>
      </c>
      <c r="IC130" t="e">
        <f>AND('SPR BARRANQUILLA'!W156,"AAAAAEex++w=")</f>
        <v>#VALUE!</v>
      </c>
      <c r="ID130" t="e">
        <f>AND('SPR BARRANQUILLA'!X156,"AAAAAEex++0=")</f>
        <v>#VALUE!</v>
      </c>
      <c r="IE130" t="e">
        <f>AND('SPR BARRANQUILLA'!Y156,"AAAAAEex++4=")</f>
        <v>#VALUE!</v>
      </c>
      <c r="IF130" t="e">
        <f>AND('SPR BARRANQUILLA'!Z156,"AAAAAEex++8=")</f>
        <v>#VALUE!</v>
      </c>
      <c r="IG130" t="e">
        <f>AND('SPR BARRANQUILLA'!AA156,"AAAAAEex+/A=")</f>
        <v>#VALUE!</v>
      </c>
      <c r="IH130" t="e">
        <f>AND('SPR BARRANQUILLA'!AB156,"AAAAAEex+/E=")</f>
        <v>#VALUE!</v>
      </c>
      <c r="II130" t="e">
        <f>AND('SPR BARRANQUILLA'!AC156,"AAAAAEex+/I=")</f>
        <v>#VALUE!</v>
      </c>
      <c r="IJ130" t="e">
        <f>AND('SPR BARRANQUILLA'!AD156,"AAAAAEex+/M=")</f>
        <v>#VALUE!</v>
      </c>
      <c r="IK130" t="e">
        <f>AND('SPR BARRANQUILLA'!AE156,"AAAAAEex+/Q=")</f>
        <v>#VALUE!</v>
      </c>
      <c r="IL130" t="e">
        <f>AND('SPR BARRANQUILLA'!AF156,"AAAAAEex+/U=")</f>
        <v>#VALUE!</v>
      </c>
      <c r="IM130" t="e">
        <f>AND('SPR BARRANQUILLA'!AG156,"AAAAAEex+/Y=")</f>
        <v>#VALUE!</v>
      </c>
      <c r="IN130" t="e">
        <f>AND('SPR BARRANQUILLA'!AH156,"AAAAAEex+/c=")</f>
        <v>#VALUE!</v>
      </c>
      <c r="IO130" t="e">
        <f>AND('SPR BARRANQUILLA'!AI156,"AAAAAEex+/g=")</f>
        <v>#VALUE!</v>
      </c>
      <c r="IP130" t="e">
        <f>AND('SPR BARRANQUILLA'!AJ156,"AAAAAEex+/k=")</f>
        <v>#VALUE!</v>
      </c>
      <c r="IQ130" t="e">
        <f>AND('SPR BARRANQUILLA'!AK156,"AAAAAEex+/o=")</f>
        <v>#VALUE!</v>
      </c>
      <c r="IR130" t="e">
        <f>AND('SPR BARRANQUILLA'!AL156,"AAAAAEex+/s=")</f>
        <v>#VALUE!</v>
      </c>
      <c r="IS130" t="e">
        <f>AND('SPR BARRANQUILLA'!AM156,"AAAAAEex+/w=")</f>
        <v>#VALUE!</v>
      </c>
      <c r="IT130" t="e">
        <f>AND('SPR BARRANQUILLA'!AN156,"AAAAAEex+/0=")</f>
        <v>#VALUE!</v>
      </c>
      <c r="IU130" t="e">
        <f>AND('SPR BARRANQUILLA'!AO156,"AAAAAEex+/4=")</f>
        <v>#VALUE!</v>
      </c>
      <c r="IV130" t="e">
        <f>AND('SPR BARRANQUILLA'!AP156,"AAAAAEex+/8=")</f>
        <v>#VALUE!</v>
      </c>
    </row>
    <row r="131" spans="1:256">
      <c r="A131" t="e">
        <f>AND('SPR BARRANQUILLA'!AQ156,"AAAAAG1++gA=")</f>
        <v>#VALUE!</v>
      </c>
      <c r="B131" t="e">
        <f>AND('SPR BARRANQUILLA'!AR156,"AAAAAG1++gE=")</f>
        <v>#VALUE!</v>
      </c>
      <c r="C131" t="e">
        <f>AND('SPR BARRANQUILLA'!AS156,"AAAAAG1++gI=")</f>
        <v>#VALUE!</v>
      </c>
      <c r="D131" t="e">
        <f>AND('SPR BARRANQUILLA'!AT156,"AAAAAG1++gM=")</f>
        <v>#VALUE!</v>
      </c>
      <c r="E131" t="e">
        <f>AND('SPR BARRANQUILLA'!AU156,"AAAAAG1++gQ=")</f>
        <v>#VALUE!</v>
      </c>
      <c r="F131" t="e">
        <f>AND('SPR BARRANQUILLA'!AV156,"AAAAAG1++gU=")</f>
        <v>#VALUE!</v>
      </c>
      <c r="G131" t="e">
        <f>AND('SPR BARRANQUILLA'!AW156,"AAAAAG1++gY=")</f>
        <v>#VALUE!</v>
      </c>
      <c r="H131" t="e">
        <f>AND('SPR BARRANQUILLA'!AX156,"AAAAAG1++gc=")</f>
        <v>#VALUE!</v>
      </c>
      <c r="I131" t="e">
        <f>AND('SPR BARRANQUILLA'!AY156,"AAAAAG1++gg=")</f>
        <v>#VALUE!</v>
      </c>
      <c r="J131" t="e">
        <f>AND('SPR BARRANQUILLA'!AZ156,"AAAAAG1++gk=")</f>
        <v>#VALUE!</v>
      </c>
      <c r="K131" t="e">
        <f>AND('SPR BARRANQUILLA'!BA156,"AAAAAG1++go=")</f>
        <v>#VALUE!</v>
      </c>
      <c r="L131" t="e">
        <f>AND('SPR BARRANQUILLA'!BB156,"AAAAAG1++gs=")</f>
        <v>#VALUE!</v>
      </c>
      <c r="M131" t="e">
        <f>AND('SPR BARRANQUILLA'!BC156,"AAAAAG1++gw=")</f>
        <v>#VALUE!</v>
      </c>
      <c r="N131" t="e">
        <f>AND('SPR BARRANQUILLA'!BD156,"AAAAAG1++g0=")</f>
        <v>#VALUE!</v>
      </c>
      <c r="O131" t="e">
        <f>AND('SPR BARRANQUILLA'!BE156,"AAAAAG1++g4=")</f>
        <v>#VALUE!</v>
      </c>
      <c r="P131" t="e">
        <f>AND('SPR BARRANQUILLA'!BF156,"AAAAAG1++g8=")</f>
        <v>#VALUE!</v>
      </c>
      <c r="Q131" t="e">
        <f>AND('SPR BARRANQUILLA'!BG156,"AAAAAG1++hA=")</f>
        <v>#VALUE!</v>
      </c>
      <c r="R131" t="e">
        <f>AND('SPR BARRANQUILLA'!BH156,"AAAAAG1++hE=")</f>
        <v>#VALUE!</v>
      </c>
      <c r="S131" t="e">
        <f>AND('SPR BARRANQUILLA'!BI156,"AAAAAG1++hI=")</f>
        <v>#VALUE!</v>
      </c>
      <c r="T131" t="e">
        <f>AND('SPR BARRANQUILLA'!BJ156,"AAAAAG1++hM=")</f>
        <v>#VALUE!</v>
      </c>
      <c r="U131" t="e">
        <f>AND('SPR BARRANQUILLA'!BK156,"AAAAAG1++hQ=")</f>
        <v>#VALUE!</v>
      </c>
      <c r="V131" t="e">
        <f>AND('SPR BARRANQUILLA'!BL156,"AAAAAG1++hU=")</f>
        <v>#VALUE!</v>
      </c>
      <c r="W131" t="e">
        <f>AND('SPR BARRANQUILLA'!BM156,"AAAAAG1++hY=")</f>
        <v>#VALUE!</v>
      </c>
      <c r="X131" t="e">
        <f>AND('SPR BARRANQUILLA'!BN156,"AAAAAG1++hc=")</f>
        <v>#VALUE!</v>
      </c>
      <c r="Y131" t="e">
        <f>AND('SPR BARRANQUILLA'!BO156,"AAAAAG1++hg=")</f>
        <v>#VALUE!</v>
      </c>
      <c r="Z131" t="e">
        <f>AND('SPR BARRANQUILLA'!BP156,"AAAAAG1++hk=")</f>
        <v>#VALUE!</v>
      </c>
      <c r="AA131" t="e">
        <f>AND('SPR BARRANQUILLA'!BQ156,"AAAAAG1++ho=")</f>
        <v>#VALUE!</v>
      </c>
      <c r="AB131" t="e">
        <f>AND('SPR BARRANQUILLA'!BR156,"AAAAAG1++hs=")</f>
        <v>#VALUE!</v>
      </c>
      <c r="AC131" t="e">
        <f>AND('SPR BARRANQUILLA'!BS156,"AAAAAG1++hw=")</f>
        <v>#VALUE!</v>
      </c>
      <c r="AD131" t="e">
        <f>AND('SPR BARRANQUILLA'!BT156,"AAAAAG1++h0=")</f>
        <v>#VALUE!</v>
      </c>
      <c r="AE131" t="e">
        <f>AND('SPR BARRANQUILLA'!BU156,"AAAAAG1++h4=")</f>
        <v>#VALUE!</v>
      </c>
      <c r="AF131" t="e">
        <f>AND('SPR BARRANQUILLA'!BV156,"AAAAAG1++h8=")</f>
        <v>#VALUE!</v>
      </c>
      <c r="AG131" t="e">
        <f>AND('SPR BARRANQUILLA'!BW156,"AAAAAG1++iA=")</f>
        <v>#VALUE!</v>
      </c>
      <c r="AH131" t="e">
        <f>AND('SPR BARRANQUILLA'!BX156,"AAAAAG1++iE=")</f>
        <v>#VALUE!</v>
      </c>
      <c r="AI131" t="e">
        <f>AND('SPR BARRANQUILLA'!BY156,"AAAAAG1++iI=")</f>
        <v>#VALUE!</v>
      </c>
      <c r="AJ131" t="e">
        <f>AND('SPR BARRANQUILLA'!BZ156,"AAAAAG1++iM=")</f>
        <v>#VALUE!</v>
      </c>
      <c r="AK131" t="e">
        <f>AND('SPR BARRANQUILLA'!CA156,"AAAAAG1++iQ=")</f>
        <v>#VALUE!</v>
      </c>
      <c r="AL131" t="e">
        <f>AND('SPR BARRANQUILLA'!CB156,"AAAAAG1++iU=")</f>
        <v>#VALUE!</v>
      </c>
      <c r="AM131" t="e">
        <f>AND('SPR BARRANQUILLA'!CC156,"AAAAAG1++iY=")</f>
        <v>#VALUE!</v>
      </c>
      <c r="AN131" t="e">
        <f>AND('SPR BARRANQUILLA'!CD156,"AAAAAG1++ic=")</f>
        <v>#VALUE!</v>
      </c>
      <c r="AO131" t="e">
        <f>AND('SPR BARRANQUILLA'!CE156,"AAAAAG1++ig=")</f>
        <v>#VALUE!</v>
      </c>
      <c r="AP131" t="e">
        <f>AND('SPR BARRANQUILLA'!CF156,"AAAAAG1++ik=")</f>
        <v>#VALUE!</v>
      </c>
      <c r="AQ131" t="e">
        <f>AND('SPR BARRANQUILLA'!CG156,"AAAAAG1++io=")</f>
        <v>#VALUE!</v>
      </c>
      <c r="AR131" t="e">
        <f>AND('SPR BARRANQUILLA'!CH156,"AAAAAG1++is=")</f>
        <v>#VALUE!</v>
      </c>
      <c r="AS131" t="e">
        <f>AND('SPR BARRANQUILLA'!CI156,"AAAAAG1++iw=")</f>
        <v>#VALUE!</v>
      </c>
      <c r="AT131" t="e">
        <f>AND('SPR BARRANQUILLA'!CJ156,"AAAAAG1++i0=")</f>
        <v>#VALUE!</v>
      </c>
      <c r="AU131" t="e">
        <f>AND('SPR BARRANQUILLA'!CK156,"AAAAAG1++i4=")</f>
        <v>#VALUE!</v>
      </c>
      <c r="AV131" t="e">
        <f>AND('SPR BARRANQUILLA'!CL156,"AAAAAG1++i8=")</f>
        <v>#VALUE!</v>
      </c>
      <c r="AW131" t="e">
        <f>AND('SPR BARRANQUILLA'!CM156,"AAAAAG1++jA=")</f>
        <v>#VALUE!</v>
      </c>
      <c r="AX131" t="e">
        <f>AND('SPR BARRANQUILLA'!CN156,"AAAAAG1++jE=")</f>
        <v>#VALUE!</v>
      </c>
      <c r="AY131" t="e">
        <f>AND('SPR BARRANQUILLA'!CO156,"AAAAAG1++jI=")</f>
        <v>#VALUE!</v>
      </c>
      <c r="AZ131" t="e">
        <f>AND('SPR BARRANQUILLA'!CP156,"AAAAAG1++jM=")</f>
        <v>#VALUE!</v>
      </c>
      <c r="BA131" t="e">
        <f>AND('SPR BARRANQUILLA'!CQ156,"AAAAAG1++jQ=")</f>
        <v>#VALUE!</v>
      </c>
      <c r="BB131" t="e">
        <f>AND('SPR BARRANQUILLA'!CR156,"AAAAAG1++jU=")</f>
        <v>#VALUE!</v>
      </c>
      <c r="BC131" t="e">
        <f>AND('SPR BARRANQUILLA'!CS156,"AAAAAG1++jY=")</f>
        <v>#VALUE!</v>
      </c>
      <c r="BD131" t="e">
        <f>AND('SPR BARRANQUILLA'!CT156,"AAAAAG1++jc=")</f>
        <v>#VALUE!</v>
      </c>
      <c r="BE131" t="e">
        <f>AND('SPR BARRANQUILLA'!CU156,"AAAAAG1++jg=")</f>
        <v>#VALUE!</v>
      </c>
      <c r="BF131" t="e">
        <f>AND('SPR BARRANQUILLA'!CV156,"AAAAAG1++jk=")</f>
        <v>#VALUE!</v>
      </c>
      <c r="BG131" t="e">
        <f>AND('SPR BARRANQUILLA'!CW156,"AAAAAG1++jo=")</f>
        <v>#VALUE!</v>
      </c>
      <c r="BH131" t="e">
        <f>AND('SPR BARRANQUILLA'!CX156,"AAAAAG1++js=")</f>
        <v>#VALUE!</v>
      </c>
      <c r="BI131" t="e">
        <f>AND('SPR BARRANQUILLA'!CY156,"AAAAAG1++jw=")</f>
        <v>#VALUE!</v>
      </c>
      <c r="BJ131" t="e">
        <f>AND('SPR BARRANQUILLA'!CZ156,"AAAAAG1++j0=")</f>
        <v>#VALUE!</v>
      </c>
      <c r="BK131" t="e">
        <f>AND('SPR BARRANQUILLA'!DA156,"AAAAAG1++j4=")</f>
        <v>#VALUE!</v>
      </c>
      <c r="BL131" t="e">
        <f>AND('SPR BARRANQUILLA'!DB156,"AAAAAG1++j8=")</f>
        <v>#VALUE!</v>
      </c>
      <c r="BM131" t="e">
        <f>AND('SPR BARRANQUILLA'!DC156,"AAAAAG1++kA=")</f>
        <v>#VALUE!</v>
      </c>
      <c r="BN131" t="e">
        <f>AND('SPR BARRANQUILLA'!DD156,"AAAAAG1++kE=")</f>
        <v>#VALUE!</v>
      </c>
      <c r="BO131" t="e">
        <f>AND('SPR BARRANQUILLA'!DE156,"AAAAAG1++kI=")</f>
        <v>#VALUE!</v>
      </c>
      <c r="BP131" t="e">
        <f>AND('SPR BARRANQUILLA'!DF156,"AAAAAG1++kM=")</f>
        <v>#VALUE!</v>
      </c>
      <c r="BQ131" t="e">
        <f>AND('SPR BARRANQUILLA'!DG156,"AAAAAG1++kQ=")</f>
        <v>#VALUE!</v>
      </c>
      <c r="BR131" t="e">
        <f>AND('SPR BARRANQUILLA'!DH156,"AAAAAG1++kU=")</f>
        <v>#VALUE!</v>
      </c>
      <c r="BS131" t="e">
        <f>AND('SPR BARRANQUILLA'!DI156,"AAAAAG1++kY=")</f>
        <v>#VALUE!</v>
      </c>
      <c r="BT131" t="e">
        <f>AND('SPR BARRANQUILLA'!DJ156,"AAAAAG1++kc=")</f>
        <v>#VALUE!</v>
      </c>
      <c r="BU131" t="e">
        <f>AND('SPR BARRANQUILLA'!DK156,"AAAAAG1++kg=")</f>
        <v>#VALUE!</v>
      </c>
      <c r="BV131" t="e">
        <f>AND('SPR BARRANQUILLA'!DL156,"AAAAAG1++kk=")</f>
        <v>#VALUE!</v>
      </c>
      <c r="BW131" t="e">
        <f>AND('SPR BARRANQUILLA'!DM156,"AAAAAG1++ko=")</f>
        <v>#VALUE!</v>
      </c>
      <c r="BX131" t="e">
        <f>AND('SPR BARRANQUILLA'!DN156,"AAAAAG1++ks=")</f>
        <v>#VALUE!</v>
      </c>
      <c r="BY131" t="e">
        <f>AND('SPR BARRANQUILLA'!DO156,"AAAAAG1++kw=")</f>
        <v>#VALUE!</v>
      </c>
      <c r="BZ131" t="e">
        <f>AND('SPR BARRANQUILLA'!DP156,"AAAAAG1++k0=")</f>
        <v>#VALUE!</v>
      </c>
      <c r="CA131" t="e">
        <f>AND('SPR BARRANQUILLA'!DQ156,"AAAAAG1++k4=")</f>
        <v>#VALUE!</v>
      </c>
      <c r="CB131" t="e">
        <f>AND('SPR BARRANQUILLA'!DR156,"AAAAAG1++k8=")</f>
        <v>#VALUE!</v>
      </c>
      <c r="CC131" t="e">
        <f>AND('SPR BARRANQUILLA'!DS156,"AAAAAG1++lA=")</f>
        <v>#VALUE!</v>
      </c>
      <c r="CD131" t="e">
        <f>AND('SPR BARRANQUILLA'!DT156,"AAAAAG1++lE=")</f>
        <v>#VALUE!</v>
      </c>
      <c r="CE131" t="e">
        <f>AND('SPR BARRANQUILLA'!DU156,"AAAAAG1++lI=")</f>
        <v>#VALUE!</v>
      </c>
      <c r="CF131" t="e">
        <f>AND('SPR BARRANQUILLA'!DV156,"AAAAAG1++lM=")</f>
        <v>#VALUE!</v>
      </c>
      <c r="CG131" t="e">
        <f>AND('SPR BARRANQUILLA'!DW156,"AAAAAG1++lQ=")</f>
        <v>#VALUE!</v>
      </c>
      <c r="CH131" t="e">
        <f>AND('SPR BARRANQUILLA'!DX156,"AAAAAG1++lU=")</f>
        <v>#VALUE!</v>
      </c>
      <c r="CI131" t="e">
        <f>AND('SPR BARRANQUILLA'!DY156,"AAAAAG1++lY=")</f>
        <v>#VALUE!</v>
      </c>
      <c r="CJ131" t="e">
        <f>AND('SPR BARRANQUILLA'!DZ156,"AAAAAG1++lc=")</f>
        <v>#VALUE!</v>
      </c>
      <c r="CK131" t="e">
        <f>AND('SPR BARRANQUILLA'!EA156,"AAAAAG1++lg=")</f>
        <v>#VALUE!</v>
      </c>
      <c r="CL131" t="e">
        <f>AND('SPR BARRANQUILLA'!EB156,"AAAAAG1++lk=")</f>
        <v>#VALUE!</v>
      </c>
      <c r="CM131" t="e">
        <f>AND('SPR BARRANQUILLA'!EC156,"AAAAAG1++lo=")</f>
        <v>#VALUE!</v>
      </c>
      <c r="CN131" t="e">
        <f>AND('SPR BARRANQUILLA'!ED156,"AAAAAG1++ls=")</f>
        <v>#VALUE!</v>
      </c>
      <c r="CO131" t="e">
        <f>AND('SPR BARRANQUILLA'!EE156,"AAAAAG1++lw=")</f>
        <v>#VALUE!</v>
      </c>
      <c r="CP131" t="e">
        <f>AND('SPR BARRANQUILLA'!EF156,"AAAAAG1++l0=")</f>
        <v>#VALUE!</v>
      </c>
      <c r="CQ131" t="e">
        <f>AND('SPR BARRANQUILLA'!EG156,"AAAAAG1++l4=")</f>
        <v>#VALUE!</v>
      </c>
      <c r="CR131" t="e">
        <f>AND('SPR BARRANQUILLA'!EH156,"AAAAAG1++l8=")</f>
        <v>#VALUE!</v>
      </c>
      <c r="CS131" t="e">
        <f>AND('SPR BARRANQUILLA'!EI156,"AAAAAG1++mA=")</f>
        <v>#VALUE!</v>
      </c>
      <c r="CT131" t="e">
        <f>AND('SPR BARRANQUILLA'!EJ156,"AAAAAG1++mE=")</f>
        <v>#VALUE!</v>
      </c>
      <c r="CU131" t="e">
        <f>AND('SPR BARRANQUILLA'!EK156,"AAAAAG1++mI=")</f>
        <v>#VALUE!</v>
      </c>
      <c r="CV131" t="e">
        <f>AND('SPR BARRANQUILLA'!EL156,"AAAAAG1++mM=")</f>
        <v>#VALUE!</v>
      </c>
      <c r="CW131" t="e">
        <f>AND('SPR BARRANQUILLA'!EM156,"AAAAAG1++mQ=")</f>
        <v>#VALUE!</v>
      </c>
      <c r="CX131" t="e">
        <f>AND('SPR BARRANQUILLA'!EN156,"AAAAAG1++mU=")</f>
        <v>#VALUE!</v>
      </c>
      <c r="CY131" t="e">
        <f>AND('SPR BARRANQUILLA'!EO156,"AAAAAG1++mY=")</f>
        <v>#VALUE!</v>
      </c>
      <c r="CZ131" t="e">
        <f>AND('SPR BARRANQUILLA'!EP156,"AAAAAG1++mc=")</f>
        <v>#VALUE!</v>
      </c>
      <c r="DA131" t="e">
        <f>AND('SPR BARRANQUILLA'!EQ156,"AAAAAG1++mg=")</f>
        <v>#VALUE!</v>
      </c>
      <c r="DB131" t="e">
        <f>AND('SPR BARRANQUILLA'!ER156,"AAAAAG1++mk=")</f>
        <v>#VALUE!</v>
      </c>
      <c r="DC131" t="e">
        <f>AND('SPR BARRANQUILLA'!ES156,"AAAAAG1++mo=")</f>
        <v>#VALUE!</v>
      </c>
      <c r="DD131" t="e">
        <f>AND('SPR BARRANQUILLA'!ET156,"AAAAAG1++ms=")</f>
        <v>#VALUE!</v>
      </c>
      <c r="DE131" t="e">
        <f>AND('SPR BARRANQUILLA'!EU156,"AAAAAG1++mw=")</f>
        <v>#VALUE!</v>
      </c>
      <c r="DF131" t="e">
        <f>AND('SPR BARRANQUILLA'!EV156,"AAAAAG1++m0=")</f>
        <v>#VALUE!</v>
      </c>
      <c r="DG131" t="e">
        <f>AND('SPR BARRANQUILLA'!EW156,"AAAAAG1++m4=")</f>
        <v>#VALUE!</v>
      </c>
      <c r="DH131" t="e">
        <f>AND('SPR BARRANQUILLA'!EX156,"AAAAAG1++m8=")</f>
        <v>#VALUE!</v>
      </c>
      <c r="DI131" t="e">
        <f>AND('SPR BARRANQUILLA'!EY156,"AAAAAG1++nA=")</f>
        <v>#VALUE!</v>
      </c>
      <c r="DJ131" t="e">
        <f>AND('SPR BARRANQUILLA'!EZ156,"AAAAAG1++nE=")</f>
        <v>#VALUE!</v>
      </c>
      <c r="DK131" t="e">
        <f>AND('SPR BARRANQUILLA'!FA156,"AAAAAG1++nI=")</f>
        <v>#VALUE!</v>
      </c>
      <c r="DL131" t="e">
        <f>AND('SPR BARRANQUILLA'!FB156,"AAAAAG1++nM=")</f>
        <v>#VALUE!</v>
      </c>
      <c r="DM131" t="e">
        <f>AND('SPR BARRANQUILLA'!FC156,"AAAAAG1++nQ=")</f>
        <v>#VALUE!</v>
      </c>
      <c r="DN131" t="e">
        <f>AND('SPR BARRANQUILLA'!FD156,"AAAAAG1++nU=")</f>
        <v>#VALUE!</v>
      </c>
      <c r="DO131" t="e">
        <f>AND('SPR BARRANQUILLA'!FE156,"AAAAAG1++nY=")</f>
        <v>#VALUE!</v>
      </c>
      <c r="DP131" t="e">
        <f>AND('SPR BARRANQUILLA'!FF156,"AAAAAG1++nc=")</f>
        <v>#VALUE!</v>
      </c>
      <c r="DQ131" t="e">
        <f>AND('SPR BARRANQUILLA'!FG156,"AAAAAG1++ng=")</f>
        <v>#VALUE!</v>
      </c>
      <c r="DR131" t="e">
        <f>AND('SPR BARRANQUILLA'!FH156,"AAAAAG1++nk=")</f>
        <v>#VALUE!</v>
      </c>
      <c r="DS131" t="e">
        <f>AND('SPR BARRANQUILLA'!FI156,"AAAAAG1++no=")</f>
        <v>#VALUE!</v>
      </c>
      <c r="DT131" t="e">
        <f>AND('SPR BARRANQUILLA'!FJ156,"AAAAAG1++ns=")</f>
        <v>#VALUE!</v>
      </c>
      <c r="DU131" t="e">
        <f>AND('SPR BARRANQUILLA'!FK156,"AAAAAG1++nw=")</f>
        <v>#VALUE!</v>
      </c>
      <c r="DV131" t="e">
        <f>AND('SPR BARRANQUILLA'!FL156,"AAAAAG1++n0=")</f>
        <v>#VALUE!</v>
      </c>
      <c r="DW131" t="e">
        <f>AND('SPR BARRANQUILLA'!FM156,"AAAAAG1++n4=")</f>
        <v>#VALUE!</v>
      </c>
      <c r="DX131" t="e">
        <f>AND('SPR BARRANQUILLA'!FN156,"AAAAAG1++n8=")</f>
        <v>#VALUE!</v>
      </c>
      <c r="DY131" t="e">
        <f>AND('SPR BARRANQUILLA'!FO156,"AAAAAG1++oA=")</f>
        <v>#VALUE!</v>
      </c>
      <c r="DZ131" t="e">
        <f>AND('SPR BARRANQUILLA'!FP156,"AAAAAG1++oE=")</f>
        <v>#VALUE!</v>
      </c>
      <c r="EA131" t="e">
        <f>AND('SPR BARRANQUILLA'!FQ156,"AAAAAG1++oI=")</f>
        <v>#VALUE!</v>
      </c>
      <c r="EB131" t="e">
        <f>AND('SPR BARRANQUILLA'!FR156,"AAAAAG1++oM=")</f>
        <v>#VALUE!</v>
      </c>
      <c r="EC131" t="e">
        <f>AND('SPR BARRANQUILLA'!FS156,"AAAAAG1++oQ=")</f>
        <v>#VALUE!</v>
      </c>
      <c r="ED131" t="e">
        <f>AND('SPR BARRANQUILLA'!FT156,"AAAAAG1++oU=")</f>
        <v>#VALUE!</v>
      </c>
      <c r="EE131" t="e">
        <f>AND('SPR BARRANQUILLA'!FU156,"AAAAAG1++oY=")</f>
        <v>#VALUE!</v>
      </c>
      <c r="EF131" t="e">
        <f>AND('SPR BARRANQUILLA'!FV156,"AAAAAG1++oc=")</f>
        <v>#VALUE!</v>
      </c>
      <c r="EG131" t="e">
        <f>AND('SPR BARRANQUILLA'!FW156,"AAAAAG1++og=")</f>
        <v>#VALUE!</v>
      </c>
      <c r="EH131" t="e">
        <f>AND('SPR BARRANQUILLA'!FX156,"AAAAAG1++ok=")</f>
        <v>#VALUE!</v>
      </c>
      <c r="EI131" t="e">
        <f>AND('SPR BARRANQUILLA'!FY156,"AAAAAG1++oo=")</f>
        <v>#VALUE!</v>
      </c>
      <c r="EJ131" t="e">
        <f>AND('SPR BARRANQUILLA'!FZ156,"AAAAAG1++os=")</f>
        <v>#VALUE!</v>
      </c>
      <c r="EK131" t="e">
        <f>AND('SPR BARRANQUILLA'!GA156,"AAAAAG1++ow=")</f>
        <v>#VALUE!</v>
      </c>
      <c r="EL131" t="e">
        <f>AND('SPR BARRANQUILLA'!GB156,"AAAAAG1++o0=")</f>
        <v>#VALUE!</v>
      </c>
      <c r="EM131" t="e">
        <f>AND('SPR BARRANQUILLA'!GC156,"AAAAAG1++o4=")</f>
        <v>#VALUE!</v>
      </c>
      <c r="EN131" t="e">
        <f>AND('SPR BARRANQUILLA'!GD156,"AAAAAG1++o8=")</f>
        <v>#VALUE!</v>
      </c>
      <c r="EO131" t="e">
        <f>AND('SPR BARRANQUILLA'!GE156,"AAAAAG1++pA=")</f>
        <v>#VALUE!</v>
      </c>
      <c r="EP131" t="e">
        <f>AND('SPR BARRANQUILLA'!GF156,"AAAAAG1++pE=")</f>
        <v>#VALUE!</v>
      </c>
      <c r="EQ131" t="e">
        <f>AND('SPR BARRANQUILLA'!GG156,"AAAAAG1++pI=")</f>
        <v>#VALUE!</v>
      </c>
      <c r="ER131" t="e">
        <f>AND('SPR BARRANQUILLA'!GH156,"AAAAAG1++pM=")</f>
        <v>#VALUE!</v>
      </c>
      <c r="ES131" t="e">
        <f>AND('SPR BARRANQUILLA'!GI156,"AAAAAG1++pQ=")</f>
        <v>#VALUE!</v>
      </c>
      <c r="ET131" t="e">
        <f>AND('SPR BARRANQUILLA'!GJ156,"AAAAAG1++pU=")</f>
        <v>#VALUE!</v>
      </c>
      <c r="EU131" t="e">
        <f>AND('SPR BARRANQUILLA'!GK156,"AAAAAG1++pY=")</f>
        <v>#VALUE!</v>
      </c>
      <c r="EV131" t="e">
        <f>AND('SPR BARRANQUILLA'!GL156,"AAAAAG1++pc=")</f>
        <v>#VALUE!</v>
      </c>
      <c r="EW131" t="e">
        <f>AND('SPR BARRANQUILLA'!GM156,"AAAAAG1++pg=")</f>
        <v>#VALUE!</v>
      </c>
      <c r="EX131" t="e">
        <f>AND('SPR BARRANQUILLA'!GN156,"AAAAAG1++pk=")</f>
        <v>#VALUE!</v>
      </c>
      <c r="EY131" t="e">
        <f>AND('SPR BARRANQUILLA'!GO156,"AAAAAG1++po=")</f>
        <v>#VALUE!</v>
      </c>
      <c r="EZ131" t="e">
        <f>AND('SPR BARRANQUILLA'!GP156,"AAAAAG1++ps=")</f>
        <v>#VALUE!</v>
      </c>
      <c r="FA131" t="e">
        <f>AND('SPR BARRANQUILLA'!GQ156,"AAAAAG1++pw=")</f>
        <v>#VALUE!</v>
      </c>
      <c r="FB131" t="e">
        <f>AND('SPR BARRANQUILLA'!GR156,"AAAAAG1++p0=")</f>
        <v>#VALUE!</v>
      </c>
      <c r="FC131" t="e">
        <f>AND('SPR BARRANQUILLA'!GS156,"AAAAAG1++p4=")</f>
        <v>#VALUE!</v>
      </c>
      <c r="FD131" t="e">
        <f>AND('SPR BARRANQUILLA'!GT156,"AAAAAG1++p8=")</f>
        <v>#VALUE!</v>
      </c>
      <c r="FE131" t="e">
        <f>AND('SPR BARRANQUILLA'!GU156,"AAAAAG1++qA=")</f>
        <v>#VALUE!</v>
      </c>
      <c r="FF131" t="e">
        <f>AND('SPR BARRANQUILLA'!GV156,"AAAAAG1++qE=")</f>
        <v>#VALUE!</v>
      </c>
      <c r="FG131" t="e">
        <f>AND('SPR BARRANQUILLA'!GW156,"AAAAAG1++qI=")</f>
        <v>#VALUE!</v>
      </c>
      <c r="FH131" t="e">
        <f>AND('SPR BARRANQUILLA'!GX156,"AAAAAG1++qM=")</f>
        <v>#VALUE!</v>
      </c>
      <c r="FI131" t="e">
        <f>AND('SPR BARRANQUILLA'!GY156,"AAAAAG1++qQ=")</f>
        <v>#VALUE!</v>
      </c>
      <c r="FJ131">
        <f>IF('SPR BARRANQUILLA'!157:157,"AAAAAG1++qU=",0)</f>
        <v>0</v>
      </c>
      <c r="FK131" t="e">
        <f>AND('SPR BARRANQUILLA'!A157,"AAAAAG1++qY=")</f>
        <v>#VALUE!</v>
      </c>
      <c r="FL131" t="e">
        <f>AND('SPR BARRANQUILLA'!B157,"AAAAAG1++qc=")</f>
        <v>#VALUE!</v>
      </c>
      <c r="FM131" t="e">
        <f>AND('SPR BARRANQUILLA'!C157,"AAAAAG1++qg=")</f>
        <v>#VALUE!</v>
      </c>
      <c r="FN131" t="e">
        <f>AND('SPR BARRANQUILLA'!D157,"AAAAAG1++qk=")</f>
        <v>#VALUE!</v>
      </c>
      <c r="FO131" t="e">
        <f>AND('SPR BARRANQUILLA'!E157,"AAAAAG1++qo=")</f>
        <v>#VALUE!</v>
      </c>
      <c r="FP131" t="e">
        <f>AND('SPR BARRANQUILLA'!F157,"AAAAAG1++qs=")</f>
        <v>#VALUE!</v>
      </c>
      <c r="FQ131" t="e">
        <f>AND('SPR BARRANQUILLA'!G157,"AAAAAG1++qw=")</f>
        <v>#VALUE!</v>
      </c>
      <c r="FR131" t="e">
        <f>AND('SPR BARRANQUILLA'!H157,"AAAAAG1++q0=")</f>
        <v>#VALUE!</v>
      </c>
      <c r="FS131" t="e">
        <f>AND('SPR BARRANQUILLA'!I157,"AAAAAG1++q4=")</f>
        <v>#VALUE!</v>
      </c>
      <c r="FT131" t="e">
        <f>AND('SPR BARRANQUILLA'!J157,"AAAAAG1++q8=")</f>
        <v>#VALUE!</v>
      </c>
      <c r="FU131" t="e">
        <f>AND('SPR BARRANQUILLA'!K157,"AAAAAG1++rA=")</f>
        <v>#VALUE!</v>
      </c>
      <c r="FV131" t="e">
        <f>AND('SPR BARRANQUILLA'!L157,"AAAAAG1++rE=")</f>
        <v>#VALUE!</v>
      </c>
      <c r="FW131" t="e">
        <f>AND('SPR BARRANQUILLA'!M157,"AAAAAG1++rI=")</f>
        <v>#VALUE!</v>
      </c>
      <c r="FX131" t="e">
        <f>AND('SPR BARRANQUILLA'!N157,"AAAAAG1++rM=")</f>
        <v>#VALUE!</v>
      </c>
      <c r="FY131" t="e">
        <f>AND('SPR BARRANQUILLA'!O157,"AAAAAG1++rQ=")</f>
        <v>#VALUE!</v>
      </c>
      <c r="FZ131" t="e">
        <f>AND('SPR BARRANQUILLA'!P157,"AAAAAG1++rU=")</f>
        <v>#VALUE!</v>
      </c>
      <c r="GA131" t="e">
        <f>AND('SPR BARRANQUILLA'!Q157,"AAAAAG1++rY=")</f>
        <v>#VALUE!</v>
      </c>
      <c r="GB131" t="e">
        <f>AND('SPR BARRANQUILLA'!R157,"AAAAAG1++rc=")</f>
        <v>#VALUE!</v>
      </c>
      <c r="GC131" t="e">
        <f>AND('SPR BARRANQUILLA'!S157,"AAAAAG1++rg=")</f>
        <v>#VALUE!</v>
      </c>
      <c r="GD131" t="e">
        <f>AND('SPR BARRANQUILLA'!T157,"AAAAAG1++rk=")</f>
        <v>#VALUE!</v>
      </c>
      <c r="GE131" t="e">
        <f>AND('SPR BARRANQUILLA'!U157,"AAAAAG1++ro=")</f>
        <v>#VALUE!</v>
      </c>
      <c r="GF131" t="e">
        <f>AND('SPR BARRANQUILLA'!V157,"AAAAAG1++rs=")</f>
        <v>#VALUE!</v>
      </c>
      <c r="GG131" t="e">
        <f>AND('SPR BARRANQUILLA'!W157,"AAAAAG1++rw=")</f>
        <v>#VALUE!</v>
      </c>
      <c r="GH131" t="e">
        <f>AND('SPR BARRANQUILLA'!X157,"AAAAAG1++r0=")</f>
        <v>#VALUE!</v>
      </c>
      <c r="GI131" t="e">
        <f>AND('SPR BARRANQUILLA'!Y157,"AAAAAG1++r4=")</f>
        <v>#VALUE!</v>
      </c>
      <c r="GJ131" t="e">
        <f>AND('SPR BARRANQUILLA'!Z157,"AAAAAG1++r8=")</f>
        <v>#VALUE!</v>
      </c>
      <c r="GK131" t="e">
        <f>AND('SPR BARRANQUILLA'!AA157,"AAAAAG1++sA=")</f>
        <v>#VALUE!</v>
      </c>
      <c r="GL131" t="e">
        <f>AND('SPR BARRANQUILLA'!AB157,"AAAAAG1++sE=")</f>
        <v>#VALUE!</v>
      </c>
      <c r="GM131" t="e">
        <f>AND('SPR BARRANQUILLA'!AC157,"AAAAAG1++sI=")</f>
        <v>#VALUE!</v>
      </c>
      <c r="GN131" t="e">
        <f>AND('SPR BARRANQUILLA'!AD157,"AAAAAG1++sM=")</f>
        <v>#VALUE!</v>
      </c>
      <c r="GO131" t="e">
        <f>AND('SPR BARRANQUILLA'!AE157,"AAAAAG1++sQ=")</f>
        <v>#VALUE!</v>
      </c>
      <c r="GP131" t="e">
        <f>AND('SPR BARRANQUILLA'!AF157,"AAAAAG1++sU=")</f>
        <v>#VALUE!</v>
      </c>
      <c r="GQ131" t="e">
        <f>AND('SPR BARRANQUILLA'!AG157,"AAAAAG1++sY=")</f>
        <v>#VALUE!</v>
      </c>
      <c r="GR131" t="e">
        <f>AND('SPR BARRANQUILLA'!AH157,"AAAAAG1++sc=")</f>
        <v>#VALUE!</v>
      </c>
      <c r="GS131" t="e">
        <f>AND('SPR BARRANQUILLA'!AI157,"AAAAAG1++sg=")</f>
        <v>#VALUE!</v>
      </c>
      <c r="GT131" t="e">
        <f>AND('SPR BARRANQUILLA'!AJ157,"AAAAAG1++sk=")</f>
        <v>#VALUE!</v>
      </c>
      <c r="GU131" t="e">
        <f>AND('SPR BARRANQUILLA'!AK157,"AAAAAG1++so=")</f>
        <v>#VALUE!</v>
      </c>
      <c r="GV131" t="e">
        <f>AND('SPR BARRANQUILLA'!AL157,"AAAAAG1++ss=")</f>
        <v>#VALUE!</v>
      </c>
      <c r="GW131" t="e">
        <f>AND('SPR BARRANQUILLA'!AM157,"AAAAAG1++sw=")</f>
        <v>#VALUE!</v>
      </c>
      <c r="GX131" t="e">
        <f>AND('SPR BARRANQUILLA'!AN157,"AAAAAG1++s0=")</f>
        <v>#VALUE!</v>
      </c>
      <c r="GY131" t="e">
        <f>AND('SPR BARRANQUILLA'!AO157,"AAAAAG1++s4=")</f>
        <v>#VALUE!</v>
      </c>
      <c r="GZ131" t="e">
        <f>AND('SPR BARRANQUILLA'!AP157,"AAAAAG1++s8=")</f>
        <v>#VALUE!</v>
      </c>
      <c r="HA131" t="e">
        <f>AND('SPR BARRANQUILLA'!AQ157,"AAAAAG1++tA=")</f>
        <v>#VALUE!</v>
      </c>
      <c r="HB131" t="e">
        <f>AND('SPR BARRANQUILLA'!AR157,"AAAAAG1++tE=")</f>
        <v>#VALUE!</v>
      </c>
      <c r="HC131" t="e">
        <f>AND('SPR BARRANQUILLA'!AS157,"AAAAAG1++tI=")</f>
        <v>#VALUE!</v>
      </c>
      <c r="HD131" t="e">
        <f>AND('SPR BARRANQUILLA'!AT157,"AAAAAG1++tM=")</f>
        <v>#VALUE!</v>
      </c>
      <c r="HE131" t="e">
        <f>AND('SPR BARRANQUILLA'!AU157,"AAAAAG1++tQ=")</f>
        <v>#VALUE!</v>
      </c>
      <c r="HF131" t="e">
        <f>AND('SPR BARRANQUILLA'!AV157,"AAAAAG1++tU=")</f>
        <v>#VALUE!</v>
      </c>
      <c r="HG131" t="e">
        <f>AND('SPR BARRANQUILLA'!AW157,"AAAAAG1++tY=")</f>
        <v>#VALUE!</v>
      </c>
      <c r="HH131" t="e">
        <f>AND('SPR BARRANQUILLA'!AX157,"AAAAAG1++tc=")</f>
        <v>#VALUE!</v>
      </c>
      <c r="HI131" t="e">
        <f>AND('SPR BARRANQUILLA'!AY157,"AAAAAG1++tg=")</f>
        <v>#VALUE!</v>
      </c>
      <c r="HJ131" t="e">
        <f>AND('SPR BARRANQUILLA'!AZ157,"AAAAAG1++tk=")</f>
        <v>#VALUE!</v>
      </c>
      <c r="HK131" t="e">
        <f>AND('SPR BARRANQUILLA'!BA157,"AAAAAG1++to=")</f>
        <v>#VALUE!</v>
      </c>
      <c r="HL131" t="e">
        <f>AND('SPR BARRANQUILLA'!BB157,"AAAAAG1++ts=")</f>
        <v>#VALUE!</v>
      </c>
      <c r="HM131" t="e">
        <f>AND('SPR BARRANQUILLA'!BC157,"AAAAAG1++tw=")</f>
        <v>#VALUE!</v>
      </c>
      <c r="HN131" t="e">
        <f>AND('SPR BARRANQUILLA'!BD157,"AAAAAG1++t0=")</f>
        <v>#VALUE!</v>
      </c>
      <c r="HO131" t="e">
        <f>AND('SPR BARRANQUILLA'!BE157,"AAAAAG1++t4=")</f>
        <v>#VALUE!</v>
      </c>
      <c r="HP131" t="e">
        <f>AND('SPR BARRANQUILLA'!BF157,"AAAAAG1++t8=")</f>
        <v>#VALUE!</v>
      </c>
      <c r="HQ131" t="e">
        <f>AND('SPR BARRANQUILLA'!BG157,"AAAAAG1++uA=")</f>
        <v>#VALUE!</v>
      </c>
      <c r="HR131" t="e">
        <f>AND('SPR BARRANQUILLA'!BH157,"AAAAAG1++uE=")</f>
        <v>#VALUE!</v>
      </c>
      <c r="HS131" t="e">
        <f>AND('SPR BARRANQUILLA'!BI157,"AAAAAG1++uI=")</f>
        <v>#VALUE!</v>
      </c>
      <c r="HT131" t="e">
        <f>AND('SPR BARRANQUILLA'!BJ157,"AAAAAG1++uM=")</f>
        <v>#VALUE!</v>
      </c>
      <c r="HU131" t="e">
        <f>AND('SPR BARRANQUILLA'!BK157,"AAAAAG1++uQ=")</f>
        <v>#VALUE!</v>
      </c>
      <c r="HV131" t="e">
        <f>AND('SPR BARRANQUILLA'!BL157,"AAAAAG1++uU=")</f>
        <v>#VALUE!</v>
      </c>
      <c r="HW131" t="e">
        <f>AND('SPR BARRANQUILLA'!BM157,"AAAAAG1++uY=")</f>
        <v>#VALUE!</v>
      </c>
      <c r="HX131" t="e">
        <f>AND('SPR BARRANQUILLA'!BN157,"AAAAAG1++uc=")</f>
        <v>#VALUE!</v>
      </c>
      <c r="HY131" t="e">
        <f>AND('SPR BARRANQUILLA'!BO157,"AAAAAG1++ug=")</f>
        <v>#VALUE!</v>
      </c>
      <c r="HZ131" t="e">
        <f>AND('SPR BARRANQUILLA'!BP157,"AAAAAG1++uk=")</f>
        <v>#VALUE!</v>
      </c>
      <c r="IA131" t="e">
        <f>AND('SPR BARRANQUILLA'!BQ157,"AAAAAG1++uo=")</f>
        <v>#VALUE!</v>
      </c>
      <c r="IB131" t="e">
        <f>AND('SPR BARRANQUILLA'!BR157,"AAAAAG1++us=")</f>
        <v>#VALUE!</v>
      </c>
      <c r="IC131" t="e">
        <f>AND('SPR BARRANQUILLA'!BS157,"AAAAAG1++uw=")</f>
        <v>#VALUE!</v>
      </c>
      <c r="ID131" t="e">
        <f>AND('SPR BARRANQUILLA'!BT157,"AAAAAG1++u0=")</f>
        <v>#VALUE!</v>
      </c>
      <c r="IE131" t="e">
        <f>AND('SPR BARRANQUILLA'!BU157,"AAAAAG1++u4=")</f>
        <v>#VALUE!</v>
      </c>
      <c r="IF131" t="e">
        <f>AND('SPR BARRANQUILLA'!BV157,"AAAAAG1++u8=")</f>
        <v>#VALUE!</v>
      </c>
      <c r="IG131" t="e">
        <f>AND('SPR BARRANQUILLA'!BW157,"AAAAAG1++vA=")</f>
        <v>#VALUE!</v>
      </c>
      <c r="IH131" t="e">
        <f>AND('SPR BARRANQUILLA'!BX157,"AAAAAG1++vE=")</f>
        <v>#VALUE!</v>
      </c>
      <c r="II131" t="e">
        <f>AND('SPR BARRANQUILLA'!BY157,"AAAAAG1++vI=")</f>
        <v>#VALUE!</v>
      </c>
      <c r="IJ131" t="e">
        <f>AND('SPR BARRANQUILLA'!BZ157,"AAAAAG1++vM=")</f>
        <v>#VALUE!</v>
      </c>
      <c r="IK131" t="e">
        <f>AND('SPR BARRANQUILLA'!CA157,"AAAAAG1++vQ=")</f>
        <v>#VALUE!</v>
      </c>
      <c r="IL131" t="e">
        <f>AND('SPR BARRANQUILLA'!CB157,"AAAAAG1++vU=")</f>
        <v>#VALUE!</v>
      </c>
      <c r="IM131" t="e">
        <f>AND('SPR BARRANQUILLA'!CC157,"AAAAAG1++vY=")</f>
        <v>#VALUE!</v>
      </c>
      <c r="IN131" t="e">
        <f>AND('SPR BARRANQUILLA'!CD157,"AAAAAG1++vc=")</f>
        <v>#VALUE!</v>
      </c>
      <c r="IO131" t="e">
        <f>AND('SPR BARRANQUILLA'!CE157,"AAAAAG1++vg=")</f>
        <v>#VALUE!</v>
      </c>
      <c r="IP131" t="e">
        <f>AND('SPR BARRANQUILLA'!CF157,"AAAAAG1++vk=")</f>
        <v>#VALUE!</v>
      </c>
      <c r="IQ131" t="e">
        <f>AND('SPR BARRANQUILLA'!CG157,"AAAAAG1++vo=")</f>
        <v>#VALUE!</v>
      </c>
      <c r="IR131" t="e">
        <f>AND('SPR BARRANQUILLA'!CH157,"AAAAAG1++vs=")</f>
        <v>#VALUE!</v>
      </c>
      <c r="IS131" t="e">
        <f>AND('SPR BARRANQUILLA'!CI157,"AAAAAG1++vw=")</f>
        <v>#VALUE!</v>
      </c>
      <c r="IT131" t="e">
        <f>AND('SPR BARRANQUILLA'!CJ157,"AAAAAG1++v0=")</f>
        <v>#VALUE!</v>
      </c>
      <c r="IU131" t="e">
        <f>AND('SPR BARRANQUILLA'!CK157,"AAAAAG1++v4=")</f>
        <v>#VALUE!</v>
      </c>
      <c r="IV131" t="e">
        <f>AND('SPR BARRANQUILLA'!CL157,"AAAAAG1++v8=")</f>
        <v>#VALUE!</v>
      </c>
    </row>
    <row r="132" spans="1:256">
      <c r="A132" t="e">
        <f>AND('SPR BARRANQUILLA'!CM157,"AAAAAH3vvwA=")</f>
        <v>#VALUE!</v>
      </c>
      <c r="B132" t="e">
        <f>AND('SPR BARRANQUILLA'!CN157,"AAAAAH3vvwE=")</f>
        <v>#VALUE!</v>
      </c>
      <c r="C132" t="e">
        <f>AND('SPR BARRANQUILLA'!CO157,"AAAAAH3vvwI=")</f>
        <v>#VALUE!</v>
      </c>
      <c r="D132" t="e">
        <f>AND('SPR BARRANQUILLA'!CP157,"AAAAAH3vvwM=")</f>
        <v>#VALUE!</v>
      </c>
      <c r="E132" t="e">
        <f>AND('SPR BARRANQUILLA'!CQ157,"AAAAAH3vvwQ=")</f>
        <v>#VALUE!</v>
      </c>
      <c r="F132" t="e">
        <f>AND('SPR BARRANQUILLA'!CR157,"AAAAAH3vvwU=")</f>
        <v>#VALUE!</v>
      </c>
      <c r="G132" t="e">
        <f>AND('SPR BARRANQUILLA'!CS157,"AAAAAH3vvwY=")</f>
        <v>#VALUE!</v>
      </c>
      <c r="H132" t="e">
        <f>AND('SPR BARRANQUILLA'!CT157,"AAAAAH3vvwc=")</f>
        <v>#VALUE!</v>
      </c>
      <c r="I132" t="e">
        <f>AND('SPR BARRANQUILLA'!CU157,"AAAAAH3vvwg=")</f>
        <v>#VALUE!</v>
      </c>
      <c r="J132" t="e">
        <f>AND('SPR BARRANQUILLA'!CV157,"AAAAAH3vvwk=")</f>
        <v>#VALUE!</v>
      </c>
      <c r="K132" t="e">
        <f>AND('SPR BARRANQUILLA'!CW157,"AAAAAH3vvwo=")</f>
        <v>#VALUE!</v>
      </c>
      <c r="L132" t="e">
        <f>AND('SPR BARRANQUILLA'!CX157,"AAAAAH3vvws=")</f>
        <v>#VALUE!</v>
      </c>
      <c r="M132" t="e">
        <f>AND('SPR BARRANQUILLA'!CY157,"AAAAAH3vvww=")</f>
        <v>#VALUE!</v>
      </c>
      <c r="N132" t="e">
        <f>AND('SPR BARRANQUILLA'!CZ157,"AAAAAH3vvw0=")</f>
        <v>#VALUE!</v>
      </c>
      <c r="O132" t="e">
        <f>AND('SPR BARRANQUILLA'!DA157,"AAAAAH3vvw4=")</f>
        <v>#VALUE!</v>
      </c>
      <c r="P132" t="e">
        <f>AND('SPR BARRANQUILLA'!DB157,"AAAAAH3vvw8=")</f>
        <v>#VALUE!</v>
      </c>
      <c r="Q132" t="e">
        <f>AND('SPR BARRANQUILLA'!DC157,"AAAAAH3vvxA=")</f>
        <v>#VALUE!</v>
      </c>
      <c r="R132" t="e">
        <f>AND('SPR BARRANQUILLA'!DD157,"AAAAAH3vvxE=")</f>
        <v>#VALUE!</v>
      </c>
      <c r="S132" t="e">
        <f>AND('SPR BARRANQUILLA'!DE157,"AAAAAH3vvxI=")</f>
        <v>#VALUE!</v>
      </c>
      <c r="T132" t="e">
        <f>AND('SPR BARRANQUILLA'!DF157,"AAAAAH3vvxM=")</f>
        <v>#VALUE!</v>
      </c>
      <c r="U132" t="e">
        <f>AND('SPR BARRANQUILLA'!DG157,"AAAAAH3vvxQ=")</f>
        <v>#VALUE!</v>
      </c>
      <c r="V132" t="e">
        <f>AND('SPR BARRANQUILLA'!DH157,"AAAAAH3vvxU=")</f>
        <v>#VALUE!</v>
      </c>
      <c r="W132" t="e">
        <f>AND('SPR BARRANQUILLA'!DI157,"AAAAAH3vvxY=")</f>
        <v>#VALUE!</v>
      </c>
      <c r="X132" t="e">
        <f>AND('SPR BARRANQUILLA'!DJ157,"AAAAAH3vvxc=")</f>
        <v>#VALUE!</v>
      </c>
      <c r="Y132" t="e">
        <f>AND('SPR BARRANQUILLA'!DK157,"AAAAAH3vvxg=")</f>
        <v>#VALUE!</v>
      </c>
      <c r="Z132" t="e">
        <f>AND('SPR BARRANQUILLA'!DL157,"AAAAAH3vvxk=")</f>
        <v>#VALUE!</v>
      </c>
      <c r="AA132" t="e">
        <f>AND('SPR BARRANQUILLA'!DM157,"AAAAAH3vvxo=")</f>
        <v>#VALUE!</v>
      </c>
      <c r="AB132" t="e">
        <f>AND('SPR BARRANQUILLA'!DN157,"AAAAAH3vvxs=")</f>
        <v>#VALUE!</v>
      </c>
      <c r="AC132" t="e">
        <f>AND('SPR BARRANQUILLA'!DO157,"AAAAAH3vvxw=")</f>
        <v>#VALUE!</v>
      </c>
      <c r="AD132" t="e">
        <f>AND('SPR BARRANQUILLA'!DP157,"AAAAAH3vvx0=")</f>
        <v>#VALUE!</v>
      </c>
      <c r="AE132" t="e">
        <f>AND('SPR BARRANQUILLA'!DQ157,"AAAAAH3vvx4=")</f>
        <v>#VALUE!</v>
      </c>
      <c r="AF132" t="e">
        <f>AND('SPR BARRANQUILLA'!DR157,"AAAAAH3vvx8=")</f>
        <v>#VALUE!</v>
      </c>
      <c r="AG132" t="e">
        <f>AND('SPR BARRANQUILLA'!DS157,"AAAAAH3vvyA=")</f>
        <v>#VALUE!</v>
      </c>
      <c r="AH132" t="e">
        <f>AND('SPR BARRANQUILLA'!DT157,"AAAAAH3vvyE=")</f>
        <v>#VALUE!</v>
      </c>
      <c r="AI132" t="e">
        <f>AND('SPR BARRANQUILLA'!DU157,"AAAAAH3vvyI=")</f>
        <v>#VALUE!</v>
      </c>
      <c r="AJ132" t="e">
        <f>AND('SPR BARRANQUILLA'!DV157,"AAAAAH3vvyM=")</f>
        <v>#VALUE!</v>
      </c>
      <c r="AK132" t="e">
        <f>AND('SPR BARRANQUILLA'!DW157,"AAAAAH3vvyQ=")</f>
        <v>#VALUE!</v>
      </c>
      <c r="AL132" t="e">
        <f>AND('SPR BARRANQUILLA'!DX157,"AAAAAH3vvyU=")</f>
        <v>#VALUE!</v>
      </c>
      <c r="AM132" t="e">
        <f>AND('SPR BARRANQUILLA'!DY157,"AAAAAH3vvyY=")</f>
        <v>#VALUE!</v>
      </c>
      <c r="AN132" t="e">
        <f>AND('SPR BARRANQUILLA'!DZ157,"AAAAAH3vvyc=")</f>
        <v>#VALUE!</v>
      </c>
      <c r="AO132" t="e">
        <f>AND('SPR BARRANQUILLA'!EA157,"AAAAAH3vvyg=")</f>
        <v>#VALUE!</v>
      </c>
      <c r="AP132" t="e">
        <f>AND('SPR BARRANQUILLA'!EB157,"AAAAAH3vvyk=")</f>
        <v>#VALUE!</v>
      </c>
      <c r="AQ132" t="e">
        <f>AND('SPR BARRANQUILLA'!EC157,"AAAAAH3vvyo=")</f>
        <v>#VALUE!</v>
      </c>
      <c r="AR132" t="e">
        <f>AND('SPR BARRANQUILLA'!ED157,"AAAAAH3vvys=")</f>
        <v>#VALUE!</v>
      </c>
      <c r="AS132" t="e">
        <f>AND('SPR BARRANQUILLA'!EE157,"AAAAAH3vvyw=")</f>
        <v>#VALUE!</v>
      </c>
      <c r="AT132" t="e">
        <f>AND('SPR BARRANQUILLA'!EF157,"AAAAAH3vvy0=")</f>
        <v>#VALUE!</v>
      </c>
      <c r="AU132" t="e">
        <f>AND('SPR BARRANQUILLA'!EG157,"AAAAAH3vvy4=")</f>
        <v>#VALUE!</v>
      </c>
      <c r="AV132" t="e">
        <f>AND('SPR BARRANQUILLA'!EH157,"AAAAAH3vvy8=")</f>
        <v>#VALUE!</v>
      </c>
      <c r="AW132" t="e">
        <f>AND('SPR BARRANQUILLA'!EI157,"AAAAAH3vvzA=")</f>
        <v>#VALUE!</v>
      </c>
      <c r="AX132" t="e">
        <f>AND('SPR BARRANQUILLA'!EJ157,"AAAAAH3vvzE=")</f>
        <v>#VALUE!</v>
      </c>
      <c r="AY132" t="e">
        <f>AND('SPR BARRANQUILLA'!EK157,"AAAAAH3vvzI=")</f>
        <v>#VALUE!</v>
      </c>
      <c r="AZ132" t="e">
        <f>AND('SPR BARRANQUILLA'!EL157,"AAAAAH3vvzM=")</f>
        <v>#VALUE!</v>
      </c>
      <c r="BA132" t="e">
        <f>AND('SPR BARRANQUILLA'!EM157,"AAAAAH3vvzQ=")</f>
        <v>#VALUE!</v>
      </c>
      <c r="BB132" t="e">
        <f>AND('SPR BARRANQUILLA'!EN157,"AAAAAH3vvzU=")</f>
        <v>#VALUE!</v>
      </c>
      <c r="BC132" t="e">
        <f>AND('SPR BARRANQUILLA'!EO157,"AAAAAH3vvzY=")</f>
        <v>#VALUE!</v>
      </c>
      <c r="BD132" t="e">
        <f>AND('SPR BARRANQUILLA'!EP157,"AAAAAH3vvzc=")</f>
        <v>#VALUE!</v>
      </c>
      <c r="BE132" t="e">
        <f>AND('SPR BARRANQUILLA'!EQ157,"AAAAAH3vvzg=")</f>
        <v>#VALUE!</v>
      </c>
      <c r="BF132" t="e">
        <f>AND('SPR BARRANQUILLA'!ER157,"AAAAAH3vvzk=")</f>
        <v>#VALUE!</v>
      </c>
      <c r="BG132" t="e">
        <f>AND('SPR BARRANQUILLA'!ES157,"AAAAAH3vvzo=")</f>
        <v>#VALUE!</v>
      </c>
      <c r="BH132" t="e">
        <f>AND('SPR BARRANQUILLA'!ET157,"AAAAAH3vvzs=")</f>
        <v>#VALUE!</v>
      </c>
      <c r="BI132" t="e">
        <f>AND('SPR BARRANQUILLA'!EU157,"AAAAAH3vvzw=")</f>
        <v>#VALUE!</v>
      </c>
      <c r="BJ132" t="e">
        <f>AND('SPR BARRANQUILLA'!EV157,"AAAAAH3vvz0=")</f>
        <v>#VALUE!</v>
      </c>
      <c r="BK132" t="e">
        <f>AND('SPR BARRANQUILLA'!EW157,"AAAAAH3vvz4=")</f>
        <v>#VALUE!</v>
      </c>
      <c r="BL132" t="e">
        <f>AND('SPR BARRANQUILLA'!EX157,"AAAAAH3vvz8=")</f>
        <v>#VALUE!</v>
      </c>
      <c r="BM132" t="e">
        <f>AND('SPR BARRANQUILLA'!EY157,"AAAAAH3vv0A=")</f>
        <v>#VALUE!</v>
      </c>
      <c r="BN132" t="e">
        <f>AND('SPR BARRANQUILLA'!EZ157,"AAAAAH3vv0E=")</f>
        <v>#VALUE!</v>
      </c>
      <c r="BO132" t="e">
        <f>AND('SPR BARRANQUILLA'!FA157,"AAAAAH3vv0I=")</f>
        <v>#VALUE!</v>
      </c>
      <c r="BP132" t="e">
        <f>AND('SPR BARRANQUILLA'!FB157,"AAAAAH3vv0M=")</f>
        <v>#VALUE!</v>
      </c>
      <c r="BQ132" t="e">
        <f>AND('SPR BARRANQUILLA'!FC157,"AAAAAH3vv0Q=")</f>
        <v>#VALUE!</v>
      </c>
      <c r="BR132" t="e">
        <f>AND('SPR BARRANQUILLA'!FD157,"AAAAAH3vv0U=")</f>
        <v>#VALUE!</v>
      </c>
      <c r="BS132" t="e">
        <f>AND('SPR BARRANQUILLA'!FE157,"AAAAAH3vv0Y=")</f>
        <v>#VALUE!</v>
      </c>
      <c r="BT132" t="e">
        <f>AND('SPR BARRANQUILLA'!FF157,"AAAAAH3vv0c=")</f>
        <v>#VALUE!</v>
      </c>
      <c r="BU132" t="e">
        <f>AND('SPR BARRANQUILLA'!FG157,"AAAAAH3vv0g=")</f>
        <v>#VALUE!</v>
      </c>
      <c r="BV132" t="e">
        <f>AND('SPR BARRANQUILLA'!FH157,"AAAAAH3vv0k=")</f>
        <v>#VALUE!</v>
      </c>
      <c r="BW132" t="e">
        <f>AND('SPR BARRANQUILLA'!FI157,"AAAAAH3vv0o=")</f>
        <v>#VALUE!</v>
      </c>
      <c r="BX132" t="e">
        <f>AND('SPR BARRANQUILLA'!FJ157,"AAAAAH3vv0s=")</f>
        <v>#VALUE!</v>
      </c>
      <c r="BY132" t="e">
        <f>AND('SPR BARRANQUILLA'!FK157,"AAAAAH3vv0w=")</f>
        <v>#VALUE!</v>
      </c>
      <c r="BZ132" t="e">
        <f>AND('SPR BARRANQUILLA'!FL157,"AAAAAH3vv00=")</f>
        <v>#VALUE!</v>
      </c>
      <c r="CA132" t="e">
        <f>AND('SPR BARRANQUILLA'!FM157,"AAAAAH3vv04=")</f>
        <v>#VALUE!</v>
      </c>
      <c r="CB132" t="e">
        <f>AND('SPR BARRANQUILLA'!FN157,"AAAAAH3vv08=")</f>
        <v>#VALUE!</v>
      </c>
      <c r="CC132" t="e">
        <f>AND('SPR BARRANQUILLA'!FO157,"AAAAAH3vv1A=")</f>
        <v>#VALUE!</v>
      </c>
      <c r="CD132" t="e">
        <f>AND('SPR BARRANQUILLA'!FP157,"AAAAAH3vv1E=")</f>
        <v>#VALUE!</v>
      </c>
      <c r="CE132" t="e">
        <f>AND('SPR BARRANQUILLA'!FQ157,"AAAAAH3vv1I=")</f>
        <v>#VALUE!</v>
      </c>
      <c r="CF132" t="e">
        <f>AND('SPR BARRANQUILLA'!FR157,"AAAAAH3vv1M=")</f>
        <v>#VALUE!</v>
      </c>
      <c r="CG132" t="e">
        <f>AND('SPR BARRANQUILLA'!FS157,"AAAAAH3vv1Q=")</f>
        <v>#VALUE!</v>
      </c>
      <c r="CH132" t="e">
        <f>AND('SPR BARRANQUILLA'!FT157,"AAAAAH3vv1U=")</f>
        <v>#VALUE!</v>
      </c>
      <c r="CI132" t="e">
        <f>AND('SPR BARRANQUILLA'!FU157,"AAAAAH3vv1Y=")</f>
        <v>#VALUE!</v>
      </c>
      <c r="CJ132" t="e">
        <f>AND('SPR BARRANQUILLA'!FV157,"AAAAAH3vv1c=")</f>
        <v>#VALUE!</v>
      </c>
      <c r="CK132" t="e">
        <f>AND('SPR BARRANQUILLA'!FW157,"AAAAAH3vv1g=")</f>
        <v>#VALUE!</v>
      </c>
      <c r="CL132" t="e">
        <f>AND('SPR BARRANQUILLA'!FX157,"AAAAAH3vv1k=")</f>
        <v>#VALUE!</v>
      </c>
      <c r="CM132" t="e">
        <f>AND('SPR BARRANQUILLA'!FY157,"AAAAAH3vv1o=")</f>
        <v>#VALUE!</v>
      </c>
      <c r="CN132" t="e">
        <f>AND('SPR BARRANQUILLA'!FZ157,"AAAAAH3vv1s=")</f>
        <v>#VALUE!</v>
      </c>
      <c r="CO132" t="e">
        <f>AND('SPR BARRANQUILLA'!GA157,"AAAAAH3vv1w=")</f>
        <v>#VALUE!</v>
      </c>
      <c r="CP132" t="e">
        <f>AND('SPR BARRANQUILLA'!GB157,"AAAAAH3vv10=")</f>
        <v>#VALUE!</v>
      </c>
      <c r="CQ132" t="e">
        <f>AND('SPR BARRANQUILLA'!GC157,"AAAAAH3vv14=")</f>
        <v>#VALUE!</v>
      </c>
      <c r="CR132" t="e">
        <f>AND('SPR BARRANQUILLA'!GD157,"AAAAAH3vv18=")</f>
        <v>#VALUE!</v>
      </c>
      <c r="CS132" t="e">
        <f>AND('SPR BARRANQUILLA'!GE157,"AAAAAH3vv2A=")</f>
        <v>#VALUE!</v>
      </c>
      <c r="CT132" t="e">
        <f>AND('SPR BARRANQUILLA'!GF157,"AAAAAH3vv2E=")</f>
        <v>#VALUE!</v>
      </c>
      <c r="CU132" t="e">
        <f>AND('SPR BARRANQUILLA'!GG157,"AAAAAH3vv2I=")</f>
        <v>#VALUE!</v>
      </c>
      <c r="CV132" t="e">
        <f>AND('SPR BARRANQUILLA'!GH157,"AAAAAH3vv2M=")</f>
        <v>#VALUE!</v>
      </c>
      <c r="CW132" t="e">
        <f>AND('SPR BARRANQUILLA'!GI157,"AAAAAH3vv2Q=")</f>
        <v>#VALUE!</v>
      </c>
      <c r="CX132" t="e">
        <f>AND('SPR BARRANQUILLA'!GJ157,"AAAAAH3vv2U=")</f>
        <v>#VALUE!</v>
      </c>
      <c r="CY132" t="e">
        <f>AND('SPR BARRANQUILLA'!GK157,"AAAAAH3vv2Y=")</f>
        <v>#VALUE!</v>
      </c>
      <c r="CZ132" t="e">
        <f>AND('SPR BARRANQUILLA'!GL157,"AAAAAH3vv2c=")</f>
        <v>#VALUE!</v>
      </c>
      <c r="DA132" t="e">
        <f>AND('SPR BARRANQUILLA'!GM157,"AAAAAH3vv2g=")</f>
        <v>#VALUE!</v>
      </c>
      <c r="DB132" t="e">
        <f>AND('SPR BARRANQUILLA'!GN157,"AAAAAH3vv2k=")</f>
        <v>#VALUE!</v>
      </c>
      <c r="DC132" t="e">
        <f>AND('SPR BARRANQUILLA'!GO157,"AAAAAH3vv2o=")</f>
        <v>#VALUE!</v>
      </c>
      <c r="DD132" t="e">
        <f>AND('SPR BARRANQUILLA'!GP157,"AAAAAH3vv2s=")</f>
        <v>#VALUE!</v>
      </c>
      <c r="DE132" t="e">
        <f>AND('SPR BARRANQUILLA'!GQ157,"AAAAAH3vv2w=")</f>
        <v>#VALUE!</v>
      </c>
      <c r="DF132" t="e">
        <f>AND('SPR BARRANQUILLA'!GR157,"AAAAAH3vv20=")</f>
        <v>#VALUE!</v>
      </c>
      <c r="DG132" t="e">
        <f>AND('SPR BARRANQUILLA'!GS157,"AAAAAH3vv24=")</f>
        <v>#VALUE!</v>
      </c>
      <c r="DH132" t="e">
        <f>AND('SPR BARRANQUILLA'!GT157,"AAAAAH3vv28=")</f>
        <v>#VALUE!</v>
      </c>
      <c r="DI132" t="e">
        <f>AND('SPR BARRANQUILLA'!GU157,"AAAAAH3vv3A=")</f>
        <v>#VALUE!</v>
      </c>
      <c r="DJ132" t="e">
        <f>AND('SPR BARRANQUILLA'!GV157,"AAAAAH3vv3E=")</f>
        <v>#VALUE!</v>
      </c>
      <c r="DK132" t="e">
        <f>AND('SPR BARRANQUILLA'!GW157,"AAAAAH3vv3I=")</f>
        <v>#VALUE!</v>
      </c>
      <c r="DL132" t="e">
        <f>AND('SPR BARRANQUILLA'!GX157,"AAAAAH3vv3M=")</f>
        <v>#VALUE!</v>
      </c>
      <c r="DM132" t="e">
        <f>AND('SPR BARRANQUILLA'!GY157,"AAAAAH3vv3Q=")</f>
        <v>#VALUE!</v>
      </c>
      <c r="DN132">
        <f>IF('SPR BARRANQUILLA'!158:158,"AAAAAH3vv3U=",0)</f>
        <v>0</v>
      </c>
      <c r="DO132" t="e">
        <f>AND('SPR BARRANQUILLA'!A158,"AAAAAH3vv3Y=")</f>
        <v>#VALUE!</v>
      </c>
      <c r="DP132" t="e">
        <f>AND('SPR BARRANQUILLA'!B158,"AAAAAH3vv3c=")</f>
        <v>#VALUE!</v>
      </c>
      <c r="DQ132" t="e">
        <f>AND('SPR BARRANQUILLA'!C158,"AAAAAH3vv3g=")</f>
        <v>#VALUE!</v>
      </c>
      <c r="DR132" t="e">
        <f>AND('SPR BARRANQUILLA'!D158,"AAAAAH3vv3k=")</f>
        <v>#VALUE!</v>
      </c>
      <c r="DS132" t="e">
        <f>AND('SPR BARRANQUILLA'!E158,"AAAAAH3vv3o=")</f>
        <v>#VALUE!</v>
      </c>
      <c r="DT132" t="e">
        <f>AND('SPR BARRANQUILLA'!F158,"AAAAAH3vv3s=")</f>
        <v>#VALUE!</v>
      </c>
      <c r="DU132" t="e">
        <f>AND('SPR BARRANQUILLA'!G158,"AAAAAH3vv3w=")</f>
        <v>#VALUE!</v>
      </c>
      <c r="DV132" t="e">
        <f>AND('SPR BARRANQUILLA'!H158,"AAAAAH3vv30=")</f>
        <v>#VALUE!</v>
      </c>
      <c r="DW132" t="e">
        <f>AND('SPR BARRANQUILLA'!I158,"AAAAAH3vv34=")</f>
        <v>#VALUE!</v>
      </c>
      <c r="DX132" t="e">
        <f>AND('SPR BARRANQUILLA'!J158,"AAAAAH3vv38=")</f>
        <v>#VALUE!</v>
      </c>
      <c r="DY132" t="e">
        <f>AND('SPR BARRANQUILLA'!K158,"AAAAAH3vv4A=")</f>
        <v>#VALUE!</v>
      </c>
      <c r="DZ132" t="e">
        <f>AND('SPR BARRANQUILLA'!L158,"AAAAAH3vv4E=")</f>
        <v>#VALUE!</v>
      </c>
      <c r="EA132" t="e">
        <f>AND('SPR BARRANQUILLA'!M158,"AAAAAH3vv4I=")</f>
        <v>#VALUE!</v>
      </c>
      <c r="EB132" t="e">
        <f>AND('SPR BARRANQUILLA'!N158,"AAAAAH3vv4M=")</f>
        <v>#VALUE!</v>
      </c>
      <c r="EC132" t="e">
        <f>AND('SPR BARRANQUILLA'!O158,"AAAAAH3vv4Q=")</f>
        <v>#VALUE!</v>
      </c>
      <c r="ED132" t="e">
        <f>AND('SPR BARRANQUILLA'!P158,"AAAAAH3vv4U=")</f>
        <v>#VALUE!</v>
      </c>
      <c r="EE132" t="e">
        <f>AND('SPR BARRANQUILLA'!Q158,"AAAAAH3vv4Y=")</f>
        <v>#VALUE!</v>
      </c>
      <c r="EF132" t="e">
        <f>AND('SPR BARRANQUILLA'!R158,"AAAAAH3vv4c=")</f>
        <v>#VALUE!</v>
      </c>
      <c r="EG132" t="e">
        <f>AND('SPR BARRANQUILLA'!S158,"AAAAAH3vv4g=")</f>
        <v>#VALUE!</v>
      </c>
      <c r="EH132" t="e">
        <f>AND('SPR BARRANQUILLA'!T158,"AAAAAH3vv4k=")</f>
        <v>#VALUE!</v>
      </c>
      <c r="EI132" t="e">
        <f>AND('SPR BARRANQUILLA'!U158,"AAAAAH3vv4o=")</f>
        <v>#VALUE!</v>
      </c>
      <c r="EJ132" t="e">
        <f>AND('SPR BARRANQUILLA'!V158,"AAAAAH3vv4s=")</f>
        <v>#VALUE!</v>
      </c>
      <c r="EK132" t="e">
        <f>AND('SPR BARRANQUILLA'!W158,"AAAAAH3vv4w=")</f>
        <v>#VALUE!</v>
      </c>
      <c r="EL132" t="e">
        <f>AND('SPR BARRANQUILLA'!X158,"AAAAAH3vv40=")</f>
        <v>#VALUE!</v>
      </c>
      <c r="EM132" t="e">
        <f>AND('SPR BARRANQUILLA'!Y158,"AAAAAH3vv44=")</f>
        <v>#VALUE!</v>
      </c>
      <c r="EN132" t="e">
        <f>AND('SPR BARRANQUILLA'!Z158,"AAAAAH3vv48=")</f>
        <v>#VALUE!</v>
      </c>
      <c r="EO132" t="e">
        <f>AND('SPR BARRANQUILLA'!AA158,"AAAAAH3vv5A=")</f>
        <v>#VALUE!</v>
      </c>
      <c r="EP132" t="e">
        <f>AND('SPR BARRANQUILLA'!AB158,"AAAAAH3vv5E=")</f>
        <v>#VALUE!</v>
      </c>
      <c r="EQ132" t="e">
        <f>AND('SPR BARRANQUILLA'!AC158,"AAAAAH3vv5I=")</f>
        <v>#VALUE!</v>
      </c>
      <c r="ER132" t="e">
        <f>AND('SPR BARRANQUILLA'!AD158,"AAAAAH3vv5M=")</f>
        <v>#VALUE!</v>
      </c>
      <c r="ES132" t="e">
        <f>AND('SPR BARRANQUILLA'!AE158,"AAAAAH3vv5Q=")</f>
        <v>#VALUE!</v>
      </c>
      <c r="ET132" t="e">
        <f>AND('SPR BARRANQUILLA'!AF158,"AAAAAH3vv5U=")</f>
        <v>#VALUE!</v>
      </c>
      <c r="EU132" t="e">
        <f>AND('SPR BARRANQUILLA'!AG158,"AAAAAH3vv5Y=")</f>
        <v>#VALUE!</v>
      </c>
      <c r="EV132" t="e">
        <f>AND('SPR BARRANQUILLA'!AH158,"AAAAAH3vv5c=")</f>
        <v>#VALUE!</v>
      </c>
      <c r="EW132" t="e">
        <f>AND('SPR BARRANQUILLA'!AI158,"AAAAAH3vv5g=")</f>
        <v>#VALUE!</v>
      </c>
      <c r="EX132" t="e">
        <f>AND('SPR BARRANQUILLA'!AJ158,"AAAAAH3vv5k=")</f>
        <v>#VALUE!</v>
      </c>
      <c r="EY132" t="e">
        <f>AND('SPR BARRANQUILLA'!AK158,"AAAAAH3vv5o=")</f>
        <v>#VALUE!</v>
      </c>
      <c r="EZ132" t="e">
        <f>AND('SPR BARRANQUILLA'!AL158,"AAAAAH3vv5s=")</f>
        <v>#VALUE!</v>
      </c>
      <c r="FA132" t="e">
        <f>AND('SPR BARRANQUILLA'!AM158,"AAAAAH3vv5w=")</f>
        <v>#VALUE!</v>
      </c>
      <c r="FB132" t="e">
        <f>AND('SPR BARRANQUILLA'!AN158,"AAAAAH3vv50=")</f>
        <v>#VALUE!</v>
      </c>
      <c r="FC132" t="e">
        <f>AND('SPR BARRANQUILLA'!AO158,"AAAAAH3vv54=")</f>
        <v>#VALUE!</v>
      </c>
      <c r="FD132" t="e">
        <f>AND('SPR BARRANQUILLA'!AP158,"AAAAAH3vv58=")</f>
        <v>#VALUE!</v>
      </c>
      <c r="FE132" t="e">
        <f>AND('SPR BARRANQUILLA'!AQ158,"AAAAAH3vv6A=")</f>
        <v>#VALUE!</v>
      </c>
      <c r="FF132" t="e">
        <f>AND('SPR BARRANQUILLA'!AR158,"AAAAAH3vv6E=")</f>
        <v>#VALUE!</v>
      </c>
      <c r="FG132" t="e">
        <f>AND('SPR BARRANQUILLA'!AS158,"AAAAAH3vv6I=")</f>
        <v>#VALUE!</v>
      </c>
      <c r="FH132" t="e">
        <f>AND('SPR BARRANQUILLA'!AT158,"AAAAAH3vv6M=")</f>
        <v>#VALUE!</v>
      </c>
      <c r="FI132" t="e">
        <f>AND('SPR BARRANQUILLA'!AU158,"AAAAAH3vv6Q=")</f>
        <v>#VALUE!</v>
      </c>
      <c r="FJ132" t="e">
        <f>AND('SPR BARRANQUILLA'!AV158,"AAAAAH3vv6U=")</f>
        <v>#VALUE!</v>
      </c>
      <c r="FK132" t="e">
        <f>AND('SPR BARRANQUILLA'!AW158,"AAAAAH3vv6Y=")</f>
        <v>#VALUE!</v>
      </c>
      <c r="FL132" t="e">
        <f>AND('SPR BARRANQUILLA'!AX158,"AAAAAH3vv6c=")</f>
        <v>#VALUE!</v>
      </c>
      <c r="FM132" t="e">
        <f>AND('SPR BARRANQUILLA'!AY158,"AAAAAH3vv6g=")</f>
        <v>#VALUE!</v>
      </c>
      <c r="FN132" t="e">
        <f>AND('SPR BARRANQUILLA'!AZ158,"AAAAAH3vv6k=")</f>
        <v>#VALUE!</v>
      </c>
      <c r="FO132" t="e">
        <f>AND('SPR BARRANQUILLA'!BA158,"AAAAAH3vv6o=")</f>
        <v>#VALUE!</v>
      </c>
      <c r="FP132" t="e">
        <f>AND('SPR BARRANQUILLA'!BB158,"AAAAAH3vv6s=")</f>
        <v>#VALUE!</v>
      </c>
      <c r="FQ132" t="e">
        <f>AND('SPR BARRANQUILLA'!BC158,"AAAAAH3vv6w=")</f>
        <v>#VALUE!</v>
      </c>
      <c r="FR132" t="e">
        <f>AND('SPR BARRANQUILLA'!BD158,"AAAAAH3vv60=")</f>
        <v>#VALUE!</v>
      </c>
      <c r="FS132" t="e">
        <f>AND('SPR BARRANQUILLA'!BE158,"AAAAAH3vv64=")</f>
        <v>#VALUE!</v>
      </c>
      <c r="FT132" t="e">
        <f>AND('SPR BARRANQUILLA'!BF158,"AAAAAH3vv68=")</f>
        <v>#VALUE!</v>
      </c>
      <c r="FU132" t="e">
        <f>AND('SPR BARRANQUILLA'!BG158,"AAAAAH3vv7A=")</f>
        <v>#VALUE!</v>
      </c>
      <c r="FV132" t="e">
        <f>AND('SPR BARRANQUILLA'!BH158,"AAAAAH3vv7E=")</f>
        <v>#VALUE!</v>
      </c>
      <c r="FW132" t="e">
        <f>AND('SPR BARRANQUILLA'!BI158,"AAAAAH3vv7I=")</f>
        <v>#VALUE!</v>
      </c>
      <c r="FX132" t="e">
        <f>AND('SPR BARRANQUILLA'!BJ158,"AAAAAH3vv7M=")</f>
        <v>#VALUE!</v>
      </c>
      <c r="FY132" t="e">
        <f>AND('SPR BARRANQUILLA'!BK158,"AAAAAH3vv7Q=")</f>
        <v>#VALUE!</v>
      </c>
      <c r="FZ132" t="e">
        <f>AND('SPR BARRANQUILLA'!BL158,"AAAAAH3vv7U=")</f>
        <v>#VALUE!</v>
      </c>
      <c r="GA132" t="e">
        <f>AND('SPR BARRANQUILLA'!BM158,"AAAAAH3vv7Y=")</f>
        <v>#VALUE!</v>
      </c>
      <c r="GB132" t="e">
        <f>AND('SPR BARRANQUILLA'!BN158,"AAAAAH3vv7c=")</f>
        <v>#VALUE!</v>
      </c>
      <c r="GC132" t="e">
        <f>AND('SPR BARRANQUILLA'!BO158,"AAAAAH3vv7g=")</f>
        <v>#VALUE!</v>
      </c>
      <c r="GD132" t="e">
        <f>AND('SPR BARRANQUILLA'!BP158,"AAAAAH3vv7k=")</f>
        <v>#VALUE!</v>
      </c>
      <c r="GE132" t="e">
        <f>AND('SPR BARRANQUILLA'!BQ158,"AAAAAH3vv7o=")</f>
        <v>#VALUE!</v>
      </c>
      <c r="GF132" t="e">
        <f>AND('SPR BARRANQUILLA'!BR158,"AAAAAH3vv7s=")</f>
        <v>#VALUE!</v>
      </c>
      <c r="GG132" t="e">
        <f>AND('SPR BARRANQUILLA'!BS158,"AAAAAH3vv7w=")</f>
        <v>#VALUE!</v>
      </c>
      <c r="GH132" t="e">
        <f>AND('SPR BARRANQUILLA'!BT158,"AAAAAH3vv70=")</f>
        <v>#VALUE!</v>
      </c>
      <c r="GI132" t="e">
        <f>AND('SPR BARRANQUILLA'!BU158,"AAAAAH3vv74=")</f>
        <v>#VALUE!</v>
      </c>
      <c r="GJ132" t="e">
        <f>AND('SPR BARRANQUILLA'!BV158,"AAAAAH3vv78=")</f>
        <v>#VALUE!</v>
      </c>
      <c r="GK132" t="e">
        <f>AND('SPR BARRANQUILLA'!BW158,"AAAAAH3vv8A=")</f>
        <v>#VALUE!</v>
      </c>
      <c r="GL132" t="e">
        <f>AND('SPR BARRANQUILLA'!BX158,"AAAAAH3vv8E=")</f>
        <v>#VALUE!</v>
      </c>
      <c r="GM132" t="e">
        <f>AND('SPR BARRANQUILLA'!BY158,"AAAAAH3vv8I=")</f>
        <v>#VALUE!</v>
      </c>
      <c r="GN132" t="e">
        <f>AND('SPR BARRANQUILLA'!BZ158,"AAAAAH3vv8M=")</f>
        <v>#VALUE!</v>
      </c>
      <c r="GO132" t="e">
        <f>AND('SPR BARRANQUILLA'!CA158,"AAAAAH3vv8Q=")</f>
        <v>#VALUE!</v>
      </c>
      <c r="GP132" t="e">
        <f>AND('SPR BARRANQUILLA'!CB158,"AAAAAH3vv8U=")</f>
        <v>#VALUE!</v>
      </c>
      <c r="GQ132" t="e">
        <f>AND('SPR BARRANQUILLA'!CC158,"AAAAAH3vv8Y=")</f>
        <v>#VALUE!</v>
      </c>
      <c r="GR132" t="e">
        <f>AND('SPR BARRANQUILLA'!CD158,"AAAAAH3vv8c=")</f>
        <v>#VALUE!</v>
      </c>
      <c r="GS132" t="e">
        <f>AND('SPR BARRANQUILLA'!CE158,"AAAAAH3vv8g=")</f>
        <v>#VALUE!</v>
      </c>
      <c r="GT132" t="e">
        <f>AND('SPR BARRANQUILLA'!CF158,"AAAAAH3vv8k=")</f>
        <v>#VALUE!</v>
      </c>
      <c r="GU132" t="e">
        <f>AND('SPR BARRANQUILLA'!CG158,"AAAAAH3vv8o=")</f>
        <v>#VALUE!</v>
      </c>
      <c r="GV132" t="e">
        <f>AND('SPR BARRANQUILLA'!CH158,"AAAAAH3vv8s=")</f>
        <v>#VALUE!</v>
      </c>
      <c r="GW132" t="e">
        <f>AND('SPR BARRANQUILLA'!CI158,"AAAAAH3vv8w=")</f>
        <v>#VALUE!</v>
      </c>
      <c r="GX132" t="e">
        <f>AND('SPR BARRANQUILLA'!CJ158,"AAAAAH3vv80=")</f>
        <v>#VALUE!</v>
      </c>
      <c r="GY132" t="e">
        <f>AND('SPR BARRANQUILLA'!CK158,"AAAAAH3vv84=")</f>
        <v>#VALUE!</v>
      </c>
      <c r="GZ132" t="e">
        <f>AND('SPR BARRANQUILLA'!CL158,"AAAAAH3vv88=")</f>
        <v>#VALUE!</v>
      </c>
      <c r="HA132" t="e">
        <f>AND('SPR BARRANQUILLA'!CM158,"AAAAAH3vv9A=")</f>
        <v>#VALUE!</v>
      </c>
      <c r="HB132" t="e">
        <f>AND('SPR BARRANQUILLA'!CN158,"AAAAAH3vv9E=")</f>
        <v>#VALUE!</v>
      </c>
      <c r="HC132" t="e">
        <f>AND('SPR BARRANQUILLA'!CO158,"AAAAAH3vv9I=")</f>
        <v>#VALUE!</v>
      </c>
      <c r="HD132" t="e">
        <f>AND('SPR BARRANQUILLA'!CP158,"AAAAAH3vv9M=")</f>
        <v>#VALUE!</v>
      </c>
      <c r="HE132" t="e">
        <f>AND('SPR BARRANQUILLA'!CQ158,"AAAAAH3vv9Q=")</f>
        <v>#VALUE!</v>
      </c>
      <c r="HF132" t="e">
        <f>AND('SPR BARRANQUILLA'!CR158,"AAAAAH3vv9U=")</f>
        <v>#VALUE!</v>
      </c>
      <c r="HG132" t="e">
        <f>AND('SPR BARRANQUILLA'!CS158,"AAAAAH3vv9Y=")</f>
        <v>#VALUE!</v>
      </c>
      <c r="HH132" t="e">
        <f>AND('SPR BARRANQUILLA'!CT158,"AAAAAH3vv9c=")</f>
        <v>#VALUE!</v>
      </c>
      <c r="HI132" t="e">
        <f>AND('SPR BARRANQUILLA'!CU158,"AAAAAH3vv9g=")</f>
        <v>#VALUE!</v>
      </c>
      <c r="HJ132" t="e">
        <f>AND('SPR BARRANQUILLA'!CV158,"AAAAAH3vv9k=")</f>
        <v>#VALUE!</v>
      </c>
      <c r="HK132" t="e">
        <f>AND('SPR BARRANQUILLA'!CW158,"AAAAAH3vv9o=")</f>
        <v>#VALUE!</v>
      </c>
      <c r="HL132" t="e">
        <f>AND('SPR BARRANQUILLA'!CX158,"AAAAAH3vv9s=")</f>
        <v>#VALUE!</v>
      </c>
      <c r="HM132" t="e">
        <f>AND('SPR BARRANQUILLA'!CY158,"AAAAAH3vv9w=")</f>
        <v>#VALUE!</v>
      </c>
      <c r="HN132" t="e">
        <f>AND('SPR BARRANQUILLA'!CZ158,"AAAAAH3vv90=")</f>
        <v>#VALUE!</v>
      </c>
      <c r="HO132" t="e">
        <f>AND('SPR BARRANQUILLA'!DA158,"AAAAAH3vv94=")</f>
        <v>#VALUE!</v>
      </c>
      <c r="HP132" t="e">
        <f>AND('SPR BARRANQUILLA'!DB158,"AAAAAH3vv98=")</f>
        <v>#VALUE!</v>
      </c>
      <c r="HQ132" t="e">
        <f>AND('SPR BARRANQUILLA'!DC158,"AAAAAH3vv+A=")</f>
        <v>#VALUE!</v>
      </c>
      <c r="HR132" t="e">
        <f>AND('SPR BARRANQUILLA'!DD158,"AAAAAH3vv+E=")</f>
        <v>#VALUE!</v>
      </c>
      <c r="HS132" t="e">
        <f>AND('SPR BARRANQUILLA'!DE158,"AAAAAH3vv+I=")</f>
        <v>#VALUE!</v>
      </c>
      <c r="HT132" t="e">
        <f>AND('SPR BARRANQUILLA'!DF158,"AAAAAH3vv+M=")</f>
        <v>#VALUE!</v>
      </c>
      <c r="HU132" t="e">
        <f>AND('SPR BARRANQUILLA'!DG158,"AAAAAH3vv+Q=")</f>
        <v>#VALUE!</v>
      </c>
      <c r="HV132" t="e">
        <f>AND('SPR BARRANQUILLA'!DH158,"AAAAAH3vv+U=")</f>
        <v>#VALUE!</v>
      </c>
      <c r="HW132" t="e">
        <f>AND('SPR BARRANQUILLA'!DI158,"AAAAAH3vv+Y=")</f>
        <v>#VALUE!</v>
      </c>
      <c r="HX132" t="e">
        <f>AND('SPR BARRANQUILLA'!DJ158,"AAAAAH3vv+c=")</f>
        <v>#VALUE!</v>
      </c>
      <c r="HY132" t="e">
        <f>AND('SPR BARRANQUILLA'!DK158,"AAAAAH3vv+g=")</f>
        <v>#VALUE!</v>
      </c>
      <c r="HZ132" t="e">
        <f>AND('SPR BARRANQUILLA'!DL158,"AAAAAH3vv+k=")</f>
        <v>#VALUE!</v>
      </c>
      <c r="IA132" t="e">
        <f>AND('SPR BARRANQUILLA'!DM158,"AAAAAH3vv+o=")</f>
        <v>#VALUE!</v>
      </c>
      <c r="IB132" t="e">
        <f>AND('SPR BARRANQUILLA'!DN158,"AAAAAH3vv+s=")</f>
        <v>#VALUE!</v>
      </c>
      <c r="IC132" t="e">
        <f>AND('SPR BARRANQUILLA'!DO158,"AAAAAH3vv+w=")</f>
        <v>#VALUE!</v>
      </c>
      <c r="ID132" t="e">
        <f>AND('SPR BARRANQUILLA'!DP158,"AAAAAH3vv+0=")</f>
        <v>#VALUE!</v>
      </c>
      <c r="IE132" t="e">
        <f>AND('SPR BARRANQUILLA'!DQ158,"AAAAAH3vv+4=")</f>
        <v>#VALUE!</v>
      </c>
      <c r="IF132" t="e">
        <f>AND('SPR BARRANQUILLA'!DR158,"AAAAAH3vv+8=")</f>
        <v>#VALUE!</v>
      </c>
      <c r="IG132" t="e">
        <f>AND('SPR BARRANQUILLA'!DS158,"AAAAAH3vv/A=")</f>
        <v>#VALUE!</v>
      </c>
      <c r="IH132" t="e">
        <f>AND('SPR BARRANQUILLA'!DT158,"AAAAAH3vv/E=")</f>
        <v>#VALUE!</v>
      </c>
      <c r="II132" t="e">
        <f>AND('SPR BARRANQUILLA'!DU158,"AAAAAH3vv/I=")</f>
        <v>#VALUE!</v>
      </c>
      <c r="IJ132" t="e">
        <f>AND('SPR BARRANQUILLA'!DV158,"AAAAAH3vv/M=")</f>
        <v>#VALUE!</v>
      </c>
      <c r="IK132" t="e">
        <f>AND('SPR BARRANQUILLA'!DW158,"AAAAAH3vv/Q=")</f>
        <v>#VALUE!</v>
      </c>
      <c r="IL132" t="e">
        <f>AND('SPR BARRANQUILLA'!DX158,"AAAAAH3vv/U=")</f>
        <v>#VALUE!</v>
      </c>
      <c r="IM132" t="e">
        <f>AND('SPR BARRANQUILLA'!DY158,"AAAAAH3vv/Y=")</f>
        <v>#VALUE!</v>
      </c>
      <c r="IN132" t="e">
        <f>AND('SPR BARRANQUILLA'!DZ158,"AAAAAH3vv/c=")</f>
        <v>#VALUE!</v>
      </c>
      <c r="IO132" t="e">
        <f>AND('SPR BARRANQUILLA'!EA158,"AAAAAH3vv/g=")</f>
        <v>#VALUE!</v>
      </c>
      <c r="IP132" t="e">
        <f>AND('SPR BARRANQUILLA'!EB158,"AAAAAH3vv/k=")</f>
        <v>#VALUE!</v>
      </c>
      <c r="IQ132" t="e">
        <f>AND('SPR BARRANQUILLA'!EC158,"AAAAAH3vv/o=")</f>
        <v>#VALUE!</v>
      </c>
      <c r="IR132" t="e">
        <f>AND('SPR BARRANQUILLA'!ED158,"AAAAAH3vv/s=")</f>
        <v>#VALUE!</v>
      </c>
      <c r="IS132" t="e">
        <f>AND('SPR BARRANQUILLA'!EE158,"AAAAAH3vv/w=")</f>
        <v>#VALUE!</v>
      </c>
      <c r="IT132" t="e">
        <f>AND('SPR BARRANQUILLA'!EF158,"AAAAAH3vv/0=")</f>
        <v>#VALUE!</v>
      </c>
      <c r="IU132" t="e">
        <f>AND('SPR BARRANQUILLA'!EG158,"AAAAAH3vv/4=")</f>
        <v>#VALUE!</v>
      </c>
      <c r="IV132" t="e">
        <f>AND('SPR BARRANQUILLA'!EH158,"AAAAAH3vv/8=")</f>
        <v>#VALUE!</v>
      </c>
    </row>
    <row r="133" spans="1:256">
      <c r="A133" t="e">
        <f>AND('SPR BARRANQUILLA'!EI158,"AAAAAH1bXgA=")</f>
        <v>#VALUE!</v>
      </c>
      <c r="B133" t="e">
        <f>AND('SPR BARRANQUILLA'!EJ158,"AAAAAH1bXgE=")</f>
        <v>#VALUE!</v>
      </c>
      <c r="C133" t="e">
        <f>AND('SPR BARRANQUILLA'!EK158,"AAAAAH1bXgI=")</f>
        <v>#VALUE!</v>
      </c>
      <c r="D133" t="e">
        <f>AND('SPR BARRANQUILLA'!EL158,"AAAAAH1bXgM=")</f>
        <v>#VALUE!</v>
      </c>
      <c r="E133" t="e">
        <f>AND('SPR BARRANQUILLA'!EM158,"AAAAAH1bXgQ=")</f>
        <v>#VALUE!</v>
      </c>
      <c r="F133" t="e">
        <f>AND('SPR BARRANQUILLA'!EN158,"AAAAAH1bXgU=")</f>
        <v>#VALUE!</v>
      </c>
      <c r="G133" t="e">
        <f>AND('SPR BARRANQUILLA'!EO158,"AAAAAH1bXgY=")</f>
        <v>#VALUE!</v>
      </c>
      <c r="H133" t="e">
        <f>AND('SPR BARRANQUILLA'!EP158,"AAAAAH1bXgc=")</f>
        <v>#VALUE!</v>
      </c>
      <c r="I133" t="e">
        <f>AND('SPR BARRANQUILLA'!EQ158,"AAAAAH1bXgg=")</f>
        <v>#VALUE!</v>
      </c>
      <c r="J133" t="e">
        <f>AND('SPR BARRANQUILLA'!ER158,"AAAAAH1bXgk=")</f>
        <v>#VALUE!</v>
      </c>
      <c r="K133" t="e">
        <f>AND('SPR BARRANQUILLA'!ES158,"AAAAAH1bXgo=")</f>
        <v>#VALUE!</v>
      </c>
      <c r="L133" t="e">
        <f>AND('SPR BARRANQUILLA'!ET158,"AAAAAH1bXgs=")</f>
        <v>#VALUE!</v>
      </c>
      <c r="M133" t="e">
        <f>AND('SPR BARRANQUILLA'!EU158,"AAAAAH1bXgw=")</f>
        <v>#VALUE!</v>
      </c>
      <c r="N133" t="e">
        <f>AND('SPR BARRANQUILLA'!EV158,"AAAAAH1bXg0=")</f>
        <v>#VALUE!</v>
      </c>
      <c r="O133" t="e">
        <f>AND('SPR BARRANQUILLA'!EW158,"AAAAAH1bXg4=")</f>
        <v>#VALUE!</v>
      </c>
      <c r="P133" t="e">
        <f>AND('SPR BARRANQUILLA'!EX158,"AAAAAH1bXg8=")</f>
        <v>#VALUE!</v>
      </c>
      <c r="Q133" t="e">
        <f>AND('SPR BARRANQUILLA'!EY158,"AAAAAH1bXhA=")</f>
        <v>#VALUE!</v>
      </c>
      <c r="R133" t="e">
        <f>AND('SPR BARRANQUILLA'!EZ158,"AAAAAH1bXhE=")</f>
        <v>#VALUE!</v>
      </c>
      <c r="S133" t="e">
        <f>AND('SPR BARRANQUILLA'!FA158,"AAAAAH1bXhI=")</f>
        <v>#VALUE!</v>
      </c>
      <c r="T133" t="e">
        <f>AND('SPR BARRANQUILLA'!FB158,"AAAAAH1bXhM=")</f>
        <v>#VALUE!</v>
      </c>
      <c r="U133" t="e">
        <f>AND('SPR BARRANQUILLA'!FC158,"AAAAAH1bXhQ=")</f>
        <v>#VALUE!</v>
      </c>
      <c r="V133" t="e">
        <f>AND('SPR BARRANQUILLA'!FD158,"AAAAAH1bXhU=")</f>
        <v>#VALUE!</v>
      </c>
      <c r="W133" t="e">
        <f>AND('SPR BARRANQUILLA'!FE158,"AAAAAH1bXhY=")</f>
        <v>#VALUE!</v>
      </c>
      <c r="X133" t="e">
        <f>AND('SPR BARRANQUILLA'!FF158,"AAAAAH1bXhc=")</f>
        <v>#VALUE!</v>
      </c>
      <c r="Y133" t="e">
        <f>AND('SPR BARRANQUILLA'!FG158,"AAAAAH1bXhg=")</f>
        <v>#VALUE!</v>
      </c>
      <c r="Z133" t="e">
        <f>AND('SPR BARRANQUILLA'!FH158,"AAAAAH1bXhk=")</f>
        <v>#VALUE!</v>
      </c>
      <c r="AA133" t="e">
        <f>AND('SPR BARRANQUILLA'!FI158,"AAAAAH1bXho=")</f>
        <v>#VALUE!</v>
      </c>
      <c r="AB133" t="e">
        <f>AND('SPR BARRANQUILLA'!FJ158,"AAAAAH1bXhs=")</f>
        <v>#VALUE!</v>
      </c>
      <c r="AC133" t="e">
        <f>AND('SPR BARRANQUILLA'!FK158,"AAAAAH1bXhw=")</f>
        <v>#VALUE!</v>
      </c>
      <c r="AD133" t="e">
        <f>AND('SPR BARRANQUILLA'!FL158,"AAAAAH1bXh0=")</f>
        <v>#VALUE!</v>
      </c>
      <c r="AE133" t="e">
        <f>AND('SPR BARRANQUILLA'!FM158,"AAAAAH1bXh4=")</f>
        <v>#VALUE!</v>
      </c>
      <c r="AF133" t="e">
        <f>AND('SPR BARRANQUILLA'!FN158,"AAAAAH1bXh8=")</f>
        <v>#VALUE!</v>
      </c>
      <c r="AG133" t="e">
        <f>AND('SPR BARRANQUILLA'!FO158,"AAAAAH1bXiA=")</f>
        <v>#VALUE!</v>
      </c>
      <c r="AH133" t="e">
        <f>AND('SPR BARRANQUILLA'!FP158,"AAAAAH1bXiE=")</f>
        <v>#VALUE!</v>
      </c>
      <c r="AI133" t="e">
        <f>AND('SPR BARRANQUILLA'!FQ158,"AAAAAH1bXiI=")</f>
        <v>#VALUE!</v>
      </c>
      <c r="AJ133" t="e">
        <f>AND('SPR BARRANQUILLA'!FR158,"AAAAAH1bXiM=")</f>
        <v>#VALUE!</v>
      </c>
      <c r="AK133" t="e">
        <f>AND('SPR BARRANQUILLA'!FS158,"AAAAAH1bXiQ=")</f>
        <v>#VALUE!</v>
      </c>
      <c r="AL133" t="e">
        <f>AND('SPR BARRANQUILLA'!FT158,"AAAAAH1bXiU=")</f>
        <v>#VALUE!</v>
      </c>
      <c r="AM133" t="e">
        <f>AND('SPR BARRANQUILLA'!FU158,"AAAAAH1bXiY=")</f>
        <v>#VALUE!</v>
      </c>
      <c r="AN133" t="e">
        <f>AND('SPR BARRANQUILLA'!FV158,"AAAAAH1bXic=")</f>
        <v>#VALUE!</v>
      </c>
      <c r="AO133" t="e">
        <f>AND('SPR BARRANQUILLA'!FW158,"AAAAAH1bXig=")</f>
        <v>#VALUE!</v>
      </c>
      <c r="AP133" t="e">
        <f>AND('SPR BARRANQUILLA'!FX158,"AAAAAH1bXik=")</f>
        <v>#VALUE!</v>
      </c>
      <c r="AQ133" t="e">
        <f>AND('SPR BARRANQUILLA'!FY158,"AAAAAH1bXio=")</f>
        <v>#VALUE!</v>
      </c>
      <c r="AR133" t="e">
        <f>AND('SPR BARRANQUILLA'!FZ158,"AAAAAH1bXis=")</f>
        <v>#VALUE!</v>
      </c>
      <c r="AS133" t="e">
        <f>AND('SPR BARRANQUILLA'!GA158,"AAAAAH1bXiw=")</f>
        <v>#VALUE!</v>
      </c>
      <c r="AT133" t="e">
        <f>AND('SPR BARRANQUILLA'!GB158,"AAAAAH1bXi0=")</f>
        <v>#VALUE!</v>
      </c>
      <c r="AU133" t="e">
        <f>AND('SPR BARRANQUILLA'!GC158,"AAAAAH1bXi4=")</f>
        <v>#VALUE!</v>
      </c>
      <c r="AV133" t="e">
        <f>AND('SPR BARRANQUILLA'!GD158,"AAAAAH1bXi8=")</f>
        <v>#VALUE!</v>
      </c>
      <c r="AW133" t="e">
        <f>AND('SPR BARRANQUILLA'!GE158,"AAAAAH1bXjA=")</f>
        <v>#VALUE!</v>
      </c>
      <c r="AX133" t="e">
        <f>AND('SPR BARRANQUILLA'!GF158,"AAAAAH1bXjE=")</f>
        <v>#VALUE!</v>
      </c>
      <c r="AY133" t="e">
        <f>AND('SPR BARRANQUILLA'!GG158,"AAAAAH1bXjI=")</f>
        <v>#VALUE!</v>
      </c>
      <c r="AZ133" t="e">
        <f>AND('SPR BARRANQUILLA'!GH158,"AAAAAH1bXjM=")</f>
        <v>#VALUE!</v>
      </c>
      <c r="BA133" t="e">
        <f>AND('SPR BARRANQUILLA'!GI158,"AAAAAH1bXjQ=")</f>
        <v>#VALUE!</v>
      </c>
      <c r="BB133" t="e">
        <f>AND('SPR BARRANQUILLA'!GJ158,"AAAAAH1bXjU=")</f>
        <v>#VALUE!</v>
      </c>
      <c r="BC133" t="e">
        <f>AND('SPR BARRANQUILLA'!GK158,"AAAAAH1bXjY=")</f>
        <v>#VALUE!</v>
      </c>
      <c r="BD133" t="e">
        <f>AND('SPR BARRANQUILLA'!GL158,"AAAAAH1bXjc=")</f>
        <v>#VALUE!</v>
      </c>
      <c r="BE133" t="e">
        <f>AND('SPR BARRANQUILLA'!GM158,"AAAAAH1bXjg=")</f>
        <v>#VALUE!</v>
      </c>
      <c r="BF133" t="e">
        <f>AND('SPR BARRANQUILLA'!GN158,"AAAAAH1bXjk=")</f>
        <v>#VALUE!</v>
      </c>
      <c r="BG133" t="e">
        <f>AND('SPR BARRANQUILLA'!GO158,"AAAAAH1bXjo=")</f>
        <v>#VALUE!</v>
      </c>
      <c r="BH133" t="e">
        <f>AND('SPR BARRANQUILLA'!GP158,"AAAAAH1bXjs=")</f>
        <v>#VALUE!</v>
      </c>
      <c r="BI133" t="e">
        <f>AND('SPR BARRANQUILLA'!GQ158,"AAAAAH1bXjw=")</f>
        <v>#VALUE!</v>
      </c>
      <c r="BJ133" t="e">
        <f>AND('SPR BARRANQUILLA'!GR158,"AAAAAH1bXj0=")</f>
        <v>#VALUE!</v>
      </c>
      <c r="BK133" t="e">
        <f>AND('SPR BARRANQUILLA'!GS158,"AAAAAH1bXj4=")</f>
        <v>#VALUE!</v>
      </c>
      <c r="BL133" t="e">
        <f>AND('SPR BARRANQUILLA'!GT158,"AAAAAH1bXj8=")</f>
        <v>#VALUE!</v>
      </c>
      <c r="BM133" t="e">
        <f>AND('SPR BARRANQUILLA'!GU158,"AAAAAH1bXkA=")</f>
        <v>#VALUE!</v>
      </c>
      <c r="BN133" t="e">
        <f>AND('SPR BARRANQUILLA'!GV158,"AAAAAH1bXkE=")</f>
        <v>#VALUE!</v>
      </c>
      <c r="BO133" t="e">
        <f>AND('SPR BARRANQUILLA'!GW158,"AAAAAH1bXkI=")</f>
        <v>#VALUE!</v>
      </c>
      <c r="BP133" t="e">
        <f>AND('SPR BARRANQUILLA'!GX158,"AAAAAH1bXkM=")</f>
        <v>#VALUE!</v>
      </c>
      <c r="BQ133" t="e">
        <f>AND('SPR BARRANQUILLA'!GY158,"AAAAAH1bXkQ=")</f>
        <v>#VALUE!</v>
      </c>
      <c r="BR133">
        <f>IF('SPR BARRANQUILLA'!159:159,"AAAAAH1bXkU=",0)</f>
        <v>0</v>
      </c>
      <c r="BS133" t="e">
        <f>AND('SPR BARRANQUILLA'!A159,"AAAAAH1bXkY=")</f>
        <v>#VALUE!</v>
      </c>
      <c r="BT133" t="e">
        <f>AND('SPR BARRANQUILLA'!B159,"AAAAAH1bXkc=")</f>
        <v>#VALUE!</v>
      </c>
      <c r="BU133" t="e">
        <f>AND('SPR BARRANQUILLA'!C159,"AAAAAH1bXkg=")</f>
        <v>#VALUE!</v>
      </c>
      <c r="BV133" t="e">
        <f>AND('SPR BARRANQUILLA'!D159,"AAAAAH1bXkk=")</f>
        <v>#VALUE!</v>
      </c>
      <c r="BW133" t="e">
        <f>AND('SPR BARRANQUILLA'!E159,"AAAAAH1bXko=")</f>
        <v>#VALUE!</v>
      </c>
      <c r="BX133" t="e">
        <f>AND('SPR BARRANQUILLA'!F159,"AAAAAH1bXks=")</f>
        <v>#VALUE!</v>
      </c>
      <c r="BY133" t="e">
        <f>AND('SPR BARRANQUILLA'!G159,"AAAAAH1bXkw=")</f>
        <v>#VALUE!</v>
      </c>
      <c r="BZ133" t="e">
        <f>AND('SPR BARRANQUILLA'!H159,"AAAAAH1bXk0=")</f>
        <v>#VALUE!</v>
      </c>
      <c r="CA133" t="e">
        <f>AND('SPR BARRANQUILLA'!I159,"AAAAAH1bXk4=")</f>
        <v>#VALUE!</v>
      </c>
      <c r="CB133" t="e">
        <f>AND('SPR BARRANQUILLA'!J159,"AAAAAH1bXk8=")</f>
        <v>#VALUE!</v>
      </c>
      <c r="CC133" t="e">
        <f>AND('SPR BARRANQUILLA'!K159,"AAAAAH1bXlA=")</f>
        <v>#VALUE!</v>
      </c>
      <c r="CD133" t="e">
        <f>AND('SPR BARRANQUILLA'!L159,"AAAAAH1bXlE=")</f>
        <v>#VALUE!</v>
      </c>
      <c r="CE133" t="e">
        <f>AND('SPR BARRANQUILLA'!M159,"AAAAAH1bXlI=")</f>
        <v>#VALUE!</v>
      </c>
      <c r="CF133" t="e">
        <f>AND('SPR BARRANQUILLA'!N159,"AAAAAH1bXlM=")</f>
        <v>#VALUE!</v>
      </c>
      <c r="CG133" t="e">
        <f>AND('SPR BARRANQUILLA'!O159,"AAAAAH1bXlQ=")</f>
        <v>#VALUE!</v>
      </c>
      <c r="CH133" t="e">
        <f>AND('SPR BARRANQUILLA'!P159,"AAAAAH1bXlU=")</f>
        <v>#VALUE!</v>
      </c>
      <c r="CI133" t="e">
        <f>AND('SPR BARRANQUILLA'!Q159,"AAAAAH1bXlY=")</f>
        <v>#VALUE!</v>
      </c>
      <c r="CJ133" t="e">
        <f>AND('SPR BARRANQUILLA'!R159,"AAAAAH1bXlc=")</f>
        <v>#VALUE!</v>
      </c>
      <c r="CK133" t="e">
        <f>AND('SPR BARRANQUILLA'!S159,"AAAAAH1bXlg=")</f>
        <v>#VALUE!</v>
      </c>
      <c r="CL133" t="e">
        <f>AND('SPR BARRANQUILLA'!T159,"AAAAAH1bXlk=")</f>
        <v>#VALUE!</v>
      </c>
      <c r="CM133" t="e">
        <f>AND('SPR BARRANQUILLA'!U159,"AAAAAH1bXlo=")</f>
        <v>#VALUE!</v>
      </c>
      <c r="CN133" t="e">
        <f>AND('SPR BARRANQUILLA'!V159,"AAAAAH1bXls=")</f>
        <v>#VALUE!</v>
      </c>
      <c r="CO133" t="e">
        <f>AND('SPR BARRANQUILLA'!W159,"AAAAAH1bXlw=")</f>
        <v>#VALUE!</v>
      </c>
      <c r="CP133" t="e">
        <f>AND('SPR BARRANQUILLA'!X159,"AAAAAH1bXl0=")</f>
        <v>#VALUE!</v>
      </c>
      <c r="CQ133" t="e">
        <f>AND('SPR BARRANQUILLA'!Y159,"AAAAAH1bXl4=")</f>
        <v>#VALUE!</v>
      </c>
      <c r="CR133" t="e">
        <f>AND('SPR BARRANQUILLA'!Z159,"AAAAAH1bXl8=")</f>
        <v>#VALUE!</v>
      </c>
      <c r="CS133" t="e">
        <f>AND('SPR BARRANQUILLA'!AA159,"AAAAAH1bXmA=")</f>
        <v>#VALUE!</v>
      </c>
      <c r="CT133" t="e">
        <f>AND('SPR BARRANQUILLA'!AB159,"AAAAAH1bXmE=")</f>
        <v>#VALUE!</v>
      </c>
      <c r="CU133" t="e">
        <f>AND('SPR BARRANQUILLA'!AC159,"AAAAAH1bXmI=")</f>
        <v>#VALUE!</v>
      </c>
      <c r="CV133" t="e">
        <f>AND('SPR BARRANQUILLA'!AD159,"AAAAAH1bXmM=")</f>
        <v>#VALUE!</v>
      </c>
      <c r="CW133" t="e">
        <f>AND('SPR BARRANQUILLA'!AE159,"AAAAAH1bXmQ=")</f>
        <v>#VALUE!</v>
      </c>
      <c r="CX133" t="e">
        <f>AND('SPR BARRANQUILLA'!AF159,"AAAAAH1bXmU=")</f>
        <v>#VALUE!</v>
      </c>
      <c r="CY133" t="e">
        <f>AND('SPR BARRANQUILLA'!AG159,"AAAAAH1bXmY=")</f>
        <v>#VALUE!</v>
      </c>
      <c r="CZ133" t="e">
        <f>AND('SPR BARRANQUILLA'!AH159,"AAAAAH1bXmc=")</f>
        <v>#VALUE!</v>
      </c>
      <c r="DA133" t="e">
        <f>AND('SPR BARRANQUILLA'!AI159,"AAAAAH1bXmg=")</f>
        <v>#VALUE!</v>
      </c>
      <c r="DB133" t="e">
        <f>AND('SPR BARRANQUILLA'!AJ159,"AAAAAH1bXmk=")</f>
        <v>#VALUE!</v>
      </c>
      <c r="DC133" t="e">
        <f>AND('SPR BARRANQUILLA'!AK159,"AAAAAH1bXmo=")</f>
        <v>#VALUE!</v>
      </c>
      <c r="DD133" t="e">
        <f>AND('SPR BARRANQUILLA'!AL159,"AAAAAH1bXms=")</f>
        <v>#VALUE!</v>
      </c>
      <c r="DE133" t="e">
        <f>AND('SPR BARRANQUILLA'!AM159,"AAAAAH1bXmw=")</f>
        <v>#VALUE!</v>
      </c>
      <c r="DF133" t="e">
        <f>AND('SPR BARRANQUILLA'!AN159,"AAAAAH1bXm0=")</f>
        <v>#VALUE!</v>
      </c>
      <c r="DG133" t="e">
        <f>AND('SPR BARRANQUILLA'!AO159,"AAAAAH1bXm4=")</f>
        <v>#VALUE!</v>
      </c>
      <c r="DH133" t="e">
        <f>AND('SPR BARRANQUILLA'!AP159,"AAAAAH1bXm8=")</f>
        <v>#VALUE!</v>
      </c>
      <c r="DI133" t="e">
        <f>AND('SPR BARRANQUILLA'!AQ159,"AAAAAH1bXnA=")</f>
        <v>#VALUE!</v>
      </c>
      <c r="DJ133" t="e">
        <f>AND('SPR BARRANQUILLA'!AR159,"AAAAAH1bXnE=")</f>
        <v>#VALUE!</v>
      </c>
      <c r="DK133" t="e">
        <f>AND('SPR BARRANQUILLA'!AS159,"AAAAAH1bXnI=")</f>
        <v>#VALUE!</v>
      </c>
      <c r="DL133" t="e">
        <f>AND('SPR BARRANQUILLA'!AT159,"AAAAAH1bXnM=")</f>
        <v>#VALUE!</v>
      </c>
      <c r="DM133" t="e">
        <f>AND('SPR BARRANQUILLA'!AU159,"AAAAAH1bXnQ=")</f>
        <v>#VALUE!</v>
      </c>
      <c r="DN133" t="e">
        <f>AND('SPR BARRANQUILLA'!AV159,"AAAAAH1bXnU=")</f>
        <v>#VALUE!</v>
      </c>
      <c r="DO133" t="e">
        <f>AND('SPR BARRANQUILLA'!AW159,"AAAAAH1bXnY=")</f>
        <v>#VALUE!</v>
      </c>
      <c r="DP133" t="e">
        <f>AND('SPR BARRANQUILLA'!AX159,"AAAAAH1bXnc=")</f>
        <v>#VALUE!</v>
      </c>
      <c r="DQ133" t="e">
        <f>AND('SPR BARRANQUILLA'!AY159,"AAAAAH1bXng=")</f>
        <v>#VALUE!</v>
      </c>
      <c r="DR133" t="e">
        <f>AND('SPR BARRANQUILLA'!AZ159,"AAAAAH1bXnk=")</f>
        <v>#VALUE!</v>
      </c>
      <c r="DS133" t="e">
        <f>AND('SPR BARRANQUILLA'!BA159,"AAAAAH1bXno=")</f>
        <v>#VALUE!</v>
      </c>
      <c r="DT133" t="e">
        <f>AND('SPR BARRANQUILLA'!BB159,"AAAAAH1bXns=")</f>
        <v>#VALUE!</v>
      </c>
      <c r="DU133" t="e">
        <f>AND('SPR BARRANQUILLA'!BC159,"AAAAAH1bXnw=")</f>
        <v>#VALUE!</v>
      </c>
      <c r="DV133" t="e">
        <f>AND('SPR BARRANQUILLA'!BD159,"AAAAAH1bXn0=")</f>
        <v>#VALUE!</v>
      </c>
      <c r="DW133" t="e">
        <f>AND('SPR BARRANQUILLA'!BE159,"AAAAAH1bXn4=")</f>
        <v>#VALUE!</v>
      </c>
      <c r="DX133" t="e">
        <f>AND('SPR BARRANQUILLA'!BF159,"AAAAAH1bXn8=")</f>
        <v>#VALUE!</v>
      </c>
      <c r="DY133" t="e">
        <f>AND('SPR BARRANQUILLA'!BG159,"AAAAAH1bXoA=")</f>
        <v>#VALUE!</v>
      </c>
      <c r="DZ133" t="e">
        <f>AND('SPR BARRANQUILLA'!BH159,"AAAAAH1bXoE=")</f>
        <v>#VALUE!</v>
      </c>
      <c r="EA133" t="e">
        <f>AND('SPR BARRANQUILLA'!BI159,"AAAAAH1bXoI=")</f>
        <v>#VALUE!</v>
      </c>
      <c r="EB133" t="e">
        <f>AND('SPR BARRANQUILLA'!BJ159,"AAAAAH1bXoM=")</f>
        <v>#VALUE!</v>
      </c>
      <c r="EC133" t="e">
        <f>AND('SPR BARRANQUILLA'!BK159,"AAAAAH1bXoQ=")</f>
        <v>#VALUE!</v>
      </c>
      <c r="ED133" t="e">
        <f>AND('SPR BARRANQUILLA'!BL159,"AAAAAH1bXoU=")</f>
        <v>#VALUE!</v>
      </c>
      <c r="EE133" t="e">
        <f>AND('SPR BARRANQUILLA'!BM159,"AAAAAH1bXoY=")</f>
        <v>#VALUE!</v>
      </c>
      <c r="EF133" t="e">
        <f>AND('SPR BARRANQUILLA'!BN159,"AAAAAH1bXoc=")</f>
        <v>#VALUE!</v>
      </c>
      <c r="EG133" t="e">
        <f>AND('SPR BARRANQUILLA'!BO159,"AAAAAH1bXog=")</f>
        <v>#VALUE!</v>
      </c>
      <c r="EH133" t="e">
        <f>AND('SPR BARRANQUILLA'!BP159,"AAAAAH1bXok=")</f>
        <v>#VALUE!</v>
      </c>
      <c r="EI133" t="e">
        <f>AND('SPR BARRANQUILLA'!BQ159,"AAAAAH1bXoo=")</f>
        <v>#VALUE!</v>
      </c>
      <c r="EJ133" t="e">
        <f>AND('SPR BARRANQUILLA'!BR159,"AAAAAH1bXos=")</f>
        <v>#VALUE!</v>
      </c>
      <c r="EK133" t="e">
        <f>AND('SPR BARRANQUILLA'!BS159,"AAAAAH1bXow=")</f>
        <v>#VALUE!</v>
      </c>
      <c r="EL133" t="e">
        <f>AND('SPR BARRANQUILLA'!BT159,"AAAAAH1bXo0=")</f>
        <v>#VALUE!</v>
      </c>
      <c r="EM133" t="e">
        <f>AND('SPR BARRANQUILLA'!BU159,"AAAAAH1bXo4=")</f>
        <v>#VALUE!</v>
      </c>
      <c r="EN133" t="e">
        <f>AND('SPR BARRANQUILLA'!BV159,"AAAAAH1bXo8=")</f>
        <v>#VALUE!</v>
      </c>
      <c r="EO133" t="e">
        <f>AND('SPR BARRANQUILLA'!BW159,"AAAAAH1bXpA=")</f>
        <v>#VALUE!</v>
      </c>
      <c r="EP133" t="e">
        <f>AND('SPR BARRANQUILLA'!BX159,"AAAAAH1bXpE=")</f>
        <v>#VALUE!</v>
      </c>
      <c r="EQ133" t="e">
        <f>AND('SPR BARRANQUILLA'!BY159,"AAAAAH1bXpI=")</f>
        <v>#VALUE!</v>
      </c>
      <c r="ER133" t="e">
        <f>AND('SPR BARRANQUILLA'!BZ159,"AAAAAH1bXpM=")</f>
        <v>#VALUE!</v>
      </c>
      <c r="ES133" t="e">
        <f>AND('SPR BARRANQUILLA'!CA159,"AAAAAH1bXpQ=")</f>
        <v>#VALUE!</v>
      </c>
      <c r="ET133" t="e">
        <f>AND('SPR BARRANQUILLA'!CB159,"AAAAAH1bXpU=")</f>
        <v>#VALUE!</v>
      </c>
      <c r="EU133" t="e">
        <f>AND('SPR BARRANQUILLA'!CC159,"AAAAAH1bXpY=")</f>
        <v>#VALUE!</v>
      </c>
      <c r="EV133" t="e">
        <f>AND('SPR BARRANQUILLA'!CD159,"AAAAAH1bXpc=")</f>
        <v>#VALUE!</v>
      </c>
      <c r="EW133" t="e">
        <f>AND('SPR BARRANQUILLA'!CE159,"AAAAAH1bXpg=")</f>
        <v>#VALUE!</v>
      </c>
      <c r="EX133" t="e">
        <f>AND('SPR BARRANQUILLA'!CF159,"AAAAAH1bXpk=")</f>
        <v>#VALUE!</v>
      </c>
      <c r="EY133" t="e">
        <f>AND('SPR BARRANQUILLA'!CG159,"AAAAAH1bXpo=")</f>
        <v>#VALUE!</v>
      </c>
      <c r="EZ133" t="e">
        <f>AND('SPR BARRANQUILLA'!CH159,"AAAAAH1bXps=")</f>
        <v>#VALUE!</v>
      </c>
      <c r="FA133" t="e">
        <f>AND('SPR BARRANQUILLA'!CI159,"AAAAAH1bXpw=")</f>
        <v>#VALUE!</v>
      </c>
      <c r="FB133" t="e">
        <f>AND('SPR BARRANQUILLA'!CJ159,"AAAAAH1bXp0=")</f>
        <v>#VALUE!</v>
      </c>
      <c r="FC133" t="e">
        <f>AND('SPR BARRANQUILLA'!CK159,"AAAAAH1bXp4=")</f>
        <v>#VALUE!</v>
      </c>
      <c r="FD133" t="e">
        <f>AND('SPR BARRANQUILLA'!CL159,"AAAAAH1bXp8=")</f>
        <v>#VALUE!</v>
      </c>
      <c r="FE133" t="e">
        <f>AND('SPR BARRANQUILLA'!CM159,"AAAAAH1bXqA=")</f>
        <v>#VALUE!</v>
      </c>
      <c r="FF133" t="e">
        <f>AND('SPR BARRANQUILLA'!CN159,"AAAAAH1bXqE=")</f>
        <v>#VALUE!</v>
      </c>
      <c r="FG133" t="e">
        <f>AND('SPR BARRANQUILLA'!CO159,"AAAAAH1bXqI=")</f>
        <v>#VALUE!</v>
      </c>
      <c r="FH133" t="e">
        <f>AND('SPR BARRANQUILLA'!CP159,"AAAAAH1bXqM=")</f>
        <v>#VALUE!</v>
      </c>
      <c r="FI133" t="e">
        <f>AND('SPR BARRANQUILLA'!CQ159,"AAAAAH1bXqQ=")</f>
        <v>#VALUE!</v>
      </c>
      <c r="FJ133" t="e">
        <f>AND('SPR BARRANQUILLA'!CR159,"AAAAAH1bXqU=")</f>
        <v>#VALUE!</v>
      </c>
      <c r="FK133" t="e">
        <f>AND('SPR BARRANQUILLA'!CS159,"AAAAAH1bXqY=")</f>
        <v>#VALUE!</v>
      </c>
      <c r="FL133" t="e">
        <f>AND('SPR BARRANQUILLA'!CT159,"AAAAAH1bXqc=")</f>
        <v>#VALUE!</v>
      </c>
      <c r="FM133" t="e">
        <f>AND('SPR BARRANQUILLA'!CU159,"AAAAAH1bXqg=")</f>
        <v>#VALUE!</v>
      </c>
      <c r="FN133" t="e">
        <f>AND('SPR BARRANQUILLA'!CV159,"AAAAAH1bXqk=")</f>
        <v>#VALUE!</v>
      </c>
      <c r="FO133" t="e">
        <f>AND('SPR BARRANQUILLA'!CW159,"AAAAAH1bXqo=")</f>
        <v>#VALUE!</v>
      </c>
      <c r="FP133" t="e">
        <f>AND('SPR BARRANQUILLA'!CX159,"AAAAAH1bXqs=")</f>
        <v>#VALUE!</v>
      </c>
      <c r="FQ133" t="e">
        <f>AND('SPR BARRANQUILLA'!CY159,"AAAAAH1bXqw=")</f>
        <v>#VALUE!</v>
      </c>
      <c r="FR133" t="e">
        <f>AND('SPR BARRANQUILLA'!CZ159,"AAAAAH1bXq0=")</f>
        <v>#VALUE!</v>
      </c>
      <c r="FS133" t="e">
        <f>AND('SPR BARRANQUILLA'!DA159,"AAAAAH1bXq4=")</f>
        <v>#VALUE!</v>
      </c>
      <c r="FT133" t="e">
        <f>AND('SPR BARRANQUILLA'!DB159,"AAAAAH1bXq8=")</f>
        <v>#VALUE!</v>
      </c>
      <c r="FU133" t="e">
        <f>AND('SPR BARRANQUILLA'!DC159,"AAAAAH1bXrA=")</f>
        <v>#VALUE!</v>
      </c>
      <c r="FV133" t="e">
        <f>AND('SPR BARRANQUILLA'!DD159,"AAAAAH1bXrE=")</f>
        <v>#VALUE!</v>
      </c>
      <c r="FW133" t="e">
        <f>AND('SPR BARRANQUILLA'!DE159,"AAAAAH1bXrI=")</f>
        <v>#VALUE!</v>
      </c>
      <c r="FX133" t="e">
        <f>AND('SPR BARRANQUILLA'!DF159,"AAAAAH1bXrM=")</f>
        <v>#VALUE!</v>
      </c>
      <c r="FY133" t="e">
        <f>AND('SPR BARRANQUILLA'!DG159,"AAAAAH1bXrQ=")</f>
        <v>#VALUE!</v>
      </c>
      <c r="FZ133" t="e">
        <f>AND('SPR BARRANQUILLA'!DH159,"AAAAAH1bXrU=")</f>
        <v>#VALUE!</v>
      </c>
      <c r="GA133" t="e">
        <f>AND('SPR BARRANQUILLA'!DI159,"AAAAAH1bXrY=")</f>
        <v>#VALUE!</v>
      </c>
      <c r="GB133" t="e">
        <f>AND('SPR BARRANQUILLA'!DJ159,"AAAAAH1bXrc=")</f>
        <v>#VALUE!</v>
      </c>
      <c r="GC133" t="e">
        <f>AND('SPR BARRANQUILLA'!DK159,"AAAAAH1bXrg=")</f>
        <v>#VALUE!</v>
      </c>
      <c r="GD133" t="e">
        <f>AND('SPR BARRANQUILLA'!DL159,"AAAAAH1bXrk=")</f>
        <v>#VALUE!</v>
      </c>
      <c r="GE133" t="e">
        <f>AND('SPR BARRANQUILLA'!DM159,"AAAAAH1bXro=")</f>
        <v>#VALUE!</v>
      </c>
      <c r="GF133" t="e">
        <f>AND('SPR BARRANQUILLA'!DN159,"AAAAAH1bXrs=")</f>
        <v>#VALUE!</v>
      </c>
      <c r="GG133" t="e">
        <f>AND('SPR BARRANQUILLA'!DO159,"AAAAAH1bXrw=")</f>
        <v>#VALUE!</v>
      </c>
      <c r="GH133" t="e">
        <f>AND('SPR BARRANQUILLA'!DP159,"AAAAAH1bXr0=")</f>
        <v>#VALUE!</v>
      </c>
      <c r="GI133" t="e">
        <f>AND('SPR BARRANQUILLA'!DQ159,"AAAAAH1bXr4=")</f>
        <v>#VALUE!</v>
      </c>
      <c r="GJ133" t="e">
        <f>AND('SPR BARRANQUILLA'!DR159,"AAAAAH1bXr8=")</f>
        <v>#VALUE!</v>
      </c>
      <c r="GK133" t="e">
        <f>AND('SPR BARRANQUILLA'!DS159,"AAAAAH1bXsA=")</f>
        <v>#VALUE!</v>
      </c>
      <c r="GL133" t="e">
        <f>AND('SPR BARRANQUILLA'!DT159,"AAAAAH1bXsE=")</f>
        <v>#VALUE!</v>
      </c>
      <c r="GM133" t="e">
        <f>AND('SPR BARRANQUILLA'!DU159,"AAAAAH1bXsI=")</f>
        <v>#VALUE!</v>
      </c>
      <c r="GN133" t="e">
        <f>AND('SPR BARRANQUILLA'!DV159,"AAAAAH1bXsM=")</f>
        <v>#VALUE!</v>
      </c>
      <c r="GO133" t="e">
        <f>AND('SPR BARRANQUILLA'!DW159,"AAAAAH1bXsQ=")</f>
        <v>#VALUE!</v>
      </c>
      <c r="GP133" t="e">
        <f>AND('SPR BARRANQUILLA'!DX159,"AAAAAH1bXsU=")</f>
        <v>#VALUE!</v>
      </c>
      <c r="GQ133" t="e">
        <f>AND('SPR BARRANQUILLA'!DY159,"AAAAAH1bXsY=")</f>
        <v>#VALUE!</v>
      </c>
      <c r="GR133" t="e">
        <f>AND('SPR BARRANQUILLA'!DZ159,"AAAAAH1bXsc=")</f>
        <v>#VALUE!</v>
      </c>
      <c r="GS133" t="e">
        <f>AND('SPR BARRANQUILLA'!EA159,"AAAAAH1bXsg=")</f>
        <v>#VALUE!</v>
      </c>
      <c r="GT133" t="e">
        <f>AND('SPR BARRANQUILLA'!EB159,"AAAAAH1bXsk=")</f>
        <v>#VALUE!</v>
      </c>
      <c r="GU133" t="e">
        <f>AND('SPR BARRANQUILLA'!EC159,"AAAAAH1bXso=")</f>
        <v>#VALUE!</v>
      </c>
      <c r="GV133" t="e">
        <f>AND('SPR BARRANQUILLA'!ED159,"AAAAAH1bXss=")</f>
        <v>#VALUE!</v>
      </c>
      <c r="GW133" t="e">
        <f>AND('SPR BARRANQUILLA'!EE159,"AAAAAH1bXsw=")</f>
        <v>#VALUE!</v>
      </c>
      <c r="GX133" t="e">
        <f>AND('SPR BARRANQUILLA'!EF159,"AAAAAH1bXs0=")</f>
        <v>#VALUE!</v>
      </c>
      <c r="GY133" t="e">
        <f>AND('SPR BARRANQUILLA'!EG159,"AAAAAH1bXs4=")</f>
        <v>#VALUE!</v>
      </c>
      <c r="GZ133" t="e">
        <f>AND('SPR BARRANQUILLA'!EH159,"AAAAAH1bXs8=")</f>
        <v>#VALUE!</v>
      </c>
      <c r="HA133" t="e">
        <f>AND('SPR BARRANQUILLA'!EI159,"AAAAAH1bXtA=")</f>
        <v>#VALUE!</v>
      </c>
      <c r="HB133" t="e">
        <f>AND('SPR BARRANQUILLA'!EJ159,"AAAAAH1bXtE=")</f>
        <v>#VALUE!</v>
      </c>
      <c r="HC133" t="e">
        <f>AND('SPR BARRANQUILLA'!EK159,"AAAAAH1bXtI=")</f>
        <v>#VALUE!</v>
      </c>
      <c r="HD133" t="e">
        <f>AND('SPR BARRANQUILLA'!EL159,"AAAAAH1bXtM=")</f>
        <v>#VALUE!</v>
      </c>
      <c r="HE133" t="e">
        <f>AND('SPR BARRANQUILLA'!EM159,"AAAAAH1bXtQ=")</f>
        <v>#VALUE!</v>
      </c>
      <c r="HF133" t="e">
        <f>AND('SPR BARRANQUILLA'!EN159,"AAAAAH1bXtU=")</f>
        <v>#VALUE!</v>
      </c>
      <c r="HG133" t="e">
        <f>AND('SPR BARRANQUILLA'!EO159,"AAAAAH1bXtY=")</f>
        <v>#VALUE!</v>
      </c>
      <c r="HH133" t="e">
        <f>AND('SPR BARRANQUILLA'!EP159,"AAAAAH1bXtc=")</f>
        <v>#VALUE!</v>
      </c>
      <c r="HI133" t="e">
        <f>AND('SPR BARRANQUILLA'!EQ159,"AAAAAH1bXtg=")</f>
        <v>#VALUE!</v>
      </c>
      <c r="HJ133" t="e">
        <f>AND('SPR BARRANQUILLA'!ER159,"AAAAAH1bXtk=")</f>
        <v>#VALUE!</v>
      </c>
      <c r="HK133" t="e">
        <f>AND('SPR BARRANQUILLA'!ES159,"AAAAAH1bXto=")</f>
        <v>#VALUE!</v>
      </c>
      <c r="HL133" t="e">
        <f>AND('SPR BARRANQUILLA'!ET159,"AAAAAH1bXts=")</f>
        <v>#VALUE!</v>
      </c>
      <c r="HM133" t="e">
        <f>AND('SPR BARRANQUILLA'!EU159,"AAAAAH1bXtw=")</f>
        <v>#VALUE!</v>
      </c>
      <c r="HN133" t="e">
        <f>AND('SPR BARRANQUILLA'!EV159,"AAAAAH1bXt0=")</f>
        <v>#VALUE!</v>
      </c>
      <c r="HO133" t="e">
        <f>AND('SPR BARRANQUILLA'!EW159,"AAAAAH1bXt4=")</f>
        <v>#VALUE!</v>
      </c>
      <c r="HP133" t="e">
        <f>AND('SPR BARRANQUILLA'!EX159,"AAAAAH1bXt8=")</f>
        <v>#VALUE!</v>
      </c>
      <c r="HQ133" t="e">
        <f>AND('SPR BARRANQUILLA'!EY159,"AAAAAH1bXuA=")</f>
        <v>#VALUE!</v>
      </c>
      <c r="HR133" t="e">
        <f>AND('SPR BARRANQUILLA'!EZ159,"AAAAAH1bXuE=")</f>
        <v>#VALUE!</v>
      </c>
      <c r="HS133" t="e">
        <f>AND('SPR BARRANQUILLA'!FA159,"AAAAAH1bXuI=")</f>
        <v>#VALUE!</v>
      </c>
      <c r="HT133" t="e">
        <f>AND('SPR BARRANQUILLA'!FB159,"AAAAAH1bXuM=")</f>
        <v>#VALUE!</v>
      </c>
      <c r="HU133" t="e">
        <f>AND('SPR BARRANQUILLA'!FC159,"AAAAAH1bXuQ=")</f>
        <v>#VALUE!</v>
      </c>
      <c r="HV133" t="e">
        <f>AND('SPR BARRANQUILLA'!FD159,"AAAAAH1bXuU=")</f>
        <v>#VALUE!</v>
      </c>
      <c r="HW133" t="e">
        <f>AND('SPR BARRANQUILLA'!FE159,"AAAAAH1bXuY=")</f>
        <v>#VALUE!</v>
      </c>
      <c r="HX133" t="e">
        <f>AND('SPR BARRANQUILLA'!FF159,"AAAAAH1bXuc=")</f>
        <v>#VALUE!</v>
      </c>
      <c r="HY133" t="e">
        <f>AND('SPR BARRANQUILLA'!FG159,"AAAAAH1bXug=")</f>
        <v>#VALUE!</v>
      </c>
      <c r="HZ133" t="e">
        <f>AND('SPR BARRANQUILLA'!FH159,"AAAAAH1bXuk=")</f>
        <v>#VALUE!</v>
      </c>
      <c r="IA133" t="e">
        <f>AND('SPR BARRANQUILLA'!FI159,"AAAAAH1bXuo=")</f>
        <v>#VALUE!</v>
      </c>
      <c r="IB133" t="e">
        <f>AND('SPR BARRANQUILLA'!FJ159,"AAAAAH1bXus=")</f>
        <v>#VALUE!</v>
      </c>
      <c r="IC133" t="e">
        <f>AND('SPR BARRANQUILLA'!FK159,"AAAAAH1bXuw=")</f>
        <v>#VALUE!</v>
      </c>
      <c r="ID133" t="e">
        <f>AND('SPR BARRANQUILLA'!FL159,"AAAAAH1bXu0=")</f>
        <v>#VALUE!</v>
      </c>
      <c r="IE133" t="e">
        <f>AND('SPR BARRANQUILLA'!FM159,"AAAAAH1bXu4=")</f>
        <v>#VALUE!</v>
      </c>
      <c r="IF133" t="e">
        <f>AND('SPR BARRANQUILLA'!FN159,"AAAAAH1bXu8=")</f>
        <v>#VALUE!</v>
      </c>
      <c r="IG133" t="e">
        <f>AND('SPR BARRANQUILLA'!FO159,"AAAAAH1bXvA=")</f>
        <v>#VALUE!</v>
      </c>
      <c r="IH133" t="e">
        <f>AND('SPR BARRANQUILLA'!FP159,"AAAAAH1bXvE=")</f>
        <v>#VALUE!</v>
      </c>
      <c r="II133" t="e">
        <f>AND('SPR BARRANQUILLA'!FQ159,"AAAAAH1bXvI=")</f>
        <v>#VALUE!</v>
      </c>
      <c r="IJ133" t="e">
        <f>AND('SPR BARRANQUILLA'!FR159,"AAAAAH1bXvM=")</f>
        <v>#VALUE!</v>
      </c>
      <c r="IK133" t="e">
        <f>AND('SPR BARRANQUILLA'!FS159,"AAAAAH1bXvQ=")</f>
        <v>#VALUE!</v>
      </c>
      <c r="IL133" t="e">
        <f>AND('SPR BARRANQUILLA'!FT159,"AAAAAH1bXvU=")</f>
        <v>#VALUE!</v>
      </c>
      <c r="IM133" t="e">
        <f>AND('SPR BARRANQUILLA'!FU159,"AAAAAH1bXvY=")</f>
        <v>#VALUE!</v>
      </c>
      <c r="IN133" t="e">
        <f>AND('SPR BARRANQUILLA'!FV159,"AAAAAH1bXvc=")</f>
        <v>#VALUE!</v>
      </c>
      <c r="IO133" t="e">
        <f>AND('SPR BARRANQUILLA'!FW159,"AAAAAH1bXvg=")</f>
        <v>#VALUE!</v>
      </c>
      <c r="IP133" t="e">
        <f>AND('SPR BARRANQUILLA'!FX159,"AAAAAH1bXvk=")</f>
        <v>#VALUE!</v>
      </c>
      <c r="IQ133" t="e">
        <f>AND('SPR BARRANQUILLA'!FY159,"AAAAAH1bXvo=")</f>
        <v>#VALUE!</v>
      </c>
      <c r="IR133" t="e">
        <f>AND('SPR BARRANQUILLA'!FZ159,"AAAAAH1bXvs=")</f>
        <v>#VALUE!</v>
      </c>
      <c r="IS133" t="e">
        <f>AND('SPR BARRANQUILLA'!GA159,"AAAAAH1bXvw=")</f>
        <v>#VALUE!</v>
      </c>
      <c r="IT133" t="e">
        <f>AND('SPR BARRANQUILLA'!GB159,"AAAAAH1bXv0=")</f>
        <v>#VALUE!</v>
      </c>
      <c r="IU133" t="e">
        <f>AND('SPR BARRANQUILLA'!GC159,"AAAAAH1bXv4=")</f>
        <v>#VALUE!</v>
      </c>
      <c r="IV133" t="e">
        <f>AND('SPR BARRANQUILLA'!GD159,"AAAAAH1bXv8=")</f>
        <v>#VALUE!</v>
      </c>
    </row>
    <row r="134" spans="1:256">
      <c r="A134" t="e">
        <f>AND('SPR BARRANQUILLA'!GE159,"AAAAAB//3wA=")</f>
        <v>#VALUE!</v>
      </c>
      <c r="B134" t="e">
        <f>AND('SPR BARRANQUILLA'!GF159,"AAAAAB//3wE=")</f>
        <v>#VALUE!</v>
      </c>
      <c r="C134" t="e">
        <f>AND('SPR BARRANQUILLA'!GG159,"AAAAAB//3wI=")</f>
        <v>#VALUE!</v>
      </c>
      <c r="D134" t="e">
        <f>AND('SPR BARRANQUILLA'!GH159,"AAAAAB//3wM=")</f>
        <v>#VALUE!</v>
      </c>
      <c r="E134" t="e">
        <f>AND('SPR BARRANQUILLA'!GI159,"AAAAAB//3wQ=")</f>
        <v>#VALUE!</v>
      </c>
      <c r="F134" t="e">
        <f>AND('SPR BARRANQUILLA'!GJ159,"AAAAAB//3wU=")</f>
        <v>#VALUE!</v>
      </c>
      <c r="G134" t="e">
        <f>AND('SPR BARRANQUILLA'!GK159,"AAAAAB//3wY=")</f>
        <v>#VALUE!</v>
      </c>
      <c r="H134" t="e">
        <f>AND('SPR BARRANQUILLA'!GL159,"AAAAAB//3wc=")</f>
        <v>#VALUE!</v>
      </c>
      <c r="I134" t="e">
        <f>AND('SPR BARRANQUILLA'!GM159,"AAAAAB//3wg=")</f>
        <v>#VALUE!</v>
      </c>
      <c r="J134" t="e">
        <f>AND('SPR BARRANQUILLA'!GN159,"AAAAAB//3wk=")</f>
        <v>#VALUE!</v>
      </c>
      <c r="K134" t="e">
        <f>AND('SPR BARRANQUILLA'!GO159,"AAAAAB//3wo=")</f>
        <v>#VALUE!</v>
      </c>
      <c r="L134" t="e">
        <f>AND('SPR BARRANQUILLA'!GP159,"AAAAAB//3ws=")</f>
        <v>#VALUE!</v>
      </c>
      <c r="M134" t="e">
        <f>AND('SPR BARRANQUILLA'!GQ159,"AAAAAB//3ww=")</f>
        <v>#VALUE!</v>
      </c>
      <c r="N134" t="e">
        <f>AND('SPR BARRANQUILLA'!GR159,"AAAAAB//3w0=")</f>
        <v>#VALUE!</v>
      </c>
      <c r="O134" t="e">
        <f>AND('SPR BARRANQUILLA'!GS159,"AAAAAB//3w4=")</f>
        <v>#VALUE!</v>
      </c>
      <c r="P134" t="e">
        <f>AND('SPR BARRANQUILLA'!GT159,"AAAAAB//3w8=")</f>
        <v>#VALUE!</v>
      </c>
      <c r="Q134" t="e">
        <f>AND('SPR BARRANQUILLA'!GU159,"AAAAAB//3xA=")</f>
        <v>#VALUE!</v>
      </c>
      <c r="R134" t="e">
        <f>AND('SPR BARRANQUILLA'!GV159,"AAAAAB//3xE=")</f>
        <v>#VALUE!</v>
      </c>
      <c r="S134" t="e">
        <f>AND('SPR BARRANQUILLA'!GW159,"AAAAAB//3xI=")</f>
        <v>#VALUE!</v>
      </c>
      <c r="T134" t="e">
        <f>AND('SPR BARRANQUILLA'!GX159,"AAAAAB//3xM=")</f>
        <v>#VALUE!</v>
      </c>
      <c r="U134" t="e">
        <f>AND('SPR BARRANQUILLA'!GY159,"AAAAAB//3xQ=")</f>
        <v>#VALUE!</v>
      </c>
      <c r="V134">
        <f>IF('SPR BARRANQUILLA'!160:160,"AAAAAB//3xU=",0)</f>
        <v>0</v>
      </c>
      <c r="W134" t="e">
        <f>AND('SPR BARRANQUILLA'!A160,"AAAAAB//3xY=")</f>
        <v>#VALUE!</v>
      </c>
      <c r="X134" t="e">
        <f>AND('SPR BARRANQUILLA'!B160,"AAAAAB//3xc=")</f>
        <v>#VALUE!</v>
      </c>
      <c r="Y134" t="e">
        <f>AND('SPR BARRANQUILLA'!C160,"AAAAAB//3xg=")</f>
        <v>#VALUE!</v>
      </c>
      <c r="Z134" t="e">
        <f>AND('SPR BARRANQUILLA'!D160,"AAAAAB//3xk=")</f>
        <v>#VALUE!</v>
      </c>
      <c r="AA134" t="e">
        <f>AND('SPR BARRANQUILLA'!E160,"AAAAAB//3xo=")</f>
        <v>#VALUE!</v>
      </c>
      <c r="AB134" t="e">
        <f>AND('SPR BARRANQUILLA'!F160,"AAAAAB//3xs=")</f>
        <v>#VALUE!</v>
      </c>
      <c r="AC134" t="e">
        <f>AND('SPR BARRANQUILLA'!G160,"AAAAAB//3xw=")</f>
        <v>#VALUE!</v>
      </c>
      <c r="AD134" t="e">
        <f>AND('SPR BARRANQUILLA'!H160,"AAAAAB//3x0=")</f>
        <v>#VALUE!</v>
      </c>
      <c r="AE134" t="e">
        <f>AND('SPR BARRANQUILLA'!I160,"AAAAAB//3x4=")</f>
        <v>#VALUE!</v>
      </c>
      <c r="AF134" t="e">
        <f>AND('SPR BARRANQUILLA'!J160,"AAAAAB//3x8=")</f>
        <v>#VALUE!</v>
      </c>
      <c r="AG134" t="e">
        <f>AND('SPR BARRANQUILLA'!K160,"AAAAAB//3yA=")</f>
        <v>#VALUE!</v>
      </c>
      <c r="AH134" t="e">
        <f>AND('SPR BARRANQUILLA'!L160,"AAAAAB//3yE=")</f>
        <v>#VALUE!</v>
      </c>
      <c r="AI134" t="e">
        <f>AND('SPR BARRANQUILLA'!M160,"AAAAAB//3yI=")</f>
        <v>#VALUE!</v>
      </c>
      <c r="AJ134" t="e">
        <f>AND('SPR BARRANQUILLA'!N160,"AAAAAB//3yM=")</f>
        <v>#VALUE!</v>
      </c>
      <c r="AK134" t="e">
        <f>AND('SPR BARRANQUILLA'!O160,"AAAAAB//3yQ=")</f>
        <v>#VALUE!</v>
      </c>
      <c r="AL134" t="e">
        <f>AND('SPR BARRANQUILLA'!P160,"AAAAAB//3yU=")</f>
        <v>#VALUE!</v>
      </c>
      <c r="AM134" t="e">
        <f>AND('SPR BARRANQUILLA'!Q160,"AAAAAB//3yY=")</f>
        <v>#VALUE!</v>
      </c>
      <c r="AN134" t="e">
        <f>AND('SPR BARRANQUILLA'!R160,"AAAAAB//3yc=")</f>
        <v>#VALUE!</v>
      </c>
      <c r="AO134" t="e">
        <f>AND('SPR BARRANQUILLA'!S160,"AAAAAB//3yg=")</f>
        <v>#VALUE!</v>
      </c>
      <c r="AP134" t="e">
        <f>AND('SPR BARRANQUILLA'!T160,"AAAAAB//3yk=")</f>
        <v>#VALUE!</v>
      </c>
      <c r="AQ134" t="e">
        <f>AND('SPR BARRANQUILLA'!U160,"AAAAAB//3yo=")</f>
        <v>#VALUE!</v>
      </c>
      <c r="AR134" t="e">
        <f>AND('SPR BARRANQUILLA'!V160,"AAAAAB//3ys=")</f>
        <v>#VALUE!</v>
      </c>
      <c r="AS134" t="e">
        <f>AND('SPR BARRANQUILLA'!W160,"AAAAAB//3yw=")</f>
        <v>#VALUE!</v>
      </c>
      <c r="AT134" t="e">
        <f>AND('SPR BARRANQUILLA'!X160,"AAAAAB//3y0=")</f>
        <v>#VALUE!</v>
      </c>
      <c r="AU134" t="e">
        <f>AND('SPR BARRANQUILLA'!Y160,"AAAAAB//3y4=")</f>
        <v>#VALUE!</v>
      </c>
      <c r="AV134" t="e">
        <f>AND('SPR BARRANQUILLA'!Z160,"AAAAAB//3y8=")</f>
        <v>#VALUE!</v>
      </c>
      <c r="AW134" t="e">
        <f>AND('SPR BARRANQUILLA'!AA160,"AAAAAB//3zA=")</f>
        <v>#VALUE!</v>
      </c>
      <c r="AX134" t="e">
        <f>AND('SPR BARRANQUILLA'!AB160,"AAAAAB//3zE=")</f>
        <v>#VALUE!</v>
      </c>
      <c r="AY134" t="e">
        <f>AND('SPR BARRANQUILLA'!AC160,"AAAAAB//3zI=")</f>
        <v>#VALUE!</v>
      </c>
      <c r="AZ134" t="e">
        <f>AND('SPR BARRANQUILLA'!AD160,"AAAAAB//3zM=")</f>
        <v>#VALUE!</v>
      </c>
      <c r="BA134" t="e">
        <f>AND('SPR BARRANQUILLA'!AE160,"AAAAAB//3zQ=")</f>
        <v>#VALUE!</v>
      </c>
      <c r="BB134" t="e">
        <f>AND('SPR BARRANQUILLA'!AF160,"AAAAAB//3zU=")</f>
        <v>#VALUE!</v>
      </c>
      <c r="BC134" t="e">
        <f>AND('SPR BARRANQUILLA'!AG160,"AAAAAB//3zY=")</f>
        <v>#VALUE!</v>
      </c>
      <c r="BD134" t="e">
        <f>AND('SPR BARRANQUILLA'!AH160,"AAAAAB//3zc=")</f>
        <v>#VALUE!</v>
      </c>
      <c r="BE134" t="e">
        <f>AND('SPR BARRANQUILLA'!AI160,"AAAAAB//3zg=")</f>
        <v>#VALUE!</v>
      </c>
      <c r="BF134" t="e">
        <f>AND('SPR BARRANQUILLA'!AJ160,"AAAAAB//3zk=")</f>
        <v>#VALUE!</v>
      </c>
      <c r="BG134" t="e">
        <f>AND('SPR BARRANQUILLA'!AK160,"AAAAAB//3zo=")</f>
        <v>#VALUE!</v>
      </c>
      <c r="BH134" t="e">
        <f>AND('SPR BARRANQUILLA'!AL160,"AAAAAB//3zs=")</f>
        <v>#VALUE!</v>
      </c>
      <c r="BI134" t="e">
        <f>AND('SPR BARRANQUILLA'!AM160,"AAAAAB//3zw=")</f>
        <v>#VALUE!</v>
      </c>
      <c r="BJ134" t="e">
        <f>AND('SPR BARRANQUILLA'!AN160,"AAAAAB//3z0=")</f>
        <v>#VALUE!</v>
      </c>
      <c r="BK134" t="e">
        <f>AND('SPR BARRANQUILLA'!AO160,"AAAAAB//3z4=")</f>
        <v>#VALUE!</v>
      </c>
      <c r="BL134" t="e">
        <f>AND('SPR BARRANQUILLA'!AP160,"AAAAAB//3z8=")</f>
        <v>#VALUE!</v>
      </c>
      <c r="BM134" t="e">
        <f>AND('SPR BARRANQUILLA'!AQ160,"AAAAAB//30A=")</f>
        <v>#VALUE!</v>
      </c>
      <c r="BN134" t="e">
        <f>AND('SPR BARRANQUILLA'!AR160,"AAAAAB//30E=")</f>
        <v>#VALUE!</v>
      </c>
      <c r="BO134" t="e">
        <f>AND('SPR BARRANQUILLA'!AS160,"AAAAAB//30I=")</f>
        <v>#VALUE!</v>
      </c>
      <c r="BP134" t="e">
        <f>AND('SPR BARRANQUILLA'!AT160,"AAAAAB//30M=")</f>
        <v>#VALUE!</v>
      </c>
      <c r="BQ134" t="e">
        <f>AND('SPR BARRANQUILLA'!AU160,"AAAAAB//30Q=")</f>
        <v>#VALUE!</v>
      </c>
      <c r="BR134" t="e">
        <f>AND('SPR BARRANQUILLA'!AV160,"AAAAAB//30U=")</f>
        <v>#VALUE!</v>
      </c>
      <c r="BS134" t="e">
        <f>AND('SPR BARRANQUILLA'!AW160,"AAAAAB//30Y=")</f>
        <v>#VALUE!</v>
      </c>
      <c r="BT134" t="e">
        <f>AND('SPR BARRANQUILLA'!AX160,"AAAAAB//30c=")</f>
        <v>#VALUE!</v>
      </c>
      <c r="BU134" t="e">
        <f>AND('SPR BARRANQUILLA'!AY160,"AAAAAB//30g=")</f>
        <v>#VALUE!</v>
      </c>
      <c r="BV134" t="e">
        <f>AND('SPR BARRANQUILLA'!AZ160,"AAAAAB//30k=")</f>
        <v>#VALUE!</v>
      </c>
      <c r="BW134" t="e">
        <f>AND('SPR BARRANQUILLA'!BA160,"AAAAAB//30o=")</f>
        <v>#VALUE!</v>
      </c>
      <c r="BX134" t="e">
        <f>AND('SPR BARRANQUILLA'!BB160,"AAAAAB//30s=")</f>
        <v>#VALUE!</v>
      </c>
      <c r="BY134" t="e">
        <f>AND('SPR BARRANQUILLA'!BC160,"AAAAAB//30w=")</f>
        <v>#VALUE!</v>
      </c>
      <c r="BZ134" t="e">
        <f>AND('SPR BARRANQUILLA'!BD160,"AAAAAB//300=")</f>
        <v>#VALUE!</v>
      </c>
      <c r="CA134" t="e">
        <f>AND('SPR BARRANQUILLA'!BE160,"AAAAAB//304=")</f>
        <v>#VALUE!</v>
      </c>
      <c r="CB134" t="e">
        <f>AND('SPR BARRANQUILLA'!BF160,"AAAAAB//308=")</f>
        <v>#VALUE!</v>
      </c>
      <c r="CC134" t="e">
        <f>AND('SPR BARRANQUILLA'!BG160,"AAAAAB//31A=")</f>
        <v>#VALUE!</v>
      </c>
      <c r="CD134" t="e">
        <f>AND('SPR BARRANQUILLA'!BH160,"AAAAAB//31E=")</f>
        <v>#VALUE!</v>
      </c>
      <c r="CE134" t="e">
        <f>AND('SPR BARRANQUILLA'!BI160,"AAAAAB//31I=")</f>
        <v>#VALUE!</v>
      </c>
      <c r="CF134" t="e">
        <f>AND('SPR BARRANQUILLA'!BJ160,"AAAAAB//31M=")</f>
        <v>#VALUE!</v>
      </c>
      <c r="CG134" t="e">
        <f>AND('SPR BARRANQUILLA'!BK160,"AAAAAB//31Q=")</f>
        <v>#VALUE!</v>
      </c>
      <c r="CH134" t="e">
        <f>AND('SPR BARRANQUILLA'!BL160,"AAAAAB//31U=")</f>
        <v>#VALUE!</v>
      </c>
      <c r="CI134" t="e">
        <f>AND('SPR BARRANQUILLA'!BM160,"AAAAAB//31Y=")</f>
        <v>#VALUE!</v>
      </c>
      <c r="CJ134" t="e">
        <f>AND('SPR BARRANQUILLA'!BN160,"AAAAAB//31c=")</f>
        <v>#VALUE!</v>
      </c>
      <c r="CK134" t="e">
        <f>AND('SPR BARRANQUILLA'!BO160,"AAAAAB//31g=")</f>
        <v>#VALUE!</v>
      </c>
      <c r="CL134" t="e">
        <f>AND('SPR BARRANQUILLA'!BP160,"AAAAAB//31k=")</f>
        <v>#VALUE!</v>
      </c>
      <c r="CM134" t="e">
        <f>AND('SPR BARRANQUILLA'!BQ160,"AAAAAB//31o=")</f>
        <v>#VALUE!</v>
      </c>
      <c r="CN134" t="e">
        <f>AND('SPR BARRANQUILLA'!BR160,"AAAAAB//31s=")</f>
        <v>#VALUE!</v>
      </c>
      <c r="CO134" t="e">
        <f>AND('SPR BARRANQUILLA'!BS160,"AAAAAB//31w=")</f>
        <v>#VALUE!</v>
      </c>
      <c r="CP134" t="e">
        <f>AND('SPR BARRANQUILLA'!BT160,"AAAAAB//310=")</f>
        <v>#VALUE!</v>
      </c>
      <c r="CQ134" t="e">
        <f>AND('SPR BARRANQUILLA'!BU160,"AAAAAB//314=")</f>
        <v>#VALUE!</v>
      </c>
      <c r="CR134" t="e">
        <f>AND('SPR BARRANQUILLA'!BV160,"AAAAAB//318=")</f>
        <v>#VALUE!</v>
      </c>
      <c r="CS134" t="e">
        <f>AND('SPR BARRANQUILLA'!BW160,"AAAAAB//32A=")</f>
        <v>#VALUE!</v>
      </c>
      <c r="CT134" t="e">
        <f>AND('SPR BARRANQUILLA'!BX160,"AAAAAB//32E=")</f>
        <v>#VALUE!</v>
      </c>
      <c r="CU134" t="e">
        <f>AND('SPR BARRANQUILLA'!BY160,"AAAAAB//32I=")</f>
        <v>#VALUE!</v>
      </c>
      <c r="CV134" t="e">
        <f>AND('SPR BARRANQUILLA'!BZ160,"AAAAAB//32M=")</f>
        <v>#VALUE!</v>
      </c>
      <c r="CW134" t="e">
        <f>AND('SPR BARRANQUILLA'!CA160,"AAAAAB//32Q=")</f>
        <v>#VALUE!</v>
      </c>
      <c r="CX134" t="e">
        <f>AND('SPR BARRANQUILLA'!CB160,"AAAAAB//32U=")</f>
        <v>#VALUE!</v>
      </c>
      <c r="CY134" t="e">
        <f>AND('SPR BARRANQUILLA'!CC160,"AAAAAB//32Y=")</f>
        <v>#VALUE!</v>
      </c>
      <c r="CZ134" t="e">
        <f>AND('SPR BARRANQUILLA'!CD160,"AAAAAB//32c=")</f>
        <v>#VALUE!</v>
      </c>
      <c r="DA134" t="e">
        <f>AND('SPR BARRANQUILLA'!CE160,"AAAAAB//32g=")</f>
        <v>#VALUE!</v>
      </c>
      <c r="DB134" t="e">
        <f>AND('SPR BARRANQUILLA'!CF160,"AAAAAB//32k=")</f>
        <v>#VALUE!</v>
      </c>
      <c r="DC134" t="e">
        <f>AND('SPR BARRANQUILLA'!CG160,"AAAAAB//32o=")</f>
        <v>#VALUE!</v>
      </c>
      <c r="DD134" t="e">
        <f>AND('SPR BARRANQUILLA'!CH160,"AAAAAB//32s=")</f>
        <v>#VALUE!</v>
      </c>
      <c r="DE134" t="e">
        <f>AND('SPR BARRANQUILLA'!CI160,"AAAAAB//32w=")</f>
        <v>#VALUE!</v>
      </c>
      <c r="DF134" t="e">
        <f>AND('SPR BARRANQUILLA'!CJ160,"AAAAAB//320=")</f>
        <v>#VALUE!</v>
      </c>
      <c r="DG134" t="e">
        <f>AND('SPR BARRANQUILLA'!CK160,"AAAAAB//324=")</f>
        <v>#VALUE!</v>
      </c>
      <c r="DH134" t="e">
        <f>AND('SPR BARRANQUILLA'!CL160,"AAAAAB//328=")</f>
        <v>#VALUE!</v>
      </c>
      <c r="DI134" t="e">
        <f>AND('SPR BARRANQUILLA'!CM160,"AAAAAB//33A=")</f>
        <v>#VALUE!</v>
      </c>
      <c r="DJ134" t="e">
        <f>AND('SPR BARRANQUILLA'!CN160,"AAAAAB//33E=")</f>
        <v>#VALUE!</v>
      </c>
      <c r="DK134" t="e">
        <f>AND('SPR BARRANQUILLA'!CO160,"AAAAAB//33I=")</f>
        <v>#VALUE!</v>
      </c>
      <c r="DL134" t="e">
        <f>AND('SPR BARRANQUILLA'!CP160,"AAAAAB//33M=")</f>
        <v>#VALUE!</v>
      </c>
      <c r="DM134" t="e">
        <f>AND('SPR BARRANQUILLA'!CQ160,"AAAAAB//33Q=")</f>
        <v>#VALUE!</v>
      </c>
      <c r="DN134" t="e">
        <f>AND('SPR BARRANQUILLA'!CR160,"AAAAAB//33U=")</f>
        <v>#VALUE!</v>
      </c>
      <c r="DO134" t="e">
        <f>AND('SPR BARRANQUILLA'!CS160,"AAAAAB//33Y=")</f>
        <v>#VALUE!</v>
      </c>
      <c r="DP134" t="e">
        <f>AND('SPR BARRANQUILLA'!CT160,"AAAAAB//33c=")</f>
        <v>#VALUE!</v>
      </c>
      <c r="DQ134" t="e">
        <f>AND('SPR BARRANQUILLA'!CU160,"AAAAAB//33g=")</f>
        <v>#VALUE!</v>
      </c>
      <c r="DR134" t="e">
        <f>AND('SPR BARRANQUILLA'!CV160,"AAAAAB//33k=")</f>
        <v>#VALUE!</v>
      </c>
      <c r="DS134" t="e">
        <f>AND('SPR BARRANQUILLA'!CW160,"AAAAAB//33o=")</f>
        <v>#VALUE!</v>
      </c>
      <c r="DT134" t="e">
        <f>AND('SPR BARRANQUILLA'!CX160,"AAAAAB//33s=")</f>
        <v>#VALUE!</v>
      </c>
      <c r="DU134" t="e">
        <f>AND('SPR BARRANQUILLA'!CY160,"AAAAAB//33w=")</f>
        <v>#VALUE!</v>
      </c>
      <c r="DV134" t="e">
        <f>AND('SPR BARRANQUILLA'!CZ160,"AAAAAB//330=")</f>
        <v>#VALUE!</v>
      </c>
      <c r="DW134" t="e">
        <f>AND('SPR BARRANQUILLA'!DA160,"AAAAAB//334=")</f>
        <v>#VALUE!</v>
      </c>
      <c r="DX134" t="e">
        <f>AND('SPR BARRANQUILLA'!DB160,"AAAAAB//338=")</f>
        <v>#VALUE!</v>
      </c>
      <c r="DY134" t="e">
        <f>AND('SPR BARRANQUILLA'!DC160,"AAAAAB//34A=")</f>
        <v>#VALUE!</v>
      </c>
      <c r="DZ134" t="e">
        <f>AND('SPR BARRANQUILLA'!DD160,"AAAAAB//34E=")</f>
        <v>#VALUE!</v>
      </c>
      <c r="EA134" t="e">
        <f>AND('SPR BARRANQUILLA'!DE160,"AAAAAB//34I=")</f>
        <v>#VALUE!</v>
      </c>
      <c r="EB134" t="e">
        <f>AND('SPR BARRANQUILLA'!DF160,"AAAAAB//34M=")</f>
        <v>#VALUE!</v>
      </c>
      <c r="EC134" t="e">
        <f>AND('SPR BARRANQUILLA'!DG160,"AAAAAB//34Q=")</f>
        <v>#VALUE!</v>
      </c>
      <c r="ED134" t="e">
        <f>AND('SPR BARRANQUILLA'!DH160,"AAAAAB//34U=")</f>
        <v>#VALUE!</v>
      </c>
      <c r="EE134" t="e">
        <f>AND('SPR BARRANQUILLA'!DI160,"AAAAAB//34Y=")</f>
        <v>#VALUE!</v>
      </c>
      <c r="EF134" t="e">
        <f>AND('SPR BARRANQUILLA'!DJ160,"AAAAAB//34c=")</f>
        <v>#VALUE!</v>
      </c>
      <c r="EG134" t="e">
        <f>AND('SPR BARRANQUILLA'!DK160,"AAAAAB//34g=")</f>
        <v>#VALUE!</v>
      </c>
      <c r="EH134" t="e">
        <f>AND('SPR BARRANQUILLA'!DL160,"AAAAAB//34k=")</f>
        <v>#VALUE!</v>
      </c>
      <c r="EI134" t="e">
        <f>AND('SPR BARRANQUILLA'!DM160,"AAAAAB//34o=")</f>
        <v>#VALUE!</v>
      </c>
      <c r="EJ134" t="e">
        <f>AND('SPR BARRANQUILLA'!DN160,"AAAAAB//34s=")</f>
        <v>#VALUE!</v>
      </c>
      <c r="EK134" t="e">
        <f>AND('SPR BARRANQUILLA'!DO160,"AAAAAB//34w=")</f>
        <v>#VALUE!</v>
      </c>
      <c r="EL134" t="e">
        <f>AND('SPR BARRANQUILLA'!DP160,"AAAAAB//340=")</f>
        <v>#VALUE!</v>
      </c>
      <c r="EM134" t="e">
        <f>AND('SPR BARRANQUILLA'!DQ160,"AAAAAB//344=")</f>
        <v>#VALUE!</v>
      </c>
      <c r="EN134" t="e">
        <f>AND('SPR BARRANQUILLA'!DR160,"AAAAAB//348=")</f>
        <v>#VALUE!</v>
      </c>
      <c r="EO134" t="e">
        <f>AND('SPR BARRANQUILLA'!DS160,"AAAAAB//35A=")</f>
        <v>#VALUE!</v>
      </c>
      <c r="EP134" t="e">
        <f>AND('SPR BARRANQUILLA'!DT160,"AAAAAB//35E=")</f>
        <v>#VALUE!</v>
      </c>
      <c r="EQ134" t="e">
        <f>AND('SPR BARRANQUILLA'!DU160,"AAAAAB//35I=")</f>
        <v>#VALUE!</v>
      </c>
      <c r="ER134" t="e">
        <f>AND('SPR BARRANQUILLA'!DV160,"AAAAAB//35M=")</f>
        <v>#VALUE!</v>
      </c>
      <c r="ES134" t="e">
        <f>AND('SPR BARRANQUILLA'!DW160,"AAAAAB//35Q=")</f>
        <v>#VALUE!</v>
      </c>
      <c r="ET134" t="e">
        <f>AND('SPR BARRANQUILLA'!DX160,"AAAAAB//35U=")</f>
        <v>#VALUE!</v>
      </c>
      <c r="EU134" t="e">
        <f>AND('SPR BARRANQUILLA'!DY160,"AAAAAB//35Y=")</f>
        <v>#VALUE!</v>
      </c>
      <c r="EV134" t="e">
        <f>AND('SPR BARRANQUILLA'!DZ160,"AAAAAB//35c=")</f>
        <v>#VALUE!</v>
      </c>
      <c r="EW134" t="e">
        <f>AND('SPR BARRANQUILLA'!EA160,"AAAAAB//35g=")</f>
        <v>#VALUE!</v>
      </c>
      <c r="EX134" t="e">
        <f>AND('SPR BARRANQUILLA'!EB160,"AAAAAB//35k=")</f>
        <v>#VALUE!</v>
      </c>
      <c r="EY134" t="e">
        <f>AND('SPR BARRANQUILLA'!EC160,"AAAAAB//35o=")</f>
        <v>#VALUE!</v>
      </c>
      <c r="EZ134" t="e">
        <f>AND('SPR BARRANQUILLA'!ED160,"AAAAAB//35s=")</f>
        <v>#VALUE!</v>
      </c>
      <c r="FA134" t="e">
        <f>AND('SPR BARRANQUILLA'!EE160,"AAAAAB//35w=")</f>
        <v>#VALUE!</v>
      </c>
      <c r="FB134" t="e">
        <f>AND('SPR BARRANQUILLA'!EF160,"AAAAAB//350=")</f>
        <v>#VALUE!</v>
      </c>
      <c r="FC134" t="e">
        <f>AND('SPR BARRANQUILLA'!EG160,"AAAAAB//354=")</f>
        <v>#VALUE!</v>
      </c>
      <c r="FD134" t="e">
        <f>AND('SPR BARRANQUILLA'!EH160,"AAAAAB//358=")</f>
        <v>#VALUE!</v>
      </c>
      <c r="FE134" t="e">
        <f>AND('SPR BARRANQUILLA'!EI160,"AAAAAB//36A=")</f>
        <v>#VALUE!</v>
      </c>
      <c r="FF134" t="e">
        <f>AND('SPR BARRANQUILLA'!EJ160,"AAAAAB//36E=")</f>
        <v>#VALUE!</v>
      </c>
      <c r="FG134" t="e">
        <f>AND('SPR BARRANQUILLA'!EK160,"AAAAAB//36I=")</f>
        <v>#VALUE!</v>
      </c>
      <c r="FH134" t="e">
        <f>AND('SPR BARRANQUILLA'!EL160,"AAAAAB//36M=")</f>
        <v>#VALUE!</v>
      </c>
      <c r="FI134" t="e">
        <f>AND('SPR BARRANQUILLA'!EM160,"AAAAAB//36Q=")</f>
        <v>#VALUE!</v>
      </c>
      <c r="FJ134" t="e">
        <f>AND('SPR BARRANQUILLA'!EN160,"AAAAAB//36U=")</f>
        <v>#VALUE!</v>
      </c>
      <c r="FK134" t="e">
        <f>AND('SPR BARRANQUILLA'!EO160,"AAAAAB//36Y=")</f>
        <v>#VALUE!</v>
      </c>
      <c r="FL134" t="e">
        <f>AND('SPR BARRANQUILLA'!EP160,"AAAAAB//36c=")</f>
        <v>#VALUE!</v>
      </c>
      <c r="FM134" t="e">
        <f>AND('SPR BARRANQUILLA'!EQ160,"AAAAAB//36g=")</f>
        <v>#VALUE!</v>
      </c>
      <c r="FN134" t="e">
        <f>AND('SPR BARRANQUILLA'!ER160,"AAAAAB//36k=")</f>
        <v>#VALUE!</v>
      </c>
      <c r="FO134" t="e">
        <f>AND('SPR BARRANQUILLA'!ES160,"AAAAAB//36o=")</f>
        <v>#VALUE!</v>
      </c>
      <c r="FP134" t="e">
        <f>AND('SPR BARRANQUILLA'!ET160,"AAAAAB//36s=")</f>
        <v>#VALUE!</v>
      </c>
      <c r="FQ134" t="e">
        <f>AND('SPR BARRANQUILLA'!EU160,"AAAAAB//36w=")</f>
        <v>#VALUE!</v>
      </c>
      <c r="FR134" t="e">
        <f>AND('SPR BARRANQUILLA'!EV160,"AAAAAB//360=")</f>
        <v>#VALUE!</v>
      </c>
      <c r="FS134" t="e">
        <f>AND('SPR BARRANQUILLA'!EW160,"AAAAAB//364=")</f>
        <v>#VALUE!</v>
      </c>
      <c r="FT134" t="e">
        <f>AND('SPR BARRANQUILLA'!EX160,"AAAAAB//368=")</f>
        <v>#VALUE!</v>
      </c>
      <c r="FU134" t="e">
        <f>AND('SPR BARRANQUILLA'!EY160,"AAAAAB//37A=")</f>
        <v>#VALUE!</v>
      </c>
      <c r="FV134" t="e">
        <f>AND('SPR BARRANQUILLA'!EZ160,"AAAAAB//37E=")</f>
        <v>#VALUE!</v>
      </c>
      <c r="FW134" t="e">
        <f>AND('SPR BARRANQUILLA'!FA160,"AAAAAB//37I=")</f>
        <v>#VALUE!</v>
      </c>
      <c r="FX134" t="e">
        <f>AND('SPR BARRANQUILLA'!FB160,"AAAAAB//37M=")</f>
        <v>#VALUE!</v>
      </c>
      <c r="FY134" t="e">
        <f>AND('SPR BARRANQUILLA'!FC160,"AAAAAB//37Q=")</f>
        <v>#VALUE!</v>
      </c>
      <c r="FZ134" t="e">
        <f>AND('SPR BARRANQUILLA'!FD160,"AAAAAB//37U=")</f>
        <v>#VALUE!</v>
      </c>
      <c r="GA134" t="e">
        <f>AND('SPR BARRANQUILLA'!FE160,"AAAAAB//37Y=")</f>
        <v>#VALUE!</v>
      </c>
      <c r="GB134" t="e">
        <f>AND('SPR BARRANQUILLA'!FF160,"AAAAAB//37c=")</f>
        <v>#VALUE!</v>
      </c>
      <c r="GC134" t="e">
        <f>AND('SPR BARRANQUILLA'!FG160,"AAAAAB//37g=")</f>
        <v>#VALUE!</v>
      </c>
      <c r="GD134" t="e">
        <f>AND('SPR BARRANQUILLA'!FH160,"AAAAAB//37k=")</f>
        <v>#VALUE!</v>
      </c>
      <c r="GE134" t="e">
        <f>AND('SPR BARRANQUILLA'!FI160,"AAAAAB//37o=")</f>
        <v>#VALUE!</v>
      </c>
      <c r="GF134" t="e">
        <f>AND('SPR BARRANQUILLA'!FJ160,"AAAAAB//37s=")</f>
        <v>#VALUE!</v>
      </c>
      <c r="GG134" t="e">
        <f>AND('SPR BARRANQUILLA'!FK160,"AAAAAB//37w=")</f>
        <v>#VALUE!</v>
      </c>
      <c r="GH134" t="e">
        <f>AND('SPR BARRANQUILLA'!FL160,"AAAAAB//370=")</f>
        <v>#VALUE!</v>
      </c>
      <c r="GI134" t="e">
        <f>AND('SPR BARRANQUILLA'!FM160,"AAAAAB//374=")</f>
        <v>#VALUE!</v>
      </c>
      <c r="GJ134" t="e">
        <f>AND('SPR BARRANQUILLA'!FN160,"AAAAAB//378=")</f>
        <v>#VALUE!</v>
      </c>
      <c r="GK134" t="e">
        <f>AND('SPR BARRANQUILLA'!FO160,"AAAAAB//38A=")</f>
        <v>#VALUE!</v>
      </c>
      <c r="GL134" t="e">
        <f>AND('SPR BARRANQUILLA'!FP160,"AAAAAB//38E=")</f>
        <v>#VALUE!</v>
      </c>
      <c r="GM134" t="e">
        <f>AND('SPR BARRANQUILLA'!FQ160,"AAAAAB//38I=")</f>
        <v>#VALUE!</v>
      </c>
      <c r="GN134" t="e">
        <f>AND('SPR BARRANQUILLA'!FR160,"AAAAAB//38M=")</f>
        <v>#VALUE!</v>
      </c>
      <c r="GO134" t="e">
        <f>AND('SPR BARRANQUILLA'!FS160,"AAAAAB//38Q=")</f>
        <v>#VALUE!</v>
      </c>
      <c r="GP134" t="e">
        <f>AND('SPR BARRANQUILLA'!FT160,"AAAAAB//38U=")</f>
        <v>#VALUE!</v>
      </c>
      <c r="GQ134" t="e">
        <f>AND('SPR BARRANQUILLA'!FU160,"AAAAAB//38Y=")</f>
        <v>#VALUE!</v>
      </c>
      <c r="GR134" t="e">
        <f>AND('SPR BARRANQUILLA'!FV160,"AAAAAB//38c=")</f>
        <v>#VALUE!</v>
      </c>
      <c r="GS134" t="e">
        <f>AND('SPR BARRANQUILLA'!FW160,"AAAAAB//38g=")</f>
        <v>#VALUE!</v>
      </c>
      <c r="GT134" t="e">
        <f>AND('SPR BARRANQUILLA'!FX160,"AAAAAB//38k=")</f>
        <v>#VALUE!</v>
      </c>
      <c r="GU134" t="e">
        <f>AND('SPR BARRANQUILLA'!FY160,"AAAAAB//38o=")</f>
        <v>#VALUE!</v>
      </c>
      <c r="GV134" t="e">
        <f>AND('SPR BARRANQUILLA'!FZ160,"AAAAAB//38s=")</f>
        <v>#VALUE!</v>
      </c>
      <c r="GW134" t="e">
        <f>AND('SPR BARRANQUILLA'!GA160,"AAAAAB//38w=")</f>
        <v>#VALUE!</v>
      </c>
      <c r="GX134" t="e">
        <f>AND('SPR BARRANQUILLA'!GB160,"AAAAAB//380=")</f>
        <v>#VALUE!</v>
      </c>
      <c r="GY134" t="e">
        <f>AND('SPR BARRANQUILLA'!GC160,"AAAAAB//384=")</f>
        <v>#VALUE!</v>
      </c>
      <c r="GZ134" t="e">
        <f>AND('SPR BARRANQUILLA'!GD160,"AAAAAB//388=")</f>
        <v>#VALUE!</v>
      </c>
      <c r="HA134" t="e">
        <f>AND('SPR BARRANQUILLA'!GE160,"AAAAAB//39A=")</f>
        <v>#VALUE!</v>
      </c>
      <c r="HB134" t="e">
        <f>AND('SPR BARRANQUILLA'!GF160,"AAAAAB//39E=")</f>
        <v>#VALUE!</v>
      </c>
      <c r="HC134" t="e">
        <f>AND('SPR BARRANQUILLA'!GG160,"AAAAAB//39I=")</f>
        <v>#VALUE!</v>
      </c>
      <c r="HD134" t="e">
        <f>AND('SPR BARRANQUILLA'!GH160,"AAAAAB//39M=")</f>
        <v>#VALUE!</v>
      </c>
      <c r="HE134" t="e">
        <f>AND('SPR BARRANQUILLA'!GI160,"AAAAAB//39Q=")</f>
        <v>#VALUE!</v>
      </c>
      <c r="HF134" t="e">
        <f>AND('SPR BARRANQUILLA'!GJ160,"AAAAAB//39U=")</f>
        <v>#VALUE!</v>
      </c>
      <c r="HG134" t="e">
        <f>AND('SPR BARRANQUILLA'!GK160,"AAAAAB//39Y=")</f>
        <v>#VALUE!</v>
      </c>
      <c r="HH134" t="e">
        <f>AND('SPR BARRANQUILLA'!GL160,"AAAAAB//39c=")</f>
        <v>#VALUE!</v>
      </c>
      <c r="HI134" t="e">
        <f>AND('SPR BARRANQUILLA'!GM160,"AAAAAB//39g=")</f>
        <v>#VALUE!</v>
      </c>
      <c r="HJ134" t="e">
        <f>AND('SPR BARRANQUILLA'!GN160,"AAAAAB//39k=")</f>
        <v>#VALUE!</v>
      </c>
      <c r="HK134" t="e">
        <f>AND('SPR BARRANQUILLA'!GO160,"AAAAAB//39o=")</f>
        <v>#VALUE!</v>
      </c>
      <c r="HL134" t="e">
        <f>AND('SPR BARRANQUILLA'!GP160,"AAAAAB//39s=")</f>
        <v>#VALUE!</v>
      </c>
      <c r="HM134" t="e">
        <f>AND('SPR BARRANQUILLA'!GQ160,"AAAAAB//39w=")</f>
        <v>#VALUE!</v>
      </c>
      <c r="HN134" t="e">
        <f>AND('SPR BARRANQUILLA'!GR160,"AAAAAB//390=")</f>
        <v>#VALUE!</v>
      </c>
      <c r="HO134" t="e">
        <f>AND('SPR BARRANQUILLA'!GS160,"AAAAAB//394=")</f>
        <v>#VALUE!</v>
      </c>
      <c r="HP134" t="e">
        <f>AND('SPR BARRANQUILLA'!GT160,"AAAAAB//398=")</f>
        <v>#VALUE!</v>
      </c>
      <c r="HQ134" t="e">
        <f>AND('SPR BARRANQUILLA'!GU160,"AAAAAB//3+A=")</f>
        <v>#VALUE!</v>
      </c>
      <c r="HR134" t="e">
        <f>AND('SPR BARRANQUILLA'!GV160,"AAAAAB//3+E=")</f>
        <v>#VALUE!</v>
      </c>
      <c r="HS134" t="e">
        <f>AND('SPR BARRANQUILLA'!GW160,"AAAAAB//3+I=")</f>
        <v>#VALUE!</v>
      </c>
      <c r="HT134" t="e">
        <f>AND('SPR BARRANQUILLA'!GX160,"AAAAAB//3+M=")</f>
        <v>#VALUE!</v>
      </c>
      <c r="HU134" t="e">
        <f>AND('SPR BARRANQUILLA'!GY160,"AAAAAB//3+Q=")</f>
        <v>#VALUE!</v>
      </c>
      <c r="HV134">
        <f>IF('SPR BARRANQUILLA'!161:161,"AAAAAB//3+U=",0)</f>
        <v>0</v>
      </c>
      <c r="HW134" t="e">
        <f>AND('SPR BARRANQUILLA'!A161,"AAAAAB//3+Y=")</f>
        <v>#VALUE!</v>
      </c>
      <c r="HX134" t="e">
        <f>AND('SPR BARRANQUILLA'!B161,"AAAAAB//3+c=")</f>
        <v>#VALUE!</v>
      </c>
      <c r="HY134" t="e">
        <f>AND('SPR BARRANQUILLA'!C161,"AAAAAB//3+g=")</f>
        <v>#VALUE!</v>
      </c>
      <c r="HZ134" t="e">
        <f>AND('SPR BARRANQUILLA'!D161,"AAAAAB//3+k=")</f>
        <v>#VALUE!</v>
      </c>
      <c r="IA134" t="e">
        <f>AND('SPR BARRANQUILLA'!E161,"AAAAAB//3+o=")</f>
        <v>#VALUE!</v>
      </c>
      <c r="IB134" t="e">
        <f>AND('SPR BARRANQUILLA'!F161,"AAAAAB//3+s=")</f>
        <v>#VALUE!</v>
      </c>
      <c r="IC134" t="e">
        <f>AND('SPR BARRANQUILLA'!G161,"AAAAAB//3+w=")</f>
        <v>#VALUE!</v>
      </c>
      <c r="ID134" t="e">
        <f>AND('SPR BARRANQUILLA'!H161,"AAAAAB//3+0=")</f>
        <v>#VALUE!</v>
      </c>
      <c r="IE134" t="e">
        <f>AND('SPR BARRANQUILLA'!I161,"AAAAAB//3+4=")</f>
        <v>#VALUE!</v>
      </c>
      <c r="IF134" t="e">
        <f>AND('SPR BARRANQUILLA'!J161,"AAAAAB//3+8=")</f>
        <v>#VALUE!</v>
      </c>
      <c r="IG134" t="e">
        <f>AND('SPR BARRANQUILLA'!K161,"AAAAAB//3/A=")</f>
        <v>#VALUE!</v>
      </c>
      <c r="IH134" t="e">
        <f>AND('SPR BARRANQUILLA'!L161,"AAAAAB//3/E=")</f>
        <v>#VALUE!</v>
      </c>
      <c r="II134" t="e">
        <f>AND('SPR BARRANQUILLA'!M161,"AAAAAB//3/I=")</f>
        <v>#VALUE!</v>
      </c>
      <c r="IJ134" t="e">
        <f>AND('SPR BARRANQUILLA'!N161,"AAAAAB//3/M=")</f>
        <v>#VALUE!</v>
      </c>
      <c r="IK134" t="e">
        <f>AND('SPR BARRANQUILLA'!O161,"AAAAAB//3/Q=")</f>
        <v>#VALUE!</v>
      </c>
      <c r="IL134" t="e">
        <f>AND('SPR BARRANQUILLA'!P161,"AAAAAB//3/U=")</f>
        <v>#VALUE!</v>
      </c>
      <c r="IM134" t="e">
        <f>AND('SPR BARRANQUILLA'!Q161,"AAAAAB//3/Y=")</f>
        <v>#VALUE!</v>
      </c>
      <c r="IN134" t="e">
        <f>AND('SPR BARRANQUILLA'!R161,"AAAAAB//3/c=")</f>
        <v>#VALUE!</v>
      </c>
      <c r="IO134" t="e">
        <f>AND('SPR BARRANQUILLA'!S161,"AAAAAB//3/g=")</f>
        <v>#VALUE!</v>
      </c>
      <c r="IP134" t="e">
        <f>AND('SPR BARRANQUILLA'!T161,"AAAAAB//3/k=")</f>
        <v>#VALUE!</v>
      </c>
      <c r="IQ134" t="e">
        <f>AND('SPR BARRANQUILLA'!U161,"AAAAAB//3/o=")</f>
        <v>#VALUE!</v>
      </c>
      <c r="IR134" t="e">
        <f>AND('SPR BARRANQUILLA'!V161,"AAAAAB//3/s=")</f>
        <v>#VALUE!</v>
      </c>
      <c r="IS134" t="e">
        <f>AND('SPR BARRANQUILLA'!W161,"AAAAAB//3/w=")</f>
        <v>#VALUE!</v>
      </c>
      <c r="IT134" t="e">
        <f>AND('SPR BARRANQUILLA'!X161,"AAAAAB//3/0=")</f>
        <v>#VALUE!</v>
      </c>
      <c r="IU134" t="e">
        <f>AND('SPR BARRANQUILLA'!Y161,"AAAAAB//3/4=")</f>
        <v>#VALUE!</v>
      </c>
      <c r="IV134" t="e">
        <f>AND('SPR BARRANQUILLA'!Z161,"AAAAAB//3/8=")</f>
        <v>#VALUE!</v>
      </c>
    </row>
    <row r="135" spans="1:256">
      <c r="A135" t="e">
        <f>AND('SPR BARRANQUILLA'!AA161,"AAAAAHfG/wA=")</f>
        <v>#VALUE!</v>
      </c>
      <c r="B135" t="e">
        <f>AND('SPR BARRANQUILLA'!AB161,"AAAAAHfG/wE=")</f>
        <v>#VALUE!</v>
      </c>
      <c r="C135" t="e">
        <f>AND('SPR BARRANQUILLA'!AC161,"AAAAAHfG/wI=")</f>
        <v>#VALUE!</v>
      </c>
      <c r="D135" t="e">
        <f>AND('SPR BARRANQUILLA'!AD161,"AAAAAHfG/wM=")</f>
        <v>#VALUE!</v>
      </c>
      <c r="E135" t="e">
        <f>AND('SPR BARRANQUILLA'!AE161,"AAAAAHfG/wQ=")</f>
        <v>#VALUE!</v>
      </c>
      <c r="F135" t="e">
        <f>AND('SPR BARRANQUILLA'!AF161,"AAAAAHfG/wU=")</f>
        <v>#VALUE!</v>
      </c>
      <c r="G135" t="e">
        <f>AND('SPR BARRANQUILLA'!AG161,"AAAAAHfG/wY=")</f>
        <v>#VALUE!</v>
      </c>
      <c r="H135" t="e">
        <f>AND('SPR BARRANQUILLA'!AH161,"AAAAAHfG/wc=")</f>
        <v>#VALUE!</v>
      </c>
      <c r="I135" t="e">
        <f>AND('SPR BARRANQUILLA'!AI161,"AAAAAHfG/wg=")</f>
        <v>#VALUE!</v>
      </c>
      <c r="J135" t="e">
        <f>AND('SPR BARRANQUILLA'!AJ161,"AAAAAHfG/wk=")</f>
        <v>#VALUE!</v>
      </c>
      <c r="K135" t="e">
        <f>AND('SPR BARRANQUILLA'!AK161,"AAAAAHfG/wo=")</f>
        <v>#VALUE!</v>
      </c>
      <c r="L135" t="e">
        <f>AND('SPR BARRANQUILLA'!AL161,"AAAAAHfG/ws=")</f>
        <v>#VALUE!</v>
      </c>
      <c r="M135" t="e">
        <f>AND('SPR BARRANQUILLA'!AM161,"AAAAAHfG/ww=")</f>
        <v>#VALUE!</v>
      </c>
      <c r="N135" t="e">
        <f>AND('SPR BARRANQUILLA'!AN161,"AAAAAHfG/w0=")</f>
        <v>#VALUE!</v>
      </c>
      <c r="O135" t="e">
        <f>AND('SPR BARRANQUILLA'!AO161,"AAAAAHfG/w4=")</f>
        <v>#VALUE!</v>
      </c>
      <c r="P135" t="e">
        <f>AND('SPR BARRANQUILLA'!AP161,"AAAAAHfG/w8=")</f>
        <v>#VALUE!</v>
      </c>
      <c r="Q135" t="e">
        <f>AND('SPR BARRANQUILLA'!AQ161,"AAAAAHfG/xA=")</f>
        <v>#VALUE!</v>
      </c>
      <c r="R135" t="e">
        <f>AND('SPR BARRANQUILLA'!AR161,"AAAAAHfG/xE=")</f>
        <v>#VALUE!</v>
      </c>
      <c r="S135" t="e">
        <f>AND('SPR BARRANQUILLA'!AS161,"AAAAAHfG/xI=")</f>
        <v>#VALUE!</v>
      </c>
      <c r="T135" t="e">
        <f>AND('SPR BARRANQUILLA'!AT161,"AAAAAHfG/xM=")</f>
        <v>#VALUE!</v>
      </c>
      <c r="U135" t="e">
        <f>AND('SPR BARRANQUILLA'!AU161,"AAAAAHfG/xQ=")</f>
        <v>#VALUE!</v>
      </c>
      <c r="V135" t="e">
        <f>AND('SPR BARRANQUILLA'!AV161,"AAAAAHfG/xU=")</f>
        <v>#VALUE!</v>
      </c>
      <c r="W135" t="e">
        <f>AND('SPR BARRANQUILLA'!AW161,"AAAAAHfG/xY=")</f>
        <v>#VALUE!</v>
      </c>
      <c r="X135" t="e">
        <f>AND('SPR BARRANQUILLA'!AX161,"AAAAAHfG/xc=")</f>
        <v>#VALUE!</v>
      </c>
      <c r="Y135" t="e">
        <f>AND('SPR BARRANQUILLA'!AY161,"AAAAAHfG/xg=")</f>
        <v>#VALUE!</v>
      </c>
      <c r="Z135" t="e">
        <f>AND('SPR BARRANQUILLA'!AZ161,"AAAAAHfG/xk=")</f>
        <v>#VALUE!</v>
      </c>
      <c r="AA135" t="e">
        <f>AND('SPR BARRANQUILLA'!BA161,"AAAAAHfG/xo=")</f>
        <v>#VALUE!</v>
      </c>
      <c r="AB135" t="e">
        <f>AND('SPR BARRANQUILLA'!BB161,"AAAAAHfG/xs=")</f>
        <v>#VALUE!</v>
      </c>
      <c r="AC135" t="e">
        <f>AND('SPR BARRANQUILLA'!BC161,"AAAAAHfG/xw=")</f>
        <v>#VALUE!</v>
      </c>
      <c r="AD135" t="e">
        <f>AND('SPR BARRANQUILLA'!BD161,"AAAAAHfG/x0=")</f>
        <v>#VALUE!</v>
      </c>
      <c r="AE135" t="e">
        <f>AND('SPR BARRANQUILLA'!BE161,"AAAAAHfG/x4=")</f>
        <v>#VALUE!</v>
      </c>
      <c r="AF135" t="e">
        <f>AND('SPR BARRANQUILLA'!BF161,"AAAAAHfG/x8=")</f>
        <v>#VALUE!</v>
      </c>
      <c r="AG135" t="e">
        <f>AND('SPR BARRANQUILLA'!BG161,"AAAAAHfG/yA=")</f>
        <v>#VALUE!</v>
      </c>
      <c r="AH135" t="e">
        <f>AND('SPR BARRANQUILLA'!BH161,"AAAAAHfG/yE=")</f>
        <v>#VALUE!</v>
      </c>
      <c r="AI135" t="e">
        <f>AND('SPR BARRANQUILLA'!BI161,"AAAAAHfG/yI=")</f>
        <v>#VALUE!</v>
      </c>
      <c r="AJ135" t="e">
        <f>AND('SPR BARRANQUILLA'!BJ161,"AAAAAHfG/yM=")</f>
        <v>#VALUE!</v>
      </c>
      <c r="AK135" t="e">
        <f>AND('SPR BARRANQUILLA'!BK161,"AAAAAHfG/yQ=")</f>
        <v>#VALUE!</v>
      </c>
      <c r="AL135" t="e">
        <f>AND('SPR BARRANQUILLA'!BL161,"AAAAAHfG/yU=")</f>
        <v>#VALUE!</v>
      </c>
      <c r="AM135" t="e">
        <f>AND('SPR BARRANQUILLA'!BM161,"AAAAAHfG/yY=")</f>
        <v>#VALUE!</v>
      </c>
      <c r="AN135" t="e">
        <f>AND('SPR BARRANQUILLA'!BN161,"AAAAAHfG/yc=")</f>
        <v>#VALUE!</v>
      </c>
      <c r="AO135" t="e">
        <f>AND('SPR BARRANQUILLA'!BO161,"AAAAAHfG/yg=")</f>
        <v>#VALUE!</v>
      </c>
      <c r="AP135" t="e">
        <f>AND('SPR BARRANQUILLA'!BP161,"AAAAAHfG/yk=")</f>
        <v>#VALUE!</v>
      </c>
      <c r="AQ135" t="e">
        <f>AND('SPR BARRANQUILLA'!BQ161,"AAAAAHfG/yo=")</f>
        <v>#VALUE!</v>
      </c>
      <c r="AR135" t="e">
        <f>AND('SPR BARRANQUILLA'!BR161,"AAAAAHfG/ys=")</f>
        <v>#VALUE!</v>
      </c>
      <c r="AS135" t="e">
        <f>AND('SPR BARRANQUILLA'!BS161,"AAAAAHfG/yw=")</f>
        <v>#VALUE!</v>
      </c>
      <c r="AT135" t="e">
        <f>AND('SPR BARRANQUILLA'!BT161,"AAAAAHfG/y0=")</f>
        <v>#VALUE!</v>
      </c>
      <c r="AU135" t="e">
        <f>AND('SPR BARRANQUILLA'!BU161,"AAAAAHfG/y4=")</f>
        <v>#VALUE!</v>
      </c>
      <c r="AV135" t="e">
        <f>AND('SPR BARRANQUILLA'!BV161,"AAAAAHfG/y8=")</f>
        <v>#VALUE!</v>
      </c>
      <c r="AW135" t="e">
        <f>AND('SPR BARRANQUILLA'!BW161,"AAAAAHfG/zA=")</f>
        <v>#VALUE!</v>
      </c>
      <c r="AX135" t="e">
        <f>AND('SPR BARRANQUILLA'!BX161,"AAAAAHfG/zE=")</f>
        <v>#VALUE!</v>
      </c>
      <c r="AY135" t="e">
        <f>AND('SPR BARRANQUILLA'!BY161,"AAAAAHfG/zI=")</f>
        <v>#VALUE!</v>
      </c>
      <c r="AZ135" t="e">
        <f>AND('SPR BARRANQUILLA'!BZ161,"AAAAAHfG/zM=")</f>
        <v>#VALUE!</v>
      </c>
      <c r="BA135" t="e">
        <f>AND('SPR BARRANQUILLA'!CA161,"AAAAAHfG/zQ=")</f>
        <v>#VALUE!</v>
      </c>
      <c r="BB135" t="e">
        <f>AND('SPR BARRANQUILLA'!CB161,"AAAAAHfG/zU=")</f>
        <v>#VALUE!</v>
      </c>
      <c r="BC135" t="e">
        <f>AND('SPR BARRANQUILLA'!CC161,"AAAAAHfG/zY=")</f>
        <v>#VALUE!</v>
      </c>
      <c r="BD135" t="e">
        <f>AND('SPR BARRANQUILLA'!CD161,"AAAAAHfG/zc=")</f>
        <v>#VALUE!</v>
      </c>
      <c r="BE135" t="e">
        <f>AND('SPR BARRANQUILLA'!CE161,"AAAAAHfG/zg=")</f>
        <v>#VALUE!</v>
      </c>
      <c r="BF135" t="e">
        <f>AND('SPR BARRANQUILLA'!CF161,"AAAAAHfG/zk=")</f>
        <v>#VALUE!</v>
      </c>
      <c r="BG135" t="e">
        <f>AND('SPR BARRANQUILLA'!CG161,"AAAAAHfG/zo=")</f>
        <v>#VALUE!</v>
      </c>
      <c r="BH135" t="e">
        <f>AND('SPR BARRANQUILLA'!CH161,"AAAAAHfG/zs=")</f>
        <v>#VALUE!</v>
      </c>
      <c r="BI135" t="e">
        <f>AND('SPR BARRANQUILLA'!CI161,"AAAAAHfG/zw=")</f>
        <v>#VALUE!</v>
      </c>
      <c r="BJ135" t="e">
        <f>AND('SPR BARRANQUILLA'!CJ161,"AAAAAHfG/z0=")</f>
        <v>#VALUE!</v>
      </c>
      <c r="BK135" t="e">
        <f>AND('SPR BARRANQUILLA'!CK161,"AAAAAHfG/z4=")</f>
        <v>#VALUE!</v>
      </c>
      <c r="BL135" t="e">
        <f>AND('SPR BARRANQUILLA'!CL161,"AAAAAHfG/z8=")</f>
        <v>#VALUE!</v>
      </c>
      <c r="BM135" t="e">
        <f>AND('SPR BARRANQUILLA'!CM161,"AAAAAHfG/0A=")</f>
        <v>#VALUE!</v>
      </c>
      <c r="BN135" t="e">
        <f>AND('SPR BARRANQUILLA'!CN161,"AAAAAHfG/0E=")</f>
        <v>#VALUE!</v>
      </c>
      <c r="BO135" t="e">
        <f>AND('SPR BARRANQUILLA'!CO161,"AAAAAHfG/0I=")</f>
        <v>#VALUE!</v>
      </c>
      <c r="BP135" t="e">
        <f>AND('SPR BARRANQUILLA'!CP161,"AAAAAHfG/0M=")</f>
        <v>#VALUE!</v>
      </c>
      <c r="BQ135" t="e">
        <f>AND('SPR BARRANQUILLA'!CQ161,"AAAAAHfG/0Q=")</f>
        <v>#VALUE!</v>
      </c>
      <c r="BR135" t="e">
        <f>AND('SPR BARRANQUILLA'!CR161,"AAAAAHfG/0U=")</f>
        <v>#VALUE!</v>
      </c>
      <c r="BS135" t="e">
        <f>AND('SPR BARRANQUILLA'!CS161,"AAAAAHfG/0Y=")</f>
        <v>#VALUE!</v>
      </c>
      <c r="BT135" t="e">
        <f>AND('SPR BARRANQUILLA'!CT161,"AAAAAHfG/0c=")</f>
        <v>#VALUE!</v>
      </c>
      <c r="BU135" t="e">
        <f>AND('SPR BARRANQUILLA'!CU161,"AAAAAHfG/0g=")</f>
        <v>#VALUE!</v>
      </c>
      <c r="BV135" t="e">
        <f>AND('SPR BARRANQUILLA'!CV161,"AAAAAHfG/0k=")</f>
        <v>#VALUE!</v>
      </c>
      <c r="BW135" t="e">
        <f>AND('SPR BARRANQUILLA'!CW161,"AAAAAHfG/0o=")</f>
        <v>#VALUE!</v>
      </c>
      <c r="BX135" t="e">
        <f>AND('SPR BARRANQUILLA'!CX161,"AAAAAHfG/0s=")</f>
        <v>#VALUE!</v>
      </c>
      <c r="BY135" t="e">
        <f>AND('SPR BARRANQUILLA'!CY161,"AAAAAHfG/0w=")</f>
        <v>#VALUE!</v>
      </c>
      <c r="BZ135" t="e">
        <f>AND('SPR BARRANQUILLA'!CZ161,"AAAAAHfG/00=")</f>
        <v>#VALUE!</v>
      </c>
      <c r="CA135" t="e">
        <f>AND('SPR BARRANQUILLA'!DA161,"AAAAAHfG/04=")</f>
        <v>#VALUE!</v>
      </c>
      <c r="CB135" t="e">
        <f>AND('SPR BARRANQUILLA'!DB161,"AAAAAHfG/08=")</f>
        <v>#VALUE!</v>
      </c>
      <c r="CC135" t="e">
        <f>AND('SPR BARRANQUILLA'!DC161,"AAAAAHfG/1A=")</f>
        <v>#VALUE!</v>
      </c>
      <c r="CD135" t="e">
        <f>AND('SPR BARRANQUILLA'!DD161,"AAAAAHfG/1E=")</f>
        <v>#VALUE!</v>
      </c>
      <c r="CE135" t="e">
        <f>AND('SPR BARRANQUILLA'!DE161,"AAAAAHfG/1I=")</f>
        <v>#VALUE!</v>
      </c>
      <c r="CF135" t="e">
        <f>AND('SPR BARRANQUILLA'!DF161,"AAAAAHfG/1M=")</f>
        <v>#VALUE!</v>
      </c>
      <c r="CG135" t="e">
        <f>AND('SPR BARRANQUILLA'!DG161,"AAAAAHfG/1Q=")</f>
        <v>#VALUE!</v>
      </c>
      <c r="CH135" t="e">
        <f>AND('SPR BARRANQUILLA'!DH161,"AAAAAHfG/1U=")</f>
        <v>#VALUE!</v>
      </c>
      <c r="CI135" t="e">
        <f>AND('SPR BARRANQUILLA'!DI161,"AAAAAHfG/1Y=")</f>
        <v>#VALUE!</v>
      </c>
      <c r="CJ135" t="e">
        <f>AND('SPR BARRANQUILLA'!DJ161,"AAAAAHfG/1c=")</f>
        <v>#VALUE!</v>
      </c>
      <c r="CK135" t="e">
        <f>AND('SPR BARRANQUILLA'!DK161,"AAAAAHfG/1g=")</f>
        <v>#VALUE!</v>
      </c>
      <c r="CL135" t="e">
        <f>AND('SPR BARRANQUILLA'!DL161,"AAAAAHfG/1k=")</f>
        <v>#VALUE!</v>
      </c>
      <c r="CM135" t="e">
        <f>AND('SPR BARRANQUILLA'!DM161,"AAAAAHfG/1o=")</f>
        <v>#VALUE!</v>
      </c>
      <c r="CN135" t="e">
        <f>AND('SPR BARRANQUILLA'!DN161,"AAAAAHfG/1s=")</f>
        <v>#VALUE!</v>
      </c>
      <c r="CO135" t="e">
        <f>AND('SPR BARRANQUILLA'!DO161,"AAAAAHfG/1w=")</f>
        <v>#VALUE!</v>
      </c>
      <c r="CP135" t="e">
        <f>AND('SPR BARRANQUILLA'!DP161,"AAAAAHfG/10=")</f>
        <v>#VALUE!</v>
      </c>
      <c r="CQ135" t="e">
        <f>AND('SPR BARRANQUILLA'!DQ161,"AAAAAHfG/14=")</f>
        <v>#VALUE!</v>
      </c>
      <c r="CR135" t="e">
        <f>AND('SPR BARRANQUILLA'!DR161,"AAAAAHfG/18=")</f>
        <v>#VALUE!</v>
      </c>
      <c r="CS135" t="e">
        <f>AND('SPR BARRANQUILLA'!DS161,"AAAAAHfG/2A=")</f>
        <v>#VALUE!</v>
      </c>
      <c r="CT135" t="e">
        <f>AND('SPR BARRANQUILLA'!DT161,"AAAAAHfG/2E=")</f>
        <v>#VALUE!</v>
      </c>
      <c r="CU135" t="e">
        <f>AND('SPR BARRANQUILLA'!DU161,"AAAAAHfG/2I=")</f>
        <v>#VALUE!</v>
      </c>
      <c r="CV135" t="e">
        <f>AND('SPR BARRANQUILLA'!DV161,"AAAAAHfG/2M=")</f>
        <v>#VALUE!</v>
      </c>
      <c r="CW135" t="e">
        <f>AND('SPR BARRANQUILLA'!DW161,"AAAAAHfG/2Q=")</f>
        <v>#VALUE!</v>
      </c>
      <c r="CX135" t="e">
        <f>AND('SPR BARRANQUILLA'!DX161,"AAAAAHfG/2U=")</f>
        <v>#VALUE!</v>
      </c>
      <c r="CY135" t="e">
        <f>AND('SPR BARRANQUILLA'!DY161,"AAAAAHfG/2Y=")</f>
        <v>#VALUE!</v>
      </c>
      <c r="CZ135" t="e">
        <f>AND('SPR BARRANQUILLA'!DZ161,"AAAAAHfG/2c=")</f>
        <v>#VALUE!</v>
      </c>
      <c r="DA135" t="e">
        <f>AND('SPR BARRANQUILLA'!EA161,"AAAAAHfG/2g=")</f>
        <v>#VALUE!</v>
      </c>
      <c r="DB135" t="e">
        <f>AND('SPR BARRANQUILLA'!EB161,"AAAAAHfG/2k=")</f>
        <v>#VALUE!</v>
      </c>
      <c r="DC135" t="e">
        <f>AND('SPR BARRANQUILLA'!EC161,"AAAAAHfG/2o=")</f>
        <v>#VALUE!</v>
      </c>
      <c r="DD135" t="e">
        <f>AND('SPR BARRANQUILLA'!ED161,"AAAAAHfG/2s=")</f>
        <v>#VALUE!</v>
      </c>
      <c r="DE135" t="e">
        <f>AND('SPR BARRANQUILLA'!EE161,"AAAAAHfG/2w=")</f>
        <v>#VALUE!</v>
      </c>
      <c r="DF135" t="e">
        <f>AND('SPR BARRANQUILLA'!EF161,"AAAAAHfG/20=")</f>
        <v>#VALUE!</v>
      </c>
      <c r="DG135" t="e">
        <f>AND('SPR BARRANQUILLA'!EG161,"AAAAAHfG/24=")</f>
        <v>#VALUE!</v>
      </c>
      <c r="DH135" t="e">
        <f>AND('SPR BARRANQUILLA'!EH161,"AAAAAHfG/28=")</f>
        <v>#VALUE!</v>
      </c>
      <c r="DI135" t="e">
        <f>AND('SPR BARRANQUILLA'!EI161,"AAAAAHfG/3A=")</f>
        <v>#VALUE!</v>
      </c>
      <c r="DJ135" t="e">
        <f>AND('SPR BARRANQUILLA'!EJ161,"AAAAAHfG/3E=")</f>
        <v>#VALUE!</v>
      </c>
      <c r="DK135" t="e">
        <f>AND('SPR BARRANQUILLA'!EK161,"AAAAAHfG/3I=")</f>
        <v>#VALUE!</v>
      </c>
      <c r="DL135" t="e">
        <f>AND('SPR BARRANQUILLA'!EL161,"AAAAAHfG/3M=")</f>
        <v>#VALUE!</v>
      </c>
      <c r="DM135" t="e">
        <f>AND('SPR BARRANQUILLA'!EM161,"AAAAAHfG/3Q=")</f>
        <v>#VALUE!</v>
      </c>
      <c r="DN135" t="e">
        <f>AND('SPR BARRANQUILLA'!EN161,"AAAAAHfG/3U=")</f>
        <v>#VALUE!</v>
      </c>
      <c r="DO135" t="e">
        <f>AND('SPR BARRANQUILLA'!EO161,"AAAAAHfG/3Y=")</f>
        <v>#VALUE!</v>
      </c>
      <c r="DP135" t="e">
        <f>AND('SPR BARRANQUILLA'!EP161,"AAAAAHfG/3c=")</f>
        <v>#VALUE!</v>
      </c>
      <c r="DQ135" t="e">
        <f>AND('SPR BARRANQUILLA'!EQ161,"AAAAAHfG/3g=")</f>
        <v>#VALUE!</v>
      </c>
      <c r="DR135" t="e">
        <f>AND('SPR BARRANQUILLA'!ER161,"AAAAAHfG/3k=")</f>
        <v>#VALUE!</v>
      </c>
      <c r="DS135" t="e">
        <f>AND('SPR BARRANQUILLA'!ES161,"AAAAAHfG/3o=")</f>
        <v>#VALUE!</v>
      </c>
      <c r="DT135" t="e">
        <f>AND('SPR BARRANQUILLA'!ET161,"AAAAAHfG/3s=")</f>
        <v>#VALUE!</v>
      </c>
      <c r="DU135" t="e">
        <f>AND('SPR BARRANQUILLA'!EU161,"AAAAAHfG/3w=")</f>
        <v>#VALUE!</v>
      </c>
      <c r="DV135" t="e">
        <f>AND('SPR BARRANQUILLA'!EV161,"AAAAAHfG/30=")</f>
        <v>#VALUE!</v>
      </c>
      <c r="DW135" t="e">
        <f>AND('SPR BARRANQUILLA'!EW161,"AAAAAHfG/34=")</f>
        <v>#VALUE!</v>
      </c>
      <c r="DX135" t="e">
        <f>AND('SPR BARRANQUILLA'!EX161,"AAAAAHfG/38=")</f>
        <v>#VALUE!</v>
      </c>
      <c r="DY135" t="e">
        <f>AND('SPR BARRANQUILLA'!EY161,"AAAAAHfG/4A=")</f>
        <v>#VALUE!</v>
      </c>
      <c r="DZ135" t="e">
        <f>AND('SPR BARRANQUILLA'!EZ161,"AAAAAHfG/4E=")</f>
        <v>#VALUE!</v>
      </c>
      <c r="EA135" t="e">
        <f>AND('SPR BARRANQUILLA'!FA161,"AAAAAHfG/4I=")</f>
        <v>#VALUE!</v>
      </c>
      <c r="EB135" t="e">
        <f>AND('SPR BARRANQUILLA'!FB161,"AAAAAHfG/4M=")</f>
        <v>#VALUE!</v>
      </c>
      <c r="EC135" t="e">
        <f>AND('SPR BARRANQUILLA'!FC161,"AAAAAHfG/4Q=")</f>
        <v>#VALUE!</v>
      </c>
      <c r="ED135" t="e">
        <f>AND('SPR BARRANQUILLA'!FD161,"AAAAAHfG/4U=")</f>
        <v>#VALUE!</v>
      </c>
      <c r="EE135" t="e">
        <f>AND('SPR BARRANQUILLA'!FE161,"AAAAAHfG/4Y=")</f>
        <v>#VALUE!</v>
      </c>
      <c r="EF135" t="e">
        <f>AND('SPR BARRANQUILLA'!FF161,"AAAAAHfG/4c=")</f>
        <v>#VALUE!</v>
      </c>
      <c r="EG135" t="e">
        <f>AND('SPR BARRANQUILLA'!FG161,"AAAAAHfG/4g=")</f>
        <v>#VALUE!</v>
      </c>
      <c r="EH135" t="e">
        <f>AND('SPR BARRANQUILLA'!FH161,"AAAAAHfG/4k=")</f>
        <v>#VALUE!</v>
      </c>
      <c r="EI135" t="e">
        <f>AND('SPR BARRANQUILLA'!FI161,"AAAAAHfG/4o=")</f>
        <v>#VALUE!</v>
      </c>
      <c r="EJ135" t="e">
        <f>AND('SPR BARRANQUILLA'!FJ161,"AAAAAHfG/4s=")</f>
        <v>#VALUE!</v>
      </c>
      <c r="EK135" t="e">
        <f>AND('SPR BARRANQUILLA'!FK161,"AAAAAHfG/4w=")</f>
        <v>#VALUE!</v>
      </c>
      <c r="EL135" t="e">
        <f>AND('SPR BARRANQUILLA'!FL161,"AAAAAHfG/40=")</f>
        <v>#VALUE!</v>
      </c>
      <c r="EM135" t="e">
        <f>AND('SPR BARRANQUILLA'!FM161,"AAAAAHfG/44=")</f>
        <v>#VALUE!</v>
      </c>
      <c r="EN135" t="e">
        <f>AND('SPR BARRANQUILLA'!FN161,"AAAAAHfG/48=")</f>
        <v>#VALUE!</v>
      </c>
      <c r="EO135" t="e">
        <f>AND('SPR BARRANQUILLA'!FO161,"AAAAAHfG/5A=")</f>
        <v>#VALUE!</v>
      </c>
      <c r="EP135" t="e">
        <f>AND('SPR BARRANQUILLA'!FP161,"AAAAAHfG/5E=")</f>
        <v>#VALUE!</v>
      </c>
      <c r="EQ135" t="e">
        <f>AND('SPR BARRANQUILLA'!FQ161,"AAAAAHfG/5I=")</f>
        <v>#VALUE!</v>
      </c>
      <c r="ER135" t="e">
        <f>AND('SPR BARRANQUILLA'!FR161,"AAAAAHfG/5M=")</f>
        <v>#VALUE!</v>
      </c>
      <c r="ES135" t="e">
        <f>AND('SPR BARRANQUILLA'!FS161,"AAAAAHfG/5Q=")</f>
        <v>#VALUE!</v>
      </c>
      <c r="ET135" t="e">
        <f>AND('SPR BARRANQUILLA'!FT161,"AAAAAHfG/5U=")</f>
        <v>#VALUE!</v>
      </c>
      <c r="EU135" t="e">
        <f>AND('SPR BARRANQUILLA'!FU161,"AAAAAHfG/5Y=")</f>
        <v>#VALUE!</v>
      </c>
      <c r="EV135" t="e">
        <f>AND('SPR BARRANQUILLA'!FV161,"AAAAAHfG/5c=")</f>
        <v>#VALUE!</v>
      </c>
      <c r="EW135" t="e">
        <f>AND('SPR BARRANQUILLA'!FW161,"AAAAAHfG/5g=")</f>
        <v>#VALUE!</v>
      </c>
      <c r="EX135" t="e">
        <f>AND('SPR BARRANQUILLA'!FX161,"AAAAAHfG/5k=")</f>
        <v>#VALUE!</v>
      </c>
      <c r="EY135" t="e">
        <f>AND('SPR BARRANQUILLA'!FY161,"AAAAAHfG/5o=")</f>
        <v>#VALUE!</v>
      </c>
      <c r="EZ135" t="e">
        <f>AND('SPR BARRANQUILLA'!FZ161,"AAAAAHfG/5s=")</f>
        <v>#VALUE!</v>
      </c>
      <c r="FA135" t="e">
        <f>AND('SPR BARRANQUILLA'!GA161,"AAAAAHfG/5w=")</f>
        <v>#VALUE!</v>
      </c>
      <c r="FB135" t="e">
        <f>AND('SPR BARRANQUILLA'!GB161,"AAAAAHfG/50=")</f>
        <v>#VALUE!</v>
      </c>
      <c r="FC135" t="e">
        <f>AND('SPR BARRANQUILLA'!GC161,"AAAAAHfG/54=")</f>
        <v>#VALUE!</v>
      </c>
      <c r="FD135" t="e">
        <f>AND('SPR BARRANQUILLA'!GD161,"AAAAAHfG/58=")</f>
        <v>#VALUE!</v>
      </c>
      <c r="FE135" t="e">
        <f>AND('SPR BARRANQUILLA'!GE161,"AAAAAHfG/6A=")</f>
        <v>#VALUE!</v>
      </c>
      <c r="FF135" t="e">
        <f>AND('SPR BARRANQUILLA'!GF161,"AAAAAHfG/6E=")</f>
        <v>#VALUE!</v>
      </c>
      <c r="FG135" t="e">
        <f>AND('SPR BARRANQUILLA'!GG161,"AAAAAHfG/6I=")</f>
        <v>#VALUE!</v>
      </c>
      <c r="FH135" t="e">
        <f>AND('SPR BARRANQUILLA'!GH161,"AAAAAHfG/6M=")</f>
        <v>#VALUE!</v>
      </c>
      <c r="FI135" t="e">
        <f>AND('SPR BARRANQUILLA'!GI161,"AAAAAHfG/6Q=")</f>
        <v>#VALUE!</v>
      </c>
      <c r="FJ135" t="e">
        <f>AND('SPR BARRANQUILLA'!GJ161,"AAAAAHfG/6U=")</f>
        <v>#VALUE!</v>
      </c>
      <c r="FK135" t="e">
        <f>AND('SPR BARRANQUILLA'!GK161,"AAAAAHfG/6Y=")</f>
        <v>#VALUE!</v>
      </c>
      <c r="FL135" t="e">
        <f>AND('SPR BARRANQUILLA'!GL161,"AAAAAHfG/6c=")</f>
        <v>#VALUE!</v>
      </c>
      <c r="FM135" t="e">
        <f>AND('SPR BARRANQUILLA'!GM161,"AAAAAHfG/6g=")</f>
        <v>#VALUE!</v>
      </c>
      <c r="FN135" t="e">
        <f>AND('SPR BARRANQUILLA'!GN161,"AAAAAHfG/6k=")</f>
        <v>#VALUE!</v>
      </c>
      <c r="FO135" t="e">
        <f>AND('SPR BARRANQUILLA'!GO161,"AAAAAHfG/6o=")</f>
        <v>#VALUE!</v>
      </c>
      <c r="FP135" t="e">
        <f>AND('SPR BARRANQUILLA'!GP161,"AAAAAHfG/6s=")</f>
        <v>#VALUE!</v>
      </c>
      <c r="FQ135" t="e">
        <f>AND('SPR BARRANQUILLA'!GQ161,"AAAAAHfG/6w=")</f>
        <v>#VALUE!</v>
      </c>
      <c r="FR135" t="e">
        <f>AND('SPR BARRANQUILLA'!GR161,"AAAAAHfG/60=")</f>
        <v>#VALUE!</v>
      </c>
      <c r="FS135" t="e">
        <f>AND('SPR BARRANQUILLA'!GS161,"AAAAAHfG/64=")</f>
        <v>#VALUE!</v>
      </c>
      <c r="FT135" t="e">
        <f>AND('SPR BARRANQUILLA'!GT161,"AAAAAHfG/68=")</f>
        <v>#VALUE!</v>
      </c>
      <c r="FU135" t="e">
        <f>AND('SPR BARRANQUILLA'!GU161,"AAAAAHfG/7A=")</f>
        <v>#VALUE!</v>
      </c>
      <c r="FV135" t="e">
        <f>AND('SPR BARRANQUILLA'!GV161,"AAAAAHfG/7E=")</f>
        <v>#VALUE!</v>
      </c>
      <c r="FW135" t="e">
        <f>AND('SPR BARRANQUILLA'!GW161,"AAAAAHfG/7I=")</f>
        <v>#VALUE!</v>
      </c>
      <c r="FX135" t="e">
        <f>AND('SPR BARRANQUILLA'!GX161,"AAAAAHfG/7M=")</f>
        <v>#VALUE!</v>
      </c>
      <c r="FY135" t="e">
        <f>AND('SPR BARRANQUILLA'!GY161,"AAAAAHfG/7Q=")</f>
        <v>#VALUE!</v>
      </c>
      <c r="FZ135">
        <f>IF('SPR BARRANQUILLA'!162:162,"AAAAAHfG/7U=",0)</f>
        <v>0</v>
      </c>
      <c r="GA135" t="e">
        <f>AND('SPR BARRANQUILLA'!A162,"AAAAAHfG/7Y=")</f>
        <v>#VALUE!</v>
      </c>
      <c r="GB135" t="e">
        <f>AND('SPR BARRANQUILLA'!B162,"AAAAAHfG/7c=")</f>
        <v>#VALUE!</v>
      </c>
      <c r="GC135" t="e">
        <f>AND('SPR BARRANQUILLA'!C162,"AAAAAHfG/7g=")</f>
        <v>#VALUE!</v>
      </c>
      <c r="GD135" t="e">
        <f>AND('SPR BARRANQUILLA'!D162,"AAAAAHfG/7k=")</f>
        <v>#VALUE!</v>
      </c>
      <c r="GE135" t="e">
        <f>AND('SPR BARRANQUILLA'!E162,"AAAAAHfG/7o=")</f>
        <v>#VALUE!</v>
      </c>
      <c r="GF135" t="e">
        <f>AND('SPR BARRANQUILLA'!F162,"AAAAAHfG/7s=")</f>
        <v>#VALUE!</v>
      </c>
      <c r="GG135" t="e">
        <f>AND('SPR BARRANQUILLA'!G162,"AAAAAHfG/7w=")</f>
        <v>#VALUE!</v>
      </c>
      <c r="GH135" t="e">
        <f>AND('SPR BARRANQUILLA'!H162,"AAAAAHfG/70=")</f>
        <v>#VALUE!</v>
      </c>
      <c r="GI135" t="e">
        <f>AND('SPR BARRANQUILLA'!I162,"AAAAAHfG/74=")</f>
        <v>#VALUE!</v>
      </c>
      <c r="GJ135" t="e">
        <f>AND('SPR BARRANQUILLA'!J162,"AAAAAHfG/78=")</f>
        <v>#VALUE!</v>
      </c>
      <c r="GK135" t="e">
        <f>AND('SPR BARRANQUILLA'!K162,"AAAAAHfG/8A=")</f>
        <v>#VALUE!</v>
      </c>
      <c r="GL135" t="e">
        <f>AND('SPR BARRANQUILLA'!L162,"AAAAAHfG/8E=")</f>
        <v>#VALUE!</v>
      </c>
      <c r="GM135" t="e">
        <f>AND('SPR BARRANQUILLA'!M162,"AAAAAHfG/8I=")</f>
        <v>#VALUE!</v>
      </c>
      <c r="GN135" t="e">
        <f>AND('SPR BARRANQUILLA'!N162,"AAAAAHfG/8M=")</f>
        <v>#VALUE!</v>
      </c>
      <c r="GO135" t="e">
        <f>AND('SPR BARRANQUILLA'!O162,"AAAAAHfG/8Q=")</f>
        <v>#VALUE!</v>
      </c>
      <c r="GP135" t="e">
        <f>AND('SPR BARRANQUILLA'!P162,"AAAAAHfG/8U=")</f>
        <v>#VALUE!</v>
      </c>
      <c r="GQ135" t="e">
        <f>AND('SPR BARRANQUILLA'!Q162,"AAAAAHfG/8Y=")</f>
        <v>#VALUE!</v>
      </c>
      <c r="GR135" t="e">
        <f>AND('SPR BARRANQUILLA'!R162,"AAAAAHfG/8c=")</f>
        <v>#VALUE!</v>
      </c>
      <c r="GS135" t="e">
        <f>AND('SPR BARRANQUILLA'!S162,"AAAAAHfG/8g=")</f>
        <v>#VALUE!</v>
      </c>
      <c r="GT135" t="e">
        <f>AND('SPR BARRANQUILLA'!T162,"AAAAAHfG/8k=")</f>
        <v>#VALUE!</v>
      </c>
      <c r="GU135" t="e">
        <f>AND('SPR BARRANQUILLA'!U162,"AAAAAHfG/8o=")</f>
        <v>#VALUE!</v>
      </c>
      <c r="GV135" t="e">
        <f>AND('SPR BARRANQUILLA'!V162,"AAAAAHfG/8s=")</f>
        <v>#VALUE!</v>
      </c>
      <c r="GW135" t="e">
        <f>AND('SPR BARRANQUILLA'!W162,"AAAAAHfG/8w=")</f>
        <v>#VALUE!</v>
      </c>
      <c r="GX135" t="e">
        <f>AND('SPR BARRANQUILLA'!X162,"AAAAAHfG/80=")</f>
        <v>#VALUE!</v>
      </c>
      <c r="GY135" t="e">
        <f>AND('SPR BARRANQUILLA'!Y162,"AAAAAHfG/84=")</f>
        <v>#VALUE!</v>
      </c>
      <c r="GZ135" t="e">
        <f>AND('SPR BARRANQUILLA'!Z162,"AAAAAHfG/88=")</f>
        <v>#VALUE!</v>
      </c>
      <c r="HA135" t="e">
        <f>AND('SPR BARRANQUILLA'!AA162,"AAAAAHfG/9A=")</f>
        <v>#VALUE!</v>
      </c>
      <c r="HB135" t="e">
        <f>AND('SPR BARRANQUILLA'!AB162,"AAAAAHfG/9E=")</f>
        <v>#VALUE!</v>
      </c>
      <c r="HC135" t="e">
        <f>AND('SPR BARRANQUILLA'!AC162,"AAAAAHfG/9I=")</f>
        <v>#VALUE!</v>
      </c>
      <c r="HD135" t="e">
        <f>AND('SPR BARRANQUILLA'!AD162,"AAAAAHfG/9M=")</f>
        <v>#VALUE!</v>
      </c>
      <c r="HE135" t="e">
        <f>AND('SPR BARRANQUILLA'!AE162,"AAAAAHfG/9Q=")</f>
        <v>#VALUE!</v>
      </c>
      <c r="HF135" t="e">
        <f>AND('SPR BARRANQUILLA'!AF162,"AAAAAHfG/9U=")</f>
        <v>#VALUE!</v>
      </c>
      <c r="HG135" t="e">
        <f>AND('SPR BARRANQUILLA'!AG162,"AAAAAHfG/9Y=")</f>
        <v>#VALUE!</v>
      </c>
      <c r="HH135" t="e">
        <f>AND('SPR BARRANQUILLA'!AH162,"AAAAAHfG/9c=")</f>
        <v>#VALUE!</v>
      </c>
      <c r="HI135" t="e">
        <f>AND('SPR BARRANQUILLA'!AI162,"AAAAAHfG/9g=")</f>
        <v>#VALUE!</v>
      </c>
      <c r="HJ135" t="e">
        <f>AND('SPR BARRANQUILLA'!AJ162,"AAAAAHfG/9k=")</f>
        <v>#VALUE!</v>
      </c>
      <c r="HK135" t="e">
        <f>AND('SPR BARRANQUILLA'!AK162,"AAAAAHfG/9o=")</f>
        <v>#VALUE!</v>
      </c>
      <c r="HL135" t="e">
        <f>AND('SPR BARRANQUILLA'!AL162,"AAAAAHfG/9s=")</f>
        <v>#VALUE!</v>
      </c>
      <c r="HM135" t="e">
        <f>AND('SPR BARRANQUILLA'!AM162,"AAAAAHfG/9w=")</f>
        <v>#VALUE!</v>
      </c>
      <c r="HN135" t="e">
        <f>AND('SPR BARRANQUILLA'!AN162,"AAAAAHfG/90=")</f>
        <v>#VALUE!</v>
      </c>
      <c r="HO135" t="e">
        <f>AND('SPR BARRANQUILLA'!AO162,"AAAAAHfG/94=")</f>
        <v>#VALUE!</v>
      </c>
      <c r="HP135" t="e">
        <f>AND('SPR BARRANQUILLA'!AP162,"AAAAAHfG/98=")</f>
        <v>#VALUE!</v>
      </c>
      <c r="HQ135" t="e">
        <f>AND('SPR BARRANQUILLA'!AQ162,"AAAAAHfG/+A=")</f>
        <v>#VALUE!</v>
      </c>
      <c r="HR135" t="e">
        <f>AND('SPR BARRANQUILLA'!AR162,"AAAAAHfG/+E=")</f>
        <v>#VALUE!</v>
      </c>
      <c r="HS135" t="e">
        <f>AND('SPR BARRANQUILLA'!AS162,"AAAAAHfG/+I=")</f>
        <v>#VALUE!</v>
      </c>
      <c r="HT135" t="e">
        <f>AND('SPR BARRANQUILLA'!AT162,"AAAAAHfG/+M=")</f>
        <v>#VALUE!</v>
      </c>
      <c r="HU135" t="e">
        <f>AND('SPR BARRANQUILLA'!AU162,"AAAAAHfG/+Q=")</f>
        <v>#VALUE!</v>
      </c>
      <c r="HV135" t="e">
        <f>AND('SPR BARRANQUILLA'!AV162,"AAAAAHfG/+U=")</f>
        <v>#VALUE!</v>
      </c>
      <c r="HW135" t="e">
        <f>AND('SPR BARRANQUILLA'!AW162,"AAAAAHfG/+Y=")</f>
        <v>#VALUE!</v>
      </c>
      <c r="HX135" t="e">
        <f>AND('SPR BARRANQUILLA'!AX162,"AAAAAHfG/+c=")</f>
        <v>#VALUE!</v>
      </c>
      <c r="HY135" t="e">
        <f>AND('SPR BARRANQUILLA'!AY162,"AAAAAHfG/+g=")</f>
        <v>#VALUE!</v>
      </c>
      <c r="HZ135" t="e">
        <f>AND('SPR BARRANQUILLA'!AZ162,"AAAAAHfG/+k=")</f>
        <v>#VALUE!</v>
      </c>
      <c r="IA135" t="e">
        <f>AND('SPR BARRANQUILLA'!BA162,"AAAAAHfG/+o=")</f>
        <v>#VALUE!</v>
      </c>
      <c r="IB135" t="e">
        <f>AND('SPR BARRANQUILLA'!BB162,"AAAAAHfG/+s=")</f>
        <v>#VALUE!</v>
      </c>
      <c r="IC135" t="e">
        <f>AND('SPR BARRANQUILLA'!BC162,"AAAAAHfG/+w=")</f>
        <v>#VALUE!</v>
      </c>
      <c r="ID135" t="e">
        <f>AND('SPR BARRANQUILLA'!BD162,"AAAAAHfG/+0=")</f>
        <v>#VALUE!</v>
      </c>
      <c r="IE135" t="e">
        <f>AND('SPR BARRANQUILLA'!BE162,"AAAAAHfG/+4=")</f>
        <v>#VALUE!</v>
      </c>
      <c r="IF135" t="e">
        <f>AND('SPR BARRANQUILLA'!BF162,"AAAAAHfG/+8=")</f>
        <v>#VALUE!</v>
      </c>
      <c r="IG135" t="e">
        <f>AND('SPR BARRANQUILLA'!BG162,"AAAAAHfG//A=")</f>
        <v>#VALUE!</v>
      </c>
      <c r="IH135" t="e">
        <f>AND('SPR BARRANQUILLA'!BH162,"AAAAAHfG//E=")</f>
        <v>#VALUE!</v>
      </c>
      <c r="II135" t="e">
        <f>AND('SPR BARRANQUILLA'!BI162,"AAAAAHfG//I=")</f>
        <v>#VALUE!</v>
      </c>
      <c r="IJ135" t="e">
        <f>AND('SPR BARRANQUILLA'!BJ162,"AAAAAHfG//M=")</f>
        <v>#VALUE!</v>
      </c>
      <c r="IK135" t="e">
        <f>AND('SPR BARRANQUILLA'!BK162,"AAAAAHfG//Q=")</f>
        <v>#VALUE!</v>
      </c>
      <c r="IL135" t="e">
        <f>AND('SPR BARRANQUILLA'!BL162,"AAAAAHfG//U=")</f>
        <v>#VALUE!</v>
      </c>
      <c r="IM135" t="e">
        <f>AND('SPR BARRANQUILLA'!BM162,"AAAAAHfG//Y=")</f>
        <v>#VALUE!</v>
      </c>
      <c r="IN135" t="e">
        <f>AND('SPR BARRANQUILLA'!BN162,"AAAAAHfG//c=")</f>
        <v>#VALUE!</v>
      </c>
      <c r="IO135" t="e">
        <f>AND('SPR BARRANQUILLA'!BO162,"AAAAAHfG//g=")</f>
        <v>#VALUE!</v>
      </c>
      <c r="IP135" t="e">
        <f>AND('SPR BARRANQUILLA'!BP162,"AAAAAHfG//k=")</f>
        <v>#VALUE!</v>
      </c>
      <c r="IQ135" t="e">
        <f>AND('SPR BARRANQUILLA'!BQ162,"AAAAAHfG//o=")</f>
        <v>#VALUE!</v>
      </c>
      <c r="IR135" t="e">
        <f>AND('SPR BARRANQUILLA'!BR162,"AAAAAHfG//s=")</f>
        <v>#VALUE!</v>
      </c>
      <c r="IS135" t="e">
        <f>AND('SPR BARRANQUILLA'!BS162,"AAAAAHfG//w=")</f>
        <v>#VALUE!</v>
      </c>
      <c r="IT135" t="e">
        <f>AND('SPR BARRANQUILLA'!BT162,"AAAAAHfG//0=")</f>
        <v>#VALUE!</v>
      </c>
      <c r="IU135" t="e">
        <f>AND('SPR BARRANQUILLA'!BU162,"AAAAAHfG//4=")</f>
        <v>#VALUE!</v>
      </c>
      <c r="IV135" t="e">
        <f>AND('SPR BARRANQUILLA'!BV162,"AAAAAHfG//8=")</f>
        <v>#VALUE!</v>
      </c>
    </row>
    <row r="136" spans="1:256">
      <c r="A136" t="e">
        <f>AND('SPR BARRANQUILLA'!BW162,"AAAAAH//vwA=")</f>
        <v>#VALUE!</v>
      </c>
      <c r="B136" t="e">
        <f>AND('SPR BARRANQUILLA'!BX162,"AAAAAH//vwE=")</f>
        <v>#VALUE!</v>
      </c>
      <c r="C136" t="e">
        <f>AND('SPR BARRANQUILLA'!BY162,"AAAAAH//vwI=")</f>
        <v>#VALUE!</v>
      </c>
      <c r="D136" t="e">
        <f>AND('SPR BARRANQUILLA'!BZ162,"AAAAAH//vwM=")</f>
        <v>#VALUE!</v>
      </c>
      <c r="E136" t="e">
        <f>AND('SPR BARRANQUILLA'!CA162,"AAAAAH//vwQ=")</f>
        <v>#VALUE!</v>
      </c>
      <c r="F136" t="e">
        <f>AND('SPR BARRANQUILLA'!CB162,"AAAAAH//vwU=")</f>
        <v>#VALUE!</v>
      </c>
      <c r="G136" t="e">
        <f>AND('SPR BARRANQUILLA'!CC162,"AAAAAH//vwY=")</f>
        <v>#VALUE!</v>
      </c>
      <c r="H136" t="e">
        <f>AND('SPR BARRANQUILLA'!CD162,"AAAAAH//vwc=")</f>
        <v>#VALUE!</v>
      </c>
      <c r="I136" t="e">
        <f>AND('SPR BARRANQUILLA'!CE162,"AAAAAH//vwg=")</f>
        <v>#VALUE!</v>
      </c>
      <c r="J136" t="e">
        <f>AND('SPR BARRANQUILLA'!CF162,"AAAAAH//vwk=")</f>
        <v>#VALUE!</v>
      </c>
      <c r="K136" t="e">
        <f>AND('SPR BARRANQUILLA'!CG162,"AAAAAH//vwo=")</f>
        <v>#VALUE!</v>
      </c>
      <c r="L136" t="e">
        <f>AND('SPR BARRANQUILLA'!CH162,"AAAAAH//vws=")</f>
        <v>#VALUE!</v>
      </c>
      <c r="M136" t="e">
        <f>AND('SPR BARRANQUILLA'!CI162,"AAAAAH//vww=")</f>
        <v>#VALUE!</v>
      </c>
      <c r="N136" t="e">
        <f>AND('SPR BARRANQUILLA'!CJ162,"AAAAAH//vw0=")</f>
        <v>#VALUE!</v>
      </c>
      <c r="O136" t="e">
        <f>AND('SPR BARRANQUILLA'!CK162,"AAAAAH//vw4=")</f>
        <v>#VALUE!</v>
      </c>
      <c r="P136" t="e">
        <f>AND('SPR BARRANQUILLA'!CL162,"AAAAAH//vw8=")</f>
        <v>#VALUE!</v>
      </c>
      <c r="Q136" t="e">
        <f>AND('SPR BARRANQUILLA'!CM162,"AAAAAH//vxA=")</f>
        <v>#VALUE!</v>
      </c>
      <c r="R136" t="e">
        <f>AND('SPR BARRANQUILLA'!CN162,"AAAAAH//vxE=")</f>
        <v>#VALUE!</v>
      </c>
      <c r="S136" t="e">
        <f>AND('SPR BARRANQUILLA'!CO162,"AAAAAH//vxI=")</f>
        <v>#VALUE!</v>
      </c>
      <c r="T136" t="e">
        <f>AND('SPR BARRANQUILLA'!CP162,"AAAAAH//vxM=")</f>
        <v>#VALUE!</v>
      </c>
      <c r="U136" t="e">
        <f>AND('SPR BARRANQUILLA'!CQ162,"AAAAAH//vxQ=")</f>
        <v>#VALUE!</v>
      </c>
      <c r="V136" t="e">
        <f>AND('SPR BARRANQUILLA'!CR162,"AAAAAH//vxU=")</f>
        <v>#VALUE!</v>
      </c>
      <c r="W136" t="e">
        <f>AND('SPR BARRANQUILLA'!CS162,"AAAAAH//vxY=")</f>
        <v>#VALUE!</v>
      </c>
      <c r="X136" t="e">
        <f>AND('SPR BARRANQUILLA'!CT162,"AAAAAH//vxc=")</f>
        <v>#VALUE!</v>
      </c>
      <c r="Y136" t="e">
        <f>AND('SPR BARRANQUILLA'!CU162,"AAAAAH//vxg=")</f>
        <v>#VALUE!</v>
      </c>
      <c r="Z136" t="e">
        <f>AND('SPR BARRANQUILLA'!CV162,"AAAAAH//vxk=")</f>
        <v>#VALUE!</v>
      </c>
      <c r="AA136" t="e">
        <f>AND('SPR BARRANQUILLA'!CW162,"AAAAAH//vxo=")</f>
        <v>#VALUE!</v>
      </c>
      <c r="AB136" t="e">
        <f>AND('SPR BARRANQUILLA'!CX162,"AAAAAH//vxs=")</f>
        <v>#VALUE!</v>
      </c>
      <c r="AC136" t="e">
        <f>AND('SPR BARRANQUILLA'!CY162,"AAAAAH//vxw=")</f>
        <v>#VALUE!</v>
      </c>
      <c r="AD136" t="e">
        <f>AND('SPR BARRANQUILLA'!CZ162,"AAAAAH//vx0=")</f>
        <v>#VALUE!</v>
      </c>
      <c r="AE136" t="e">
        <f>AND('SPR BARRANQUILLA'!DA162,"AAAAAH//vx4=")</f>
        <v>#VALUE!</v>
      </c>
      <c r="AF136" t="e">
        <f>AND('SPR BARRANQUILLA'!DB162,"AAAAAH//vx8=")</f>
        <v>#VALUE!</v>
      </c>
      <c r="AG136" t="e">
        <f>AND('SPR BARRANQUILLA'!DC162,"AAAAAH//vyA=")</f>
        <v>#VALUE!</v>
      </c>
      <c r="AH136" t="e">
        <f>AND('SPR BARRANQUILLA'!DD162,"AAAAAH//vyE=")</f>
        <v>#VALUE!</v>
      </c>
      <c r="AI136" t="e">
        <f>AND('SPR BARRANQUILLA'!DE162,"AAAAAH//vyI=")</f>
        <v>#VALUE!</v>
      </c>
      <c r="AJ136" t="e">
        <f>AND('SPR BARRANQUILLA'!DF162,"AAAAAH//vyM=")</f>
        <v>#VALUE!</v>
      </c>
      <c r="AK136" t="e">
        <f>AND('SPR BARRANQUILLA'!DG162,"AAAAAH//vyQ=")</f>
        <v>#VALUE!</v>
      </c>
      <c r="AL136" t="e">
        <f>AND('SPR BARRANQUILLA'!DH162,"AAAAAH//vyU=")</f>
        <v>#VALUE!</v>
      </c>
      <c r="AM136" t="e">
        <f>AND('SPR BARRANQUILLA'!DI162,"AAAAAH//vyY=")</f>
        <v>#VALUE!</v>
      </c>
      <c r="AN136" t="e">
        <f>AND('SPR BARRANQUILLA'!DJ162,"AAAAAH//vyc=")</f>
        <v>#VALUE!</v>
      </c>
      <c r="AO136" t="e">
        <f>AND('SPR BARRANQUILLA'!DK162,"AAAAAH//vyg=")</f>
        <v>#VALUE!</v>
      </c>
      <c r="AP136" t="e">
        <f>AND('SPR BARRANQUILLA'!DL162,"AAAAAH//vyk=")</f>
        <v>#VALUE!</v>
      </c>
      <c r="AQ136" t="e">
        <f>AND('SPR BARRANQUILLA'!DM162,"AAAAAH//vyo=")</f>
        <v>#VALUE!</v>
      </c>
      <c r="AR136" t="e">
        <f>AND('SPR BARRANQUILLA'!DN162,"AAAAAH//vys=")</f>
        <v>#VALUE!</v>
      </c>
      <c r="AS136" t="e">
        <f>AND('SPR BARRANQUILLA'!DO162,"AAAAAH//vyw=")</f>
        <v>#VALUE!</v>
      </c>
      <c r="AT136" t="e">
        <f>AND('SPR BARRANQUILLA'!DP162,"AAAAAH//vy0=")</f>
        <v>#VALUE!</v>
      </c>
      <c r="AU136" t="e">
        <f>AND('SPR BARRANQUILLA'!DQ162,"AAAAAH//vy4=")</f>
        <v>#VALUE!</v>
      </c>
      <c r="AV136" t="e">
        <f>AND('SPR BARRANQUILLA'!DR162,"AAAAAH//vy8=")</f>
        <v>#VALUE!</v>
      </c>
      <c r="AW136" t="e">
        <f>AND('SPR BARRANQUILLA'!DS162,"AAAAAH//vzA=")</f>
        <v>#VALUE!</v>
      </c>
      <c r="AX136" t="e">
        <f>AND('SPR BARRANQUILLA'!DT162,"AAAAAH//vzE=")</f>
        <v>#VALUE!</v>
      </c>
      <c r="AY136" t="e">
        <f>AND('SPR BARRANQUILLA'!DU162,"AAAAAH//vzI=")</f>
        <v>#VALUE!</v>
      </c>
      <c r="AZ136" t="e">
        <f>AND('SPR BARRANQUILLA'!DV162,"AAAAAH//vzM=")</f>
        <v>#VALUE!</v>
      </c>
      <c r="BA136" t="e">
        <f>AND('SPR BARRANQUILLA'!DW162,"AAAAAH//vzQ=")</f>
        <v>#VALUE!</v>
      </c>
      <c r="BB136" t="e">
        <f>AND('SPR BARRANQUILLA'!DX162,"AAAAAH//vzU=")</f>
        <v>#VALUE!</v>
      </c>
      <c r="BC136" t="e">
        <f>AND('SPR BARRANQUILLA'!DY162,"AAAAAH//vzY=")</f>
        <v>#VALUE!</v>
      </c>
      <c r="BD136" t="e">
        <f>AND('SPR BARRANQUILLA'!DZ162,"AAAAAH//vzc=")</f>
        <v>#VALUE!</v>
      </c>
      <c r="BE136" t="e">
        <f>AND('SPR BARRANQUILLA'!EA162,"AAAAAH//vzg=")</f>
        <v>#VALUE!</v>
      </c>
      <c r="BF136" t="e">
        <f>AND('SPR BARRANQUILLA'!EB162,"AAAAAH//vzk=")</f>
        <v>#VALUE!</v>
      </c>
      <c r="BG136" t="e">
        <f>AND('SPR BARRANQUILLA'!EC162,"AAAAAH//vzo=")</f>
        <v>#VALUE!</v>
      </c>
      <c r="BH136" t="e">
        <f>AND('SPR BARRANQUILLA'!ED162,"AAAAAH//vzs=")</f>
        <v>#VALUE!</v>
      </c>
      <c r="BI136" t="e">
        <f>AND('SPR BARRANQUILLA'!EE162,"AAAAAH//vzw=")</f>
        <v>#VALUE!</v>
      </c>
      <c r="BJ136" t="e">
        <f>AND('SPR BARRANQUILLA'!EF162,"AAAAAH//vz0=")</f>
        <v>#VALUE!</v>
      </c>
      <c r="BK136" t="e">
        <f>AND('SPR BARRANQUILLA'!EG162,"AAAAAH//vz4=")</f>
        <v>#VALUE!</v>
      </c>
      <c r="BL136" t="e">
        <f>AND('SPR BARRANQUILLA'!EH162,"AAAAAH//vz8=")</f>
        <v>#VALUE!</v>
      </c>
      <c r="BM136" t="e">
        <f>AND('SPR BARRANQUILLA'!EI162,"AAAAAH//v0A=")</f>
        <v>#VALUE!</v>
      </c>
      <c r="BN136" t="e">
        <f>AND('SPR BARRANQUILLA'!EJ162,"AAAAAH//v0E=")</f>
        <v>#VALUE!</v>
      </c>
      <c r="BO136" t="e">
        <f>AND('SPR BARRANQUILLA'!EK162,"AAAAAH//v0I=")</f>
        <v>#VALUE!</v>
      </c>
      <c r="BP136" t="e">
        <f>AND('SPR BARRANQUILLA'!EL162,"AAAAAH//v0M=")</f>
        <v>#VALUE!</v>
      </c>
      <c r="BQ136" t="e">
        <f>AND('SPR BARRANQUILLA'!EM162,"AAAAAH//v0Q=")</f>
        <v>#VALUE!</v>
      </c>
      <c r="BR136" t="e">
        <f>AND('SPR BARRANQUILLA'!EN162,"AAAAAH//v0U=")</f>
        <v>#VALUE!</v>
      </c>
      <c r="BS136" t="e">
        <f>AND('SPR BARRANQUILLA'!EO162,"AAAAAH//v0Y=")</f>
        <v>#VALUE!</v>
      </c>
      <c r="BT136" t="e">
        <f>AND('SPR BARRANQUILLA'!EP162,"AAAAAH//v0c=")</f>
        <v>#VALUE!</v>
      </c>
      <c r="BU136" t="e">
        <f>AND('SPR BARRANQUILLA'!EQ162,"AAAAAH//v0g=")</f>
        <v>#VALUE!</v>
      </c>
      <c r="BV136" t="e">
        <f>AND('SPR BARRANQUILLA'!ER162,"AAAAAH//v0k=")</f>
        <v>#VALUE!</v>
      </c>
      <c r="BW136" t="e">
        <f>AND('SPR BARRANQUILLA'!ES162,"AAAAAH//v0o=")</f>
        <v>#VALUE!</v>
      </c>
      <c r="BX136" t="e">
        <f>AND('SPR BARRANQUILLA'!ET162,"AAAAAH//v0s=")</f>
        <v>#VALUE!</v>
      </c>
      <c r="BY136" t="e">
        <f>AND('SPR BARRANQUILLA'!EU162,"AAAAAH//v0w=")</f>
        <v>#VALUE!</v>
      </c>
      <c r="BZ136" t="e">
        <f>AND('SPR BARRANQUILLA'!EV162,"AAAAAH//v00=")</f>
        <v>#VALUE!</v>
      </c>
      <c r="CA136" t="e">
        <f>AND('SPR BARRANQUILLA'!EW162,"AAAAAH//v04=")</f>
        <v>#VALUE!</v>
      </c>
      <c r="CB136" t="e">
        <f>AND('SPR BARRANQUILLA'!EX162,"AAAAAH//v08=")</f>
        <v>#VALUE!</v>
      </c>
      <c r="CC136" t="e">
        <f>AND('SPR BARRANQUILLA'!EY162,"AAAAAH//v1A=")</f>
        <v>#VALUE!</v>
      </c>
      <c r="CD136" t="e">
        <f>AND('SPR BARRANQUILLA'!EZ162,"AAAAAH//v1E=")</f>
        <v>#VALUE!</v>
      </c>
      <c r="CE136" t="e">
        <f>AND('SPR BARRANQUILLA'!FA162,"AAAAAH//v1I=")</f>
        <v>#VALUE!</v>
      </c>
      <c r="CF136" t="e">
        <f>AND('SPR BARRANQUILLA'!FB162,"AAAAAH//v1M=")</f>
        <v>#VALUE!</v>
      </c>
      <c r="CG136" t="e">
        <f>AND('SPR BARRANQUILLA'!FC162,"AAAAAH//v1Q=")</f>
        <v>#VALUE!</v>
      </c>
      <c r="CH136" t="e">
        <f>AND('SPR BARRANQUILLA'!FD162,"AAAAAH//v1U=")</f>
        <v>#VALUE!</v>
      </c>
      <c r="CI136" t="e">
        <f>AND('SPR BARRANQUILLA'!FE162,"AAAAAH//v1Y=")</f>
        <v>#VALUE!</v>
      </c>
      <c r="CJ136" t="e">
        <f>AND('SPR BARRANQUILLA'!FF162,"AAAAAH//v1c=")</f>
        <v>#VALUE!</v>
      </c>
      <c r="CK136" t="e">
        <f>AND('SPR BARRANQUILLA'!FG162,"AAAAAH//v1g=")</f>
        <v>#VALUE!</v>
      </c>
      <c r="CL136" t="e">
        <f>AND('SPR BARRANQUILLA'!FH162,"AAAAAH//v1k=")</f>
        <v>#VALUE!</v>
      </c>
      <c r="CM136" t="e">
        <f>AND('SPR BARRANQUILLA'!FI162,"AAAAAH//v1o=")</f>
        <v>#VALUE!</v>
      </c>
      <c r="CN136" t="e">
        <f>AND('SPR BARRANQUILLA'!FJ162,"AAAAAH//v1s=")</f>
        <v>#VALUE!</v>
      </c>
      <c r="CO136" t="e">
        <f>AND('SPR BARRANQUILLA'!FK162,"AAAAAH//v1w=")</f>
        <v>#VALUE!</v>
      </c>
      <c r="CP136" t="e">
        <f>AND('SPR BARRANQUILLA'!FL162,"AAAAAH//v10=")</f>
        <v>#VALUE!</v>
      </c>
      <c r="CQ136" t="e">
        <f>AND('SPR BARRANQUILLA'!FM162,"AAAAAH//v14=")</f>
        <v>#VALUE!</v>
      </c>
      <c r="CR136" t="e">
        <f>AND('SPR BARRANQUILLA'!FN162,"AAAAAH//v18=")</f>
        <v>#VALUE!</v>
      </c>
      <c r="CS136" t="e">
        <f>AND('SPR BARRANQUILLA'!FO162,"AAAAAH//v2A=")</f>
        <v>#VALUE!</v>
      </c>
      <c r="CT136" t="e">
        <f>AND('SPR BARRANQUILLA'!FP162,"AAAAAH//v2E=")</f>
        <v>#VALUE!</v>
      </c>
      <c r="CU136" t="e">
        <f>AND('SPR BARRANQUILLA'!FQ162,"AAAAAH//v2I=")</f>
        <v>#VALUE!</v>
      </c>
      <c r="CV136" t="e">
        <f>AND('SPR BARRANQUILLA'!FR162,"AAAAAH//v2M=")</f>
        <v>#VALUE!</v>
      </c>
      <c r="CW136" t="e">
        <f>AND('SPR BARRANQUILLA'!FS162,"AAAAAH//v2Q=")</f>
        <v>#VALUE!</v>
      </c>
      <c r="CX136" t="e">
        <f>AND('SPR BARRANQUILLA'!FT162,"AAAAAH//v2U=")</f>
        <v>#VALUE!</v>
      </c>
      <c r="CY136" t="e">
        <f>AND('SPR BARRANQUILLA'!FU162,"AAAAAH//v2Y=")</f>
        <v>#VALUE!</v>
      </c>
      <c r="CZ136" t="e">
        <f>AND('SPR BARRANQUILLA'!FV162,"AAAAAH//v2c=")</f>
        <v>#VALUE!</v>
      </c>
      <c r="DA136" t="e">
        <f>AND('SPR BARRANQUILLA'!FW162,"AAAAAH//v2g=")</f>
        <v>#VALUE!</v>
      </c>
      <c r="DB136" t="e">
        <f>AND('SPR BARRANQUILLA'!FX162,"AAAAAH//v2k=")</f>
        <v>#VALUE!</v>
      </c>
      <c r="DC136" t="e">
        <f>AND('SPR BARRANQUILLA'!FY162,"AAAAAH//v2o=")</f>
        <v>#VALUE!</v>
      </c>
      <c r="DD136" t="e">
        <f>AND('SPR BARRANQUILLA'!FZ162,"AAAAAH//v2s=")</f>
        <v>#VALUE!</v>
      </c>
      <c r="DE136" t="e">
        <f>AND('SPR BARRANQUILLA'!GA162,"AAAAAH//v2w=")</f>
        <v>#VALUE!</v>
      </c>
      <c r="DF136" t="e">
        <f>AND('SPR BARRANQUILLA'!GB162,"AAAAAH//v20=")</f>
        <v>#VALUE!</v>
      </c>
      <c r="DG136" t="e">
        <f>AND('SPR BARRANQUILLA'!GC162,"AAAAAH//v24=")</f>
        <v>#VALUE!</v>
      </c>
      <c r="DH136" t="e">
        <f>AND('SPR BARRANQUILLA'!GD162,"AAAAAH//v28=")</f>
        <v>#VALUE!</v>
      </c>
      <c r="DI136" t="e">
        <f>AND('SPR BARRANQUILLA'!GE162,"AAAAAH//v3A=")</f>
        <v>#VALUE!</v>
      </c>
      <c r="DJ136" t="e">
        <f>AND('SPR BARRANQUILLA'!GF162,"AAAAAH//v3E=")</f>
        <v>#VALUE!</v>
      </c>
      <c r="DK136" t="e">
        <f>AND('SPR BARRANQUILLA'!GG162,"AAAAAH//v3I=")</f>
        <v>#VALUE!</v>
      </c>
      <c r="DL136" t="e">
        <f>AND('SPR BARRANQUILLA'!GH162,"AAAAAH//v3M=")</f>
        <v>#VALUE!</v>
      </c>
      <c r="DM136" t="e">
        <f>AND('SPR BARRANQUILLA'!GI162,"AAAAAH//v3Q=")</f>
        <v>#VALUE!</v>
      </c>
      <c r="DN136" t="e">
        <f>AND('SPR BARRANQUILLA'!GJ162,"AAAAAH//v3U=")</f>
        <v>#VALUE!</v>
      </c>
      <c r="DO136" t="e">
        <f>AND('SPR BARRANQUILLA'!GK162,"AAAAAH//v3Y=")</f>
        <v>#VALUE!</v>
      </c>
      <c r="DP136" t="e">
        <f>AND('SPR BARRANQUILLA'!GL162,"AAAAAH//v3c=")</f>
        <v>#VALUE!</v>
      </c>
      <c r="DQ136" t="e">
        <f>AND('SPR BARRANQUILLA'!GM162,"AAAAAH//v3g=")</f>
        <v>#VALUE!</v>
      </c>
      <c r="DR136" t="e">
        <f>AND('SPR BARRANQUILLA'!GN162,"AAAAAH//v3k=")</f>
        <v>#VALUE!</v>
      </c>
      <c r="DS136" t="e">
        <f>AND('SPR BARRANQUILLA'!GO162,"AAAAAH//v3o=")</f>
        <v>#VALUE!</v>
      </c>
      <c r="DT136" t="e">
        <f>AND('SPR BARRANQUILLA'!GP162,"AAAAAH//v3s=")</f>
        <v>#VALUE!</v>
      </c>
      <c r="DU136" t="e">
        <f>AND('SPR BARRANQUILLA'!GQ162,"AAAAAH//v3w=")</f>
        <v>#VALUE!</v>
      </c>
      <c r="DV136" t="e">
        <f>AND('SPR BARRANQUILLA'!GR162,"AAAAAH//v30=")</f>
        <v>#VALUE!</v>
      </c>
      <c r="DW136" t="e">
        <f>AND('SPR BARRANQUILLA'!GS162,"AAAAAH//v34=")</f>
        <v>#VALUE!</v>
      </c>
      <c r="DX136" t="e">
        <f>AND('SPR BARRANQUILLA'!GT162,"AAAAAH//v38=")</f>
        <v>#VALUE!</v>
      </c>
      <c r="DY136" t="e">
        <f>AND('SPR BARRANQUILLA'!GU162,"AAAAAH//v4A=")</f>
        <v>#VALUE!</v>
      </c>
      <c r="DZ136" t="e">
        <f>AND('SPR BARRANQUILLA'!GV162,"AAAAAH//v4E=")</f>
        <v>#VALUE!</v>
      </c>
      <c r="EA136" t="e">
        <f>AND('SPR BARRANQUILLA'!GW162,"AAAAAH//v4I=")</f>
        <v>#VALUE!</v>
      </c>
      <c r="EB136" t="e">
        <f>AND('SPR BARRANQUILLA'!GX162,"AAAAAH//v4M=")</f>
        <v>#VALUE!</v>
      </c>
      <c r="EC136" t="e">
        <f>AND('SPR BARRANQUILLA'!GY162,"AAAAAH//v4Q=")</f>
        <v>#VALUE!</v>
      </c>
      <c r="ED136">
        <f>IF('SPR BARRANQUILLA'!163:163,"AAAAAH//v4U=",0)</f>
        <v>0</v>
      </c>
      <c r="EE136" t="e">
        <f>AND('SPR BARRANQUILLA'!A163,"AAAAAH//v4Y=")</f>
        <v>#VALUE!</v>
      </c>
      <c r="EF136" t="e">
        <f>AND('SPR BARRANQUILLA'!B163,"AAAAAH//v4c=")</f>
        <v>#VALUE!</v>
      </c>
      <c r="EG136" t="e">
        <f>AND('SPR BARRANQUILLA'!C163,"AAAAAH//v4g=")</f>
        <v>#VALUE!</v>
      </c>
      <c r="EH136" t="e">
        <f>AND('SPR BARRANQUILLA'!D163,"AAAAAH//v4k=")</f>
        <v>#VALUE!</v>
      </c>
      <c r="EI136" t="e">
        <f>AND('SPR BARRANQUILLA'!E163,"AAAAAH//v4o=")</f>
        <v>#VALUE!</v>
      </c>
      <c r="EJ136" t="e">
        <f>AND('SPR BARRANQUILLA'!F163,"AAAAAH//v4s=")</f>
        <v>#VALUE!</v>
      </c>
      <c r="EK136" t="e">
        <f>AND('SPR BARRANQUILLA'!G163,"AAAAAH//v4w=")</f>
        <v>#VALUE!</v>
      </c>
      <c r="EL136" t="e">
        <f>AND('SPR BARRANQUILLA'!H163,"AAAAAH//v40=")</f>
        <v>#VALUE!</v>
      </c>
      <c r="EM136" t="e">
        <f>AND('SPR BARRANQUILLA'!I163,"AAAAAH//v44=")</f>
        <v>#VALUE!</v>
      </c>
      <c r="EN136" t="e">
        <f>AND('SPR BARRANQUILLA'!J163,"AAAAAH//v48=")</f>
        <v>#VALUE!</v>
      </c>
      <c r="EO136" t="e">
        <f>AND('SPR BARRANQUILLA'!K163,"AAAAAH//v5A=")</f>
        <v>#VALUE!</v>
      </c>
      <c r="EP136" t="e">
        <f>AND('SPR BARRANQUILLA'!L163,"AAAAAH//v5E=")</f>
        <v>#VALUE!</v>
      </c>
      <c r="EQ136" t="e">
        <f>AND('SPR BARRANQUILLA'!M163,"AAAAAH//v5I=")</f>
        <v>#VALUE!</v>
      </c>
      <c r="ER136" t="e">
        <f>AND('SPR BARRANQUILLA'!N163,"AAAAAH//v5M=")</f>
        <v>#VALUE!</v>
      </c>
      <c r="ES136" t="e">
        <f>AND('SPR BARRANQUILLA'!O163,"AAAAAH//v5Q=")</f>
        <v>#VALUE!</v>
      </c>
      <c r="ET136" t="e">
        <f>AND('SPR BARRANQUILLA'!P163,"AAAAAH//v5U=")</f>
        <v>#VALUE!</v>
      </c>
      <c r="EU136" t="e">
        <f>AND('SPR BARRANQUILLA'!Q163,"AAAAAH//v5Y=")</f>
        <v>#VALUE!</v>
      </c>
      <c r="EV136" t="e">
        <f>AND('SPR BARRANQUILLA'!R163,"AAAAAH//v5c=")</f>
        <v>#VALUE!</v>
      </c>
      <c r="EW136" t="e">
        <f>AND('SPR BARRANQUILLA'!S163,"AAAAAH//v5g=")</f>
        <v>#VALUE!</v>
      </c>
      <c r="EX136" t="e">
        <f>AND('SPR BARRANQUILLA'!T163,"AAAAAH//v5k=")</f>
        <v>#VALUE!</v>
      </c>
      <c r="EY136" t="e">
        <f>AND('SPR BARRANQUILLA'!U163,"AAAAAH//v5o=")</f>
        <v>#VALUE!</v>
      </c>
      <c r="EZ136" t="e">
        <f>AND('SPR BARRANQUILLA'!V163,"AAAAAH//v5s=")</f>
        <v>#VALUE!</v>
      </c>
      <c r="FA136" t="e">
        <f>AND('SPR BARRANQUILLA'!W163,"AAAAAH//v5w=")</f>
        <v>#VALUE!</v>
      </c>
      <c r="FB136" t="e">
        <f>AND('SPR BARRANQUILLA'!X163,"AAAAAH//v50=")</f>
        <v>#VALUE!</v>
      </c>
      <c r="FC136" t="e">
        <f>AND('SPR BARRANQUILLA'!Y163,"AAAAAH//v54=")</f>
        <v>#VALUE!</v>
      </c>
      <c r="FD136" t="e">
        <f>AND('SPR BARRANQUILLA'!Z163,"AAAAAH//v58=")</f>
        <v>#VALUE!</v>
      </c>
      <c r="FE136" t="e">
        <f>AND('SPR BARRANQUILLA'!AA163,"AAAAAH//v6A=")</f>
        <v>#VALUE!</v>
      </c>
      <c r="FF136" t="e">
        <f>AND('SPR BARRANQUILLA'!AB163,"AAAAAH//v6E=")</f>
        <v>#VALUE!</v>
      </c>
      <c r="FG136" t="e">
        <f>AND('SPR BARRANQUILLA'!AC163,"AAAAAH//v6I=")</f>
        <v>#VALUE!</v>
      </c>
      <c r="FH136" t="e">
        <f>AND('SPR BARRANQUILLA'!AD163,"AAAAAH//v6M=")</f>
        <v>#VALUE!</v>
      </c>
      <c r="FI136" t="e">
        <f>AND('SPR BARRANQUILLA'!AE163,"AAAAAH//v6Q=")</f>
        <v>#VALUE!</v>
      </c>
      <c r="FJ136" t="e">
        <f>AND('SPR BARRANQUILLA'!AF163,"AAAAAH//v6U=")</f>
        <v>#VALUE!</v>
      </c>
      <c r="FK136" t="e">
        <f>AND('SPR BARRANQUILLA'!AG163,"AAAAAH//v6Y=")</f>
        <v>#VALUE!</v>
      </c>
      <c r="FL136" t="e">
        <f>AND('SPR BARRANQUILLA'!AH163,"AAAAAH//v6c=")</f>
        <v>#VALUE!</v>
      </c>
      <c r="FM136" t="e">
        <f>AND('SPR BARRANQUILLA'!AI163,"AAAAAH//v6g=")</f>
        <v>#VALUE!</v>
      </c>
      <c r="FN136" t="e">
        <f>AND('SPR BARRANQUILLA'!AJ163,"AAAAAH//v6k=")</f>
        <v>#VALUE!</v>
      </c>
      <c r="FO136" t="e">
        <f>AND('SPR BARRANQUILLA'!AK163,"AAAAAH//v6o=")</f>
        <v>#VALUE!</v>
      </c>
      <c r="FP136" t="e">
        <f>AND('SPR BARRANQUILLA'!AL163,"AAAAAH//v6s=")</f>
        <v>#VALUE!</v>
      </c>
      <c r="FQ136" t="e">
        <f>AND('SPR BARRANQUILLA'!AM163,"AAAAAH//v6w=")</f>
        <v>#VALUE!</v>
      </c>
      <c r="FR136" t="e">
        <f>AND('SPR BARRANQUILLA'!AN163,"AAAAAH//v60=")</f>
        <v>#VALUE!</v>
      </c>
      <c r="FS136" t="e">
        <f>AND('SPR BARRANQUILLA'!AO163,"AAAAAH//v64=")</f>
        <v>#VALUE!</v>
      </c>
      <c r="FT136" t="e">
        <f>AND('SPR BARRANQUILLA'!AP163,"AAAAAH//v68=")</f>
        <v>#VALUE!</v>
      </c>
      <c r="FU136" t="e">
        <f>AND('SPR BARRANQUILLA'!AQ163,"AAAAAH//v7A=")</f>
        <v>#VALUE!</v>
      </c>
      <c r="FV136" t="e">
        <f>AND('SPR BARRANQUILLA'!AR163,"AAAAAH//v7E=")</f>
        <v>#VALUE!</v>
      </c>
      <c r="FW136" t="e">
        <f>AND('SPR BARRANQUILLA'!AS163,"AAAAAH//v7I=")</f>
        <v>#VALUE!</v>
      </c>
      <c r="FX136" t="e">
        <f>AND('SPR BARRANQUILLA'!AT163,"AAAAAH//v7M=")</f>
        <v>#VALUE!</v>
      </c>
      <c r="FY136" t="e">
        <f>AND('SPR BARRANQUILLA'!AU163,"AAAAAH//v7Q=")</f>
        <v>#VALUE!</v>
      </c>
      <c r="FZ136" t="e">
        <f>AND('SPR BARRANQUILLA'!AV163,"AAAAAH//v7U=")</f>
        <v>#VALUE!</v>
      </c>
      <c r="GA136" t="e">
        <f>AND('SPR BARRANQUILLA'!AW163,"AAAAAH//v7Y=")</f>
        <v>#VALUE!</v>
      </c>
      <c r="GB136" t="e">
        <f>AND('SPR BARRANQUILLA'!AX163,"AAAAAH//v7c=")</f>
        <v>#VALUE!</v>
      </c>
      <c r="GC136" t="e">
        <f>AND('SPR BARRANQUILLA'!AY163,"AAAAAH//v7g=")</f>
        <v>#VALUE!</v>
      </c>
      <c r="GD136" t="e">
        <f>AND('SPR BARRANQUILLA'!AZ163,"AAAAAH//v7k=")</f>
        <v>#VALUE!</v>
      </c>
      <c r="GE136" t="e">
        <f>AND('SPR BARRANQUILLA'!BA163,"AAAAAH//v7o=")</f>
        <v>#VALUE!</v>
      </c>
      <c r="GF136" t="e">
        <f>AND('SPR BARRANQUILLA'!BB163,"AAAAAH//v7s=")</f>
        <v>#VALUE!</v>
      </c>
      <c r="GG136" t="e">
        <f>AND('SPR BARRANQUILLA'!BC163,"AAAAAH//v7w=")</f>
        <v>#VALUE!</v>
      </c>
      <c r="GH136" t="e">
        <f>AND('SPR BARRANQUILLA'!BD163,"AAAAAH//v70=")</f>
        <v>#VALUE!</v>
      </c>
      <c r="GI136" t="e">
        <f>AND('SPR BARRANQUILLA'!BE163,"AAAAAH//v74=")</f>
        <v>#VALUE!</v>
      </c>
      <c r="GJ136" t="e">
        <f>AND('SPR BARRANQUILLA'!BF163,"AAAAAH//v78=")</f>
        <v>#VALUE!</v>
      </c>
      <c r="GK136" t="e">
        <f>AND('SPR BARRANQUILLA'!BG163,"AAAAAH//v8A=")</f>
        <v>#VALUE!</v>
      </c>
      <c r="GL136" t="e">
        <f>AND('SPR BARRANQUILLA'!BH163,"AAAAAH//v8E=")</f>
        <v>#VALUE!</v>
      </c>
      <c r="GM136" t="e">
        <f>AND('SPR BARRANQUILLA'!BI163,"AAAAAH//v8I=")</f>
        <v>#VALUE!</v>
      </c>
      <c r="GN136" t="e">
        <f>AND('SPR BARRANQUILLA'!BJ163,"AAAAAH//v8M=")</f>
        <v>#VALUE!</v>
      </c>
      <c r="GO136" t="e">
        <f>AND('SPR BARRANQUILLA'!BK163,"AAAAAH//v8Q=")</f>
        <v>#VALUE!</v>
      </c>
      <c r="GP136" t="e">
        <f>AND('SPR BARRANQUILLA'!BL163,"AAAAAH//v8U=")</f>
        <v>#VALUE!</v>
      </c>
      <c r="GQ136" t="e">
        <f>AND('SPR BARRANQUILLA'!BM163,"AAAAAH//v8Y=")</f>
        <v>#VALUE!</v>
      </c>
      <c r="GR136" t="e">
        <f>AND('SPR BARRANQUILLA'!BN163,"AAAAAH//v8c=")</f>
        <v>#VALUE!</v>
      </c>
      <c r="GS136" t="e">
        <f>AND('SPR BARRANQUILLA'!BO163,"AAAAAH//v8g=")</f>
        <v>#VALUE!</v>
      </c>
      <c r="GT136" t="e">
        <f>AND('SPR BARRANQUILLA'!BP163,"AAAAAH//v8k=")</f>
        <v>#VALUE!</v>
      </c>
      <c r="GU136" t="e">
        <f>AND('SPR BARRANQUILLA'!BQ163,"AAAAAH//v8o=")</f>
        <v>#VALUE!</v>
      </c>
      <c r="GV136" t="e">
        <f>AND('SPR BARRANQUILLA'!BR163,"AAAAAH//v8s=")</f>
        <v>#VALUE!</v>
      </c>
      <c r="GW136" t="e">
        <f>AND('SPR BARRANQUILLA'!BS163,"AAAAAH//v8w=")</f>
        <v>#VALUE!</v>
      </c>
      <c r="GX136" t="e">
        <f>AND('SPR BARRANQUILLA'!BT163,"AAAAAH//v80=")</f>
        <v>#VALUE!</v>
      </c>
      <c r="GY136" t="e">
        <f>AND('SPR BARRANQUILLA'!BU163,"AAAAAH//v84=")</f>
        <v>#VALUE!</v>
      </c>
      <c r="GZ136" t="e">
        <f>AND('SPR BARRANQUILLA'!BV163,"AAAAAH//v88=")</f>
        <v>#VALUE!</v>
      </c>
      <c r="HA136" t="e">
        <f>AND('SPR BARRANQUILLA'!BW163,"AAAAAH//v9A=")</f>
        <v>#VALUE!</v>
      </c>
      <c r="HB136" t="e">
        <f>AND('SPR BARRANQUILLA'!BX163,"AAAAAH//v9E=")</f>
        <v>#VALUE!</v>
      </c>
      <c r="HC136" t="e">
        <f>AND('SPR BARRANQUILLA'!BY163,"AAAAAH//v9I=")</f>
        <v>#VALUE!</v>
      </c>
      <c r="HD136" t="e">
        <f>AND('SPR BARRANQUILLA'!BZ163,"AAAAAH//v9M=")</f>
        <v>#VALUE!</v>
      </c>
      <c r="HE136" t="e">
        <f>AND('SPR BARRANQUILLA'!CA163,"AAAAAH//v9Q=")</f>
        <v>#VALUE!</v>
      </c>
      <c r="HF136" t="e">
        <f>AND('SPR BARRANQUILLA'!CB163,"AAAAAH//v9U=")</f>
        <v>#VALUE!</v>
      </c>
      <c r="HG136" t="e">
        <f>AND('SPR BARRANQUILLA'!CC163,"AAAAAH//v9Y=")</f>
        <v>#VALUE!</v>
      </c>
      <c r="HH136" t="e">
        <f>AND('SPR BARRANQUILLA'!CD163,"AAAAAH//v9c=")</f>
        <v>#VALUE!</v>
      </c>
      <c r="HI136" t="e">
        <f>AND('SPR BARRANQUILLA'!CE163,"AAAAAH//v9g=")</f>
        <v>#VALUE!</v>
      </c>
      <c r="HJ136" t="e">
        <f>AND('SPR BARRANQUILLA'!CF163,"AAAAAH//v9k=")</f>
        <v>#VALUE!</v>
      </c>
      <c r="HK136" t="e">
        <f>AND('SPR BARRANQUILLA'!CG163,"AAAAAH//v9o=")</f>
        <v>#VALUE!</v>
      </c>
      <c r="HL136" t="e">
        <f>AND('SPR BARRANQUILLA'!CH163,"AAAAAH//v9s=")</f>
        <v>#VALUE!</v>
      </c>
      <c r="HM136" t="e">
        <f>AND('SPR BARRANQUILLA'!CI163,"AAAAAH//v9w=")</f>
        <v>#VALUE!</v>
      </c>
      <c r="HN136" t="e">
        <f>AND('SPR BARRANQUILLA'!CJ163,"AAAAAH//v90=")</f>
        <v>#VALUE!</v>
      </c>
      <c r="HO136" t="e">
        <f>AND('SPR BARRANQUILLA'!CK163,"AAAAAH//v94=")</f>
        <v>#VALUE!</v>
      </c>
      <c r="HP136" t="e">
        <f>AND('SPR BARRANQUILLA'!CL163,"AAAAAH//v98=")</f>
        <v>#VALUE!</v>
      </c>
      <c r="HQ136" t="e">
        <f>AND('SPR BARRANQUILLA'!CM163,"AAAAAH//v+A=")</f>
        <v>#VALUE!</v>
      </c>
      <c r="HR136" t="e">
        <f>AND('SPR BARRANQUILLA'!CN163,"AAAAAH//v+E=")</f>
        <v>#VALUE!</v>
      </c>
      <c r="HS136" t="e">
        <f>AND('SPR BARRANQUILLA'!CO163,"AAAAAH//v+I=")</f>
        <v>#VALUE!</v>
      </c>
      <c r="HT136" t="e">
        <f>AND('SPR BARRANQUILLA'!CP163,"AAAAAH//v+M=")</f>
        <v>#VALUE!</v>
      </c>
      <c r="HU136" t="e">
        <f>AND('SPR BARRANQUILLA'!CQ163,"AAAAAH//v+Q=")</f>
        <v>#VALUE!</v>
      </c>
      <c r="HV136" t="e">
        <f>AND('SPR BARRANQUILLA'!CR163,"AAAAAH//v+U=")</f>
        <v>#VALUE!</v>
      </c>
      <c r="HW136" t="e">
        <f>AND('SPR BARRANQUILLA'!CS163,"AAAAAH//v+Y=")</f>
        <v>#VALUE!</v>
      </c>
      <c r="HX136" t="e">
        <f>AND('SPR BARRANQUILLA'!CT163,"AAAAAH//v+c=")</f>
        <v>#VALUE!</v>
      </c>
      <c r="HY136" t="e">
        <f>AND('SPR BARRANQUILLA'!CU163,"AAAAAH//v+g=")</f>
        <v>#VALUE!</v>
      </c>
      <c r="HZ136" t="e">
        <f>AND('SPR BARRANQUILLA'!CV163,"AAAAAH//v+k=")</f>
        <v>#VALUE!</v>
      </c>
      <c r="IA136" t="e">
        <f>AND('SPR BARRANQUILLA'!CW163,"AAAAAH//v+o=")</f>
        <v>#VALUE!</v>
      </c>
      <c r="IB136" t="e">
        <f>AND('SPR BARRANQUILLA'!CX163,"AAAAAH//v+s=")</f>
        <v>#VALUE!</v>
      </c>
      <c r="IC136" t="e">
        <f>AND('SPR BARRANQUILLA'!CY163,"AAAAAH//v+w=")</f>
        <v>#VALUE!</v>
      </c>
      <c r="ID136" t="e">
        <f>AND('SPR BARRANQUILLA'!CZ163,"AAAAAH//v+0=")</f>
        <v>#VALUE!</v>
      </c>
      <c r="IE136" t="e">
        <f>AND('SPR BARRANQUILLA'!DA163,"AAAAAH//v+4=")</f>
        <v>#VALUE!</v>
      </c>
      <c r="IF136" t="e">
        <f>AND('SPR BARRANQUILLA'!DB163,"AAAAAH//v+8=")</f>
        <v>#VALUE!</v>
      </c>
      <c r="IG136" t="e">
        <f>AND('SPR BARRANQUILLA'!DC163,"AAAAAH//v/A=")</f>
        <v>#VALUE!</v>
      </c>
      <c r="IH136" t="e">
        <f>AND('SPR BARRANQUILLA'!DD163,"AAAAAH//v/E=")</f>
        <v>#VALUE!</v>
      </c>
      <c r="II136" t="e">
        <f>AND('SPR BARRANQUILLA'!DE163,"AAAAAH//v/I=")</f>
        <v>#VALUE!</v>
      </c>
      <c r="IJ136" t="e">
        <f>AND('SPR BARRANQUILLA'!DF163,"AAAAAH//v/M=")</f>
        <v>#VALUE!</v>
      </c>
      <c r="IK136" t="e">
        <f>AND('SPR BARRANQUILLA'!DG163,"AAAAAH//v/Q=")</f>
        <v>#VALUE!</v>
      </c>
      <c r="IL136" t="e">
        <f>AND('SPR BARRANQUILLA'!DH163,"AAAAAH//v/U=")</f>
        <v>#VALUE!</v>
      </c>
      <c r="IM136" t="e">
        <f>AND('SPR BARRANQUILLA'!DI163,"AAAAAH//v/Y=")</f>
        <v>#VALUE!</v>
      </c>
      <c r="IN136" t="e">
        <f>AND('SPR BARRANQUILLA'!DJ163,"AAAAAH//v/c=")</f>
        <v>#VALUE!</v>
      </c>
      <c r="IO136" t="e">
        <f>AND('SPR BARRANQUILLA'!DK163,"AAAAAH//v/g=")</f>
        <v>#VALUE!</v>
      </c>
      <c r="IP136" t="e">
        <f>AND('SPR BARRANQUILLA'!DL163,"AAAAAH//v/k=")</f>
        <v>#VALUE!</v>
      </c>
      <c r="IQ136" t="e">
        <f>AND('SPR BARRANQUILLA'!DM163,"AAAAAH//v/o=")</f>
        <v>#VALUE!</v>
      </c>
      <c r="IR136" t="e">
        <f>AND('SPR BARRANQUILLA'!DN163,"AAAAAH//v/s=")</f>
        <v>#VALUE!</v>
      </c>
      <c r="IS136" t="e">
        <f>AND('SPR BARRANQUILLA'!DO163,"AAAAAH//v/w=")</f>
        <v>#VALUE!</v>
      </c>
      <c r="IT136" t="e">
        <f>AND('SPR BARRANQUILLA'!DP163,"AAAAAH//v/0=")</f>
        <v>#VALUE!</v>
      </c>
      <c r="IU136" t="e">
        <f>AND('SPR BARRANQUILLA'!DQ163,"AAAAAH//v/4=")</f>
        <v>#VALUE!</v>
      </c>
      <c r="IV136" t="e">
        <f>AND('SPR BARRANQUILLA'!DR163,"AAAAAH//v/8=")</f>
        <v>#VALUE!</v>
      </c>
    </row>
    <row r="137" spans="1:256">
      <c r="A137" t="e">
        <f>AND('SPR BARRANQUILLA'!DS163,"AAAAAAf+XAA=")</f>
        <v>#VALUE!</v>
      </c>
      <c r="B137" t="e">
        <f>AND('SPR BARRANQUILLA'!DT163,"AAAAAAf+XAE=")</f>
        <v>#VALUE!</v>
      </c>
      <c r="C137" t="e">
        <f>AND('SPR BARRANQUILLA'!DU163,"AAAAAAf+XAI=")</f>
        <v>#VALUE!</v>
      </c>
      <c r="D137" t="e">
        <f>AND('SPR BARRANQUILLA'!DV163,"AAAAAAf+XAM=")</f>
        <v>#VALUE!</v>
      </c>
      <c r="E137" t="e">
        <f>AND('SPR BARRANQUILLA'!DW163,"AAAAAAf+XAQ=")</f>
        <v>#VALUE!</v>
      </c>
      <c r="F137" t="e">
        <f>AND('SPR BARRANQUILLA'!DX163,"AAAAAAf+XAU=")</f>
        <v>#VALUE!</v>
      </c>
      <c r="G137" t="e">
        <f>AND('SPR BARRANQUILLA'!DY163,"AAAAAAf+XAY=")</f>
        <v>#VALUE!</v>
      </c>
      <c r="H137" t="e">
        <f>AND('SPR BARRANQUILLA'!DZ163,"AAAAAAf+XAc=")</f>
        <v>#VALUE!</v>
      </c>
      <c r="I137" t="e">
        <f>AND('SPR BARRANQUILLA'!EA163,"AAAAAAf+XAg=")</f>
        <v>#VALUE!</v>
      </c>
      <c r="J137" t="e">
        <f>AND('SPR BARRANQUILLA'!EB163,"AAAAAAf+XAk=")</f>
        <v>#VALUE!</v>
      </c>
      <c r="K137" t="e">
        <f>AND('SPR BARRANQUILLA'!EC163,"AAAAAAf+XAo=")</f>
        <v>#VALUE!</v>
      </c>
      <c r="L137" t="e">
        <f>AND('SPR BARRANQUILLA'!ED163,"AAAAAAf+XAs=")</f>
        <v>#VALUE!</v>
      </c>
      <c r="M137" t="e">
        <f>AND('SPR BARRANQUILLA'!EE163,"AAAAAAf+XAw=")</f>
        <v>#VALUE!</v>
      </c>
      <c r="N137" t="e">
        <f>AND('SPR BARRANQUILLA'!EF163,"AAAAAAf+XA0=")</f>
        <v>#VALUE!</v>
      </c>
      <c r="O137" t="e">
        <f>AND('SPR BARRANQUILLA'!EG163,"AAAAAAf+XA4=")</f>
        <v>#VALUE!</v>
      </c>
      <c r="P137" t="e">
        <f>AND('SPR BARRANQUILLA'!EH163,"AAAAAAf+XA8=")</f>
        <v>#VALUE!</v>
      </c>
      <c r="Q137" t="e">
        <f>AND('SPR BARRANQUILLA'!EI163,"AAAAAAf+XBA=")</f>
        <v>#VALUE!</v>
      </c>
      <c r="R137" t="e">
        <f>AND('SPR BARRANQUILLA'!EJ163,"AAAAAAf+XBE=")</f>
        <v>#VALUE!</v>
      </c>
      <c r="S137" t="e">
        <f>AND('SPR BARRANQUILLA'!EK163,"AAAAAAf+XBI=")</f>
        <v>#VALUE!</v>
      </c>
      <c r="T137" t="e">
        <f>AND('SPR BARRANQUILLA'!EL163,"AAAAAAf+XBM=")</f>
        <v>#VALUE!</v>
      </c>
      <c r="U137" t="e">
        <f>AND('SPR BARRANQUILLA'!EM163,"AAAAAAf+XBQ=")</f>
        <v>#VALUE!</v>
      </c>
      <c r="V137" t="e">
        <f>AND('SPR BARRANQUILLA'!EN163,"AAAAAAf+XBU=")</f>
        <v>#VALUE!</v>
      </c>
      <c r="W137" t="e">
        <f>AND('SPR BARRANQUILLA'!EO163,"AAAAAAf+XBY=")</f>
        <v>#VALUE!</v>
      </c>
      <c r="X137" t="e">
        <f>AND('SPR BARRANQUILLA'!EP163,"AAAAAAf+XBc=")</f>
        <v>#VALUE!</v>
      </c>
      <c r="Y137" t="e">
        <f>AND('SPR BARRANQUILLA'!EQ163,"AAAAAAf+XBg=")</f>
        <v>#VALUE!</v>
      </c>
      <c r="Z137" t="e">
        <f>AND('SPR BARRANQUILLA'!ER163,"AAAAAAf+XBk=")</f>
        <v>#VALUE!</v>
      </c>
      <c r="AA137" t="e">
        <f>AND('SPR BARRANQUILLA'!ES163,"AAAAAAf+XBo=")</f>
        <v>#VALUE!</v>
      </c>
      <c r="AB137" t="e">
        <f>AND('SPR BARRANQUILLA'!ET163,"AAAAAAf+XBs=")</f>
        <v>#VALUE!</v>
      </c>
      <c r="AC137" t="e">
        <f>AND('SPR BARRANQUILLA'!EU163,"AAAAAAf+XBw=")</f>
        <v>#VALUE!</v>
      </c>
      <c r="AD137" t="e">
        <f>AND('SPR BARRANQUILLA'!EV163,"AAAAAAf+XB0=")</f>
        <v>#VALUE!</v>
      </c>
      <c r="AE137" t="e">
        <f>AND('SPR BARRANQUILLA'!EW163,"AAAAAAf+XB4=")</f>
        <v>#VALUE!</v>
      </c>
      <c r="AF137" t="e">
        <f>AND('SPR BARRANQUILLA'!EX163,"AAAAAAf+XB8=")</f>
        <v>#VALUE!</v>
      </c>
      <c r="AG137" t="e">
        <f>AND('SPR BARRANQUILLA'!EY163,"AAAAAAf+XCA=")</f>
        <v>#VALUE!</v>
      </c>
      <c r="AH137" t="e">
        <f>AND('SPR BARRANQUILLA'!EZ163,"AAAAAAf+XCE=")</f>
        <v>#VALUE!</v>
      </c>
      <c r="AI137" t="e">
        <f>AND('SPR BARRANQUILLA'!FA163,"AAAAAAf+XCI=")</f>
        <v>#VALUE!</v>
      </c>
      <c r="AJ137" t="e">
        <f>AND('SPR BARRANQUILLA'!FB163,"AAAAAAf+XCM=")</f>
        <v>#VALUE!</v>
      </c>
      <c r="AK137" t="e">
        <f>AND('SPR BARRANQUILLA'!FC163,"AAAAAAf+XCQ=")</f>
        <v>#VALUE!</v>
      </c>
      <c r="AL137" t="e">
        <f>AND('SPR BARRANQUILLA'!FD163,"AAAAAAf+XCU=")</f>
        <v>#VALUE!</v>
      </c>
      <c r="AM137" t="e">
        <f>AND('SPR BARRANQUILLA'!FE163,"AAAAAAf+XCY=")</f>
        <v>#VALUE!</v>
      </c>
      <c r="AN137" t="e">
        <f>AND('SPR BARRANQUILLA'!FF163,"AAAAAAf+XCc=")</f>
        <v>#VALUE!</v>
      </c>
      <c r="AO137" t="e">
        <f>AND('SPR BARRANQUILLA'!FG163,"AAAAAAf+XCg=")</f>
        <v>#VALUE!</v>
      </c>
      <c r="AP137" t="e">
        <f>AND('SPR BARRANQUILLA'!FH163,"AAAAAAf+XCk=")</f>
        <v>#VALUE!</v>
      </c>
      <c r="AQ137" t="e">
        <f>AND('SPR BARRANQUILLA'!FI163,"AAAAAAf+XCo=")</f>
        <v>#VALUE!</v>
      </c>
      <c r="AR137" t="e">
        <f>AND('SPR BARRANQUILLA'!FJ163,"AAAAAAf+XCs=")</f>
        <v>#VALUE!</v>
      </c>
      <c r="AS137" t="e">
        <f>AND('SPR BARRANQUILLA'!FK163,"AAAAAAf+XCw=")</f>
        <v>#VALUE!</v>
      </c>
      <c r="AT137" t="e">
        <f>AND('SPR BARRANQUILLA'!FL163,"AAAAAAf+XC0=")</f>
        <v>#VALUE!</v>
      </c>
      <c r="AU137" t="e">
        <f>AND('SPR BARRANQUILLA'!FM163,"AAAAAAf+XC4=")</f>
        <v>#VALUE!</v>
      </c>
      <c r="AV137" t="e">
        <f>AND('SPR BARRANQUILLA'!FN163,"AAAAAAf+XC8=")</f>
        <v>#VALUE!</v>
      </c>
      <c r="AW137" t="e">
        <f>AND('SPR BARRANQUILLA'!FO163,"AAAAAAf+XDA=")</f>
        <v>#VALUE!</v>
      </c>
      <c r="AX137" t="e">
        <f>AND('SPR BARRANQUILLA'!FP163,"AAAAAAf+XDE=")</f>
        <v>#VALUE!</v>
      </c>
      <c r="AY137" t="e">
        <f>AND('SPR BARRANQUILLA'!FQ163,"AAAAAAf+XDI=")</f>
        <v>#VALUE!</v>
      </c>
      <c r="AZ137" t="e">
        <f>AND('SPR BARRANQUILLA'!FR163,"AAAAAAf+XDM=")</f>
        <v>#VALUE!</v>
      </c>
      <c r="BA137" t="e">
        <f>AND('SPR BARRANQUILLA'!FS163,"AAAAAAf+XDQ=")</f>
        <v>#VALUE!</v>
      </c>
      <c r="BB137" t="e">
        <f>AND('SPR BARRANQUILLA'!FT163,"AAAAAAf+XDU=")</f>
        <v>#VALUE!</v>
      </c>
      <c r="BC137" t="e">
        <f>AND('SPR BARRANQUILLA'!FU163,"AAAAAAf+XDY=")</f>
        <v>#VALUE!</v>
      </c>
      <c r="BD137" t="e">
        <f>AND('SPR BARRANQUILLA'!FV163,"AAAAAAf+XDc=")</f>
        <v>#VALUE!</v>
      </c>
      <c r="BE137" t="e">
        <f>AND('SPR BARRANQUILLA'!FW163,"AAAAAAf+XDg=")</f>
        <v>#VALUE!</v>
      </c>
      <c r="BF137" t="e">
        <f>AND('SPR BARRANQUILLA'!FX163,"AAAAAAf+XDk=")</f>
        <v>#VALUE!</v>
      </c>
      <c r="BG137" t="e">
        <f>AND('SPR BARRANQUILLA'!FY163,"AAAAAAf+XDo=")</f>
        <v>#VALUE!</v>
      </c>
      <c r="BH137" t="e">
        <f>AND('SPR BARRANQUILLA'!FZ163,"AAAAAAf+XDs=")</f>
        <v>#VALUE!</v>
      </c>
      <c r="BI137" t="e">
        <f>AND('SPR BARRANQUILLA'!GA163,"AAAAAAf+XDw=")</f>
        <v>#VALUE!</v>
      </c>
      <c r="BJ137" t="e">
        <f>AND('SPR BARRANQUILLA'!GB163,"AAAAAAf+XD0=")</f>
        <v>#VALUE!</v>
      </c>
      <c r="BK137" t="e">
        <f>AND('SPR BARRANQUILLA'!GC163,"AAAAAAf+XD4=")</f>
        <v>#VALUE!</v>
      </c>
      <c r="BL137" t="e">
        <f>AND('SPR BARRANQUILLA'!GD163,"AAAAAAf+XD8=")</f>
        <v>#VALUE!</v>
      </c>
      <c r="BM137" t="e">
        <f>AND('SPR BARRANQUILLA'!GE163,"AAAAAAf+XEA=")</f>
        <v>#VALUE!</v>
      </c>
      <c r="BN137" t="e">
        <f>AND('SPR BARRANQUILLA'!GF163,"AAAAAAf+XEE=")</f>
        <v>#VALUE!</v>
      </c>
      <c r="BO137" t="e">
        <f>AND('SPR BARRANQUILLA'!GG163,"AAAAAAf+XEI=")</f>
        <v>#VALUE!</v>
      </c>
      <c r="BP137" t="e">
        <f>AND('SPR BARRANQUILLA'!GH163,"AAAAAAf+XEM=")</f>
        <v>#VALUE!</v>
      </c>
      <c r="BQ137" t="e">
        <f>AND('SPR BARRANQUILLA'!GI163,"AAAAAAf+XEQ=")</f>
        <v>#VALUE!</v>
      </c>
      <c r="BR137" t="e">
        <f>AND('SPR BARRANQUILLA'!GJ163,"AAAAAAf+XEU=")</f>
        <v>#VALUE!</v>
      </c>
      <c r="BS137" t="e">
        <f>AND('SPR BARRANQUILLA'!GK163,"AAAAAAf+XEY=")</f>
        <v>#VALUE!</v>
      </c>
      <c r="BT137" t="e">
        <f>AND('SPR BARRANQUILLA'!GL163,"AAAAAAf+XEc=")</f>
        <v>#VALUE!</v>
      </c>
      <c r="BU137" t="e">
        <f>AND('SPR BARRANQUILLA'!GM163,"AAAAAAf+XEg=")</f>
        <v>#VALUE!</v>
      </c>
      <c r="BV137" t="e">
        <f>AND('SPR BARRANQUILLA'!GN163,"AAAAAAf+XEk=")</f>
        <v>#VALUE!</v>
      </c>
      <c r="BW137" t="e">
        <f>AND('SPR BARRANQUILLA'!GO163,"AAAAAAf+XEo=")</f>
        <v>#VALUE!</v>
      </c>
      <c r="BX137" t="e">
        <f>AND('SPR BARRANQUILLA'!GP163,"AAAAAAf+XEs=")</f>
        <v>#VALUE!</v>
      </c>
      <c r="BY137" t="e">
        <f>AND('SPR BARRANQUILLA'!GQ163,"AAAAAAf+XEw=")</f>
        <v>#VALUE!</v>
      </c>
      <c r="BZ137" t="e">
        <f>AND('SPR BARRANQUILLA'!GR163,"AAAAAAf+XE0=")</f>
        <v>#VALUE!</v>
      </c>
      <c r="CA137" t="e">
        <f>AND('SPR BARRANQUILLA'!GS163,"AAAAAAf+XE4=")</f>
        <v>#VALUE!</v>
      </c>
      <c r="CB137" t="e">
        <f>AND('SPR BARRANQUILLA'!GT163,"AAAAAAf+XE8=")</f>
        <v>#VALUE!</v>
      </c>
      <c r="CC137" t="e">
        <f>AND('SPR BARRANQUILLA'!GU163,"AAAAAAf+XFA=")</f>
        <v>#VALUE!</v>
      </c>
      <c r="CD137" t="e">
        <f>AND('SPR BARRANQUILLA'!GV163,"AAAAAAf+XFE=")</f>
        <v>#VALUE!</v>
      </c>
      <c r="CE137" t="e">
        <f>AND('SPR BARRANQUILLA'!GW163,"AAAAAAf+XFI=")</f>
        <v>#VALUE!</v>
      </c>
      <c r="CF137" t="e">
        <f>AND('SPR BARRANQUILLA'!GX163,"AAAAAAf+XFM=")</f>
        <v>#VALUE!</v>
      </c>
      <c r="CG137" t="e">
        <f>AND('SPR BARRANQUILLA'!GY163,"AAAAAAf+XFQ=")</f>
        <v>#VALUE!</v>
      </c>
      <c r="CH137">
        <f>IF('SPR BARRANQUILLA'!164:164,"AAAAAAf+XFU=",0)</f>
        <v>0</v>
      </c>
      <c r="CI137" t="e">
        <f>AND('SPR BARRANQUILLA'!A164,"AAAAAAf+XFY=")</f>
        <v>#VALUE!</v>
      </c>
      <c r="CJ137" t="e">
        <f>AND('SPR BARRANQUILLA'!B164,"AAAAAAf+XFc=")</f>
        <v>#VALUE!</v>
      </c>
      <c r="CK137" t="e">
        <f>AND('SPR BARRANQUILLA'!C164,"AAAAAAf+XFg=")</f>
        <v>#VALUE!</v>
      </c>
      <c r="CL137" t="e">
        <f>AND('SPR BARRANQUILLA'!D164,"AAAAAAf+XFk=")</f>
        <v>#VALUE!</v>
      </c>
      <c r="CM137" t="e">
        <f>AND('SPR BARRANQUILLA'!E164,"AAAAAAf+XFo=")</f>
        <v>#VALUE!</v>
      </c>
      <c r="CN137" t="e">
        <f>AND('SPR BARRANQUILLA'!F164,"AAAAAAf+XFs=")</f>
        <v>#VALUE!</v>
      </c>
      <c r="CO137" t="e">
        <f>AND('SPR BARRANQUILLA'!G164,"AAAAAAf+XFw=")</f>
        <v>#VALUE!</v>
      </c>
      <c r="CP137" t="e">
        <f>AND('SPR BARRANQUILLA'!H164,"AAAAAAf+XF0=")</f>
        <v>#VALUE!</v>
      </c>
      <c r="CQ137" t="e">
        <f>AND('SPR BARRANQUILLA'!I164,"AAAAAAf+XF4=")</f>
        <v>#VALUE!</v>
      </c>
      <c r="CR137" t="e">
        <f>AND('SPR BARRANQUILLA'!J164,"AAAAAAf+XF8=")</f>
        <v>#VALUE!</v>
      </c>
      <c r="CS137" t="e">
        <f>AND('SPR BARRANQUILLA'!K164,"AAAAAAf+XGA=")</f>
        <v>#VALUE!</v>
      </c>
      <c r="CT137" t="e">
        <f>AND('SPR BARRANQUILLA'!L164,"AAAAAAf+XGE=")</f>
        <v>#VALUE!</v>
      </c>
      <c r="CU137" t="e">
        <f>AND('SPR BARRANQUILLA'!M164,"AAAAAAf+XGI=")</f>
        <v>#VALUE!</v>
      </c>
      <c r="CV137" t="e">
        <f>AND('SPR BARRANQUILLA'!N164,"AAAAAAf+XGM=")</f>
        <v>#VALUE!</v>
      </c>
      <c r="CW137" t="e">
        <f>AND('SPR BARRANQUILLA'!O164,"AAAAAAf+XGQ=")</f>
        <v>#VALUE!</v>
      </c>
      <c r="CX137" t="e">
        <f>AND('SPR BARRANQUILLA'!P164,"AAAAAAf+XGU=")</f>
        <v>#VALUE!</v>
      </c>
      <c r="CY137" t="e">
        <f>AND('SPR BARRANQUILLA'!Q164,"AAAAAAf+XGY=")</f>
        <v>#VALUE!</v>
      </c>
      <c r="CZ137" t="e">
        <f>AND('SPR BARRANQUILLA'!R164,"AAAAAAf+XGc=")</f>
        <v>#VALUE!</v>
      </c>
      <c r="DA137" t="e">
        <f>AND('SPR BARRANQUILLA'!S164,"AAAAAAf+XGg=")</f>
        <v>#VALUE!</v>
      </c>
      <c r="DB137" t="e">
        <f>AND('SPR BARRANQUILLA'!T164,"AAAAAAf+XGk=")</f>
        <v>#VALUE!</v>
      </c>
      <c r="DC137" t="e">
        <f>AND('SPR BARRANQUILLA'!U164,"AAAAAAf+XGo=")</f>
        <v>#VALUE!</v>
      </c>
      <c r="DD137" t="e">
        <f>AND('SPR BARRANQUILLA'!V164,"AAAAAAf+XGs=")</f>
        <v>#VALUE!</v>
      </c>
      <c r="DE137" t="e">
        <f>AND('SPR BARRANQUILLA'!W164,"AAAAAAf+XGw=")</f>
        <v>#VALUE!</v>
      </c>
      <c r="DF137" t="e">
        <f>AND('SPR BARRANQUILLA'!X164,"AAAAAAf+XG0=")</f>
        <v>#VALUE!</v>
      </c>
      <c r="DG137" t="e">
        <f>AND('SPR BARRANQUILLA'!Y164,"AAAAAAf+XG4=")</f>
        <v>#VALUE!</v>
      </c>
      <c r="DH137" t="e">
        <f>AND('SPR BARRANQUILLA'!Z164,"AAAAAAf+XG8=")</f>
        <v>#VALUE!</v>
      </c>
      <c r="DI137" t="e">
        <f>AND('SPR BARRANQUILLA'!AA164,"AAAAAAf+XHA=")</f>
        <v>#VALUE!</v>
      </c>
      <c r="DJ137" t="e">
        <f>AND('SPR BARRANQUILLA'!AB164,"AAAAAAf+XHE=")</f>
        <v>#VALUE!</v>
      </c>
      <c r="DK137" t="e">
        <f>AND('SPR BARRANQUILLA'!AC164,"AAAAAAf+XHI=")</f>
        <v>#VALUE!</v>
      </c>
      <c r="DL137" t="e">
        <f>AND('SPR BARRANQUILLA'!AD164,"AAAAAAf+XHM=")</f>
        <v>#VALUE!</v>
      </c>
      <c r="DM137" t="e">
        <f>AND('SPR BARRANQUILLA'!AE164,"AAAAAAf+XHQ=")</f>
        <v>#VALUE!</v>
      </c>
      <c r="DN137" t="e">
        <f>AND('SPR BARRANQUILLA'!AF164,"AAAAAAf+XHU=")</f>
        <v>#VALUE!</v>
      </c>
      <c r="DO137" t="e">
        <f>AND('SPR BARRANQUILLA'!AG164,"AAAAAAf+XHY=")</f>
        <v>#VALUE!</v>
      </c>
      <c r="DP137" t="e">
        <f>AND('SPR BARRANQUILLA'!AH164,"AAAAAAf+XHc=")</f>
        <v>#VALUE!</v>
      </c>
      <c r="DQ137" t="e">
        <f>AND('SPR BARRANQUILLA'!AI164,"AAAAAAf+XHg=")</f>
        <v>#VALUE!</v>
      </c>
      <c r="DR137" t="e">
        <f>AND('SPR BARRANQUILLA'!AJ164,"AAAAAAf+XHk=")</f>
        <v>#VALUE!</v>
      </c>
      <c r="DS137" t="e">
        <f>AND('SPR BARRANQUILLA'!AK164,"AAAAAAf+XHo=")</f>
        <v>#VALUE!</v>
      </c>
      <c r="DT137" t="e">
        <f>AND('SPR BARRANQUILLA'!AL164,"AAAAAAf+XHs=")</f>
        <v>#VALUE!</v>
      </c>
      <c r="DU137" t="e">
        <f>AND('SPR BARRANQUILLA'!AM164,"AAAAAAf+XHw=")</f>
        <v>#VALUE!</v>
      </c>
      <c r="DV137" t="e">
        <f>AND('SPR BARRANQUILLA'!AN164,"AAAAAAf+XH0=")</f>
        <v>#VALUE!</v>
      </c>
      <c r="DW137" t="e">
        <f>AND('SPR BARRANQUILLA'!AO164,"AAAAAAf+XH4=")</f>
        <v>#VALUE!</v>
      </c>
      <c r="DX137" t="e">
        <f>AND('SPR BARRANQUILLA'!AP164,"AAAAAAf+XH8=")</f>
        <v>#VALUE!</v>
      </c>
      <c r="DY137" t="e">
        <f>AND('SPR BARRANQUILLA'!AQ164,"AAAAAAf+XIA=")</f>
        <v>#VALUE!</v>
      </c>
      <c r="DZ137" t="e">
        <f>AND('SPR BARRANQUILLA'!AR164,"AAAAAAf+XIE=")</f>
        <v>#VALUE!</v>
      </c>
      <c r="EA137" t="e">
        <f>AND('SPR BARRANQUILLA'!AS164,"AAAAAAf+XII=")</f>
        <v>#VALUE!</v>
      </c>
      <c r="EB137" t="e">
        <f>AND('SPR BARRANQUILLA'!AT164,"AAAAAAf+XIM=")</f>
        <v>#VALUE!</v>
      </c>
      <c r="EC137" t="e">
        <f>AND('SPR BARRANQUILLA'!AU164,"AAAAAAf+XIQ=")</f>
        <v>#VALUE!</v>
      </c>
      <c r="ED137" t="e">
        <f>AND('SPR BARRANQUILLA'!AV164,"AAAAAAf+XIU=")</f>
        <v>#VALUE!</v>
      </c>
      <c r="EE137" t="e">
        <f>AND('SPR BARRANQUILLA'!AW164,"AAAAAAf+XIY=")</f>
        <v>#VALUE!</v>
      </c>
      <c r="EF137" t="e">
        <f>AND('SPR BARRANQUILLA'!AX164,"AAAAAAf+XIc=")</f>
        <v>#VALUE!</v>
      </c>
      <c r="EG137" t="e">
        <f>AND('SPR BARRANQUILLA'!AY164,"AAAAAAf+XIg=")</f>
        <v>#VALUE!</v>
      </c>
      <c r="EH137" t="e">
        <f>AND('SPR BARRANQUILLA'!AZ164,"AAAAAAf+XIk=")</f>
        <v>#VALUE!</v>
      </c>
      <c r="EI137" t="e">
        <f>AND('SPR BARRANQUILLA'!BA164,"AAAAAAf+XIo=")</f>
        <v>#VALUE!</v>
      </c>
      <c r="EJ137" t="e">
        <f>AND('SPR BARRANQUILLA'!BB164,"AAAAAAf+XIs=")</f>
        <v>#VALUE!</v>
      </c>
      <c r="EK137" t="e">
        <f>AND('SPR BARRANQUILLA'!BC164,"AAAAAAf+XIw=")</f>
        <v>#VALUE!</v>
      </c>
      <c r="EL137" t="e">
        <f>AND('SPR BARRANQUILLA'!BD164,"AAAAAAf+XI0=")</f>
        <v>#VALUE!</v>
      </c>
      <c r="EM137" t="e">
        <f>AND('SPR BARRANQUILLA'!BE164,"AAAAAAf+XI4=")</f>
        <v>#VALUE!</v>
      </c>
      <c r="EN137" t="e">
        <f>AND('SPR BARRANQUILLA'!BF164,"AAAAAAf+XI8=")</f>
        <v>#VALUE!</v>
      </c>
      <c r="EO137" t="e">
        <f>AND('SPR BARRANQUILLA'!BG164,"AAAAAAf+XJA=")</f>
        <v>#VALUE!</v>
      </c>
      <c r="EP137" t="e">
        <f>AND('SPR BARRANQUILLA'!BH164,"AAAAAAf+XJE=")</f>
        <v>#VALUE!</v>
      </c>
      <c r="EQ137" t="e">
        <f>AND('SPR BARRANQUILLA'!BI164,"AAAAAAf+XJI=")</f>
        <v>#VALUE!</v>
      </c>
      <c r="ER137" t="e">
        <f>AND('SPR BARRANQUILLA'!BJ164,"AAAAAAf+XJM=")</f>
        <v>#VALUE!</v>
      </c>
      <c r="ES137" t="e">
        <f>AND('SPR BARRANQUILLA'!BK164,"AAAAAAf+XJQ=")</f>
        <v>#VALUE!</v>
      </c>
      <c r="ET137" t="e">
        <f>AND('SPR BARRANQUILLA'!BL164,"AAAAAAf+XJU=")</f>
        <v>#VALUE!</v>
      </c>
      <c r="EU137" t="e">
        <f>AND('SPR BARRANQUILLA'!BM164,"AAAAAAf+XJY=")</f>
        <v>#VALUE!</v>
      </c>
      <c r="EV137" t="e">
        <f>AND('SPR BARRANQUILLA'!BN164,"AAAAAAf+XJc=")</f>
        <v>#VALUE!</v>
      </c>
      <c r="EW137" t="e">
        <f>AND('SPR BARRANQUILLA'!BO164,"AAAAAAf+XJg=")</f>
        <v>#VALUE!</v>
      </c>
      <c r="EX137" t="e">
        <f>AND('SPR BARRANQUILLA'!BP164,"AAAAAAf+XJk=")</f>
        <v>#VALUE!</v>
      </c>
      <c r="EY137" t="e">
        <f>AND('SPR BARRANQUILLA'!BQ164,"AAAAAAf+XJo=")</f>
        <v>#VALUE!</v>
      </c>
      <c r="EZ137" t="e">
        <f>AND('SPR BARRANQUILLA'!BR164,"AAAAAAf+XJs=")</f>
        <v>#VALUE!</v>
      </c>
      <c r="FA137" t="e">
        <f>AND('SPR BARRANQUILLA'!BS164,"AAAAAAf+XJw=")</f>
        <v>#VALUE!</v>
      </c>
      <c r="FB137" t="e">
        <f>AND('SPR BARRANQUILLA'!BT164,"AAAAAAf+XJ0=")</f>
        <v>#VALUE!</v>
      </c>
      <c r="FC137" t="e">
        <f>AND('SPR BARRANQUILLA'!BU164,"AAAAAAf+XJ4=")</f>
        <v>#VALUE!</v>
      </c>
      <c r="FD137" t="e">
        <f>AND('SPR BARRANQUILLA'!BV164,"AAAAAAf+XJ8=")</f>
        <v>#VALUE!</v>
      </c>
      <c r="FE137" t="e">
        <f>AND('SPR BARRANQUILLA'!BW164,"AAAAAAf+XKA=")</f>
        <v>#VALUE!</v>
      </c>
      <c r="FF137" t="e">
        <f>AND('SPR BARRANQUILLA'!BX164,"AAAAAAf+XKE=")</f>
        <v>#VALUE!</v>
      </c>
      <c r="FG137" t="e">
        <f>AND('SPR BARRANQUILLA'!BY164,"AAAAAAf+XKI=")</f>
        <v>#VALUE!</v>
      </c>
      <c r="FH137" t="e">
        <f>AND('SPR BARRANQUILLA'!BZ164,"AAAAAAf+XKM=")</f>
        <v>#VALUE!</v>
      </c>
      <c r="FI137" t="e">
        <f>AND('SPR BARRANQUILLA'!CA164,"AAAAAAf+XKQ=")</f>
        <v>#VALUE!</v>
      </c>
      <c r="FJ137" t="e">
        <f>AND('SPR BARRANQUILLA'!CB164,"AAAAAAf+XKU=")</f>
        <v>#VALUE!</v>
      </c>
      <c r="FK137" t="e">
        <f>AND('SPR BARRANQUILLA'!CC164,"AAAAAAf+XKY=")</f>
        <v>#VALUE!</v>
      </c>
      <c r="FL137" t="e">
        <f>AND('SPR BARRANQUILLA'!CD164,"AAAAAAf+XKc=")</f>
        <v>#VALUE!</v>
      </c>
      <c r="FM137" t="e">
        <f>AND('SPR BARRANQUILLA'!CE164,"AAAAAAf+XKg=")</f>
        <v>#VALUE!</v>
      </c>
      <c r="FN137" t="e">
        <f>AND('SPR BARRANQUILLA'!CF164,"AAAAAAf+XKk=")</f>
        <v>#VALUE!</v>
      </c>
      <c r="FO137" t="e">
        <f>AND('SPR BARRANQUILLA'!CG164,"AAAAAAf+XKo=")</f>
        <v>#VALUE!</v>
      </c>
      <c r="FP137" t="e">
        <f>AND('SPR BARRANQUILLA'!CH164,"AAAAAAf+XKs=")</f>
        <v>#VALUE!</v>
      </c>
      <c r="FQ137" t="e">
        <f>AND('SPR BARRANQUILLA'!CI164,"AAAAAAf+XKw=")</f>
        <v>#VALUE!</v>
      </c>
      <c r="FR137" t="e">
        <f>AND('SPR BARRANQUILLA'!CJ164,"AAAAAAf+XK0=")</f>
        <v>#VALUE!</v>
      </c>
      <c r="FS137" t="e">
        <f>AND('SPR BARRANQUILLA'!CK164,"AAAAAAf+XK4=")</f>
        <v>#VALUE!</v>
      </c>
      <c r="FT137" t="e">
        <f>AND('SPR BARRANQUILLA'!CL164,"AAAAAAf+XK8=")</f>
        <v>#VALUE!</v>
      </c>
      <c r="FU137" t="e">
        <f>AND('SPR BARRANQUILLA'!CM164,"AAAAAAf+XLA=")</f>
        <v>#VALUE!</v>
      </c>
      <c r="FV137" t="e">
        <f>AND('SPR BARRANQUILLA'!CN164,"AAAAAAf+XLE=")</f>
        <v>#VALUE!</v>
      </c>
      <c r="FW137" t="e">
        <f>AND('SPR BARRANQUILLA'!CO164,"AAAAAAf+XLI=")</f>
        <v>#VALUE!</v>
      </c>
      <c r="FX137" t="e">
        <f>AND('SPR BARRANQUILLA'!CP164,"AAAAAAf+XLM=")</f>
        <v>#VALUE!</v>
      </c>
      <c r="FY137" t="e">
        <f>AND('SPR BARRANQUILLA'!CQ164,"AAAAAAf+XLQ=")</f>
        <v>#VALUE!</v>
      </c>
      <c r="FZ137" t="e">
        <f>AND('SPR BARRANQUILLA'!CR164,"AAAAAAf+XLU=")</f>
        <v>#VALUE!</v>
      </c>
      <c r="GA137" t="e">
        <f>AND('SPR BARRANQUILLA'!CS164,"AAAAAAf+XLY=")</f>
        <v>#VALUE!</v>
      </c>
      <c r="GB137" t="e">
        <f>AND('SPR BARRANQUILLA'!CT164,"AAAAAAf+XLc=")</f>
        <v>#VALUE!</v>
      </c>
      <c r="GC137" t="e">
        <f>AND('SPR BARRANQUILLA'!CU164,"AAAAAAf+XLg=")</f>
        <v>#VALUE!</v>
      </c>
      <c r="GD137" t="e">
        <f>AND('SPR BARRANQUILLA'!CV164,"AAAAAAf+XLk=")</f>
        <v>#VALUE!</v>
      </c>
      <c r="GE137" t="e">
        <f>AND('SPR BARRANQUILLA'!CW164,"AAAAAAf+XLo=")</f>
        <v>#VALUE!</v>
      </c>
      <c r="GF137" t="e">
        <f>AND('SPR BARRANQUILLA'!CX164,"AAAAAAf+XLs=")</f>
        <v>#VALUE!</v>
      </c>
      <c r="GG137" t="e">
        <f>AND('SPR BARRANQUILLA'!CY164,"AAAAAAf+XLw=")</f>
        <v>#VALUE!</v>
      </c>
      <c r="GH137" t="e">
        <f>AND('SPR BARRANQUILLA'!CZ164,"AAAAAAf+XL0=")</f>
        <v>#VALUE!</v>
      </c>
      <c r="GI137" t="e">
        <f>AND('SPR BARRANQUILLA'!DA164,"AAAAAAf+XL4=")</f>
        <v>#VALUE!</v>
      </c>
      <c r="GJ137" t="e">
        <f>AND('SPR BARRANQUILLA'!DB164,"AAAAAAf+XL8=")</f>
        <v>#VALUE!</v>
      </c>
      <c r="GK137" t="e">
        <f>AND('SPR BARRANQUILLA'!DC164,"AAAAAAf+XMA=")</f>
        <v>#VALUE!</v>
      </c>
      <c r="GL137" t="e">
        <f>AND('SPR BARRANQUILLA'!DD164,"AAAAAAf+XME=")</f>
        <v>#VALUE!</v>
      </c>
      <c r="GM137" t="e">
        <f>AND('SPR BARRANQUILLA'!DE164,"AAAAAAf+XMI=")</f>
        <v>#VALUE!</v>
      </c>
      <c r="GN137" t="e">
        <f>AND('SPR BARRANQUILLA'!DF164,"AAAAAAf+XMM=")</f>
        <v>#VALUE!</v>
      </c>
      <c r="GO137" t="e">
        <f>AND('SPR BARRANQUILLA'!DG164,"AAAAAAf+XMQ=")</f>
        <v>#VALUE!</v>
      </c>
      <c r="GP137" t="e">
        <f>AND('SPR BARRANQUILLA'!DH164,"AAAAAAf+XMU=")</f>
        <v>#VALUE!</v>
      </c>
      <c r="GQ137" t="e">
        <f>AND('SPR BARRANQUILLA'!DI164,"AAAAAAf+XMY=")</f>
        <v>#VALUE!</v>
      </c>
      <c r="GR137" t="e">
        <f>AND('SPR BARRANQUILLA'!DJ164,"AAAAAAf+XMc=")</f>
        <v>#VALUE!</v>
      </c>
      <c r="GS137" t="e">
        <f>AND('SPR BARRANQUILLA'!DK164,"AAAAAAf+XMg=")</f>
        <v>#VALUE!</v>
      </c>
      <c r="GT137" t="e">
        <f>AND('SPR BARRANQUILLA'!DL164,"AAAAAAf+XMk=")</f>
        <v>#VALUE!</v>
      </c>
      <c r="GU137" t="e">
        <f>AND('SPR BARRANQUILLA'!DM164,"AAAAAAf+XMo=")</f>
        <v>#VALUE!</v>
      </c>
      <c r="GV137" t="e">
        <f>AND('SPR BARRANQUILLA'!DN164,"AAAAAAf+XMs=")</f>
        <v>#VALUE!</v>
      </c>
      <c r="GW137" t="e">
        <f>AND('SPR BARRANQUILLA'!DO164,"AAAAAAf+XMw=")</f>
        <v>#VALUE!</v>
      </c>
      <c r="GX137" t="e">
        <f>AND('SPR BARRANQUILLA'!DP164,"AAAAAAf+XM0=")</f>
        <v>#VALUE!</v>
      </c>
      <c r="GY137" t="e">
        <f>AND('SPR BARRANQUILLA'!DQ164,"AAAAAAf+XM4=")</f>
        <v>#VALUE!</v>
      </c>
      <c r="GZ137" t="e">
        <f>AND('SPR BARRANQUILLA'!DR164,"AAAAAAf+XM8=")</f>
        <v>#VALUE!</v>
      </c>
      <c r="HA137" t="e">
        <f>AND('SPR BARRANQUILLA'!DS164,"AAAAAAf+XNA=")</f>
        <v>#VALUE!</v>
      </c>
      <c r="HB137" t="e">
        <f>AND('SPR BARRANQUILLA'!DT164,"AAAAAAf+XNE=")</f>
        <v>#VALUE!</v>
      </c>
      <c r="HC137" t="e">
        <f>AND('SPR BARRANQUILLA'!DU164,"AAAAAAf+XNI=")</f>
        <v>#VALUE!</v>
      </c>
      <c r="HD137" t="e">
        <f>AND('SPR BARRANQUILLA'!DV164,"AAAAAAf+XNM=")</f>
        <v>#VALUE!</v>
      </c>
      <c r="HE137" t="e">
        <f>AND('SPR BARRANQUILLA'!DW164,"AAAAAAf+XNQ=")</f>
        <v>#VALUE!</v>
      </c>
      <c r="HF137" t="e">
        <f>AND('SPR BARRANQUILLA'!DX164,"AAAAAAf+XNU=")</f>
        <v>#VALUE!</v>
      </c>
      <c r="HG137" t="e">
        <f>AND('SPR BARRANQUILLA'!DY164,"AAAAAAf+XNY=")</f>
        <v>#VALUE!</v>
      </c>
      <c r="HH137" t="e">
        <f>AND('SPR BARRANQUILLA'!DZ164,"AAAAAAf+XNc=")</f>
        <v>#VALUE!</v>
      </c>
      <c r="HI137" t="e">
        <f>AND('SPR BARRANQUILLA'!EA164,"AAAAAAf+XNg=")</f>
        <v>#VALUE!</v>
      </c>
      <c r="HJ137" t="e">
        <f>AND('SPR BARRANQUILLA'!EB164,"AAAAAAf+XNk=")</f>
        <v>#VALUE!</v>
      </c>
      <c r="HK137" t="e">
        <f>AND('SPR BARRANQUILLA'!EC164,"AAAAAAf+XNo=")</f>
        <v>#VALUE!</v>
      </c>
      <c r="HL137" t="e">
        <f>AND('SPR BARRANQUILLA'!ED164,"AAAAAAf+XNs=")</f>
        <v>#VALUE!</v>
      </c>
      <c r="HM137" t="e">
        <f>AND('SPR BARRANQUILLA'!EE164,"AAAAAAf+XNw=")</f>
        <v>#VALUE!</v>
      </c>
      <c r="HN137" t="e">
        <f>AND('SPR BARRANQUILLA'!EF164,"AAAAAAf+XN0=")</f>
        <v>#VALUE!</v>
      </c>
      <c r="HO137" t="e">
        <f>AND('SPR BARRANQUILLA'!EG164,"AAAAAAf+XN4=")</f>
        <v>#VALUE!</v>
      </c>
      <c r="HP137" t="e">
        <f>AND('SPR BARRANQUILLA'!EH164,"AAAAAAf+XN8=")</f>
        <v>#VALUE!</v>
      </c>
      <c r="HQ137" t="e">
        <f>AND('SPR BARRANQUILLA'!EI164,"AAAAAAf+XOA=")</f>
        <v>#VALUE!</v>
      </c>
      <c r="HR137" t="e">
        <f>AND('SPR BARRANQUILLA'!EJ164,"AAAAAAf+XOE=")</f>
        <v>#VALUE!</v>
      </c>
      <c r="HS137" t="e">
        <f>AND('SPR BARRANQUILLA'!EK164,"AAAAAAf+XOI=")</f>
        <v>#VALUE!</v>
      </c>
      <c r="HT137" t="e">
        <f>AND('SPR BARRANQUILLA'!EL164,"AAAAAAf+XOM=")</f>
        <v>#VALUE!</v>
      </c>
      <c r="HU137" t="e">
        <f>AND('SPR BARRANQUILLA'!EM164,"AAAAAAf+XOQ=")</f>
        <v>#VALUE!</v>
      </c>
      <c r="HV137" t="e">
        <f>AND('SPR BARRANQUILLA'!EN164,"AAAAAAf+XOU=")</f>
        <v>#VALUE!</v>
      </c>
      <c r="HW137" t="e">
        <f>AND('SPR BARRANQUILLA'!EO164,"AAAAAAf+XOY=")</f>
        <v>#VALUE!</v>
      </c>
      <c r="HX137" t="e">
        <f>AND('SPR BARRANQUILLA'!EP164,"AAAAAAf+XOc=")</f>
        <v>#VALUE!</v>
      </c>
      <c r="HY137" t="e">
        <f>AND('SPR BARRANQUILLA'!EQ164,"AAAAAAf+XOg=")</f>
        <v>#VALUE!</v>
      </c>
      <c r="HZ137" t="e">
        <f>AND('SPR BARRANQUILLA'!ER164,"AAAAAAf+XOk=")</f>
        <v>#VALUE!</v>
      </c>
      <c r="IA137" t="e">
        <f>AND('SPR BARRANQUILLA'!ES164,"AAAAAAf+XOo=")</f>
        <v>#VALUE!</v>
      </c>
      <c r="IB137" t="e">
        <f>AND('SPR BARRANQUILLA'!ET164,"AAAAAAf+XOs=")</f>
        <v>#VALUE!</v>
      </c>
      <c r="IC137" t="e">
        <f>AND('SPR BARRANQUILLA'!EU164,"AAAAAAf+XOw=")</f>
        <v>#VALUE!</v>
      </c>
      <c r="ID137" t="e">
        <f>AND('SPR BARRANQUILLA'!EV164,"AAAAAAf+XO0=")</f>
        <v>#VALUE!</v>
      </c>
      <c r="IE137" t="e">
        <f>AND('SPR BARRANQUILLA'!EW164,"AAAAAAf+XO4=")</f>
        <v>#VALUE!</v>
      </c>
      <c r="IF137" t="e">
        <f>AND('SPR BARRANQUILLA'!EX164,"AAAAAAf+XO8=")</f>
        <v>#VALUE!</v>
      </c>
      <c r="IG137" t="e">
        <f>AND('SPR BARRANQUILLA'!EY164,"AAAAAAf+XPA=")</f>
        <v>#VALUE!</v>
      </c>
      <c r="IH137" t="e">
        <f>AND('SPR BARRANQUILLA'!EZ164,"AAAAAAf+XPE=")</f>
        <v>#VALUE!</v>
      </c>
      <c r="II137" t="e">
        <f>AND('SPR BARRANQUILLA'!FA164,"AAAAAAf+XPI=")</f>
        <v>#VALUE!</v>
      </c>
      <c r="IJ137" t="e">
        <f>AND('SPR BARRANQUILLA'!FB164,"AAAAAAf+XPM=")</f>
        <v>#VALUE!</v>
      </c>
      <c r="IK137" t="e">
        <f>AND('SPR BARRANQUILLA'!FC164,"AAAAAAf+XPQ=")</f>
        <v>#VALUE!</v>
      </c>
      <c r="IL137" t="e">
        <f>AND('SPR BARRANQUILLA'!FD164,"AAAAAAf+XPU=")</f>
        <v>#VALUE!</v>
      </c>
      <c r="IM137" t="e">
        <f>AND('SPR BARRANQUILLA'!FE164,"AAAAAAf+XPY=")</f>
        <v>#VALUE!</v>
      </c>
      <c r="IN137" t="e">
        <f>AND('SPR BARRANQUILLA'!FF164,"AAAAAAf+XPc=")</f>
        <v>#VALUE!</v>
      </c>
      <c r="IO137" t="e">
        <f>AND('SPR BARRANQUILLA'!FG164,"AAAAAAf+XPg=")</f>
        <v>#VALUE!</v>
      </c>
      <c r="IP137" t="e">
        <f>AND('SPR BARRANQUILLA'!FH164,"AAAAAAf+XPk=")</f>
        <v>#VALUE!</v>
      </c>
      <c r="IQ137" t="e">
        <f>AND('SPR BARRANQUILLA'!FI164,"AAAAAAf+XPo=")</f>
        <v>#VALUE!</v>
      </c>
      <c r="IR137" t="e">
        <f>AND('SPR BARRANQUILLA'!FJ164,"AAAAAAf+XPs=")</f>
        <v>#VALUE!</v>
      </c>
      <c r="IS137" t="e">
        <f>AND('SPR BARRANQUILLA'!FK164,"AAAAAAf+XPw=")</f>
        <v>#VALUE!</v>
      </c>
      <c r="IT137" t="e">
        <f>AND('SPR BARRANQUILLA'!FL164,"AAAAAAf+XP0=")</f>
        <v>#VALUE!</v>
      </c>
      <c r="IU137" t="e">
        <f>AND('SPR BARRANQUILLA'!FM164,"AAAAAAf+XP4=")</f>
        <v>#VALUE!</v>
      </c>
      <c r="IV137" t="e">
        <f>AND('SPR BARRANQUILLA'!FN164,"AAAAAAf+XP8=")</f>
        <v>#VALUE!</v>
      </c>
    </row>
    <row r="138" spans="1:256">
      <c r="A138" t="e">
        <f>AND('SPR BARRANQUILLA'!FO164,"AAAAAHZz3QA=")</f>
        <v>#VALUE!</v>
      </c>
      <c r="B138" t="e">
        <f>AND('SPR BARRANQUILLA'!FP164,"AAAAAHZz3QE=")</f>
        <v>#VALUE!</v>
      </c>
      <c r="C138" t="e">
        <f>AND('SPR BARRANQUILLA'!FQ164,"AAAAAHZz3QI=")</f>
        <v>#VALUE!</v>
      </c>
      <c r="D138" t="e">
        <f>AND('SPR BARRANQUILLA'!FR164,"AAAAAHZz3QM=")</f>
        <v>#VALUE!</v>
      </c>
      <c r="E138" t="e">
        <f>AND('SPR BARRANQUILLA'!FS164,"AAAAAHZz3QQ=")</f>
        <v>#VALUE!</v>
      </c>
      <c r="F138" t="e">
        <f>AND('SPR BARRANQUILLA'!FT164,"AAAAAHZz3QU=")</f>
        <v>#VALUE!</v>
      </c>
      <c r="G138" t="e">
        <f>AND('SPR BARRANQUILLA'!FU164,"AAAAAHZz3QY=")</f>
        <v>#VALUE!</v>
      </c>
      <c r="H138" t="e">
        <f>AND('SPR BARRANQUILLA'!FV164,"AAAAAHZz3Qc=")</f>
        <v>#VALUE!</v>
      </c>
      <c r="I138" t="e">
        <f>AND('SPR BARRANQUILLA'!FW164,"AAAAAHZz3Qg=")</f>
        <v>#VALUE!</v>
      </c>
      <c r="J138" t="e">
        <f>AND('SPR BARRANQUILLA'!FX164,"AAAAAHZz3Qk=")</f>
        <v>#VALUE!</v>
      </c>
      <c r="K138" t="e">
        <f>AND('SPR BARRANQUILLA'!FY164,"AAAAAHZz3Qo=")</f>
        <v>#VALUE!</v>
      </c>
      <c r="L138" t="e">
        <f>AND('SPR BARRANQUILLA'!FZ164,"AAAAAHZz3Qs=")</f>
        <v>#VALUE!</v>
      </c>
      <c r="M138" t="e">
        <f>AND('SPR BARRANQUILLA'!GA164,"AAAAAHZz3Qw=")</f>
        <v>#VALUE!</v>
      </c>
      <c r="N138" t="e">
        <f>AND('SPR BARRANQUILLA'!GB164,"AAAAAHZz3Q0=")</f>
        <v>#VALUE!</v>
      </c>
      <c r="O138" t="e">
        <f>AND('SPR BARRANQUILLA'!GC164,"AAAAAHZz3Q4=")</f>
        <v>#VALUE!</v>
      </c>
      <c r="P138" t="e">
        <f>AND('SPR BARRANQUILLA'!GD164,"AAAAAHZz3Q8=")</f>
        <v>#VALUE!</v>
      </c>
      <c r="Q138" t="e">
        <f>AND('SPR BARRANQUILLA'!GE164,"AAAAAHZz3RA=")</f>
        <v>#VALUE!</v>
      </c>
      <c r="R138" t="e">
        <f>AND('SPR BARRANQUILLA'!GF164,"AAAAAHZz3RE=")</f>
        <v>#VALUE!</v>
      </c>
      <c r="S138" t="e">
        <f>AND('SPR BARRANQUILLA'!GG164,"AAAAAHZz3RI=")</f>
        <v>#VALUE!</v>
      </c>
      <c r="T138" t="e">
        <f>AND('SPR BARRANQUILLA'!GH164,"AAAAAHZz3RM=")</f>
        <v>#VALUE!</v>
      </c>
      <c r="U138" t="e">
        <f>AND('SPR BARRANQUILLA'!GI164,"AAAAAHZz3RQ=")</f>
        <v>#VALUE!</v>
      </c>
      <c r="V138" t="e">
        <f>AND('SPR BARRANQUILLA'!GJ164,"AAAAAHZz3RU=")</f>
        <v>#VALUE!</v>
      </c>
      <c r="W138" t="e">
        <f>AND('SPR BARRANQUILLA'!GK164,"AAAAAHZz3RY=")</f>
        <v>#VALUE!</v>
      </c>
      <c r="X138" t="e">
        <f>AND('SPR BARRANQUILLA'!GL164,"AAAAAHZz3Rc=")</f>
        <v>#VALUE!</v>
      </c>
      <c r="Y138" t="e">
        <f>AND('SPR BARRANQUILLA'!GM164,"AAAAAHZz3Rg=")</f>
        <v>#VALUE!</v>
      </c>
      <c r="Z138" t="e">
        <f>AND('SPR BARRANQUILLA'!GN164,"AAAAAHZz3Rk=")</f>
        <v>#VALUE!</v>
      </c>
      <c r="AA138" t="e">
        <f>AND('SPR BARRANQUILLA'!GO164,"AAAAAHZz3Ro=")</f>
        <v>#VALUE!</v>
      </c>
      <c r="AB138" t="e">
        <f>AND('SPR BARRANQUILLA'!GP164,"AAAAAHZz3Rs=")</f>
        <v>#VALUE!</v>
      </c>
      <c r="AC138" t="e">
        <f>AND('SPR BARRANQUILLA'!GQ164,"AAAAAHZz3Rw=")</f>
        <v>#VALUE!</v>
      </c>
      <c r="AD138" t="e">
        <f>AND('SPR BARRANQUILLA'!GR164,"AAAAAHZz3R0=")</f>
        <v>#VALUE!</v>
      </c>
      <c r="AE138" t="e">
        <f>AND('SPR BARRANQUILLA'!GS164,"AAAAAHZz3R4=")</f>
        <v>#VALUE!</v>
      </c>
      <c r="AF138" t="e">
        <f>AND('SPR BARRANQUILLA'!GT164,"AAAAAHZz3R8=")</f>
        <v>#VALUE!</v>
      </c>
      <c r="AG138" t="e">
        <f>AND('SPR BARRANQUILLA'!GU164,"AAAAAHZz3SA=")</f>
        <v>#VALUE!</v>
      </c>
      <c r="AH138" t="e">
        <f>AND('SPR BARRANQUILLA'!GV164,"AAAAAHZz3SE=")</f>
        <v>#VALUE!</v>
      </c>
      <c r="AI138" t="e">
        <f>AND('SPR BARRANQUILLA'!GW164,"AAAAAHZz3SI=")</f>
        <v>#VALUE!</v>
      </c>
      <c r="AJ138" t="e">
        <f>AND('SPR BARRANQUILLA'!GX164,"AAAAAHZz3SM=")</f>
        <v>#VALUE!</v>
      </c>
      <c r="AK138" t="e">
        <f>AND('SPR BARRANQUILLA'!GY164,"AAAAAHZz3SQ=")</f>
        <v>#VALUE!</v>
      </c>
      <c r="AL138">
        <f>IF('SPR BARRANQUILLA'!165:165,"AAAAAHZz3SU=",0)</f>
        <v>0</v>
      </c>
      <c r="AM138" t="e">
        <f>AND('SPR BARRANQUILLA'!A165,"AAAAAHZz3SY=")</f>
        <v>#VALUE!</v>
      </c>
      <c r="AN138" t="e">
        <f>AND('SPR BARRANQUILLA'!B165,"AAAAAHZz3Sc=")</f>
        <v>#VALUE!</v>
      </c>
      <c r="AO138" t="e">
        <f>AND('SPR BARRANQUILLA'!C165,"AAAAAHZz3Sg=")</f>
        <v>#VALUE!</v>
      </c>
      <c r="AP138" t="e">
        <f>AND('SPR BARRANQUILLA'!D165,"AAAAAHZz3Sk=")</f>
        <v>#VALUE!</v>
      </c>
      <c r="AQ138" t="e">
        <f>AND('SPR BARRANQUILLA'!E165,"AAAAAHZz3So=")</f>
        <v>#VALUE!</v>
      </c>
      <c r="AR138" t="e">
        <f>AND('SPR BARRANQUILLA'!F165,"AAAAAHZz3Ss=")</f>
        <v>#VALUE!</v>
      </c>
      <c r="AS138" t="e">
        <f>AND('SPR BARRANQUILLA'!G165,"AAAAAHZz3Sw=")</f>
        <v>#VALUE!</v>
      </c>
      <c r="AT138" t="e">
        <f>AND('SPR BARRANQUILLA'!H165,"AAAAAHZz3S0=")</f>
        <v>#VALUE!</v>
      </c>
      <c r="AU138" t="e">
        <f>AND('SPR BARRANQUILLA'!I165,"AAAAAHZz3S4=")</f>
        <v>#VALUE!</v>
      </c>
      <c r="AV138" t="e">
        <f>AND('SPR BARRANQUILLA'!J165,"AAAAAHZz3S8=")</f>
        <v>#VALUE!</v>
      </c>
      <c r="AW138" t="e">
        <f>AND('SPR BARRANQUILLA'!K165,"AAAAAHZz3TA=")</f>
        <v>#VALUE!</v>
      </c>
      <c r="AX138" t="e">
        <f>AND('SPR BARRANQUILLA'!L165,"AAAAAHZz3TE=")</f>
        <v>#VALUE!</v>
      </c>
      <c r="AY138" t="e">
        <f>AND('SPR BARRANQUILLA'!M165,"AAAAAHZz3TI=")</f>
        <v>#VALUE!</v>
      </c>
      <c r="AZ138" t="e">
        <f>AND('SPR BARRANQUILLA'!N165,"AAAAAHZz3TM=")</f>
        <v>#VALUE!</v>
      </c>
      <c r="BA138" t="e">
        <f>AND('SPR BARRANQUILLA'!O165,"AAAAAHZz3TQ=")</f>
        <v>#VALUE!</v>
      </c>
      <c r="BB138" t="e">
        <f>AND('SPR BARRANQUILLA'!P165,"AAAAAHZz3TU=")</f>
        <v>#VALUE!</v>
      </c>
      <c r="BC138" t="e">
        <f>AND('SPR BARRANQUILLA'!Q165,"AAAAAHZz3TY=")</f>
        <v>#VALUE!</v>
      </c>
      <c r="BD138" t="e">
        <f>AND('SPR BARRANQUILLA'!R165,"AAAAAHZz3Tc=")</f>
        <v>#VALUE!</v>
      </c>
      <c r="BE138" t="e">
        <f>AND('SPR BARRANQUILLA'!S165,"AAAAAHZz3Tg=")</f>
        <v>#VALUE!</v>
      </c>
      <c r="BF138" t="e">
        <f>AND('SPR BARRANQUILLA'!T165,"AAAAAHZz3Tk=")</f>
        <v>#VALUE!</v>
      </c>
      <c r="BG138" t="e">
        <f>AND('SPR BARRANQUILLA'!U165,"AAAAAHZz3To=")</f>
        <v>#VALUE!</v>
      </c>
      <c r="BH138" t="e">
        <f>AND('SPR BARRANQUILLA'!V165,"AAAAAHZz3Ts=")</f>
        <v>#VALUE!</v>
      </c>
      <c r="BI138" t="e">
        <f>AND('SPR BARRANQUILLA'!W165,"AAAAAHZz3Tw=")</f>
        <v>#VALUE!</v>
      </c>
      <c r="BJ138" t="e">
        <f>AND('SPR BARRANQUILLA'!X165,"AAAAAHZz3T0=")</f>
        <v>#VALUE!</v>
      </c>
      <c r="BK138" t="e">
        <f>AND('SPR BARRANQUILLA'!Y165,"AAAAAHZz3T4=")</f>
        <v>#VALUE!</v>
      </c>
      <c r="BL138" t="e">
        <f>AND('SPR BARRANQUILLA'!Z165,"AAAAAHZz3T8=")</f>
        <v>#VALUE!</v>
      </c>
      <c r="BM138" t="e">
        <f>AND('SPR BARRANQUILLA'!AA165,"AAAAAHZz3UA=")</f>
        <v>#VALUE!</v>
      </c>
      <c r="BN138" t="e">
        <f>AND('SPR BARRANQUILLA'!AB165,"AAAAAHZz3UE=")</f>
        <v>#VALUE!</v>
      </c>
      <c r="BO138" t="e">
        <f>AND('SPR BARRANQUILLA'!AC165,"AAAAAHZz3UI=")</f>
        <v>#VALUE!</v>
      </c>
      <c r="BP138" t="e">
        <f>AND('SPR BARRANQUILLA'!AD165,"AAAAAHZz3UM=")</f>
        <v>#VALUE!</v>
      </c>
      <c r="BQ138" t="e">
        <f>AND('SPR BARRANQUILLA'!AE165,"AAAAAHZz3UQ=")</f>
        <v>#VALUE!</v>
      </c>
      <c r="BR138" t="e">
        <f>AND('SPR BARRANQUILLA'!AF165,"AAAAAHZz3UU=")</f>
        <v>#VALUE!</v>
      </c>
      <c r="BS138" t="e">
        <f>AND('SPR BARRANQUILLA'!AG165,"AAAAAHZz3UY=")</f>
        <v>#VALUE!</v>
      </c>
      <c r="BT138" t="e">
        <f>AND('SPR BARRANQUILLA'!AH165,"AAAAAHZz3Uc=")</f>
        <v>#VALUE!</v>
      </c>
      <c r="BU138" t="e">
        <f>AND('SPR BARRANQUILLA'!AI165,"AAAAAHZz3Ug=")</f>
        <v>#VALUE!</v>
      </c>
      <c r="BV138" t="e">
        <f>AND('SPR BARRANQUILLA'!AJ165,"AAAAAHZz3Uk=")</f>
        <v>#VALUE!</v>
      </c>
      <c r="BW138" t="e">
        <f>AND('SPR BARRANQUILLA'!AK165,"AAAAAHZz3Uo=")</f>
        <v>#VALUE!</v>
      </c>
      <c r="BX138" t="e">
        <f>AND('SPR BARRANQUILLA'!AL165,"AAAAAHZz3Us=")</f>
        <v>#VALUE!</v>
      </c>
      <c r="BY138" t="e">
        <f>AND('SPR BARRANQUILLA'!AM165,"AAAAAHZz3Uw=")</f>
        <v>#VALUE!</v>
      </c>
      <c r="BZ138" t="e">
        <f>AND('SPR BARRANQUILLA'!AN165,"AAAAAHZz3U0=")</f>
        <v>#VALUE!</v>
      </c>
      <c r="CA138" t="e">
        <f>AND('SPR BARRANQUILLA'!AO165,"AAAAAHZz3U4=")</f>
        <v>#VALUE!</v>
      </c>
      <c r="CB138" t="e">
        <f>AND('SPR BARRANQUILLA'!AP165,"AAAAAHZz3U8=")</f>
        <v>#VALUE!</v>
      </c>
      <c r="CC138" t="e">
        <f>AND('SPR BARRANQUILLA'!AQ165,"AAAAAHZz3VA=")</f>
        <v>#VALUE!</v>
      </c>
      <c r="CD138" t="e">
        <f>AND('SPR BARRANQUILLA'!AR165,"AAAAAHZz3VE=")</f>
        <v>#VALUE!</v>
      </c>
      <c r="CE138" t="e">
        <f>AND('SPR BARRANQUILLA'!AS165,"AAAAAHZz3VI=")</f>
        <v>#VALUE!</v>
      </c>
      <c r="CF138" t="e">
        <f>AND('SPR BARRANQUILLA'!AT165,"AAAAAHZz3VM=")</f>
        <v>#VALUE!</v>
      </c>
      <c r="CG138" t="e">
        <f>AND('SPR BARRANQUILLA'!AU165,"AAAAAHZz3VQ=")</f>
        <v>#VALUE!</v>
      </c>
      <c r="CH138" t="e">
        <f>AND('SPR BARRANQUILLA'!AV165,"AAAAAHZz3VU=")</f>
        <v>#VALUE!</v>
      </c>
      <c r="CI138" t="e">
        <f>AND('SPR BARRANQUILLA'!AW165,"AAAAAHZz3VY=")</f>
        <v>#VALUE!</v>
      </c>
      <c r="CJ138" t="e">
        <f>AND('SPR BARRANQUILLA'!AX165,"AAAAAHZz3Vc=")</f>
        <v>#VALUE!</v>
      </c>
      <c r="CK138" t="e">
        <f>AND('SPR BARRANQUILLA'!AY165,"AAAAAHZz3Vg=")</f>
        <v>#VALUE!</v>
      </c>
      <c r="CL138" t="e">
        <f>AND('SPR BARRANQUILLA'!AZ165,"AAAAAHZz3Vk=")</f>
        <v>#VALUE!</v>
      </c>
      <c r="CM138" t="e">
        <f>AND('SPR BARRANQUILLA'!BA165,"AAAAAHZz3Vo=")</f>
        <v>#VALUE!</v>
      </c>
      <c r="CN138" t="e">
        <f>AND('SPR BARRANQUILLA'!BB165,"AAAAAHZz3Vs=")</f>
        <v>#VALUE!</v>
      </c>
      <c r="CO138" t="e">
        <f>AND('SPR BARRANQUILLA'!BC165,"AAAAAHZz3Vw=")</f>
        <v>#VALUE!</v>
      </c>
      <c r="CP138" t="e">
        <f>AND('SPR BARRANQUILLA'!BD165,"AAAAAHZz3V0=")</f>
        <v>#VALUE!</v>
      </c>
      <c r="CQ138" t="e">
        <f>AND('SPR BARRANQUILLA'!BE165,"AAAAAHZz3V4=")</f>
        <v>#VALUE!</v>
      </c>
      <c r="CR138" t="e">
        <f>AND('SPR BARRANQUILLA'!BF165,"AAAAAHZz3V8=")</f>
        <v>#VALUE!</v>
      </c>
      <c r="CS138" t="e">
        <f>AND('SPR BARRANQUILLA'!BG165,"AAAAAHZz3WA=")</f>
        <v>#VALUE!</v>
      </c>
      <c r="CT138" t="e">
        <f>AND('SPR BARRANQUILLA'!BH165,"AAAAAHZz3WE=")</f>
        <v>#VALUE!</v>
      </c>
      <c r="CU138" t="e">
        <f>AND('SPR BARRANQUILLA'!BI165,"AAAAAHZz3WI=")</f>
        <v>#VALUE!</v>
      </c>
      <c r="CV138" t="e">
        <f>AND('SPR BARRANQUILLA'!BJ165,"AAAAAHZz3WM=")</f>
        <v>#VALUE!</v>
      </c>
      <c r="CW138" t="e">
        <f>AND('SPR BARRANQUILLA'!BK165,"AAAAAHZz3WQ=")</f>
        <v>#VALUE!</v>
      </c>
      <c r="CX138" t="e">
        <f>AND('SPR BARRANQUILLA'!BL165,"AAAAAHZz3WU=")</f>
        <v>#VALUE!</v>
      </c>
      <c r="CY138" t="e">
        <f>AND('SPR BARRANQUILLA'!BM165,"AAAAAHZz3WY=")</f>
        <v>#VALUE!</v>
      </c>
      <c r="CZ138" t="e">
        <f>AND('SPR BARRANQUILLA'!BN165,"AAAAAHZz3Wc=")</f>
        <v>#VALUE!</v>
      </c>
      <c r="DA138" t="e">
        <f>AND('SPR BARRANQUILLA'!BO165,"AAAAAHZz3Wg=")</f>
        <v>#VALUE!</v>
      </c>
      <c r="DB138" t="e">
        <f>AND('SPR BARRANQUILLA'!BP165,"AAAAAHZz3Wk=")</f>
        <v>#VALUE!</v>
      </c>
      <c r="DC138" t="e">
        <f>AND('SPR BARRANQUILLA'!BQ165,"AAAAAHZz3Wo=")</f>
        <v>#VALUE!</v>
      </c>
      <c r="DD138" t="e">
        <f>AND('SPR BARRANQUILLA'!BR165,"AAAAAHZz3Ws=")</f>
        <v>#VALUE!</v>
      </c>
      <c r="DE138" t="e">
        <f>AND('SPR BARRANQUILLA'!BS165,"AAAAAHZz3Ww=")</f>
        <v>#VALUE!</v>
      </c>
      <c r="DF138" t="e">
        <f>AND('SPR BARRANQUILLA'!BT165,"AAAAAHZz3W0=")</f>
        <v>#VALUE!</v>
      </c>
      <c r="DG138" t="e">
        <f>AND('SPR BARRANQUILLA'!BU165,"AAAAAHZz3W4=")</f>
        <v>#VALUE!</v>
      </c>
      <c r="DH138" t="e">
        <f>AND('SPR BARRANQUILLA'!BV165,"AAAAAHZz3W8=")</f>
        <v>#VALUE!</v>
      </c>
      <c r="DI138" t="e">
        <f>AND('SPR BARRANQUILLA'!BW165,"AAAAAHZz3XA=")</f>
        <v>#VALUE!</v>
      </c>
      <c r="DJ138" t="e">
        <f>AND('SPR BARRANQUILLA'!BX165,"AAAAAHZz3XE=")</f>
        <v>#VALUE!</v>
      </c>
      <c r="DK138" t="e">
        <f>AND('SPR BARRANQUILLA'!BY165,"AAAAAHZz3XI=")</f>
        <v>#VALUE!</v>
      </c>
      <c r="DL138" t="e">
        <f>AND('SPR BARRANQUILLA'!BZ165,"AAAAAHZz3XM=")</f>
        <v>#VALUE!</v>
      </c>
      <c r="DM138" t="e">
        <f>AND('SPR BARRANQUILLA'!CA165,"AAAAAHZz3XQ=")</f>
        <v>#VALUE!</v>
      </c>
      <c r="DN138" t="e">
        <f>AND('SPR BARRANQUILLA'!CB165,"AAAAAHZz3XU=")</f>
        <v>#VALUE!</v>
      </c>
      <c r="DO138" t="e">
        <f>AND('SPR BARRANQUILLA'!CC165,"AAAAAHZz3XY=")</f>
        <v>#VALUE!</v>
      </c>
      <c r="DP138" t="e">
        <f>AND('SPR BARRANQUILLA'!CD165,"AAAAAHZz3Xc=")</f>
        <v>#VALUE!</v>
      </c>
      <c r="DQ138" t="e">
        <f>AND('SPR BARRANQUILLA'!CE165,"AAAAAHZz3Xg=")</f>
        <v>#VALUE!</v>
      </c>
      <c r="DR138" t="e">
        <f>AND('SPR BARRANQUILLA'!CF165,"AAAAAHZz3Xk=")</f>
        <v>#VALUE!</v>
      </c>
      <c r="DS138" t="e">
        <f>AND('SPR BARRANQUILLA'!CG165,"AAAAAHZz3Xo=")</f>
        <v>#VALUE!</v>
      </c>
      <c r="DT138" t="e">
        <f>AND('SPR BARRANQUILLA'!CH165,"AAAAAHZz3Xs=")</f>
        <v>#VALUE!</v>
      </c>
      <c r="DU138" t="e">
        <f>AND('SPR BARRANQUILLA'!CI165,"AAAAAHZz3Xw=")</f>
        <v>#VALUE!</v>
      </c>
      <c r="DV138" t="e">
        <f>AND('SPR BARRANQUILLA'!CJ165,"AAAAAHZz3X0=")</f>
        <v>#VALUE!</v>
      </c>
      <c r="DW138" t="e">
        <f>AND('SPR BARRANQUILLA'!CK165,"AAAAAHZz3X4=")</f>
        <v>#VALUE!</v>
      </c>
      <c r="DX138" t="e">
        <f>AND('SPR BARRANQUILLA'!CL165,"AAAAAHZz3X8=")</f>
        <v>#VALUE!</v>
      </c>
      <c r="DY138" t="e">
        <f>AND('SPR BARRANQUILLA'!CM165,"AAAAAHZz3YA=")</f>
        <v>#VALUE!</v>
      </c>
      <c r="DZ138" t="e">
        <f>AND('SPR BARRANQUILLA'!CN165,"AAAAAHZz3YE=")</f>
        <v>#VALUE!</v>
      </c>
      <c r="EA138" t="e">
        <f>AND('SPR BARRANQUILLA'!CO165,"AAAAAHZz3YI=")</f>
        <v>#VALUE!</v>
      </c>
      <c r="EB138" t="e">
        <f>AND('SPR BARRANQUILLA'!CP165,"AAAAAHZz3YM=")</f>
        <v>#VALUE!</v>
      </c>
      <c r="EC138" t="e">
        <f>AND('SPR BARRANQUILLA'!CQ165,"AAAAAHZz3YQ=")</f>
        <v>#VALUE!</v>
      </c>
      <c r="ED138" t="e">
        <f>AND('SPR BARRANQUILLA'!CR165,"AAAAAHZz3YU=")</f>
        <v>#VALUE!</v>
      </c>
      <c r="EE138" t="e">
        <f>AND('SPR BARRANQUILLA'!CS165,"AAAAAHZz3YY=")</f>
        <v>#VALUE!</v>
      </c>
      <c r="EF138" t="e">
        <f>AND('SPR BARRANQUILLA'!CT165,"AAAAAHZz3Yc=")</f>
        <v>#VALUE!</v>
      </c>
      <c r="EG138" t="e">
        <f>AND('SPR BARRANQUILLA'!CU165,"AAAAAHZz3Yg=")</f>
        <v>#VALUE!</v>
      </c>
      <c r="EH138" t="e">
        <f>AND('SPR BARRANQUILLA'!CV165,"AAAAAHZz3Yk=")</f>
        <v>#VALUE!</v>
      </c>
      <c r="EI138" t="e">
        <f>AND('SPR BARRANQUILLA'!CW165,"AAAAAHZz3Yo=")</f>
        <v>#VALUE!</v>
      </c>
      <c r="EJ138" t="e">
        <f>AND('SPR BARRANQUILLA'!CX165,"AAAAAHZz3Ys=")</f>
        <v>#VALUE!</v>
      </c>
      <c r="EK138" t="e">
        <f>AND('SPR BARRANQUILLA'!CY165,"AAAAAHZz3Yw=")</f>
        <v>#VALUE!</v>
      </c>
      <c r="EL138" t="e">
        <f>AND('SPR BARRANQUILLA'!CZ165,"AAAAAHZz3Y0=")</f>
        <v>#VALUE!</v>
      </c>
      <c r="EM138" t="e">
        <f>AND('SPR BARRANQUILLA'!DA165,"AAAAAHZz3Y4=")</f>
        <v>#VALUE!</v>
      </c>
      <c r="EN138" t="e">
        <f>AND('SPR BARRANQUILLA'!DB165,"AAAAAHZz3Y8=")</f>
        <v>#VALUE!</v>
      </c>
      <c r="EO138" t="e">
        <f>AND('SPR BARRANQUILLA'!DC165,"AAAAAHZz3ZA=")</f>
        <v>#VALUE!</v>
      </c>
      <c r="EP138" t="e">
        <f>AND('SPR BARRANQUILLA'!DD165,"AAAAAHZz3ZE=")</f>
        <v>#VALUE!</v>
      </c>
      <c r="EQ138" t="e">
        <f>AND('SPR BARRANQUILLA'!DE165,"AAAAAHZz3ZI=")</f>
        <v>#VALUE!</v>
      </c>
      <c r="ER138" t="e">
        <f>AND('SPR BARRANQUILLA'!DF165,"AAAAAHZz3ZM=")</f>
        <v>#VALUE!</v>
      </c>
      <c r="ES138" t="e">
        <f>AND('SPR BARRANQUILLA'!DG165,"AAAAAHZz3ZQ=")</f>
        <v>#VALUE!</v>
      </c>
      <c r="ET138" t="e">
        <f>AND('SPR BARRANQUILLA'!DH165,"AAAAAHZz3ZU=")</f>
        <v>#VALUE!</v>
      </c>
      <c r="EU138" t="e">
        <f>AND('SPR BARRANQUILLA'!DI165,"AAAAAHZz3ZY=")</f>
        <v>#VALUE!</v>
      </c>
      <c r="EV138" t="e">
        <f>AND('SPR BARRANQUILLA'!DJ165,"AAAAAHZz3Zc=")</f>
        <v>#VALUE!</v>
      </c>
      <c r="EW138" t="e">
        <f>AND('SPR BARRANQUILLA'!DK165,"AAAAAHZz3Zg=")</f>
        <v>#VALUE!</v>
      </c>
      <c r="EX138" t="e">
        <f>AND('SPR BARRANQUILLA'!DL165,"AAAAAHZz3Zk=")</f>
        <v>#VALUE!</v>
      </c>
      <c r="EY138" t="e">
        <f>AND('SPR BARRANQUILLA'!DM165,"AAAAAHZz3Zo=")</f>
        <v>#VALUE!</v>
      </c>
      <c r="EZ138" t="e">
        <f>AND('SPR BARRANQUILLA'!DN165,"AAAAAHZz3Zs=")</f>
        <v>#VALUE!</v>
      </c>
      <c r="FA138" t="e">
        <f>AND('SPR BARRANQUILLA'!DO165,"AAAAAHZz3Zw=")</f>
        <v>#VALUE!</v>
      </c>
      <c r="FB138" t="e">
        <f>AND('SPR BARRANQUILLA'!DP165,"AAAAAHZz3Z0=")</f>
        <v>#VALUE!</v>
      </c>
      <c r="FC138" t="e">
        <f>AND('SPR BARRANQUILLA'!DQ165,"AAAAAHZz3Z4=")</f>
        <v>#VALUE!</v>
      </c>
      <c r="FD138" t="e">
        <f>AND('SPR BARRANQUILLA'!DR165,"AAAAAHZz3Z8=")</f>
        <v>#VALUE!</v>
      </c>
      <c r="FE138" t="e">
        <f>AND('SPR BARRANQUILLA'!DS165,"AAAAAHZz3aA=")</f>
        <v>#VALUE!</v>
      </c>
      <c r="FF138" t="e">
        <f>AND('SPR BARRANQUILLA'!DT165,"AAAAAHZz3aE=")</f>
        <v>#VALUE!</v>
      </c>
      <c r="FG138" t="e">
        <f>AND('SPR BARRANQUILLA'!DU165,"AAAAAHZz3aI=")</f>
        <v>#VALUE!</v>
      </c>
      <c r="FH138" t="e">
        <f>AND('SPR BARRANQUILLA'!DV165,"AAAAAHZz3aM=")</f>
        <v>#VALUE!</v>
      </c>
      <c r="FI138" t="e">
        <f>AND('SPR BARRANQUILLA'!DW165,"AAAAAHZz3aQ=")</f>
        <v>#VALUE!</v>
      </c>
      <c r="FJ138" t="e">
        <f>AND('SPR BARRANQUILLA'!DX165,"AAAAAHZz3aU=")</f>
        <v>#VALUE!</v>
      </c>
      <c r="FK138" t="e">
        <f>AND('SPR BARRANQUILLA'!DY165,"AAAAAHZz3aY=")</f>
        <v>#VALUE!</v>
      </c>
      <c r="FL138" t="e">
        <f>AND('SPR BARRANQUILLA'!DZ165,"AAAAAHZz3ac=")</f>
        <v>#VALUE!</v>
      </c>
      <c r="FM138" t="e">
        <f>AND('SPR BARRANQUILLA'!EA165,"AAAAAHZz3ag=")</f>
        <v>#VALUE!</v>
      </c>
      <c r="FN138" t="e">
        <f>AND('SPR BARRANQUILLA'!EB165,"AAAAAHZz3ak=")</f>
        <v>#VALUE!</v>
      </c>
      <c r="FO138" t="e">
        <f>AND('SPR BARRANQUILLA'!EC165,"AAAAAHZz3ao=")</f>
        <v>#VALUE!</v>
      </c>
      <c r="FP138" t="e">
        <f>AND('SPR BARRANQUILLA'!ED165,"AAAAAHZz3as=")</f>
        <v>#VALUE!</v>
      </c>
      <c r="FQ138" t="e">
        <f>AND('SPR BARRANQUILLA'!EE165,"AAAAAHZz3aw=")</f>
        <v>#VALUE!</v>
      </c>
      <c r="FR138" t="e">
        <f>AND('SPR BARRANQUILLA'!EF165,"AAAAAHZz3a0=")</f>
        <v>#VALUE!</v>
      </c>
      <c r="FS138" t="e">
        <f>AND('SPR BARRANQUILLA'!EG165,"AAAAAHZz3a4=")</f>
        <v>#VALUE!</v>
      </c>
      <c r="FT138" t="e">
        <f>AND('SPR BARRANQUILLA'!EH165,"AAAAAHZz3a8=")</f>
        <v>#VALUE!</v>
      </c>
      <c r="FU138" t="e">
        <f>AND('SPR BARRANQUILLA'!EI165,"AAAAAHZz3bA=")</f>
        <v>#VALUE!</v>
      </c>
      <c r="FV138" t="e">
        <f>AND('SPR BARRANQUILLA'!EJ165,"AAAAAHZz3bE=")</f>
        <v>#VALUE!</v>
      </c>
      <c r="FW138" t="e">
        <f>AND('SPR BARRANQUILLA'!EK165,"AAAAAHZz3bI=")</f>
        <v>#VALUE!</v>
      </c>
      <c r="FX138" t="e">
        <f>AND('SPR BARRANQUILLA'!EL165,"AAAAAHZz3bM=")</f>
        <v>#VALUE!</v>
      </c>
      <c r="FY138" t="e">
        <f>AND('SPR BARRANQUILLA'!EM165,"AAAAAHZz3bQ=")</f>
        <v>#VALUE!</v>
      </c>
      <c r="FZ138" t="e">
        <f>AND('SPR BARRANQUILLA'!EN165,"AAAAAHZz3bU=")</f>
        <v>#VALUE!</v>
      </c>
      <c r="GA138" t="e">
        <f>AND('SPR BARRANQUILLA'!EO165,"AAAAAHZz3bY=")</f>
        <v>#VALUE!</v>
      </c>
      <c r="GB138" t="e">
        <f>AND('SPR BARRANQUILLA'!EP165,"AAAAAHZz3bc=")</f>
        <v>#VALUE!</v>
      </c>
      <c r="GC138" t="e">
        <f>AND('SPR BARRANQUILLA'!EQ165,"AAAAAHZz3bg=")</f>
        <v>#VALUE!</v>
      </c>
      <c r="GD138" t="e">
        <f>AND('SPR BARRANQUILLA'!ER165,"AAAAAHZz3bk=")</f>
        <v>#VALUE!</v>
      </c>
      <c r="GE138" t="e">
        <f>AND('SPR BARRANQUILLA'!ES165,"AAAAAHZz3bo=")</f>
        <v>#VALUE!</v>
      </c>
      <c r="GF138" t="e">
        <f>AND('SPR BARRANQUILLA'!ET165,"AAAAAHZz3bs=")</f>
        <v>#VALUE!</v>
      </c>
      <c r="GG138" t="e">
        <f>AND('SPR BARRANQUILLA'!EU165,"AAAAAHZz3bw=")</f>
        <v>#VALUE!</v>
      </c>
      <c r="GH138" t="e">
        <f>AND('SPR BARRANQUILLA'!EV165,"AAAAAHZz3b0=")</f>
        <v>#VALUE!</v>
      </c>
      <c r="GI138" t="e">
        <f>AND('SPR BARRANQUILLA'!EW165,"AAAAAHZz3b4=")</f>
        <v>#VALUE!</v>
      </c>
      <c r="GJ138" t="e">
        <f>AND('SPR BARRANQUILLA'!EX165,"AAAAAHZz3b8=")</f>
        <v>#VALUE!</v>
      </c>
      <c r="GK138" t="e">
        <f>AND('SPR BARRANQUILLA'!EY165,"AAAAAHZz3cA=")</f>
        <v>#VALUE!</v>
      </c>
      <c r="GL138" t="e">
        <f>AND('SPR BARRANQUILLA'!EZ165,"AAAAAHZz3cE=")</f>
        <v>#VALUE!</v>
      </c>
      <c r="GM138" t="e">
        <f>AND('SPR BARRANQUILLA'!FA165,"AAAAAHZz3cI=")</f>
        <v>#VALUE!</v>
      </c>
      <c r="GN138" t="e">
        <f>AND('SPR BARRANQUILLA'!FB165,"AAAAAHZz3cM=")</f>
        <v>#VALUE!</v>
      </c>
      <c r="GO138" t="e">
        <f>AND('SPR BARRANQUILLA'!FC165,"AAAAAHZz3cQ=")</f>
        <v>#VALUE!</v>
      </c>
      <c r="GP138" t="e">
        <f>AND('SPR BARRANQUILLA'!FD165,"AAAAAHZz3cU=")</f>
        <v>#VALUE!</v>
      </c>
      <c r="GQ138" t="e">
        <f>AND('SPR BARRANQUILLA'!FE165,"AAAAAHZz3cY=")</f>
        <v>#VALUE!</v>
      </c>
      <c r="GR138" t="e">
        <f>AND('SPR BARRANQUILLA'!FF165,"AAAAAHZz3cc=")</f>
        <v>#VALUE!</v>
      </c>
      <c r="GS138" t="e">
        <f>AND('SPR BARRANQUILLA'!FG165,"AAAAAHZz3cg=")</f>
        <v>#VALUE!</v>
      </c>
      <c r="GT138" t="e">
        <f>AND('SPR BARRANQUILLA'!FH165,"AAAAAHZz3ck=")</f>
        <v>#VALUE!</v>
      </c>
      <c r="GU138" t="e">
        <f>AND('SPR BARRANQUILLA'!FI165,"AAAAAHZz3co=")</f>
        <v>#VALUE!</v>
      </c>
      <c r="GV138" t="e">
        <f>AND('SPR BARRANQUILLA'!FJ165,"AAAAAHZz3cs=")</f>
        <v>#VALUE!</v>
      </c>
      <c r="GW138" t="e">
        <f>AND('SPR BARRANQUILLA'!FK165,"AAAAAHZz3cw=")</f>
        <v>#VALUE!</v>
      </c>
      <c r="GX138" t="e">
        <f>AND('SPR BARRANQUILLA'!FL165,"AAAAAHZz3c0=")</f>
        <v>#VALUE!</v>
      </c>
      <c r="GY138" t="e">
        <f>AND('SPR BARRANQUILLA'!FM165,"AAAAAHZz3c4=")</f>
        <v>#VALUE!</v>
      </c>
      <c r="GZ138" t="e">
        <f>AND('SPR BARRANQUILLA'!FN165,"AAAAAHZz3c8=")</f>
        <v>#VALUE!</v>
      </c>
      <c r="HA138" t="e">
        <f>AND('SPR BARRANQUILLA'!FO165,"AAAAAHZz3dA=")</f>
        <v>#VALUE!</v>
      </c>
      <c r="HB138" t="e">
        <f>AND('SPR BARRANQUILLA'!FP165,"AAAAAHZz3dE=")</f>
        <v>#VALUE!</v>
      </c>
      <c r="HC138" t="e">
        <f>AND('SPR BARRANQUILLA'!FQ165,"AAAAAHZz3dI=")</f>
        <v>#VALUE!</v>
      </c>
      <c r="HD138" t="e">
        <f>AND('SPR BARRANQUILLA'!FR165,"AAAAAHZz3dM=")</f>
        <v>#VALUE!</v>
      </c>
      <c r="HE138" t="e">
        <f>AND('SPR BARRANQUILLA'!FS165,"AAAAAHZz3dQ=")</f>
        <v>#VALUE!</v>
      </c>
      <c r="HF138" t="e">
        <f>AND('SPR BARRANQUILLA'!FT165,"AAAAAHZz3dU=")</f>
        <v>#VALUE!</v>
      </c>
      <c r="HG138" t="e">
        <f>AND('SPR BARRANQUILLA'!FU165,"AAAAAHZz3dY=")</f>
        <v>#VALUE!</v>
      </c>
      <c r="HH138" t="e">
        <f>AND('SPR BARRANQUILLA'!FV165,"AAAAAHZz3dc=")</f>
        <v>#VALUE!</v>
      </c>
      <c r="HI138" t="e">
        <f>AND('SPR BARRANQUILLA'!FW165,"AAAAAHZz3dg=")</f>
        <v>#VALUE!</v>
      </c>
      <c r="HJ138" t="e">
        <f>AND('SPR BARRANQUILLA'!FX165,"AAAAAHZz3dk=")</f>
        <v>#VALUE!</v>
      </c>
      <c r="HK138" t="e">
        <f>AND('SPR BARRANQUILLA'!FY165,"AAAAAHZz3do=")</f>
        <v>#VALUE!</v>
      </c>
      <c r="HL138" t="e">
        <f>AND('SPR BARRANQUILLA'!FZ165,"AAAAAHZz3ds=")</f>
        <v>#VALUE!</v>
      </c>
      <c r="HM138" t="e">
        <f>AND('SPR BARRANQUILLA'!GA165,"AAAAAHZz3dw=")</f>
        <v>#VALUE!</v>
      </c>
      <c r="HN138" t="e">
        <f>AND('SPR BARRANQUILLA'!GB165,"AAAAAHZz3d0=")</f>
        <v>#VALUE!</v>
      </c>
      <c r="HO138" t="e">
        <f>AND('SPR BARRANQUILLA'!GC165,"AAAAAHZz3d4=")</f>
        <v>#VALUE!</v>
      </c>
      <c r="HP138" t="e">
        <f>AND('SPR BARRANQUILLA'!GD165,"AAAAAHZz3d8=")</f>
        <v>#VALUE!</v>
      </c>
      <c r="HQ138" t="e">
        <f>AND('SPR BARRANQUILLA'!GE165,"AAAAAHZz3eA=")</f>
        <v>#VALUE!</v>
      </c>
      <c r="HR138" t="e">
        <f>AND('SPR BARRANQUILLA'!GF165,"AAAAAHZz3eE=")</f>
        <v>#VALUE!</v>
      </c>
      <c r="HS138" t="e">
        <f>AND('SPR BARRANQUILLA'!GG165,"AAAAAHZz3eI=")</f>
        <v>#VALUE!</v>
      </c>
      <c r="HT138" t="e">
        <f>AND('SPR BARRANQUILLA'!GH165,"AAAAAHZz3eM=")</f>
        <v>#VALUE!</v>
      </c>
      <c r="HU138" t="e">
        <f>AND('SPR BARRANQUILLA'!GI165,"AAAAAHZz3eQ=")</f>
        <v>#VALUE!</v>
      </c>
      <c r="HV138" t="e">
        <f>AND('SPR BARRANQUILLA'!GJ165,"AAAAAHZz3eU=")</f>
        <v>#VALUE!</v>
      </c>
      <c r="HW138" t="e">
        <f>AND('SPR BARRANQUILLA'!GK165,"AAAAAHZz3eY=")</f>
        <v>#VALUE!</v>
      </c>
      <c r="HX138" t="e">
        <f>AND('SPR BARRANQUILLA'!GL165,"AAAAAHZz3ec=")</f>
        <v>#VALUE!</v>
      </c>
      <c r="HY138" t="e">
        <f>AND('SPR BARRANQUILLA'!GM165,"AAAAAHZz3eg=")</f>
        <v>#VALUE!</v>
      </c>
      <c r="HZ138" t="e">
        <f>AND('SPR BARRANQUILLA'!GN165,"AAAAAHZz3ek=")</f>
        <v>#VALUE!</v>
      </c>
      <c r="IA138" t="e">
        <f>AND('SPR BARRANQUILLA'!GO165,"AAAAAHZz3eo=")</f>
        <v>#VALUE!</v>
      </c>
      <c r="IB138" t="e">
        <f>AND('SPR BARRANQUILLA'!GP165,"AAAAAHZz3es=")</f>
        <v>#VALUE!</v>
      </c>
      <c r="IC138" t="e">
        <f>AND('SPR BARRANQUILLA'!GQ165,"AAAAAHZz3ew=")</f>
        <v>#VALUE!</v>
      </c>
      <c r="ID138" t="e">
        <f>AND('SPR BARRANQUILLA'!GR165,"AAAAAHZz3e0=")</f>
        <v>#VALUE!</v>
      </c>
      <c r="IE138" t="e">
        <f>AND('SPR BARRANQUILLA'!GS165,"AAAAAHZz3e4=")</f>
        <v>#VALUE!</v>
      </c>
      <c r="IF138" t="e">
        <f>AND('SPR BARRANQUILLA'!GT165,"AAAAAHZz3e8=")</f>
        <v>#VALUE!</v>
      </c>
      <c r="IG138" t="e">
        <f>AND('SPR BARRANQUILLA'!GU165,"AAAAAHZz3fA=")</f>
        <v>#VALUE!</v>
      </c>
      <c r="IH138" t="e">
        <f>AND('SPR BARRANQUILLA'!GV165,"AAAAAHZz3fE=")</f>
        <v>#VALUE!</v>
      </c>
      <c r="II138" t="e">
        <f>AND('SPR BARRANQUILLA'!GW165,"AAAAAHZz3fI=")</f>
        <v>#VALUE!</v>
      </c>
      <c r="IJ138" t="e">
        <f>AND('SPR BARRANQUILLA'!GX165,"AAAAAHZz3fM=")</f>
        <v>#VALUE!</v>
      </c>
      <c r="IK138" t="e">
        <f>AND('SPR BARRANQUILLA'!GY165,"AAAAAHZz3fQ=")</f>
        <v>#VALUE!</v>
      </c>
      <c r="IL138">
        <f>IF('SPR BARRANQUILLA'!166:166,"AAAAAHZz3fU=",0)</f>
        <v>0</v>
      </c>
      <c r="IM138" t="e">
        <f>AND('SPR BARRANQUILLA'!A166,"AAAAAHZz3fY=")</f>
        <v>#VALUE!</v>
      </c>
      <c r="IN138" t="e">
        <f>AND('SPR BARRANQUILLA'!B166,"AAAAAHZz3fc=")</f>
        <v>#VALUE!</v>
      </c>
      <c r="IO138" t="e">
        <f>AND('SPR BARRANQUILLA'!C166,"AAAAAHZz3fg=")</f>
        <v>#VALUE!</v>
      </c>
      <c r="IP138" t="e">
        <f>AND('SPR BARRANQUILLA'!D166,"AAAAAHZz3fk=")</f>
        <v>#VALUE!</v>
      </c>
      <c r="IQ138" t="e">
        <f>AND('SPR BARRANQUILLA'!E166,"AAAAAHZz3fo=")</f>
        <v>#VALUE!</v>
      </c>
      <c r="IR138" t="e">
        <f>AND('SPR BARRANQUILLA'!F166,"AAAAAHZz3fs=")</f>
        <v>#VALUE!</v>
      </c>
      <c r="IS138" t="e">
        <f>AND('SPR BARRANQUILLA'!G166,"AAAAAHZz3fw=")</f>
        <v>#VALUE!</v>
      </c>
      <c r="IT138" t="e">
        <f>AND('SPR BARRANQUILLA'!H166,"AAAAAHZz3f0=")</f>
        <v>#VALUE!</v>
      </c>
      <c r="IU138" t="e">
        <f>AND('SPR BARRANQUILLA'!I166,"AAAAAHZz3f4=")</f>
        <v>#VALUE!</v>
      </c>
      <c r="IV138" t="e">
        <f>AND('SPR BARRANQUILLA'!J166,"AAAAAHZz3f8=")</f>
        <v>#VALUE!</v>
      </c>
    </row>
    <row r="139" spans="1:256">
      <c r="A139" t="e">
        <f>AND('SPR BARRANQUILLA'!K166,"AAAAAAxs/QA=")</f>
        <v>#VALUE!</v>
      </c>
      <c r="B139" t="e">
        <f>AND('SPR BARRANQUILLA'!L166,"AAAAAAxs/QE=")</f>
        <v>#VALUE!</v>
      </c>
      <c r="C139" t="e">
        <f>AND('SPR BARRANQUILLA'!M166,"AAAAAAxs/QI=")</f>
        <v>#VALUE!</v>
      </c>
      <c r="D139" t="e">
        <f>AND('SPR BARRANQUILLA'!N166,"AAAAAAxs/QM=")</f>
        <v>#VALUE!</v>
      </c>
      <c r="E139" t="e">
        <f>AND('SPR BARRANQUILLA'!O166,"AAAAAAxs/QQ=")</f>
        <v>#VALUE!</v>
      </c>
      <c r="F139" t="e">
        <f>AND('SPR BARRANQUILLA'!P166,"AAAAAAxs/QU=")</f>
        <v>#VALUE!</v>
      </c>
      <c r="G139" t="e">
        <f>AND('SPR BARRANQUILLA'!Q166,"AAAAAAxs/QY=")</f>
        <v>#VALUE!</v>
      </c>
      <c r="H139" t="e">
        <f>AND('SPR BARRANQUILLA'!R166,"AAAAAAxs/Qc=")</f>
        <v>#VALUE!</v>
      </c>
      <c r="I139" t="e">
        <f>AND('SPR BARRANQUILLA'!S166,"AAAAAAxs/Qg=")</f>
        <v>#VALUE!</v>
      </c>
      <c r="J139" t="e">
        <f>AND('SPR BARRANQUILLA'!T166,"AAAAAAxs/Qk=")</f>
        <v>#VALUE!</v>
      </c>
      <c r="K139" t="e">
        <f>AND('SPR BARRANQUILLA'!U166,"AAAAAAxs/Qo=")</f>
        <v>#VALUE!</v>
      </c>
      <c r="L139" t="e">
        <f>AND('SPR BARRANQUILLA'!V166,"AAAAAAxs/Qs=")</f>
        <v>#VALUE!</v>
      </c>
      <c r="M139" t="e">
        <f>AND('SPR BARRANQUILLA'!W166,"AAAAAAxs/Qw=")</f>
        <v>#VALUE!</v>
      </c>
      <c r="N139" t="e">
        <f>AND('SPR BARRANQUILLA'!X166,"AAAAAAxs/Q0=")</f>
        <v>#VALUE!</v>
      </c>
      <c r="O139" t="e">
        <f>AND('SPR BARRANQUILLA'!Y166,"AAAAAAxs/Q4=")</f>
        <v>#VALUE!</v>
      </c>
      <c r="P139" t="e">
        <f>AND('SPR BARRANQUILLA'!Z166,"AAAAAAxs/Q8=")</f>
        <v>#VALUE!</v>
      </c>
      <c r="Q139" t="e">
        <f>AND('SPR BARRANQUILLA'!AA166,"AAAAAAxs/RA=")</f>
        <v>#VALUE!</v>
      </c>
      <c r="R139" t="e">
        <f>AND('SPR BARRANQUILLA'!AB166,"AAAAAAxs/RE=")</f>
        <v>#VALUE!</v>
      </c>
      <c r="S139" t="e">
        <f>AND('SPR BARRANQUILLA'!AC166,"AAAAAAxs/RI=")</f>
        <v>#VALUE!</v>
      </c>
      <c r="T139" t="e">
        <f>AND('SPR BARRANQUILLA'!AD166,"AAAAAAxs/RM=")</f>
        <v>#VALUE!</v>
      </c>
      <c r="U139" t="e">
        <f>AND('SPR BARRANQUILLA'!AE166,"AAAAAAxs/RQ=")</f>
        <v>#VALUE!</v>
      </c>
      <c r="V139" t="e">
        <f>AND('SPR BARRANQUILLA'!AF166,"AAAAAAxs/RU=")</f>
        <v>#VALUE!</v>
      </c>
      <c r="W139" t="e">
        <f>AND('SPR BARRANQUILLA'!AG166,"AAAAAAxs/RY=")</f>
        <v>#VALUE!</v>
      </c>
      <c r="X139" t="e">
        <f>AND('SPR BARRANQUILLA'!AH166,"AAAAAAxs/Rc=")</f>
        <v>#VALUE!</v>
      </c>
      <c r="Y139" t="e">
        <f>AND('SPR BARRANQUILLA'!AI166,"AAAAAAxs/Rg=")</f>
        <v>#VALUE!</v>
      </c>
      <c r="Z139" t="e">
        <f>AND('SPR BARRANQUILLA'!AJ166,"AAAAAAxs/Rk=")</f>
        <v>#VALUE!</v>
      </c>
      <c r="AA139" t="e">
        <f>AND('SPR BARRANQUILLA'!AK166,"AAAAAAxs/Ro=")</f>
        <v>#VALUE!</v>
      </c>
      <c r="AB139" t="e">
        <f>AND('SPR BARRANQUILLA'!AL166,"AAAAAAxs/Rs=")</f>
        <v>#VALUE!</v>
      </c>
      <c r="AC139" t="e">
        <f>AND('SPR BARRANQUILLA'!AM166,"AAAAAAxs/Rw=")</f>
        <v>#VALUE!</v>
      </c>
      <c r="AD139" t="e">
        <f>AND('SPR BARRANQUILLA'!AN166,"AAAAAAxs/R0=")</f>
        <v>#VALUE!</v>
      </c>
      <c r="AE139" t="e">
        <f>AND('SPR BARRANQUILLA'!AO166,"AAAAAAxs/R4=")</f>
        <v>#VALUE!</v>
      </c>
      <c r="AF139" t="e">
        <f>AND('SPR BARRANQUILLA'!AP166,"AAAAAAxs/R8=")</f>
        <v>#VALUE!</v>
      </c>
      <c r="AG139" t="e">
        <f>AND('SPR BARRANQUILLA'!AQ166,"AAAAAAxs/SA=")</f>
        <v>#VALUE!</v>
      </c>
      <c r="AH139" t="e">
        <f>AND('SPR BARRANQUILLA'!AR166,"AAAAAAxs/SE=")</f>
        <v>#VALUE!</v>
      </c>
      <c r="AI139" t="e">
        <f>AND('SPR BARRANQUILLA'!AS166,"AAAAAAxs/SI=")</f>
        <v>#VALUE!</v>
      </c>
      <c r="AJ139" t="e">
        <f>AND('SPR BARRANQUILLA'!AT166,"AAAAAAxs/SM=")</f>
        <v>#VALUE!</v>
      </c>
      <c r="AK139" t="e">
        <f>AND('SPR BARRANQUILLA'!AU166,"AAAAAAxs/SQ=")</f>
        <v>#VALUE!</v>
      </c>
      <c r="AL139" t="e">
        <f>AND('SPR BARRANQUILLA'!AV166,"AAAAAAxs/SU=")</f>
        <v>#VALUE!</v>
      </c>
      <c r="AM139" t="e">
        <f>AND('SPR BARRANQUILLA'!AW166,"AAAAAAxs/SY=")</f>
        <v>#VALUE!</v>
      </c>
      <c r="AN139" t="e">
        <f>AND('SPR BARRANQUILLA'!AX166,"AAAAAAxs/Sc=")</f>
        <v>#VALUE!</v>
      </c>
      <c r="AO139" t="e">
        <f>AND('SPR BARRANQUILLA'!AY166,"AAAAAAxs/Sg=")</f>
        <v>#VALUE!</v>
      </c>
      <c r="AP139" t="e">
        <f>AND('SPR BARRANQUILLA'!AZ166,"AAAAAAxs/Sk=")</f>
        <v>#VALUE!</v>
      </c>
      <c r="AQ139" t="e">
        <f>AND('SPR BARRANQUILLA'!BA166,"AAAAAAxs/So=")</f>
        <v>#VALUE!</v>
      </c>
      <c r="AR139" t="e">
        <f>AND('SPR BARRANQUILLA'!BB166,"AAAAAAxs/Ss=")</f>
        <v>#VALUE!</v>
      </c>
      <c r="AS139" t="e">
        <f>AND('SPR BARRANQUILLA'!BC166,"AAAAAAxs/Sw=")</f>
        <v>#VALUE!</v>
      </c>
      <c r="AT139" t="e">
        <f>AND('SPR BARRANQUILLA'!BD166,"AAAAAAxs/S0=")</f>
        <v>#VALUE!</v>
      </c>
      <c r="AU139" t="e">
        <f>AND('SPR BARRANQUILLA'!BE166,"AAAAAAxs/S4=")</f>
        <v>#VALUE!</v>
      </c>
      <c r="AV139" t="e">
        <f>AND('SPR BARRANQUILLA'!BF166,"AAAAAAxs/S8=")</f>
        <v>#VALUE!</v>
      </c>
      <c r="AW139" t="e">
        <f>AND('SPR BARRANQUILLA'!BG166,"AAAAAAxs/TA=")</f>
        <v>#VALUE!</v>
      </c>
      <c r="AX139" t="e">
        <f>AND('SPR BARRANQUILLA'!BH166,"AAAAAAxs/TE=")</f>
        <v>#VALUE!</v>
      </c>
      <c r="AY139" t="e">
        <f>AND('SPR BARRANQUILLA'!BI166,"AAAAAAxs/TI=")</f>
        <v>#VALUE!</v>
      </c>
      <c r="AZ139" t="e">
        <f>AND('SPR BARRANQUILLA'!BJ166,"AAAAAAxs/TM=")</f>
        <v>#VALUE!</v>
      </c>
      <c r="BA139" t="e">
        <f>AND('SPR BARRANQUILLA'!BK166,"AAAAAAxs/TQ=")</f>
        <v>#VALUE!</v>
      </c>
      <c r="BB139" t="e">
        <f>AND('SPR BARRANQUILLA'!BL166,"AAAAAAxs/TU=")</f>
        <v>#VALUE!</v>
      </c>
      <c r="BC139" t="e">
        <f>AND('SPR BARRANQUILLA'!BM166,"AAAAAAxs/TY=")</f>
        <v>#VALUE!</v>
      </c>
      <c r="BD139" t="e">
        <f>AND('SPR BARRANQUILLA'!BN166,"AAAAAAxs/Tc=")</f>
        <v>#VALUE!</v>
      </c>
      <c r="BE139" t="e">
        <f>AND('SPR BARRANQUILLA'!BO166,"AAAAAAxs/Tg=")</f>
        <v>#VALUE!</v>
      </c>
      <c r="BF139" t="e">
        <f>AND('SPR BARRANQUILLA'!BP166,"AAAAAAxs/Tk=")</f>
        <v>#VALUE!</v>
      </c>
      <c r="BG139" t="e">
        <f>AND('SPR BARRANQUILLA'!BQ166,"AAAAAAxs/To=")</f>
        <v>#VALUE!</v>
      </c>
      <c r="BH139" t="e">
        <f>AND('SPR BARRANQUILLA'!BR166,"AAAAAAxs/Ts=")</f>
        <v>#VALUE!</v>
      </c>
      <c r="BI139" t="e">
        <f>AND('SPR BARRANQUILLA'!BS166,"AAAAAAxs/Tw=")</f>
        <v>#VALUE!</v>
      </c>
      <c r="BJ139" t="e">
        <f>AND('SPR BARRANQUILLA'!BT166,"AAAAAAxs/T0=")</f>
        <v>#VALUE!</v>
      </c>
      <c r="BK139" t="e">
        <f>AND('SPR BARRANQUILLA'!BU166,"AAAAAAxs/T4=")</f>
        <v>#VALUE!</v>
      </c>
      <c r="BL139" t="e">
        <f>AND('SPR BARRANQUILLA'!BV166,"AAAAAAxs/T8=")</f>
        <v>#VALUE!</v>
      </c>
      <c r="BM139" t="e">
        <f>AND('SPR BARRANQUILLA'!BW166,"AAAAAAxs/UA=")</f>
        <v>#VALUE!</v>
      </c>
      <c r="BN139" t="e">
        <f>AND('SPR BARRANQUILLA'!BX166,"AAAAAAxs/UE=")</f>
        <v>#VALUE!</v>
      </c>
      <c r="BO139" t="e">
        <f>AND('SPR BARRANQUILLA'!BY166,"AAAAAAxs/UI=")</f>
        <v>#VALUE!</v>
      </c>
      <c r="BP139" t="e">
        <f>AND('SPR BARRANQUILLA'!BZ166,"AAAAAAxs/UM=")</f>
        <v>#VALUE!</v>
      </c>
      <c r="BQ139" t="e">
        <f>AND('SPR BARRANQUILLA'!CA166,"AAAAAAxs/UQ=")</f>
        <v>#VALUE!</v>
      </c>
      <c r="BR139" t="e">
        <f>AND('SPR BARRANQUILLA'!CB166,"AAAAAAxs/UU=")</f>
        <v>#VALUE!</v>
      </c>
      <c r="BS139" t="e">
        <f>AND('SPR BARRANQUILLA'!CC166,"AAAAAAxs/UY=")</f>
        <v>#VALUE!</v>
      </c>
      <c r="BT139" t="e">
        <f>AND('SPR BARRANQUILLA'!CD166,"AAAAAAxs/Uc=")</f>
        <v>#VALUE!</v>
      </c>
      <c r="BU139" t="e">
        <f>AND('SPR BARRANQUILLA'!CE166,"AAAAAAxs/Ug=")</f>
        <v>#VALUE!</v>
      </c>
      <c r="BV139" t="e">
        <f>AND('SPR BARRANQUILLA'!CF166,"AAAAAAxs/Uk=")</f>
        <v>#VALUE!</v>
      </c>
      <c r="BW139" t="e">
        <f>AND('SPR BARRANQUILLA'!CG166,"AAAAAAxs/Uo=")</f>
        <v>#VALUE!</v>
      </c>
      <c r="BX139" t="e">
        <f>AND('SPR BARRANQUILLA'!CH166,"AAAAAAxs/Us=")</f>
        <v>#VALUE!</v>
      </c>
      <c r="BY139" t="e">
        <f>AND('SPR BARRANQUILLA'!CI166,"AAAAAAxs/Uw=")</f>
        <v>#VALUE!</v>
      </c>
      <c r="BZ139" t="e">
        <f>AND('SPR BARRANQUILLA'!CJ166,"AAAAAAxs/U0=")</f>
        <v>#VALUE!</v>
      </c>
      <c r="CA139" t="e">
        <f>AND('SPR BARRANQUILLA'!CK166,"AAAAAAxs/U4=")</f>
        <v>#VALUE!</v>
      </c>
      <c r="CB139" t="e">
        <f>AND('SPR BARRANQUILLA'!CL166,"AAAAAAxs/U8=")</f>
        <v>#VALUE!</v>
      </c>
      <c r="CC139" t="e">
        <f>AND('SPR BARRANQUILLA'!CM166,"AAAAAAxs/VA=")</f>
        <v>#VALUE!</v>
      </c>
      <c r="CD139" t="e">
        <f>AND('SPR BARRANQUILLA'!CN166,"AAAAAAxs/VE=")</f>
        <v>#VALUE!</v>
      </c>
      <c r="CE139" t="e">
        <f>AND('SPR BARRANQUILLA'!CO166,"AAAAAAxs/VI=")</f>
        <v>#VALUE!</v>
      </c>
      <c r="CF139" t="e">
        <f>AND('SPR BARRANQUILLA'!CP166,"AAAAAAxs/VM=")</f>
        <v>#VALUE!</v>
      </c>
      <c r="CG139" t="e">
        <f>AND('SPR BARRANQUILLA'!CQ166,"AAAAAAxs/VQ=")</f>
        <v>#VALUE!</v>
      </c>
      <c r="CH139" t="e">
        <f>AND('SPR BARRANQUILLA'!CR166,"AAAAAAxs/VU=")</f>
        <v>#VALUE!</v>
      </c>
      <c r="CI139" t="e">
        <f>AND('SPR BARRANQUILLA'!CS166,"AAAAAAxs/VY=")</f>
        <v>#VALUE!</v>
      </c>
      <c r="CJ139" t="e">
        <f>AND('SPR BARRANQUILLA'!CT166,"AAAAAAxs/Vc=")</f>
        <v>#VALUE!</v>
      </c>
      <c r="CK139" t="e">
        <f>AND('SPR BARRANQUILLA'!CU166,"AAAAAAxs/Vg=")</f>
        <v>#VALUE!</v>
      </c>
      <c r="CL139" t="e">
        <f>AND('SPR BARRANQUILLA'!CV166,"AAAAAAxs/Vk=")</f>
        <v>#VALUE!</v>
      </c>
      <c r="CM139" t="e">
        <f>AND('SPR BARRANQUILLA'!CW166,"AAAAAAxs/Vo=")</f>
        <v>#VALUE!</v>
      </c>
      <c r="CN139" t="e">
        <f>AND('SPR BARRANQUILLA'!CX166,"AAAAAAxs/Vs=")</f>
        <v>#VALUE!</v>
      </c>
      <c r="CO139" t="e">
        <f>AND('SPR BARRANQUILLA'!CY166,"AAAAAAxs/Vw=")</f>
        <v>#VALUE!</v>
      </c>
      <c r="CP139" t="e">
        <f>AND('SPR BARRANQUILLA'!CZ166,"AAAAAAxs/V0=")</f>
        <v>#VALUE!</v>
      </c>
      <c r="CQ139" t="e">
        <f>AND('SPR BARRANQUILLA'!DA166,"AAAAAAxs/V4=")</f>
        <v>#VALUE!</v>
      </c>
      <c r="CR139" t="e">
        <f>AND('SPR BARRANQUILLA'!DB166,"AAAAAAxs/V8=")</f>
        <v>#VALUE!</v>
      </c>
      <c r="CS139" t="e">
        <f>AND('SPR BARRANQUILLA'!DC166,"AAAAAAxs/WA=")</f>
        <v>#VALUE!</v>
      </c>
      <c r="CT139" t="e">
        <f>AND('SPR BARRANQUILLA'!DD166,"AAAAAAxs/WE=")</f>
        <v>#VALUE!</v>
      </c>
      <c r="CU139" t="e">
        <f>AND('SPR BARRANQUILLA'!DE166,"AAAAAAxs/WI=")</f>
        <v>#VALUE!</v>
      </c>
      <c r="CV139" t="e">
        <f>AND('SPR BARRANQUILLA'!DF166,"AAAAAAxs/WM=")</f>
        <v>#VALUE!</v>
      </c>
      <c r="CW139" t="e">
        <f>AND('SPR BARRANQUILLA'!DG166,"AAAAAAxs/WQ=")</f>
        <v>#VALUE!</v>
      </c>
      <c r="CX139" t="e">
        <f>AND('SPR BARRANQUILLA'!DH166,"AAAAAAxs/WU=")</f>
        <v>#VALUE!</v>
      </c>
      <c r="CY139" t="e">
        <f>AND('SPR BARRANQUILLA'!DI166,"AAAAAAxs/WY=")</f>
        <v>#VALUE!</v>
      </c>
      <c r="CZ139" t="e">
        <f>AND('SPR BARRANQUILLA'!DJ166,"AAAAAAxs/Wc=")</f>
        <v>#VALUE!</v>
      </c>
      <c r="DA139" t="e">
        <f>AND('SPR BARRANQUILLA'!DK166,"AAAAAAxs/Wg=")</f>
        <v>#VALUE!</v>
      </c>
      <c r="DB139" t="e">
        <f>AND('SPR BARRANQUILLA'!DL166,"AAAAAAxs/Wk=")</f>
        <v>#VALUE!</v>
      </c>
      <c r="DC139" t="e">
        <f>AND('SPR BARRANQUILLA'!DM166,"AAAAAAxs/Wo=")</f>
        <v>#VALUE!</v>
      </c>
      <c r="DD139" t="e">
        <f>AND('SPR BARRANQUILLA'!DN166,"AAAAAAxs/Ws=")</f>
        <v>#VALUE!</v>
      </c>
      <c r="DE139" t="e">
        <f>AND('SPR BARRANQUILLA'!DO166,"AAAAAAxs/Ww=")</f>
        <v>#VALUE!</v>
      </c>
      <c r="DF139" t="e">
        <f>AND('SPR BARRANQUILLA'!DP166,"AAAAAAxs/W0=")</f>
        <v>#VALUE!</v>
      </c>
      <c r="DG139" t="e">
        <f>AND('SPR BARRANQUILLA'!DQ166,"AAAAAAxs/W4=")</f>
        <v>#VALUE!</v>
      </c>
      <c r="DH139" t="e">
        <f>AND('SPR BARRANQUILLA'!DR166,"AAAAAAxs/W8=")</f>
        <v>#VALUE!</v>
      </c>
      <c r="DI139" t="e">
        <f>AND('SPR BARRANQUILLA'!DS166,"AAAAAAxs/XA=")</f>
        <v>#VALUE!</v>
      </c>
      <c r="DJ139" t="e">
        <f>AND('SPR BARRANQUILLA'!DT166,"AAAAAAxs/XE=")</f>
        <v>#VALUE!</v>
      </c>
      <c r="DK139" t="e">
        <f>AND('SPR BARRANQUILLA'!DU166,"AAAAAAxs/XI=")</f>
        <v>#VALUE!</v>
      </c>
      <c r="DL139" t="e">
        <f>AND('SPR BARRANQUILLA'!DV166,"AAAAAAxs/XM=")</f>
        <v>#VALUE!</v>
      </c>
      <c r="DM139" t="e">
        <f>AND('SPR BARRANQUILLA'!DW166,"AAAAAAxs/XQ=")</f>
        <v>#VALUE!</v>
      </c>
      <c r="DN139" t="e">
        <f>AND('SPR BARRANQUILLA'!DX166,"AAAAAAxs/XU=")</f>
        <v>#VALUE!</v>
      </c>
      <c r="DO139" t="e">
        <f>AND('SPR BARRANQUILLA'!DY166,"AAAAAAxs/XY=")</f>
        <v>#VALUE!</v>
      </c>
      <c r="DP139" t="e">
        <f>AND('SPR BARRANQUILLA'!DZ166,"AAAAAAxs/Xc=")</f>
        <v>#VALUE!</v>
      </c>
      <c r="DQ139" t="e">
        <f>AND('SPR BARRANQUILLA'!EA166,"AAAAAAxs/Xg=")</f>
        <v>#VALUE!</v>
      </c>
      <c r="DR139" t="e">
        <f>AND('SPR BARRANQUILLA'!EB166,"AAAAAAxs/Xk=")</f>
        <v>#VALUE!</v>
      </c>
      <c r="DS139" t="e">
        <f>AND('SPR BARRANQUILLA'!EC166,"AAAAAAxs/Xo=")</f>
        <v>#VALUE!</v>
      </c>
      <c r="DT139" t="e">
        <f>AND('SPR BARRANQUILLA'!ED166,"AAAAAAxs/Xs=")</f>
        <v>#VALUE!</v>
      </c>
      <c r="DU139" t="e">
        <f>AND('SPR BARRANQUILLA'!EE166,"AAAAAAxs/Xw=")</f>
        <v>#VALUE!</v>
      </c>
      <c r="DV139" t="e">
        <f>AND('SPR BARRANQUILLA'!EF166,"AAAAAAxs/X0=")</f>
        <v>#VALUE!</v>
      </c>
      <c r="DW139" t="e">
        <f>AND('SPR BARRANQUILLA'!EG166,"AAAAAAxs/X4=")</f>
        <v>#VALUE!</v>
      </c>
      <c r="DX139" t="e">
        <f>AND('SPR BARRANQUILLA'!EH166,"AAAAAAxs/X8=")</f>
        <v>#VALUE!</v>
      </c>
      <c r="DY139" t="e">
        <f>AND('SPR BARRANQUILLA'!EI166,"AAAAAAxs/YA=")</f>
        <v>#VALUE!</v>
      </c>
      <c r="DZ139" t="e">
        <f>AND('SPR BARRANQUILLA'!EJ166,"AAAAAAxs/YE=")</f>
        <v>#VALUE!</v>
      </c>
      <c r="EA139" t="e">
        <f>AND('SPR BARRANQUILLA'!EK166,"AAAAAAxs/YI=")</f>
        <v>#VALUE!</v>
      </c>
      <c r="EB139" t="e">
        <f>AND('SPR BARRANQUILLA'!EL166,"AAAAAAxs/YM=")</f>
        <v>#VALUE!</v>
      </c>
      <c r="EC139" t="e">
        <f>AND('SPR BARRANQUILLA'!EM166,"AAAAAAxs/YQ=")</f>
        <v>#VALUE!</v>
      </c>
      <c r="ED139" t="e">
        <f>AND('SPR BARRANQUILLA'!EN166,"AAAAAAxs/YU=")</f>
        <v>#VALUE!</v>
      </c>
      <c r="EE139" t="e">
        <f>AND('SPR BARRANQUILLA'!EO166,"AAAAAAxs/YY=")</f>
        <v>#VALUE!</v>
      </c>
      <c r="EF139" t="e">
        <f>AND('SPR BARRANQUILLA'!EP166,"AAAAAAxs/Yc=")</f>
        <v>#VALUE!</v>
      </c>
      <c r="EG139" t="e">
        <f>AND('SPR BARRANQUILLA'!EQ166,"AAAAAAxs/Yg=")</f>
        <v>#VALUE!</v>
      </c>
      <c r="EH139" t="e">
        <f>AND('SPR BARRANQUILLA'!ER166,"AAAAAAxs/Yk=")</f>
        <v>#VALUE!</v>
      </c>
      <c r="EI139" t="e">
        <f>AND('SPR BARRANQUILLA'!ES166,"AAAAAAxs/Yo=")</f>
        <v>#VALUE!</v>
      </c>
      <c r="EJ139" t="e">
        <f>AND('SPR BARRANQUILLA'!ET166,"AAAAAAxs/Ys=")</f>
        <v>#VALUE!</v>
      </c>
      <c r="EK139" t="e">
        <f>AND('SPR BARRANQUILLA'!EU166,"AAAAAAxs/Yw=")</f>
        <v>#VALUE!</v>
      </c>
      <c r="EL139" t="e">
        <f>AND('SPR BARRANQUILLA'!EV166,"AAAAAAxs/Y0=")</f>
        <v>#VALUE!</v>
      </c>
      <c r="EM139" t="e">
        <f>AND('SPR BARRANQUILLA'!EW166,"AAAAAAxs/Y4=")</f>
        <v>#VALUE!</v>
      </c>
      <c r="EN139" t="e">
        <f>AND('SPR BARRANQUILLA'!EX166,"AAAAAAxs/Y8=")</f>
        <v>#VALUE!</v>
      </c>
      <c r="EO139" t="e">
        <f>AND('SPR BARRANQUILLA'!EY166,"AAAAAAxs/ZA=")</f>
        <v>#VALUE!</v>
      </c>
      <c r="EP139" t="e">
        <f>AND('SPR BARRANQUILLA'!EZ166,"AAAAAAxs/ZE=")</f>
        <v>#VALUE!</v>
      </c>
      <c r="EQ139" t="e">
        <f>AND('SPR BARRANQUILLA'!FA166,"AAAAAAxs/ZI=")</f>
        <v>#VALUE!</v>
      </c>
      <c r="ER139" t="e">
        <f>AND('SPR BARRANQUILLA'!FB166,"AAAAAAxs/ZM=")</f>
        <v>#VALUE!</v>
      </c>
      <c r="ES139" t="e">
        <f>AND('SPR BARRANQUILLA'!FC166,"AAAAAAxs/ZQ=")</f>
        <v>#VALUE!</v>
      </c>
      <c r="ET139" t="e">
        <f>AND('SPR BARRANQUILLA'!FD166,"AAAAAAxs/ZU=")</f>
        <v>#VALUE!</v>
      </c>
      <c r="EU139" t="e">
        <f>AND('SPR BARRANQUILLA'!FE166,"AAAAAAxs/ZY=")</f>
        <v>#VALUE!</v>
      </c>
      <c r="EV139" t="e">
        <f>AND('SPR BARRANQUILLA'!FF166,"AAAAAAxs/Zc=")</f>
        <v>#VALUE!</v>
      </c>
      <c r="EW139" t="e">
        <f>AND('SPR BARRANQUILLA'!FG166,"AAAAAAxs/Zg=")</f>
        <v>#VALUE!</v>
      </c>
      <c r="EX139" t="e">
        <f>AND('SPR BARRANQUILLA'!FH166,"AAAAAAxs/Zk=")</f>
        <v>#VALUE!</v>
      </c>
      <c r="EY139" t="e">
        <f>AND('SPR BARRANQUILLA'!FI166,"AAAAAAxs/Zo=")</f>
        <v>#VALUE!</v>
      </c>
      <c r="EZ139" t="e">
        <f>AND('SPR BARRANQUILLA'!FJ166,"AAAAAAxs/Zs=")</f>
        <v>#VALUE!</v>
      </c>
      <c r="FA139" t="e">
        <f>AND('SPR BARRANQUILLA'!FK166,"AAAAAAxs/Zw=")</f>
        <v>#VALUE!</v>
      </c>
      <c r="FB139" t="e">
        <f>AND('SPR BARRANQUILLA'!FL166,"AAAAAAxs/Z0=")</f>
        <v>#VALUE!</v>
      </c>
      <c r="FC139" t="e">
        <f>AND('SPR BARRANQUILLA'!FM166,"AAAAAAxs/Z4=")</f>
        <v>#VALUE!</v>
      </c>
      <c r="FD139" t="e">
        <f>AND('SPR BARRANQUILLA'!FN166,"AAAAAAxs/Z8=")</f>
        <v>#VALUE!</v>
      </c>
      <c r="FE139" t="e">
        <f>AND('SPR BARRANQUILLA'!FO166,"AAAAAAxs/aA=")</f>
        <v>#VALUE!</v>
      </c>
      <c r="FF139" t="e">
        <f>AND('SPR BARRANQUILLA'!FP166,"AAAAAAxs/aE=")</f>
        <v>#VALUE!</v>
      </c>
      <c r="FG139" t="e">
        <f>AND('SPR BARRANQUILLA'!FQ166,"AAAAAAxs/aI=")</f>
        <v>#VALUE!</v>
      </c>
      <c r="FH139" t="e">
        <f>AND('SPR BARRANQUILLA'!FR166,"AAAAAAxs/aM=")</f>
        <v>#VALUE!</v>
      </c>
      <c r="FI139" t="e">
        <f>AND('SPR BARRANQUILLA'!FS166,"AAAAAAxs/aQ=")</f>
        <v>#VALUE!</v>
      </c>
      <c r="FJ139" t="e">
        <f>AND('SPR BARRANQUILLA'!FT166,"AAAAAAxs/aU=")</f>
        <v>#VALUE!</v>
      </c>
      <c r="FK139" t="e">
        <f>AND('SPR BARRANQUILLA'!FU166,"AAAAAAxs/aY=")</f>
        <v>#VALUE!</v>
      </c>
      <c r="FL139" t="e">
        <f>AND('SPR BARRANQUILLA'!FV166,"AAAAAAxs/ac=")</f>
        <v>#VALUE!</v>
      </c>
      <c r="FM139" t="e">
        <f>AND('SPR BARRANQUILLA'!FW166,"AAAAAAxs/ag=")</f>
        <v>#VALUE!</v>
      </c>
      <c r="FN139" t="e">
        <f>AND('SPR BARRANQUILLA'!FX166,"AAAAAAxs/ak=")</f>
        <v>#VALUE!</v>
      </c>
      <c r="FO139" t="e">
        <f>AND('SPR BARRANQUILLA'!FY166,"AAAAAAxs/ao=")</f>
        <v>#VALUE!</v>
      </c>
      <c r="FP139" t="e">
        <f>AND('SPR BARRANQUILLA'!FZ166,"AAAAAAxs/as=")</f>
        <v>#VALUE!</v>
      </c>
      <c r="FQ139" t="e">
        <f>AND('SPR BARRANQUILLA'!GA166,"AAAAAAxs/aw=")</f>
        <v>#VALUE!</v>
      </c>
      <c r="FR139" t="e">
        <f>AND('SPR BARRANQUILLA'!GB166,"AAAAAAxs/a0=")</f>
        <v>#VALUE!</v>
      </c>
      <c r="FS139" t="e">
        <f>AND('SPR BARRANQUILLA'!GC166,"AAAAAAxs/a4=")</f>
        <v>#VALUE!</v>
      </c>
      <c r="FT139" t="e">
        <f>AND('SPR BARRANQUILLA'!GD166,"AAAAAAxs/a8=")</f>
        <v>#VALUE!</v>
      </c>
      <c r="FU139" t="e">
        <f>AND('SPR BARRANQUILLA'!GE166,"AAAAAAxs/bA=")</f>
        <v>#VALUE!</v>
      </c>
      <c r="FV139" t="e">
        <f>AND('SPR BARRANQUILLA'!GF166,"AAAAAAxs/bE=")</f>
        <v>#VALUE!</v>
      </c>
      <c r="FW139" t="e">
        <f>AND('SPR BARRANQUILLA'!GG166,"AAAAAAxs/bI=")</f>
        <v>#VALUE!</v>
      </c>
      <c r="FX139" t="e">
        <f>AND('SPR BARRANQUILLA'!GH166,"AAAAAAxs/bM=")</f>
        <v>#VALUE!</v>
      </c>
      <c r="FY139" t="e">
        <f>AND('SPR BARRANQUILLA'!GI166,"AAAAAAxs/bQ=")</f>
        <v>#VALUE!</v>
      </c>
      <c r="FZ139" t="e">
        <f>AND('SPR BARRANQUILLA'!GJ166,"AAAAAAxs/bU=")</f>
        <v>#VALUE!</v>
      </c>
      <c r="GA139" t="e">
        <f>AND('SPR BARRANQUILLA'!GK166,"AAAAAAxs/bY=")</f>
        <v>#VALUE!</v>
      </c>
      <c r="GB139" t="e">
        <f>AND('SPR BARRANQUILLA'!GL166,"AAAAAAxs/bc=")</f>
        <v>#VALUE!</v>
      </c>
      <c r="GC139" t="e">
        <f>AND('SPR BARRANQUILLA'!GM166,"AAAAAAxs/bg=")</f>
        <v>#VALUE!</v>
      </c>
      <c r="GD139" t="e">
        <f>AND('SPR BARRANQUILLA'!GN166,"AAAAAAxs/bk=")</f>
        <v>#VALUE!</v>
      </c>
      <c r="GE139" t="e">
        <f>AND('SPR BARRANQUILLA'!GO166,"AAAAAAxs/bo=")</f>
        <v>#VALUE!</v>
      </c>
      <c r="GF139" t="e">
        <f>AND('SPR BARRANQUILLA'!GP166,"AAAAAAxs/bs=")</f>
        <v>#VALUE!</v>
      </c>
      <c r="GG139" t="e">
        <f>AND('SPR BARRANQUILLA'!GQ166,"AAAAAAxs/bw=")</f>
        <v>#VALUE!</v>
      </c>
      <c r="GH139" t="e">
        <f>AND('SPR BARRANQUILLA'!GR166,"AAAAAAxs/b0=")</f>
        <v>#VALUE!</v>
      </c>
      <c r="GI139" t="e">
        <f>AND('SPR BARRANQUILLA'!GS166,"AAAAAAxs/b4=")</f>
        <v>#VALUE!</v>
      </c>
      <c r="GJ139" t="e">
        <f>AND('SPR BARRANQUILLA'!GT166,"AAAAAAxs/b8=")</f>
        <v>#VALUE!</v>
      </c>
      <c r="GK139" t="e">
        <f>AND('SPR BARRANQUILLA'!GU166,"AAAAAAxs/cA=")</f>
        <v>#VALUE!</v>
      </c>
      <c r="GL139" t="e">
        <f>AND('SPR BARRANQUILLA'!GV166,"AAAAAAxs/cE=")</f>
        <v>#VALUE!</v>
      </c>
      <c r="GM139" t="e">
        <f>AND('SPR BARRANQUILLA'!GW166,"AAAAAAxs/cI=")</f>
        <v>#VALUE!</v>
      </c>
      <c r="GN139" t="e">
        <f>AND('SPR BARRANQUILLA'!GX166,"AAAAAAxs/cM=")</f>
        <v>#VALUE!</v>
      </c>
      <c r="GO139" t="e">
        <f>AND('SPR BARRANQUILLA'!GY166,"AAAAAAxs/cQ=")</f>
        <v>#VALUE!</v>
      </c>
      <c r="GP139">
        <f>IF('SPR BARRANQUILLA'!167:167,"AAAAAAxs/cU=",0)</f>
        <v>0</v>
      </c>
      <c r="GQ139" t="e">
        <f>AND('SPR BARRANQUILLA'!A167,"AAAAAAxs/cY=")</f>
        <v>#VALUE!</v>
      </c>
      <c r="GR139" t="e">
        <f>AND('SPR BARRANQUILLA'!B167,"AAAAAAxs/cc=")</f>
        <v>#VALUE!</v>
      </c>
      <c r="GS139" t="e">
        <f>AND('SPR BARRANQUILLA'!C167,"AAAAAAxs/cg=")</f>
        <v>#VALUE!</v>
      </c>
      <c r="GT139" t="e">
        <f>AND('SPR BARRANQUILLA'!D167,"AAAAAAxs/ck=")</f>
        <v>#VALUE!</v>
      </c>
      <c r="GU139" t="e">
        <f>AND('SPR BARRANQUILLA'!E167,"AAAAAAxs/co=")</f>
        <v>#VALUE!</v>
      </c>
      <c r="GV139" t="e">
        <f>AND('SPR BARRANQUILLA'!F167,"AAAAAAxs/cs=")</f>
        <v>#VALUE!</v>
      </c>
      <c r="GW139" t="e">
        <f>AND('SPR BARRANQUILLA'!G167,"AAAAAAxs/cw=")</f>
        <v>#VALUE!</v>
      </c>
      <c r="GX139" t="e">
        <f>AND('SPR BARRANQUILLA'!H167,"AAAAAAxs/c0=")</f>
        <v>#VALUE!</v>
      </c>
      <c r="GY139" t="e">
        <f>AND('SPR BARRANQUILLA'!I167,"AAAAAAxs/c4=")</f>
        <v>#VALUE!</v>
      </c>
      <c r="GZ139" t="e">
        <f>AND('SPR BARRANQUILLA'!J167,"AAAAAAxs/c8=")</f>
        <v>#VALUE!</v>
      </c>
      <c r="HA139" t="e">
        <f>AND('SPR BARRANQUILLA'!K167,"AAAAAAxs/dA=")</f>
        <v>#VALUE!</v>
      </c>
      <c r="HB139" t="e">
        <f>AND('SPR BARRANQUILLA'!L167,"AAAAAAxs/dE=")</f>
        <v>#VALUE!</v>
      </c>
      <c r="HC139" t="e">
        <f>AND('SPR BARRANQUILLA'!M167,"AAAAAAxs/dI=")</f>
        <v>#VALUE!</v>
      </c>
      <c r="HD139" t="e">
        <f>AND('SPR BARRANQUILLA'!N167,"AAAAAAxs/dM=")</f>
        <v>#VALUE!</v>
      </c>
      <c r="HE139" t="e">
        <f>AND('SPR BARRANQUILLA'!O167,"AAAAAAxs/dQ=")</f>
        <v>#VALUE!</v>
      </c>
      <c r="HF139" t="e">
        <f>AND('SPR BARRANQUILLA'!P167,"AAAAAAxs/dU=")</f>
        <v>#VALUE!</v>
      </c>
      <c r="HG139" t="e">
        <f>AND('SPR BARRANQUILLA'!Q167,"AAAAAAxs/dY=")</f>
        <v>#VALUE!</v>
      </c>
      <c r="HH139" t="e">
        <f>AND('SPR BARRANQUILLA'!R167,"AAAAAAxs/dc=")</f>
        <v>#VALUE!</v>
      </c>
      <c r="HI139" t="e">
        <f>AND('SPR BARRANQUILLA'!S167,"AAAAAAxs/dg=")</f>
        <v>#VALUE!</v>
      </c>
      <c r="HJ139" t="e">
        <f>AND('SPR BARRANQUILLA'!T167,"AAAAAAxs/dk=")</f>
        <v>#VALUE!</v>
      </c>
      <c r="HK139" t="e">
        <f>AND('SPR BARRANQUILLA'!U167,"AAAAAAxs/do=")</f>
        <v>#VALUE!</v>
      </c>
      <c r="HL139" t="e">
        <f>AND('SPR BARRANQUILLA'!V167,"AAAAAAxs/ds=")</f>
        <v>#VALUE!</v>
      </c>
      <c r="HM139" t="e">
        <f>AND('SPR BARRANQUILLA'!W167,"AAAAAAxs/dw=")</f>
        <v>#VALUE!</v>
      </c>
      <c r="HN139" t="e">
        <f>AND('SPR BARRANQUILLA'!X167,"AAAAAAxs/d0=")</f>
        <v>#VALUE!</v>
      </c>
      <c r="HO139" t="e">
        <f>AND('SPR BARRANQUILLA'!Y167,"AAAAAAxs/d4=")</f>
        <v>#VALUE!</v>
      </c>
      <c r="HP139" t="e">
        <f>AND('SPR BARRANQUILLA'!Z167,"AAAAAAxs/d8=")</f>
        <v>#VALUE!</v>
      </c>
      <c r="HQ139" t="e">
        <f>AND('SPR BARRANQUILLA'!AA167,"AAAAAAxs/eA=")</f>
        <v>#VALUE!</v>
      </c>
      <c r="HR139" t="e">
        <f>AND('SPR BARRANQUILLA'!AB167,"AAAAAAxs/eE=")</f>
        <v>#VALUE!</v>
      </c>
      <c r="HS139" t="e">
        <f>AND('SPR BARRANQUILLA'!AC167,"AAAAAAxs/eI=")</f>
        <v>#VALUE!</v>
      </c>
      <c r="HT139" t="e">
        <f>AND('SPR BARRANQUILLA'!AD167,"AAAAAAxs/eM=")</f>
        <v>#VALUE!</v>
      </c>
      <c r="HU139" t="e">
        <f>AND('SPR BARRANQUILLA'!AE167,"AAAAAAxs/eQ=")</f>
        <v>#VALUE!</v>
      </c>
      <c r="HV139" t="e">
        <f>AND('SPR BARRANQUILLA'!AF167,"AAAAAAxs/eU=")</f>
        <v>#VALUE!</v>
      </c>
      <c r="HW139" t="e">
        <f>AND('SPR BARRANQUILLA'!AG167,"AAAAAAxs/eY=")</f>
        <v>#VALUE!</v>
      </c>
      <c r="HX139" t="e">
        <f>AND('SPR BARRANQUILLA'!AH167,"AAAAAAxs/ec=")</f>
        <v>#VALUE!</v>
      </c>
      <c r="HY139" t="e">
        <f>AND('SPR BARRANQUILLA'!AI167,"AAAAAAxs/eg=")</f>
        <v>#VALUE!</v>
      </c>
      <c r="HZ139" t="e">
        <f>AND('SPR BARRANQUILLA'!AJ167,"AAAAAAxs/ek=")</f>
        <v>#VALUE!</v>
      </c>
      <c r="IA139" t="e">
        <f>AND('SPR BARRANQUILLA'!AK167,"AAAAAAxs/eo=")</f>
        <v>#VALUE!</v>
      </c>
      <c r="IB139" t="e">
        <f>AND('SPR BARRANQUILLA'!AL167,"AAAAAAxs/es=")</f>
        <v>#VALUE!</v>
      </c>
      <c r="IC139" t="e">
        <f>AND('SPR BARRANQUILLA'!AM167,"AAAAAAxs/ew=")</f>
        <v>#VALUE!</v>
      </c>
      <c r="ID139" t="e">
        <f>AND('SPR BARRANQUILLA'!AN167,"AAAAAAxs/e0=")</f>
        <v>#VALUE!</v>
      </c>
      <c r="IE139" t="e">
        <f>AND('SPR BARRANQUILLA'!AO167,"AAAAAAxs/e4=")</f>
        <v>#VALUE!</v>
      </c>
      <c r="IF139" t="e">
        <f>AND('SPR BARRANQUILLA'!AP167,"AAAAAAxs/e8=")</f>
        <v>#VALUE!</v>
      </c>
      <c r="IG139" t="e">
        <f>AND('SPR BARRANQUILLA'!AQ167,"AAAAAAxs/fA=")</f>
        <v>#VALUE!</v>
      </c>
      <c r="IH139" t="e">
        <f>AND('SPR BARRANQUILLA'!AR167,"AAAAAAxs/fE=")</f>
        <v>#VALUE!</v>
      </c>
      <c r="II139" t="e">
        <f>AND('SPR BARRANQUILLA'!AS167,"AAAAAAxs/fI=")</f>
        <v>#VALUE!</v>
      </c>
      <c r="IJ139" t="e">
        <f>AND('SPR BARRANQUILLA'!AT167,"AAAAAAxs/fM=")</f>
        <v>#VALUE!</v>
      </c>
      <c r="IK139" t="e">
        <f>AND('SPR BARRANQUILLA'!AU167,"AAAAAAxs/fQ=")</f>
        <v>#VALUE!</v>
      </c>
      <c r="IL139" t="e">
        <f>AND('SPR BARRANQUILLA'!AV167,"AAAAAAxs/fU=")</f>
        <v>#VALUE!</v>
      </c>
      <c r="IM139" t="e">
        <f>AND('SPR BARRANQUILLA'!AW167,"AAAAAAxs/fY=")</f>
        <v>#VALUE!</v>
      </c>
      <c r="IN139" t="e">
        <f>AND('SPR BARRANQUILLA'!AX167,"AAAAAAxs/fc=")</f>
        <v>#VALUE!</v>
      </c>
      <c r="IO139" t="e">
        <f>AND('SPR BARRANQUILLA'!AY167,"AAAAAAxs/fg=")</f>
        <v>#VALUE!</v>
      </c>
      <c r="IP139" t="e">
        <f>AND('SPR BARRANQUILLA'!AZ167,"AAAAAAxs/fk=")</f>
        <v>#VALUE!</v>
      </c>
      <c r="IQ139" t="e">
        <f>AND('SPR BARRANQUILLA'!BA167,"AAAAAAxs/fo=")</f>
        <v>#VALUE!</v>
      </c>
      <c r="IR139" t="e">
        <f>AND('SPR BARRANQUILLA'!BB167,"AAAAAAxs/fs=")</f>
        <v>#VALUE!</v>
      </c>
      <c r="IS139" t="e">
        <f>AND('SPR BARRANQUILLA'!BC167,"AAAAAAxs/fw=")</f>
        <v>#VALUE!</v>
      </c>
      <c r="IT139" t="e">
        <f>AND('SPR BARRANQUILLA'!BD167,"AAAAAAxs/f0=")</f>
        <v>#VALUE!</v>
      </c>
      <c r="IU139" t="e">
        <f>AND('SPR BARRANQUILLA'!BE167,"AAAAAAxs/f4=")</f>
        <v>#VALUE!</v>
      </c>
      <c r="IV139" t="e">
        <f>AND('SPR BARRANQUILLA'!BF167,"AAAAAAxs/f8=")</f>
        <v>#VALUE!</v>
      </c>
    </row>
    <row r="140" spans="1:256">
      <c r="A140" t="e">
        <f>AND('SPR BARRANQUILLA'!BG167,"AAAAADvv9QA=")</f>
        <v>#VALUE!</v>
      </c>
      <c r="B140" t="e">
        <f>AND('SPR BARRANQUILLA'!BH167,"AAAAADvv9QE=")</f>
        <v>#VALUE!</v>
      </c>
      <c r="C140" t="e">
        <f>AND('SPR BARRANQUILLA'!BI167,"AAAAADvv9QI=")</f>
        <v>#VALUE!</v>
      </c>
      <c r="D140" t="e">
        <f>AND('SPR BARRANQUILLA'!BJ167,"AAAAADvv9QM=")</f>
        <v>#VALUE!</v>
      </c>
      <c r="E140" t="e">
        <f>AND('SPR BARRANQUILLA'!BK167,"AAAAADvv9QQ=")</f>
        <v>#VALUE!</v>
      </c>
      <c r="F140" t="e">
        <f>AND('SPR BARRANQUILLA'!BL167,"AAAAADvv9QU=")</f>
        <v>#VALUE!</v>
      </c>
      <c r="G140" t="e">
        <f>AND('SPR BARRANQUILLA'!BM167,"AAAAADvv9QY=")</f>
        <v>#VALUE!</v>
      </c>
      <c r="H140" t="e">
        <f>AND('SPR BARRANQUILLA'!BN167,"AAAAADvv9Qc=")</f>
        <v>#VALUE!</v>
      </c>
      <c r="I140" t="e">
        <f>AND('SPR BARRANQUILLA'!BO167,"AAAAADvv9Qg=")</f>
        <v>#VALUE!</v>
      </c>
      <c r="J140" t="e">
        <f>AND('SPR BARRANQUILLA'!BP167,"AAAAADvv9Qk=")</f>
        <v>#VALUE!</v>
      </c>
      <c r="K140" t="e">
        <f>AND('SPR BARRANQUILLA'!BQ167,"AAAAADvv9Qo=")</f>
        <v>#VALUE!</v>
      </c>
      <c r="L140" t="e">
        <f>AND('SPR BARRANQUILLA'!BR167,"AAAAADvv9Qs=")</f>
        <v>#VALUE!</v>
      </c>
      <c r="M140" t="e">
        <f>AND('SPR BARRANQUILLA'!BS167,"AAAAADvv9Qw=")</f>
        <v>#VALUE!</v>
      </c>
      <c r="N140" t="e">
        <f>AND('SPR BARRANQUILLA'!BT167,"AAAAADvv9Q0=")</f>
        <v>#VALUE!</v>
      </c>
      <c r="O140" t="e">
        <f>AND('SPR BARRANQUILLA'!BU167,"AAAAADvv9Q4=")</f>
        <v>#VALUE!</v>
      </c>
      <c r="P140" t="e">
        <f>AND('SPR BARRANQUILLA'!BV167,"AAAAADvv9Q8=")</f>
        <v>#VALUE!</v>
      </c>
      <c r="Q140" t="e">
        <f>AND('SPR BARRANQUILLA'!BW167,"AAAAADvv9RA=")</f>
        <v>#VALUE!</v>
      </c>
      <c r="R140" t="e">
        <f>AND('SPR BARRANQUILLA'!BX167,"AAAAADvv9RE=")</f>
        <v>#VALUE!</v>
      </c>
      <c r="S140" t="e">
        <f>AND('SPR BARRANQUILLA'!BY167,"AAAAADvv9RI=")</f>
        <v>#VALUE!</v>
      </c>
      <c r="T140" t="e">
        <f>AND('SPR BARRANQUILLA'!BZ167,"AAAAADvv9RM=")</f>
        <v>#VALUE!</v>
      </c>
      <c r="U140" t="e">
        <f>AND('SPR BARRANQUILLA'!CA167,"AAAAADvv9RQ=")</f>
        <v>#VALUE!</v>
      </c>
      <c r="V140" t="e">
        <f>AND('SPR BARRANQUILLA'!CB167,"AAAAADvv9RU=")</f>
        <v>#VALUE!</v>
      </c>
      <c r="W140" t="e">
        <f>AND('SPR BARRANQUILLA'!CC167,"AAAAADvv9RY=")</f>
        <v>#VALUE!</v>
      </c>
      <c r="X140" t="e">
        <f>AND('SPR BARRANQUILLA'!CD167,"AAAAADvv9Rc=")</f>
        <v>#VALUE!</v>
      </c>
      <c r="Y140" t="e">
        <f>AND('SPR BARRANQUILLA'!CE167,"AAAAADvv9Rg=")</f>
        <v>#VALUE!</v>
      </c>
      <c r="Z140" t="e">
        <f>AND('SPR BARRANQUILLA'!CF167,"AAAAADvv9Rk=")</f>
        <v>#VALUE!</v>
      </c>
      <c r="AA140" t="e">
        <f>AND('SPR BARRANQUILLA'!CG167,"AAAAADvv9Ro=")</f>
        <v>#VALUE!</v>
      </c>
      <c r="AB140" t="e">
        <f>AND('SPR BARRANQUILLA'!CH167,"AAAAADvv9Rs=")</f>
        <v>#VALUE!</v>
      </c>
      <c r="AC140" t="e">
        <f>AND('SPR BARRANQUILLA'!CI167,"AAAAADvv9Rw=")</f>
        <v>#VALUE!</v>
      </c>
      <c r="AD140" t="e">
        <f>AND('SPR BARRANQUILLA'!CJ167,"AAAAADvv9R0=")</f>
        <v>#VALUE!</v>
      </c>
      <c r="AE140" t="e">
        <f>AND('SPR BARRANQUILLA'!CK167,"AAAAADvv9R4=")</f>
        <v>#VALUE!</v>
      </c>
      <c r="AF140" t="e">
        <f>AND('SPR BARRANQUILLA'!CL167,"AAAAADvv9R8=")</f>
        <v>#VALUE!</v>
      </c>
      <c r="AG140" t="e">
        <f>AND('SPR BARRANQUILLA'!CM167,"AAAAADvv9SA=")</f>
        <v>#VALUE!</v>
      </c>
      <c r="AH140" t="e">
        <f>AND('SPR BARRANQUILLA'!CN167,"AAAAADvv9SE=")</f>
        <v>#VALUE!</v>
      </c>
      <c r="AI140" t="e">
        <f>AND('SPR BARRANQUILLA'!CO167,"AAAAADvv9SI=")</f>
        <v>#VALUE!</v>
      </c>
      <c r="AJ140" t="e">
        <f>AND('SPR BARRANQUILLA'!CP167,"AAAAADvv9SM=")</f>
        <v>#VALUE!</v>
      </c>
      <c r="AK140" t="e">
        <f>AND('SPR BARRANQUILLA'!CQ167,"AAAAADvv9SQ=")</f>
        <v>#VALUE!</v>
      </c>
      <c r="AL140" t="e">
        <f>AND('SPR BARRANQUILLA'!CR167,"AAAAADvv9SU=")</f>
        <v>#VALUE!</v>
      </c>
      <c r="AM140" t="e">
        <f>AND('SPR BARRANQUILLA'!CS167,"AAAAADvv9SY=")</f>
        <v>#VALUE!</v>
      </c>
      <c r="AN140" t="e">
        <f>AND('SPR BARRANQUILLA'!CT167,"AAAAADvv9Sc=")</f>
        <v>#VALUE!</v>
      </c>
      <c r="AO140" t="e">
        <f>AND('SPR BARRANQUILLA'!CU167,"AAAAADvv9Sg=")</f>
        <v>#VALUE!</v>
      </c>
      <c r="AP140" t="e">
        <f>AND('SPR BARRANQUILLA'!CV167,"AAAAADvv9Sk=")</f>
        <v>#VALUE!</v>
      </c>
      <c r="AQ140" t="e">
        <f>AND('SPR BARRANQUILLA'!CW167,"AAAAADvv9So=")</f>
        <v>#VALUE!</v>
      </c>
      <c r="AR140" t="e">
        <f>AND('SPR BARRANQUILLA'!CX167,"AAAAADvv9Ss=")</f>
        <v>#VALUE!</v>
      </c>
      <c r="AS140" t="e">
        <f>AND('SPR BARRANQUILLA'!CY167,"AAAAADvv9Sw=")</f>
        <v>#VALUE!</v>
      </c>
      <c r="AT140" t="e">
        <f>AND('SPR BARRANQUILLA'!CZ167,"AAAAADvv9S0=")</f>
        <v>#VALUE!</v>
      </c>
      <c r="AU140" t="e">
        <f>AND('SPR BARRANQUILLA'!DA167,"AAAAADvv9S4=")</f>
        <v>#VALUE!</v>
      </c>
      <c r="AV140" t="e">
        <f>AND('SPR BARRANQUILLA'!DB167,"AAAAADvv9S8=")</f>
        <v>#VALUE!</v>
      </c>
      <c r="AW140" t="e">
        <f>AND('SPR BARRANQUILLA'!DC167,"AAAAADvv9TA=")</f>
        <v>#VALUE!</v>
      </c>
      <c r="AX140" t="e">
        <f>AND('SPR BARRANQUILLA'!DD167,"AAAAADvv9TE=")</f>
        <v>#VALUE!</v>
      </c>
      <c r="AY140" t="e">
        <f>AND('SPR BARRANQUILLA'!DE167,"AAAAADvv9TI=")</f>
        <v>#VALUE!</v>
      </c>
      <c r="AZ140" t="e">
        <f>AND('SPR BARRANQUILLA'!DF167,"AAAAADvv9TM=")</f>
        <v>#VALUE!</v>
      </c>
      <c r="BA140" t="e">
        <f>AND('SPR BARRANQUILLA'!DG167,"AAAAADvv9TQ=")</f>
        <v>#VALUE!</v>
      </c>
      <c r="BB140" t="e">
        <f>AND('SPR BARRANQUILLA'!DH167,"AAAAADvv9TU=")</f>
        <v>#VALUE!</v>
      </c>
      <c r="BC140" t="e">
        <f>AND('SPR BARRANQUILLA'!DI167,"AAAAADvv9TY=")</f>
        <v>#VALUE!</v>
      </c>
      <c r="BD140" t="e">
        <f>AND('SPR BARRANQUILLA'!DJ167,"AAAAADvv9Tc=")</f>
        <v>#VALUE!</v>
      </c>
      <c r="BE140" t="e">
        <f>AND('SPR BARRANQUILLA'!DK167,"AAAAADvv9Tg=")</f>
        <v>#VALUE!</v>
      </c>
      <c r="BF140" t="e">
        <f>AND('SPR BARRANQUILLA'!DL167,"AAAAADvv9Tk=")</f>
        <v>#VALUE!</v>
      </c>
      <c r="BG140" t="e">
        <f>AND('SPR BARRANQUILLA'!DM167,"AAAAADvv9To=")</f>
        <v>#VALUE!</v>
      </c>
      <c r="BH140" t="e">
        <f>AND('SPR BARRANQUILLA'!DN167,"AAAAADvv9Ts=")</f>
        <v>#VALUE!</v>
      </c>
      <c r="BI140" t="e">
        <f>AND('SPR BARRANQUILLA'!DO167,"AAAAADvv9Tw=")</f>
        <v>#VALUE!</v>
      </c>
      <c r="BJ140" t="e">
        <f>AND('SPR BARRANQUILLA'!DP167,"AAAAADvv9T0=")</f>
        <v>#VALUE!</v>
      </c>
      <c r="BK140" t="e">
        <f>AND('SPR BARRANQUILLA'!DQ167,"AAAAADvv9T4=")</f>
        <v>#VALUE!</v>
      </c>
      <c r="BL140" t="e">
        <f>AND('SPR BARRANQUILLA'!DR167,"AAAAADvv9T8=")</f>
        <v>#VALUE!</v>
      </c>
      <c r="BM140" t="e">
        <f>AND('SPR BARRANQUILLA'!DS167,"AAAAADvv9UA=")</f>
        <v>#VALUE!</v>
      </c>
      <c r="BN140" t="e">
        <f>AND('SPR BARRANQUILLA'!DT167,"AAAAADvv9UE=")</f>
        <v>#VALUE!</v>
      </c>
      <c r="BO140" t="e">
        <f>AND('SPR BARRANQUILLA'!DU167,"AAAAADvv9UI=")</f>
        <v>#VALUE!</v>
      </c>
      <c r="BP140" t="e">
        <f>AND('SPR BARRANQUILLA'!DV167,"AAAAADvv9UM=")</f>
        <v>#VALUE!</v>
      </c>
      <c r="BQ140" t="e">
        <f>AND('SPR BARRANQUILLA'!DW167,"AAAAADvv9UQ=")</f>
        <v>#VALUE!</v>
      </c>
      <c r="BR140" t="e">
        <f>AND('SPR BARRANQUILLA'!DX167,"AAAAADvv9UU=")</f>
        <v>#VALUE!</v>
      </c>
      <c r="BS140" t="e">
        <f>AND('SPR BARRANQUILLA'!DY167,"AAAAADvv9UY=")</f>
        <v>#VALUE!</v>
      </c>
      <c r="BT140" t="e">
        <f>AND('SPR BARRANQUILLA'!DZ167,"AAAAADvv9Uc=")</f>
        <v>#VALUE!</v>
      </c>
      <c r="BU140" t="e">
        <f>AND('SPR BARRANQUILLA'!EA167,"AAAAADvv9Ug=")</f>
        <v>#VALUE!</v>
      </c>
      <c r="BV140" t="e">
        <f>AND('SPR BARRANQUILLA'!EB167,"AAAAADvv9Uk=")</f>
        <v>#VALUE!</v>
      </c>
      <c r="BW140" t="e">
        <f>AND('SPR BARRANQUILLA'!EC167,"AAAAADvv9Uo=")</f>
        <v>#VALUE!</v>
      </c>
      <c r="BX140" t="e">
        <f>AND('SPR BARRANQUILLA'!ED167,"AAAAADvv9Us=")</f>
        <v>#VALUE!</v>
      </c>
      <c r="BY140" t="e">
        <f>AND('SPR BARRANQUILLA'!EE167,"AAAAADvv9Uw=")</f>
        <v>#VALUE!</v>
      </c>
      <c r="BZ140" t="e">
        <f>AND('SPR BARRANQUILLA'!EF167,"AAAAADvv9U0=")</f>
        <v>#VALUE!</v>
      </c>
      <c r="CA140" t="e">
        <f>AND('SPR BARRANQUILLA'!EG167,"AAAAADvv9U4=")</f>
        <v>#VALUE!</v>
      </c>
      <c r="CB140" t="e">
        <f>AND('SPR BARRANQUILLA'!EH167,"AAAAADvv9U8=")</f>
        <v>#VALUE!</v>
      </c>
      <c r="CC140" t="e">
        <f>AND('SPR BARRANQUILLA'!EI167,"AAAAADvv9VA=")</f>
        <v>#VALUE!</v>
      </c>
      <c r="CD140" t="e">
        <f>AND('SPR BARRANQUILLA'!EJ167,"AAAAADvv9VE=")</f>
        <v>#VALUE!</v>
      </c>
      <c r="CE140" t="e">
        <f>AND('SPR BARRANQUILLA'!EK167,"AAAAADvv9VI=")</f>
        <v>#VALUE!</v>
      </c>
      <c r="CF140" t="e">
        <f>AND('SPR BARRANQUILLA'!EL167,"AAAAADvv9VM=")</f>
        <v>#VALUE!</v>
      </c>
      <c r="CG140" t="e">
        <f>AND('SPR BARRANQUILLA'!EM167,"AAAAADvv9VQ=")</f>
        <v>#VALUE!</v>
      </c>
      <c r="CH140" t="e">
        <f>AND('SPR BARRANQUILLA'!EN167,"AAAAADvv9VU=")</f>
        <v>#VALUE!</v>
      </c>
      <c r="CI140" t="e">
        <f>AND('SPR BARRANQUILLA'!EO167,"AAAAADvv9VY=")</f>
        <v>#VALUE!</v>
      </c>
      <c r="CJ140" t="e">
        <f>AND('SPR BARRANQUILLA'!EP167,"AAAAADvv9Vc=")</f>
        <v>#VALUE!</v>
      </c>
      <c r="CK140" t="e">
        <f>AND('SPR BARRANQUILLA'!EQ167,"AAAAADvv9Vg=")</f>
        <v>#VALUE!</v>
      </c>
      <c r="CL140" t="e">
        <f>AND('SPR BARRANQUILLA'!ER167,"AAAAADvv9Vk=")</f>
        <v>#VALUE!</v>
      </c>
      <c r="CM140" t="e">
        <f>AND('SPR BARRANQUILLA'!ES167,"AAAAADvv9Vo=")</f>
        <v>#VALUE!</v>
      </c>
      <c r="CN140" t="e">
        <f>AND('SPR BARRANQUILLA'!ET167,"AAAAADvv9Vs=")</f>
        <v>#VALUE!</v>
      </c>
      <c r="CO140" t="e">
        <f>AND('SPR BARRANQUILLA'!EU167,"AAAAADvv9Vw=")</f>
        <v>#VALUE!</v>
      </c>
      <c r="CP140" t="e">
        <f>AND('SPR BARRANQUILLA'!EV167,"AAAAADvv9V0=")</f>
        <v>#VALUE!</v>
      </c>
      <c r="CQ140" t="e">
        <f>AND('SPR BARRANQUILLA'!EW167,"AAAAADvv9V4=")</f>
        <v>#VALUE!</v>
      </c>
      <c r="CR140" t="e">
        <f>AND('SPR BARRANQUILLA'!EX167,"AAAAADvv9V8=")</f>
        <v>#VALUE!</v>
      </c>
      <c r="CS140" t="e">
        <f>AND('SPR BARRANQUILLA'!EY167,"AAAAADvv9WA=")</f>
        <v>#VALUE!</v>
      </c>
      <c r="CT140" t="e">
        <f>AND('SPR BARRANQUILLA'!EZ167,"AAAAADvv9WE=")</f>
        <v>#VALUE!</v>
      </c>
      <c r="CU140" t="e">
        <f>AND('SPR BARRANQUILLA'!FA167,"AAAAADvv9WI=")</f>
        <v>#VALUE!</v>
      </c>
      <c r="CV140" t="e">
        <f>AND('SPR BARRANQUILLA'!FB167,"AAAAADvv9WM=")</f>
        <v>#VALUE!</v>
      </c>
      <c r="CW140" t="e">
        <f>AND('SPR BARRANQUILLA'!FC167,"AAAAADvv9WQ=")</f>
        <v>#VALUE!</v>
      </c>
      <c r="CX140" t="e">
        <f>AND('SPR BARRANQUILLA'!FD167,"AAAAADvv9WU=")</f>
        <v>#VALUE!</v>
      </c>
      <c r="CY140" t="e">
        <f>AND('SPR BARRANQUILLA'!FE167,"AAAAADvv9WY=")</f>
        <v>#VALUE!</v>
      </c>
      <c r="CZ140" t="e">
        <f>AND('SPR BARRANQUILLA'!FF167,"AAAAADvv9Wc=")</f>
        <v>#VALUE!</v>
      </c>
      <c r="DA140" t="e">
        <f>AND('SPR BARRANQUILLA'!FG167,"AAAAADvv9Wg=")</f>
        <v>#VALUE!</v>
      </c>
      <c r="DB140" t="e">
        <f>AND('SPR BARRANQUILLA'!FH167,"AAAAADvv9Wk=")</f>
        <v>#VALUE!</v>
      </c>
      <c r="DC140" t="e">
        <f>AND('SPR BARRANQUILLA'!FI167,"AAAAADvv9Wo=")</f>
        <v>#VALUE!</v>
      </c>
      <c r="DD140" t="e">
        <f>AND('SPR BARRANQUILLA'!FJ167,"AAAAADvv9Ws=")</f>
        <v>#VALUE!</v>
      </c>
      <c r="DE140" t="e">
        <f>AND('SPR BARRANQUILLA'!FK167,"AAAAADvv9Ww=")</f>
        <v>#VALUE!</v>
      </c>
      <c r="DF140" t="e">
        <f>AND('SPR BARRANQUILLA'!FL167,"AAAAADvv9W0=")</f>
        <v>#VALUE!</v>
      </c>
      <c r="DG140" t="e">
        <f>AND('SPR BARRANQUILLA'!FM167,"AAAAADvv9W4=")</f>
        <v>#VALUE!</v>
      </c>
      <c r="DH140" t="e">
        <f>AND('SPR BARRANQUILLA'!FN167,"AAAAADvv9W8=")</f>
        <v>#VALUE!</v>
      </c>
      <c r="DI140" t="e">
        <f>AND('SPR BARRANQUILLA'!FO167,"AAAAADvv9XA=")</f>
        <v>#VALUE!</v>
      </c>
      <c r="DJ140" t="e">
        <f>AND('SPR BARRANQUILLA'!FP167,"AAAAADvv9XE=")</f>
        <v>#VALUE!</v>
      </c>
      <c r="DK140" t="e">
        <f>AND('SPR BARRANQUILLA'!FQ167,"AAAAADvv9XI=")</f>
        <v>#VALUE!</v>
      </c>
      <c r="DL140" t="e">
        <f>AND('SPR BARRANQUILLA'!FR167,"AAAAADvv9XM=")</f>
        <v>#VALUE!</v>
      </c>
      <c r="DM140" t="e">
        <f>AND('SPR BARRANQUILLA'!FS167,"AAAAADvv9XQ=")</f>
        <v>#VALUE!</v>
      </c>
      <c r="DN140" t="e">
        <f>AND('SPR BARRANQUILLA'!FT167,"AAAAADvv9XU=")</f>
        <v>#VALUE!</v>
      </c>
      <c r="DO140" t="e">
        <f>AND('SPR BARRANQUILLA'!FU167,"AAAAADvv9XY=")</f>
        <v>#VALUE!</v>
      </c>
      <c r="DP140" t="e">
        <f>AND('SPR BARRANQUILLA'!FV167,"AAAAADvv9Xc=")</f>
        <v>#VALUE!</v>
      </c>
      <c r="DQ140" t="e">
        <f>AND('SPR BARRANQUILLA'!FW167,"AAAAADvv9Xg=")</f>
        <v>#VALUE!</v>
      </c>
      <c r="DR140" t="e">
        <f>AND('SPR BARRANQUILLA'!FX167,"AAAAADvv9Xk=")</f>
        <v>#VALUE!</v>
      </c>
      <c r="DS140" t="e">
        <f>AND('SPR BARRANQUILLA'!FY167,"AAAAADvv9Xo=")</f>
        <v>#VALUE!</v>
      </c>
      <c r="DT140" t="e">
        <f>AND('SPR BARRANQUILLA'!FZ167,"AAAAADvv9Xs=")</f>
        <v>#VALUE!</v>
      </c>
      <c r="DU140" t="e">
        <f>AND('SPR BARRANQUILLA'!GA167,"AAAAADvv9Xw=")</f>
        <v>#VALUE!</v>
      </c>
      <c r="DV140" t="e">
        <f>AND('SPR BARRANQUILLA'!GB167,"AAAAADvv9X0=")</f>
        <v>#VALUE!</v>
      </c>
      <c r="DW140" t="e">
        <f>AND('SPR BARRANQUILLA'!GC167,"AAAAADvv9X4=")</f>
        <v>#VALUE!</v>
      </c>
      <c r="DX140" t="e">
        <f>AND('SPR BARRANQUILLA'!GD167,"AAAAADvv9X8=")</f>
        <v>#VALUE!</v>
      </c>
      <c r="DY140" t="e">
        <f>AND('SPR BARRANQUILLA'!GE167,"AAAAADvv9YA=")</f>
        <v>#VALUE!</v>
      </c>
      <c r="DZ140" t="e">
        <f>AND('SPR BARRANQUILLA'!GF167,"AAAAADvv9YE=")</f>
        <v>#VALUE!</v>
      </c>
      <c r="EA140" t="e">
        <f>AND('SPR BARRANQUILLA'!GG167,"AAAAADvv9YI=")</f>
        <v>#VALUE!</v>
      </c>
      <c r="EB140" t="e">
        <f>AND('SPR BARRANQUILLA'!GH167,"AAAAADvv9YM=")</f>
        <v>#VALUE!</v>
      </c>
      <c r="EC140" t="e">
        <f>AND('SPR BARRANQUILLA'!GI167,"AAAAADvv9YQ=")</f>
        <v>#VALUE!</v>
      </c>
      <c r="ED140" t="e">
        <f>AND('SPR BARRANQUILLA'!GJ167,"AAAAADvv9YU=")</f>
        <v>#VALUE!</v>
      </c>
      <c r="EE140" t="e">
        <f>AND('SPR BARRANQUILLA'!GK167,"AAAAADvv9YY=")</f>
        <v>#VALUE!</v>
      </c>
      <c r="EF140" t="e">
        <f>AND('SPR BARRANQUILLA'!GL167,"AAAAADvv9Yc=")</f>
        <v>#VALUE!</v>
      </c>
      <c r="EG140" t="e">
        <f>AND('SPR BARRANQUILLA'!GM167,"AAAAADvv9Yg=")</f>
        <v>#VALUE!</v>
      </c>
      <c r="EH140" t="e">
        <f>AND('SPR BARRANQUILLA'!GN167,"AAAAADvv9Yk=")</f>
        <v>#VALUE!</v>
      </c>
      <c r="EI140" t="e">
        <f>AND('SPR BARRANQUILLA'!GO167,"AAAAADvv9Yo=")</f>
        <v>#VALUE!</v>
      </c>
      <c r="EJ140" t="e">
        <f>AND('SPR BARRANQUILLA'!GP167,"AAAAADvv9Ys=")</f>
        <v>#VALUE!</v>
      </c>
      <c r="EK140" t="e">
        <f>AND('SPR BARRANQUILLA'!GQ167,"AAAAADvv9Yw=")</f>
        <v>#VALUE!</v>
      </c>
      <c r="EL140" t="e">
        <f>AND('SPR BARRANQUILLA'!GR167,"AAAAADvv9Y0=")</f>
        <v>#VALUE!</v>
      </c>
      <c r="EM140" t="e">
        <f>AND('SPR BARRANQUILLA'!GS167,"AAAAADvv9Y4=")</f>
        <v>#VALUE!</v>
      </c>
      <c r="EN140" t="e">
        <f>AND('SPR BARRANQUILLA'!GT167,"AAAAADvv9Y8=")</f>
        <v>#VALUE!</v>
      </c>
      <c r="EO140" t="e">
        <f>AND('SPR BARRANQUILLA'!GU167,"AAAAADvv9ZA=")</f>
        <v>#VALUE!</v>
      </c>
      <c r="EP140" t="e">
        <f>AND('SPR BARRANQUILLA'!GV167,"AAAAADvv9ZE=")</f>
        <v>#VALUE!</v>
      </c>
      <c r="EQ140" t="e">
        <f>AND('SPR BARRANQUILLA'!GW167,"AAAAADvv9ZI=")</f>
        <v>#VALUE!</v>
      </c>
      <c r="ER140" t="e">
        <f>AND('SPR BARRANQUILLA'!GX167,"AAAAADvv9ZM=")</f>
        <v>#VALUE!</v>
      </c>
      <c r="ES140" t="e">
        <f>AND('SPR BARRANQUILLA'!GY167,"AAAAADvv9ZQ=")</f>
        <v>#VALUE!</v>
      </c>
      <c r="ET140">
        <f>IF('SPR BARRANQUILLA'!168:168,"AAAAADvv9ZU=",0)</f>
        <v>0</v>
      </c>
      <c r="EU140" t="e">
        <f>AND('SPR BARRANQUILLA'!A168,"AAAAADvv9ZY=")</f>
        <v>#VALUE!</v>
      </c>
      <c r="EV140" t="e">
        <f>AND('SPR BARRANQUILLA'!B168,"AAAAADvv9Zc=")</f>
        <v>#VALUE!</v>
      </c>
      <c r="EW140" t="e">
        <f>AND('SPR BARRANQUILLA'!C168,"AAAAADvv9Zg=")</f>
        <v>#VALUE!</v>
      </c>
      <c r="EX140" t="e">
        <f>AND('SPR BARRANQUILLA'!D168,"AAAAADvv9Zk=")</f>
        <v>#VALUE!</v>
      </c>
      <c r="EY140" t="e">
        <f>AND('SPR BARRANQUILLA'!E168,"AAAAADvv9Zo=")</f>
        <v>#VALUE!</v>
      </c>
      <c r="EZ140" t="e">
        <f>AND('SPR BARRANQUILLA'!F168,"AAAAADvv9Zs=")</f>
        <v>#VALUE!</v>
      </c>
      <c r="FA140" t="e">
        <f>AND('SPR BARRANQUILLA'!G168,"AAAAADvv9Zw=")</f>
        <v>#VALUE!</v>
      </c>
      <c r="FB140" t="e">
        <f>AND('SPR BARRANQUILLA'!H168,"AAAAADvv9Z0=")</f>
        <v>#VALUE!</v>
      </c>
      <c r="FC140" t="e">
        <f>AND('SPR BARRANQUILLA'!I168,"AAAAADvv9Z4=")</f>
        <v>#VALUE!</v>
      </c>
      <c r="FD140" t="e">
        <f>AND('SPR BARRANQUILLA'!J168,"AAAAADvv9Z8=")</f>
        <v>#VALUE!</v>
      </c>
      <c r="FE140" t="e">
        <f>AND('SPR BARRANQUILLA'!K168,"AAAAADvv9aA=")</f>
        <v>#VALUE!</v>
      </c>
      <c r="FF140" t="e">
        <f>AND('SPR BARRANQUILLA'!L168,"AAAAADvv9aE=")</f>
        <v>#VALUE!</v>
      </c>
      <c r="FG140" t="e">
        <f>AND('SPR BARRANQUILLA'!M168,"AAAAADvv9aI=")</f>
        <v>#VALUE!</v>
      </c>
      <c r="FH140" t="e">
        <f>AND('SPR BARRANQUILLA'!N168,"AAAAADvv9aM=")</f>
        <v>#VALUE!</v>
      </c>
      <c r="FI140" t="e">
        <f>AND('SPR BARRANQUILLA'!O168,"AAAAADvv9aQ=")</f>
        <v>#VALUE!</v>
      </c>
      <c r="FJ140" t="e">
        <f>AND('SPR BARRANQUILLA'!P168,"AAAAADvv9aU=")</f>
        <v>#VALUE!</v>
      </c>
      <c r="FK140" t="e">
        <f>AND('SPR BARRANQUILLA'!Q168,"AAAAADvv9aY=")</f>
        <v>#VALUE!</v>
      </c>
      <c r="FL140" t="e">
        <f>AND('SPR BARRANQUILLA'!R168,"AAAAADvv9ac=")</f>
        <v>#VALUE!</v>
      </c>
      <c r="FM140" t="e">
        <f>AND('SPR BARRANQUILLA'!S168,"AAAAADvv9ag=")</f>
        <v>#VALUE!</v>
      </c>
      <c r="FN140" t="e">
        <f>AND('SPR BARRANQUILLA'!T168,"AAAAADvv9ak=")</f>
        <v>#VALUE!</v>
      </c>
      <c r="FO140" t="e">
        <f>AND('SPR BARRANQUILLA'!U168,"AAAAADvv9ao=")</f>
        <v>#VALUE!</v>
      </c>
      <c r="FP140" t="e">
        <f>AND('SPR BARRANQUILLA'!V168,"AAAAADvv9as=")</f>
        <v>#VALUE!</v>
      </c>
      <c r="FQ140" t="e">
        <f>AND('SPR BARRANQUILLA'!W168,"AAAAADvv9aw=")</f>
        <v>#VALUE!</v>
      </c>
      <c r="FR140" t="e">
        <f>AND('SPR BARRANQUILLA'!X168,"AAAAADvv9a0=")</f>
        <v>#VALUE!</v>
      </c>
      <c r="FS140" t="e">
        <f>AND('SPR BARRANQUILLA'!Y168,"AAAAADvv9a4=")</f>
        <v>#VALUE!</v>
      </c>
      <c r="FT140" t="e">
        <f>AND('SPR BARRANQUILLA'!Z168,"AAAAADvv9a8=")</f>
        <v>#VALUE!</v>
      </c>
      <c r="FU140" t="e">
        <f>AND('SPR BARRANQUILLA'!AA168,"AAAAADvv9bA=")</f>
        <v>#VALUE!</v>
      </c>
      <c r="FV140" t="e">
        <f>AND('SPR BARRANQUILLA'!AB168,"AAAAADvv9bE=")</f>
        <v>#VALUE!</v>
      </c>
      <c r="FW140" t="e">
        <f>AND('SPR BARRANQUILLA'!AC168,"AAAAADvv9bI=")</f>
        <v>#VALUE!</v>
      </c>
      <c r="FX140" t="e">
        <f>AND('SPR BARRANQUILLA'!AD168,"AAAAADvv9bM=")</f>
        <v>#VALUE!</v>
      </c>
      <c r="FY140" t="e">
        <f>AND('SPR BARRANQUILLA'!AE168,"AAAAADvv9bQ=")</f>
        <v>#VALUE!</v>
      </c>
      <c r="FZ140" t="e">
        <f>AND('SPR BARRANQUILLA'!AF168,"AAAAADvv9bU=")</f>
        <v>#VALUE!</v>
      </c>
      <c r="GA140" t="e">
        <f>AND('SPR BARRANQUILLA'!AG168,"AAAAADvv9bY=")</f>
        <v>#VALUE!</v>
      </c>
      <c r="GB140" t="e">
        <f>AND('SPR BARRANQUILLA'!AH168,"AAAAADvv9bc=")</f>
        <v>#VALUE!</v>
      </c>
      <c r="GC140" t="e">
        <f>AND('SPR BARRANQUILLA'!AI168,"AAAAADvv9bg=")</f>
        <v>#VALUE!</v>
      </c>
      <c r="GD140" t="e">
        <f>AND('SPR BARRANQUILLA'!AJ168,"AAAAADvv9bk=")</f>
        <v>#VALUE!</v>
      </c>
      <c r="GE140" t="e">
        <f>AND('SPR BARRANQUILLA'!AK168,"AAAAADvv9bo=")</f>
        <v>#VALUE!</v>
      </c>
      <c r="GF140" t="e">
        <f>AND('SPR BARRANQUILLA'!AL168,"AAAAADvv9bs=")</f>
        <v>#VALUE!</v>
      </c>
      <c r="GG140" t="e">
        <f>AND('SPR BARRANQUILLA'!AM168,"AAAAADvv9bw=")</f>
        <v>#VALUE!</v>
      </c>
      <c r="GH140" t="e">
        <f>AND('SPR BARRANQUILLA'!AN168,"AAAAADvv9b0=")</f>
        <v>#VALUE!</v>
      </c>
      <c r="GI140" t="e">
        <f>AND('SPR BARRANQUILLA'!AO168,"AAAAADvv9b4=")</f>
        <v>#VALUE!</v>
      </c>
      <c r="GJ140" t="e">
        <f>AND('SPR BARRANQUILLA'!AP168,"AAAAADvv9b8=")</f>
        <v>#VALUE!</v>
      </c>
      <c r="GK140" t="e">
        <f>AND('SPR BARRANQUILLA'!AQ168,"AAAAADvv9cA=")</f>
        <v>#VALUE!</v>
      </c>
      <c r="GL140" t="e">
        <f>AND('SPR BARRANQUILLA'!AR168,"AAAAADvv9cE=")</f>
        <v>#VALUE!</v>
      </c>
      <c r="GM140" t="e">
        <f>AND('SPR BARRANQUILLA'!AS168,"AAAAADvv9cI=")</f>
        <v>#VALUE!</v>
      </c>
      <c r="GN140" t="e">
        <f>AND('SPR BARRANQUILLA'!AT168,"AAAAADvv9cM=")</f>
        <v>#VALUE!</v>
      </c>
      <c r="GO140" t="e">
        <f>AND('SPR BARRANQUILLA'!AU168,"AAAAADvv9cQ=")</f>
        <v>#VALUE!</v>
      </c>
      <c r="GP140" t="e">
        <f>AND('SPR BARRANQUILLA'!AV168,"AAAAADvv9cU=")</f>
        <v>#VALUE!</v>
      </c>
      <c r="GQ140" t="e">
        <f>AND('SPR BARRANQUILLA'!AW168,"AAAAADvv9cY=")</f>
        <v>#VALUE!</v>
      </c>
      <c r="GR140" t="e">
        <f>AND('SPR BARRANQUILLA'!AX168,"AAAAADvv9cc=")</f>
        <v>#VALUE!</v>
      </c>
      <c r="GS140" t="e">
        <f>AND('SPR BARRANQUILLA'!AY168,"AAAAADvv9cg=")</f>
        <v>#VALUE!</v>
      </c>
      <c r="GT140" t="e">
        <f>AND('SPR BARRANQUILLA'!AZ168,"AAAAADvv9ck=")</f>
        <v>#VALUE!</v>
      </c>
      <c r="GU140" t="e">
        <f>AND('SPR BARRANQUILLA'!BA168,"AAAAADvv9co=")</f>
        <v>#VALUE!</v>
      </c>
      <c r="GV140" t="e">
        <f>AND('SPR BARRANQUILLA'!BB168,"AAAAADvv9cs=")</f>
        <v>#VALUE!</v>
      </c>
      <c r="GW140" t="e">
        <f>AND('SPR BARRANQUILLA'!BC168,"AAAAADvv9cw=")</f>
        <v>#VALUE!</v>
      </c>
      <c r="GX140" t="e">
        <f>AND('SPR BARRANQUILLA'!BD168,"AAAAADvv9c0=")</f>
        <v>#VALUE!</v>
      </c>
      <c r="GY140" t="e">
        <f>AND('SPR BARRANQUILLA'!BE168,"AAAAADvv9c4=")</f>
        <v>#VALUE!</v>
      </c>
      <c r="GZ140" t="e">
        <f>AND('SPR BARRANQUILLA'!BF168,"AAAAADvv9c8=")</f>
        <v>#VALUE!</v>
      </c>
      <c r="HA140" t="e">
        <f>AND('SPR BARRANQUILLA'!BG168,"AAAAADvv9dA=")</f>
        <v>#VALUE!</v>
      </c>
      <c r="HB140" t="e">
        <f>AND('SPR BARRANQUILLA'!BH168,"AAAAADvv9dE=")</f>
        <v>#VALUE!</v>
      </c>
      <c r="HC140" t="e">
        <f>AND('SPR BARRANQUILLA'!BI168,"AAAAADvv9dI=")</f>
        <v>#VALUE!</v>
      </c>
      <c r="HD140" t="e">
        <f>AND('SPR BARRANQUILLA'!BJ168,"AAAAADvv9dM=")</f>
        <v>#VALUE!</v>
      </c>
      <c r="HE140" t="e">
        <f>AND('SPR BARRANQUILLA'!BK168,"AAAAADvv9dQ=")</f>
        <v>#VALUE!</v>
      </c>
      <c r="HF140" t="e">
        <f>AND('SPR BARRANQUILLA'!BL168,"AAAAADvv9dU=")</f>
        <v>#VALUE!</v>
      </c>
      <c r="HG140" t="e">
        <f>AND('SPR BARRANQUILLA'!BM168,"AAAAADvv9dY=")</f>
        <v>#VALUE!</v>
      </c>
      <c r="HH140" t="e">
        <f>AND('SPR BARRANQUILLA'!BN168,"AAAAADvv9dc=")</f>
        <v>#VALUE!</v>
      </c>
      <c r="HI140" t="e">
        <f>AND('SPR BARRANQUILLA'!BO168,"AAAAADvv9dg=")</f>
        <v>#VALUE!</v>
      </c>
      <c r="HJ140" t="e">
        <f>AND('SPR BARRANQUILLA'!BP168,"AAAAADvv9dk=")</f>
        <v>#VALUE!</v>
      </c>
      <c r="HK140" t="e">
        <f>AND('SPR BARRANQUILLA'!BQ168,"AAAAADvv9do=")</f>
        <v>#VALUE!</v>
      </c>
      <c r="HL140" t="e">
        <f>AND('SPR BARRANQUILLA'!BR168,"AAAAADvv9ds=")</f>
        <v>#VALUE!</v>
      </c>
      <c r="HM140" t="e">
        <f>AND('SPR BARRANQUILLA'!BS168,"AAAAADvv9dw=")</f>
        <v>#VALUE!</v>
      </c>
      <c r="HN140" t="e">
        <f>AND('SPR BARRANQUILLA'!BT168,"AAAAADvv9d0=")</f>
        <v>#VALUE!</v>
      </c>
      <c r="HO140" t="e">
        <f>AND('SPR BARRANQUILLA'!BU168,"AAAAADvv9d4=")</f>
        <v>#VALUE!</v>
      </c>
      <c r="HP140" t="e">
        <f>AND('SPR BARRANQUILLA'!BV168,"AAAAADvv9d8=")</f>
        <v>#VALUE!</v>
      </c>
      <c r="HQ140" t="e">
        <f>AND('SPR BARRANQUILLA'!BW168,"AAAAADvv9eA=")</f>
        <v>#VALUE!</v>
      </c>
      <c r="HR140" t="e">
        <f>AND('SPR BARRANQUILLA'!BX168,"AAAAADvv9eE=")</f>
        <v>#VALUE!</v>
      </c>
      <c r="HS140" t="e">
        <f>AND('SPR BARRANQUILLA'!BY168,"AAAAADvv9eI=")</f>
        <v>#VALUE!</v>
      </c>
      <c r="HT140" t="e">
        <f>AND('SPR BARRANQUILLA'!BZ168,"AAAAADvv9eM=")</f>
        <v>#VALUE!</v>
      </c>
      <c r="HU140" t="e">
        <f>AND('SPR BARRANQUILLA'!CA168,"AAAAADvv9eQ=")</f>
        <v>#VALUE!</v>
      </c>
      <c r="HV140" t="e">
        <f>AND('SPR BARRANQUILLA'!CB168,"AAAAADvv9eU=")</f>
        <v>#VALUE!</v>
      </c>
      <c r="HW140" t="e">
        <f>AND('SPR BARRANQUILLA'!CC168,"AAAAADvv9eY=")</f>
        <v>#VALUE!</v>
      </c>
      <c r="HX140" t="e">
        <f>AND('SPR BARRANQUILLA'!CD168,"AAAAADvv9ec=")</f>
        <v>#VALUE!</v>
      </c>
      <c r="HY140" t="e">
        <f>AND('SPR BARRANQUILLA'!CE168,"AAAAADvv9eg=")</f>
        <v>#VALUE!</v>
      </c>
      <c r="HZ140" t="e">
        <f>AND('SPR BARRANQUILLA'!CF168,"AAAAADvv9ek=")</f>
        <v>#VALUE!</v>
      </c>
      <c r="IA140" t="e">
        <f>AND('SPR BARRANQUILLA'!CG168,"AAAAADvv9eo=")</f>
        <v>#VALUE!</v>
      </c>
      <c r="IB140" t="e">
        <f>AND('SPR BARRANQUILLA'!CH168,"AAAAADvv9es=")</f>
        <v>#VALUE!</v>
      </c>
      <c r="IC140" t="e">
        <f>AND('SPR BARRANQUILLA'!CI168,"AAAAADvv9ew=")</f>
        <v>#VALUE!</v>
      </c>
      <c r="ID140" t="e">
        <f>AND('SPR BARRANQUILLA'!CJ168,"AAAAADvv9e0=")</f>
        <v>#VALUE!</v>
      </c>
      <c r="IE140" t="e">
        <f>AND('SPR BARRANQUILLA'!CK168,"AAAAADvv9e4=")</f>
        <v>#VALUE!</v>
      </c>
      <c r="IF140" t="e">
        <f>AND('SPR BARRANQUILLA'!CL168,"AAAAADvv9e8=")</f>
        <v>#VALUE!</v>
      </c>
      <c r="IG140" t="e">
        <f>AND('SPR BARRANQUILLA'!CM168,"AAAAADvv9fA=")</f>
        <v>#VALUE!</v>
      </c>
      <c r="IH140" t="e">
        <f>AND('SPR BARRANQUILLA'!CN168,"AAAAADvv9fE=")</f>
        <v>#VALUE!</v>
      </c>
      <c r="II140" t="e">
        <f>AND('SPR BARRANQUILLA'!CO168,"AAAAADvv9fI=")</f>
        <v>#VALUE!</v>
      </c>
      <c r="IJ140" t="e">
        <f>AND('SPR BARRANQUILLA'!CP168,"AAAAADvv9fM=")</f>
        <v>#VALUE!</v>
      </c>
      <c r="IK140" t="e">
        <f>AND('SPR BARRANQUILLA'!CQ168,"AAAAADvv9fQ=")</f>
        <v>#VALUE!</v>
      </c>
      <c r="IL140" t="e">
        <f>AND('SPR BARRANQUILLA'!CR168,"AAAAADvv9fU=")</f>
        <v>#VALUE!</v>
      </c>
      <c r="IM140" t="e">
        <f>AND('SPR BARRANQUILLA'!CS168,"AAAAADvv9fY=")</f>
        <v>#VALUE!</v>
      </c>
      <c r="IN140" t="e">
        <f>AND('SPR BARRANQUILLA'!CT168,"AAAAADvv9fc=")</f>
        <v>#VALUE!</v>
      </c>
      <c r="IO140" t="e">
        <f>AND('SPR BARRANQUILLA'!CU168,"AAAAADvv9fg=")</f>
        <v>#VALUE!</v>
      </c>
      <c r="IP140" t="e">
        <f>AND('SPR BARRANQUILLA'!CV168,"AAAAADvv9fk=")</f>
        <v>#VALUE!</v>
      </c>
      <c r="IQ140" t="e">
        <f>AND('SPR BARRANQUILLA'!CW168,"AAAAADvv9fo=")</f>
        <v>#VALUE!</v>
      </c>
      <c r="IR140" t="e">
        <f>AND('SPR BARRANQUILLA'!CX168,"AAAAADvv9fs=")</f>
        <v>#VALUE!</v>
      </c>
      <c r="IS140" t="e">
        <f>AND('SPR BARRANQUILLA'!CY168,"AAAAADvv9fw=")</f>
        <v>#VALUE!</v>
      </c>
      <c r="IT140" t="e">
        <f>AND('SPR BARRANQUILLA'!CZ168,"AAAAADvv9f0=")</f>
        <v>#VALUE!</v>
      </c>
      <c r="IU140" t="e">
        <f>AND('SPR BARRANQUILLA'!DA168,"AAAAADvv9f4=")</f>
        <v>#VALUE!</v>
      </c>
      <c r="IV140" t="e">
        <f>AND('SPR BARRANQUILLA'!DB168,"AAAAADvv9f8=")</f>
        <v>#VALUE!</v>
      </c>
    </row>
    <row r="141" spans="1:256">
      <c r="A141" t="e">
        <f>AND('SPR BARRANQUILLA'!DC168,"AAAAAH5//QA=")</f>
        <v>#VALUE!</v>
      </c>
      <c r="B141" t="e">
        <f>AND('SPR BARRANQUILLA'!DD168,"AAAAAH5//QE=")</f>
        <v>#VALUE!</v>
      </c>
      <c r="C141" t="e">
        <f>AND('SPR BARRANQUILLA'!DE168,"AAAAAH5//QI=")</f>
        <v>#VALUE!</v>
      </c>
      <c r="D141" t="e">
        <f>AND('SPR BARRANQUILLA'!DF168,"AAAAAH5//QM=")</f>
        <v>#VALUE!</v>
      </c>
      <c r="E141" t="e">
        <f>AND('SPR BARRANQUILLA'!DG168,"AAAAAH5//QQ=")</f>
        <v>#VALUE!</v>
      </c>
      <c r="F141" t="e">
        <f>AND('SPR BARRANQUILLA'!DH168,"AAAAAH5//QU=")</f>
        <v>#VALUE!</v>
      </c>
      <c r="G141" t="e">
        <f>AND('SPR BARRANQUILLA'!DI168,"AAAAAH5//QY=")</f>
        <v>#VALUE!</v>
      </c>
      <c r="H141" t="e">
        <f>AND('SPR BARRANQUILLA'!DJ168,"AAAAAH5//Qc=")</f>
        <v>#VALUE!</v>
      </c>
      <c r="I141" t="e">
        <f>AND('SPR BARRANQUILLA'!DK168,"AAAAAH5//Qg=")</f>
        <v>#VALUE!</v>
      </c>
      <c r="J141" t="e">
        <f>AND('SPR BARRANQUILLA'!DL168,"AAAAAH5//Qk=")</f>
        <v>#VALUE!</v>
      </c>
      <c r="K141" t="e">
        <f>AND('SPR BARRANQUILLA'!DM168,"AAAAAH5//Qo=")</f>
        <v>#VALUE!</v>
      </c>
      <c r="L141" t="e">
        <f>AND('SPR BARRANQUILLA'!DN168,"AAAAAH5//Qs=")</f>
        <v>#VALUE!</v>
      </c>
      <c r="M141" t="e">
        <f>AND('SPR BARRANQUILLA'!DO168,"AAAAAH5//Qw=")</f>
        <v>#VALUE!</v>
      </c>
      <c r="N141" t="e">
        <f>AND('SPR BARRANQUILLA'!DP168,"AAAAAH5//Q0=")</f>
        <v>#VALUE!</v>
      </c>
      <c r="O141" t="e">
        <f>AND('SPR BARRANQUILLA'!DQ168,"AAAAAH5//Q4=")</f>
        <v>#VALUE!</v>
      </c>
      <c r="P141" t="e">
        <f>AND('SPR BARRANQUILLA'!DR168,"AAAAAH5//Q8=")</f>
        <v>#VALUE!</v>
      </c>
      <c r="Q141" t="e">
        <f>AND('SPR BARRANQUILLA'!DS168,"AAAAAH5//RA=")</f>
        <v>#VALUE!</v>
      </c>
      <c r="R141" t="e">
        <f>AND('SPR BARRANQUILLA'!DT168,"AAAAAH5//RE=")</f>
        <v>#VALUE!</v>
      </c>
      <c r="S141" t="e">
        <f>AND('SPR BARRANQUILLA'!DU168,"AAAAAH5//RI=")</f>
        <v>#VALUE!</v>
      </c>
      <c r="T141" t="e">
        <f>AND('SPR BARRANQUILLA'!DV168,"AAAAAH5//RM=")</f>
        <v>#VALUE!</v>
      </c>
      <c r="U141" t="e">
        <f>AND('SPR BARRANQUILLA'!DW168,"AAAAAH5//RQ=")</f>
        <v>#VALUE!</v>
      </c>
      <c r="V141" t="e">
        <f>AND('SPR BARRANQUILLA'!DX168,"AAAAAH5//RU=")</f>
        <v>#VALUE!</v>
      </c>
      <c r="W141" t="e">
        <f>AND('SPR BARRANQUILLA'!DY168,"AAAAAH5//RY=")</f>
        <v>#VALUE!</v>
      </c>
      <c r="X141" t="e">
        <f>AND('SPR BARRANQUILLA'!DZ168,"AAAAAH5//Rc=")</f>
        <v>#VALUE!</v>
      </c>
      <c r="Y141" t="e">
        <f>AND('SPR BARRANQUILLA'!EA168,"AAAAAH5//Rg=")</f>
        <v>#VALUE!</v>
      </c>
      <c r="Z141" t="e">
        <f>AND('SPR BARRANQUILLA'!EB168,"AAAAAH5//Rk=")</f>
        <v>#VALUE!</v>
      </c>
      <c r="AA141" t="e">
        <f>AND('SPR BARRANQUILLA'!EC168,"AAAAAH5//Ro=")</f>
        <v>#VALUE!</v>
      </c>
      <c r="AB141" t="e">
        <f>AND('SPR BARRANQUILLA'!ED168,"AAAAAH5//Rs=")</f>
        <v>#VALUE!</v>
      </c>
      <c r="AC141" t="e">
        <f>AND('SPR BARRANQUILLA'!EE168,"AAAAAH5//Rw=")</f>
        <v>#VALUE!</v>
      </c>
      <c r="AD141" t="e">
        <f>AND('SPR BARRANQUILLA'!EF168,"AAAAAH5//R0=")</f>
        <v>#VALUE!</v>
      </c>
      <c r="AE141" t="e">
        <f>AND('SPR BARRANQUILLA'!EG168,"AAAAAH5//R4=")</f>
        <v>#VALUE!</v>
      </c>
      <c r="AF141" t="e">
        <f>AND('SPR BARRANQUILLA'!EH168,"AAAAAH5//R8=")</f>
        <v>#VALUE!</v>
      </c>
      <c r="AG141" t="e">
        <f>AND('SPR BARRANQUILLA'!EI168,"AAAAAH5//SA=")</f>
        <v>#VALUE!</v>
      </c>
      <c r="AH141" t="e">
        <f>AND('SPR BARRANQUILLA'!EJ168,"AAAAAH5//SE=")</f>
        <v>#VALUE!</v>
      </c>
      <c r="AI141" t="e">
        <f>AND('SPR BARRANQUILLA'!EK168,"AAAAAH5//SI=")</f>
        <v>#VALUE!</v>
      </c>
      <c r="AJ141" t="e">
        <f>AND('SPR BARRANQUILLA'!EL168,"AAAAAH5//SM=")</f>
        <v>#VALUE!</v>
      </c>
      <c r="AK141" t="e">
        <f>AND('SPR BARRANQUILLA'!EM168,"AAAAAH5//SQ=")</f>
        <v>#VALUE!</v>
      </c>
      <c r="AL141" t="e">
        <f>AND('SPR BARRANQUILLA'!EN168,"AAAAAH5//SU=")</f>
        <v>#VALUE!</v>
      </c>
      <c r="AM141" t="e">
        <f>AND('SPR BARRANQUILLA'!EO168,"AAAAAH5//SY=")</f>
        <v>#VALUE!</v>
      </c>
      <c r="AN141" t="e">
        <f>AND('SPR BARRANQUILLA'!EP168,"AAAAAH5//Sc=")</f>
        <v>#VALUE!</v>
      </c>
      <c r="AO141" t="e">
        <f>AND('SPR BARRANQUILLA'!EQ168,"AAAAAH5//Sg=")</f>
        <v>#VALUE!</v>
      </c>
      <c r="AP141" t="e">
        <f>AND('SPR BARRANQUILLA'!ER168,"AAAAAH5//Sk=")</f>
        <v>#VALUE!</v>
      </c>
      <c r="AQ141" t="e">
        <f>AND('SPR BARRANQUILLA'!ES168,"AAAAAH5//So=")</f>
        <v>#VALUE!</v>
      </c>
      <c r="AR141" t="e">
        <f>AND('SPR BARRANQUILLA'!ET168,"AAAAAH5//Ss=")</f>
        <v>#VALUE!</v>
      </c>
      <c r="AS141" t="e">
        <f>AND('SPR BARRANQUILLA'!EU168,"AAAAAH5//Sw=")</f>
        <v>#VALUE!</v>
      </c>
      <c r="AT141" t="e">
        <f>AND('SPR BARRANQUILLA'!EV168,"AAAAAH5//S0=")</f>
        <v>#VALUE!</v>
      </c>
      <c r="AU141" t="e">
        <f>AND('SPR BARRANQUILLA'!EW168,"AAAAAH5//S4=")</f>
        <v>#VALUE!</v>
      </c>
      <c r="AV141" t="e">
        <f>AND('SPR BARRANQUILLA'!EX168,"AAAAAH5//S8=")</f>
        <v>#VALUE!</v>
      </c>
      <c r="AW141" t="e">
        <f>AND('SPR BARRANQUILLA'!EY168,"AAAAAH5//TA=")</f>
        <v>#VALUE!</v>
      </c>
      <c r="AX141" t="e">
        <f>AND('SPR BARRANQUILLA'!EZ168,"AAAAAH5//TE=")</f>
        <v>#VALUE!</v>
      </c>
      <c r="AY141" t="e">
        <f>AND('SPR BARRANQUILLA'!FA168,"AAAAAH5//TI=")</f>
        <v>#VALUE!</v>
      </c>
      <c r="AZ141" t="e">
        <f>AND('SPR BARRANQUILLA'!FB168,"AAAAAH5//TM=")</f>
        <v>#VALUE!</v>
      </c>
      <c r="BA141" t="e">
        <f>AND('SPR BARRANQUILLA'!FC168,"AAAAAH5//TQ=")</f>
        <v>#VALUE!</v>
      </c>
      <c r="BB141" t="e">
        <f>AND('SPR BARRANQUILLA'!FD168,"AAAAAH5//TU=")</f>
        <v>#VALUE!</v>
      </c>
      <c r="BC141" t="e">
        <f>AND('SPR BARRANQUILLA'!FE168,"AAAAAH5//TY=")</f>
        <v>#VALUE!</v>
      </c>
      <c r="BD141" t="e">
        <f>AND('SPR BARRANQUILLA'!FF168,"AAAAAH5//Tc=")</f>
        <v>#VALUE!</v>
      </c>
      <c r="BE141" t="e">
        <f>AND('SPR BARRANQUILLA'!FG168,"AAAAAH5//Tg=")</f>
        <v>#VALUE!</v>
      </c>
      <c r="BF141" t="e">
        <f>AND('SPR BARRANQUILLA'!FH168,"AAAAAH5//Tk=")</f>
        <v>#VALUE!</v>
      </c>
      <c r="BG141" t="e">
        <f>AND('SPR BARRANQUILLA'!FI168,"AAAAAH5//To=")</f>
        <v>#VALUE!</v>
      </c>
      <c r="BH141" t="e">
        <f>AND('SPR BARRANQUILLA'!FJ168,"AAAAAH5//Ts=")</f>
        <v>#VALUE!</v>
      </c>
      <c r="BI141" t="e">
        <f>AND('SPR BARRANQUILLA'!FK168,"AAAAAH5//Tw=")</f>
        <v>#VALUE!</v>
      </c>
      <c r="BJ141" t="e">
        <f>AND('SPR BARRANQUILLA'!FL168,"AAAAAH5//T0=")</f>
        <v>#VALUE!</v>
      </c>
      <c r="BK141" t="e">
        <f>AND('SPR BARRANQUILLA'!FM168,"AAAAAH5//T4=")</f>
        <v>#VALUE!</v>
      </c>
      <c r="BL141" t="e">
        <f>AND('SPR BARRANQUILLA'!FN168,"AAAAAH5//T8=")</f>
        <v>#VALUE!</v>
      </c>
      <c r="BM141" t="e">
        <f>AND('SPR BARRANQUILLA'!FO168,"AAAAAH5//UA=")</f>
        <v>#VALUE!</v>
      </c>
      <c r="BN141" t="e">
        <f>AND('SPR BARRANQUILLA'!FP168,"AAAAAH5//UE=")</f>
        <v>#VALUE!</v>
      </c>
      <c r="BO141" t="e">
        <f>AND('SPR BARRANQUILLA'!FQ168,"AAAAAH5//UI=")</f>
        <v>#VALUE!</v>
      </c>
      <c r="BP141" t="e">
        <f>AND('SPR BARRANQUILLA'!FR168,"AAAAAH5//UM=")</f>
        <v>#VALUE!</v>
      </c>
      <c r="BQ141" t="e">
        <f>AND('SPR BARRANQUILLA'!FS168,"AAAAAH5//UQ=")</f>
        <v>#VALUE!</v>
      </c>
      <c r="BR141" t="e">
        <f>AND('SPR BARRANQUILLA'!FT168,"AAAAAH5//UU=")</f>
        <v>#VALUE!</v>
      </c>
      <c r="BS141" t="e">
        <f>AND('SPR BARRANQUILLA'!FU168,"AAAAAH5//UY=")</f>
        <v>#VALUE!</v>
      </c>
      <c r="BT141" t="e">
        <f>AND('SPR BARRANQUILLA'!FV168,"AAAAAH5//Uc=")</f>
        <v>#VALUE!</v>
      </c>
      <c r="BU141" t="e">
        <f>AND('SPR BARRANQUILLA'!FW168,"AAAAAH5//Ug=")</f>
        <v>#VALUE!</v>
      </c>
      <c r="BV141" t="e">
        <f>AND('SPR BARRANQUILLA'!FX168,"AAAAAH5//Uk=")</f>
        <v>#VALUE!</v>
      </c>
      <c r="BW141" t="e">
        <f>AND('SPR BARRANQUILLA'!FY168,"AAAAAH5//Uo=")</f>
        <v>#VALUE!</v>
      </c>
      <c r="BX141" t="e">
        <f>AND('SPR BARRANQUILLA'!FZ168,"AAAAAH5//Us=")</f>
        <v>#VALUE!</v>
      </c>
      <c r="BY141" t="e">
        <f>AND('SPR BARRANQUILLA'!GA168,"AAAAAH5//Uw=")</f>
        <v>#VALUE!</v>
      </c>
      <c r="BZ141" t="e">
        <f>AND('SPR BARRANQUILLA'!GB168,"AAAAAH5//U0=")</f>
        <v>#VALUE!</v>
      </c>
      <c r="CA141" t="e">
        <f>AND('SPR BARRANQUILLA'!GC168,"AAAAAH5//U4=")</f>
        <v>#VALUE!</v>
      </c>
      <c r="CB141" t="e">
        <f>AND('SPR BARRANQUILLA'!GD168,"AAAAAH5//U8=")</f>
        <v>#VALUE!</v>
      </c>
      <c r="CC141" t="e">
        <f>AND('SPR BARRANQUILLA'!GE168,"AAAAAH5//VA=")</f>
        <v>#VALUE!</v>
      </c>
      <c r="CD141" t="e">
        <f>AND('SPR BARRANQUILLA'!GF168,"AAAAAH5//VE=")</f>
        <v>#VALUE!</v>
      </c>
      <c r="CE141" t="e">
        <f>AND('SPR BARRANQUILLA'!GG168,"AAAAAH5//VI=")</f>
        <v>#VALUE!</v>
      </c>
      <c r="CF141" t="e">
        <f>AND('SPR BARRANQUILLA'!GH168,"AAAAAH5//VM=")</f>
        <v>#VALUE!</v>
      </c>
      <c r="CG141" t="e">
        <f>AND('SPR BARRANQUILLA'!GI168,"AAAAAH5//VQ=")</f>
        <v>#VALUE!</v>
      </c>
      <c r="CH141" t="e">
        <f>AND('SPR BARRANQUILLA'!GJ168,"AAAAAH5//VU=")</f>
        <v>#VALUE!</v>
      </c>
      <c r="CI141" t="e">
        <f>AND('SPR BARRANQUILLA'!GK168,"AAAAAH5//VY=")</f>
        <v>#VALUE!</v>
      </c>
      <c r="CJ141" t="e">
        <f>AND('SPR BARRANQUILLA'!GL168,"AAAAAH5//Vc=")</f>
        <v>#VALUE!</v>
      </c>
      <c r="CK141" t="e">
        <f>AND('SPR BARRANQUILLA'!GM168,"AAAAAH5//Vg=")</f>
        <v>#VALUE!</v>
      </c>
      <c r="CL141" t="e">
        <f>AND('SPR BARRANQUILLA'!GN168,"AAAAAH5//Vk=")</f>
        <v>#VALUE!</v>
      </c>
      <c r="CM141" t="e">
        <f>AND('SPR BARRANQUILLA'!GO168,"AAAAAH5//Vo=")</f>
        <v>#VALUE!</v>
      </c>
      <c r="CN141" t="e">
        <f>AND('SPR BARRANQUILLA'!GP168,"AAAAAH5//Vs=")</f>
        <v>#VALUE!</v>
      </c>
      <c r="CO141" t="e">
        <f>AND('SPR BARRANQUILLA'!GQ168,"AAAAAH5//Vw=")</f>
        <v>#VALUE!</v>
      </c>
      <c r="CP141" t="e">
        <f>AND('SPR BARRANQUILLA'!GR168,"AAAAAH5//V0=")</f>
        <v>#VALUE!</v>
      </c>
      <c r="CQ141" t="e">
        <f>AND('SPR BARRANQUILLA'!GS168,"AAAAAH5//V4=")</f>
        <v>#VALUE!</v>
      </c>
      <c r="CR141" t="e">
        <f>AND('SPR BARRANQUILLA'!GT168,"AAAAAH5//V8=")</f>
        <v>#VALUE!</v>
      </c>
      <c r="CS141" t="e">
        <f>AND('SPR BARRANQUILLA'!GU168,"AAAAAH5//WA=")</f>
        <v>#VALUE!</v>
      </c>
      <c r="CT141" t="e">
        <f>AND('SPR BARRANQUILLA'!GV168,"AAAAAH5//WE=")</f>
        <v>#VALUE!</v>
      </c>
      <c r="CU141" t="e">
        <f>AND('SPR BARRANQUILLA'!GW168,"AAAAAH5//WI=")</f>
        <v>#VALUE!</v>
      </c>
      <c r="CV141" t="e">
        <f>AND('SPR BARRANQUILLA'!GX168,"AAAAAH5//WM=")</f>
        <v>#VALUE!</v>
      </c>
      <c r="CW141" t="e">
        <f>AND('SPR BARRANQUILLA'!GY168,"AAAAAH5//WQ=")</f>
        <v>#VALUE!</v>
      </c>
      <c r="CX141">
        <f>IF('SPR BARRANQUILLA'!169:169,"AAAAAH5//WU=",0)</f>
        <v>0</v>
      </c>
      <c r="CY141" t="e">
        <f>AND('SPR BARRANQUILLA'!A169,"AAAAAH5//WY=")</f>
        <v>#VALUE!</v>
      </c>
      <c r="CZ141" t="e">
        <f>AND('SPR BARRANQUILLA'!B169,"AAAAAH5//Wc=")</f>
        <v>#VALUE!</v>
      </c>
      <c r="DA141" t="e">
        <f>AND('SPR BARRANQUILLA'!C169,"AAAAAH5//Wg=")</f>
        <v>#VALUE!</v>
      </c>
      <c r="DB141" t="e">
        <f>AND('SPR BARRANQUILLA'!D169,"AAAAAH5//Wk=")</f>
        <v>#VALUE!</v>
      </c>
      <c r="DC141" t="e">
        <f>AND('SPR BARRANQUILLA'!E169,"AAAAAH5//Wo=")</f>
        <v>#VALUE!</v>
      </c>
      <c r="DD141" t="e">
        <f>AND('SPR BARRANQUILLA'!F169,"AAAAAH5//Ws=")</f>
        <v>#VALUE!</v>
      </c>
      <c r="DE141" t="e">
        <f>AND('SPR BARRANQUILLA'!G169,"AAAAAH5//Ww=")</f>
        <v>#VALUE!</v>
      </c>
      <c r="DF141" t="e">
        <f>AND('SPR BARRANQUILLA'!H169,"AAAAAH5//W0=")</f>
        <v>#VALUE!</v>
      </c>
      <c r="DG141" t="e">
        <f>AND('SPR BARRANQUILLA'!I169,"AAAAAH5//W4=")</f>
        <v>#VALUE!</v>
      </c>
      <c r="DH141" t="e">
        <f>AND('SPR BARRANQUILLA'!J169,"AAAAAH5//W8=")</f>
        <v>#VALUE!</v>
      </c>
      <c r="DI141" t="e">
        <f>AND('SPR BARRANQUILLA'!K169,"AAAAAH5//XA=")</f>
        <v>#VALUE!</v>
      </c>
      <c r="DJ141" t="e">
        <f>AND('SPR BARRANQUILLA'!L169,"AAAAAH5//XE=")</f>
        <v>#VALUE!</v>
      </c>
      <c r="DK141" t="e">
        <f>AND('SPR BARRANQUILLA'!M169,"AAAAAH5//XI=")</f>
        <v>#VALUE!</v>
      </c>
      <c r="DL141" t="e">
        <f>AND('SPR BARRANQUILLA'!N169,"AAAAAH5//XM=")</f>
        <v>#VALUE!</v>
      </c>
      <c r="DM141" t="e">
        <f>AND('SPR BARRANQUILLA'!O169,"AAAAAH5//XQ=")</f>
        <v>#VALUE!</v>
      </c>
      <c r="DN141" t="e">
        <f>AND('SPR BARRANQUILLA'!P169,"AAAAAH5//XU=")</f>
        <v>#VALUE!</v>
      </c>
      <c r="DO141" t="e">
        <f>AND('SPR BARRANQUILLA'!Q169,"AAAAAH5//XY=")</f>
        <v>#VALUE!</v>
      </c>
      <c r="DP141" t="e">
        <f>AND('SPR BARRANQUILLA'!R169,"AAAAAH5//Xc=")</f>
        <v>#VALUE!</v>
      </c>
      <c r="DQ141" t="e">
        <f>AND('SPR BARRANQUILLA'!S169,"AAAAAH5//Xg=")</f>
        <v>#VALUE!</v>
      </c>
      <c r="DR141" t="e">
        <f>AND('SPR BARRANQUILLA'!T169,"AAAAAH5//Xk=")</f>
        <v>#VALUE!</v>
      </c>
      <c r="DS141" t="e">
        <f>AND('SPR BARRANQUILLA'!U169,"AAAAAH5//Xo=")</f>
        <v>#VALUE!</v>
      </c>
      <c r="DT141" t="e">
        <f>AND('SPR BARRANQUILLA'!V169,"AAAAAH5//Xs=")</f>
        <v>#VALUE!</v>
      </c>
      <c r="DU141" t="e">
        <f>AND('SPR BARRANQUILLA'!W169,"AAAAAH5//Xw=")</f>
        <v>#VALUE!</v>
      </c>
      <c r="DV141" t="e">
        <f>AND('SPR BARRANQUILLA'!X169,"AAAAAH5//X0=")</f>
        <v>#VALUE!</v>
      </c>
      <c r="DW141" t="e">
        <f>AND('SPR BARRANQUILLA'!Y169,"AAAAAH5//X4=")</f>
        <v>#VALUE!</v>
      </c>
      <c r="DX141" t="e">
        <f>AND('SPR BARRANQUILLA'!Z169,"AAAAAH5//X8=")</f>
        <v>#VALUE!</v>
      </c>
      <c r="DY141" t="e">
        <f>AND('SPR BARRANQUILLA'!AA169,"AAAAAH5//YA=")</f>
        <v>#VALUE!</v>
      </c>
      <c r="DZ141" t="e">
        <f>AND('SPR BARRANQUILLA'!AB169,"AAAAAH5//YE=")</f>
        <v>#VALUE!</v>
      </c>
      <c r="EA141" t="e">
        <f>AND('SPR BARRANQUILLA'!AC169,"AAAAAH5//YI=")</f>
        <v>#VALUE!</v>
      </c>
      <c r="EB141" t="e">
        <f>AND('SPR BARRANQUILLA'!AD169,"AAAAAH5//YM=")</f>
        <v>#VALUE!</v>
      </c>
      <c r="EC141" t="e">
        <f>AND('SPR BARRANQUILLA'!AE169,"AAAAAH5//YQ=")</f>
        <v>#VALUE!</v>
      </c>
      <c r="ED141" t="e">
        <f>AND('SPR BARRANQUILLA'!AF169,"AAAAAH5//YU=")</f>
        <v>#VALUE!</v>
      </c>
      <c r="EE141" t="e">
        <f>AND('SPR BARRANQUILLA'!AG169,"AAAAAH5//YY=")</f>
        <v>#VALUE!</v>
      </c>
      <c r="EF141" t="e">
        <f>AND('SPR BARRANQUILLA'!AH169,"AAAAAH5//Yc=")</f>
        <v>#VALUE!</v>
      </c>
      <c r="EG141" t="e">
        <f>AND('SPR BARRANQUILLA'!AI169,"AAAAAH5//Yg=")</f>
        <v>#VALUE!</v>
      </c>
      <c r="EH141" t="e">
        <f>AND('SPR BARRANQUILLA'!AJ169,"AAAAAH5//Yk=")</f>
        <v>#VALUE!</v>
      </c>
      <c r="EI141" t="e">
        <f>AND('SPR BARRANQUILLA'!AK169,"AAAAAH5//Yo=")</f>
        <v>#VALUE!</v>
      </c>
      <c r="EJ141" t="e">
        <f>AND('SPR BARRANQUILLA'!AL169,"AAAAAH5//Ys=")</f>
        <v>#VALUE!</v>
      </c>
      <c r="EK141" t="e">
        <f>AND('SPR BARRANQUILLA'!AM169,"AAAAAH5//Yw=")</f>
        <v>#VALUE!</v>
      </c>
      <c r="EL141" t="e">
        <f>AND('SPR BARRANQUILLA'!AN169,"AAAAAH5//Y0=")</f>
        <v>#VALUE!</v>
      </c>
      <c r="EM141" t="e">
        <f>AND('SPR BARRANQUILLA'!AO169,"AAAAAH5//Y4=")</f>
        <v>#VALUE!</v>
      </c>
      <c r="EN141" t="e">
        <f>AND('SPR BARRANQUILLA'!AP169,"AAAAAH5//Y8=")</f>
        <v>#VALUE!</v>
      </c>
      <c r="EO141" t="e">
        <f>AND('SPR BARRANQUILLA'!AQ169,"AAAAAH5//ZA=")</f>
        <v>#VALUE!</v>
      </c>
      <c r="EP141" t="e">
        <f>AND('SPR BARRANQUILLA'!AR169,"AAAAAH5//ZE=")</f>
        <v>#VALUE!</v>
      </c>
      <c r="EQ141" t="e">
        <f>AND('SPR BARRANQUILLA'!AS169,"AAAAAH5//ZI=")</f>
        <v>#VALUE!</v>
      </c>
      <c r="ER141" t="e">
        <f>AND('SPR BARRANQUILLA'!AT169,"AAAAAH5//ZM=")</f>
        <v>#VALUE!</v>
      </c>
      <c r="ES141" t="e">
        <f>AND('SPR BARRANQUILLA'!AU169,"AAAAAH5//ZQ=")</f>
        <v>#VALUE!</v>
      </c>
      <c r="ET141" t="e">
        <f>AND('SPR BARRANQUILLA'!AV169,"AAAAAH5//ZU=")</f>
        <v>#VALUE!</v>
      </c>
      <c r="EU141" t="e">
        <f>AND('SPR BARRANQUILLA'!AW169,"AAAAAH5//ZY=")</f>
        <v>#VALUE!</v>
      </c>
      <c r="EV141" t="e">
        <f>AND('SPR BARRANQUILLA'!AX169,"AAAAAH5//Zc=")</f>
        <v>#VALUE!</v>
      </c>
      <c r="EW141" t="e">
        <f>AND('SPR BARRANQUILLA'!AY169,"AAAAAH5//Zg=")</f>
        <v>#VALUE!</v>
      </c>
      <c r="EX141" t="e">
        <f>AND('SPR BARRANQUILLA'!AZ169,"AAAAAH5//Zk=")</f>
        <v>#VALUE!</v>
      </c>
      <c r="EY141" t="e">
        <f>AND('SPR BARRANQUILLA'!BA169,"AAAAAH5//Zo=")</f>
        <v>#VALUE!</v>
      </c>
      <c r="EZ141" t="e">
        <f>AND('SPR BARRANQUILLA'!BB169,"AAAAAH5//Zs=")</f>
        <v>#VALUE!</v>
      </c>
      <c r="FA141" t="e">
        <f>AND('SPR BARRANQUILLA'!BC169,"AAAAAH5//Zw=")</f>
        <v>#VALUE!</v>
      </c>
      <c r="FB141" t="e">
        <f>AND('SPR BARRANQUILLA'!BD169,"AAAAAH5//Z0=")</f>
        <v>#VALUE!</v>
      </c>
      <c r="FC141" t="e">
        <f>AND('SPR BARRANQUILLA'!BE169,"AAAAAH5//Z4=")</f>
        <v>#VALUE!</v>
      </c>
      <c r="FD141" t="e">
        <f>AND('SPR BARRANQUILLA'!BF169,"AAAAAH5//Z8=")</f>
        <v>#VALUE!</v>
      </c>
      <c r="FE141" t="e">
        <f>AND('SPR BARRANQUILLA'!BG169,"AAAAAH5//aA=")</f>
        <v>#VALUE!</v>
      </c>
      <c r="FF141" t="e">
        <f>AND('SPR BARRANQUILLA'!BH169,"AAAAAH5//aE=")</f>
        <v>#VALUE!</v>
      </c>
      <c r="FG141" t="e">
        <f>AND('SPR BARRANQUILLA'!BI169,"AAAAAH5//aI=")</f>
        <v>#VALUE!</v>
      </c>
      <c r="FH141" t="e">
        <f>AND('SPR BARRANQUILLA'!BJ169,"AAAAAH5//aM=")</f>
        <v>#VALUE!</v>
      </c>
      <c r="FI141" t="e">
        <f>AND('SPR BARRANQUILLA'!BK169,"AAAAAH5//aQ=")</f>
        <v>#VALUE!</v>
      </c>
      <c r="FJ141" t="e">
        <f>AND('SPR BARRANQUILLA'!BL169,"AAAAAH5//aU=")</f>
        <v>#VALUE!</v>
      </c>
      <c r="FK141" t="e">
        <f>AND('SPR BARRANQUILLA'!BM169,"AAAAAH5//aY=")</f>
        <v>#VALUE!</v>
      </c>
      <c r="FL141" t="e">
        <f>AND('SPR BARRANQUILLA'!BN169,"AAAAAH5//ac=")</f>
        <v>#VALUE!</v>
      </c>
      <c r="FM141" t="e">
        <f>AND('SPR BARRANQUILLA'!BO169,"AAAAAH5//ag=")</f>
        <v>#VALUE!</v>
      </c>
      <c r="FN141" t="e">
        <f>AND('SPR BARRANQUILLA'!BP169,"AAAAAH5//ak=")</f>
        <v>#VALUE!</v>
      </c>
      <c r="FO141" t="e">
        <f>AND('SPR BARRANQUILLA'!BQ169,"AAAAAH5//ao=")</f>
        <v>#VALUE!</v>
      </c>
      <c r="FP141" t="e">
        <f>AND('SPR BARRANQUILLA'!BR169,"AAAAAH5//as=")</f>
        <v>#VALUE!</v>
      </c>
      <c r="FQ141" t="e">
        <f>AND('SPR BARRANQUILLA'!BS169,"AAAAAH5//aw=")</f>
        <v>#VALUE!</v>
      </c>
      <c r="FR141" t="e">
        <f>AND('SPR BARRANQUILLA'!BT169,"AAAAAH5//a0=")</f>
        <v>#VALUE!</v>
      </c>
      <c r="FS141" t="e">
        <f>AND('SPR BARRANQUILLA'!BU169,"AAAAAH5//a4=")</f>
        <v>#VALUE!</v>
      </c>
      <c r="FT141" t="e">
        <f>AND('SPR BARRANQUILLA'!BV169,"AAAAAH5//a8=")</f>
        <v>#VALUE!</v>
      </c>
      <c r="FU141" t="e">
        <f>AND('SPR BARRANQUILLA'!BW169,"AAAAAH5//bA=")</f>
        <v>#VALUE!</v>
      </c>
      <c r="FV141" t="e">
        <f>AND('SPR BARRANQUILLA'!BX169,"AAAAAH5//bE=")</f>
        <v>#VALUE!</v>
      </c>
      <c r="FW141" t="e">
        <f>AND('SPR BARRANQUILLA'!BY169,"AAAAAH5//bI=")</f>
        <v>#VALUE!</v>
      </c>
      <c r="FX141" t="e">
        <f>AND('SPR BARRANQUILLA'!BZ169,"AAAAAH5//bM=")</f>
        <v>#VALUE!</v>
      </c>
      <c r="FY141" t="e">
        <f>AND('SPR BARRANQUILLA'!CA169,"AAAAAH5//bQ=")</f>
        <v>#VALUE!</v>
      </c>
      <c r="FZ141" t="e">
        <f>AND('SPR BARRANQUILLA'!CB169,"AAAAAH5//bU=")</f>
        <v>#VALUE!</v>
      </c>
      <c r="GA141" t="e">
        <f>AND('SPR BARRANQUILLA'!CC169,"AAAAAH5//bY=")</f>
        <v>#VALUE!</v>
      </c>
      <c r="GB141" t="e">
        <f>AND('SPR BARRANQUILLA'!CD169,"AAAAAH5//bc=")</f>
        <v>#VALUE!</v>
      </c>
      <c r="GC141" t="e">
        <f>AND('SPR BARRANQUILLA'!CE169,"AAAAAH5//bg=")</f>
        <v>#VALUE!</v>
      </c>
      <c r="GD141" t="e">
        <f>AND('SPR BARRANQUILLA'!CF169,"AAAAAH5//bk=")</f>
        <v>#VALUE!</v>
      </c>
      <c r="GE141" t="e">
        <f>AND('SPR BARRANQUILLA'!CG169,"AAAAAH5//bo=")</f>
        <v>#VALUE!</v>
      </c>
      <c r="GF141" t="e">
        <f>AND('SPR BARRANQUILLA'!CH169,"AAAAAH5//bs=")</f>
        <v>#VALUE!</v>
      </c>
      <c r="GG141" t="e">
        <f>AND('SPR BARRANQUILLA'!CI169,"AAAAAH5//bw=")</f>
        <v>#VALUE!</v>
      </c>
      <c r="GH141" t="e">
        <f>AND('SPR BARRANQUILLA'!CJ169,"AAAAAH5//b0=")</f>
        <v>#VALUE!</v>
      </c>
      <c r="GI141" t="e">
        <f>AND('SPR BARRANQUILLA'!CK169,"AAAAAH5//b4=")</f>
        <v>#VALUE!</v>
      </c>
      <c r="GJ141" t="e">
        <f>AND('SPR BARRANQUILLA'!CL169,"AAAAAH5//b8=")</f>
        <v>#VALUE!</v>
      </c>
      <c r="GK141" t="e">
        <f>AND('SPR BARRANQUILLA'!CM169,"AAAAAH5//cA=")</f>
        <v>#VALUE!</v>
      </c>
      <c r="GL141" t="e">
        <f>AND('SPR BARRANQUILLA'!CN169,"AAAAAH5//cE=")</f>
        <v>#VALUE!</v>
      </c>
      <c r="GM141" t="e">
        <f>AND('SPR BARRANQUILLA'!CO169,"AAAAAH5//cI=")</f>
        <v>#VALUE!</v>
      </c>
      <c r="GN141" t="e">
        <f>AND('SPR BARRANQUILLA'!CP169,"AAAAAH5//cM=")</f>
        <v>#VALUE!</v>
      </c>
      <c r="GO141" t="e">
        <f>AND('SPR BARRANQUILLA'!CQ169,"AAAAAH5//cQ=")</f>
        <v>#VALUE!</v>
      </c>
      <c r="GP141" t="e">
        <f>AND('SPR BARRANQUILLA'!CR169,"AAAAAH5//cU=")</f>
        <v>#VALUE!</v>
      </c>
      <c r="GQ141" t="e">
        <f>AND('SPR BARRANQUILLA'!CS169,"AAAAAH5//cY=")</f>
        <v>#VALUE!</v>
      </c>
      <c r="GR141" t="e">
        <f>AND('SPR BARRANQUILLA'!CT169,"AAAAAH5//cc=")</f>
        <v>#VALUE!</v>
      </c>
      <c r="GS141" t="e">
        <f>AND('SPR BARRANQUILLA'!CU169,"AAAAAH5//cg=")</f>
        <v>#VALUE!</v>
      </c>
      <c r="GT141" t="e">
        <f>AND('SPR BARRANQUILLA'!CV169,"AAAAAH5//ck=")</f>
        <v>#VALUE!</v>
      </c>
      <c r="GU141" t="e">
        <f>AND('SPR BARRANQUILLA'!CW169,"AAAAAH5//co=")</f>
        <v>#VALUE!</v>
      </c>
      <c r="GV141" t="e">
        <f>AND('SPR BARRANQUILLA'!CX169,"AAAAAH5//cs=")</f>
        <v>#VALUE!</v>
      </c>
      <c r="GW141" t="e">
        <f>AND('SPR BARRANQUILLA'!CY169,"AAAAAH5//cw=")</f>
        <v>#VALUE!</v>
      </c>
      <c r="GX141" t="e">
        <f>AND('SPR BARRANQUILLA'!CZ169,"AAAAAH5//c0=")</f>
        <v>#VALUE!</v>
      </c>
      <c r="GY141" t="e">
        <f>AND('SPR BARRANQUILLA'!DA169,"AAAAAH5//c4=")</f>
        <v>#VALUE!</v>
      </c>
      <c r="GZ141" t="e">
        <f>AND('SPR BARRANQUILLA'!DB169,"AAAAAH5//c8=")</f>
        <v>#VALUE!</v>
      </c>
      <c r="HA141" t="e">
        <f>AND('SPR BARRANQUILLA'!DC169,"AAAAAH5//dA=")</f>
        <v>#VALUE!</v>
      </c>
      <c r="HB141" t="e">
        <f>AND('SPR BARRANQUILLA'!DD169,"AAAAAH5//dE=")</f>
        <v>#VALUE!</v>
      </c>
      <c r="HC141" t="e">
        <f>AND('SPR BARRANQUILLA'!DE169,"AAAAAH5//dI=")</f>
        <v>#VALUE!</v>
      </c>
      <c r="HD141" t="e">
        <f>AND('SPR BARRANQUILLA'!DF169,"AAAAAH5//dM=")</f>
        <v>#VALUE!</v>
      </c>
      <c r="HE141" t="e">
        <f>AND('SPR BARRANQUILLA'!DG169,"AAAAAH5//dQ=")</f>
        <v>#VALUE!</v>
      </c>
      <c r="HF141" t="e">
        <f>AND('SPR BARRANQUILLA'!DH169,"AAAAAH5//dU=")</f>
        <v>#VALUE!</v>
      </c>
      <c r="HG141" t="e">
        <f>AND('SPR BARRANQUILLA'!DI169,"AAAAAH5//dY=")</f>
        <v>#VALUE!</v>
      </c>
      <c r="HH141" t="e">
        <f>AND('SPR BARRANQUILLA'!DJ169,"AAAAAH5//dc=")</f>
        <v>#VALUE!</v>
      </c>
      <c r="HI141" t="e">
        <f>AND('SPR BARRANQUILLA'!DK169,"AAAAAH5//dg=")</f>
        <v>#VALUE!</v>
      </c>
      <c r="HJ141" t="e">
        <f>AND('SPR BARRANQUILLA'!DL169,"AAAAAH5//dk=")</f>
        <v>#VALUE!</v>
      </c>
      <c r="HK141" t="e">
        <f>AND('SPR BARRANQUILLA'!DM169,"AAAAAH5//do=")</f>
        <v>#VALUE!</v>
      </c>
      <c r="HL141" t="e">
        <f>AND('SPR BARRANQUILLA'!DN169,"AAAAAH5//ds=")</f>
        <v>#VALUE!</v>
      </c>
      <c r="HM141" t="e">
        <f>AND('SPR BARRANQUILLA'!DO169,"AAAAAH5//dw=")</f>
        <v>#VALUE!</v>
      </c>
      <c r="HN141" t="e">
        <f>AND('SPR BARRANQUILLA'!DP169,"AAAAAH5//d0=")</f>
        <v>#VALUE!</v>
      </c>
      <c r="HO141" t="e">
        <f>AND('SPR BARRANQUILLA'!DQ169,"AAAAAH5//d4=")</f>
        <v>#VALUE!</v>
      </c>
      <c r="HP141" t="e">
        <f>AND('SPR BARRANQUILLA'!DR169,"AAAAAH5//d8=")</f>
        <v>#VALUE!</v>
      </c>
      <c r="HQ141" t="e">
        <f>AND('SPR BARRANQUILLA'!DS169,"AAAAAH5//eA=")</f>
        <v>#VALUE!</v>
      </c>
      <c r="HR141" t="e">
        <f>AND('SPR BARRANQUILLA'!DT169,"AAAAAH5//eE=")</f>
        <v>#VALUE!</v>
      </c>
      <c r="HS141" t="e">
        <f>AND('SPR BARRANQUILLA'!DU169,"AAAAAH5//eI=")</f>
        <v>#VALUE!</v>
      </c>
      <c r="HT141" t="e">
        <f>AND('SPR BARRANQUILLA'!DV169,"AAAAAH5//eM=")</f>
        <v>#VALUE!</v>
      </c>
      <c r="HU141" t="e">
        <f>AND('SPR BARRANQUILLA'!DW169,"AAAAAH5//eQ=")</f>
        <v>#VALUE!</v>
      </c>
      <c r="HV141" t="e">
        <f>AND('SPR BARRANQUILLA'!DX169,"AAAAAH5//eU=")</f>
        <v>#VALUE!</v>
      </c>
      <c r="HW141" t="e">
        <f>AND('SPR BARRANQUILLA'!DY169,"AAAAAH5//eY=")</f>
        <v>#VALUE!</v>
      </c>
      <c r="HX141" t="e">
        <f>AND('SPR BARRANQUILLA'!DZ169,"AAAAAH5//ec=")</f>
        <v>#VALUE!</v>
      </c>
      <c r="HY141" t="e">
        <f>AND('SPR BARRANQUILLA'!EA169,"AAAAAH5//eg=")</f>
        <v>#VALUE!</v>
      </c>
      <c r="HZ141" t="e">
        <f>AND('SPR BARRANQUILLA'!EB169,"AAAAAH5//ek=")</f>
        <v>#VALUE!</v>
      </c>
      <c r="IA141" t="e">
        <f>AND('SPR BARRANQUILLA'!EC169,"AAAAAH5//eo=")</f>
        <v>#VALUE!</v>
      </c>
      <c r="IB141" t="e">
        <f>AND('SPR BARRANQUILLA'!ED169,"AAAAAH5//es=")</f>
        <v>#VALUE!</v>
      </c>
      <c r="IC141" t="e">
        <f>AND('SPR BARRANQUILLA'!EE169,"AAAAAH5//ew=")</f>
        <v>#VALUE!</v>
      </c>
      <c r="ID141" t="e">
        <f>AND('SPR BARRANQUILLA'!EF169,"AAAAAH5//e0=")</f>
        <v>#VALUE!</v>
      </c>
      <c r="IE141" t="e">
        <f>AND('SPR BARRANQUILLA'!EG169,"AAAAAH5//e4=")</f>
        <v>#VALUE!</v>
      </c>
      <c r="IF141" t="e">
        <f>AND('SPR BARRANQUILLA'!EH169,"AAAAAH5//e8=")</f>
        <v>#VALUE!</v>
      </c>
      <c r="IG141" t="e">
        <f>AND('SPR BARRANQUILLA'!EI169,"AAAAAH5//fA=")</f>
        <v>#VALUE!</v>
      </c>
      <c r="IH141" t="e">
        <f>AND('SPR BARRANQUILLA'!EJ169,"AAAAAH5//fE=")</f>
        <v>#VALUE!</v>
      </c>
      <c r="II141" t="e">
        <f>AND('SPR BARRANQUILLA'!EK169,"AAAAAH5//fI=")</f>
        <v>#VALUE!</v>
      </c>
      <c r="IJ141" t="e">
        <f>AND('SPR BARRANQUILLA'!EL169,"AAAAAH5//fM=")</f>
        <v>#VALUE!</v>
      </c>
      <c r="IK141" t="e">
        <f>AND('SPR BARRANQUILLA'!EM169,"AAAAAH5//fQ=")</f>
        <v>#VALUE!</v>
      </c>
      <c r="IL141" t="e">
        <f>AND('SPR BARRANQUILLA'!EN169,"AAAAAH5//fU=")</f>
        <v>#VALUE!</v>
      </c>
      <c r="IM141" t="e">
        <f>AND('SPR BARRANQUILLA'!EO169,"AAAAAH5//fY=")</f>
        <v>#VALUE!</v>
      </c>
      <c r="IN141" t="e">
        <f>AND('SPR BARRANQUILLA'!EP169,"AAAAAH5//fc=")</f>
        <v>#VALUE!</v>
      </c>
      <c r="IO141" t="e">
        <f>AND('SPR BARRANQUILLA'!EQ169,"AAAAAH5//fg=")</f>
        <v>#VALUE!</v>
      </c>
      <c r="IP141" t="e">
        <f>AND('SPR BARRANQUILLA'!ER169,"AAAAAH5//fk=")</f>
        <v>#VALUE!</v>
      </c>
      <c r="IQ141" t="e">
        <f>AND('SPR BARRANQUILLA'!ES169,"AAAAAH5//fo=")</f>
        <v>#VALUE!</v>
      </c>
      <c r="IR141" t="e">
        <f>AND('SPR BARRANQUILLA'!ET169,"AAAAAH5//fs=")</f>
        <v>#VALUE!</v>
      </c>
      <c r="IS141" t="e">
        <f>AND('SPR BARRANQUILLA'!EU169,"AAAAAH5//fw=")</f>
        <v>#VALUE!</v>
      </c>
      <c r="IT141" t="e">
        <f>AND('SPR BARRANQUILLA'!EV169,"AAAAAH5//f0=")</f>
        <v>#VALUE!</v>
      </c>
      <c r="IU141" t="e">
        <f>AND('SPR BARRANQUILLA'!EW169,"AAAAAH5//f4=")</f>
        <v>#VALUE!</v>
      </c>
      <c r="IV141" t="e">
        <f>AND('SPR BARRANQUILLA'!EX169,"AAAAAH5//f8=")</f>
        <v>#VALUE!</v>
      </c>
    </row>
    <row r="142" spans="1:256">
      <c r="A142" t="e">
        <f>AND('SPR BARRANQUILLA'!EY169,"AAAAAHh/vwA=")</f>
        <v>#VALUE!</v>
      </c>
      <c r="B142" t="e">
        <f>AND('SPR BARRANQUILLA'!EZ169,"AAAAAHh/vwE=")</f>
        <v>#VALUE!</v>
      </c>
      <c r="C142" t="e">
        <f>AND('SPR BARRANQUILLA'!FA169,"AAAAAHh/vwI=")</f>
        <v>#VALUE!</v>
      </c>
      <c r="D142" t="e">
        <f>AND('SPR BARRANQUILLA'!FB169,"AAAAAHh/vwM=")</f>
        <v>#VALUE!</v>
      </c>
      <c r="E142" t="e">
        <f>AND('SPR BARRANQUILLA'!FC169,"AAAAAHh/vwQ=")</f>
        <v>#VALUE!</v>
      </c>
      <c r="F142" t="e">
        <f>AND('SPR BARRANQUILLA'!FD169,"AAAAAHh/vwU=")</f>
        <v>#VALUE!</v>
      </c>
      <c r="G142" t="e">
        <f>AND('SPR BARRANQUILLA'!FE169,"AAAAAHh/vwY=")</f>
        <v>#VALUE!</v>
      </c>
      <c r="H142" t="e">
        <f>AND('SPR BARRANQUILLA'!FF169,"AAAAAHh/vwc=")</f>
        <v>#VALUE!</v>
      </c>
      <c r="I142" t="e">
        <f>AND('SPR BARRANQUILLA'!FG169,"AAAAAHh/vwg=")</f>
        <v>#VALUE!</v>
      </c>
      <c r="J142" t="e">
        <f>AND('SPR BARRANQUILLA'!FH169,"AAAAAHh/vwk=")</f>
        <v>#VALUE!</v>
      </c>
      <c r="K142" t="e">
        <f>AND('SPR BARRANQUILLA'!FI169,"AAAAAHh/vwo=")</f>
        <v>#VALUE!</v>
      </c>
      <c r="L142" t="e">
        <f>AND('SPR BARRANQUILLA'!FJ169,"AAAAAHh/vws=")</f>
        <v>#VALUE!</v>
      </c>
      <c r="M142" t="e">
        <f>AND('SPR BARRANQUILLA'!FK169,"AAAAAHh/vww=")</f>
        <v>#VALUE!</v>
      </c>
      <c r="N142" t="e">
        <f>AND('SPR BARRANQUILLA'!FL169,"AAAAAHh/vw0=")</f>
        <v>#VALUE!</v>
      </c>
      <c r="O142" t="e">
        <f>AND('SPR BARRANQUILLA'!FM169,"AAAAAHh/vw4=")</f>
        <v>#VALUE!</v>
      </c>
      <c r="P142" t="e">
        <f>AND('SPR BARRANQUILLA'!FN169,"AAAAAHh/vw8=")</f>
        <v>#VALUE!</v>
      </c>
      <c r="Q142" t="e">
        <f>AND('SPR BARRANQUILLA'!FO169,"AAAAAHh/vxA=")</f>
        <v>#VALUE!</v>
      </c>
      <c r="R142" t="e">
        <f>AND('SPR BARRANQUILLA'!FP169,"AAAAAHh/vxE=")</f>
        <v>#VALUE!</v>
      </c>
      <c r="S142" t="e">
        <f>AND('SPR BARRANQUILLA'!FQ169,"AAAAAHh/vxI=")</f>
        <v>#VALUE!</v>
      </c>
      <c r="T142" t="e">
        <f>AND('SPR BARRANQUILLA'!FR169,"AAAAAHh/vxM=")</f>
        <v>#VALUE!</v>
      </c>
      <c r="U142" t="e">
        <f>AND('SPR BARRANQUILLA'!FS169,"AAAAAHh/vxQ=")</f>
        <v>#VALUE!</v>
      </c>
      <c r="V142" t="e">
        <f>AND('SPR BARRANQUILLA'!FT169,"AAAAAHh/vxU=")</f>
        <v>#VALUE!</v>
      </c>
      <c r="W142" t="e">
        <f>AND('SPR BARRANQUILLA'!FU169,"AAAAAHh/vxY=")</f>
        <v>#VALUE!</v>
      </c>
      <c r="X142" t="e">
        <f>AND('SPR BARRANQUILLA'!FV169,"AAAAAHh/vxc=")</f>
        <v>#VALUE!</v>
      </c>
      <c r="Y142" t="e">
        <f>AND('SPR BARRANQUILLA'!FW169,"AAAAAHh/vxg=")</f>
        <v>#VALUE!</v>
      </c>
      <c r="Z142" t="e">
        <f>AND('SPR BARRANQUILLA'!FX169,"AAAAAHh/vxk=")</f>
        <v>#VALUE!</v>
      </c>
      <c r="AA142" t="e">
        <f>AND('SPR BARRANQUILLA'!FY169,"AAAAAHh/vxo=")</f>
        <v>#VALUE!</v>
      </c>
      <c r="AB142" t="e">
        <f>AND('SPR BARRANQUILLA'!FZ169,"AAAAAHh/vxs=")</f>
        <v>#VALUE!</v>
      </c>
      <c r="AC142" t="e">
        <f>AND('SPR BARRANQUILLA'!GA169,"AAAAAHh/vxw=")</f>
        <v>#VALUE!</v>
      </c>
      <c r="AD142" t="e">
        <f>AND('SPR BARRANQUILLA'!GB169,"AAAAAHh/vx0=")</f>
        <v>#VALUE!</v>
      </c>
      <c r="AE142" t="e">
        <f>AND('SPR BARRANQUILLA'!GC169,"AAAAAHh/vx4=")</f>
        <v>#VALUE!</v>
      </c>
      <c r="AF142" t="e">
        <f>AND('SPR BARRANQUILLA'!GD169,"AAAAAHh/vx8=")</f>
        <v>#VALUE!</v>
      </c>
      <c r="AG142" t="e">
        <f>AND('SPR BARRANQUILLA'!GE169,"AAAAAHh/vyA=")</f>
        <v>#VALUE!</v>
      </c>
      <c r="AH142" t="e">
        <f>AND('SPR BARRANQUILLA'!GF169,"AAAAAHh/vyE=")</f>
        <v>#VALUE!</v>
      </c>
      <c r="AI142" t="e">
        <f>AND('SPR BARRANQUILLA'!GG169,"AAAAAHh/vyI=")</f>
        <v>#VALUE!</v>
      </c>
      <c r="AJ142" t="e">
        <f>AND('SPR BARRANQUILLA'!GH169,"AAAAAHh/vyM=")</f>
        <v>#VALUE!</v>
      </c>
      <c r="AK142" t="e">
        <f>AND('SPR BARRANQUILLA'!GI169,"AAAAAHh/vyQ=")</f>
        <v>#VALUE!</v>
      </c>
      <c r="AL142" t="e">
        <f>AND('SPR BARRANQUILLA'!GJ169,"AAAAAHh/vyU=")</f>
        <v>#VALUE!</v>
      </c>
      <c r="AM142" t="e">
        <f>AND('SPR BARRANQUILLA'!GK169,"AAAAAHh/vyY=")</f>
        <v>#VALUE!</v>
      </c>
      <c r="AN142" t="e">
        <f>AND('SPR BARRANQUILLA'!GL169,"AAAAAHh/vyc=")</f>
        <v>#VALUE!</v>
      </c>
      <c r="AO142" t="e">
        <f>AND('SPR BARRANQUILLA'!GM169,"AAAAAHh/vyg=")</f>
        <v>#VALUE!</v>
      </c>
      <c r="AP142" t="e">
        <f>AND('SPR BARRANQUILLA'!GN169,"AAAAAHh/vyk=")</f>
        <v>#VALUE!</v>
      </c>
      <c r="AQ142" t="e">
        <f>AND('SPR BARRANQUILLA'!GO169,"AAAAAHh/vyo=")</f>
        <v>#VALUE!</v>
      </c>
      <c r="AR142" t="e">
        <f>AND('SPR BARRANQUILLA'!GP169,"AAAAAHh/vys=")</f>
        <v>#VALUE!</v>
      </c>
      <c r="AS142" t="e">
        <f>AND('SPR BARRANQUILLA'!GQ169,"AAAAAHh/vyw=")</f>
        <v>#VALUE!</v>
      </c>
      <c r="AT142" t="e">
        <f>AND('SPR BARRANQUILLA'!GR169,"AAAAAHh/vy0=")</f>
        <v>#VALUE!</v>
      </c>
      <c r="AU142" t="e">
        <f>AND('SPR BARRANQUILLA'!GS169,"AAAAAHh/vy4=")</f>
        <v>#VALUE!</v>
      </c>
      <c r="AV142" t="e">
        <f>AND('SPR BARRANQUILLA'!GT169,"AAAAAHh/vy8=")</f>
        <v>#VALUE!</v>
      </c>
      <c r="AW142" t="e">
        <f>AND('SPR BARRANQUILLA'!GU169,"AAAAAHh/vzA=")</f>
        <v>#VALUE!</v>
      </c>
      <c r="AX142" t="e">
        <f>AND('SPR BARRANQUILLA'!GV169,"AAAAAHh/vzE=")</f>
        <v>#VALUE!</v>
      </c>
      <c r="AY142" t="e">
        <f>AND('SPR BARRANQUILLA'!GW169,"AAAAAHh/vzI=")</f>
        <v>#VALUE!</v>
      </c>
      <c r="AZ142" t="e">
        <f>AND('SPR BARRANQUILLA'!GX169,"AAAAAHh/vzM=")</f>
        <v>#VALUE!</v>
      </c>
      <c r="BA142" t="e">
        <f>AND('SPR BARRANQUILLA'!GY169,"AAAAAHh/vzQ=")</f>
        <v>#VALUE!</v>
      </c>
      <c r="BB142">
        <f>IF('SPR BARRANQUILLA'!170:170,"AAAAAHh/vzU=",0)</f>
        <v>0</v>
      </c>
      <c r="BC142" t="e">
        <f>AND('SPR BARRANQUILLA'!A170,"AAAAAHh/vzY=")</f>
        <v>#VALUE!</v>
      </c>
      <c r="BD142" t="e">
        <f>AND('SPR BARRANQUILLA'!B170,"AAAAAHh/vzc=")</f>
        <v>#VALUE!</v>
      </c>
      <c r="BE142" t="e">
        <f>AND('SPR BARRANQUILLA'!C170,"AAAAAHh/vzg=")</f>
        <v>#VALUE!</v>
      </c>
      <c r="BF142" t="e">
        <f>AND('SPR BARRANQUILLA'!D170,"AAAAAHh/vzk=")</f>
        <v>#VALUE!</v>
      </c>
      <c r="BG142" t="e">
        <f>AND('SPR BARRANQUILLA'!E170,"AAAAAHh/vzo=")</f>
        <v>#VALUE!</v>
      </c>
      <c r="BH142" t="e">
        <f>AND('SPR BARRANQUILLA'!F170,"AAAAAHh/vzs=")</f>
        <v>#VALUE!</v>
      </c>
      <c r="BI142" t="e">
        <f>AND('SPR BARRANQUILLA'!G170,"AAAAAHh/vzw=")</f>
        <v>#VALUE!</v>
      </c>
      <c r="BJ142" t="e">
        <f>AND('SPR BARRANQUILLA'!H170,"AAAAAHh/vz0=")</f>
        <v>#VALUE!</v>
      </c>
      <c r="BK142" t="e">
        <f>AND('SPR BARRANQUILLA'!I170,"AAAAAHh/vz4=")</f>
        <v>#VALUE!</v>
      </c>
      <c r="BL142" t="e">
        <f>AND('SPR BARRANQUILLA'!J170,"AAAAAHh/vz8=")</f>
        <v>#VALUE!</v>
      </c>
      <c r="BM142" t="e">
        <f>AND('SPR BARRANQUILLA'!K170,"AAAAAHh/v0A=")</f>
        <v>#VALUE!</v>
      </c>
      <c r="BN142" t="e">
        <f>AND('SPR BARRANQUILLA'!L170,"AAAAAHh/v0E=")</f>
        <v>#VALUE!</v>
      </c>
      <c r="BO142" t="e">
        <f>AND('SPR BARRANQUILLA'!M170,"AAAAAHh/v0I=")</f>
        <v>#VALUE!</v>
      </c>
      <c r="BP142" t="e">
        <f>AND('SPR BARRANQUILLA'!N170,"AAAAAHh/v0M=")</f>
        <v>#VALUE!</v>
      </c>
      <c r="BQ142" t="e">
        <f>AND('SPR BARRANQUILLA'!O170,"AAAAAHh/v0Q=")</f>
        <v>#VALUE!</v>
      </c>
      <c r="BR142" t="e">
        <f>AND('SPR BARRANQUILLA'!P170,"AAAAAHh/v0U=")</f>
        <v>#VALUE!</v>
      </c>
      <c r="BS142" t="e">
        <f>AND('SPR BARRANQUILLA'!Q170,"AAAAAHh/v0Y=")</f>
        <v>#VALUE!</v>
      </c>
      <c r="BT142" t="e">
        <f>AND('SPR BARRANQUILLA'!R170,"AAAAAHh/v0c=")</f>
        <v>#VALUE!</v>
      </c>
      <c r="BU142" t="e">
        <f>AND('SPR BARRANQUILLA'!S170,"AAAAAHh/v0g=")</f>
        <v>#VALUE!</v>
      </c>
      <c r="BV142" t="e">
        <f>AND('SPR BARRANQUILLA'!T170,"AAAAAHh/v0k=")</f>
        <v>#VALUE!</v>
      </c>
      <c r="BW142" t="e">
        <f>AND('SPR BARRANQUILLA'!U170,"AAAAAHh/v0o=")</f>
        <v>#VALUE!</v>
      </c>
      <c r="BX142" t="e">
        <f>AND('SPR BARRANQUILLA'!V170,"AAAAAHh/v0s=")</f>
        <v>#VALUE!</v>
      </c>
      <c r="BY142" t="e">
        <f>AND('SPR BARRANQUILLA'!W170,"AAAAAHh/v0w=")</f>
        <v>#VALUE!</v>
      </c>
      <c r="BZ142" t="e">
        <f>AND('SPR BARRANQUILLA'!X170,"AAAAAHh/v00=")</f>
        <v>#VALUE!</v>
      </c>
      <c r="CA142" t="e">
        <f>AND('SPR BARRANQUILLA'!Y170,"AAAAAHh/v04=")</f>
        <v>#VALUE!</v>
      </c>
      <c r="CB142" t="e">
        <f>AND('SPR BARRANQUILLA'!Z170,"AAAAAHh/v08=")</f>
        <v>#VALUE!</v>
      </c>
      <c r="CC142" t="e">
        <f>AND('SPR BARRANQUILLA'!AA170,"AAAAAHh/v1A=")</f>
        <v>#VALUE!</v>
      </c>
      <c r="CD142" t="e">
        <f>AND('SPR BARRANQUILLA'!AB170,"AAAAAHh/v1E=")</f>
        <v>#VALUE!</v>
      </c>
      <c r="CE142" t="e">
        <f>AND('SPR BARRANQUILLA'!AC170,"AAAAAHh/v1I=")</f>
        <v>#VALUE!</v>
      </c>
      <c r="CF142" t="e">
        <f>AND('SPR BARRANQUILLA'!AD170,"AAAAAHh/v1M=")</f>
        <v>#VALUE!</v>
      </c>
      <c r="CG142" t="e">
        <f>AND('SPR BARRANQUILLA'!AE170,"AAAAAHh/v1Q=")</f>
        <v>#VALUE!</v>
      </c>
      <c r="CH142" t="e">
        <f>AND('SPR BARRANQUILLA'!AF170,"AAAAAHh/v1U=")</f>
        <v>#VALUE!</v>
      </c>
      <c r="CI142" t="e">
        <f>AND('SPR BARRANQUILLA'!AG170,"AAAAAHh/v1Y=")</f>
        <v>#VALUE!</v>
      </c>
      <c r="CJ142" t="e">
        <f>AND('SPR BARRANQUILLA'!AH170,"AAAAAHh/v1c=")</f>
        <v>#VALUE!</v>
      </c>
      <c r="CK142" t="e">
        <f>AND('SPR BARRANQUILLA'!AI170,"AAAAAHh/v1g=")</f>
        <v>#VALUE!</v>
      </c>
      <c r="CL142" t="e">
        <f>AND('SPR BARRANQUILLA'!AJ170,"AAAAAHh/v1k=")</f>
        <v>#VALUE!</v>
      </c>
      <c r="CM142" t="e">
        <f>AND('SPR BARRANQUILLA'!AK170,"AAAAAHh/v1o=")</f>
        <v>#VALUE!</v>
      </c>
      <c r="CN142" t="e">
        <f>AND('SPR BARRANQUILLA'!AL170,"AAAAAHh/v1s=")</f>
        <v>#VALUE!</v>
      </c>
      <c r="CO142" t="e">
        <f>AND('SPR BARRANQUILLA'!AM170,"AAAAAHh/v1w=")</f>
        <v>#VALUE!</v>
      </c>
      <c r="CP142" t="e">
        <f>AND('SPR BARRANQUILLA'!AN170,"AAAAAHh/v10=")</f>
        <v>#VALUE!</v>
      </c>
      <c r="CQ142" t="e">
        <f>AND('SPR BARRANQUILLA'!AO170,"AAAAAHh/v14=")</f>
        <v>#VALUE!</v>
      </c>
      <c r="CR142" t="e">
        <f>AND('SPR BARRANQUILLA'!AP170,"AAAAAHh/v18=")</f>
        <v>#VALUE!</v>
      </c>
      <c r="CS142" t="e">
        <f>AND('SPR BARRANQUILLA'!AQ170,"AAAAAHh/v2A=")</f>
        <v>#VALUE!</v>
      </c>
      <c r="CT142" t="e">
        <f>AND('SPR BARRANQUILLA'!AR170,"AAAAAHh/v2E=")</f>
        <v>#VALUE!</v>
      </c>
      <c r="CU142" t="e">
        <f>AND('SPR BARRANQUILLA'!AS170,"AAAAAHh/v2I=")</f>
        <v>#VALUE!</v>
      </c>
      <c r="CV142" t="e">
        <f>AND('SPR BARRANQUILLA'!AT170,"AAAAAHh/v2M=")</f>
        <v>#VALUE!</v>
      </c>
      <c r="CW142" t="e">
        <f>AND('SPR BARRANQUILLA'!AU170,"AAAAAHh/v2Q=")</f>
        <v>#VALUE!</v>
      </c>
      <c r="CX142" t="e">
        <f>AND('SPR BARRANQUILLA'!AV170,"AAAAAHh/v2U=")</f>
        <v>#VALUE!</v>
      </c>
      <c r="CY142" t="e">
        <f>AND('SPR BARRANQUILLA'!AW170,"AAAAAHh/v2Y=")</f>
        <v>#VALUE!</v>
      </c>
      <c r="CZ142" t="e">
        <f>AND('SPR BARRANQUILLA'!AX170,"AAAAAHh/v2c=")</f>
        <v>#VALUE!</v>
      </c>
      <c r="DA142" t="e">
        <f>AND('SPR BARRANQUILLA'!AY170,"AAAAAHh/v2g=")</f>
        <v>#VALUE!</v>
      </c>
      <c r="DB142" t="e">
        <f>AND('SPR BARRANQUILLA'!AZ170,"AAAAAHh/v2k=")</f>
        <v>#VALUE!</v>
      </c>
      <c r="DC142" t="e">
        <f>AND('SPR BARRANQUILLA'!BA170,"AAAAAHh/v2o=")</f>
        <v>#VALUE!</v>
      </c>
      <c r="DD142" t="e">
        <f>AND('SPR BARRANQUILLA'!BB170,"AAAAAHh/v2s=")</f>
        <v>#VALUE!</v>
      </c>
      <c r="DE142" t="e">
        <f>AND('SPR BARRANQUILLA'!BC170,"AAAAAHh/v2w=")</f>
        <v>#VALUE!</v>
      </c>
      <c r="DF142" t="e">
        <f>AND('SPR BARRANQUILLA'!BD170,"AAAAAHh/v20=")</f>
        <v>#VALUE!</v>
      </c>
      <c r="DG142" t="e">
        <f>AND('SPR BARRANQUILLA'!BE170,"AAAAAHh/v24=")</f>
        <v>#VALUE!</v>
      </c>
      <c r="DH142" t="e">
        <f>AND('SPR BARRANQUILLA'!BF170,"AAAAAHh/v28=")</f>
        <v>#VALUE!</v>
      </c>
      <c r="DI142" t="e">
        <f>AND('SPR BARRANQUILLA'!BG170,"AAAAAHh/v3A=")</f>
        <v>#VALUE!</v>
      </c>
      <c r="DJ142" t="e">
        <f>AND('SPR BARRANQUILLA'!BH170,"AAAAAHh/v3E=")</f>
        <v>#VALUE!</v>
      </c>
      <c r="DK142" t="e">
        <f>AND('SPR BARRANQUILLA'!BI170,"AAAAAHh/v3I=")</f>
        <v>#VALUE!</v>
      </c>
      <c r="DL142" t="e">
        <f>AND('SPR BARRANQUILLA'!BJ170,"AAAAAHh/v3M=")</f>
        <v>#VALUE!</v>
      </c>
      <c r="DM142" t="e">
        <f>AND('SPR BARRANQUILLA'!BK170,"AAAAAHh/v3Q=")</f>
        <v>#VALUE!</v>
      </c>
      <c r="DN142" t="e">
        <f>AND('SPR BARRANQUILLA'!BL170,"AAAAAHh/v3U=")</f>
        <v>#VALUE!</v>
      </c>
      <c r="DO142" t="e">
        <f>AND('SPR BARRANQUILLA'!BM170,"AAAAAHh/v3Y=")</f>
        <v>#VALUE!</v>
      </c>
      <c r="DP142" t="e">
        <f>AND('SPR BARRANQUILLA'!BN170,"AAAAAHh/v3c=")</f>
        <v>#VALUE!</v>
      </c>
      <c r="DQ142" t="e">
        <f>AND('SPR BARRANQUILLA'!BO170,"AAAAAHh/v3g=")</f>
        <v>#VALUE!</v>
      </c>
      <c r="DR142" t="e">
        <f>AND('SPR BARRANQUILLA'!BP170,"AAAAAHh/v3k=")</f>
        <v>#VALUE!</v>
      </c>
      <c r="DS142" t="e">
        <f>AND('SPR BARRANQUILLA'!BQ170,"AAAAAHh/v3o=")</f>
        <v>#VALUE!</v>
      </c>
      <c r="DT142" t="e">
        <f>AND('SPR BARRANQUILLA'!BR170,"AAAAAHh/v3s=")</f>
        <v>#VALUE!</v>
      </c>
      <c r="DU142" t="e">
        <f>AND('SPR BARRANQUILLA'!BS170,"AAAAAHh/v3w=")</f>
        <v>#VALUE!</v>
      </c>
      <c r="DV142" t="e">
        <f>AND('SPR BARRANQUILLA'!BT170,"AAAAAHh/v30=")</f>
        <v>#VALUE!</v>
      </c>
      <c r="DW142" t="e">
        <f>AND('SPR BARRANQUILLA'!BU170,"AAAAAHh/v34=")</f>
        <v>#VALUE!</v>
      </c>
      <c r="DX142" t="e">
        <f>AND('SPR BARRANQUILLA'!BV170,"AAAAAHh/v38=")</f>
        <v>#VALUE!</v>
      </c>
      <c r="DY142" t="e">
        <f>AND('SPR BARRANQUILLA'!BW170,"AAAAAHh/v4A=")</f>
        <v>#VALUE!</v>
      </c>
      <c r="DZ142" t="e">
        <f>AND('SPR BARRANQUILLA'!BX170,"AAAAAHh/v4E=")</f>
        <v>#VALUE!</v>
      </c>
      <c r="EA142" t="e">
        <f>AND('SPR BARRANQUILLA'!BY170,"AAAAAHh/v4I=")</f>
        <v>#VALUE!</v>
      </c>
      <c r="EB142" t="e">
        <f>AND('SPR BARRANQUILLA'!BZ170,"AAAAAHh/v4M=")</f>
        <v>#VALUE!</v>
      </c>
      <c r="EC142" t="e">
        <f>AND('SPR BARRANQUILLA'!CA170,"AAAAAHh/v4Q=")</f>
        <v>#VALUE!</v>
      </c>
      <c r="ED142" t="e">
        <f>AND('SPR BARRANQUILLA'!CB170,"AAAAAHh/v4U=")</f>
        <v>#VALUE!</v>
      </c>
      <c r="EE142" t="e">
        <f>AND('SPR BARRANQUILLA'!CC170,"AAAAAHh/v4Y=")</f>
        <v>#VALUE!</v>
      </c>
      <c r="EF142" t="e">
        <f>AND('SPR BARRANQUILLA'!CD170,"AAAAAHh/v4c=")</f>
        <v>#VALUE!</v>
      </c>
      <c r="EG142" t="e">
        <f>AND('SPR BARRANQUILLA'!CE170,"AAAAAHh/v4g=")</f>
        <v>#VALUE!</v>
      </c>
      <c r="EH142" t="e">
        <f>AND('SPR BARRANQUILLA'!CF170,"AAAAAHh/v4k=")</f>
        <v>#VALUE!</v>
      </c>
      <c r="EI142" t="e">
        <f>AND('SPR BARRANQUILLA'!CG170,"AAAAAHh/v4o=")</f>
        <v>#VALUE!</v>
      </c>
      <c r="EJ142" t="e">
        <f>AND('SPR BARRANQUILLA'!CH170,"AAAAAHh/v4s=")</f>
        <v>#VALUE!</v>
      </c>
      <c r="EK142" t="e">
        <f>AND('SPR BARRANQUILLA'!CI170,"AAAAAHh/v4w=")</f>
        <v>#VALUE!</v>
      </c>
      <c r="EL142" t="e">
        <f>AND('SPR BARRANQUILLA'!CJ170,"AAAAAHh/v40=")</f>
        <v>#VALUE!</v>
      </c>
      <c r="EM142" t="e">
        <f>AND('SPR BARRANQUILLA'!CK170,"AAAAAHh/v44=")</f>
        <v>#VALUE!</v>
      </c>
      <c r="EN142" t="e">
        <f>AND('SPR BARRANQUILLA'!CL170,"AAAAAHh/v48=")</f>
        <v>#VALUE!</v>
      </c>
      <c r="EO142" t="e">
        <f>AND('SPR BARRANQUILLA'!CM170,"AAAAAHh/v5A=")</f>
        <v>#VALUE!</v>
      </c>
      <c r="EP142" t="e">
        <f>AND('SPR BARRANQUILLA'!CN170,"AAAAAHh/v5E=")</f>
        <v>#VALUE!</v>
      </c>
      <c r="EQ142" t="e">
        <f>AND('SPR BARRANQUILLA'!CO170,"AAAAAHh/v5I=")</f>
        <v>#VALUE!</v>
      </c>
      <c r="ER142" t="e">
        <f>AND('SPR BARRANQUILLA'!CP170,"AAAAAHh/v5M=")</f>
        <v>#VALUE!</v>
      </c>
      <c r="ES142" t="e">
        <f>AND('SPR BARRANQUILLA'!CQ170,"AAAAAHh/v5Q=")</f>
        <v>#VALUE!</v>
      </c>
      <c r="ET142" t="e">
        <f>AND('SPR BARRANQUILLA'!CR170,"AAAAAHh/v5U=")</f>
        <v>#VALUE!</v>
      </c>
      <c r="EU142" t="e">
        <f>AND('SPR BARRANQUILLA'!CS170,"AAAAAHh/v5Y=")</f>
        <v>#VALUE!</v>
      </c>
      <c r="EV142" t="e">
        <f>AND('SPR BARRANQUILLA'!CT170,"AAAAAHh/v5c=")</f>
        <v>#VALUE!</v>
      </c>
      <c r="EW142" t="e">
        <f>AND('SPR BARRANQUILLA'!CU170,"AAAAAHh/v5g=")</f>
        <v>#VALUE!</v>
      </c>
      <c r="EX142" t="e">
        <f>AND('SPR BARRANQUILLA'!CV170,"AAAAAHh/v5k=")</f>
        <v>#VALUE!</v>
      </c>
      <c r="EY142" t="e">
        <f>AND('SPR BARRANQUILLA'!CW170,"AAAAAHh/v5o=")</f>
        <v>#VALUE!</v>
      </c>
      <c r="EZ142" t="e">
        <f>AND('SPR BARRANQUILLA'!CX170,"AAAAAHh/v5s=")</f>
        <v>#VALUE!</v>
      </c>
      <c r="FA142" t="e">
        <f>AND('SPR BARRANQUILLA'!CY170,"AAAAAHh/v5w=")</f>
        <v>#VALUE!</v>
      </c>
      <c r="FB142" t="e">
        <f>AND('SPR BARRANQUILLA'!CZ170,"AAAAAHh/v50=")</f>
        <v>#VALUE!</v>
      </c>
      <c r="FC142" t="e">
        <f>AND('SPR BARRANQUILLA'!DA170,"AAAAAHh/v54=")</f>
        <v>#VALUE!</v>
      </c>
      <c r="FD142" t="e">
        <f>AND('SPR BARRANQUILLA'!DB170,"AAAAAHh/v58=")</f>
        <v>#VALUE!</v>
      </c>
      <c r="FE142" t="e">
        <f>AND('SPR BARRANQUILLA'!DC170,"AAAAAHh/v6A=")</f>
        <v>#VALUE!</v>
      </c>
      <c r="FF142" t="e">
        <f>AND('SPR BARRANQUILLA'!DD170,"AAAAAHh/v6E=")</f>
        <v>#VALUE!</v>
      </c>
      <c r="FG142" t="e">
        <f>AND('SPR BARRANQUILLA'!DE170,"AAAAAHh/v6I=")</f>
        <v>#VALUE!</v>
      </c>
      <c r="FH142" t="e">
        <f>AND('SPR BARRANQUILLA'!DF170,"AAAAAHh/v6M=")</f>
        <v>#VALUE!</v>
      </c>
      <c r="FI142" t="e">
        <f>AND('SPR BARRANQUILLA'!DG170,"AAAAAHh/v6Q=")</f>
        <v>#VALUE!</v>
      </c>
      <c r="FJ142" t="e">
        <f>AND('SPR BARRANQUILLA'!DH170,"AAAAAHh/v6U=")</f>
        <v>#VALUE!</v>
      </c>
      <c r="FK142" t="e">
        <f>AND('SPR BARRANQUILLA'!DI170,"AAAAAHh/v6Y=")</f>
        <v>#VALUE!</v>
      </c>
      <c r="FL142" t="e">
        <f>AND('SPR BARRANQUILLA'!DJ170,"AAAAAHh/v6c=")</f>
        <v>#VALUE!</v>
      </c>
      <c r="FM142" t="e">
        <f>AND('SPR BARRANQUILLA'!DK170,"AAAAAHh/v6g=")</f>
        <v>#VALUE!</v>
      </c>
      <c r="FN142" t="e">
        <f>AND('SPR BARRANQUILLA'!DL170,"AAAAAHh/v6k=")</f>
        <v>#VALUE!</v>
      </c>
      <c r="FO142" t="e">
        <f>AND('SPR BARRANQUILLA'!DM170,"AAAAAHh/v6o=")</f>
        <v>#VALUE!</v>
      </c>
      <c r="FP142" t="e">
        <f>AND('SPR BARRANQUILLA'!DN170,"AAAAAHh/v6s=")</f>
        <v>#VALUE!</v>
      </c>
      <c r="FQ142" t="e">
        <f>AND('SPR BARRANQUILLA'!DO170,"AAAAAHh/v6w=")</f>
        <v>#VALUE!</v>
      </c>
      <c r="FR142" t="e">
        <f>AND('SPR BARRANQUILLA'!DP170,"AAAAAHh/v60=")</f>
        <v>#VALUE!</v>
      </c>
      <c r="FS142" t="e">
        <f>AND('SPR BARRANQUILLA'!DQ170,"AAAAAHh/v64=")</f>
        <v>#VALUE!</v>
      </c>
      <c r="FT142" t="e">
        <f>AND('SPR BARRANQUILLA'!DR170,"AAAAAHh/v68=")</f>
        <v>#VALUE!</v>
      </c>
      <c r="FU142" t="e">
        <f>AND('SPR BARRANQUILLA'!DS170,"AAAAAHh/v7A=")</f>
        <v>#VALUE!</v>
      </c>
      <c r="FV142" t="e">
        <f>AND('SPR BARRANQUILLA'!DT170,"AAAAAHh/v7E=")</f>
        <v>#VALUE!</v>
      </c>
      <c r="FW142" t="e">
        <f>AND('SPR BARRANQUILLA'!DU170,"AAAAAHh/v7I=")</f>
        <v>#VALUE!</v>
      </c>
      <c r="FX142" t="e">
        <f>AND('SPR BARRANQUILLA'!DV170,"AAAAAHh/v7M=")</f>
        <v>#VALUE!</v>
      </c>
      <c r="FY142" t="e">
        <f>AND('SPR BARRANQUILLA'!DW170,"AAAAAHh/v7Q=")</f>
        <v>#VALUE!</v>
      </c>
      <c r="FZ142" t="e">
        <f>AND('SPR BARRANQUILLA'!DX170,"AAAAAHh/v7U=")</f>
        <v>#VALUE!</v>
      </c>
      <c r="GA142" t="e">
        <f>AND('SPR BARRANQUILLA'!DY170,"AAAAAHh/v7Y=")</f>
        <v>#VALUE!</v>
      </c>
      <c r="GB142" t="e">
        <f>AND('SPR BARRANQUILLA'!DZ170,"AAAAAHh/v7c=")</f>
        <v>#VALUE!</v>
      </c>
      <c r="GC142" t="e">
        <f>AND('SPR BARRANQUILLA'!EA170,"AAAAAHh/v7g=")</f>
        <v>#VALUE!</v>
      </c>
      <c r="GD142" t="e">
        <f>AND('SPR BARRANQUILLA'!EB170,"AAAAAHh/v7k=")</f>
        <v>#VALUE!</v>
      </c>
      <c r="GE142" t="e">
        <f>AND('SPR BARRANQUILLA'!EC170,"AAAAAHh/v7o=")</f>
        <v>#VALUE!</v>
      </c>
      <c r="GF142" t="e">
        <f>AND('SPR BARRANQUILLA'!ED170,"AAAAAHh/v7s=")</f>
        <v>#VALUE!</v>
      </c>
      <c r="GG142" t="e">
        <f>AND('SPR BARRANQUILLA'!EE170,"AAAAAHh/v7w=")</f>
        <v>#VALUE!</v>
      </c>
      <c r="GH142" t="e">
        <f>AND('SPR BARRANQUILLA'!EF170,"AAAAAHh/v70=")</f>
        <v>#VALUE!</v>
      </c>
      <c r="GI142" t="e">
        <f>AND('SPR BARRANQUILLA'!EG170,"AAAAAHh/v74=")</f>
        <v>#VALUE!</v>
      </c>
      <c r="GJ142" t="e">
        <f>AND('SPR BARRANQUILLA'!EH170,"AAAAAHh/v78=")</f>
        <v>#VALUE!</v>
      </c>
      <c r="GK142" t="e">
        <f>AND('SPR BARRANQUILLA'!EI170,"AAAAAHh/v8A=")</f>
        <v>#VALUE!</v>
      </c>
      <c r="GL142" t="e">
        <f>AND('SPR BARRANQUILLA'!EJ170,"AAAAAHh/v8E=")</f>
        <v>#VALUE!</v>
      </c>
      <c r="GM142" t="e">
        <f>AND('SPR BARRANQUILLA'!EK170,"AAAAAHh/v8I=")</f>
        <v>#VALUE!</v>
      </c>
      <c r="GN142" t="e">
        <f>AND('SPR BARRANQUILLA'!EL170,"AAAAAHh/v8M=")</f>
        <v>#VALUE!</v>
      </c>
      <c r="GO142" t="e">
        <f>AND('SPR BARRANQUILLA'!EM170,"AAAAAHh/v8Q=")</f>
        <v>#VALUE!</v>
      </c>
      <c r="GP142" t="e">
        <f>AND('SPR BARRANQUILLA'!EN170,"AAAAAHh/v8U=")</f>
        <v>#VALUE!</v>
      </c>
      <c r="GQ142" t="e">
        <f>AND('SPR BARRANQUILLA'!EO170,"AAAAAHh/v8Y=")</f>
        <v>#VALUE!</v>
      </c>
      <c r="GR142" t="e">
        <f>AND('SPR BARRANQUILLA'!EP170,"AAAAAHh/v8c=")</f>
        <v>#VALUE!</v>
      </c>
      <c r="GS142" t="e">
        <f>AND('SPR BARRANQUILLA'!EQ170,"AAAAAHh/v8g=")</f>
        <v>#VALUE!</v>
      </c>
      <c r="GT142" t="e">
        <f>AND('SPR BARRANQUILLA'!ER170,"AAAAAHh/v8k=")</f>
        <v>#VALUE!</v>
      </c>
      <c r="GU142" t="e">
        <f>AND('SPR BARRANQUILLA'!ES170,"AAAAAHh/v8o=")</f>
        <v>#VALUE!</v>
      </c>
      <c r="GV142" t="e">
        <f>AND('SPR BARRANQUILLA'!ET170,"AAAAAHh/v8s=")</f>
        <v>#VALUE!</v>
      </c>
      <c r="GW142" t="e">
        <f>AND('SPR BARRANQUILLA'!EU170,"AAAAAHh/v8w=")</f>
        <v>#VALUE!</v>
      </c>
      <c r="GX142" t="e">
        <f>AND('SPR BARRANQUILLA'!EV170,"AAAAAHh/v80=")</f>
        <v>#VALUE!</v>
      </c>
      <c r="GY142" t="e">
        <f>AND('SPR BARRANQUILLA'!EW170,"AAAAAHh/v84=")</f>
        <v>#VALUE!</v>
      </c>
      <c r="GZ142" t="e">
        <f>AND('SPR BARRANQUILLA'!EX170,"AAAAAHh/v88=")</f>
        <v>#VALUE!</v>
      </c>
      <c r="HA142" t="e">
        <f>AND('SPR BARRANQUILLA'!EY170,"AAAAAHh/v9A=")</f>
        <v>#VALUE!</v>
      </c>
      <c r="HB142" t="e">
        <f>AND('SPR BARRANQUILLA'!EZ170,"AAAAAHh/v9E=")</f>
        <v>#VALUE!</v>
      </c>
      <c r="HC142" t="e">
        <f>AND('SPR BARRANQUILLA'!FA170,"AAAAAHh/v9I=")</f>
        <v>#VALUE!</v>
      </c>
      <c r="HD142" t="e">
        <f>AND('SPR BARRANQUILLA'!FB170,"AAAAAHh/v9M=")</f>
        <v>#VALUE!</v>
      </c>
      <c r="HE142" t="e">
        <f>AND('SPR BARRANQUILLA'!FC170,"AAAAAHh/v9Q=")</f>
        <v>#VALUE!</v>
      </c>
      <c r="HF142" t="e">
        <f>AND('SPR BARRANQUILLA'!FD170,"AAAAAHh/v9U=")</f>
        <v>#VALUE!</v>
      </c>
      <c r="HG142" t="e">
        <f>AND('SPR BARRANQUILLA'!FE170,"AAAAAHh/v9Y=")</f>
        <v>#VALUE!</v>
      </c>
      <c r="HH142" t="e">
        <f>AND('SPR BARRANQUILLA'!FF170,"AAAAAHh/v9c=")</f>
        <v>#VALUE!</v>
      </c>
      <c r="HI142" t="e">
        <f>AND('SPR BARRANQUILLA'!FG170,"AAAAAHh/v9g=")</f>
        <v>#VALUE!</v>
      </c>
      <c r="HJ142" t="e">
        <f>AND('SPR BARRANQUILLA'!FH170,"AAAAAHh/v9k=")</f>
        <v>#VALUE!</v>
      </c>
      <c r="HK142" t="e">
        <f>AND('SPR BARRANQUILLA'!FI170,"AAAAAHh/v9o=")</f>
        <v>#VALUE!</v>
      </c>
      <c r="HL142" t="e">
        <f>AND('SPR BARRANQUILLA'!FJ170,"AAAAAHh/v9s=")</f>
        <v>#VALUE!</v>
      </c>
      <c r="HM142" t="e">
        <f>AND('SPR BARRANQUILLA'!FK170,"AAAAAHh/v9w=")</f>
        <v>#VALUE!</v>
      </c>
      <c r="HN142" t="e">
        <f>AND('SPR BARRANQUILLA'!FL170,"AAAAAHh/v90=")</f>
        <v>#VALUE!</v>
      </c>
      <c r="HO142" t="e">
        <f>AND('SPR BARRANQUILLA'!FM170,"AAAAAHh/v94=")</f>
        <v>#VALUE!</v>
      </c>
      <c r="HP142" t="e">
        <f>AND('SPR BARRANQUILLA'!FN170,"AAAAAHh/v98=")</f>
        <v>#VALUE!</v>
      </c>
      <c r="HQ142" t="e">
        <f>AND('SPR BARRANQUILLA'!FO170,"AAAAAHh/v+A=")</f>
        <v>#VALUE!</v>
      </c>
      <c r="HR142" t="e">
        <f>AND('SPR BARRANQUILLA'!FP170,"AAAAAHh/v+E=")</f>
        <v>#VALUE!</v>
      </c>
      <c r="HS142" t="e">
        <f>AND('SPR BARRANQUILLA'!FQ170,"AAAAAHh/v+I=")</f>
        <v>#VALUE!</v>
      </c>
      <c r="HT142" t="e">
        <f>AND('SPR BARRANQUILLA'!FR170,"AAAAAHh/v+M=")</f>
        <v>#VALUE!</v>
      </c>
      <c r="HU142" t="e">
        <f>AND('SPR BARRANQUILLA'!FS170,"AAAAAHh/v+Q=")</f>
        <v>#VALUE!</v>
      </c>
      <c r="HV142" t="e">
        <f>AND('SPR BARRANQUILLA'!FT170,"AAAAAHh/v+U=")</f>
        <v>#VALUE!</v>
      </c>
      <c r="HW142" t="e">
        <f>AND('SPR BARRANQUILLA'!FU170,"AAAAAHh/v+Y=")</f>
        <v>#VALUE!</v>
      </c>
      <c r="HX142" t="e">
        <f>AND('SPR BARRANQUILLA'!FV170,"AAAAAHh/v+c=")</f>
        <v>#VALUE!</v>
      </c>
      <c r="HY142" t="e">
        <f>AND('SPR BARRANQUILLA'!FW170,"AAAAAHh/v+g=")</f>
        <v>#VALUE!</v>
      </c>
      <c r="HZ142" t="e">
        <f>AND('SPR BARRANQUILLA'!FX170,"AAAAAHh/v+k=")</f>
        <v>#VALUE!</v>
      </c>
      <c r="IA142" t="e">
        <f>AND('SPR BARRANQUILLA'!FY170,"AAAAAHh/v+o=")</f>
        <v>#VALUE!</v>
      </c>
      <c r="IB142" t="e">
        <f>AND('SPR BARRANQUILLA'!FZ170,"AAAAAHh/v+s=")</f>
        <v>#VALUE!</v>
      </c>
      <c r="IC142" t="e">
        <f>AND('SPR BARRANQUILLA'!GA170,"AAAAAHh/v+w=")</f>
        <v>#VALUE!</v>
      </c>
      <c r="ID142" t="e">
        <f>AND('SPR BARRANQUILLA'!GB170,"AAAAAHh/v+0=")</f>
        <v>#VALUE!</v>
      </c>
      <c r="IE142" t="e">
        <f>AND('SPR BARRANQUILLA'!GC170,"AAAAAHh/v+4=")</f>
        <v>#VALUE!</v>
      </c>
      <c r="IF142" t="e">
        <f>AND('SPR BARRANQUILLA'!GD170,"AAAAAHh/v+8=")</f>
        <v>#VALUE!</v>
      </c>
      <c r="IG142" t="e">
        <f>AND('SPR BARRANQUILLA'!GE170,"AAAAAHh/v/A=")</f>
        <v>#VALUE!</v>
      </c>
      <c r="IH142" t="e">
        <f>AND('SPR BARRANQUILLA'!GF170,"AAAAAHh/v/E=")</f>
        <v>#VALUE!</v>
      </c>
      <c r="II142" t="e">
        <f>AND('SPR BARRANQUILLA'!GG170,"AAAAAHh/v/I=")</f>
        <v>#VALUE!</v>
      </c>
      <c r="IJ142" t="e">
        <f>AND('SPR BARRANQUILLA'!GH170,"AAAAAHh/v/M=")</f>
        <v>#VALUE!</v>
      </c>
      <c r="IK142" t="e">
        <f>AND('SPR BARRANQUILLA'!GI170,"AAAAAHh/v/Q=")</f>
        <v>#VALUE!</v>
      </c>
      <c r="IL142" t="e">
        <f>AND('SPR BARRANQUILLA'!GJ170,"AAAAAHh/v/U=")</f>
        <v>#VALUE!</v>
      </c>
      <c r="IM142" t="e">
        <f>AND('SPR BARRANQUILLA'!GK170,"AAAAAHh/v/Y=")</f>
        <v>#VALUE!</v>
      </c>
      <c r="IN142" t="e">
        <f>AND('SPR BARRANQUILLA'!GL170,"AAAAAHh/v/c=")</f>
        <v>#VALUE!</v>
      </c>
      <c r="IO142" t="e">
        <f>AND('SPR BARRANQUILLA'!GM170,"AAAAAHh/v/g=")</f>
        <v>#VALUE!</v>
      </c>
      <c r="IP142" t="e">
        <f>AND('SPR BARRANQUILLA'!GN170,"AAAAAHh/v/k=")</f>
        <v>#VALUE!</v>
      </c>
      <c r="IQ142" t="e">
        <f>AND('SPR BARRANQUILLA'!GO170,"AAAAAHh/v/o=")</f>
        <v>#VALUE!</v>
      </c>
      <c r="IR142" t="e">
        <f>AND('SPR BARRANQUILLA'!GP170,"AAAAAHh/v/s=")</f>
        <v>#VALUE!</v>
      </c>
      <c r="IS142" t="e">
        <f>AND('SPR BARRANQUILLA'!GQ170,"AAAAAHh/v/w=")</f>
        <v>#VALUE!</v>
      </c>
      <c r="IT142" t="e">
        <f>AND('SPR BARRANQUILLA'!GR170,"AAAAAHh/v/0=")</f>
        <v>#VALUE!</v>
      </c>
      <c r="IU142" t="e">
        <f>AND('SPR BARRANQUILLA'!GS170,"AAAAAHh/v/4=")</f>
        <v>#VALUE!</v>
      </c>
      <c r="IV142" t="e">
        <f>AND('SPR BARRANQUILLA'!GT170,"AAAAAHh/v/8=")</f>
        <v>#VALUE!</v>
      </c>
    </row>
    <row r="143" spans="1:256">
      <c r="A143" t="e">
        <f>AND('SPR BARRANQUILLA'!GU170,"AAAAABv9/AA=")</f>
        <v>#VALUE!</v>
      </c>
      <c r="B143" t="e">
        <f>AND('SPR BARRANQUILLA'!GV170,"AAAAABv9/AE=")</f>
        <v>#VALUE!</v>
      </c>
      <c r="C143" t="e">
        <f>AND('SPR BARRANQUILLA'!GW170,"AAAAABv9/AI=")</f>
        <v>#VALUE!</v>
      </c>
      <c r="D143" t="e">
        <f>AND('SPR BARRANQUILLA'!GX170,"AAAAABv9/AM=")</f>
        <v>#VALUE!</v>
      </c>
      <c r="E143" t="e">
        <f>AND('SPR BARRANQUILLA'!GY170,"AAAAABv9/AQ=")</f>
        <v>#VALUE!</v>
      </c>
      <c r="F143" t="e">
        <f>IF('SPR BARRANQUILLA'!171:171,"AAAAABv9/AU=",0)</f>
        <v>#VALUE!</v>
      </c>
      <c r="G143" t="e">
        <f>AND('SPR BARRANQUILLA'!A171,"AAAAABv9/AY=")</f>
        <v>#VALUE!</v>
      </c>
      <c r="H143" t="e">
        <f>AND('SPR BARRANQUILLA'!B171,"AAAAABv9/Ac=")</f>
        <v>#VALUE!</v>
      </c>
      <c r="I143" t="e">
        <f>AND('SPR BARRANQUILLA'!C171,"AAAAABv9/Ag=")</f>
        <v>#VALUE!</v>
      </c>
      <c r="J143" t="e">
        <f>AND('SPR BARRANQUILLA'!D171,"AAAAABv9/Ak=")</f>
        <v>#VALUE!</v>
      </c>
      <c r="K143" t="e">
        <f>AND('SPR BARRANQUILLA'!E171,"AAAAABv9/Ao=")</f>
        <v>#VALUE!</v>
      </c>
      <c r="L143" t="e">
        <f>AND('SPR BARRANQUILLA'!F171,"AAAAABv9/As=")</f>
        <v>#VALUE!</v>
      </c>
      <c r="M143" t="e">
        <f>AND('SPR BARRANQUILLA'!G171,"AAAAABv9/Aw=")</f>
        <v>#VALUE!</v>
      </c>
      <c r="N143" t="e">
        <f>AND('SPR BARRANQUILLA'!H171,"AAAAABv9/A0=")</f>
        <v>#VALUE!</v>
      </c>
      <c r="O143" t="e">
        <f>AND('SPR BARRANQUILLA'!I171,"AAAAABv9/A4=")</f>
        <v>#VALUE!</v>
      </c>
      <c r="P143" t="e">
        <f>AND('SPR BARRANQUILLA'!J171,"AAAAABv9/A8=")</f>
        <v>#VALUE!</v>
      </c>
      <c r="Q143" t="e">
        <f>AND('SPR BARRANQUILLA'!K171,"AAAAABv9/BA=")</f>
        <v>#VALUE!</v>
      </c>
      <c r="R143" t="e">
        <f>AND('SPR BARRANQUILLA'!L171,"AAAAABv9/BE=")</f>
        <v>#VALUE!</v>
      </c>
      <c r="S143" t="e">
        <f>AND('SPR BARRANQUILLA'!M171,"AAAAABv9/BI=")</f>
        <v>#VALUE!</v>
      </c>
      <c r="T143" t="e">
        <f>AND('SPR BARRANQUILLA'!N171,"AAAAABv9/BM=")</f>
        <v>#VALUE!</v>
      </c>
      <c r="U143" t="e">
        <f>AND('SPR BARRANQUILLA'!O171,"AAAAABv9/BQ=")</f>
        <v>#VALUE!</v>
      </c>
      <c r="V143" t="e">
        <f>AND('SPR BARRANQUILLA'!P171,"AAAAABv9/BU=")</f>
        <v>#VALUE!</v>
      </c>
      <c r="W143" t="e">
        <f>AND('SPR BARRANQUILLA'!Q171,"AAAAABv9/BY=")</f>
        <v>#VALUE!</v>
      </c>
      <c r="X143" t="e">
        <f>AND('SPR BARRANQUILLA'!R171,"AAAAABv9/Bc=")</f>
        <v>#VALUE!</v>
      </c>
      <c r="Y143" t="e">
        <f>AND('SPR BARRANQUILLA'!S171,"AAAAABv9/Bg=")</f>
        <v>#VALUE!</v>
      </c>
      <c r="Z143" t="e">
        <f>AND('SPR BARRANQUILLA'!T171,"AAAAABv9/Bk=")</f>
        <v>#VALUE!</v>
      </c>
      <c r="AA143" t="e">
        <f>AND('SPR BARRANQUILLA'!U171,"AAAAABv9/Bo=")</f>
        <v>#VALUE!</v>
      </c>
      <c r="AB143" t="e">
        <f>AND('SPR BARRANQUILLA'!V171,"AAAAABv9/Bs=")</f>
        <v>#VALUE!</v>
      </c>
      <c r="AC143" t="e">
        <f>AND('SPR BARRANQUILLA'!W171,"AAAAABv9/Bw=")</f>
        <v>#VALUE!</v>
      </c>
      <c r="AD143" t="e">
        <f>AND('SPR BARRANQUILLA'!X171,"AAAAABv9/B0=")</f>
        <v>#VALUE!</v>
      </c>
      <c r="AE143" t="e">
        <f>AND('SPR BARRANQUILLA'!Y171,"AAAAABv9/B4=")</f>
        <v>#VALUE!</v>
      </c>
      <c r="AF143" t="e">
        <f>AND('SPR BARRANQUILLA'!Z171,"AAAAABv9/B8=")</f>
        <v>#VALUE!</v>
      </c>
      <c r="AG143" t="e">
        <f>AND('SPR BARRANQUILLA'!AA171,"AAAAABv9/CA=")</f>
        <v>#VALUE!</v>
      </c>
      <c r="AH143" t="e">
        <f>AND('SPR BARRANQUILLA'!AB171,"AAAAABv9/CE=")</f>
        <v>#VALUE!</v>
      </c>
      <c r="AI143" t="e">
        <f>AND('SPR BARRANQUILLA'!AC171,"AAAAABv9/CI=")</f>
        <v>#VALUE!</v>
      </c>
      <c r="AJ143" t="e">
        <f>AND('SPR BARRANQUILLA'!AD171,"AAAAABv9/CM=")</f>
        <v>#VALUE!</v>
      </c>
      <c r="AK143" t="e">
        <f>AND('SPR BARRANQUILLA'!AE171,"AAAAABv9/CQ=")</f>
        <v>#VALUE!</v>
      </c>
      <c r="AL143" t="e">
        <f>AND('SPR BARRANQUILLA'!AF171,"AAAAABv9/CU=")</f>
        <v>#VALUE!</v>
      </c>
      <c r="AM143" t="e">
        <f>AND('SPR BARRANQUILLA'!AG171,"AAAAABv9/CY=")</f>
        <v>#VALUE!</v>
      </c>
      <c r="AN143" t="e">
        <f>AND('SPR BARRANQUILLA'!AH171,"AAAAABv9/Cc=")</f>
        <v>#VALUE!</v>
      </c>
      <c r="AO143" t="e">
        <f>AND('SPR BARRANQUILLA'!AI171,"AAAAABv9/Cg=")</f>
        <v>#VALUE!</v>
      </c>
      <c r="AP143" t="e">
        <f>AND('SPR BARRANQUILLA'!AJ171,"AAAAABv9/Ck=")</f>
        <v>#VALUE!</v>
      </c>
      <c r="AQ143" t="e">
        <f>AND('SPR BARRANQUILLA'!AK171,"AAAAABv9/Co=")</f>
        <v>#VALUE!</v>
      </c>
      <c r="AR143" t="e">
        <f>AND('SPR BARRANQUILLA'!AL171,"AAAAABv9/Cs=")</f>
        <v>#VALUE!</v>
      </c>
      <c r="AS143" t="e">
        <f>AND('SPR BARRANQUILLA'!AM171,"AAAAABv9/Cw=")</f>
        <v>#VALUE!</v>
      </c>
      <c r="AT143" t="e">
        <f>AND('SPR BARRANQUILLA'!AN171,"AAAAABv9/C0=")</f>
        <v>#VALUE!</v>
      </c>
      <c r="AU143" t="e">
        <f>AND('SPR BARRANQUILLA'!AO171,"AAAAABv9/C4=")</f>
        <v>#VALUE!</v>
      </c>
      <c r="AV143" t="e">
        <f>AND('SPR BARRANQUILLA'!AP171,"AAAAABv9/C8=")</f>
        <v>#VALUE!</v>
      </c>
      <c r="AW143" t="e">
        <f>AND('SPR BARRANQUILLA'!AQ171,"AAAAABv9/DA=")</f>
        <v>#VALUE!</v>
      </c>
      <c r="AX143" t="e">
        <f>AND('SPR BARRANQUILLA'!AR171,"AAAAABv9/DE=")</f>
        <v>#VALUE!</v>
      </c>
      <c r="AY143" t="e">
        <f>AND('SPR BARRANQUILLA'!AS171,"AAAAABv9/DI=")</f>
        <v>#VALUE!</v>
      </c>
      <c r="AZ143" t="e">
        <f>AND('SPR BARRANQUILLA'!AT171,"AAAAABv9/DM=")</f>
        <v>#VALUE!</v>
      </c>
      <c r="BA143" t="e">
        <f>AND('SPR BARRANQUILLA'!AU171,"AAAAABv9/DQ=")</f>
        <v>#VALUE!</v>
      </c>
      <c r="BB143" t="e">
        <f>AND('SPR BARRANQUILLA'!AV171,"AAAAABv9/DU=")</f>
        <v>#VALUE!</v>
      </c>
      <c r="BC143" t="e">
        <f>AND('SPR BARRANQUILLA'!AW171,"AAAAABv9/DY=")</f>
        <v>#VALUE!</v>
      </c>
      <c r="BD143" t="e">
        <f>AND('SPR BARRANQUILLA'!AX171,"AAAAABv9/Dc=")</f>
        <v>#VALUE!</v>
      </c>
      <c r="BE143" t="e">
        <f>AND('SPR BARRANQUILLA'!AY171,"AAAAABv9/Dg=")</f>
        <v>#VALUE!</v>
      </c>
      <c r="BF143" t="e">
        <f>AND('SPR BARRANQUILLA'!AZ171,"AAAAABv9/Dk=")</f>
        <v>#VALUE!</v>
      </c>
      <c r="BG143" t="e">
        <f>AND('SPR BARRANQUILLA'!BA171,"AAAAABv9/Do=")</f>
        <v>#VALUE!</v>
      </c>
      <c r="BH143" t="e">
        <f>AND('SPR BARRANQUILLA'!BB171,"AAAAABv9/Ds=")</f>
        <v>#VALUE!</v>
      </c>
      <c r="BI143" t="e">
        <f>AND('SPR BARRANQUILLA'!BC171,"AAAAABv9/Dw=")</f>
        <v>#VALUE!</v>
      </c>
      <c r="BJ143" t="e">
        <f>AND('SPR BARRANQUILLA'!BD171,"AAAAABv9/D0=")</f>
        <v>#VALUE!</v>
      </c>
      <c r="BK143" t="e">
        <f>AND('SPR BARRANQUILLA'!BE171,"AAAAABv9/D4=")</f>
        <v>#VALUE!</v>
      </c>
      <c r="BL143" t="e">
        <f>AND('SPR BARRANQUILLA'!BF171,"AAAAABv9/D8=")</f>
        <v>#VALUE!</v>
      </c>
      <c r="BM143" t="e">
        <f>AND('SPR BARRANQUILLA'!BG171,"AAAAABv9/EA=")</f>
        <v>#VALUE!</v>
      </c>
      <c r="BN143" t="e">
        <f>AND('SPR BARRANQUILLA'!BH171,"AAAAABv9/EE=")</f>
        <v>#VALUE!</v>
      </c>
      <c r="BO143" t="e">
        <f>AND('SPR BARRANQUILLA'!BI171,"AAAAABv9/EI=")</f>
        <v>#VALUE!</v>
      </c>
      <c r="BP143" t="e">
        <f>AND('SPR BARRANQUILLA'!BJ171,"AAAAABv9/EM=")</f>
        <v>#VALUE!</v>
      </c>
      <c r="BQ143" t="e">
        <f>AND('SPR BARRANQUILLA'!BK171,"AAAAABv9/EQ=")</f>
        <v>#VALUE!</v>
      </c>
      <c r="BR143" t="e">
        <f>AND('SPR BARRANQUILLA'!BL171,"AAAAABv9/EU=")</f>
        <v>#VALUE!</v>
      </c>
      <c r="BS143" t="e">
        <f>AND('SPR BARRANQUILLA'!BM171,"AAAAABv9/EY=")</f>
        <v>#VALUE!</v>
      </c>
      <c r="BT143" t="e">
        <f>AND('SPR BARRANQUILLA'!BN171,"AAAAABv9/Ec=")</f>
        <v>#VALUE!</v>
      </c>
      <c r="BU143" t="e">
        <f>AND('SPR BARRANQUILLA'!BO171,"AAAAABv9/Eg=")</f>
        <v>#VALUE!</v>
      </c>
      <c r="BV143" t="e">
        <f>AND('SPR BARRANQUILLA'!BP171,"AAAAABv9/Ek=")</f>
        <v>#VALUE!</v>
      </c>
      <c r="BW143" t="e">
        <f>AND('SPR BARRANQUILLA'!BQ171,"AAAAABv9/Eo=")</f>
        <v>#VALUE!</v>
      </c>
      <c r="BX143" t="e">
        <f>AND('SPR BARRANQUILLA'!BR171,"AAAAABv9/Es=")</f>
        <v>#VALUE!</v>
      </c>
      <c r="BY143" t="e">
        <f>AND('SPR BARRANQUILLA'!BS171,"AAAAABv9/Ew=")</f>
        <v>#VALUE!</v>
      </c>
      <c r="BZ143" t="e">
        <f>AND('SPR BARRANQUILLA'!BT171,"AAAAABv9/E0=")</f>
        <v>#VALUE!</v>
      </c>
      <c r="CA143" t="e">
        <f>AND('SPR BARRANQUILLA'!BU171,"AAAAABv9/E4=")</f>
        <v>#VALUE!</v>
      </c>
      <c r="CB143" t="e">
        <f>AND('SPR BARRANQUILLA'!BV171,"AAAAABv9/E8=")</f>
        <v>#VALUE!</v>
      </c>
      <c r="CC143" t="e">
        <f>AND('SPR BARRANQUILLA'!BW171,"AAAAABv9/FA=")</f>
        <v>#VALUE!</v>
      </c>
      <c r="CD143" t="e">
        <f>AND('SPR BARRANQUILLA'!BX171,"AAAAABv9/FE=")</f>
        <v>#VALUE!</v>
      </c>
      <c r="CE143" t="e">
        <f>AND('SPR BARRANQUILLA'!BY171,"AAAAABv9/FI=")</f>
        <v>#VALUE!</v>
      </c>
      <c r="CF143" t="e">
        <f>AND('SPR BARRANQUILLA'!BZ171,"AAAAABv9/FM=")</f>
        <v>#VALUE!</v>
      </c>
      <c r="CG143" t="e">
        <f>AND('SPR BARRANQUILLA'!CA171,"AAAAABv9/FQ=")</f>
        <v>#VALUE!</v>
      </c>
      <c r="CH143" t="e">
        <f>AND('SPR BARRANQUILLA'!CB171,"AAAAABv9/FU=")</f>
        <v>#VALUE!</v>
      </c>
      <c r="CI143" t="e">
        <f>AND('SPR BARRANQUILLA'!CC171,"AAAAABv9/FY=")</f>
        <v>#VALUE!</v>
      </c>
      <c r="CJ143" t="e">
        <f>AND('SPR BARRANQUILLA'!CD171,"AAAAABv9/Fc=")</f>
        <v>#VALUE!</v>
      </c>
      <c r="CK143" t="e">
        <f>AND('SPR BARRANQUILLA'!CE171,"AAAAABv9/Fg=")</f>
        <v>#VALUE!</v>
      </c>
      <c r="CL143" t="e">
        <f>AND('SPR BARRANQUILLA'!CF171,"AAAAABv9/Fk=")</f>
        <v>#VALUE!</v>
      </c>
      <c r="CM143" t="e">
        <f>AND('SPR BARRANQUILLA'!CG171,"AAAAABv9/Fo=")</f>
        <v>#VALUE!</v>
      </c>
      <c r="CN143" t="e">
        <f>AND('SPR BARRANQUILLA'!CH171,"AAAAABv9/Fs=")</f>
        <v>#VALUE!</v>
      </c>
      <c r="CO143" t="e">
        <f>AND('SPR BARRANQUILLA'!CI171,"AAAAABv9/Fw=")</f>
        <v>#VALUE!</v>
      </c>
      <c r="CP143" t="e">
        <f>AND('SPR BARRANQUILLA'!CJ171,"AAAAABv9/F0=")</f>
        <v>#VALUE!</v>
      </c>
      <c r="CQ143" t="e">
        <f>AND('SPR BARRANQUILLA'!CK171,"AAAAABv9/F4=")</f>
        <v>#VALUE!</v>
      </c>
      <c r="CR143" t="e">
        <f>AND('SPR BARRANQUILLA'!CL171,"AAAAABv9/F8=")</f>
        <v>#VALUE!</v>
      </c>
      <c r="CS143" t="e">
        <f>AND('SPR BARRANQUILLA'!CM171,"AAAAABv9/GA=")</f>
        <v>#VALUE!</v>
      </c>
      <c r="CT143" t="e">
        <f>AND('SPR BARRANQUILLA'!CN171,"AAAAABv9/GE=")</f>
        <v>#VALUE!</v>
      </c>
      <c r="CU143" t="e">
        <f>AND('SPR BARRANQUILLA'!CO171,"AAAAABv9/GI=")</f>
        <v>#VALUE!</v>
      </c>
      <c r="CV143" t="e">
        <f>AND('SPR BARRANQUILLA'!CP171,"AAAAABv9/GM=")</f>
        <v>#VALUE!</v>
      </c>
      <c r="CW143" t="e">
        <f>AND('SPR BARRANQUILLA'!CQ171,"AAAAABv9/GQ=")</f>
        <v>#VALUE!</v>
      </c>
      <c r="CX143" t="e">
        <f>AND('SPR BARRANQUILLA'!CR171,"AAAAABv9/GU=")</f>
        <v>#VALUE!</v>
      </c>
      <c r="CY143" t="e">
        <f>AND('SPR BARRANQUILLA'!CS171,"AAAAABv9/GY=")</f>
        <v>#VALUE!</v>
      </c>
      <c r="CZ143" t="e">
        <f>AND('SPR BARRANQUILLA'!CT171,"AAAAABv9/Gc=")</f>
        <v>#VALUE!</v>
      </c>
      <c r="DA143" t="e">
        <f>AND('SPR BARRANQUILLA'!CU171,"AAAAABv9/Gg=")</f>
        <v>#VALUE!</v>
      </c>
      <c r="DB143" t="e">
        <f>AND('SPR BARRANQUILLA'!CV171,"AAAAABv9/Gk=")</f>
        <v>#VALUE!</v>
      </c>
      <c r="DC143" t="e">
        <f>AND('SPR BARRANQUILLA'!CW171,"AAAAABv9/Go=")</f>
        <v>#VALUE!</v>
      </c>
      <c r="DD143" t="e">
        <f>AND('SPR BARRANQUILLA'!CX171,"AAAAABv9/Gs=")</f>
        <v>#VALUE!</v>
      </c>
      <c r="DE143" t="e">
        <f>AND('SPR BARRANQUILLA'!CY171,"AAAAABv9/Gw=")</f>
        <v>#VALUE!</v>
      </c>
      <c r="DF143" t="e">
        <f>AND('SPR BARRANQUILLA'!CZ171,"AAAAABv9/G0=")</f>
        <v>#VALUE!</v>
      </c>
      <c r="DG143" t="e">
        <f>AND('SPR BARRANQUILLA'!DA171,"AAAAABv9/G4=")</f>
        <v>#VALUE!</v>
      </c>
      <c r="DH143" t="e">
        <f>AND('SPR BARRANQUILLA'!DB171,"AAAAABv9/G8=")</f>
        <v>#VALUE!</v>
      </c>
      <c r="DI143" t="e">
        <f>AND('SPR BARRANQUILLA'!DC171,"AAAAABv9/HA=")</f>
        <v>#VALUE!</v>
      </c>
      <c r="DJ143" t="e">
        <f>AND('SPR BARRANQUILLA'!DD171,"AAAAABv9/HE=")</f>
        <v>#VALUE!</v>
      </c>
      <c r="DK143" t="e">
        <f>AND('SPR BARRANQUILLA'!DE171,"AAAAABv9/HI=")</f>
        <v>#VALUE!</v>
      </c>
      <c r="DL143" t="e">
        <f>AND('SPR BARRANQUILLA'!DF171,"AAAAABv9/HM=")</f>
        <v>#VALUE!</v>
      </c>
      <c r="DM143" t="e">
        <f>AND('SPR BARRANQUILLA'!DG171,"AAAAABv9/HQ=")</f>
        <v>#VALUE!</v>
      </c>
      <c r="DN143" t="e">
        <f>AND('SPR BARRANQUILLA'!DH171,"AAAAABv9/HU=")</f>
        <v>#VALUE!</v>
      </c>
      <c r="DO143" t="e">
        <f>AND('SPR BARRANQUILLA'!DI171,"AAAAABv9/HY=")</f>
        <v>#VALUE!</v>
      </c>
      <c r="DP143" t="e">
        <f>AND('SPR BARRANQUILLA'!DJ171,"AAAAABv9/Hc=")</f>
        <v>#VALUE!</v>
      </c>
      <c r="DQ143" t="e">
        <f>AND('SPR BARRANQUILLA'!DK171,"AAAAABv9/Hg=")</f>
        <v>#VALUE!</v>
      </c>
      <c r="DR143" t="e">
        <f>AND('SPR BARRANQUILLA'!DL171,"AAAAABv9/Hk=")</f>
        <v>#VALUE!</v>
      </c>
      <c r="DS143" t="e">
        <f>AND('SPR BARRANQUILLA'!DM171,"AAAAABv9/Ho=")</f>
        <v>#VALUE!</v>
      </c>
      <c r="DT143" t="e">
        <f>AND('SPR BARRANQUILLA'!DN171,"AAAAABv9/Hs=")</f>
        <v>#VALUE!</v>
      </c>
      <c r="DU143" t="e">
        <f>AND('SPR BARRANQUILLA'!DO171,"AAAAABv9/Hw=")</f>
        <v>#VALUE!</v>
      </c>
      <c r="DV143" t="e">
        <f>AND('SPR BARRANQUILLA'!DP171,"AAAAABv9/H0=")</f>
        <v>#VALUE!</v>
      </c>
      <c r="DW143" t="e">
        <f>AND('SPR BARRANQUILLA'!DQ171,"AAAAABv9/H4=")</f>
        <v>#VALUE!</v>
      </c>
      <c r="DX143" t="e">
        <f>AND('SPR BARRANQUILLA'!DR171,"AAAAABv9/H8=")</f>
        <v>#VALUE!</v>
      </c>
      <c r="DY143" t="e">
        <f>AND('SPR BARRANQUILLA'!DS171,"AAAAABv9/IA=")</f>
        <v>#VALUE!</v>
      </c>
      <c r="DZ143" t="e">
        <f>AND('SPR BARRANQUILLA'!DT171,"AAAAABv9/IE=")</f>
        <v>#VALUE!</v>
      </c>
      <c r="EA143" t="e">
        <f>AND('SPR BARRANQUILLA'!DU171,"AAAAABv9/II=")</f>
        <v>#VALUE!</v>
      </c>
      <c r="EB143" t="e">
        <f>AND('SPR BARRANQUILLA'!DV171,"AAAAABv9/IM=")</f>
        <v>#VALUE!</v>
      </c>
      <c r="EC143" t="e">
        <f>AND('SPR BARRANQUILLA'!DW171,"AAAAABv9/IQ=")</f>
        <v>#VALUE!</v>
      </c>
      <c r="ED143" t="e">
        <f>AND('SPR BARRANQUILLA'!DX171,"AAAAABv9/IU=")</f>
        <v>#VALUE!</v>
      </c>
      <c r="EE143" t="e">
        <f>AND('SPR BARRANQUILLA'!DY171,"AAAAABv9/IY=")</f>
        <v>#VALUE!</v>
      </c>
      <c r="EF143" t="e">
        <f>AND('SPR BARRANQUILLA'!DZ171,"AAAAABv9/Ic=")</f>
        <v>#VALUE!</v>
      </c>
      <c r="EG143" t="e">
        <f>AND('SPR BARRANQUILLA'!EA171,"AAAAABv9/Ig=")</f>
        <v>#VALUE!</v>
      </c>
      <c r="EH143" t="e">
        <f>AND('SPR BARRANQUILLA'!EB171,"AAAAABv9/Ik=")</f>
        <v>#VALUE!</v>
      </c>
      <c r="EI143" t="e">
        <f>AND('SPR BARRANQUILLA'!EC171,"AAAAABv9/Io=")</f>
        <v>#VALUE!</v>
      </c>
      <c r="EJ143" t="e">
        <f>AND('SPR BARRANQUILLA'!ED171,"AAAAABv9/Is=")</f>
        <v>#VALUE!</v>
      </c>
      <c r="EK143" t="e">
        <f>AND('SPR BARRANQUILLA'!EE171,"AAAAABv9/Iw=")</f>
        <v>#VALUE!</v>
      </c>
      <c r="EL143" t="e">
        <f>AND('SPR BARRANQUILLA'!EF171,"AAAAABv9/I0=")</f>
        <v>#VALUE!</v>
      </c>
      <c r="EM143" t="e">
        <f>AND('SPR BARRANQUILLA'!EG171,"AAAAABv9/I4=")</f>
        <v>#VALUE!</v>
      </c>
      <c r="EN143" t="e">
        <f>AND('SPR BARRANQUILLA'!EH171,"AAAAABv9/I8=")</f>
        <v>#VALUE!</v>
      </c>
      <c r="EO143" t="e">
        <f>AND('SPR BARRANQUILLA'!EI171,"AAAAABv9/JA=")</f>
        <v>#VALUE!</v>
      </c>
      <c r="EP143" t="e">
        <f>AND('SPR BARRANQUILLA'!EJ171,"AAAAABv9/JE=")</f>
        <v>#VALUE!</v>
      </c>
      <c r="EQ143" t="e">
        <f>AND('SPR BARRANQUILLA'!EK171,"AAAAABv9/JI=")</f>
        <v>#VALUE!</v>
      </c>
      <c r="ER143" t="e">
        <f>AND('SPR BARRANQUILLA'!EL171,"AAAAABv9/JM=")</f>
        <v>#VALUE!</v>
      </c>
      <c r="ES143" t="e">
        <f>AND('SPR BARRANQUILLA'!EM171,"AAAAABv9/JQ=")</f>
        <v>#VALUE!</v>
      </c>
      <c r="ET143" t="e">
        <f>AND('SPR BARRANQUILLA'!EN171,"AAAAABv9/JU=")</f>
        <v>#VALUE!</v>
      </c>
      <c r="EU143" t="e">
        <f>AND('SPR BARRANQUILLA'!EO171,"AAAAABv9/JY=")</f>
        <v>#VALUE!</v>
      </c>
      <c r="EV143" t="e">
        <f>AND('SPR BARRANQUILLA'!EP171,"AAAAABv9/Jc=")</f>
        <v>#VALUE!</v>
      </c>
      <c r="EW143" t="e">
        <f>AND('SPR BARRANQUILLA'!EQ171,"AAAAABv9/Jg=")</f>
        <v>#VALUE!</v>
      </c>
      <c r="EX143" t="e">
        <f>AND('SPR BARRANQUILLA'!ER171,"AAAAABv9/Jk=")</f>
        <v>#VALUE!</v>
      </c>
      <c r="EY143" t="e">
        <f>AND('SPR BARRANQUILLA'!ES171,"AAAAABv9/Jo=")</f>
        <v>#VALUE!</v>
      </c>
      <c r="EZ143" t="e">
        <f>AND('SPR BARRANQUILLA'!ET171,"AAAAABv9/Js=")</f>
        <v>#VALUE!</v>
      </c>
      <c r="FA143" t="e">
        <f>AND('SPR BARRANQUILLA'!EU171,"AAAAABv9/Jw=")</f>
        <v>#VALUE!</v>
      </c>
      <c r="FB143" t="e">
        <f>AND('SPR BARRANQUILLA'!EV171,"AAAAABv9/J0=")</f>
        <v>#VALUE!</v>
      </c>
      <c r="FC143" t="e">
        <f>AND('SPR BARRANQUILLA'!EW171,"AAAAABv9/J4=")</f>
        <v>#VALUE!</v>
      </c>
      <c r="FD143" t="e">
        <f>AND('SPR BARRANQUILLA'!EX171,"AAAAABv9/J8=")</f>
        <v>#VALUE!</v>
      </c>
      <c r="FE143" t="e">
        <f>AND('SPR BARRANQUILLA'!EY171,"AAAAABv9/KA=")</f>
        <v>#VALUE!</v>
      </c>
      <c r="FF143" t="e">
        <f>AND('SPR BARRANQUILLA'!EZ171,"AAAAABv9/KE=")</f>
        <v>#VALUE!</v>
      </c>
      <c r="FG143" t="e">
        <f>AND('SPR BARRANQUILLA'!FA171,"AAAAABv9/KI=")</f>
        <v>#VALUE!</v>
      </c>
      <c r="FH143" t="e">
        <f>AND('SPR BARRANQUILLA'!FB171,"AAAAABv9/KM=")</f>
        <v>#VALUE!</v>
      </c>
      <c r="FI143" t="e">
        <f>AND('SPR BARRANQUILLA'!FC171,"AAAAABv9/KQ=")</f>
        <v>#VALUE!</v>
      </c>
      <c r="FJ143" t="e">
        <f>AND('SPR BARRANQUILLA'!FD171,"AAAAABv9/KU=")</f>
        <v>#VALUE!</v>
      </c>
      <c r="FK143" t="e">
        <f>AND('SPR BARRANQUILLA'!FE171,"AAAAABv9/KY=")</f>
        <v>#VALUE!</v>
      </c>
      <c r="FL143" t="e">
        <f>AND('SPR BARRANQUILLA'!FF171,"AAAAABv9/Kc=")</f>
        <v>#VALUE!</v>
      </c>
      <c r="FM143" t="e">
        <f>AND('SPR BARRANQUILLA'!FG171,"AAAAABv9/Kg=")</f>
        <v>#VALUE!</v>
      </c>
      <c r="FN143" t="e">
        <f>AND('SPR BARRANQUILLA'!FH171,"AAAAABv9/Kk=")</f>
        <v>#VALUE!</v>
      </c>
      <c r="FO143" t="e">
        <f>AND('SPR BARRANQUILLA'!FI171,"AAAAABv9/Ko=")</f>
        <v>#VALUE!</v>
      </c>
      <c r="FP143" t="e">
        <f>AND('SPR BARRANQUILLA'!FJ171,"AAAAABv9/Ks=")</f>
        <v>#VALUE!</v>
      </c>
      <c r="FQ143" t="e">
        <f>AND('SPR BARRANQUILLA'!FK171,"AAAAABv9/Kw=")</f>
        <v>#VALUE!</v>
      </c>
      <c r="FR143" t="e">
        <f>AND('SPR BARRANQUILLA'!FL171,"AAAAABv9/K0=")</f>
        <v>#VALUE!</v>
      </c>
      <c r="FS143" t="e">
        <f>AND('SPR BARRANQUILLA'!FM171,"AAAAABv9/K4=")</f>
        <v>#VALUE!</v>
      </c>
      <c r="FT143" t="e">
        <f>AND('SPR BARRANQUILLA'!FN171,"AAAAABv9/K8=")</f>
        <v>#VALUE!</v>
      </c>
      <c r="FU143" t="e">
        <f>AND('SPR BARRANQUILLA'!FO171,"AAAAABv9/LA=")</f>
        <v>#VALUE!</v>
      </c>
      <c r="FV143" t="e">
        <f>AND('SPR BARRANQUILLA'!FP171,"AAAAABv9/LE=")</f>
        <v>#VALUE!</v>
      </c>
      <c r="FW143" t="e">
        <f>AND('SPR BARRANQUILLA'!FQ171,"AAAAABv9/LI=")</f>
        <v>#VALUE!</v>
      </c>
      <c r="FX143" t="e">
        <f>AND('SPR BARRANQUILLA'!FR171,"AAAAABv9/LM=")</f>
        <v>#VALUE!</v>
      </c>
      <c r="FY143" t="e">
        <f>AND('SPR BARRANQUILLA'!FS171,"AAAAABv9/LQ=")</f>
        <v>#VALUE!</v>
      </c>
      <c r="FZ143" t="e">
        <f>AND('SPR BARRANQUILLA'!FT171,"AAAAABv9/LU=")</f>
        <v>#VALUE!</v>
      </c>
      <c r="GA143" t="e">
        <f>AND('SPR BARRANQUILLA'!FU171,"AAAAABv9/LY=")</f>
        <v>#VALUE!</v>
      </c>
      <c r="GB143" t="e">
        <f>AND('SPR BARRANQUILLA'!FV171,"AAAAABv9/Lc=")</f>
        <v>#VALUE!</v>
      </c>
      <c r="GC143" t="e">
        <f>AND('SPR BARRANQUILLA'!FW171,"AAAAABv9/Lg=")</f>
        <v>#VALUE!</v>
      </c>
      <c r="GD143" t="e">
        <f>AND('SPR BARRANQUILLA'!FX171,"AAAAABv9/Lk=")</f>
        <v>#VALUE!</v>
      </c>
      <c r="GE143" t="e">
        <f>AND('SPR BARRANQUILLA'!FY171,"AAAAABv9/Lo=")</f>
        <v>#VALUE!</v>
      </c>
      <c r="GF143" t="e">
        <f>AND('SPR BARRANQUILLA'!FZ171,"AAAAABv9/Ls=")</f>
        <v>#VALUE!</v>
      </c>
      <c r="GG143" t="e">
        <f>AND('SPR BARRANQUILLA'!GA171,"AAAAABv9/Lw=")</f>
        <v>#VALUE!</v>
      </c>
      <c r="GH143" t="e">
        <f>AND('SPR BARRANQUILLA'!GB171,"AAAAABv9/L0=")</f>
        <v>#VALUE!</v>
      </c>
      <c r="GI143" t="e">
        <f>AND('SPR BARRANQUILLA'!GC171,"AAAAABv9/L4=")</f>
        <v>#VALUE!</v>
      </c>
      <c r="GJ143" t="e">
        <f>AND('SPR BARRANQUILLA'!GD171,"AAAAABv9/L8=")</f>
        <v>#VALUE!</v>
      </c>
      <c r="GK143" t="e">
        <f>AND('SPR BARRANQUILLA'!GE171,"AAAAABv9/MA=")</f>
        <v>#VALUE!</v>
      </c>
      <c r="GL143" t="e">
        <f>AND('SPR BARRANQUILLA'!GF171,"AAAAABv9/ME=")</f>
        <v>#VALUE!</v>
      </c>
      <c r="GM143" t="e">
        <f>AND('SPR BARRANQUILLA'!GG171,"AAAAABv9/MI=")</f>
        <v>#VALUE!</v>
      </c>
      <c r="GN143" t="e">
        <f>AND('SPR BARRANQUILLA'!GH171,"AAAAABv9/MM=")</f>
        <v>#VALUE!</v>
      </c>
      <c r="GO143" t="e">
        <f>AND('SPR BARRANQUILLA'!GI171,"AAAAABv9/MQ=")</f>
        <v>#VALUE!</v>
      </c>
      <c r="GP143" t="e">
        <f>AND('SPR BARRANQUILLA'!GJ171,"AAAAABv9/MU=")</f>
        <v>#VALUE!</v>
      </c>
      <c r="GQ143" t="e">
        <f>AND('SPR BARRANQUILLA'!GK171,"AAAAABv9/MY=")</f>
        <v>#VALUE!</v>
      </c>
      <c r="GR143" t="e">
        <f>AND('SPR BARRANQUILLA'!GL171,"AAAAABv9/Mc=")</f>
        <v>#VALUE!</v>
      </c>
      <c r="GS143" t="e">
        <f>AND('SPR BARRANQUILLA'!GM171,"AAAAABv9/Mg=")</f>
        <v>#VALUE!</v>
      </c>
      <c r="GT143" t="e">
        <f>AND('SPR BARRANQUILLA'!GN171,"AAAAABv9/Mk=")</f>
        <v>#VALUE!</v>
      </c>
      <c r="GU143" t="e">
        <f>AND('SPR BARRANQUILLA'!GO171,"AAAAABv9/Mo=")</f>
        <v>#VALUE!</v>
      </c>
      <c r="GV143" t="e">
        <f>AND('SPR BARRANQUILLA'!GP171,"AAAAABv9/Ms=")</f>
        <v>#VALUE!</v>
      </c>
      <c r="GW143" t="e">
        <f>AND('SPR BARRANQUILLA'!GQ171,"AAAAABv9/Mw=")</f>
        <v>#VALUE!</v>
      </c>
      <c r="GX143" t="e">
        <f>AND('SPR BARRANQUILLA'!GR171,"AAAAABv9/M0=")</f>
        <v>#VALUE!</v>
      </c>
      <c r="GY143" t="e">
        <f>AND('SPR BARRANQUILLA'!GS171,"AAAAABv9/M4=")</f>
        <v>#VALUE!</v>
      </c>
      <c r="GZ143" t="e">
        <f>AND('SPR BARRANQUILLA'!GT171,"AAAAABv9/M8=")</f>
        <v>#VALUE!</v>
      </c>
      <c r="HA143" t="e">
        <f>AND('SPR BARRANQUILLA'!GU171,"AAAAABv9/NA=")</f>
        <v>#VALUE!</v>
      </c>
      <c r="HB143" t="e">
        <f>AND('SPR BARRANQUILLA'!GV171,"AAAAABv9/NE=")</f>
        <v>#VALUE!</v>
      </c>
      <c r="HC143" t="e">
        <f>AND('SPR BARRANQUILLA'!GW171,"AAAAABv9/NI=")</f>
        <v>#VALUE!</v>
      </c>
      <c r="HD143" t="e">
        <f>AND('SPR BARRANQUILLA'!GX171,"AAAAABv9/NM=")</f>
        <v>#VALUE!</v>
      </c>
      <c r="HE143" t="e">
        <f>AND('SPR BARRANQUILLA'!GY171,"AAAAABv9/NQ=")</f>
        <v>#VALUE!</v>
      </c>
      <c r="HF143">
        <f>IF('SPR BARRANQUILLA'!172:172,"AAAAABv9/NU=",0)</f>
        <v>0</v>
      </c>
      <c r="HG143" t="e">
        <f>AND('SPR BARRANQUILLA'!A172,"AAAAABv9/NY=")</f>
        <v>#VALUE!</v>
      </c>
      <c r="HH143" t="e">
        <f>AND('SPR BARRANQUILLA'!B172,"AAAAABv9/Nc=")</f>
        <v>#VALUE!</v>
      </c>
      <c r="HI143" t="e">
        <f>AND('SPR BARRANQUILLA'!C172,"AAAAABv9/Ng=")</f>
        <v>#VALUE!</v>
      </c>
      <c r="HJ143" t="e">
        <f>AND('SPR BARRANQUILLA'!D172,"AAAAABv9/Nk=")</f>
        <v>#VALUE!</v>
      </c>
      <c r="HK143" t="e">
        <f>AND('SPR BARRANQUILLA'!E172,"AAAAABv9/No=")</f>
        <v>#VALUE!</v>
      </c>
      <c r="HL143" t="e">
        <f>AND('SPR BARRANQUILLA'!F172,"AAAAABv9/Ns=")</f>
        <v>#VALUE!</v>
      </c>
      <c r="HM143" t="e">
        <f>AND('SPR BARRANQUILLA'!G172,"AAAAABv9/Nw=")</f>
        <v>#VALUE!</v>
      </c>
      <c r="HN143" t="e">
        <f>AND('SPR BARRANQUILLA'!H172,"AAAAABv9/N0=")</f>
        <v>#VALUE!</v>
      </c>
      <c r="HO143" t="e">
        <f>AND('SPR BARRANQUILLA'!I172,"AAAAABv9/N4=")</f>
        <v>#VALUE!</v>
      </c>
      <c r="HP143" t="e">
        <f>AND('SPR BARRANQUILLA'!J172,"AAAAABv9/N8=")</f>
        <v>#VALUE!</v>
      </c>
      <c r="HQ143" t="e">
        <f>AND('SPR BARRANQUILLA'!K172,"AAAAABv9/OA=")</f>
        <v>#VALUE!</v>
      </c>
      <c r="HR143" t="e">
        <f>AND('SPR BARRANQUILLA'!L172,"AAAAABv9/OE=")</f>
        <v>#VALUE!</v>
      </c>
      <c r="HS143" t="e">
        <f>AND('SPR BARRANQUILLA'!M172,"AAAAABv9/OI=")</f>
        <v>#VALUE!</v>
      </c>
      <c r="HT143" t="e">
        <f>AND('SPR BARRANQUILLA'!N172,"AAAAABv9/OM=")</f>
        <v>#VALUE!</v>
      </c>
      <c r="HU143" t="e">
        <f>AND('SPR BARRANQUILLA'!O172,"AAAAABv9/OQ=")</f>
        <v>#VALUE!</v>
      </c>
      <c r="HV143" t="e">
        <f>AND('SPR BARRANQUILLA'!P172,"AAAAABv9/OU=")</f>
        <v>#VALUE!</v>
      </c>
      <c r="HW143" t="e">
        <f>AND('SPR BARRANQUILLA'!Q172,"AAAAABv9/OY=")</f>
        <v>#VALUE!</v>
      </c>
      <c r="HX143" t="e">
        <f>AND('SPR BARRANQUILLA'!R172,"AAAAABv9/Oc=")</f>
        <v>#VALUE!</v>
      </c>
      <c r="HY143" t="e">
        <f>AND('SPR BARRANQUILLA'!S172,"AAAAABv9/Og=")</f>
        <v>#VALUE!</v>
      </c>
      <c r="HZ143" t="e">
        <f>AND('SPR BARRANQUILLA'!T172,"AAAAABv9/Ok=")</f>
        <v>#VALUE!</v>
      </c>
      <c r="IA143" t="e">
        <f>AND('SPR BARRANQUILLA'!U172,"AAAAABv9/Oo=")</f>
        <v>#VALUE!</v>
      </c>
      <c r="IB143" t="e">
        <f>AND('SPR BARRANQUILLA'!V172,"AAAAABv9/Os=")</f>
        <v>#VALUE!</v>
      </c>
      <c r="IC143" t="e">
        <f>AND('SPR BARRANQUILLA'!W172,"AAAAABv9/Ow=")</f>
        <v>#VALUE!</v>
      </c>
      <c r="ID143" t="e">
        <f>AND('SPR BARRANQUILLA'!X172,"AAAAABv9/O0=")</f>
        <v>#VALUE!</v>
      </c>
      <c r="IE143" t="e">
        <f>AND('SPR BARRANQUILLA'!Y172,"AAAAABv9/O4=")</f>
        <v>#VALUE!</v>
      </c>
      <c r="IF143" t="e">
        <f>AND('SPR BARRANQUILLA'!Z172,"AAAAABv9/O8=")</f>
        <v>#VALUE!</v>
      </c>
      <c r="IG143" t="e">
        <f>AND('SPR BARRANQUILLA'!AA172,"AAAAABv9/PA=")</f>
        <v>#VALUE!</v>
      </c>
      <c r="IH143" t="e">
        <f>AND('SPR BARRANQUILLA'!AB172,"AAAAABv9/PE=")</f>
        <v>#VALUE!</v>
      </c>
      <c r="II143" t="e">
        <f>AND('SPR BARRANQUILLA'!AC172,"AAAAABv9/PI=")</f>
        <v>#VALUE!</v>
      </c>
      <c r="IJ143" t="e">
        <f>AND('SPR BARRANQUILLA'!AD172,"AAAAABv9/PM=")</f>
        <v>#VALUE!</v>
      </c>
      <c r="IK143" t="e">
        <f>AND('SPR BARRANQUILLA'!AE172,"AAAAABv9/PQ=")</f>
        <v>#VALUE!</v>
      </c>
      <c r="IL143" t="e">
        <f>AND('SPR BARRANQUILLA'!AF172,"AAAAABv9/PU=")</f>
        <v>#VALUE!</v>
      </c>
      <c r="IM143" t="e">
        <f>AND('SPR BARRANQUILLA'!AG172,"AAAAABv9/PY=")</f>
        <v>#VALUE!</v>
      </c>
      <c r="IN143" t="e">
        <f>AND('SPR BARRANQUILLA'!AH172,"AAAAABv9/Pc=")</f>
        <v>#VALUE!</v>
      </c>
      <c r="IO143" t="e">
        <f>AND('SPR BARRANQUILLA'!AI172,"AAAAABv9/Pg=")</f>
        <v>#VALUE!</v>
      </c>
      <c r="IP143" t="e">
        <f>AND('SPR BARRANQUILLA'!AJ172,"AAAAABv9/Pk=")</f>
        <v>#VALUE!</v>
      </c>
      <c r="IQ143" t="e">
        <f>AND('SPR BARRANQUILLA'!AK172,"AAAAABv9/Po=")</f>
        <v>#VALUE!</v>
      </c>
      <c r="IR143" t="e">
        <f>AND('SPR BARRANQUILLA'!AL172,"AAAAABv9/Ps=")</f>
        <v>#VALUE!</v>
      </c>
      <c r="IS143" t="e">
        <f>AND('SPR BARRANQUILLA'!AM172,"AAAAABv9/Pw=")</f>
        <v>#VALUE!</v>
      </c>
      <c r="IT143" t="e">
        <f>AND('SPR BARRANQUILLA'!AN172,"AAAAABv9/P0=")</f>
        <v>#VALUE!</v>
      </c>
      <c r="IU143" t="e">
        <f>AND('SPR BARRANQUILLA'!AO172,"AAAAABv9/P4=")</f>
        <v>#VALUE!</v>
      </c>
      <c r="IV143" t="e">
        <f>AND('SPR BARRANQUILLA'!AP172,"AAAAABv9/P8=")</f>
        <v>#VALUE!</v>
      </c>
    </row>
    <row r="144" spans="1:256">
      <c r="A144" t="e">
        <f>AND('SPR BARRANQUILLA'!AQ172,"AAAAAHSf9wA=")</f>
        <v>#VALUE!</v>
      </c>
      <c r="B144" t="e">
        <f>AND('SPR BARRANQUILLA'!AR172,"AAAAAHSf9wE=")</f>
        <v>#VALUE!</v>
      </c>
      <c r="C144" t="e">
        <f>AND('SPR BARRANQUILLA'!AS172,"AAAAAHSf9wI=")</f>
        <v>#VALUE!</v>
      </c>
      <c r="D144" t="e">
        <f>AND('SPR BARRANQUILLA'!AT172,"AAAAAHSf9wM=")</f>
        <v>#VALUE!</v>
      </c>
      <c r="E144" t="e">
        <f>AND('SPR BARRANQUILLA'!AU172,"AAAAAHSf9wQ=")</f>
        <v>#VALUE!</v>
      </c>
      <c r="F144" t="e">
        <f>AND('SPR BARRANQUILLA'!AV172,"AAAAAHSf9wU=")</f>
        <v>#VALUE!</v>
      </c>
      <c r="G144" t="e">
        <f>AND('SPR BARRANQUILLA'!AW172,"AAAAAHSf9wY=")</f>
        <v>#VALUE!</v>
      </c>
      <c r="H144" t="e">
        <f>AND('SPR BARRANQUILLA'!AX172,"AAAAAHSf9wc=")</f>
        <v>#VALUE!</v>
      </c>
      <c r="I144" t="e">
        <f>AND('SPR BARRANQUILLA'!AY172,"AAAAAHSf9wg=")</f>
        <v>#VALUE!</v>
      </c>
      <c r="J144" t="e">
        <f>AND('SPR BARRANQUILLA'!AZ172,"AAAAAHSf9wk=")</f>
        <v>#VALUE!</v>
      </c>
      <c r="K144" t="e">
        <f>AND('SPR BARRANQUILLA'!BA172,"AAAAAHSf9wo=")</f>
        <v>#VALUE!</v>
      </c>
      <c r="L144" t="e">
        <f>AND('SPR BARRANQUILLA'!BB172,"AAAAAHSf9ws=")</f>
        <v>#VALUE!</v>
      </c>
      <c r="M144" t="e">
        <f>AND('SPR BARRANQUILLA'!BC172,"AAAAAHSf9ww=")</f>
        <v>#VALUE!</v>
      </c>
      <c r="N144" t="e">
        <f>AND('SPR BARRANQUILLA'!BD172,"AAAAAHSf9w0=")</f>
        <v>#VALUE!</v>
      </c>
      <c r="O144" t="e">
        <f>AND('SPR BARRANQUILLA'!BE172,"AAAAAHSf9w4=")</f>
        <v>#VALUE!</v>
      </c>
      <c r="P144" t="e">
        <f>AND('SPR BARRANQUILLA'!BF172,"AAAAAHSf9w8=")</f>
        <v>#VALUE!</v>
      </c>
      <c r="Q144" t="e">
        <f>AND('SPR BARRANQUILLA'!BG172,"AAAAAHSf9xA=")</f>
        <v>#VALUE!</v>
      </c>
      <c r="R144" t="e">
        <f>AND('SPR BARRANQUILLA'!BH172,"AAAAAHSf9xE=")</f>
        <v>#VALUE!</v>
      </c>
      <c r="S144" t="e">
        <f>AND('SPR BARRANQUILLA'!BI172,"AAAAAHSf9xI=")</f>
        <v>#VALUE!</v>
      </c>
      <c r="T144" t="e">
        <f>AND('SPR BARRANQUILLA'!BJ172,"AAAAAHSf9xM=")</f>
        <v>#VALUE!</v>
      </c>
      <c r="U144" t="e">
        <f>AND('SPR BARRANQUILLA'!BK172,"AAAAAHSf9xQ=")</f>
        <v>#VALUE!</v>
      </c>
      <c r="V144" t="e">
        <f>AND('SPR BARRANQUILLA'!BL172,"AAAAAHSf9xU=")</f>
        <v>#VALUE!</v>
      </c>
      <c r="W144" t="e">
        <f>AND('SPR BARRANQUILLA'!BM172,"AAAAAHSf9xY=")</f>
        <v>#VALUE!</v>
      </c>
      <c r="X144" t="e">
        <f>AND('SPR BARRANQUILLA'!BN172,"AAAAAHSf9xc=")</f>
        <v>#VALUE!</v>
      </c>
      <c r="Y144" t="e">
        <f>AND('SPR BARRANQUILLA'!BO172,"AAAAAHSf9xg=")</f>
        <v>#VALUE!</v>
      </c>
      <c r="Z144" t="e">
        <f>AND('SPR BARRANQUILLA'!BP172,"AAAAAHSf9xk=")</f>
        <v>#VALUE!</v>
      </c>
      <c r="AA144" t="e">
        <f>AND('SPR BARRANQUILLA'!BQ172,"AAAAAHSf9xo=")</f>
        <v>#VALUE!</v>
      </c>
      <c r="AB144" t="e">
        <f>AND('SPR BARRANQUILLA'!BR172,"AAAAAHSf9xs=")</f>
        <v>#VALUE!</v>
      </c>
      <c r="AC144" t="e">
        <f>AND('SPR BARRANQUILLA'!BS172,"AAAAAHSf9xw=")</f>
        <v>#VALUE!</v>
      </c>
      <c r="AD144" t="e">
        <f>AND('SPR BARRANQUILLA'!BT172,"AAAAAHSf9x0=")</f>
        <v>#VALUE!</v>
      </c>
      <c r="AE144" t="e">
        <f>AND('SPR BARRANQUILLA'!BU172,"AAAAAHSf9x4=")</f>
        <v>#VALUE!</v>
      </c>
      <c r="AF144" t="e">
        <f>AND('SPR BARRANQUILLA'!BV172,"AAAAAHSf9x8=")</f>
        <v>#VALUE!</v>
      </c>
      <c r="AG144" t="e">
        <f>AND('SPR BARRANQUILLA'!BW172,"AAAAAHSf9yA=")</f>
        <v>#VALUE!</v>
      </c>
      <c r="AH144" t="e">
        <f>AND('SPR BARRANQUILLA'!BX172,"AAAAAHSf9yE=")</f>
        <v>#VALUE!</v>
      </c>
      <c r="AI144" t="e">
        <f>AND('SPR BARRANQUILLA'!BY172,"AAAAAHSf9yI=")</f>
        <v>#VALUE!</v>
      </c>
      <c r="AJ144" t="e">
        <f>AND('SPR BARRANQUILLA'!BZ172,"AAAAAHSf9yM=")</f>
        <v>#VALUE!</v>
      </c>
      <c r="AK144" t="e">
        <f>AND('SPR BARRANQUILLA'!CA172,"AAAAAHSf9yQ=")</f>
        <v>#VALUE!</v>
      </c>
      <c r="AL144" t="e">
        <f>AND('SPR BARRANQUILLA'!CB172,"AAAAAHSf9yU=")</f>
        <v>#VALUE!</v>
      </c>
      <c r="AM144" t="e">
        <f>AND('SPR BARRANQUILLA'!CC172,"AAAAAHSf9yY=")</f>
        <v>#VALUE!</v>
      </c>
      <c r="AN144" t="e">
        <f>AND('SPR BARRANQUILLA'!CD172,"AAAAAHSf9yc=")</f>
        <v>#VALUE!</v>
      </c>
      <c r="AO144" t="e">
        <f>AND('SPR BARRANQUILLA'!CE172,"AAAAAHSf9yg=")</f>
        <v>#VALUE!</v>
      </c>
      <c r="AP144" t="e">
        <f>AND('SPR BARRANQUILLA'!CF172,"AAAAAHSf9yk=")</f>
        <v>#VALUE!</v>
      </c>
      <c r="AQ144" t="e">
        <f>AND('SPR BARRANQUILLA'!CG172,"AAAAAHSf9yo=")</f>
        <v>#VALUE!</v>
      </c>
      <c r="AR144" t="e">
        <f>AND('SPR BARRANQUILLA'!CH172,"AAAAAHSf9ys=")</f>
        <v>#VALUE!</v>
      </c>
      <c r="AS144" t="e">
        <f>AND('SPR BARRANQUILLA'!CI172,"AAAAAHSf9yw=")</f>
        <v>#VALUE!</v>
      </c>
      <c r="AT144" t="e">
        <f>AND('SPR BARRANQUILLA'!CJ172,"AAAAAHSf9y0=")</f>
        <v>#VALUE!</v>
      </c>
      <c r="AU144" t="e">
        <f>AND('SPR BARRANQUILLA'!CK172,"AAAAAHSf9y4=")</f>
        <v>#VALUE!</v>
      </c>
      <c r="AV144" t="e">
        <f>AND('SPR BARRANQUILLA'!CL172,"AAAAAHSf9y8=")</f>
        <v>#VALUE!</v>
      </c>
      <c r="AW144" t="e">
        <f>AND('SPR BARRANQUILLA'!CM172,"AAAAAHSf9zA=")</f>
        <v>#VALUE!</v>
      </c>
      <c r="AX144" t="e">
        <f>AND('SPR BARRANQUILLA'!CN172,"AAAAAHSf9zE=")</f>
        <v>#VALUE!</v>
      </c>
      <c r="AY144" t="e">
        <f>AND('SPR BARRANQUILLA'!CO172,"AAAAAHSf9zI=")</f>
        <v>#VALUE!</v>
      </c>
      <c r="AZ144" t="e">
        <f>AND('SPR BARRANQUILLA'!CP172,"AAAAAHSf9zM=")</f>
        <v>#VALUE!</v>
      </c>
      <c r="BA144" t="e">
        <f>AND('SPR BARRANQUILLA'!CQ172,"AAAAAHSf9zQ=")</f>
        <v>#VALUE!</v>
      </c>
      <c r="BB144" t="e">
        <f>AND('SPR BARRANQUILLA'!CR172,"AAAAAHSf9zU=")</f>
        <v>#VALUE!</v>
      </c>
      <c r="BC144" t="e">
        <f>AND('SPR BARRANQUILLA'!CS172,"AAAAAHSf9zY=")</f>
        <v>#VALUE!</v>
      </c>
      <c r="BD144" t="e">
        <f>AND('SPR BARRANQUILLA'!CT172,"AAAAAHSf9zc=")</f>
        <v>#VALUE!</v>
      </c>
      <c r="BE144" t="e">
        <f>AND('SPR BARRANQUILLA'!CU172,"AAAAAHSf9zg=")</f>
        <v>#VALUE!</v>
      </c>
      <c r="BF144" t="e">
        <f>AND('SPR BARRANQUILLA'!CV172,"AAAAAHSf9zk=")</f>
        <v>#VALUE!</v>
      </c>
      <c r="BG144" t="e">
        <f>AND('SPR BARRANQUILLA'!CW172,"AAAAAHSf9zo=")</f>
        <v>#VALUE!</v>
      </c>
      <c r="BH144" t="e">
        <f>AND('SPR BARRANQUILLA'!CX172,"AAAAAHSf9zs=")</f>
        <v>#VALUE!</v>
      </c>
      <c r="BI144" t="e">
        <f>AND('SPR BARRANQUILLA'!CY172,"AAAAAHSf9zw=")</f>
        <v>#VALUE!</v>
      </c>
      <c r="BJ144" t="e">
        <f>AND('SPR BARRANQUILLA'!CZ172,"AAAAAHSf9z0=")</f>
        <v>#VALUE!</v>
      </c>
      <c r="BK144" t="e">
        <f>AND('SPR BARRANQUILLA'!DA172,"AAAAAHSf9z4=")</f>
        <v>#VALUE!</v>
      </c>
      <c r="BL144" t="e">
        <f>AND('SPR BARRANQUILLA'!DB172,"AAAAAHSf9z8=")</f>
        <v>#VALUE!</v>
      </c>
      <c r="BM144" t="e">
        <f>AND('SPR BARRANQUILLA'!DC172,"AAAAAHSf90A=")</f>
        <v>#VALUE!</v>
      </c>
      <c r="BN144" t="e">
        <f>AND('SPR BARRANQUILLA'!DD172,"AAAAAHSf90E=")</f>
        <v>#VALUE!</v>
      </c>
      <c r="BO144" t="e">
        <f>AND('SPR BARRANQUILLA'!DE172,"AAAAAHSf90I=")</f>
        <v>#VALUE!</v>
      </c>
      <c r="BP144" t="e">
        <f>AND('SPR BARRANQUILLA'!DF172,"AAAAAHSf90M=")</f>
        <v>#VALUE!</v>
      </c>
      <c r="BQ144" t="e">
        <f>AND('SPR BARRANQUILLA'!DG172,"AAAAAHSf90Q=")</f>
        <v>#VALUE!</v>
      </c>
      <c r="BR144" t="e">
        <f>AND('SPR BARRANQUILLA'!DH172,"AAAAAHSf90U=")</f>
        <v>#VALUE!</v>
      </c>
      <c r="BS144" t="e">
        <f>AND('SPR BARRANQUILLA'!DI172,"AAAAAHSf90Y=")</f>
        <v>#VALUE!</v>
      </c>
      <c r="BT144" t="e">
        <f>AND('SPR BARRANQUILLA'!DJ172,"AAAAAHSf90c=")</f>
        <v>#VALUE!</v>
      </c>
      <c r="BU144" t="e">
        <f>AND('SPR BARRANQUILLA'!DK172,"AAAAAHSf90g=")</f>
        <v>#VALUE!</v>
      </c>
      <c r="BV144" t="e">
        <f>AND('SPR BARRANQUILLA'!DL172,"AAAAAHSf90k=")</f>
        <v>#VALUE!</v>
      </c>
      <c r="BW144" t="e">
        <f>AND('SPR BARRANQUILLA'!DM172,"AAAAAHSf90o=")</f>
        <v>#VALUE!</v>
      </c>
      <c r="BX144" t="e">
        <f>AND('SPR BARRANQUILLA'!DN172,"AAAAAHSf90s=")</f>
        <v>#VALUE!</v>
      </c>
      <c r="BY144" t="e">
        <f>AND('SPR BARRANQUILLA'!DO172,"AAAAAHSf90w=")</f>
        <v>#VALUE!</v>
      </c>
      <c r="BZ144" t="e">
        <f>AND('SPR BARRANQUILLA'!DP172,"AAAAAHSf900=")</f>
        <v>#VALUE!</v>
      </c>
      <c r="CA144" t="e">
        <f>AND('SPR BARRANQUILLA'!DQ172,"AAAAAHSf904=")</f>
        <v>#VALUE!</v>
      </c>
      <c r="CB144" t="e">
        <f>AND('SPR BARRANQUILLA'!DR172,"AAAAAHSf908=")</f>
        <v>#VALUE!</v>
      </c>
      <c r="CC144" t="e">
        <f>AND('SPR BARRANQUILLA'!DS172,"AAAAAHSf91A=")</f>
        <v>#VALUE!</v>
      </c>
      <c r="CD144" t="e">
        <f>AND('SPR BARRANQUILLA'!DT172,"AAAAAHSf91E=")</f>
        <v>#VALUE!</v>
      </c>
      <c r="CE144" t="e">
        <f>AND('SPR BARRANQUILLA'!DU172,"AAAAAHSf91I=")</f>
        <v>#VALUE!</v>
      </c>
      <c r="CF144" t="e">
        <f>AND('SPR BARRANQUILLA'!DV172,"AAAAAHSf91M=")</f>
        <v>#VALUE!</v>
      </c>
      <c r="CG144" t="e">
        <f>AND('SPR BARRANQUILLA'!DW172,"AAAAAHSf91Q=")</f>
        <v>#VALUE!</v>
      </c>
      <c r="CH144" t="e">
        <f>AND('SPR BARRANQUILLA'!DX172,"AAAAAHSf91U=")</f>
        <v>#VALUE!</v>
      </c>
      <c r="CI144" t="e">
        <f>AND('SPR BARRANQUILLA'!DY172,"AAAAAHSf91Y=")</f>
        <v>#VALUE!</v>
      </c>
      <c r="CJ144" t="e">
        <f>AND('SPR BARRANQUILLA'!DZ172,"AAAAAHSf91c=")</f>
        <v>#VALUE!</v>
      </c>
      <c r="CK144" t="e">
        <f>AND('SPR BARRANQUILLA'!EA172,"AAAAAHSf91g=")</f>
        <v>#VALUE!</v>
      </c>
      <c r="CL144" t="e">
        <f>AND('SPR BARRANQUILLA'!EB172,"AAAAAHSf91k=")</f>
        <v>#VALUE!</v>
      </c>
      <c r="CM144" t="e">
        <f>AND('SPR BARRANQUILLA'!EC172,"AAAAAHSf91o=")</f>
        <v>#VALUE!</v>
      </c>
      <c r="CN144" t="e">
        <f>AND('SPR BARRANQUILLA'!ED172,"AAAAAHSf91s=")</f>
        <v>#VALUE!</v>
      </c>
      <c r="CO144" t="e">
        <f>AND('SPR BARRANQUILLA'!EE172,"AAAAAHSf91w=")</f>
        <v>#VALUE!</v>
      </c>
      <c r="CP144" t="e">
        <f>AND('SPR BARRANQUILLA'!EF172,"AAAAAHSf910=")</f>
        <v>#VALUE!</v>
      </c>
      <c r="CQ144" t="e">
        <f>AND('SPR BARRANQUILLA'!EG172,"AAAAAHSf914=")</f>
        <v>#VALUE!</v>
      </c>
      <c r="CR144" t="e">
        <f>AND('SPR BARRANQUILLA'!EH172,"AAAAAHSf918=")</f>
        <v>#VALUE!</v>
      </c>
      <c r="CS144" t="e">
        <f>AND('SPR BARRANQUILLA'!EI172,"AAAAAHSf92A=")</f>
        <v>#VALUE!</v>
      </c>
      <c r="CT144" t="e">
        <f>AND('SPR BARRANQUILLA'!EJ172,"AAAAAHSf92E=")</f>
        <v>#VALUE!</v>
      </c>
      <c r="CU144" t="e">
        <f>AND('SPR BARRANQUILLA'!EK172,"AAAAAHSf92I=")</f>
        <v>#VALUE!</v>
      </c>
      <c r="CV144" t="e">
        <f>AND('SPR BARRANQUILLA'!EL172,"AAAAAHSf92M=")</f>
        <v>#VALUE!</v>
      </c>
      <c r="CW144" t="e">
        <f>AND('SPR BARRANQUILLA'!EM172,"AAAAAHSf92Q=")</f>
        <v>#VALUE!</v>
      </c>
      <c r="CX144" t="e">
        <f>AND('SPR BARRANQUILLA'!EN172,"AAAAAHSf92U=")</f>
        <v>#VALUE!</v>
      </c>
      <c r="CY144" t="e">
        <f>AND('SPR BARRANQUILLA'!EO172,"AAAAAHSf92Y=")</f>
        <v>#VALUE!</v>
      </c>
      <c r="CZ144" t="e">
        <f>AND('SPR BARRANQUILLA'!EP172,"AAAAAHSf92c=")</f>
        <v>#VALUE!</v>
      </c>
      <c r="DA144" t="e">
        <f>AND('SPR BARRANQUILLA'!EQ172,"AAAAAHSf92g=")</f>
        <v>#VALUE!</v>
      </c>
      <c r="DB144" t="e">
        <f>AND('SPR BARRANQUILLA'!ER172,"AAAAAHSf92k=")</f>
        <v>#VALUE!</v>
      </c>
      <c r="DC144" t="e">
        <f>AND('SPR BARRANQUILLA'!ES172,"AAAAAHSf92o=")</f>
        <v>#VALUE!</v>
      </c>
      <c r="DD144" t="e">
        <f>AND('SPR BARRANQUILLA'!ET172,"AAAAAHSf92s=")</f>
        <v>#VALUE!</v>
      </c>
      <c r="DE144" t="e">
        <f>AND('SPR BARRANQUILLA'!EU172,"AAAAAHSf92w=")</f>
        <v>#VALUE!</v>
      </c>
      <c r="DF144" t="e">
        <f>AND('SPR BARRANQUILLA'!EV172,"AAAAAHSf920=")</f>
        <v>#VALUE!</v>
      </c>
      <c r="DG144" t="e">
        <f>AND('SPR BARRANQUILLA'!EW172,"AAAAAHSf924=")</f>
        <v>#VALUE!</v>
      </c>
      <c r="DH144" t="e">
        <f>AND('SPR BARRANQUILLA'!EX172,"AAAAAHSf928=")</f>
        <v>#VALUE!</v>
      </c>
      <c r="DI144" t="e">
        <f>AND('SPR BARRANQUILLA'!EY172,"AAAAAHSf93A=")</f>
        <v>#VALUE!</v>
      </c>
      <c r="DJ144" t="e">
        <f>AND('SPR BARRANQUILLA'!EZ172,"AAAAAHSf93E=")</f>
        <v>#VALUE!</v>
      </c>
      <c r="DK144" t="e">
        <f>AND('SPR BARRANQUILLA'!FA172,"AAAAAHSf93I=")</f>
        <v>#VALUE!</v>
      </c>
      <c r="DL144" t="e">
        <f>AND('SPR BARRANQUILLA'!FB172,"AAAAAHSf93M=")</f>
        <v>#VALUE!</v>
      </c>
      <c r="DM144" t="e">
        <f>AND('SPR BARRANQUILLA'!FC172,"AAAAAHSf93Q=")</f>
        <v>#VALUE!</v>
      </c>
      <c r="DN144" t="e">
        <f>AND('SPR BARRANQUILLA'!FD172,"AAAAAHSf93U=")</f>
        <v>#VALUE!</v>
      </c>
      <c r="DO144" t="e">
        <f>AND('SPR BARRANQUILLA'!FE172,"AAAAAHSf93Y=")</f>
        <v>#VALUE!</v>
      </c>
      <c r="DP144" t="e">
        <f>AND('SPR BARRANQUILLA'!FF172,"AAAAAHSf93c=")</f>
        <v>#VALUE!</v>
      </c>
      <c r="DQ144" t="e">
        <f>AND('SPR BARRANQUILLA'!FG172,"AAAAAHSf93g=")</f>
        <v>#VALUE!</v>
      </c>
      <c r="DR144" t="e">
        <f>AND('SPR BARRANQUILLA'!FH172,"AAAAAHSf93k=")</f>
        <v>#VALUE!</v>
      </c>
      <c r="DS144" t="e">
        <f>AND('SPR BARRANQUILLA'!FI172,"AAAAAHSf93o=")</f>
        <v>#VALUE!</v>
      </c>
      <c r="DT144" t="e">
        <f>AND('SPR BARRANQUILLA'!FJ172,"AAAAAHSf93s=")</f>
        <v>#VALUE!</v>
      </c>
      <c r="DU144" t="e">
        <f>AND('SPR BARRANQUILLA'!FK172,"AAAAAHSf93w=")</f>
        <v>#VALUE!</v>
      </c>
      <c r="DV144" t="e">
        <f>AND('SPR BARRANQUILLA'!FL172,"AAAAAHSf930=")</f>
        <v>#VALUE!</v>
      </c>
      <c r="DW144" t="e">
        <f>AND('SPR BARRANQUILLA'!FM172,"AAAAAHSf934=")</f>
        <v>#VALUE!</v>
      </c>
      <c r="DX144" t="e">
        <f>AND('SPR BARRANQUILLA'!FN172,"AAAAAHSf938=")</f>
        <v>#VALUE!</v>
      </c>
      <c r="DY144" t="e">
        <f>AND('SPR BARRANQUILLA'!FO172,"AAAAAHSf94A=")</f>
        <v>#VALUE!</v>
      </c>
      <c r="DZ144" t="e">
        <f>AND('SPR BARRANQUILLA'!FP172,"AAAAAHSf94E=")</f>
        <v>#VALUE!</v>
      </c>
      <c r="EA144" t="e">
        <f>AND('SPR BARRANQUILLA'!FQ172,"AAAAAHSf94I=")</f>
        <v>#VALUE!</v>
      </c>
      <c r="EB144" t="e">
        <f>AND('SPR BARRANQUILLA'!FR172,"AAAAAHSf94M=")</f>
        <v>#VALUE!</v>
      </c>
      <c r="EC144" t="e">
        <f>AND('SPR BARRANQUILLA'!FS172,"AAAAAHSf94Q=")</f>
        <v>#VALUE!</v>
      </c>
      <c r="ED144" t="e">
        <f>AND('SPR BARRANQUILLA'!FT172,"AAAAAHSf94U=")</f>
        <v>#VALUE!</v>
      </c>
      <c r="EE144" t="e">
        <f>AND('SPR BARRANQUILLA'!FU172,"AAAAAHSf94Y=")</f>
        <v>#VALUE!</v>
      </c>
      <c r="EF144" t="e">
        <f>AND('SPR BARRANQUILLA'!FV172,"AAAAAHSf94c=")</f>
        <v>#VALUE!</v>
      </c>
      <c r="EG144" t="e">
        <f>AND('SPR BARRANQUILLA'!FW172,"AAAAAHSf94g=")</f>
        <v>#VALUE!</v>
      </c>
      <c r="EH144" t="e">
        <f>AND('SPR BARRANQUILLA'!FX172,"AAAAAHSf94k=")</f>
        <v>#VALUE!</v>
      </c>
      <c r="EI144" t="e">
        <f>AND('SPR BARRANQUILLA'!FY172,"AAAAAHSf94o=")</f>
        <v>#VALUE!</v>
      </c>
      <c r="EJ144" t="e">
        <f>AND('SPR BARRANQUILLA'!FZ172,"AAAAAHSf94s=")</f>
        <v>#VALUE!</v>
      </c>
      <c r="EK144" t="e">
        <f>AND('SPR BARRANQUILLA'!GA172,"AAAAAHSf94w=")</f>
        <v>#VALUE!</v>
      </c>
      <c r="EL144" t="e">
        <f>AND('SPR BARRANQUILLA'!GB172,"AAAAAHSf940=")</f>
        <v>#VALUE!</v>
      </c>
      <c r="EM144" t="e">
        <f>AND('SPR BARRANQUILLA'!GC172,"AAAAAHSf944=")</f>
        <v>#VALUE!</v>
      </c>
      <c r="EN144" t="e">
        <f>AND('SPR BARRANQUILLA'!GD172,"AAAAAHSf948=")</f>
        <v>#VALUE!</v>
      </c>
      <c r="EO144" t="e">
        <f>AND('SPR BARRANQUILLA'!GE172,"AAAAAHSf95A=")</f>
        <v>#VALUE!</v>
      </c>
      <c r="EP144" t="e">
        <f>AND('SPR BARRANQUILLA'!GF172,"AAAAAHSf95E=")</f>
        <v>#VALUE!</v>
      </c>
      <c r="EQ144" t="e">
        <f>AND('SPR BARRANQUILLA'!GG172,"AAAAAHSf95I=")</f>
        <v>#VALUE!</v>
      </c>
      <c r="ER144" t="e">
        <f>AND('SPR BARRANQUILLA'!GH172,"AAAAAHSf95M=")</f>
        <v>#VALUE!</v>
      </c>
      <c r="ES144" t="e">
        <f>AND('SPR BARRANQUILLA'!GI172,"AAAAAHSf95Q=")</f>
        <v>#VALUE!</v>
      </c>
      <c r="ET144" t="e">
        <f>AND('SPR BARRANQUILLA'!GJ172,"AAAAAHSf95U=")</f>
        <v>#VALUE!</v>
      </c>
      <c r="EU144" t="e">
        <f>AND('SPR BARRANQUILLA'!GK172,"AAAAAHSf95Y=")</f>
        <v>#VALUE!</v>
      </c>
      <c r="EV144" t="e">
        <f>AND('SPR BARRANQUILLA'!GL172,"AAAAAHSf95c=")</f>
        <v>#VALUE!</v>
      </c>
      <c r="EW144" t="e">
        <f>AND('SPR BARRANQUILLA'!GM172,"AAAAAHSf95g=")</f>
        <v>#VALUE!</v>
      </c>
      <c r="EX144" t="e">
        <f>AND('SPR BARRANQUILLA'!GN172,"AAAAAHSf95k=")</f>
        <v>#VALUE!</v>
      </c>
      <c r="EY144" t="e">
        <f>AND('SPR BARRANQUILLA'!GO172,"AAAAAHSf95o=")</f>
        <v>#VALUE!</v>
      </c>
      <c r="EZ144" t="e">
        <f>AND('SPR BARRANQUILLA'!GP172,"AAAAAHSf95s=")</f>
        <v>#VALUE!</v>
      </c>
      <c r="FA144" t="e">
        <f>AND('SPR BARRANQUILLA'!GQ172,"AAAAAHSf95w=")</f>
        <v>#VALUE!</v>
      </c>
      <c r="FB144" t="e">
        <f>AND('SPR BARRANQUILLA'!GR172,"AAAAAHSf950=")</f>
        <v>#VALUE!</v>
      </c>
      <c r="FC144" t="e">
        <f>AND('SPR BARRANQUILLA'!GS172,"AAAAAHSf954=")</f>
        <v>#VALUE!</v>
      </c>
      <c r="FD144" t="e">
        <f>AND('SPR BARRANQUILLA'!GT172,"AAAAAHSf958=")</f>
        <v>#VALUE!</v>
      </c>
      <c r="FE144" t="e">
        <f>AND('SPR BARRANQUILLA'!GU172,"AAAAAHSf96A=")</f>
        <v>#VALUE!</v>
      </c>
      <c r="FF144" t="e">
        <f>AND('SPR BARRANQUILLA'!GV172,"AAAAAHSf96E=")</f>
        <v>#VALUE!</v>
      </c>
      <c r="FG144" t="e">
        <f>AND('SPR BARRANQUILLA'!GW172,"AAAAAHSf96I=")</f>
        <v>#VALUE!</v>
      </c>
      <c r="FH144" t="e">
        <f>AND('SPR BARRANQUILLA'!GX172,"AAAAAHSf96M=")</f>
        <v>#VALUE!</v>
      </c>
      <c r="FI144" t="e">
        <f>AND('SPR BARRANQUILLA'!GY172,"AAAAAHSf96Q=")</f>
        <v>#VALUE!</v>
      </c>
      <c r="FJ144">
        <f>IF('SPR BARRANQUILLA'!173:173,"AAAAAHSf96U=",0)</f>
        <v>0</v>
      </c>
      <c r="FK144" t="e">
        <f>AND('SPR BARRANQUILLA'!A173,"AAAAAHSf96Y=")</f>
        <v>#VALUE!</v>
      </c>
      <c r="FL144" t="e">
        <f>AND('SPR BARRANQUILLA'!B173,"AAAAAHSf96c=")</f>
        <v>#VALUE!</v>
      </c>
      <c r="FM144" t="e">
        <f>AND('SPR BARRANQUILLA'!C173,"AAAAAHSf96g=")</f>
        <v>#VALUE!</v>
      </c>
      <c r="FN144" t="e">
        <f>AND('SPR BARRANQUILLA'!D173,"AAAAAHSf96k=")</f>
        <v>#VALUE!</v>
      </c>
      <c r="FO144" t="e">
        <f>AND('SPR BARRANQUILLA'!E173,"AAAAAHSf96o=")</f>
        <v>#VALUE!</v>
      </c>
      <c r="FP144" t="e">
        <f>AND('SPR BARRANQUILLA'!F173,"AAAAAHSf96s=")</f>
        <v>#VALUE!</v>
      </c>
      <c r="FQ144" t="e">
        <f>AND('SPR BARRANQUILLA'!G173,"AAAAAHSf96w=")</f>
        <v>#VALUE!</v>
      </c>
      <c r="FR144" t="e">
        <f>AND('SPR BARRANQUILLA'!H173,"AAAAAHSf960=")</f>
        <v>#VALUE!</v>
      </c>
      <c r="FS144" t="e">
        <f>AND('SPR BARRANQUILLA'!I173,"AAAAAHSf964=")</f>
        <v>#VALUE!</v>
      </c>
      <c r="FT144" t="e">
        <f>AND('SPR BARRANQUILLA'!J173,"AAAAAHSf968=")</f>
        <v>#VALUE!</v>
      </c>
      <c r="FU144" t="e">
        <f>AND('SPR BARRANQUILLA'!K173,"AAAAAHSf97A=")</f>
        <v>#VALUE!</v>
      </c>
      <c r="FV144" t="e">
        <f>AND('SPR BARRANQUILLA'!L173,"AAAAAHSf97E=")</f>
        <v>#VALUE!</v>
      </c>
      <c r="FW144" t="e">
        <f>AND('SPR BARRANQUILLA'!M173,"AAAAAHSf97I=")</f>
        <v>#VALUE!</v>
      </c>
      <c r="FX144" t="e">
        <f>AND('SPR BARRANQUILLA'!N173,"AAAAAHSf97M=")</f>
        <v>#VALUE!</v>
      </c>
      <c r="FY144" t="e">
        <f>AND('SPR BARRANQUILLA'!O173,"AAAAAHSf97Q=")</f>
        <v>#VALUE!</v>
      </c>
      <c r="FZ144" t="e">
        <f>AND('SPR BARRANQUILLA'!P173,"AAAAAHSf97U=")</f>
        <v>#VALUE!</v>
      </c>
      <c r="GA144" t="e">
        <f>AND('SPR BARRANQUILLA'!Q173,"AAAAAHSf97Y=")</f>
        <v>#VALUE!</v>
      </c>
      <c r="GB144" t="e">
        <f>AND('SPR BARRANQUILLA'!R173,"AAAAAHSf97c=")</f>
        <v>#VALUE!</v>
      </c>
      <c r="GC144" t="e">
        <f>AND('SPR BARRANQUILLA'!S173,"AAAAAHSf97g=")</f>
        <v>#VALUE!</v>
      </c>
      <c r="GD144" t="e">
        <f>AND('SPR BARRANQUILLA'!T173,"AAAAAHSf97k=")</f>
        <v>#VALUE!</v>
      </c>
      <c r="GE144" t="e">
        <f>AND('SPR BARRANQUILLA'!U173,"AAAAAHSf97o=")</f>
        <v>#VALUE!</v>
      </c>
      <c r="GF144" t="e">
        <f>AND('SPR BARRANQUILLA'!V173,"AAAAAHSf97s=")</f>
        <v>#VALUE!</v>
      </c>
      <c r="GG144" t="e">
        <f>AND('SPR BARRANQUILLA'!W173,"AAAAAHSf97w=")</f>
        <v>#VALUE!</v>
      </c>
      <c r="GH144" t="e">
        <f>AND('SPR BARRANQUILLA'!X173,"AAAAAHSf970=")</f>
        <v>#VALUE!</v>
      </c>
      <c r="GI144" t="e">
        <f>AND('SPR BARRANQUILLA'!Y173,"AAAAAHSf974=")</f>
        <v>#VALUE!</v>
      </c>
      <c r="GJ144" t="e">
        <f>AND('SPR BARRANQUILLA'!Z173,"AAAAAHSf978=")</f>
        <v>#VALUE!</v>
      </c>
      <c r="GK144" t="e">
        <f>AND('SPR BARRANQUILLA'!AA173,"AAAAAHSf98A=")</f>
        <v>#VALUE!</v>
      </c>
      <c r="GL144" t="e">
        <f>AND('SPR BARRANQUILLA'!AB173,"AAAAAHSf98E=")</f>
        <v>#VALUE!</v>
      </c>
      <c r="GM144" t="e">
        <f>AND('SPR BARRANQUILLA'!AC173,"AAAAAHSf98I=")</f>
        <v>#VALUE!</v>
      </c>
      <c r="GN144" t="e">
        <f>AND('SPR BARRANQUILLA'!AD173,"AAAAAHSf98M=")</f>
        <v>#VALUE!</v>
      </c>
      <c r="GO144" t="e">
        <f>AND('SPR BARRANQUILLA'!AE173,"AAAAAHSf98Q=")</f>
        <v>#VALUE!</v>
      </c>
      <c r="GP144" t="e">
        <f>AND('SPR BARRANQUILLA'!AF173,"AAAAAHSf98U=")</f>
        <v>#VALUE!</v>
      </c>
      <c r="GQ144" t="e">
        <f>AND('SPR BARRANQUILLA'!AG173,"AAAAAHSf98Y=")</f>
        <v>#VALUE!</v>
      </c>
      <c r="GR144" t="e">
        <f>AND('SPR BARRANQUILLA'!AH173,"AAAAAHSf98c=")</f>
        <v>#VALUE!</v>
      </c>
      <c r="GS144" t="e">
        <f>AND('SPR BARRANQUILLA'!AI173,"AAAAAHSf98g=")</f>
        <v>#VALUE!</v>
      </c>
      <c r="GT144" t="e">
        <f>AND('SPR BARRANQUILLA'!AJ173,"AAAAAHSf98k=")</f>
        <v>#VALUE!</v>
      </c>
      <c r="GU144" t="e">
        <f>AND('SPR BARRANQUILLA'!AK173,"AAAAAHSf98o=")</f>
        <v>#VALUE!</v>
      </c>
      <c r="GV144" t="e">
        <f>AND('SPR BARRANQUILLA'!AL173,"AAAAAHSf98s=")</f>
        <v>#VALUE!</v>
      </c>
      <c r="GW144" t="e">
        <f>AND('SPR BARRANQUILLA'!AM173,"AAAAAHSf98w=")</f>
        <v>#VALUE!</v>
      </c>
      <c r="GX144" t="e">
        <f>AND('SPR BARRANQUILLA'!AN173,"AAAAAHSf980=")</f>
        <v>#VALUE!</v>
      </c>
      <c r="GY144" t="e">
        <f>AND('SPR BARRANQUILLA'!AO173,"AAAAAHSf984=")</f>
        <v>#VALUE!</v>
      </c>
      <c r="GZ144" t="e">
        <f>AND('SPR BARRANQUILLA'!AP173,"AAAAAHSf988=")</f>
        <v>#VALUE!</v>
      </c>
      <c r="HA144" t="e">
        <f>AND('SPR BARRANQUILLA'!AQ173,"AAAAAHSf99A=")</f>
        <v>#VALUE!</v>
      </c>
      <c r="HB144" t="e">
        <f>AND('SPR BARRANQUILLA'!AR173,"AAAAAHSf99E=")</f>
        <v>#VALUE!</v>
      </c>
      <c r="HC144" t="e">
        <f>AND('SPR BARRANQUILLA'!AS173,"AAAAAHSf99I=")</f>
        <v>#VALUE!</v>
      </c>
      <c r="HD144" t="e">
        <f>AND('SPR BARRANQUILLA'!AT173,"AAAAAHSf99M=")</f>
        <v>#VALUE!</v>
      </c>
      <c r="HE144" t="e">
        <f>AND('SPR BARRANQUILLA'!AU173,"AAAAAHSf99Q=")</f>
        <v>#VALUE!</v>
      </c>
      <c r="HF144" t="e">
        <f>AND('SPR BARRANQUILLA'!AV173,"AAAAAHSf99U=")</f>
        <v>#VALUE!</v>
      </c>
      <c r="HG144" t="e">
        <f>AND('SPR BARRANQUILLA'!AW173,"AAAAAHSf99Y=")</f>
        <v>#VALUE!</v>
      </c>
      <c r="HH144" t="e">
        <f>AND('SPR BARRANQUILLA'!AX173,"AAAAAHSf99c=")</f>
        <v>#VALUE!</v>
      </c>
      <c r="HI144" t="e">
        <f>AND('SPR BARRANQUILLA'!AY173,"AAAAAHSf99g=")</f>
        <v>#VALUE!</v>
      </c>
      <c r="HJ144" t="e">
        <f>AND('SPR BARRANQUILLA'!AZ173,"AAAAAHSf99k=")</f>
        <v>#VALUE!</v>
      </c>
      <c r="HK144" t="e">
        <f>AND('SPR BARRANQUILLA'!BA173,"AAAAAHSf99o=")</f>
        <v>#VALUE!</v>
      </c>
      <c r="HL144" t="e">
        <f>AND('SPR BARRANQUILLA'!BB173,"AAAAAHSf99s=")</f>
        <v>#VALUE!</v>
      </c>
      <c r="HM144" t="e">
        <f>AND('SPR BARRANQUILLA'!BC173,"AAAAAHSf99w=")</f>
        <v>#VALUE!</v>
      </c>
      <c r="HN144" t="e">
        <f>AND('SPR BARRANQUILLA'!BD173,"AAAAAHSf990=")</f>
        <v>#VALUE!</v>
      </c>
      <c r="HO144" t="e">
        <f>AND('SPR BARRANQUILLA'!BE173,"AAAAAHSf994=")</f>
        <v>#VALUE!</v>
      </c>
      <c r="HP144" t="e">
        <f>AND('SPR BARRANQUILLA'!BF173,"AAAAAHSf998=")</f>
        <v>#VALUE!</v>
      </c>
      <c r="HQ144" t="e">
        <f>AND('SPR BARRANQUILLA'!BG173,"AAAAAHSf9+A=")</f>
        <v>#VALUE!</v>
      </c>
      <c r="HR144" t="e">
        <f>AND('SPR BARRANQUILLA'!BH173,"AAAAAHSf9+E=")</f>
        <v>#VALUE!</v>
      </c>
      <c r="HS144" t="e">
        <f>AND('SPR BARRANQUILLA'!BI173,"AAAAAHSf9+I=")</f>
        <v>#VALUE!</v>
      </c>
      <c r="HT144" t="e">
        <f>AND('SPR BARRANQUILLA'!BJ173,"AAAAAHSf9+M=")</f>
        <v>#VALUE!</v>
      </c>
      <c r="HU144" t="e">
        <f>AND('SPR BARRANQUILLA'!BK173,"AAAAAHSf9+Q=")</f>
        <v>#VALUE!</v>
      </c>
      <c r="HV144" t="e">
        <f>AND('SPR BARRANQUILLA'!BL173,"AAAAAHSf9+U=")</f>
        <v>#VALUE!</v>
      </c>
      <c r="HW144" t="e">
        <f>AND('SPR BARRANQUILLA'!BM173,"AAAAAHSf9+Y=")</f>
        <v>#VALUE!</v>
      </c>
      <c r="HX144" t="e">
        <f>AND('SPR BARRANQUILLA'!BN173,"AAAAAHSf9+c=")</f>
        <v>#VALUE!</v>
      </c>
      <c r="HY144" t="e">
        <f>AND('SPR BARRANQUILLA'!BO173,"AAAAAHSf9+g=")</f>
        <v>#VALUE!</v>
      </c>
      <c r="HZ144" t="e">
        <f>AND('SPR BARRANQUILLA'!BP173,"AAAAAHSf9+k=")</f>
        <v>#VALUE!</v>
      </c>
      <c r="IA144" t="e">
        <f>AND('SPR BARRANQUILLA'!BQ173,"AAAAAHSf9+o=")</f>
        <v>#VALUE!</v>
      </c>
      <c r="IB144" t="e">
        <f>AND('SPR BARRANQUILLA'!BR173,"AAAAAHSf9+s=")</f>
        <v>#VALUE!</v>
      </c>
      <c r="IC144" t="e">
        <f>AND('SPR BARRANQUILLA'!BS173,"AAAAAHSf9+w=")</f>
        <v>#VALUE!</v>
      </c>
      <c r="ID144" t="e">
        <f>AND('SPR BARRANQUILLA'!BT173,"AAAAAHSf9+0=")</f>
        <v>#VALUE!</v>
      </c>
      <c r="IE144" t="e">
        <f>AND('SPR BARRANQUILLA'!BU173,"AAAAAHSf9+4=")</f>
        <v>#VALUE!</v>
      </c>
      <c r="IF144" t="e">
        <f>AND('SPR BARRANQUILLA'!BV173,"AAAAAHSf9+8=")</f>
        <v>#VALUE!</v>
      </c>
      <c r="IG144" t="e">
        <f>AND('SPR BARRANQUILLA'!BW173,"AAAAAHSf9/A=")</f>
        <v>#VALUE!</v>
      </c>
      <c r="IH144" t="e">
        <f>AND('SPR BARRANQUILLA'!BX173,"AAAAAHSf9/E=")</f>
        <v>#VALUE!</v>
      </c>
      <c r="II144" t="e">
        <f>AND('SPR BARRANQUILLA'!BY173,"AAAAAHSf9/I=")</f>
        <v>#VALUE!</v>
      </c>
      <c r="IJ144" t="e">
        <f>AND('SPR BARRANQUILLA'!BZ173,"AAAAAHSf9/M=")</f>
        <v>#VALUE!</v>
      </c>
      <c r="IK144" t="e">
        <f>AND('SPR BARRANQUILLA'!CA173,"AAAAAHSf9/Q=")</f>
        <v>#VALUE!</v>
      </c>
      <c r="IL144" t="e">
        <f>AND('SPR BARRANQUILLA'!CB173,"AAAAAHSf9/U=")</f>
        <v>#VALUE!</v>
      </c>
      <c r="IM144" t="e">
        <f>AND('SPR BARRANQUILLA'!CC173,"AAAAAHSf9/Y=")</f>
        <v>#VALUE!</v>
      </c>
      <c r="IN144" t="e">
        <f>AND('SPR BARRANQUILLA'!CD173,"AAAAAHSf9/c=")</f>
        <v>#VALUE!</v>
      </c>
      <c r="IO144" t="e">
        <f>AND('SPR BARRANQUILLA'!CE173,"AAAAAHSf9/g=")</f>
        <v>#VALUE!</v>
      </c>
      <c r="IP144" t="e">
        <f>AND('SPR BARRANQUILLA'!CF173,"AAAAAHSf9/k=")</f>
        <v>#VALUE!</v>
      </c>
      <c r="IQ144" t="e">
        <f>AND('SPR BARRANQUILLA'!CG173,"AAAAAHSf9/o=")</f>
        <v>#VALUE!</v>
      </c>
      <c r="IR144" t="e">
        <f>AND('SPR BARRANQUILLA'!CH173,"AAAAAHSf9/s=")</f>
        <v>#VALUE!</v>
      </c>
      <c r="IS144" t="e">
        <f>AND('SPR BARRANQUILLA'!CI173,"AAAAAHSf9/w=")</f>
        <v>#VALUE!</v>
      </c>
      <c r="IT144" t="e">
        <f>AND('SPR BARRANQUILLA'!CJ173,"AAAAAHSf9/0=")</f>
        <v>#VALUE!</v>
      </c>
      <c r="IU144" t="e">
        <f>AND('SPR BARRANQUILLA'!CK173,"AAAAAHSf9/4=")</f>
        <v>#VALUE!</v>
      </c>
      <c r="IV144" t="e">
        <f>AND('SPR BARRANQUILLA'!CL173,"AAAAAHSf9/8=")</f>
        <v>#VALUE!</v>
      </c>
    </row>
    <row r="145" spans="1:256">
      <c r="A145" t="e">
        <f>AND('SPR BARRANQUILLA'!CM173,"AAAAAH8+ewA=")</f>
        <v>#VALUE!</v>
      </c>
      <c r="B145" t="e">
        <f>AND('SPR BARRANQUILLA'!CN173,"AAAAAH8+ewE=")</f>
        <v>#VALUE!</v>
      </c>
      <c r="C145" t="e">
        <f>AND('SPR BARRANQUILLA'!CO173,"AAAAAH8+ewI=")</f>
        <v>#VALUE!</v>
      </c>
      <c r="D145" t="e">
        <f>AND('SPR BARRANQUILLA'!CP173,"AAAAAH8+ewM=")</f>
        <v>#VALUE!</v>
      </c>
      <c r="E145" t="e">
        <f>AND('SPR BARRANQUILLA'!CQ173,"AAAAAH8+ewQ=")</f>
        <v>#VALUE!</v>
      </c>
      <c r="F145" t="e">
        <f>AND('SPR BARRANQUILLA'!CR173,"AAAAAH8+ewU=")</f>
        <v>#VALUE!</v>
      </c>
      <c r="G145" t="e">
        <f>AND('SPR BARRANQUILLA'!CS173,"AAAAAH8+ewY=")</f>
        <v>#VALUE!</v>
      </c>
      <c r="H145" t="e">
        <f>AND('SPR BARRANQUILLA'!CT173,"AAAAAH8+ewc=")</f>
        <v>#VALUE!</v>
      </c>
      <c r="I145" t="e">
        <f>AND('SPR BARRANQUILLA'!CU173,"AAAAAH8+ewg=")</f>
        <v>#VALUE!</v>
      </c>
      <c r="J145" t="e">
        <f>AND('SPR BARRANQUILLA'!CV173,"AAAAAH8+ewk=")</f>
        <v>#VALUE!</v>
      </c>
      <c r="K145" t="e">
        <f>AND('SPR BARRANQUILLA'!CW173,"AAAAAH8+ewo=")</f>
        <v>#VALUE!</v>
      </c>
      <c r="L145" t="e">
        <f>AND('SPR BARRANQUILLA'!CX173,"AAAAAH8+ews=")</f>
        <v>#VALUE!</v>
      </c>
      <c r="M145" t="e">
        <f>AND('SPR BARRANQUILLA'!CY173,"AAAAAH8+eww=")</f>
        <v>#VALUE!</v>
      </c>
      <c r="N145" t="e">
        <f>AND('SPR BARRANQUILLA'!CZ173,"AAAAAH8+ew0=")</f>
        <v>#VALUE!</v>
      </c>
      <c r="O145" t="e">
        <f>AND('SPR BARRANQUILLA'!DA173,"AAAAAH8+ew4=")</f>
        <v>#VALUE!</v>
      </c>
      <c r="P145" t="e">
        <f>AND('SPR BARRANQUILLA'!DB173,"AAAAAH8+ew8=")</f>
        <v>#VALUE!</v>
      </c>
      <c r="Q145" t="e">
        <f>AND('SPR BARRANQUILLA'!DC173,"AAAAAH8+exA=")</f>
        <v>#VALUE!</v>
      </c>
      <c r="R145" t="e">
        <f>AND('SPR BARRANQUILLA'!DD173,"AAAAAH8+exE=")</f>
        <v>#VALUE!</v>
      </c>
      <c r="S145" t="e">
        <f>AND('SPR BARRANQUILLA'!DE173,"AAAAAH8+exI=")</f>
        <v>#VALUE!</v>
      </c>
      <c r="T145" t="e">
        <f>AND('SPR BARRANQUILLA'!DF173,"AAAAAH8+exM=")</f>
        <v>#VALUE!</v>
      </c>
      <c r="U145" t="e">
        <f>AND('SPR BARRANQUILLA'!DG173,"AAAAAH8+exQ=")</f>
        <v>#VALUE!</v>
      </c>
      <c r="V145" t="e">
        <f>AND('SPR BARRANQUILLA'!DH173,"AAAAAH8+exU=")</f>
        <v>#VALUE!</v>
      </c>
      <c r="W145" t="e">
        <f>AND('SPR BARRANQUILLA'!DI173,"AAAAAH8+exY=")</f>
        <v>#VALUE!</v>
      </c>
      <c r="X145" t="e">
        <f>AND('SPR BARRANQUILLA'!DJ173,"AAAAAH8+exc=")</f>
        <v>#VALUE!</v>
      </c>
      <c r="Y145" t="e">
        <f>AND('SPR BARRANQUILLA'!DK173,"AAAAAH8+exg=")</f>
        <v>#VALUE!</v>
      </c>
      <c r="Z145" t="e">
        <f>AND('SPR BARRANQUILLA'!DL173,"AAAAAH8+exk=")</f>
        <v>#VALUE!</v>
      </c>
      <c r="AA145" t="e">
        <f>AND('SPR BARRANQUILLA'!DM173,"AAAAAH8+exo=")</f>
        <v>#VALUE!</v>
      </c>
      <c r="AB145" t="e">
        <f>AND('SPR BARRANQUILLA'!DN173,"AAAAAH8+exs=")</f>
        <v>#VALUE!</v>
      </c>
      <c r="AC145" t="e">
        <f>AND('SPR BARRANQUILLA'!DO173,"AAAAAH8+exw=")</f>
        <v>#VALUE!</v>
      </c>
      <c r="AD145" t="e">
        <f>AND('SPR BARRANQUILLA'!DP173,"AAAAAH8+ex0=")</f>
        <v>#VALUE!</v>
      </c>
      <c r="AE145" t="e">
        <f>AND('SPR BARRANQUILLA'!DQ173,"AAAAAH8+ex4=")</f>
        <v>#VALUE!</v>
      </c>
      <c r="AF145" t="e">
        <f>AND('SPR BARRANQUILLA'!DR173,"AAAAAH8+ex8=")</f>
        <v>#VALUE!</v>
      </c>
      <c r="AG145" t="e">
        <f>AND('SPR BARRANQUILLA'!DS173,"AAAAAH8+eyA=")</f>
        <v>#VALUE!</v>
      </c>
      <c r="AH145" t="e">
        <f>AND('SPR BARRANQUILLA'!DT173,"AAAAAH8+eyE=")</f>
        <v>#VALUE!</v>
      </c>
      <c r="AI145" t="e">
        <f>AND('SPR BARRANQUILLA'!DU173,"AAAAAH8+eyI=")</f>
        <v>#VALUE!</v>
      </c>
      <c r="AJ145" t="e">
        <f>AND('SPR BARRANQUILLA'!DV173,"AAAAAH8+eyM=")</f>
        <v>#VALUE!</v>
      </c>
      <c r="AK145" t="e">
        <f>AND('SPR BARRANQUILLA'!DW173,"AAAAAH8+eyQ=")</f>
        <v>#VALUE!</v>
      </c>
      <c r="AL145" t="e">
        <f>AND('SPR BARRANQUILLA'!DX173,"AAAAAH8+eyU=")</f>
        <v>#VALUE!</v>
      </c>
      <c r="AM145" t="e">
        <f>AND('SPR BARRANQUILLA'!DY173,"AAAAAH8+eyY=")</f>
        <v>#VALUE!</v>
      </c>
      <c r="AN145" t="e">
        <f>AND('SPR BARRANQUILLA'!DZ173,"AAAAAH8+eyc=")</f>
        <v>#VALUE!</v>
      </c>
      <c r="AO145" t="e">
        <f>AND('SPR BARRANQUILLA'!EA173,"AAAAAH8+eyg=")</f>
        <v>#VALUE!</v>
      </c>
      <c r="AP145" t="e">
        <f>AND('SPR BARRANQUILLA'!EB173,"AAAAAH8+eyk=")</f>
        <v>#VALUE!</v>
      </c>
      <c r="AQ145" t="e">
        <f>AND('SPR BARRANQUILLA'!EC173,"AAAAAH8+eyo=")</f>
        <v>#VALUE!</v>
      </c>
      <c r="AR145" t="e">
        <f>AND('SPR BARRANQUILLA'!ED173,"AAAAAH8+eys=")</f>
        <v>#VALUE!</v>
      </c>
      <c r="AS145" t="e">
        <f>AND('SPR BARRANQUILLA'!EE173,"AAAAAH8+eyw=")</f>
        <v>#VALUE!</v>
      </c>
      <c r="AT145" t="e">
        <f>AND('SPR BARRANQUILLA'!EF173,"AAAAAH8+ey0=")</f>
        <v>#VALUE!</v>
      </c>
      <c r="AU145" t="e">
        <f>AND('SPR BARRANQUILLA'!EG173,"AAAAAH8+ey4=")</f>
        <v>#VALUE!</v>
      </c>
      <c r="AV145" t="e">
        <f>AND('SPR BARRANQUILLA'!EH173,"AAAAAH8+ey8=")</f>
        <v>#VALUE!</v>
      </c>
      <c r="AW145" t="e">
        <f>AND('SPR BARRANQUILLA'!EI173,"AAAAAH8+ezA=")</f>
        <v>#VALUE!</v>
      </c>
      <c r="AX145" t="e">
        <f>AND('SPR BARRANQUILLA'!EJ173,"AAAAAH8+ezE=")</f>
        <v>#VALUE!</v>
      </c>
      <c r="AY145" t="e">
        <f>AND('SPR BARRANQUILLA'!EK173,"AAAAAH8+ezI=")</f>
        <v>#VALUE!</v>
      </c>
      <c r="AZ145" t="e">
        <f>AND('SPR BARRANQUILLA'!EL173,"AAAAAH8+ezM=")</f>
        <v>#VALUE!</v>
      </c>
      <c r="BA145" t="e">
        <f>AND('SPR BARRANQUILLA'!EM173,"AAAAAH8+ezQ=")</f>
        <v>#VALUE!</v>
      </c>
      <c r="BB145" t="e">
        <f>AND('SPR BARRANQUILLA'!EN173,"AAAAAH8+ezU=")</f>
        <v>#VALUE!</v>
      </c>
      <c r="BC145" t="e">
        <f>AND('SPR BARRANQUILLA'!EO173,"AAAAAH8+ezY=")</f>
        <v>#VALUE!</v>
      </c>
      <c r="BD145" t="e">
        <f>AND('SPR BARRANQUILLA'!EP173,"AAAAAH8+ezc=")</f>
        <v>#VALUE!</v>
      </c>
      <c r="BE145" t="e">
        <f>AND('SPR BARRANQUILLA'!EQ173,"AAAAAH8+ezg=")</f>
        <v>#VALUE!</v>
      </c>
      <c r="BF145" t="e">
        <f>AND('SPR BARRANQUILLA'!ER173,"AAAAAH8+ezk=")</f>
        <v>#VALUE!</v>
      </c>
      <c r="BG145" t="e">
        <f>AND('SPR BARRANQUILLA'!ES173,"AAAAAH8+ezo=")</f>
        <v>#VALUE!</v>
      </c>
      <c r="BH145" t="e">
        <f>AND('SPR BARRANQUILLA'!ET173,"AAAAAH8+ezs=")</f>
        <v>#VALUE!</v>
      </c>
      <c r="BI145" t="e">
        <f>AND('SPR BARRANQUILLA'!EU173,"AAAAAH8+ezw=")</f>
        <v>#VALUE!</v>
      </c>
      <c r="BJ145" t="e">
        <f>AND('SPR BARRANQUILLA'!EV173,"AAAAAH8+ez0=")</f>
        <v>#VALUE!</v>
      </c>
      <c r="BK145" t="e">
        <f>AND('SPR BARRANQUILLA'!EW173,"AAAAAH8+ez4=")</f>
        <v>#VALUE!</v>
      </c>
      <c r="BL145" t="e">
        <f>AND('SPR BARRANQUILLA'!EX173,"AAAAAH8+ez8=")</f>
        <v>#VALUE!</v>
      </c>
      <c r="BM145" t="e">
        <f>AND('SPR BARRANQUILLA'!EY173,"AAAAAH8+e0A=")</f>
        <v>#VALUE!</v>
      </c>
      <c r="BN145" t="e">
        <f>AND('SPR BARRANQUILLA'!EZ173,"AAAAAH8+e0E=")</f>
        <v>#VALUE!</v>
      </c>
      <c r="BO145" t="e">
        <f>AND('SPR BARRANQUILLA'!FA173,"AAAAAH8+e0I=")</f>
        <v>#VALUE!</v>
      </c>
      <c r="BP145" t="e">
        <f>AND('SPR BARRANQUILLA'!FB173,"AAAAAH8+e0M=")</f>
        <v>#VALUE!</v>
      </c>
      <c r="BQ145" t="e">
        <f>AND('SPR BARRANQUILLA'!FC173,"AAAAAH8+e0Q=")</f>
        <v>#VALUE!</v>
      </c>
      <c r="BR145" t="e">
        <f>AND('SPR BARRANQUILLA'!FD173,"AAAAAH8+e0U=")</f>
        <v>#VALUE!</v>
      </c>
      <c r="BS145" t="e">
        <f>AND('SPR BARRANQUILLA'!FE173,"AAAAAH8+e0Y=")</f>
        <v>#VALUE!</v>
      </c>
      <c r="BT145" t="e">
        <f>AND('SPR BARRANQUILLA'!FF173,"AAAAAH8+e0c=")</f>
        <v>#VALUE!</v>
      </c>
      <c r="BU145" t="e">
        <f>AND('SPR BARRANQUILLA'!FG173,"AAAAAH8+e0g=")</f>
        <v>#VALUE!</v>
      </c>
      <c r="BV145" t="e">
        <f>AND('SPR BARRANQUILLA'!FH173,"AAAAAH8+e0k=")</f>
        <v>#VALUE!</v>
      </c>
      <c r="BW145" t="e">
        <f>AND('SPR BARRANQUILLA'!FI173,"AAAAAH8+e0o=")</f>
        <v>#VALUE!</v>
      </c>
      <c r="BX145" t="e">
        <f>AND('SPR BARRANQUILLA'!FJ173,"AAAAAH8+e0s=")</f>
        <v>#VALUE!</v>
      </c>
      <c r="BY145" t="e">
        <f>AND('SPR BARRANQUILLA'!FK173,"AAAAAH8+e0w=")</f>
        <v>#VALUE!</v>
      </c>
      <c r="BZ145" t="e">
        <f>AND('SPR BARRANQUILLA'!FL173,"AAAAAH8+e00=")</f>
        <v>#VALUE!</v>
      </c>
      <c r="CA145" t="e">
        <f>AND('SPR BARRANQUILLA'!FM173,"AAAAAH8+e04=")</f>
        <v>#VALUE!</v>
      </c>
      <c r="CB145" t="e">
        <f>AND('SPR BARRANQUILLA'!FN173,"AAAAAH8+e08=")</f>
        <v>#VALUE!</v>
      </c>
      <c r="CC145" t="e">
        <f>AND('SPR BARRANQUILLA'!FO173,"AAAAAH8+e1A=")</f>
        <v>#VALUE!</v>
      </c>
      <c r="CD145" t="e">
        <f>AND('SPR BARRANQUILLA'!FP173,"AAAAAH8+e1E=")</f>
        <v>#VALUE!</v>
      </c>
      <c r="CE145" t="e">
        <f>AND('SPR BARRANQUILLA'!FQ173,"AAAAAH8+e1I=")</f>
        <v>#VALUE!</v>
      </c>
      <c r="CF145" t="e">
        <f>AND('SPR BARRANQUILLA'!FR173,"AAAAAH8+e1M=")</f>
        <v>#VALUE!</v>
      </c>
      <c r="CG145" t="e">
        <f>AND('SPR BARRANQUILLA'!FS173,"AAAAAH8+e1Q=")</f>
        <v>#VALUE!</v>
      </c>
      <c r="CH145" t="e">
        <f>AND('SPR BARRANQUILLA'!FT173,"AAAAAH8+e1U=")</f>
        <v>#VALUE!</v>
      </c>
      <c r="CI145" t="e">
        <f>AND('SPR BARRANQUILLA'!FU173,"AAAAAH8+e1Y=")</f>
        <v>#VALUE!</v>
      </c>
      <c r="CJ145" t="e">
        <f>AND('SPR BARRANQUILLA'!FV173,"AAAAAH8+e1c=")</f>
        <v>#VALUE!</v>
      </c>
      <c r="CK145" t="e">
        <f>AND('SPR BARRANQUILLA'!FW173,"AAAAAH8+e1g=")</f>
        <v>#VALUE!</v>
      </c>
      <c r="CL145" t="e">
        <f>AND('SPR BARRANQUILLA'!FX173,"AAAAAH8+e1k=")</f>
        <v>#VALUE!</v>
      </c>
      <c r="CM145" t="e">
        <f>AND('SPR BARRANQUILLA'!FY173,"AAAAAH8+e1o=")</f>
        <v>#VALUE!</v>
      </c>
      <c r="CN145" t="e">
        <f>AND('SPR BARRANQUILLA'!FZ173,"AAAAAH8+e1s=")</f>
        <v>#VALUE!</v>
      </c>
      <c r="CO145" t="e">
        <f>AND('SPR BARRANQUILLA'!GA173,"AAAAAH8+e1w=")</f>
        <v>#VALUE!</v>
      </c>
      <c r="CP145" t="e">
        <f>AND('SPR BARRANQUILLA'!GB173,"AAAAAH8+e10=")</f>
        <v>#VALUE!</v>
      </c>
      <c r="CQ145" t="e">
        <f>AND('SPR BARRANQUILLA'!GC173,"AAAAAH8+e14=")</f>
        <v>#VALUE!</v>
      </c>
      <c r="CR145" t="e">
        <f>AND('SPR BARRANQUILLA'!GD173,"AAAAAH8+e18=")</f>
        <v>#VALUE!</v>
      </c>
      <c r="CS145" t="e">
        <f>AND('SPR BARRANQUILLA'!GE173,"AAAAAH8+e2A=")</f>
        <v>#VALUE!</v>
      </c>
      <c r="CT145" t="e">
        <f>AND('SPR BARRANQUILLA'!GF173,"AAAAAH8+e2E=")</f>
        <v>#VALUE!</v>
      </c>
      <c r="CU145" t="e">
        <f>AND('SPR BARRANQUILLA'!GG173,"AAAAAH8+e2I=")</f>
        <v>#VALUE!</v>
      </c>
      <c r="CV145" t="e">
        <f>AND('SPR BARRANQUILLA'!GH173,"AAAAAH8+e2M=")</f>
        <v>#VALUE!</v>
      </c>
      <c r="CW145" t="e">
        <f>AND('SPR BARRANQUILLA'!GI173,"AAAAAH8+e2Q=")</f>
        <v>#VALUE!</v>
      </c>
      <c r="CX145" t="e">
        <f>AND('SPR BARRANQUILLA'!GJ173,"AAAAAH8+e2U=")</f>
        <v>#VALUE!</v>
      </c>
      <c r="CY145" t="e">
        <f>AND('SPR BARRANQUILLA'!GK173,"AAAAAH8+e2Y=")</f>
        <v>#VALUE!</v>
      </c>
      <c r="CZ145" t="e">
        <f>AND('SPR BARRANQUILLA'!GL173,"AAAAAH8+e2c=")</f>
        <v>#VALUE!</v>
      </c>
      <c r="DA145" t="e">
        <f>AND('SPR BARRANQUILLA'!GM173,"AAAAAH8+e2g=")</f>
        <v>#VALUE!</v>
      </c>
      <c r="DB145" t="e">
        <f>AND('SPR BARRANQUILLA'!GN173,"AAAAAH8+e2k=")</f>
        <v>#VALUE!</v>
      </c>
      <c r="DC145" t="e">
        <f>AND('SPR BARRANQUILLA'!GO173,"AAAAAH8+e2o=")</f>
        <v>#VALUE!</v>
      </c>
      <c r="DD145" t="e">
        <f>AND('SPR BARRANQUILLA'!GP173,"AAAAAH8+e2s=")</f>
        <v>#VALUE!</v>
      </c>
      <c r="DE145" t="e">
        <f>AND('SPR BARRANQUILLA'!GQ173,"AAAAAH8+e2w=")</f>
        <v>#VALUE!</v>
      </c>
      <c r="DF145" t="e">
        <f>AND('SPR BARRANQUILLA'!GR173,"AAAAAH8+e20=")</f>
        <v>#VALUE!</v>
      </c>
      <c r="DG145" t="e">
        <f>AND('SPR BARRANQUILLA'!GS173,"AAAAAH8+e24=")</f>
        <v>#VALUE!</v>
      </c>
      <c r="DH145" t="e">
        <f>AND('SPR BARRANQUILLA'!GT173,"AAAAAH8+e28=")</f>
        <v>#VALUE!</v>
      </c>
      <c r="DI145" t="e">
        <f>AND('SPR BARRANQUILLA'!GU173,"AAAAAH8+e3A=")</f>
        <v>#VALUE!</v>
      </c>
      <c r="DJ145" t="e">
        <f>AND('SPR BARRANQUILLA'!GV173,"AAAAAH8+e3E=")</f>
        <v>#VALUE!</v>
      </c>
      <c r="DK145" t="e">
        <f>AND('SPR BARRANQUILLA'!GW173,"AAAAAH8+e3I=")</f>
        <v>#VALUE!</v>
      </c>
      <c r="DL145" t="e">
        <f>AND('SPR BARRANQUILLA'!GX173,"AAAAAH8+e3M=")</f>
        <v>#VALUE!</v>
      </c>
      <c r="DM145" t="e">
        <f>AND('SPR BARRANQUILLA'!GY173,"AAAAAH8+e3Q=")</f>
        <v>#VALUE!</v>
      </c>
      <c r="DN145">
        <f>IF('SPR BARRANQUILLA'!174:174,"AAAAAH8+e3U=",0)</f>
        <v>0</v>
      </c>
      <c r="DO145" t="e">
        <f>AND('SPR BARRANQUILLA'!A174,"AAAAAH8+e3Y=")</f>
        <v>#VALUE!</v>
      </c>
      <c r="DP145" t="e">
        <f>AND('SPR BARRANQUILLA'!B174,"AAAAAH8+e3c=")</f>
        <v>#VALUE!</v>
      </c>
      <c r="DQ145" t="e">
        <f>AND('SPR BARRANQUILLA'!C174,"AAAAAH8+e3g=")</f>
        <v>#VALUE!</v>
      </c>
      <c r="DR145" t="e">
        <f>AND('SPR BARRANQUILLA'!D174,"AAAAAH8+e3k=")</f>
        <v>#VALUE!</v>
      </c>
      <c r="DS145" t="e">
        <f>AND('SPR BARRANQUILLA'!E174,"AAAAAH8+e3o=")</f>
        <v>#VALUE!</v>
      </c>
      <c r="DT145" t="e">
        <f>AND('SPR BARRANQUILLA'!F174,"AAAAAH8+e3s=")</f>
        <v>#VALUE!</v>
      </c>
      <c r="DU145" t="e">
        <f>AND('SPR BARRANQUILLA'!G174,"AAAAAH8+e3w=")</f>
        <v>#VALUE!</v>
      </c>
      <c r="DV145" t="e">
        <f>AND('SPR BARRANQUILLA'!H174,"AAAAAH8+e30=")</f>
        <v>#VALUE!</v>
      </c>
      <c r="DW145" t="e">
        <f>AND('SPR BARRANQUILLA'!I174,"AAAAAH8+e34=")</f>
        <v>#VALUE!</v>
      </c>
      <c r="DX145" t="e">
        <f>AND('SPR BARRANQUILLA'!J174,"AAAAAH8+e38=")</f>
        <v>#VALUE!</v>
      </c>
      <c r="DY145" t="e">
        <f>AND('SPR BARRANQUILLA'!K174,"AAAAAH8+e4A=")</f>
        <v>#VALUE!</v>
      </c>
      <c r="DZ145" t="e">
        <f>AND('SPR BARRANQUILLA'!L174,"AAAAAH8+e4E=")</f>
        <v>#VALUE!</v>
      </c>
      <c r="EA145" t="e">
        <f>AND('SPR BARRANQUILLA'!M174,"AAAAAH8+e4I=")</f>
        <v>#VALUE!</v>
      </c>
      <c r="EB145" t="e">
        <f>AND('SPR BARRANQUILLA'!N174,"AAAAAH8+e4M=")</f>
        <v>#VALUE!</v>
      </c>
      <c r="EC145" t="e">
        <f>AND('SPR BARRANQUILLA'!O174,"AAAAAH8+e4Q=")</f>
        <v>#VALUE!</v>
      </c>
      <c r="ED145" t="e">
        <f>AND('SPR BARRANQUILLA'!P174,"AAAAAH8+e4U=")</f>
        <v>#VALUE!</v>
      </c>
      <c r="EE145" t="e">
        <f>AND('SPR BARRANQUILLA'!Q174,"AAAAAH8+e4Y=")</f>
        <v>#VALUE!</v>
      </c>
      <c r="EF145" t="e">
        <f>AND('SPR BARRANQUILLA'!R174,"AAAAAH8+e4c=")</f>
        <v>#VALUE!</v>
      </c>
      <c r="EG145" t="e">
        <f>AND('SPR BARRANQUILLA'!S174,"AAAAAH8+e4g=")</f>
        <v>#VALUE!</v>
      </c>
      <c r="EH145" t="e">
        <f>AND('SPR BARRANQUILLA'!T174,"AAAAAH8+e4k=")</f>
        <v>#VALUE!</v>
      </c>
      <c r="EI145" t="e">
        <f>AND('SPR BARRANQUILLA'!U174,"AAAAAH8+e4o=")</f>
        <v>#VALUE!</v>
      </c>
      <c r="EJ145" t="e">
        <f>AND('SPR BARRANQUILLA'!V174,"AAAAAH8+e4s=")</f>
        <v>#VALUE!</v>
      </c>
      <c r="EK145" t="e">
        <f>AND('SPR BARRANQUILLA'!W174,"AAAAAH8+e4w=")</f>
        <v>#VALUE!</v>
      </c>
      <c r="EL145" t="e">
        <f>AND('SPR BARRANQUILLA'!X174,"AAAAAH8+e40=")</f>
        <v>#VALUE!</v>
      </c>
      <c r="EM145" t="e">
        <f>AND('SPR BARRANQUILLA'!Y174,"AAAAAH8+e44=")</f>
        <v>#VALUE!</v>
      </c>
      <c r="EN145" t="e">
        <f>AND('SPR BARRANQUILLA'!Z174,"AAAAAH8+e48=")</f>
        <v>#VALUE!</v>
      </c>
      <c r="EO145" t="e">
        <f>AND('SPR BARRANQUILLA'!AA174,"AAAAAH8+e5A=")</f>
        <v>#VALUE!</v>
      </c>
      <c r="EP145" t="e">
        <f>AND('SPR BARRANQUILLA'!AB174,"AAAAAH8+e5E=")</f>
        <v>#VALUE!</v>
      </c>
      <c r="EQ145" t="e">
        <f>AND('SPR BARRANQUILLA'!AC174,"AAAAAH8+e5I=")</f>
        <v>#VALUE!</v>
      </c>
      <c r="ER145" t="e">
        <f>AND('SPR BARRANQUILLA'!AD174,"AAAAAH8+e5M=")</f>
        <v>#VALUE!</v>
      </c>
      <c r="ES145" t="e">
        <f>AND('SPR BARRANQUILLA'!AE174,"AAAAAH8+e5Q=")</f>
        <v>#VALUE!</v>
      </c>
      <c r="ET145" t="e">
        <f>AND('SPR BARRANQUILLA'!AF174,"AAAAAH8+e5U=")</f>
        <v>#VALUE!</v>
      </c>
      <c r="EU145" t="e">
        <f>AND('SPR BARRANQUILLA'!AG174,"AAAAAH8+e5Y=")</f>
        <v>#VALUE!</v>
      </c>
      <c r="EV145" t="e">
        <f>AND('SPR BARRANQUILLA'!AH174,"AAAAAH8+e5c=")</f>
        <v>#VALUE!</v>
      </c>
      <c r="EW145" t="e">
        <f>AND('SPR BARRANQUILLA'!AI174,"AAAAAH8+e5g=")</f>
        <v>#VALUE!</v>
      </c>
      <c r="EX145" t="e">
        <f>AND('SPR BARRANQUILLA'!AJ174,"AAAAAH8+e5k=")</f>
        <v>#VALUE!</v>
      </c>
      <c r="EY145" t="e">
        <f>AND('SPR BARRANQUILLA'!AK174,"AAAAAH8+e5o=")</f>
        <v>#VALUE!</v>
      </c>
      <c r="EZ145" t="e">
        <f>AND('SPR BARRANQUILLA'!AL174,"AAAAAH8+e5s=")</f>
        <v>#VALUE!</v>
      </c>
      <c r="FA145" t="e">
        <f>AND('SPR BARRANQUILLA'!AM174,"AAAAAH8+e5w=")</f>
        <v>#VALUE!</v>
      </c>
      <c r="FB145" t="e">
        <f>AND('SPR BARRANQUILLA'!AN174,"AAAAAH8+e50=")</f>
        <v>#VALUE!</v>
      </c>
      <c r="FC145" t="e">
        <f>AND('SPR BARRANQUILLA'!AO174,"AAAAAH8+e54=")</f>
        <v>#VALUE!</v>
      </c>
      <c r="FD145" t="e">
        <f>AND('SPR BARRANQUILLA'!AP174,"AAAAAH8+e58=")</f>
        <v>#VALUE!</v>
      </c>
      <c r="FE145" t="e">
        <f>AND('SPR BARRANQUILLA'!AQ174,"AAAAAH8+e6A=")</f>
        <v>#VALUE!</v>
      </c>
      <c r="FF145" t="e">
        <f>AND('SPR BARRANQUILLA'!AR174,"AAAAAH8+e6E=")</f>
        <v>#VALUE!</v>
      </c>
      <c r="FG145" t="e">
        <f>AND('SPR BARRANQUILLA'!AS174,"AAAAAH8+e6I=")</f>
        <v>#VALUE!</v>
      </c>
      <c r="FH145" t="e">
        <f>AND('SPR BARRANQUILLA'!AT174,"AAAAAH8+e6M=")</f>
        <v>#VALUE!</v>
      </c>
      <c r="FI145" t="e">
        <f>AND('SPR BARRANQUILLA'!AU174,"AAAAAH8+e6Q=")</f>
        <v>#VALUE!</v>
      </c>
      <c r="FJ145" t="e">
        <f>AND('SPR BARRANQUILLA'!AV174,"AAAAAH8+e6U=")</f>
        <v>#VALUE!</v>
      </c>
      <c r="FK145" t="e">
        <f>AND('SPR BARRANQUILLA'!AW174,"AAAAAH8+e6Y=")</f>
        <v>#VALUE!</v>
      </c>
      <c r="FL145" t="e">
        <f>AND('SPR BARRANQUILLA'!AX174,"AAAAAH8+e6c=")</f>
        <v>#VALUE!</v>
      </c>
      <c r="FM145" t="e">
        <f>AND('SPR BARRANQUILLA'!AY174,"AAAAAH8+e6g=")</f>
        <v>#VALUE!</v>
      </c>
      <c r="FN145" t="e">
        <f>AND('SPR BARRANQUILLA'!AZ174,"AAAAAH8+e6k=")</f>
        <v>#VALUE!</v>
      </c>
      <c r="FO145" t="e">
        <f>AND('SPR BARRANQUILLA'!BA174,"AAAAAH8+e6o=")</f>
        <v>#VALUE!</v>
      </c>
      <c r="FP145" t="e">
        <f>AND('SPR BARRANQUILLA'!BB174,"AAAAAH8+e6s=")</f>
        <v>#VALUE!</v>
      </c>
      <c r="FQ145" t="e">
        <f>AND('SPR BARRANQUILLA'!BC174,"AAAAAH8+e6w=")</f>
        <v>#VALUE!</v>
      </c>
      <c r="FR145" t="e">
        <f>AND('SPR BARRANQUILLA'!BD174,"AAAAAH8+e60=")</f>
        <v>#VALUE!</v>
      </c>
      <c r="FS145" t="e">
        <f>AND('SPR BARRANQUILLA'!BE174,"AAAAAH8+e64=")</f>
        <v>#VALUE!</v>
      </c>
      <c r="FT145" t="e">
        <f>AND('SPR BARRANQUILLA'!BF174,"AAAAAH8+e68=")</f>
        <v>#VALUE!</v>
      </c>
      <c r="FU145" t="e">
        <f>AND('SPR BARRANQUILLA'!BG174,"AAAAAH8+e7A=")</f>
        <v>#VALUE!</v>
      </c>
      <c r="FV145" t="e">
        <f>AND('SPR BARRANQUILLA'!BH174,"AAAAAH8+e7E=")</f>
        <v>#VALUE!</v>
      </c>
      <c r="FW145" t="e">
        <f>AND('SPR BARRANQUILLA'!BI174,"AAAAAH8+e7I=")</f>
        <v>#VALUE!</v>
      </c>
      <c r="FX145" t="e">
        <f>AND('SPR BARRANQUILLA'!BJ174,"AAAAAH8+e7M=")</f>
        <v>#VALUE!</v>
      </c>
      <c r="FY145" t="e">
        <f>AND('SPR BARRANQUILLA'!BK174,"AAAAAH8+e7Q=")</f>
        <v>#VALUE!</v>
      </c>
      <c r="FZ145" t="e">
        <f>AND('SPR BARRANQUILLA'!BL174,"AAAAAH8+e7U=")</f>
        <v>#VALUE!</v>
      </c>
      <c r="GA145" t="e">
        <f>AND('SPR BARRANQUILLA'!BM174,"AAAAAH8+e7Y=")</f>
        <v>#VALUE!</v>
      </c>
      <c r="GB145" t="e">
        <f>AND('SPR BARRANQUILLA'!BN174,"AAAAAH8+e7c=")</f>
        <v>#VALUE!</v>
      </c>
      <c r="GC145" t="e">
        <f>AND('SPR BARRANQUILLA'!BO174,"AAAAAH8+e7g=")</f>
        <v>#VALUE!</v>
      </c>
      <c r="GD145" t="e">
        <f>AND('SPR BARRANQUILLA'!BP174,"AAAAAH8+e7k=")</f>
        <v>#VALUE!</v>
      </c>
      <c r="GE145" t="e">
        <f>AND('SPR BARRANQUILLA'!BQ174,"AAAAAH8+e7o=")</f>
        <v>#VALUE!</v>
      </c>
      <c r="GF145" t="e">
        <f>AND('SPR BARRANQUILLA'!BR174,"AAAAAH8+e7s=")</f>
        <v>#VALUE!</v>
      </c>
      <c r="GG145" t="e">
        <f>AND('SPR BARRANQUILLA'!BS174,"AAAAAH8+e7w=")</f>
        <v>#VALUE!</v>
      </c>
      <c r="GH145" t="e">
        <f>AND('SPR BARRANQUILLA'!BT174,"AAAAAH8+e70=")</f>
        <v>#VALUE!</v>
      </c>
      <c r="GI145" t="e">
        <f>AND('SPR BARRANQUILLA'!BU174,"AAAAAH8+e74=")</f>
        <v>#VALUE!</v>
      </c>
      <c r="GJ145" t="e">
        <f>AND('SPR BARRANQUILLA'!BV174,"AAAAAH8+e78=")</f>
        <v>#VALUE!</v>
      </c>
      <c r="GK145" t="e">
        <f>AND('SPR BARRANQUILLA'!BW174,"AAAAAH8+e8A=")</f>
        <v>#VALUE!</v>
      </c>
      <c r="GL145" t="e">
        <f>AND('SPR BARRANQUILLA'!BX174,"AAAAAH8+e8E=")</f>
        <v>#VALUE!</v>
      </c>
      <c r="GM145" t="e">
        <f>AND('SPR BARRANQUILLA'!BY174,"AAAAAH8+e8I=")</f>
        <v>#VALUE!</v>
      </c>
      <c r="GN145" t="e">
        <f>AND('SPR BARRANQUILLA'!BZ174,"AAAAAH8+e8M=")</f>
        <v>#VALUE!</v>
      </c>
      <c r="GO145" t="e">
        <f>AND('SPR BARRANQUILLA'!CA174,"AAAAAH8+e8Q=")</f>
        <v>#VALUE!</v>
      </c>
      <c r="GP145" t="e">
        <f>AND('SPR BARRANQUILLA'!CB174,"AAAAAH8+e8U=")</f>
        <v>#VALUE!</v>
      </c>
      <c r="GQ145" t="e">
        <f>AND('SPR BARRANQUILLA'!CC174,"AAAAAH8+e8Y=")</f>
        <v>#VALUE!</v>
      </c>
      <c r="GR145" t="e">
        <f>AND('SPR BARRANQUILLA'!CD174,"AAAAAH8+e8c=")</f>
        <v>#VALUE!</v>
      </c>
      <c r="GS145" t="e">
        <f>AND('SPR BARRANQUILLA'!CE174,"AAAAAH8+e8g=")</f>
        <v>#VALUE!</v>
      </c>
      <c r="GT145" t="e">
        <f>AND('SPR BARRANQUILLA'!CF174,"AAAAAH8+e8k=")</f>
        <v>#VALUE!</v>
      </c>
      <c r="GU145" t="e">
        <f>AND('SPR BARRANQUILLA'!CG174,"AAAAAH8+e8o=")</f>
        <v>#VALUE!</v>
      </c>
      <c r="GV145" t="e">
        <f>AND('SPR BARRANQUILLA'!CH174,"AAAAAH8+e8s=")</f>
        <v>#VALUE!</v>
      </c>
      <c r="GW145" t="e">
        <f>AND('SPR BARRANQUILLA'!CI174,"AAAAAH8+e8w=")</f>
        <v>#VALUE!</v>
      </c>
      <c r="GX145" t="e">
        <f>AND('SPR BARRANQUILLA'!CJ174,"AAAAAH8+e80=")</f>
        <v>#VALUE!</v>
      </c>
      <c r="GY145" t="e">
        <f>AND('SPR BARRANQUILLA'!CK174,"AAAAAH8+e84=")</f>
        <v>#VALUE!</v>
      </c>
      <c r="GZ145" t="e">
        <f>AND('SPR BARRANQUILLA'!CL174,"AAAAAH8+e88=")</f>
        <v>#VALUE!</v>
      </c>
      <c r="HA145" t="e">
        <f>AND('SPR BARRANQUILLA'!CM174,"AAAAAH8+e9A=")</f>
        <v>#VALUE!</v>
      </c>
      <c r="HB145" t="e">
        <f>AND('SPR BARRANQUILLA'!CN174,"AAAAAH8+e9E=")</f>
        <v>#VALUE!</v>
      </c>
      <c r="HC145" t="e">
        <f>AND('SPR BARRANQUILLA'!CO174,"AAAAAH8+e9I=")</f>
        <v>#VALUE!</v>
      </c>
      <c r="HD145" t="e">
        <f>AND('SPR BARRANQUILLA'!CP174,"AAAAAH8+e9M=")</f>
        <v>#VALUE!</v>
      </c>
      <c r="HE145" t="e">
        <f>AND('SPR BARRANQUILLA'!CQ174,"AAAAAH8+e9Q=")</f>
        <v>#VALUE!</v>
      </c>
      <c r="HF145" t="e">
        <f>AND('SPR BARRANQUILLA'!CR174,"AAAAAH8+e9U=")</f>
        <v>#VALUE!</v>
      </c>
      <c r="HG145" t="e">
        <f>AND('SPR BARRANQUILLA'!CS174,"AAAAAH8+e9Y=")</f>
        <v>#VALUE!</v>
      </c>
      <c r="HH145" t="e">
        <f>AND('SPR BARRANQUILLA'!CT174,"AAAAAH8+e9c=")</f>
        <v>#VALUE!</v>
      </c>
      <c r="HI145" t="e">
        <f>AND('SPR BARRANQUILLA'!CU174,"AAAAAH8+e9g=")</f>
        <v>#VALUE!</v>
      </c>
      <c r="HJ145" t="e">
        <f>AND('SPR BARRANQUILLA'!CV174,"AAAAAH8+e9k=")</f>
        <v>#VALUE!</v>
      </c>
      <c r="HK145" t="e">
        <f>AND('SPR BARRANQUILLA'!CW174,"AAAAAH8+e9o=")</f>
        <v>#VALUE!</v>
      </c>
      <c r="HL145" t="e">
        <f>AND('SPR BARRANQUILLA'!CX174,"AAAAAH8+e9s=")</f>
        <v>#VALUE!</v>
      </c>
      <c r="HM145" t="e">
        <f>AND('SPR BARRANQUILLA'!CY174,"AAAAAH8+e9w=")</f>
        <v>#VALUE!</v>
      </c>
      <c r="HN145" t="e">
        <f>AND('SPR BARRANQUILLA'!CZ174,"AAAAAH8+e90=")</f>
        <v>#VALUE!</v>
      </c>
      <c r="HO145" t="e">
        <f>AND('SPR BARRANQUILLA'!DA174,"AAAAAH8+e94=")</f>
        <v>#VALUE!</v>
      </c>
      <c r="HP145" t="e">
        <f>AND('SPR BARRANQUILLA'!DB174,"AAAAAH8+e98=")</f>
        <v>#VALUE!</v>
      </c>
      <c r="HQ145" t="e">
        <f>AND('SPR BARRANQUILLA'!DC174,"AAAAAH8+e+A=")</f>
        <v>#VALUE!</v>
      </c>
      <c r="HR145" t="e">
        <f>AND('SPR BARRANQUILLA'!DD174,"AAAAAH8+e+E=")</f>
        <v>#VALUE!</v>
      </c>
      <c r="HS145" t="e">
        <f>AND('SPR BARRANQUILLA'!DE174,"AAAAAH8+e+I=")</f>
        <v>#VALUE!</v>
      </c>
      <c r="HT145" t="e">
        <f>AND('SPR BARRANQUILLA'!DF174,"AAAAAH8+e+M=")</f>
        <v>#VALUE!</v>
      </c>
      <c r="HU145" t="e">
        <f>AND('SPR BARRANQUILLA'!DG174,"AAAAAH8+e+Q=")</f>
        <v>#VALUE!</v>
      </c>
      <c r="HV145" t="e">
        <f>AND('SPR BARRANQUILLA'!DH174,"AAAAAH8+e+U=")</f>
        <v>#VALUE!</v>
      </c>
      <c r="HW145" t="e">
        <f>AND('SPR BARRANQUILLA'!DI174,"AAAAAH8+e+Y=")</f>
        <v>#VALUE!</v>
      </c>
      <c r="HX145" t="e">
        <f>AND('SPR BARRANQUILLA'!DJ174,"AAAAAH8+e+c=")</f>
        <v>#VALUE!</v>
      </c>
      <c r="HY145" t="e">
        <f>AND('SPR BARRANQUILLA'!DK174,"AAAAAH8+e+g=")</f>
        <v>#VALUE!</v>
      </c>
      <c r="HZ145" t="e">
        <f>AND('SPR BARRANQUILLA'!DL174,"AAAAAH8+e+k=")</f>
        <v>#VALUE!</v>
      </c>
      <c r="IA145" t="e">
        <f>AND('SPR BARRANQUILLA'!DM174,"AAAAAH8+e+o=")</f>
        <v>#VALUE!</v>
      </c>
      <c r="IB145" t="e">
        <f>AND('SPR BARRANQUILLA'!DN174,"AAAAAH8+e+s=")</f>
        <v>#VALUE!</v>
      </c>
      <c r="IC145" t="e">
        <f>AND('SPR BARRANQUILLA'!DO174,"AAAAAH8+e+w=")</f>
        <v>#VALUE!</v>
      </c>
      <c r="ID145" t="e">
        <f>AND('SPR BARRANQUILLA'!DP174,"AAAAAH8+e+0=")</f>
        <v>#VALUE!</v>
      </c>
      <c r="IE145" t="e">
        <f>AND('SPR BARRANQUILLA'!DQ174,"AAAAAH8+e+4=")</f>
        <v>#VALUE!</v>
      </c>
      <c r="IF145" t="e">
        <f>AND('SPR BARRANQUILLA'!DR174,"AAAAAH8+e+8=")</f>
        <v>#VALUE!</v>
      </c>
      <c r="IG145" t="e">
        <f>AND('SPR BARRANQUILLA'!DS174,"AAAAAH8+e/A=")</f>
        <v>#VALUE!</v>
      </c>
      <c r="IH145" t="e">
        <f>AND('SPR BARRANQUILLA'!DT174,"AAAAAH8+e/E=")</f>
        <v>#VALUE!</v>
      </c>
      <c r="II145" t="e">
        <f>AND('SPR BARRANQUILLA'!DU174,"AAAAAH8+e/I=")</f>
        <v>#VALUE!</v>
      </c>
      <c r="IJ145" t="e">
        <f>AND('SPR BARRANQUILLA'!DV174,"AAAAAH8+e/M=")</f>
        <v>#VALUE!</v>
      </c>
      <c r="IK145" t="e">
        <f>AND('SPR BARRANQUILLA'!DW174,"AAAAAH8+e/Q=")</f>
        <v>#VALUE!</v>
      </c>
      <c r="IL145" t="e">
        <f>AND('SPR BARRANQUILLA'!DX174,"AAAAAH8+e/U=")</f>
        <v>#VALUE!</v>
      </c>
      <c r="IM145" t="e">
        <f>AND('SPR BARRANQUILLA'!DY174,"AAAAAH8+e/Y=")</f>
        <v>#VALUE!</v>
      </c>
      <c r="IN145" t="e">
        <f>AND('SPR BARRANQUILLA'!DZ174,"AAAAAH8+e/c=")</f>
        <v>#VALUE!</v>
      </c>
      <c r="IO145" t="e">
        <f>AND('SPR BARRANQUILLA'!EA174,"AAAAAH8+e/g=")</f>
        <v>#VALUE!</v>
      </c>
      <c r="IP145" t="e">
        <f>AND('SPR BARRANQUILLA'!EB174,"AAAAAH8+e/k=")</f>
        <v>#VALUE!</v>
      </c>
      <c r="IQ145" t="e">
        <f>AND('SPR BARRANQUILLA'!EC174,"AAAAAH8+e/o=")</f>
        <v>#VALUE!</v>
      </c>
      <c r="IR145" t="e">
        <f>AND('SPR BARRANQUILLA'!ED174,"AAAAAH8+e/s=")</f>
        <v>#VALUE!</v>
      </c>
      <c r="IS145" t="e">
        <f>AND('SPR BARRANQUILLA'!EE174,"AAAAAH8+e/w=")</f>
        <v>#VALUE!</v>
      </c>
      <c r="IT145" t="e">
        <f>AND('SPR BARRANQUILLA'!EF174,"AAAAAH8+e/0=")</f>
        <v>#VALUE!</v>
      </c>
      <c r="IU145" t="e">
        <f>AND('SPR BARRANQUILLA'!EG174,"AAAAAH8+e/4=")</f>
        <v>#VALUE!</v>
      </c>
      <c r="IV145" t="e">
        <f>AND('SPR BARRANQUILLA'!EH174,"AAAAAH8+e/8=")</f>
        <v>#VALUE!</v>
      </c>
    </row>
    <row r="146" spans="1:256">
      <c r="A146" t="e">
        <f>AND('SPR BARRANQUILLA'!EI174,"AAAAAEfH3gA=")</f>
        <v>#VALUE!</v>
      </c>
      <c r="B146" t="e">
        <f>AND('SPR BARRANQUILLA'!EJ174,"AAAAAEfH3gE=")</f>
        <v>#VALUE!</v>
      </c>
      <c r="C146" t="e">
        <f>AND('SPR BARRANQUILLA'!EK174,"AAAAAEfH3gI=")</f>
        <v>#VALUE!</v>
      </c>
      <c r="D146" t="e">
        <f>AND('SPR BARRANQUILLA'!EL174,"AAAAAEfH3gM=")</f>
        <v>#VALUE!</v>
      </c>
      <c r="E146" t="e">
        <f>AND('SPR BARRANQUILLA'!EM174,"AAAAAEfH3gQ=")</f>
        <v>#VALUE!</v>
      </c>
      <c r="F146" t="e">
        <f>AND('SPR BARRANQUILLA'!EN174,"AAAAAEfH3gU=")</f>
        <v>#VALUE!</v>
      </c>
      <c r="G146" t="e">
        <f>AND('SPR BARRANQUILLA'!EO174,"AAAAAEfH3gY=")</f>
        <v>#VALUE!</v>
      </c>
      <c r="H146" t="e">
        <f>AND('SPR BARRANQUILLA'!EP174,"AAAAAEfH3gc=")</f>
        <v>#VALUE!</v>
      </c>
      <c r="I146" t="e">
        <f>AND('SPR BARRANQUILLA'!EQ174,"AAAAAEfH3gg=")</f>
        <v>#VALUE!</v>
      </c>
      <c r="J146" t="e">
        <f>AND('SPR BARRANQUILLA'!ER174,"AAAAAEfH3gk=")</f>
        <v>#VALUE!</v>
      </c>
      <c r="K146" t="e">
        <f>AND('SPR BARRANQUILLA'!ES174,"AAAAAEfH3go=")</f>
        <v>#VALUE!</v>
      </c>
      <c r="L146" t="e">
        <f>AND('SPR BARRANQUILLA'!ET174,"AAAAAEfH3gs=")</f>
        <v>#VALUE!</v>
      </c>
      <c r="M146" t="e">
        <f>AND('SPR BARRANQUILLA'!EU174,"AAAAAEfH3gw=")</f>
        <v>#VALUE!</v>
      </c>
      <c r="N146" t="e">
        <f>AND('SPR BARRANQUILLA'!EV174,"AAAAAEfH3g0=")</f>
        <v>#VALUE!</v>
      </c>
      <c r="O146" t="e">
        <f>AND('SPR BARRANQUILLA'!EW174,"AAAAAEfH3g4=")</f>
        <v>#VALUE!</v>
      </c>
      <c r="P146" t="e">
        <f>AND('SPR BARRANQUILLA'!EX174,"AAAAAEfH3g8=")</f>
        <v>#VALUE!</v>
      </c>
      <c r="Q146" t="e">
        <f>AND('SPR BARRANQUILLA'!EY174,"AAAAAEfH3hA=")</f>
        <v>#VALUE!</v>
      </c>
      <c r="R146" t="e">
        <f>AND('SPR BARRANQUILLA'!EZ174,"AAAAAEfH3hE=")</f>
        <v>#VALUE!</v>
      </c>
      <c r="S146" t="e">
        <f>AND('SPR BARRANQUILLA'!FA174,"AAAAAEfH3hI=")</f>
        <v>#VALUE!</v>
      </c>
      <c r="T146" t="e">
        <f>AND('SPR BARRANQUILLA'!FB174,"AAAAAEfH3hM=")</f>
        <v>#VALUE!</v>
      </c>
      <c r="U146" t="e">
        <f>AND('SPR BARRANQUILLA'!FC174,"AAAAAEfH3hQ=")</f>
        <v>#VALUE!</v>
      </c>
      <c r="V146" t="e">
        <f>AND('SPR BARRANQUILLA'!FD174,"AAAAAEfH3hU=")</f>
        <v>#VALUE!</v>
      </c>
      <c r="W146" t="e">
        <f>AND('SPR BARRANQUILLA'!FE174,"AAAAAEfH3hY=")</f>
        <v>#VALUE!</v>
      </c>
      <c r="X146" t="e">
        <f>AND('SPR BARRANQUILLA'!FF174,"AAAAAEfH3hc=")</f>
        <v>#VALUE!</v>
      </c>
      <c r="Y146" t="e">
        <f>AND('SPR BARRANQUILLA'!FG174,"AAAAAEfH3hg=")</f>
        <v>#VALUE!</v>
      </c>
      <c r="Z146" t="e">
        <f>AND('SPR BARRANQUILLA'!FH174,"AAAAAEfH3hk=")</f>
        <v>#VALUE!</v>
      </c>
      <c r="AA146" t="e">
        <f>AND('SPR BARRANQUILLA'!FI174,"AAAAAEfH3ho=")</f>
        <v>#VALUE!</v>
      </c>
      <c r="AB146" t="e">
        <f>AND('SPR BARRANQUILLA'!FJ174,"AAAAAEfH3hs=")</f>
        <v>#VALUE!</v>
      </c>
      <c r="AC146" t="e">
        <f>AND('SPR BARRANQUILLA'!FK174,"AAAAAEfH3hw=")</f>
        <v>#VALUE!</v>
      </c>
      <c r="AD146" t="e">
        <f>AND('SPR BARRANQUILLA'!FL174,"AAAAAEfH3h0=")</f>
        <v>#VALUE!</v>
      </c>
      <c r="AE146" t="e">
        <f>AND('SPR BARRANQUILLA'!FM174,"AAAAAEfH3h4=")</f>
        <v>#VALUE!</v>
      </c>
      <c r="AF146" t="e">
        <f>AND('SPR BARRANQUILLA'!FN174,"AAAAAEfH3h8=")</f>
        <v>#VALUE!</v>
      </c>
      <c r="AG146" t="e">
        <f>AND('SPR BARRANQUILLA'!FO174,"AAAAAEfH3iA=")</f>
        <v>#VALUE!</v>
      </c>
      <c r="AH146" t="e">
        <f>AND('SPR BARRANQUILLA'!FP174,"AAAAAEfH3iE=")</f>
        <v>#VALUE!</v>
      </c>
      <c r="AI146" t="e">
        <f>AND('SPR BARRANQUILLA'!FQ174,"AAAAAEfH3iI=")</f>
        <v>#VALUE!</v>
      </c>
      <c r="AJ146" t="e">
        <f>AND('SPR BARRANQUILLA'!FR174,"AAAAAEfH3iM=")</f>
        <v>#VALUE!</v>
      </c>
      <c r="AK146" t="e">
        <f>AND('SPR BARRANQUILLA'!FS174,"AAAAAEfH3iQ=")</f>
        <v>#VALUE!</v>
      </c>
      <c r="AL146" t="e">
        <f>AND('SPR BARRANQUILLA'!FT174,"AAAAAEfH3iU=")</f>
        <v>#VALUE!</v>
      </c>
      <c r="AM146" t="e">
        <f>AND('SPR BARRANQUILLA'!FU174,"AAAAAEfH3iY=")</f>
        <v>#VALUE!</v>
      </c>
      <c r="AN146" t="e">
        <f>AND('SPR BARRANQUILLA'!FV174,"AAAAAEfH3ic=")</f>
        <v>#VALUE!</v>
      </c>
      <c r="AO146" t="e">
        <f>AND('SPR BARRANQUILLA'!FW174,"AAAAAEfH3ig=")</f>
        <v>#VALUE!</v>
      </c>
      <c r="AP146" t="e">
        <f>AND('SPR BARRANQUILLA'!FX174,"AAAAAEfH3ik=")</f>
        <v>#VALUE!</v>
      </c>
      <c r="AQ146" t="e">
        <f>AND('SPR BARRANQUILLA'!FY174,"AAAAAEfH3io=")</f>
        <v>#VALUE!</v>
      </c>
      <c r="AR146" t="e">
        <f>AND('SPR BARRANQUILLA'!FZ174,"AAAAAEfH3is=")</f>
        <v>#VALUE!</v>
      </c>
      <c r="AS146" t="e">
        <f>AND('SPR BARRANQUILLA'!GA174,"AAAAAEfH3iw=")</f>
        <v>#VALUE!</v>
      </c>
      <c r="AT146" t="e">
        <f>AND('SPR BARRANQUILLA'!GB174,"AAAAAEfH3i0=")</f>
        <v>#VALUE!</v>
      </c>
      <c r="AU146" t="e">
        <f>AND('SPR BARRANQUILLA'!GC174,"AAAAAEfH3i4=")</f>
        <v>#VALUE!</v>
      </c>
      <c r="AV146" t="e">
        <f>AND('SPR BARRANQUILLA'!GD174,"AAAAAEfH3i8=")</f>
        <v>#VALUE!</v>
      </c>
      <c r="AW146" t="e">
        <f>AND('SPR BARRANQUILLA'!GE174,"AAAAAEfH3jA=")</f>
        <v>#VALUE!</v>
      </c>
      <c r="AX146" t="e">
        <f>AND('SPR BARRANQUILLA'!GF174,"AAAAAEfH3jE=")</f>
        <v>#VALUE!</v>
      </c>
      <c r="AY146" t="e">
        <f>AND('SPR BARRANQUILLA'!GG174,"AAAAAEfH3jI=")</f>
        <v>#VALUE!</v>
      </c>
      <c r="AZ146" t="e">
        <f>AND('SPR BARRANQUILLA'!GH174,"AAAAAEfH3jM=")</f>
        <v>#VALUE!</v>
      </c>
      <c r="BA146" t="e">
        <f>AND('SPR BARRANQUILLA'!GI174,"AAAAAEfH3jQ=")</f>
        <v>#VALUE!</v>
      </c>
      <c r="BB146" t="e">
        <f>AND('SPR BARRANQUILLA'!GJ174,"AAAAAEfH3jU=")</f>
        <v>#VALUE!</v>
      </c>
      <c r="BC146" t="e">
        <f>AND('SPR BARRANQUILLA'!GK174,"AAAAAEfH3jY=")</f>
        <v>#VALUE!</v>
      </c>
      <c r="BD146" t="e">
        <f>AND('SPR BARRANQUILLA'!GL174,"AAAAAEfH3jc=")</f>
        <v>#VALUE!</v>
      </c>
      <c r="BE146" t="e">
        <f>AND('SPR BARRANQUILLA'!GM174,"AAAAAEfH3jg=")</f>
        <v>#VALUE!</v>
      </c>
      <c r="BF146" t="e">
        <f>AND('SPR BARRANQUILLA'!GN174,"AAAAAEfH3jk=")</f>
        <v>#VALUE!</v>
      </c>
      <c r="BG146" t="e">
        <f>AND('SPR BARRANQUILLA'!GO174,"AAAAAEfH3jo=")</f>
        <v>#VALUE!</v>
      </c>
      <c r="BH146" t="e">
        <f>AND('SPR BARRANQUILLA'!GP174,"AAAAAEfH3js=")</f>
        <v>#VALUE!</v>
      </c>
      <c r="BI146" t="e">
        <f>AND('SPR BARRANQUILLA'!GQ174,"AAAAAEfH3jw=")</f>
        <v>#VALUE!</v>
      </c>
      <c r="BJ146" t="e">
        <f>AND('SPR BARRANQUILLA'!GR174,"AAAAAEfH3j0=")</f>
        <v>#VALUE!</v>
      </c>
      <c r="BK146" t="e">
        <f>AND('SPR BARRANQUILLA'!GS174,"AAAAAEfH3j4=")</f>
        <v>#VALUE!</v>
      </c>
      <c r="BL146" t="e">
        <f>AND('SPR BARRANQUILLA'!GT174,"AAAAAEfH3j8=")</f>
        <v>#VALUE!</v>
      </c>
      <c r="BM146" t="e">
        <f>AND('SPR BARRANQUILLA'!GU174,"AAAAAEfH3kA=")</f>
        <v>#VALUE!</v>
      </c>
      <c r="BN146" t="e">
        <f>AND('SPR BARRANQUILLA'!GV174,"AAAAAEfH3kE=")</f>
        <v>#VALUE!</v>
      </c>
      <c r="BO146" t="e">
        <f>AND('SPR BARRANQUILLA'!GW174,"AAAAAEfH3kI=")</f>
        <v>#VALUE!</v>
      </c>
      <c r="BP146" t="e">
        <f>AND('SPR BARRANQUILLA'!GX174,"AAAAAEfH3kM=")</f>
        <v>#VALUE!</v>
      </c>
      <c r="BQ146" t="e">
        <f>AND('SPR BARRANQUILLA'!GY174,"AAAAAEfH3kQ=")</f>
        <v>#VALUE!</v>
      </c>
      <c r="BR146">
        <f>IF('SPR BARRANQUILLA'!175:175,"AAAAAEfH3kU=",0)</f>
        <v>0</v>
      </c>
      <c r="BS146" t="e">
        <f>AND('SPR BARRANQUILLA'!A175,"AAAAAEfH3kY=")</f>
        <v>#VALUE!</v>
      </c>
      <c r="BT146" t="e">
        <f>AND('SPR BARRANQUILLA'!B175,"AAAAAEfH3kc=")</f>
        <v>#VALUE!</v>
      </c>
      <c r="BU146" t="e">
        <f>AND('SPR BARRANQUILLA'!C175,"AAAAAEfH3kg=")</f>
        <v>#VALUE!</v>
      </c>
      <c r="BV146" t="e">
        <f>AND('SPR BARRANQUILLA'!D175,"AAAAAEfH3kk=")</f>
        <v>#VALUE!</v>
      </c>
      <c r="BW146" t="e">
        <f>AND('SPR BARRANQUILLA'!E175,"AAAAAEfH3ko=")</f>
        <v>#VALUE!</v>
      </c>
      <c r="BX146" t="e">
        <f>AND('SPR BARRANQUILLA'!F175,"AAAAAEfH3ks=")</f>
        <v>#VALUE!</v>
      </c>
      <c r="BY146" t="e">
        <f>AND('SPR BARRANQUILLA'!G175,"AAAAAEfH3kw=")</f>
        <v>#VALUE!</v>
      </c>
      <c r="BZ146" t="e">
        <f>AND('SPR BARRANQUILLA'!H175,"AAAAAEfH3k0=")</f>
        <v>#VALUE!</v>
      </c>
      <c r="CA146" t="e">
        <f>AND('SPR BARRANQUILLA'!I175,"AAAAAEfH3k4=")</f>
        <v>#VALUE!</v>
      </c>
      <c r="CB146" t="e">
        <f>AND('SPR BARRANQUILLA'!J175,"AAAAAEfH3k8=")</f>
        <v>#VALUE!</v>
      </c>
      <c r="CC146" t="e">
        <f>AND('SPR BARRANQUILLA'!K175,"AAAAAEfH3lA=")</f>
        <v>#VALUE!</v>
      </c>
      <c r="CD146" t="e">
        <f>AND('SPR BARRANQUILLA'!L175,"AAAAAEfH3lE=")</f>
        <v>#VALUE!</v>
      </c>
      <c r="CE146" t="e">
        <f>AND('SPR BARRANQUILLA'!M175,"AAAAAEfH3lI=")</f>
        <v>#VALUE!</v>
      </c>
      <c r="CF146" t="e">
        <f>AND('SPR BARRANQUILLA'!N175,"AAAAAEfH3lM=")</f>
        <v>#VALUE!</v>
      </c>
      <c r="CG146" t="e">
        <f>AND('SPR BARRANQUILLA'!O175,"AAAAAEfH3lQ=")</f>
        <v>#VALUE!</v>
      </c>
      <c r="CH146" t="e">
        <f>AND('SPR BARRANQUILLA'!P175,"AAAAAEfH3lU=")</f>
        <v>#VALUE!</v>
      </c>
      <c r="CI146" t="e">
        <f>AND('SPR BARRANQUILLA'!Q175,"AAAAAEfH3lY=")</f>
        <v>#VALUE!</v>
      </c>
      <c r="CJ146" t="e">
        <f>AND('SPR BARRANQUILLA'!R175,"AAAAAEfH3lc=")</f>
        <v>#VALUE!</v>
      </c>
      <c r="CK146" t="e">
        <f>AND('SPR BARRANQUILLA'!S175,"AAAAAEfH3lg=")</f>
        <v>#VALUE!</v>
      </c>
      <c r="CL146" t="e">
        <f>AND('SPR BARRANQUILLA'!T175,"AAAAAEfH3lk=")</f>
        <v>#VALUE!</v>
      </c>
      <c r="CM146" t="e">
        <f>AND('SPR BARRANQUILLA'!U175,"AAAAAEfH3lo=")</f>
        <v>#VALUE!</v>
      </c>
      <c r="CN146" t="e">
        <f>AND('SPR BARRANQUILLA'!V175,"AAAAAEfH3ls=")</f>
        <v>#VALUE!</v>
      </c>
      <c r="CO146" t="e">
        <f>AND('SPR BARRANQUILLA'!W175,"AAAAAEfH3lw=")</f>
        <v>#VALUE!</v>
      </c>
      <c r="CP146" t="e">
        <f>AND('SPR BARRANQUILLA'!X175,"AAAAAEfH3l0=")</f>
        <v>#VALUE!</v>
      </c>
      <c r="CQ146" t="e">
        <f>AND('SPR BARRANQUILLA'!Y175,"AAAAAEfH3l4=")</f>
        <v>#VALUE!</v>
      </c>
      <c r="CR146" t="e">
        <f>AND('SPR BARRANQUILLA'!Z175,"AAAAAEfH3l8=")</f>
        <v>#VALUE!</v>
      </c>
      <c r="CS146" t="e">
        <f>AND('SPR BARRANQUILLA'!AA175,"AAAAAEfH3mA=")</f>
        <v>#VALUE!</v>
      </c>
      <c r="CT146" t="e">
        <f>AND('SPR BARRANQUILLA'!AB175,"AAAAAEfH3mE=")</f>
        <v>#VALUE!</v>
      </c>
      <c r="CU146" t="e">
        <f>AND('SPR BARRANQUILLA'!AC175,"AAAAAEfH3mI=")</f>
        <v>#VALUE!</v>
      </c>
      <c r="CV146" t="e">
        <f>AND('SPR BARRANQUILLA'!AD175,"AAAAAEfH3mM=")</f>
        <v>#VALUE!</v>
      </c>
      <c r="CW146" t="e">
        <f>AND('SPR BARRANQUILLA'!AE175,"AAAAAEfH3mQ=")</f>
        <v>#VALUE!</v>
      </c>
      <c r="CX146" t="e">
        <f>AND('SPR BARRANQUILLA'!AF175,"AAAAAEfH3mU=")</f>
        <v>#VALUE!</v>
      </c>
      <c r="CY146" t="e">
        <f>AND('SPR BARRANQUILLA'!AG175,"AAAAAEfH3mY=")</f>
        <v>#VALUE!</v>
      </c>
      <c r="CZ146" t="e">
        <f>AND('SPR BARRANQUILLA'!AH175,"AAAAAEfH3mc=")</f>
        <v>#VALUE!</v>
      </c>
      <c r="DA146" t="e">
        <f>AND('SPR BARRANQUILLA'!AI175,"AAAAAEfH3mg=")</f>
        <v>#VALUE!</v>
      </c>
      <c r="DB146" t="e">
        <f>AND('SPR BARRANQUILLA'!AJ175,"AAAAAEfH3mk=")</f>
        <v>#VALUE!</v>
      </c>
      <c r="DC146" t="e">
        <f>AND('SPR BARRANQUILLA'!AK175,"AAAAAEfH3mo=")</f>
        <v>#VALUE!</v>
      </c>
      <c r="DD146" t="e">
        <f>AND('SPR BARRANQUILLA'!AL175,"AAAAAEfH3ms=")</f>
        <v>#VALUE!</v>
      </c>
      <c r="DE146" t="e">
        <f>AND('SPR BARRANQUILLA'!AM175,"AAAAAEfH3mw=")</f>
        <v>#VALUE!</v>
      </c>
      <c r="DF146" t="e">
        <f>AND('SPR BARRANQUILLA'!AN175,"AAAAAEfH3m0=")</f>
        <v>#VALUE!</v>
      </c>
      <c r="DG146" t="e">
        <f>AND('SPR BARRANQUILLA'!AO175,"AAAAAEfH3m4=")</f>
        <v>#VALUE!</v>
      </c>
      <c r="DH146" t="e">
        <f>AND('SPR BARRANQUILLA'!AP175,"AAAAAEfH3m8=")</f>
        <v>#VALUE!</v>
      </c>
      <c r="DI146" t="e">
        <f>AND('SPR BARRANQUILLA'!AQ175,"AAAAAEfH3nA=")</f>
        <v>#VALUE!</v>
      </c>
      <c r="DJ146" t="e">
        <f>AND('SPR BARRANQUILLA'!AR175,"AAAAAEfH3nE=")</f>
        <v>#VALUE!</v>
      </c>
      <c r="DK146" t="e">
        <f>AND('SPR BARRANQUILLA'!AS175,"AAAAAEfH3nI=")</f>
        <v>#VALUE!</v>
      </c>
      <c r="DL146" t="e">
        <f>AND('SPR BARRANQUILLA'!AT175,"AAAAAEfH3nM=")</f>
        <v>#VALUE!</v>
      </c>
      <c r="DM146" t="e">
        <f>AND('SPR BARRANQUILLA'!AU175,"AAAAAEfH3nQ=")</f>
        <v>#VALUE!</v>
      </c>
      <c r="DN146" t="e">
        <f>AND('SPR BARRANQUILLA'!AV175,"AAAAAEfH3nU=")</f>
        <v>#VALUE!</v>
      </c>
      <c r="DO146" t="e">
        <f>AND('SPR BARRANQUILLA'!AW175,"AAAAAEfH3nY=")</f>
        <v>#VALUE!</v>
      </c>
      <c r="DP146" t="e">
        <f>AND('SPR BARRANQUILLA'!AX175,"AAAAAEfH3nc=")</f>
        <v>#VALUE!</v>
      </c>
      <c r="DQ146" t="e">
        <f>AND('SPR BARRANQUILLA'!AY175,"AAAAAEfH3ng=")</f>
        <v>#VALUE!</v>
      </c>
      <c r="DR146" t="e">
        <f>AND('SPR BARRANQUILLA'!AZ175,"AAAAAEfH3nk=")</f>
        <v>#VALUE!</v>
      </c>
      <c r="DS146" t="e">
        <f>AND('SPR BARRANQUILLA'!BA175,"AAAAAEfH3no=")</f>
        <v>#VALUE!</v>
      </c>
      <c r="DT146" t="e">
        <f>AND('SPR BARRANQUILLA'!BB175,"AAAAAEfH3ns=")</f>
        <v>#VALUE!</v>
      </c>
      <c r="DU146" t="e">
        <f>AND('SPR BARRANQUILLA'!BC175,"AAAAAEfH3nw=")</f>
        <v>#VALUE!</v>
      </c>
      <c r="DV146" t="e">
        <f>AND('SPR BARRANQUILLA'!BD175,"AAAAAEfH3n0=")</f>
        <v>#VALUE!</v>
      </c>
      <c r="DW146" t="e">
        <f>AND('SPR BARRANQUILLA'!BE175,"AAAAAEfH3n4=")</f>
        <v>#VALUE!</v>
      </c>
      <c r="DX146" t="e">
        <f>AND('SPR BARRANQUILLA'!BF175,"AAAAAEfH3n8=")</f>
        <v>#VALUE!</v>
      </c>
      <c r="DY146" t="e">
        <f>AND('SPR BARRANQUILLA'!BG175,"AAAAAEfH3oA=")</f>
        <v>#VALUE!</v>
      </c>
      <c r="DZ146" t="e">
        <f>AND('SPR BARRANQUILLA'!BH175,"AAAAAEfH3oE=")</f>
        <v>#VALUE!</v>
      </c>
      <c r="EA146" t="e">
        <f>AND('SPR BARRANQUILLA'!BI175,"AAAAAEfH3oI=")</f>
        <v>#VALUE!</v>
      </c>
      <c r="EB146" t="e">
        <f>AND('SPR BARRANQUILLA'!BJ175,"AAAAAEfH3oM=")</f>
        <v>#VALUE!</v>
      </c>
      <c r="EC146" t="e">
        <f>AND('SPR BARRANQUILLA'!BK175,"AAAAAEfH3oQ=")</f>
        <v>#VALUE!</v>
      </c>
      <c r="ED146" t="e">
        <f>AND('SPR BARRANQUILLA'!BL175,"AAAAAEfH3oU=")</f>
        <v>#VALUE!</v>
      </c>
      <c r="EE146" t="e">
        <f>AND('SPR BARRANQUILLA'!BM175,"AAAAAEfH3oY=")</f>
        <v>#VALUE!</v>
      </c>
      <c r="EF146" t="e">
        <f>AND('SPR BARRANQUILLA'!BN175,"AAAAAEfH3oc=")</f>
        <v>#VALUE!</v>
      </c>
      <c r="EG146" t="e">
        <f>AND('SPR BARRANQUILLA'!BO175,"AAAAAEfH3og=")</f>
        <v>#VALUE!</v>
      </c>
      <c r="EH146" t="e">
        <f>AND('SPR BARRANQUILLA'!BP175,"AAAAAEfH3ok=")</f>
        <v>#VALUE!</v>
      </c>
      <c r="EI146" t="e">
        <f>AND('SPR BARRANQUILLA'!BQ175,"AAAAAEfH3oo=")</f>
        <v>#VALUE!</v>
      </c>
      <c r="EJ146" t="e">
        <f>AND('SPR BARRANQUILLA'!BR175,"AAAAAEfH3os=")</f>
        <v>#VALUE!</v>
      </c>
      <c r="EK146" t="e">
        <f>AND('SPR BARRANQUILLA'!BS175,"AAAAAEfH3ow=")</f>
        <v>#VALUE!</v>
      </c>
      <c r="EL146" t="e">
        <f>AND('SPR BARRANQUILLA'!BT175,"AAAAAEfH3o0=")</f>
        <v>#VALUE!</v>
      </c>
      <c r="EM146" t="e">
        <f>AND('SPR BARRANQUILLA'!BU175,"AAAAAEfH3o4=")</f>
        <v>#VALUE!</v>
      </c>
      <c r="EN146" t="e">
        <f>AND('SPR BARRANQUILLA'!BV175,"AAAAAEfH3o8=")</f>
        <v>#VALUE!</v>
      </c>
      <c r="EO146" t="e">
        <f>AND('SPR BARRANQUILLA'!BW175,"AAAAAEfH3pA=")</f>
        <v>#VALUE!</v>
      </c>
      <c r="EP146" t="e">
        <f>AND('SPR BARRANQUILLA'!BX175,"AAAAAEfH3pE=")</f>
        <v>#VALUE!</v>
      </c>
      <c r="EQ146" t="e">
        <f>AND('SPR BARRANQUILLA'!BY175,"AAAAAEfH3pI=")</f>
        <v>#VALUE!</v>
      </c>
      <c r="ER146" t="e">
        <f>AND('SPR BARRANQUILLA'!BZ175,"AAAAAEfH3pM=")</f>
        <v>#VALUE!</v>
      </c>
      <c r="ES146" t="e">
        <f>AND('SPR BARRANQUILLA'!CA175,"AAAAAEfH3pQ=")</f>
        <v>#VALUE!</v>
      </c>
      <c r="ET146" t="e">
        <f>AND('SPR BARRANQUILLA'!CB175,"AAAAAEfH3pU=")</f>
        <v>#VALUE!</v>
      </c>
      <c r="EU146" t="e">
        <f>AND('SPR BARRANQUILLA'!CC175,"AAAAAEfH3pY=")</f>
        <v>#VALUE!</v>
      </c>
      <c r="EV146" t="e">
        <f>AND('SPR BARRANQUILLA'!CD175,"AAAAAEfH3pc=")</f>
        <v>#VALUE!</v>
      </c>
      <c r="EW146" t="e">
        <f>AND('SPR BARRANQUILLA'!CE175,"AAAAAEfH3pg=")</f>
        <v>#VALUE!</v>
      </c>
      <c r="EX146" t="e">
        <f>AND('SPR BARRANQUILLA'!CF175,"AAAAAEfH3pk=")</f>
        <v>#VALUE!</v>
      </c>
      <c r="EY146" t="e">
        <f>AND('SPR BARRANQUILLA'!CG175,"AAAAAEfH3po=")</f>
        <v>#VALUE!</v>
      </c>
      <c r="EZ146" t="e">
        <f>AND('SPR BARRANQUILLA'!CH175,"AAAAAEfH3ps=")</f>
        <v>#VALUE!</v>
      </c>
      <c r="FA146" t="e">
        <f>AND('SPR BARRANQUILLA'!CI175,"AAAAAEfH3pw=")</f>
        <v>#VALUE!</v>
      </c>
      <c r="FB146" t="e">
        <f>AND('SPR BARRANQUILLA'!CJ175,"AAAAAEfH3p0=")</f>
        <v>#VALUE!</v>
      </c>
      <c r="FC146" t="e">
        <f>AND('SPR BARRANQUILLA'!CK175,"AAAAAEfH3p4=")</f>
        <v>#VALUE!</v>
      </c>
      <c r="FD146" t="e">
        <f>AND('SPR BARRANQUILLA'!CL175,"AAAAAEfH3p8=")</f>
        <v>#VALUE!</v>
      </c>
      <c r="FE146" t="e">
        <f>AND('SPR BARRANQUILLA'!CM175,"AAAAAEfH3qA=")</f>
        <v>#VALUE!</v>
      </c>
      <c r="FF146" t="e">
        <f>AND('SPR BARRANQUILLA'!CN175,"AAAAAEfH3qE=")</f>
        <v>#VALUE!</v>
      </c>
      <c r="FG146" t="e">
        <f>AND('SPR BARRANQUILLA'!CO175,"AAAAAEfH3qI=")</f>
        <v>#VALUE!</v>
      </c>
      <c r="FH146" t="e">
        <f>AND('SPR BARRANQUILLA'!CP175,"AAAAAEfH3qM=")</f>
        <v>#VALUE!</v>
      </c>
      <c r="FI146" t="e">
        <f>AND('SPR BARRANQUILLA'!CQ175,"AAAAAEfH3qQ=")</f>
        <v>#VALUE!</v>
      </c>
      <c r="FJ146" t="e">
        <f>AND('SPR BARRANQUILLA'!CR175,"AAAAAEfH3qU=")</f>
        <v>#VALUE!</v>
      </c>
      <c r="FK146" t="e">
        <f>AND('SPR BARRANQUILLA'!CS175,"AAAAAEfH3qY=")</f>
        <v>#VALUE!</v>
      </c>
      <c r="FL146" t="e">
        <f>AND('SPR BARRANQUILLA'!CT175,"AAAAAEfH3qc=")</f>
        <v>#VALUE!</v>
      </c>
      <c r="FM146" t="e">
        <f>AND('SPR BARRANQUILLA'!CU175,"AAAAAEfH3qg=")</f>
        <v>#VALUE!</v>
      </c>
      <c r="FN146" t="e">
        <f>AND('SPR BARRANQUILLA'!CV175,"AAAAAEfH3qk=")</f>
        <v>#VALUE!</v>
      </c>
      <c r="FO146" t="e">
        <f>AND('SPR BARRANQUILLA'!CW175,"AAAAAEfH3qo=")</f>
        <v>#VALUE!</v>
      </c>
      <c r="FP146" t="e">
        <f>AND('SPR BARRANQUILLA'!CX175,"AAAAAEfH3qs=")</f>
        <v>#VALUE!</v>
      </c>
      <c r="FQ146" t="e">
        <f>AND('SPR BARRANQUILLA'!CY175,"AAAAAEfH3qw=")</f>
        <v>#VALUE!</v>
      </c>
      <c r="FR146" t="e">
        <f>AND('SPR BARRANQUILLA'!CZ175,"AAAAAEfH3q0=")</f>
        <v>#VALUE!</v>
      </c>
      <c r="FS146" t="e">
        <f>AND('SPR BARRANQUILLA'!DA175,"AAAAAEfH3q4=")</f>
        <v>#VALUE!</v>
      </c>
      <c r="FT146" t="e">
        <f>AND('SPR BARRANQUILLA'!DB175,"AAAAAEfH3q8=")</f>
        <v>#VALUE!</v>
      </c>
      <c r="FU146" t="e">
        <f>AND('SPR BARRANQUILLA'!DC175,"AAAAAEfH3rA=")</f>
        <v>#VALUE!</v>
      </c>
      <c r="FV146" t="e">
        <f>AND('SPR BARRANQUILLA'!DD175,"AAAAAEfH3rE=")</f>
        <v>#VALUE!</v>
      </c>
      <c r="FW146" t="e">
        <f>AND('SPR BARRANQUILLA'!DE175,"AAAAAEfH3rI=")</f>
        <v>#VALUE!</v>
      </c>
      <c r="FX146" t="e">
        <f>AND('SPR BARRANQUILLA'!DF175,"AAAAAEfH3rM=")</f>
        <v>#VALUE!</v>
      </c>
      <c r="FY146" t="e">
        <f>AND('SPR BARRANQUILLA'!DG175,"AAAAAEfH3rQ=")</f>
        <v>#VALUE!</v>
      </c>
      <c r="FZ146" t="e">
        <f>AND('SPR BARRANQUILLA'!DH175,"AAAAAEfH3rU=")</f>
        <v>#VALUE!</v>
      </c>
      <c r="GA146" t="e">
        <f>AND('SPR BARRANQUILLA'!DI175,"AAAAAEfH3rY=")</f>
        <v>#VALUE!</v>
      </c>
      <c r="GB146" t="e">
        <f>AND('SPR BARRANQUILLA'!DJ175,"AAAAAEfH3rc=")</f>
        <v>#VALUE!</v>
      </c>
      <c r="GC146" t="e">
        <f>AND('SPR BARRANQUILLA'!DK175,"AAAAAEfH3rg=")</f>
        <v>#VALUE!</v>
      </c>
      <c r="GD146" t="e">
        <f>AND('SPR BARRANQUILLA'!DL175,"AAAAAEfH3rk=")</f>
        <v>#VALUE!</v>
      </c>
      <c r="GE146" t="e">
        <f>AND('SPR BARRANQUILLA'!DM175,"AAAAAEfH3ro=")</f>
        <v>#VALUE!</v>
      </c>
      <c r="GF146" t="e">
        <f>AND('SPR BARRANQUILLA'!DN175,"AAAAAEfH3rs=")</f>
        <v>#VALUE!</v>
      </c>
      <c r="GG146" t="e">
        <f>AND('SPR BARRANQUILLA'!DO175,"AAAAAEfH3rw=")</f>
        <v>#VALUE!</v>
      </c>
      <c r="GH146" t="e">
        <f>AND('SPR BARRANQUILLA'!DP175,"AAAAAEfH3r0=")</f>
        <v>#VALUE!</v>
      </c>
      <c r="GI146" t="e">
        <f>AND('SPR BARRANQUILLA'!DQ175,"AAAAAEfH3r4=")</f>
        <v>#VALUE!</v>
      </c>
      <c r="GJ146" t="e">
        <f>AND('SPR BARRANQUILLA'!DR175,"AAAAAEfH3r8=")</f>
        <v>#VALUE!</v>
      </c>
      <c r="GK146" t="e">
        <f>AND('SPR BARRANQUILLA'!DS175,"AAAAAEfH3sA=")</f>
        <v>#VALUE!</v>
      </c>
      <c r="GL146" t="e">
        <f>AND('SPR BARRANQUILLA'!DT175,"AAAAAEfH3sE=")</f>
        <v>#VALUE!</v>
      </c>
      <c r="GM146" t="e">
        <f>AND('SPR BARRANQUILLA'!DU175,"AAAAAEfH3sI=")</f>
        <v>#VALUE!</v>
      </c>
      <c r="GN146" t="e">
        <f>AND('SPR BARRANQUILLA'!DV175,"AAAAAEfH3sM=")</f>
        <v>#VALUE!</v>
      </c>
      <c r="GO146" t="e">
        <f>AND('SPR BARRANQUILLA'!DW175,"AAAAAEfH3sQ=")</f>
        <v>#VALUE!</v>
      </c>
      <c r="GP146" t="e">
        <f>AND('SPR BARRANQUILLA'!DX175,"AAAAAEfH3sU=")</f>
        <v>#VALUE!</v>
      </c>
      <c r="GQ146" t="e">
        <f>AND('SPR BARRANQUILLA'!DY175,"AAAAAEfH3sY=")</f>
        <v>#VALUE!</v>
      </c>
      <c r="GR146" t="e">
        <f>AND('SPR BARRANQUILLA'!DZ175,"AAAAAEfH3sc=")</f>
        <v>#VALUE!</v>
      </c>
      <c r="GS146" t="e">
        <f>AND('SPR BARRANQUILLA'!EA175,"AAAAAEfH3sg=")</f>
        <v>#VALUE!</v>
      </c>
      <c r="GT146" t="e">
        <f>AND('SPR BARRANQUILLA'!EB175,"AAAAAEfH3sk=")</f>
        <v>#VALUE!</v>
      </c>
      <c r="GU146" t="e">
        <f>AND('SPR BARRANQUILLA'!EC175,"AAAAAEfH3so=")</f>
        <v>#VALUE!</v>
      </c>
      <c r="GV146" t="e">
        <f>AND('SPR BARRANQUILLA'!ED175,"AAAAAEfH3ss=")</f>
        <v>#VALUE!</v>
      </c>
      <c r="GW146" t="e">
        <f>AND('SPR BARRANQUILLA'!EE175,"AAAAAEfH3sw=")</f>
        <v>#VALUE!</v>
      </c>
      <c r="GX146" t="e">
        <f>AND('SPR BARRANQUILLA'!EF175,"AAAAAEfH3s0=")</f>
        <v>#VALUE!</v>
      </c>
      <c r="GY146" t="e">
        <f>AND('SPR BARRANQUILLA'!EG175,"AAAAAEfH3s4=")</f>
        <v>#VALUE!</v>
      </c>
      <c r="GZ146" t="e">
        <f>AND('SPR BARRANQUILLA'!EH175,"AAAAAEfH3s8=")</f>
        <v>#VALUE!</v>
      </c>
      <c r="HA146" t="e">
        <f>AND('SPR BARRANQUILLA'!EI175,"AAAAAEfH3tA=")</f>
        <v>#VALUE!</v>
      </c>
      <c r="HB146" t="e">
        <f>AND('SPR BARRANQUILLA'!EJ175,"AAAAAEfH3tE=")</f>
        <v>#VALUE!</v>
      </c>
      <c r="HC146" t="e">
        <f>AND('SPR BARRANQUILLA'!EK175,"AAAAAEfH3tI=")</f>
        <v>#VALUE!</v>
      </c>
      <c r="HD146" t="e">
        <f>AND('SPR BARRANQUILLA'!EL175,"AAAAAEfH3tM=")</f>
        <v>#VALUE!</v>
      </c>
      <c r="HE146" t="e">
        <f>AND('SPR BARRANQUILLA'!EM175,"AAAAAEfH3tQ=")</f>
        <v>#VALUE!</v>
      </c>
      <c r="HF146" t="e">
        <f>AND('SPR BARRANQUILLA'!EN175,"AAAAAEfH3tU=")</f>
        <v>#VALUE!</v>
      </c>
      <c r="HG146" t="e">
        <f>AND('SPR BARRANQUILLA'!EO175,"AAAAAEfH3tY=")</f>
        <v>#VALUE!</v>
      </c>
      <c r="HH146" t="e">
        <f>AND('SPR BARRANQUILLA'!EP175,"AAAAAEfH3tc=")</f>
        <v>#VALUE!</v>
      </c>
      <c r="HI146" t="e">
        <f>AND('SPR BARRANQUILLA'!EQ175,"AAAAAEfH3tg=")</f>
        <v>#VALUE!</v>
      </c>
      <c r="HJ146" t="e">
        <f>AND('SPR BARRANQUILLA'!ER175,"AAAAAEfH3tk=")</f>
        <v>#VALUE!</v>
      </c>
      <c r="HK146" t="e">
        <f>AND('SPR BARRANQUILLA'!ES175,"AAAAAEfH3to=")</f>
        <v>#VALUE!</v>
      </c>
      <c r="HL146" t="e">
        <f>AND('SPR BARRANQUILLA'!ET175,"AAAAAEfH3ts=")</f>
        <v>#VALUE!</v>
      </c>
      <c r="HM146" t="e">
        <f>AND('SPR BARRANQUILLA'!EU175,"AAAAAEfH3tw=")</f>
        <v>#VALUE!</v>
      </c>
      <c r="HN146" t="e">
        <f>AND('SPR BARRANQUILLA'!EV175,"AAAAAEfH3t0=")</f>
        <v>#VALUE!</v>
      </c>
      <c r="HO146" t="e">
        <f>AND('SPR BARRANQUILLA'!EW175,"AAAAAEfH3t4=")</f>
        <v>#VALUE!</v>
      </c>
      <c r="HP146" t="e">
        <f>AND('SPR BARRANQUILLA'!EX175,"AAAAAEfH3t8=")</f>
        <v>#VALUE!</v>
      </c>
      <c r="HQ146" t="e">
        <f>AND('SPR BARRANQUILLA'!EY175,"AAAAAEfH3uA=")</f>
        <v>#VALUE!</v>
      </c>
      <c r="HR146" t="e">
        <f>AND('SPR BARRANQUILLA'!EZ175,"AAAAAEfH3uE=")</f>
        <v>#VALUE!</v>
      </c>
      <c r="HS146" t="e">
        <f>AND('SPR BARRANQUILLA'!FA175,"AAAAAEfH3uI=")</f>
        <v>#VALUE!</v>
      </c>
      <c r="HT146" t="e">
        <f>AND('SPR BARRANQUILLA'!FB175,"AAAAAEfH3uM=")</f>
        <v>#VALUE!</v>
      </c>
      <c r="HU146" t="e">
        <f>AND('SPR BARRANQUILLA'!FC175,"AAAAAEfH3uQ=")</f>
        <v>#VALUE!</v>
      </c>
      <c r="HV146" t="e">
        <f>AND('SPR BARRANQUILLA'!FD175,"AAAAAEfH3uU=")</f>
        <v>#VALUE!</v>
      </c>
      <c r="HW146" t="e">
        <f>AND('SPR BARRANQUILLA'!FE175,"AAAAAEfH3uY=")</f>
        <v>#VALUE!</v>
      </c>
      <c r="HX146" t="e">
        <f>AND('SPR BARRANQUILLA'!FF175,"AAAAAEfH3uc=")</f>
        <v>#VALUE!</v>
      </c>
      <c r="HY146" t="e">
        <f>AND('SPR BARRANQUILLA'!FG175,"AAAAAEfH3ug=")</f>
        <v>#VALUE!</v>
      </c>
      <c r="HZ146" t="e">
        <f>AND('SPR BARRANQUILLA'!FH175,"AAAAAEfH3uk=")</f>
        <v>#VALUE!</v>
      </c>
      <c r="IA146" t="e">
        <f>AND('SPR BARRANQUILLA'!FI175,"AAAAAEfH3uo=")</f>
        <v>#VALUE!</v>
      </c>
      <c r="IB146" t="e">
        <f>AND('SPR BARRANQUILLA'!FJ175,"AAAAAEfH3us=")</f>
        <v>#VALUE!</v>
      </c>
      <c r="IC146" t="e">
        <f>AND('SPR BARRANQUILLA'!FK175,"AAAAAEfH3uw=")</f>
        <v>#VALUE!</v>
      </c>
      <c r="ID146" t="e">
        <f>AND('SPR BARRANQUILLA'!FL175,"AAAAAEfH3u0=")</f>
        <v>#VALUE!</v>
      </c>
      <c r="IE146" t="e">
        <f>AND('SPR BARRANQUILLA'!FM175,"AAAAAEfH3u4=")</f>
        <v>#VALUE!</v>
      </c>
      <c r="IF146" t="e">
        <f>AND('SPR BARRANQUILLA'!FN175,"AAAAAEfH3u8=")</f>
        <v>#VALUE!</v>
      </c>
      <c r="IG146" t="e">
        <f>AND('SPR BARRANQUILLA'!FO175,"AAAAAEfH3vA=")</f>
        <v>#VALUE!</v>
      </c>
      <c r="IH146" t="e">
        <f>AND('SPR BARRANQUILLA'!FP175,"AAAAAEfH3vE=")</f>
        <v>#VALUE!</v>
      </c>
      <c r="II146" t="e">
        <f>AND('SPR BARRANQUILLA'!FQ175,"AAAAAEfH3vI=")</f>
        <v>#VALUE!</v>
      </c>
      <c r="IJ146" t="e">
        <f>AND('SPR BARRANQUILLA'!FR175,"AAAAAEfH3vM=")</f>
        <v>#VALUE!</v>
      </c>
      <c r="IK146" t="e">
        <f>AND('SPR BARRANQUILLA'!FS175,"AAAAAEfH3vQ=")</f>
        <v>#VALUE!</v>
      </c>
      <c r="IL146" t="e">
        <f>AND('SPR BARRANQUILLA'!FT175,"AAAAAEfH3vU=")</f>
        <v>#VALUE!</v>
      </c>
      <c r="IM146" t="e">
        <f>AND('SPR BARRANQUILLA'!FU175,"AAAAAEfH3vY=")</f>
        <v>#VALUE!</v>
      </c>
      <c r="IN146" t="e">
        <f>AND('SPR BARRANQUILLA'!FV175,"AAAAAEfH3vc=")</f>
        <v>#VALUE!</v>
      </c>
      <c r="IO146" t="e">
        <f>AND('SPR BARRANQUILLA'!FW175,"AAAAAEfH3vg=")</f>
        <v>#VALUE!</v>
      </c>
      <c r="IP146" t="e">
        <f>AND('SPR BARRANQUILLA'!FX175,"AAAAAEfH3vk=")</f>
        <v>#VALUE!</v>
      </c>
      <c r="IQ146" t="e">
        <f>AND('SPR BARRANQUILLA'!FY175,"AAAAAEfH3vo=")</f>
        <v>#VALUE!</v>
      </c>
      <c r="IR146" t="e">
        <f>AND('SPR BARRANQUILLA'!FZ175,"AAAAAEfH3vs=")</f>
        <v>#VALUE!</v>
      </c>
      <c r="IS146" t="e">
        <f>AND('SPR BARRANQUILLA'!GA175,"AAAAAEfH3vw=")</f>
        <v>#VALUE!</v>
      </c>
      <c r="IT146" t="e">
        <f>AND('SPR BARRANQUILLA'!GB175,"AAAAAEfH3v0=")</f>
        <v>#VALUE!</v>
      </c>
      <c r="IU146" t="e">
        <f>AND('SPR BARRANQUILLA'!GC175,"AAAAAEfH3v4=")</f>
        <v>#VALUE!</v>
      </c>
      <c r="IV146" t="e">
        <f>AND('SPR BARRANQUILLA'!GD175,"AAAAAEfH3v8=")</f>
        <v>#VALUE!</v>
      </c>
    </row>
    <row r="147" spans="1:256">
      <c r="A147" t="e">
        <f>AND('SPR BARRANQUILLA'!GE175,"AAAAAGv/+gA=")</f>
        <v>#VALUE!</v>
      </c>
      <c r="B147" t="e">
        <f>AND('SPR BARRANQUILLA'!GF175,"AAAAAGv/+gE=")</f>
        <v>#VALUE!</v>
      </c>
      <c r="C147" t="e">
        <f>AND('SPR BARRANQUILLA'!GG175,"AAAAAGv/+gI=")</f>
        <v>#VALUE!</v>
      </c>
      <c r="D147" t="e">
        <f>AND('SPR BARRANQUILLA'!GH175,"AAAAAGv/+gM=")</f>
        <v>#VALUE!</v>
      </c>
      <c r="E147" t="e">
        <f>AND('SPR BARRANQUILLA'!GI175,"AAAAAGv/+gQ=")</f>
        <v>#VALUE!</v>
      </c>
      <c r="F147" t="e">
        <f>AND('SPR BARRANQUILLA'!GJ175,"AAAAAGv/+gU=")</f>
        <v>#VALUE!</v>
      </c>
      <c r="G147" t="e">
        <f>AND('SPR BARRANQUILLA'!GK175,"AAAAAGv/+gY=")</f>
        <v>#VALUE!</v>
      </c>
      <c r="H147" t="e">
        <f>AND('SPR BARRANQUILLA'!GL175,"AAAAAGv/+gc=")</f>
        <v>#VALUE!</v>
      </c>
      <c r="I147" t="e">
        <f>AND('SPR BARRANQUILLA'!GM175,"AAAAAGv/+gg=")</f>
        <v>#VALUE!</v>
      </c>
      <c r="J147" t="e">
        <f>AND('SPR BARRANQUILLA'!GN175,"AAAAAGv/+gk=")</f>
        <v>#VALUE!</v>
      </c>
      <c r="K147" t="e">
        <f>AND('SPR BARRANQUILLA'!GO175,"AAAAAGv/+go=")</f>
        <v>#VALUE!</v>
      </c>
      <c r="L147" t="e">
        <f>AND('SPR BARRANQUILLA'!GP175,"AAAAAGv/+gs=")</f>
        <v>#VALUE!</v>
      </c>
      <c r="M147" t="e">
        <f>AND('SPR BARRANQUILLA'!GQ175,"AAAAAGv/+gw=")</f>
        <v>#VALUE!</v>
      </c>
      <c r="N147" t="e">
        <f>AND('SPR BARRANQUILLA'!GR175,"AAAAAGv/+g0=")</f>
        <v>#VALUE!</v>
      </c>
      <c r="O147" t="e">
        <f>AND('SPR BARRANQUILLA'!GS175,"AAAAAGv/+g4=")</f>
        <v>#VALUE!</v>
      </c>
      <c r="P147" t="e">
        <f>AND('SPR BARRANQUILLA'!GT175,"AAAAAGv/+g8=")</f>
        <v>#VALUE!</v>
      </c>
      <c r="Q147" t="e">
        <f>AND('SPR BARRANQUILLA'!GU175,"AAAAAGv/+hA=")</f>
        <v>#VALUE!</v>
      </c>
      <c r="R147" t="e">
        <f>AND('SPR BARRANQUILLA'!GV175,"AAAAAGv/+hE=")</f>
        <v>#VALUE!</v>
      </c>
      <c r="S147" t="e">
        <f>AND('SPR BARRANQUILLA'!GW175,"AAAAAGv/+hI=")</f>
        <v>#VALUE!</v>
      </c>
      <c r="T147" t="e">
        <f>AND('SPR BARRANQUILLA'!GX175,"AAAAAGv/+hM=")</f>
        <v>#VALUE!</v>
      </c>
      <c r="U147" t="e">
        <f>AND('SPR BARRANQUILLA'!GY175,"AAAAAGv/+hQ=")</f>
        <v>#VALUE!</v>
      </c>
      <c r="V147">
        <f>IF('SPR BARRANQUILLA'!176:176,"AAAAAGv/+hU=",0)</f>
        <v>0</v>
      </c>
      <c r="W147" t="e">
        <f>AND('SPR BARRANQUILLA'!A176,"AAAAAGv/+hY=")</f>
        <v>#VALUE!</v>
      </c>
      <c r="X147" t="e">
        <f>AND('SPR BARRANQUILLA'!B176,"AAAAAGv/+hc=")</f>
        <v>#VALUE!</v>
      </c>
      <c r="Y147" t="e">
        <f>AND('SPR BARRANQUILLA'!C176,"AAAAAGv/+hg=")</f>
        <v>#VALUE!</v>
      </c>
      <c r="Z147" t="e">
        <f>AND('SPR BARRANQUILLA'!D176,"AAAAAGv/+hk=")</f>
        <v>#VALUE!</v>
      </c>
      <c r="AA147" t="e">
        <f>AND('SPR BARRANQUILLA'!E176,"AAAAAGv/+ho=")</f>
        <v>#VALUE!</v>
      </c>
      <c r="AB147" t="e">
        <f>AND('SPR BARRANQUILLA'!F176,"AAAAAGv/+hs=")</f>
        <v>#VALUE!</v>
      </c>
      <c r="AC147" t="e">
        <f>AND('SPR BARRANQUILLA'!G176,"AAAAAGv/+hw=")</f>
        <v>#VALUE!</v>
      </c>
      <c r="AD147" t="e">
        <f>AND('SPR BARRANQUILLA'!H176,"AAAAAGv/+h0=")</f>
        <v>#VALUE!</v>
      </c>
      <c r="AE147" t="e">
        <f>AND('SPR BARRANQUILLA'!I176,"AAAAAGv/+h4=")</f>
        <v>#VALUE!</v>
      </c>
      <c r="AF147" t="e">
        <f>AND('SPR BARRANQUILLA'!J176,"AAAAAGv/+h8=")</f>
        <v>#VALUE!</v>
      </c>
      <c r="AG147" t="e">
        <f>AND('SPR BARRANQUILLA'!K176,"AAAAAGv/+iA=")</f>
        <v>#VALUE!</v>
      </c>
      <c r="AH147" t="e">
        <f>AND('SPR BARRANQUILLA'!L176,"AAAAAGv/+iE=")</f>
        <v>#VALUE!</v>
      </c>
      <c r="AI147" t="e">
        <f>AND('SPR BARRANQUILLA'!M176,"AAAAAGv/+iI=")</f>
        <v>#VALUE!</v>
      </c>
      <c r="AJ147" t="e">
        <f>AND('SPR BARRANQUILLA'!N176,"AAAAAGv/+iM=")</f>
        <v>#VALUE!</v>
      </c>
      <c r="AK147" t="e">
        <f>AND('SPR BARRANQUILLA'!O176,"AAAAAGv/+iQ=")</f>
        <v>#VALUE!</v>
      </c>
      <c r="AL147" t="e">
        <f>AND('SPR BARRANQUILLA'!P176,"AAAAAGv/+iU=")</f>
        <v>#VALUE!</v>
      </c>
      <c r="AM147" t="e">
        <f>AND('SPR BARRANQUILLA'!Q176,"AAAAAGv/+iY=")</f>
        <v>#VALUE!</v>
      </c>
      <c r="AN147" t="e">
        <f>AND('SPR BARRANQUILLA'!R176,"AAAAAGv/+ic=")</f>
        <v>#VALUE!</v>
      </c>
      <c r="AO147" t="e">
        <f>AND('SPR BARRANQUILLA'!S176,"AAAAAGv/+ig=")</f>
        <v>#VALUE!</v>
      </c>
      <c r="AP147" t="e">
        <f>AND('SPR BARRANQUILLA'!T176,"AAAAAGv/+ik=")</f>
        <v>#VALUE!</v>
      </c>
      <c r="AQ147" t="e">
        <f>AND('SPR BARRANQUILLA'!U176,"AAAAAGv/+io=")</f>
        <v>#VALUE!</v>
      </c>
      <c r="AR147" t="e">
        <f>AND('SPR BARRANQUILLA'!V176,"AAAAAGv/+is=")</f>
        <v>#VALUE!</v>
      </c>
      <c r="AS147" t="e">
        <f>AND('SPR BARRANQUILLA'!W176,"AAAAAGv/+iw=")</f>
        <v>#VALUE!</v>
      </c>
      <c r="AT147" t="e">
        <f>AND('SPR BARRANQUILLA'!X176,"AAAAAGv/+i0=")</f>
        <v>#VALUE!</v>
      </c>
      <c r="AU147" t="e">
        <f>AND('SPR BARRANQUILLA'!Y176,"AAAAAGv/+i4=")</f>
        <v>#VALUE!</v>
      </c>
      <c r="AV147" t="e">
        <f>AND('SPR BARRANQUILLA'!Z176,"AAAAAGv/+i8=")</f>
        <v>#VALUE!</v>
      </c>
      <c r="AW147" t="e">
        <f>AND('SPR BARRANQUILLA'!AA176,"AAAAAGv/+jA=")</f>
        <v>#VALUE!</v>
      </c>
      <c r="AX147" t="e">
        <f>AND('SPR BARRANQUILLA'!AB176,"AAAAAGv/+jE=")</f>
        <v>#VALUE!</v>
      </c>
      <c r="AY147" t="e">
        <f>AND('SPR BARRANQUILLA'!AC176,"AAAAAGv/+jI=")</f>
        <v>#VALUE!</v>
      </c>
      <c r="AZ147" t="e">
        <f>AND('SPR BARRANQUILLA'!AD176,"AAAAAGv/+jM=")</f>
        <v>#VALUE!</v>
      </c>
      <c r="BA147" t="e">
        <f>AND('SPR BARRANQUILLA'!AE176,"AAAAAGv/+jQ=")</f>
        <v>#VALUE!</v>
      </c>
      <c r="BB147" t="e">
        <f>AND('SPR BARRANQUILLA'!AF176,"AAAAAGv/+jU=")</f>
        <v>#VALUE!</v>
      </c>
      <c r="BC147" t="e">
        <f>AND('SPR BARRANQUILLA'!AG176,"AAAAAGv/+jY=")</f>
        <v>#VALUE!</v>
      </c>
      <c r="BD147" t="e">
        <f>AND('SPR BARRANQUILLA'!AH176,"AAAAAGv/+jc=")</f>
        <v>#VALUE!</v>
      </c>
      <c r="BE147" t="e">
        <f>AND('SPR BARRANQUILLA'!AI176,"AAAAAGv/+jg=")</f>
        <v>#VALUE!</v>
      </c>
      <c r="BF147" t="e">
        <f>AND('SPR BARRANQUILLA'!AJ176,"AAAAAGv/+jk=")</f>
        <v>#VALUE!</v>
      </c>
      <c r="BG147" t="e">
        <f>AND('SPR BARRANQUILLA'!AK176,"AAAAAGv/+jo=")</f>
        <v>#VALUE!</v>
      </c>
      <c r="BH147" t="e">
        <f>AND('SPR BARRANQUILLA'!AL176,"AAAAAGv/+js=")</f>
        <v>#VALUE!</v>
      </c>
      <c r="BI147" t="e">
        <f>AND('SPR BARRANQUILLA'!AM176,"AAAAAGv/+jw=")</f>
        <v>#VALUE!</v>
      </c>
      <c r="BJ147" t="e">
        <f>AND('SPR BARRANQUILLA'!AN176,"AAAAAGv/+j0=")</f>
        <v>#VALUE!</v>
      </c>
      <c r="BK147" t="e">
        <f>AND('SPR BARRANQUILLA'!AO176,"AAAAAGv/+j4=")</f>
        <v>#VALUE!</v>
      </c>
      <c r="BL147" t="e">
        <f>AND('SPR BARRANQUILLA'!AP176,"AAAAAGv/+j8=")</f>
        <v>#VALUE!</v>
      </c>
      <c r="BM147" t="e">
        <f>AND('SPR BARRANQUILLA'!AQ176,"AAAAAGv/+kA=")</f>
        <v>#VALUE!</v>
      </c>
      <c r="BN147" t="e">
        <f>AND('SPR BARRANQUILLA'!AR176,"AAAAAGv/+kE=")</f>
        <v>#VALUE!</v>
      </c>
      <c r="BO147" t="e">
        <f>AND('SPR BARRANQUILLA'!AS176,"AAAAAGv/+kI=")</f>
        <v>#VALUE!</v>
      </c>
      <c r="BP147" t="e">
        <f>AND('SPR BARRANQUILLA'!AT176,"AAAAAGv/+kM=")</f>
        <v>#VALUE!</v>
      </c>
      <c r="BQ147" t="e">
        <f>AND('SPR BARRANQUILLA'!AU176,"AAAAAGv/+kQ=")</f>
        <v>#VALUE!</v>
      </c>
      <c r="BR147" t="e">
        <f>AND('SPR BARRANQUILLA'!AV176,"AAAAAGv/+kU=")</f>
        <v>#VALUE!</v>
      </c>
      <c r="BS147" t="e">
        <f>AND('SPR BARRANQUILLA'!AW176,"AAAAAGv/+kY=")</f>
        <v>#VALUE!</v>
      </c>
      <c r="BT147" t="e">
        <f>AND('SPR BARRANQUILLA'!AX176,"AAAAAGv/+kc=")</f>
        <v>#VALUE!</v>
      </c>
      <c r="BU147" t="e">
        <f>AND('SPR BARRANQUILLA'!AY176,"AAAAAGv/+kg=")</f>
        <v>#VALUE!</v>
      </c>
      <c r="BV147" t="e">
        <f>AND('SPR BARRANQUILLA'!AZ176,"AAAAAGv/+kk=")</f>
        <v>#VALUE!</v>
      </c>
      <c r="BW147" t="e">
        <f>AND('SPR BARRANQUILLA'!BA176,"AAAAAGv/+ko=")</f>
        <v>#VALUE!</v>
      </c>
      <c r="BX147" t="e">
        <f>AND('SPR BARRANQUILLA'!BB176,"AAAAAGv/+ks=")</f>
        <v>#VALUE!</v>
      </c>
      <c r="BY147" t="e">
        <f>AND('SPR BARRANQUILLA'!BC176,"AAAAAGv/+kw=")</f>
        <v>#VALUE!</v>
      </c>
      <c r="BZ147" t="e">
        <f>AND('SPR BARRANQUILLA'!BD176,"AAAAAGv/+k0=")</f>
        <v>#VALUE!</v>
      </c>
      <c r="CA147" t="e">
        <f>AND('SPR BARRANQUILLA'!BE176,"AAAAAGv/+k4=")</f>
        <v>#VALUE!</v>
      </c>
      <c r="CB147" t="e">
        <f>AND('SPR BARRANQUILLA'!BF176,"AAAAAGv/+k8=")</f>
        <v>#VALUE!</v>
      </c>
      <c r="CC147" t="e">
        <f>AND('SPR BARRANQUILLA'!BG176,"AAAAAGv/+lA=")</f>
        <v>#VALUE!</v>
      </c>
      <c r="CD147" t="e">
        <f>AND('SPR BARRANQUILLA'!BH176,"AAAAAGv/+lE=")</f>
        <v>#VALUE!</v>
      </c>
      <c r="CE147" t="e">
        <f>AND('SPR BARRANQUILLA'!BI176,"AAAAAGv/+lI=")</f>
        <v>#VALUE!</v>
      </c>
      <c r="CF147" t="e">
        <f>AND('SPR BARRANQUILLA'!BJ176,"AAAAAGv/+lM=")</f>
        <v>#VALUE!</v>
      </c>
      <c r="CG147" t="e">
        <f>AND('SPR BARRANQUILLA'!BK176,"AAAAAGv/+lQ=")</f>
        <v>#VALUE!</v>
      </c>
      <c r="CH147" t="e">
        <f>AND('SPR BARRANQUILLA'!BL176,"AAAAAGv/+lU=")</f>
        <v>#VALUE!</v>
      </c>
      <c r="CI147" t="e">
        <f>AND('SPR BARRANQUILLA'!BM176,"AAAAAGv/+lY=")</f>
        <v>#VALUE!</v>
      </c>
      <c r="CJ147" t="e">
        <f>AND('SPR BARRANQUILLA'!BN176,"AAAAAGv/+lc=")</f>
        <v>#VALUE!</v>
      </c>
      <c r="CK147" t="e">
        <f>AND('SPR BARRANQUILLA'!BO176,"AAAAAGv/+lg=")</f>
        <v>#VALUE!</v>
      </c>
      <c r="CL147" t="e">
        <f>AND('SPR BARRANQUILLA'!BP176,"AAAAAGv/+lk=")</f>
        <v>#VALUE!</v>
      </c>
      <c r="CM147" t="e">
        <f>AND('SPR BARRANQUILLA'!BQ176,"AAAAAGv/+lo=")</f>
        <v>#VALUE!</v>
      </c>
      <c r="CN147" t="e">
        <f>AND('SPR BARRANQUILLA'!BR176,"AAAAAGv/+ls=")</f>
        <v>#VALUE!</v>
      </c>
      <c r="CO147" t="e">
        <f>AND('SPR BARRANQUILLA'!BS176,"AAAAAGv/+lw=")</f>
        <v>#VALUE!</v>
      </c>
      <c r="CP147" t="e">
        <f>AND('SPR BARRANQUILLA'!BT176,"AAAAAGv/+l0=")</f>
        <v>#VALUE!</v>
      </c>
      <c r="CQ147" t="e">
        <f>AND('SPR BARRANQUILLA'!BU176,"AAAAAGv/+l4=")</f>
        <v>#VALUE!</v>
      </c>
      <c r="CR147" t="e">
        <f>AND('SPR BARRANQUILLA'!BV176,"AAAAAGv/+l8=")</f>
        <v>#VALUE!</v>
      </c>
      <c r="CS147" t="e">
        <f>AND('SPR BARRANQUILLA'!BW176,"AAAAAGv/+mA=")</f>
        <v>#VALUE!</v>
      </c>
      <c r="CT147" t="e">
        <f>AND('SPR BARRANQUILLA'!BX176,"AAAAAGv/+mE=")</f>
        <v>#VALUE!</v>
      </c>
      <c r="CU147" t="e">
        <f>AND('SPR BARRANQUILLA'!BY176,"AAAAAGv/+mI=")</f>
        <v>#VALUE!</v>
      </c>
      <c r="CV147" t="e">
        <f>AND('SPR BARRANQUILLA'!BZ176,"AAAAAGv/+mM=")</f>
        <v>#VALUE!</v>
      </c>
      <c r="CW147" t="e">
        <f>AND('SPR BARRANQUILLA'!CA176,"AAAAAGv/+mQ=")</f>
        <v>#VALUE!</v>
      </c>
      <c r="CX147" t="e">
        <f>AND('SPR BARRANQUILLA'!CB176,"AAAAAGv/+mU=")</f>
        <v>#VALUE!</v>
      </c>
      <c r="CY147" t="e">
        <f>AND('SPR BARRANQUILLA'!CC176,"AAAAAGv/+mY=")</f>
        <v>#VALUE!</v>
      </c>
      <c r="CZ147" t="e">
        <f>AND('SPR BARRANQUILLA'!CD176,"AAAAAGv/+mc=")</f>
        <v>#VALUE!</v>
      </c>
      <c r="DA147" t="e">
        <f>AND('SPR BARRANQUILLA'!CE176,"AAAAAGv/+mg=")</f>
        <v>#VALUE!</v>
      </c>
      <c r="DB147" t="e">
        <f>AND('SPR BARRANQUILLA'!CF176,"AAAAAGv/+mk=")</f>
        <v>#VALUE!</v>
      </c>
      <c r="DC147" t="e">
        <f>AND('SPR BARRANQUILLA'!CG176,"AAAAAGv/+mo=")</f>
        <v>#VALUE!</v>
      </c>
      <c r="DD147" t="e">
        <f>AND('SPR BARRANQUILLA'!CH176,"AAAAAGv/+ms=")</f>
        <v>#VALUE!</v>
      </c>
      <c r="DE147" t="e">
        <f>AND('SPR BARRANQUILLA'!CI176,"AAAAAGv/+mw=")</f>
        <v>#VALUE!</v>
      </c>
      <c r="DF147" t="e">
        <f>AND('SPR BARRANQUILLA'!CJ176,"AAAAAGv/+m0=")</f>
        <v>#VALUE!</v>
      </c>
      <c r="DG147" t="e">
        <f>AND('SPR BARRANQUILLA'!CK176,"AAAAAGv/+m4=")</f>
        <v>#VALUE!</v>
      </c>
      <c r="DH147" t="e">
        <f>AND('SPR BARRANQUILLA'!CL176,"AAAAAGv/+m8=")</f>
        <v>#VALUE!</v>
      </c>
      <c r="DI147" t="e">
        <f>AND('SPR BARRANQUILLA'!CM176,"AAAAAGv/+nA=")</f>
        <v>#VALUE!</v>
      </c>
      <c r="DJ147" t="e">
        <f>AND('SPR BARRANQUILLA'!CN176,"AAAAAGv/+nE=")</f>
        <v>#VALUE!</v>
      </c>
      <c r="DK147" t="e">
        <f>AND('SPR BARRANQUILLA'!CO176,"AAAAAGv/+nI=")</f>
        <v>#VALUE!</v>
      </c>
      <c r="DL147" t="e">
        <f>AND('SPR BARRANQUILLA'!CP176,"AAAAAGv/+nM=")</f>
        <v>#VALUE!</v>
      </c>
      <c r="DM147" t="e">
        <f>AND('SPR BARRANQUILLA'!CQ176,"AAAAAGv/+nQ=")</f>
        <v>#VALUE!</v>
      </c>
      <c r="DN147" t="e">
        <f>AND('SPR BARRANQUILLA'!CR176,"AAAAAGv/+nU=")</f>
        <v>#VALUE!</v>
      </c>
      <c r="DO147" t="e">
        <f>AND('SPR BARRANQUILLA'!CS176,"AAAAAGv/+nY=")</f>
        <v>#VALUE!</v>
      </c>
      <c r="DP147" t="e">
        <f>AND('SPR BARRANQUILLA'!CT176,"AAAAAGv/+nc=")</f>
        <v>#VALUE!</v>
      </c>
      <c r="DQ147" t="e">
        <f>AND('SPR BARRANQUILLA'!CU176,"AAAAAGv/+ng=")</f>
        <v>#VALUE!</v>
      </c>
      <c r="DR147" t="e">
        <f>AND('SPR BARRANQUILLA'!CV176,"AAAAAGv/+nk=")</f>
        <v>#VALUE!</v>
      </c>
      <c r="DS147" t="e">
        <f>AND('SPR BARRANQUILLA'!CW176,"AAAAAGv/+no=")</f>
        <v>#VALUE!</v>
      </c>
      <c r="DT147" t="e">
        <f>AND('SPR BARRANQUILLA'!CX176,"AAAAAGv/+ns=")</f>
        <v>#VALUE!</v>
      </c>
      <c r="DU147" t="e">
        <f>AND('SPR BARRANQUILLA'!CY176,"AAAAAGv/+nw=")</f>
        <v>#VALUE!</v>
      </c>
      <c r="DV147" t="e">
        <f>AND('SPR BARRANQUILLA'!CZ176,"AAAAAGv/+n0=")</f>
        <v>#VALUE!</v>
      </c>
      <c r="DW147" t="e">
        <f>AND('SPR BARRANQUILLA'!DA176,"AAAAAGv/+n4=")</f>
        <v>#VALUE!</v>
      </c>
      <c r="DX147" t="e">
        <f>AND('SPR BARRANQUILLA'!DB176,"AAAAAGv/+n8=")</f>
        <v>#VALUE!</v>
      </c>
      <c r="DY147" t="e">
        <f>AND('SPR BARRANQUILLA'!DC176,"AAAAAGv/+oA=")</f>
        <v>#VALUE!</v>
      </c>
      <c r="DZ147" t="e">
        <f>AND('SPR BARRANQUILLA'!DD176,"AAAAAGv/+oE=")</f>
        <v>#VALUE!</v>
      </c>
      <c r="EA147" t="e">
        <f>AND('SPR BARRANQUILLA'!DE176,"AAAAAGv/+oI=")</f>
        <v>#VALUE!</v>
      </c>
      <c r="EB147" t="e">
        <f>AND('SPR BARRANQUILLA'!DF176,"AAAAAGv/+oM=")</f>
        <v>#VALUE!</v>
      </c>
      <c r="EC147" t="e">
        <f>AND('SPR BARRANQUILLA'!DG176,"AAAAAGv/+oQ=")</f>
        <v>#VALUE!</v>
      </c>
      <c r="ED147" t="e">
        <f>AND('SPR BARRANQUILLA'!DH176,"AAAAAGv/+oU=")</f>
        <v>#VALUE!</v>
      </c>
      <c r="EE147" t="e">
        <f>AND('SPR BARRANQUILLA'!DI176,"AAAAAGv/+oY=")</f>
        <v>#VALUE!</v>
      </c>
      <c r="EF147" t="e">
        <f>AND('SPR BARRANQUILLA'!DJ176,"AAAAAGv/+oc=")</f>
        <v>#VALUE!</v>
      </c>
      <c r="EG147" t="e">
        <f>AND('SPR BARRANQUILLA'!DK176,"AAAAAGv/+og=")</f>
        <v>#VALUE!</v>
      </c>
      <c r="EH147" t="e">
        <f>AND('SPR BARRANQUILLA'!DL176,"AAAAAGv/+ok=")</f>
        <v>#VALUE!</v>
      </c>
      <c r="EI147" t="e">
        <f>AND('SPR BARRANQUILLA'!DM176,"AAAAAGv/+oo=")</f>
        <v>#VALUE!</v>
      </c>
      <c r="EJ147" t="e">
        <f>AND('SPR BARRANQUILLA'!DN176,"AAAAAGv/+os=")</f>
        <v>#VALUE!</v>
      </c>
      <c r="EK147" t="e">
        <f>AND('SPR BARRANQUILLA'!DO176,"AAAAAGv/+ow=")</f>
        <v>#VALUE!</v>
      </c>
      <c r="EL147" t="e">
        <f>AND('SPR BARRANQUILLA'!DP176,"AAAAAGv/+o0=")</f>
        <v>#VALUE!</v>
      </c>
      <c r="EM147" t="e">
        <f>AND('SPR BARRANQUILLA'!DQ176,"AAAAAGv/+o4=")</f>
        <v>#VALUE!</v>
      </c>
      <c r="EN147" t="e">
        <f>AND('SPR BARRANQUILLA'!DR176,"AAAAAGv/+o8=")</f>
        <v>#VALUE!</v>
      </c>
      <c r="EO147" t="e">
        <f>AND('SPR BARRANQUILLA'!DS176,"AAAAAGv/+pA=")</f>
        <v>#VALUE!</v>
      </c>
      <c r="EP147" t="e">
        <f>AND('SPR BARRANQUILLA'!DT176,"AAAAAGv/+pE=")</f>
        <v>#VALUE!</v>
      </c>
      <c r="EQ147" t="e">
        <f>AND('SPR BARRANQUILLA'!DU176,"AAAAAGv/+pI=")</f>
        <v>#VALUE!</v>
      </c>
      <c r="ER147" t="e">
        <f>AND('SPR BARRANQUILLA'!DV176,"AAAAAGv/+pM=")</f>
        <v>#VALUE!</v>
      </c>
      <c r="ES147" t="e">
        <f>AND('SPR BARRANQUILLA'!DW176,"AAAAAGv/+pQ=")</f>
        <v>#VALUE!</v>
      </c>
      <c r="ET147" t="e">
        <f>AND('SPR BARRANQUILLA'!DX176,"AAAAAGv/+pU=")</f>
        <v>#VALUE!</v>
      </c>
      <c r="EU147" t="e">
        <f>AND('SPR BARRANQUILLA'!DY176,"AAAAAGv/+pY=")</f>
        <v>#VALUE!</v>
      </c>
      <c r="EV147" t="e">
        <f>AND('SPR BARRANQUILLA'!DZ176,"AAAAAGv/+pc=")</f>
        <v>#VALUE!</v>
      </c>
      <c r="EW147" t="e">
        <f>AND('SPR BARRANQUILLA'!EA176,"AAAAAGv/+pg=")</f>
        <v>#VALUE!</v>
      </c>
      <c r="EX147" t="e">
        <f>AND('SPR BARRANQUILLA'!EB176,"AAAAAGv/+pk=")</f>
        <v>#VALUE!</v>
      </c>
      <c r="EY147" t="e">
        <f>AND('SPR BARRANQUILLA'!EC176,"AAAAAGv/+po=")</f>
        <v>#VALUE!</v>
      </c>
      <c r="EZ147" t="e">
        <f>AND('SPR BARRANQUILLA'!ED176,"AAAAAGv/+ps=")</f>
        <v>#VALUE!</v>
      </c>
      <c r="FA147" t="e">
        <f>AND('SPR BARRANQUILLA'!EE176,"AAAAAGv/+pw=")</f>
        <v>#VALUE!</v>
      </c>
      <c r="FB147" t="e">
        <f>AND('SPR BARRANQUILLA'!EF176,"AAAAAGv/+p0=")</f>
        <v>#VALUE!</v>
      </c>
      <c r="FC147" t="e">
        <f>AND('SPR BARRANQUILLA'!EG176,"AAAAAGv/+p4=")</f>
        <v>#VALUE!</v>
      </c>
      <c r="FD147" t="e">
        <f>AND('SPR BARRANQUILLA'!EH176,"AAAAAGv/+p8=")</f>
        <v>#VALUE!</v>
      </c>
      <c r="FE147" t="e">
        <f>AND('SPR BARRANQUILLA'!EI176,"AAAAAGv/+qA=")</f>
        <v>#VALUE!</v>
      </c>
      <c r="FF147" t="e">
        <f>AND('SPR BARRANQUILLA'!EJ176,"AAAAAGv/+qE=")</f>
        <v>#VALUE!</v>
      </c>
      <c r="FG147" t="e">
        <f>AND('SPR BARRANQUILLA'!EK176,"AAAAAGv/+qI=")</f>
        <v>#VALUE!</v>
      </c>
      <c r="FH147" t="e">
        <f>AND('SPR BARRANQUILLA'!EL176,"AAAAAGv/+qM=")</f>
        <v>#VALUE!</v>
      </c>
      <c r="FI147" t="e">
        <f>AND('SPR BARRANQUILLA'!EM176,"AAAAAGv/+qQ=")</f>
        <v>#VALUE!</v>
      </c>
      <c r="FJ147" t="e">
        <f>AND('SPR BARRANQUILLA'!EN176,"AAAAAGv/+qU=")</f>
        <v>#VALUE!</v>
      </c>
      <c r="FK147" t="e">
        <f>AND('SPR BARRANQUILLA'!EO176,"AAAAAGv/+qY=")</f>
        <v>#VALUE!</v>
      </c>
      <c r="FL147" t="e">
        <f>AND('SPR BARRANQUILLA'!EP176,"AAAAAGv/+qc=")</f>
        <v>#VALUE!</v>
      </c>
      <c r="FM147" t="e">
        <f>AND('SPR BARRANQUILLA'!EQ176,"AAAAAGv/+qg=")</f>
        <v>#VALUE!</v>
      </c>
      <c r="FN147" t="e">
        <f>AND('SPR BARRANQUILLA'!ER176,"AAAAAGv/+qk=")</f>
        <v>#VALUE!</v>
      </c>
      <c r="FO147" t="e">
        <f>AND('SPR BARRANQUILLA'!ES176,"AAAAAGv/+qo=")</f>
        <v>#VALUE!</v>
      </c>
      <c r="FP147" t="e">
        <f>AND('SPR BARRANQUILLA'!ET176,"AAAAAGv/+qs=")</f>
        <v>#VALUE!</v>
      </c>
      <c r="FQ147" t="e">
        <f>AND('SPR BARRANQUILLA'!EU176,"AAAAAGv/+qw=")</f>
        <v>#VALUE!</v>
      </c>
      <c r="FR147" t="e">
        <f>AND('SPR BARRANQUILLA'!EV176,"AAAAAGv/+q0=")</f>
        <v>#VALUE!</v>
      </c>
      <c r="FS147" t="e">
        <f>AND('SPR BARRANQUILLA'!EW176,"AAAAAGv/+q4=")</f>
        <v>#VALUE!</v>
      </c>
      <c r="FT147" t="e">
        <f>AND('SPR BARRANQUILLA'!EX176,"AAAAAGv/+q8=")</f>
        <v>#VALUE!</v>
      </c>
      <c r="FU147" t="e">
        <f>AND('SPR BARRANQUILLA'!EY176,"AAAAAGv/+rA=")</f>
        <v>#VALUE!</v>
      </c>
      <c r="FV147" t="e">
        <f>AND('SPR BARRANQUILLA'!EZ176,"AAAAAGv/+rE=")</f>
        <v>#VALUE!</v>
      </c>
      <c r="FW147" t="e">
        <f>AND('SPR BARRANQUILLA'!FA176,"AAAAAGv/+rI=")</f>
        <v>#VALUE!</v>
      </c>
      <c r="FX147" t="e">
        <f>AND('SPR BARRANQUILLA'!FB176,"AAAAAGv/+rM=")</f>
        <v>#VALUE!</v>
      </c>
      <c r="FY147" t="e">
        <f>AND('SPR BARRANQUILLA'!FC176,"AAAAAGv/+rQ=")</f>
        <v>#VALUE!</v>
      </c>
      <c r="FZ147" t="e">
        <f>AND('SPR BARRANQUILLA'!FD176,"AAAAAGv/+rU=")</f>
        <v>#VALUE!</v>
      </c>
      <c r="GA147" t="e">
        <f>AND('SPR BARRANQUILLA'!FE176,"AAAAAGv/+rY=")</f>
        <v>#VALUE!</v>
      </c>
      <c r="GB147" t="e">
        <f>AND('SPR BARRANQUILLA'!FF176,"AAAAAGv/+rc=")</f>
        <v>#VALUE!</v>
      </c>
      <c r="GC147" t="e">
        <f>AND('SPR BARRANQUILLA'!FG176,"AAAAAGv/+rg=")</f>
        <v>#VALUE!</v>
      </c>
      <c r="GD147" t="e">
        <f>AND('SPR BARRANQUILLA'!FH176,"AAAAAGv/+rk=")</f>
        <v>#VALUE!</v>
      </c>
      <c r="GE147" t="e">
        <f>AND('SPR BARRANQUILLA'!FI176,"AAAAAGv/+ro=")</f>
        <v>#VALUE!</v>
      </c>
      <c r="GF147" t="e">
        <f>AND('SPR BARRANQUILLA'!FJ176,"AAAAAGv/+rs=")</f>
        <v>#VALUE!</v>
      </c>
      <c r="GG147" t="e">
        <f>AND('SPR BARRANQUILLA'!FK176,"AAAAAGv/+rw=")</f>
        <v>#VALUE!</v>
      </c>
      <c r="GH147" t="e">
        <f>AND('SPR BARRANQUILLA'!FL176,"AAAAAGv/+r0=")</f>
        <v>#VALUE!</v>
      </c>
      <c r="GI147" t="e">
        <f>AND('SPR BARRANQUILLA'!FM176,"AAAAAGv/+r4=")</f>
        <v>#VALUE!</v>
      </c>
      <c r="GJ147" t="e">
        <f>AND('SPR BARRANQUILLA'!FN176,"AAAAAGv/+r8=")</f>
        <v>#VALUE!</v>
      </c>
      <c r="GK147" t="e">
        <f>AND('SPR BARRANQUILLA'!FO176,"AAAAAGv/+sA=")</f>
        <v>#VALUE!</v>
      </c>
      <c r="GL147" t="e">
        <f>AND('SPR BARRANQUILLA'!FP176,"AAAAAGv/+sE=")</f>
        <v>#VALUE!</v>
      </c>
      <c r="GM147" t="e">
        <f>AND('SPR BARRANQUILLA'!FQ176,"AAAAAGv/+sI=")</f>
        <v>#VALUE!</v>
      </c>
      <c r="GN147" t="e">
        <f>AND('SPR BARRANQUILLA'!FR176,"AAAAAGv/+sM=")</f>
        <v>#VALUE!</v>
      </c>
      <c r="GO147" t="e">
        <f>AND('SPR BARRANQUILLA'!FS176,"AAAAAGv/+sQ=")</f>
        <v>#VALUE!</v>
      </c>
      <c r="GP147" t="e">
        <f>AND('SPR BARRANQUILLA'!FT176,"AAAAAGv/+sU=")</f>
        <v>#VALUE!</v>
      </c>
      <c r="GQ147" t="e">
        <f>AND('SPR BARRANQUILLA'!FU176,"AAAAAGv/+sY=")</f>
        <v>#VALUE!</v>
      </c>
      <c r="GR147" t="e">
        <f>AND('SPR BARRANQUILLA'!FV176,"AAAAAGv/+sc=")</f>
        <v>#VALUE!</v>
      </c>
      <c r="GS147" t="e">
        <f>AND('SPR BARRANQUILLA'!FW176,"AAAAAGv/+sg=")</f>
        <v>#VALUE!</v>
      </c>
      <c r="GT147" t="e">
        <f>AND('SPR BARRANQUILLA'!FX176,"AAAAAGv/+sk=")</f>
        <v>#VALUE!</v>
      </c>
      <c r="GU147" t="e">
        <f>AND('SPR BARRANQUILLA'!FY176,"AAAAAGv/+so=")</f>
        <v>#VALUE!</v>
      </c>
      <c r="GV147" t="e">
        <f>AND('SPR BARRANQUILLA'!FZ176,"AAAAAGv/+ss=")</f>
        <v>#VALUE!</v>
      </c>
      <c r="GW147" t="e">
        <f>AND('SPR BARRANQUILLA'!GA176,"AAAAAGv/+sw=")</f>
        <v>#VALUE!</v>
      </c>
      <c r="GX147" t="e">
        <f>AND('SPR BARRANQUILLA'!GB176,"AAAAAGv/+s0=")</f>
        <v>#VALUE!</v>
      </c>
      <c r="GY147" t="e">
        <f>AND('SPR BARRANQUILLA'!GC176,"AAAAAGv/+s4=")</f>
        <v>#VALUE!</v>
      </c>
      <c r="GZ147" t="e">
        <f>AND('SPR BARRANQUILLA'!GD176,"AAAAAGv/+s8=")</f>
        <v>#VALUE!</v>
      </c>
      <c r="HA147" t="e">
        <f>AND('SPR BARRANQUILLA'!GE176,"AAAAAGv/+tA=")</f>
        <v>#VALUE!</v>
      </c>
      <c r="HB147" t="e">
        <f>AND('SPR BARRANQUILLA'!GF176,"AAAAAGv/+tE=")</f>
        <v>#VALUE!</v>
      </c>
      <c r="HC147" t="e">
        <f>AND('SPR BARRANQUILLA'!GG176,"AAAAAGv/+tI=")</f>
        <v>#VALUE!</v>
      </c>
      <c r="HD147" t="e">
        <f>AND('SPR BARRANQUILLA'!GH176,"AAAAAGv/+tM=")</f>
        <v>#VALUE!</v>
      </c>
      <c r="HE147" t="e">
        <f>AND('SPR BARRANQUILLA'!GI176,"AAAAAGv/+tQ=")</f>
        <v>#VALUE!</v>
      </c>
      <c r="HF147" t="e">
        <f>AND('SPR BARRANQUILLA'!GJ176,"AAAAAGv/+tU=")</f>
        <v>#VALUE!</v>
      </c>
      <c r="HG147" t="e">
        <f>AND('SPR BARRANQUILLA'!GK176,"AAAAAGv/+tY=")</f>
        <v>#VALUE!</v>
      </c>
      <c r="HH147" t="e">
        <f>AND('SPR BARRANQUILLA'!GL176,"AAAAAGv/+tc=")</f>
        <v>#VALUE!</v>
      </c>
      <c r="HI147" t="e">
        <f>AND('SPR BARRANQUILLA'!GM176,"AAAAAGv/+tg=")</f>
        <v>#VALUE!</v>
      </c>
      <c r="HJ147" t="e">
        <f>AND('SPR BARRANQUILLA'!GN176,"AAAAAGv/+tk=")</f>
        <v>#VALUE!</v>
      </c>
      <c r="HK147" t="e">
        <f>AND('SPR BARRANQUILLA'!GO176,"AAAAAGv/+to=")</f>
        <v>#VALUE!</v>
      </c>
      <c r="HL147" t="e">
        <f>AND('SPR BARRANQUILLA'!GP176,"AAAAAGv/+ts=")</f>
        <v>#VALUE!</v>
      </c>
      <c r="HM147" t="e">
        <f>AND('SPR BARRANQUILLA'!GQ176,"AAAAAGv/+tw=")</f>
        <v>#VALUE!</v>
      </c>
      <c r="HN147" t="e">
        <f>AND('SPR BARRANQUILLA'!GR176,"AAAAAGv/+t0=")</f>
        <v>#VALUE!</v>
      </c>
      <c r="HO147" t="e">
        <f>AND('SPR BARRANQUILLA'!GS176,"AAAAAGv/+t4=")</f>
        <v>#VALUE!</v>
      </c>
      <c r="HP147" t="e">
        <f>AND('SPR BARRANQUILLA'!GT176,"AAAAAGv/+t8=")</f>
        <v>#VALUE!</v>
      </c>
      <c r="HQ147" t="e">
        <f>AND('SPR BARRANQUILLA'!GU176,"AAAAAGv/+uA=")</f>
        <v>#VALUE!</v>
      </c>
      <c r="HR147" t="e">
        <f>AND('SPR BARRANQUILLA'!GV176,"AAAAAGv/+uE=")</f>
        <v>#VALUE!</v>
      </c>
      <c r="HS147" t="e">
        <f>AND('SPR BARRANQUILLA'!GW176,"AAAAAGv/+uI=")</f>
        <v>#VALUE!</v>
      </c>
      <c r="HT147" t="e">
        <f>AND('SPR BARRANQUILLA'!GX176,"AAAAAGv/+uM=")</f>
        <v>#VALUE!</v>
      </c>
      <c r="HU147" t="e">
        <f>AND('SPR BARRANQUILLA'!GY176,"AAAAAGv/+uQ=")</f>
        <v>#VALUE!</v>
      </c>
      <c r="HV147">
        <f>IF('SPR BARRANQUILLA'!177:177,"AAAAAGv/+uU=",0)</f>
        <v>0</v>
      </c>
      <c r="HW147" t="e">
        <f>AND('SPR BARRANQUILLA'!A177,"AAAAAGv/+uY=")</f>
        <v>#VALUE!</v>
      </c>
      <c r="HX147" t="e">
        <f>AND('SPR BARRANQUILLA'!B177,"AAAAAGv/+uc=")</f>
        <v>#VALUE!</v>
      </c>
      <c r="HY147" t="e">
        <f>AND('SPR BARRANQUILLA'!C177,"AAAAAGv/+ug=")</f>
        <v>#VALUE!</v>
      </c>
      <c r="HZ147" t="e">
        <f>AND('SPR BARRANQUILLA'!D177,"AAAAAGv/+uk=")</f>
        <v>#VALUE!</v>
      </c>
      <c r="IA147" t="e">
        <f>AND('SPR BARRANQUILLA'!E177,"AAAAAGv/+uo=")</f>
        <v>#VALUE!</v>
      </c>
      <c r="IB147" t="e">
        <f>AND('SPR BARRANQUILLA'!F177,"AAAAAGv/+us=")</f>
        <v>#VALUE!</v>
      </c>
      <c r="IC147" t="e">
        <f>AND('SPR BARRANQUILLA'!G177,"AAAAAGv/+uw=")</f>
        <v>#VALUE!</v>
      </c>
      <c r="ID147" t="e">
        <f>AND('SPR BARRANQUILLA'!H177,"AAAAAGv/+u0=")</f>
        <v>#VALUE!</v>
      </c>
      <c r="IE147" t="e">
        <f>AND('SPR BARRANQUILLA'!I177,"AAAAAGv/+u4=")</f>
        <v>#VALUE!</v>
      </c>
      <c r="IF147" t="e">
        <f>AND('SPR BARRANQUILLA'!J177,"AAAAAGv/+u8=")</f>
        <v>#VALUE!</v>
      </c>
      <c r="IG147" t="e">
        <f>AND('SPR BARRANQUILLA'!K177,"AAAAAGv/+vA=")</f>
        <v>#VALUE!</v>
      </c>
      <c r="IH147" t="e">
        <f>AND('SPR BARRANQUILLA'!L177,"AAAAAGv/+vE=")</f>
        <v>#VALUE!</v>
      </c>
      <c r="II147" t="e">
        <f>AND('SPR BARRANQUILLA'!M177,"AAAAAGv/+vI=")</f>
        <v>#VALUE!</v>
      </c>
      <c r="IJ147" t="e">
        <f>AND('SPR BARRANQUILLA'!N177,"AAAAAGv/+vM=")</f>
        <v>#VALUE!</v>
      </c>
      <c r="IK147" t="e">
        <f>AND('SPR BARRANQUILLA'!O177,"AAAAAGv/+vQ=")</f>
        <v>#VALUE!</v>
      </c>
      <c r="IL147" t="e">
        <f>AND('SPR BARRANQUILLA'!P177,"AAAAAGv/+vU=")</f>
        <v>#VALUE!</v>
      </c>
      <c r="IM147" t="e">
        <f>AND('SPR BARRANQUILLA'!Q177,"AAAAAGv/+vY=")</f>
        <v>#VALUE!</v>
      </c>
      <c r="IN147" t="e">
        <f>AND('SPR BARRANQUILLA'!R177,"AAAAAGv/+vc=")</f>
        <v>#VALUE!</v>
      </c>
      <c r="IO147" t="e">
        <f>AND('SPR BARRANQUILLA'!S177,"AAAAAGv/+vg=")</f>
        <v>#VALUE!</v>
      </c>
      <c r="IP147" t="e">
        <f>AND('SPR BARRANQUILLA'!T177,"AAAAAGv/+vk=")</f>
        <v>#VALUE!</v>
      </c>
      <c r="IQ147" t="e">
        <f>AND('SPR BARRANQUILLA'!U177,"AAAAAGv/+vo=")</f>
        <v>#VALUE!</v>
      </c>
      <c r="IR147" t="e">
        <f>AND('SPR BARRANQUILLA'!V177,"AAAAAGv/+vs=")</f>
        <v>#VALUE!</v>
      </c>
      <c r="IS147" t="e">
        <f>AND('SPR BARRANQUILLA'!W177,"AAAAAGv/+vw=")</f>
        <v>#VALUE!</v>
      </c>
      <c r="IT147" t="e">
        <f>AND('SPR BARRANQUILLA'!X177,"AAAAAGv/+v0=")</f>
        <v>#VALUE!</v>
      </c>
      <c r="IU147" t="e">
        <f>AND('SPR BARRANQUILLA'!Y177,"AAAAAGv/+v4=")</f>
        <v>#VALUE!</v>
      </c>
      <c r="IV147" t="e">
        <f>AND('SPR BARRANQUILLA'!Z177,"AAAAAGv/+v8=")</f>
        <v>#VALUE!</v>
      </c>
    </row>
    <row r="148" spans="1:256">
      <c r="A148" t="e">
        <f>AND('SPR BARRANQUILLA'!AA177,"AAAAAD7JuwA=")</f>
        <v>#VALUE!</v>
      </c>
      <c r="B148" t="e">
        <f>AND('SPR BARRANQUILLA'!AB177,"AAAAAD7JuwE=")</f>
        <v>#VALUE!</v>
      </c>
      <c r="C148" t="e">
        <f>AND('SPR BARRANQUILLA'!AC177,"AAAAAD7JuwI=")</f>
        <v>#VALUE!</v>
      </c>
      <c r="D148" t="e">
        <f>AND('SPR BARRANQUILLA'!AD177,"AAAAAD7JuwM=")</f>
        <v>#VALUE!</v>
      </c>
      <c r="E148" t="e">
        <f>AND('SPR BARRANQUILLA'!AE177,"AAAAAD7JuwQ=")</f>
        <v>#VALUE!</v>
      </c>
      <c r="F148" t="e">
        <f>AND('SPR BARRANQUILLA'!AF177,"AAAAAD7JuwU=")</f>
        <v>#VALUE!</v>
      </c>
      <c r="G148" t="e">
        <f>AND('SPR BARRANQUILLA'!AG177,"AAAAAD7JuwY=")</f>
        <v>#VALUE!</v>
      </c>
      <c r="H148" t="e">
        <f>AND('SPR BARRANQUILLA'!AH177,"AAAAAD7Juwc=")</f>
        <v>#VALUE!</v>
      </c>
      <c r="I148" t="e">
        <f>AND('SPR BARRANQUILLA'!AI177,"AAAAAD7Juwg=")</f>
        <v>#VALUE!</v>
      </c>
      <c r="J148" t="e">
        <f>AND('SPR BARRANQUILLA'!AJ177,"AAAAAD7Juwk=")</f>
        <v>#VALUE!</v>
      </c>
      <c r="K148" t="e">
        <f>AND('SPR BARRANQUILLA'!AK177,"AAAAAD7Juwo=")</f>
        <v>#VALUE!</v>
      </c>
      <c r="L148" t="e">
        <f>AND('SPR BARRANQUILLA'!AL177,"AAAAAD7Juws=")</f>
        <v>#VALUE!</v>
      </c>
      <c r="M148" t="e">
        <f>AND('SPR BARRANQUILLA'!AM177,"AAAAAD7Juww=")</f>
        <v>#VALUE!</v>
      </c>
      <c r="N148" t="e">
        <f>AND('SPR BARRANQUILLA'!AN177,"AAAAAD7Juw0=")</f>
        <v>#VALUE!</v>
      </c>
      <c r="O148" t="e">
        <f>AND('SPR BARRANQUILLA'!AO177,"AAAAAD7Juw4=")</f>
        <v>#VALUE!</v>
      </c>
      <c r="P148" t="e">
        <f>AND('SPR BARRANQUILLA'!AP177,"AAAAAD7Juw8=")</f>
        <v>#VALUE!</v>
      </c>
      <c r="Q148" t="e">
        <f>AND('SPR BARRANQUILLA'!AQ177,"AAAAAD7JuxA=")</f>
        <v>#VALUE!</v>
      </c>
      <c r="R148" t="e">
        <f>AND('SPR BARRANQUILLA'!AR177,"AAAAAD7JuxE=")</f>
        <v>#VALUE!</v>
      </c>
      <c r="S148" t="e">
        <f>AND('SPR BARRANQUILLA'!AS177,"AAAAAD7JuxI=")</f>
        <v>#VALUE!</v>
      </c>
      <c r="T148" t="e">
        <f>AND('SPR BARRANQUILLA'!AT177,"AAAAAD7JuxM=")</f>
        <v>#VALUE!</v>
      </c>
      <c r="U148" t="e">
        <f>AND('SPR BARRANQUILLA'!AU177,"AAAAAD7JuxQ=")</f>
        <v>#VALUE!</v>
      </c>
      <c r="V148" t="e">
        <f>AND('SPR BARRANQUILLA'!AV177,"AAAAAD7JuxU=")</f>
        <v>#VALUE!</v>
      </c>
      <c r="W148" t="e">
        <f>AND('SPR BARRANQUILLA'!AW177,"AAAAAD7JuxY=")</f>
        <v>#VALUE!</v>
      </c>
      <c r="X148" t="e">
        <f>AND('SPR BARRANQUILLA'!AX177,"AAAAAD7Juxc=")</f>
        <v>#VALUE!</v>
      </c>
      <c r="Y148" t="e">
        <f>AND('SPR BARRANQUILLA'!AY177,"AAAAAD7Juxg=")</f>
        <v>#VALUE!</v>
      </c>
      <c r="Z148" t="e">
        <f>AND('SPR BARRANQUILLA'!AZ177,"AAAAAD7Juxk=")</f>
        <v>#VALUE!</v>
      </c>
      <c r="AA148" t="e">
        <f>AND('SPR BARRANQUILLA'!BA177,"AAAAAD7Juxo=")</f>
        <v>#VALUE!</v>
      </c>
      <c r="AB148" t="e">
        <f>AND('SPR BARRANQUILLA'!BB177,"AAAAAD7Juxs=")</f>
        <v>#VALUE!</v>
      </c>
      <c r="AC148" t="e">
        <f>AND('SPR BARRANQUILLA'!BC177,"AAAAAD7Juxw=")</f>
        <v>#VALUE!</v>
      </c>
      <c r="AD148" t="e">
        <f>AND('SPR BARRANQUILLA'!BD177,"AAAAAD7Jux0=")</f>
        <v>#VALUE!</v>
      </c>
      <c r="AE148" t="e">
        <f>AND('SPR BARRANQUILLA'!BE177,"AAAAAD7Jux4=")</f>
        <v>#VALUE!</v>
      </c>
      <c r="AF148" t="e">
        <f>AND('SPR BARRANQUILLA'!BF177,"AAAAAD7Jux8=")</f>
        <v>#VALUE!</v>
      </c>
      <c r="AG148" t="e">
        <f>AND('SPR BARRANQUILLA'!BG177,"AAAAAD7JuyA=")</f>
        <v>#VALUE!</v>
      </c>
      <c r="AH148" t="e">
        <f>AND('SPR BARRANQUILLA'!BH177,"AAAAAD7JuyE=")</f>
        <v>#VALUE!</v>
      </c>
      <c r="AI148" t="e">
        <f>AND('SPR BARRANQUILLA'!BI177,"AAAAAD7JuyI=")</f>
        <v>#VALUE!</v>
      </c>
      <c r="AJ148" t="e">
        <f>AND('SPR BARRANQUILLA'!BJ177,"AAAAAD7JuyM=")</f>
        <v>#VALUE!</v>
      </c>
      <c r="AK148" t="e">
        <f>AND('SPR BARRANQUILLA'!BK177,"AAAAAD7JuyQ=")</f>
        <v>#VALUE!</v>
      </c>
      <c r="AL148" t="e">
        <f>AND('SPR BARRANQUILLA'!BL177,"AAAAAD7JuyU=")</f>
        <v>#VALUE!</v>
      </c>
      <c r="AM148" t="e">
        <f>AND('SPR BARRANQUILLA'!BM177,"AAAAAD7JuyY=")</f>
        <v>#VALUE!</v>
      </c>
      <c r="AN148" t="e">
        <f>AND('SPR BARRANQUILLA'!BN177,"AAAAAD7Juyc=")</f>
        <v>#VALUE!</v>
      </c>
      <c r="AO148" t="e">
        <f>AND('SPR BARRANQUILLA'!BO177,"AAAAAD7Juyg=")</f>
        <v>#VALUE!</v>
      </c>
      <c r="AP148" t="e">
        <f>AND('SPR BARRANQUILLA'!BP177,"AAAAAD7Juyk=")</f>
        <v>#VALUE!</v>
      </c>
      <c r="AQ148" t="e">
        <f>AND('SPR BARRANQUILLA'!BQ177,"AAAAAD7Juyo=")</f>
        <v>#VALUE!</v>
      </c>
      <c r="AR148" t="e">
        <f>AND('SPR BARRANQUILLA'!BR177,"AAAAAD7Juys=")</f>
        <v>#VALUE!</v>
      </c>
      <c r="AS148" t="e">
        <f>AND('SPR BARRANQUILLA'!BS177,"AAAAAD7Juyw=")</f>
        <v>#VALUE!</v>
      </c>
      <c r="AT148" t="e">
        <f>AND('SPR BARRANQUILLA'!BT177,"AAAAAD7Juy0=")</f>
        <v>#VALUE!</v>
      </c>
      <c r="AU148" t="e">
        <f>AND('SPR BARRANQUILLA'!BU177,"AAAAAD7Juy4=")</f>
        <v>#VALUE!</v>
      </c>
      <c r="AV148" t="e">
        <f>AND('SPR BARRANQUILLA'!BV177,"AAAAAD7Juy8=")</f>
        <v>#VALUE!</v>
      </c>
      <c r="AW148" t="e">
        <f>AND('SPR BARRANQUILLA'!BW177,"AAAAAD7JuzA=")</f>
        <v>#VALUE!</v>
      </c>
      <c r="AX148" t="e">
        <f>AND('SPR BARRANQUILLA'!BX177,"AAAAAD7JuzE=")</f>
        <v>#VALUE!</v>
      </c>
      <c r="AY148" t="e">
        <f>AND('SPR BARRANQUILLA'!BY177,"AAAAAD7JuzI=")</f>
        <v>#VALUE!</v>
      </c>
      <c r="AZ148" t="e">
        <f>AND('SPR BARRANQUILLA'!BZ177,"AAAAAD7JuzM=")</f>
        <v>#VALUE!</v>
      </c>
      <c r="BA148" t="e">
        <f>AND('SPR BARRANQUILLA'!CA177,"AAAAAD7JuzQ=")</f>
        <v>#VALUE!</v>
      </c>
      <c r="BB148" t="e">
        <f>AND('SPR BARRANQUILLA'!CB177,"AAAAAD7JuzU=")</f>
        <v>#VALUE!</v>
      </c>
      <c r="BC148" t="e">
        <f>AND('SPR BARRANQUILLA'!CC177,"AAAAAD7JuzY=")</f>
        <v>#VALUE!</v>
      </c>
      <c r="BD148" t="e">
        <f>AND('SPR BARRANQUILLA'!CD177,"AAAAAD7Juzc=")</f>
        <v>#VALUE!</v>
      </c>
      <c r="BE148" t="e">
        <f>AND('SPR BARRANQUILLA'!CE177,"AAAAAD7Juzg=")</f>
        <v>#VALUE!</v>
      </c>
      <c r="BF148" t="e">
        <f>AND('SPR BARRANQUILLA'!CF177,"AAAAAD7Juzk=")</f>
        <v>#VALUE!</v>
      </c>
      <c r="BG148" t="e">
        <f>AND('SPR BARRANQUILLA'!CG177,"AAAAAD7Juzo=")</f>
        <v>#VALUE!</v>
      </c>
      <c r="BH148" t="e">
        <f>AND('SPR BARRANQUILLA'!CH177,"AAAAAD7Juzs=")</f>
        <v>#VALUE!</v>
      </c>
      <c r="BI148" t="e">
        <f>AND('SPR BARRANQUILLA'!CI177,"AAAAAD7Juzw=")</f>
        <v>#VALUE!</v>
      </c>
      <c r="BJ148" t="e">
        <f>AND('SPR BARRANQUILLA'!CJ177,"AAAAAD7Juz0=")</f>
        <v>#VALUE!</v>
      </c>
      <c r="BK148" t="e">
        <f>AND('SPR BARRANQUILLA'!CK177,"AAAAAD7Juz4=")</f>
        <v>#VALUE!</v>
      </c>
      <c r="BL148" t="e">
        <f>AND('SPR BARRANQUILLA'!CL177,"AAAAAD7Juz8=")</f>
        <v>#VALUE!</v>
      </c>
      <c r="BM148" t="e">
        <f>AND('SPR BARRANQUILLA'!CM177,"AAAAAD7Ju0A=")</f>
        <v>#VALUE!</v>
      </c>
      <c r="BN148" t="e">
        <f>AND('SPR BARRANQUILLA'!CN177,"AAAAAD7Ju0E=")</f>
        <v>#VALUE!</v>
      </c>
      <c r="BO148" t="e">
        <f>AND('SPR BARRANQUILLA'!CO177,"AAAAAD7Ju0I=")</f>
        <v>#VALUE!</v>
      </c>
      <c r="BP148" t="e">
        <f>AND('SPR BARRANQUILLA'!CP177,"AAAAAD7Ju0M=")</f>
        <v>#VALUE!</v>
      </c>
      <c r="BQ148" t="e">
        <f>AND('SPR BARRANQUILLA'!CQ177,"AAAAAD7Ju0Q=")</f>
        <v>#VALUE!</v>
      </c>
      <c r="BR148" t="e">
        <f>AND('SPR BARRANQUILLA'!CR177,"AAAAAD7Ju0U=")</f>
        <v>#VALUE!</v>
      </c>
      <c r="BS148" t="e">
        <f>AND('SPR BARRANQUILLA'!CS177,"AAAAAD7Ju0Y=")</f>
        <v>#VALUE!</v>
      </c>
      <c r="BT148" t="e">
        <f>AND('SPR BARRANQUILLA'!CT177,"AAAAAD7Ju0c=")</f>
        <v>#VALUE!</v>
      </c>
      <c r="BU148" t="e">
        <f>AND('SPR BARRANQUILLA'!CU177,"AAAAAD7Ju0g=")</f>
        <v>#VALUE!</v>
      </c>
      <c r="BV148" t="e">
        <f>AND('SPR BARRANQUILLA'!CV177,"AAAAAD7Ju0k=")</f>
        <v>#VALUE!</v>
      </c>
      <c r="BW148" t="e">
        <f>AND('SPR BARRANQUILLA'!CW177,"AAAAAD7Ju0o=")</f>
        <v>#VALUE!</v>
      </c>
      <c r="BX148" t="e">
        <f>AND('SPR BARRANQUILLA'!CX177,"AAAAAD7Ju0s=")</f>
        <v>#VALUE!</v>
      </c>
      <c r="BY148" t="e">
        <f>AND('SPR BARRANQUILLA'!CY177,"AAAAAD7Ju0w=")</f>
        <v>#VALUE!</v>
      </c>
      <c r="BZ148" t="e">
        <f>AND('SPR BARRANQUILLA'!CZ177,"AAAAAD7Ju00=")</f>
        <v>#VALUE!</v>
      </c>
      <c r="CA148" t="e">
        <f>AND('SPR BARRANQUILLA'!DA177,"AAAAAD7Ju04=")</f>
        <v>#VALUE!</v>
      </c>
      <c r="CB148" t="e">
        <f>AND('SPR BARRANQUILLA'!DB177,"AAAAAD7Ju08=")</f>
        <v>#VALUE!</v>
      </c>
      <c r="CC148" t="e">
        <f>AND('SPR BARRANQUILLA'!DC177,"AAAAAD7Ju1A=")</f>
        <v>#VALUE!</v>
      </c>
      <c r="CD148" t="e">
        <f>AND('SPR BARRANQUILLA'!DD177,"AAAAAD7Ju1E=")</f>
        <v>#VALUE!</v>
      </c>
      <c r="CE148" t="e">
        <f>AND('SPR BARRANQUILLA'!DE177,"AAAAAD7Ju1I=")</f>
        <v>#VALUE!</v>
      </c>
      <c r="CF148" t="e">
        <f>AND('SPR BARRANQUILLA'!DF177,"AAAAAD7Ju1M=")</f>
        <v>#VALUE!</v>
      </c>
      <c r="CG148" t="e">
        <f>AND('SPR BARRANQUILLA'!DG177,"AAAAAD7Ju1Q=")</f>
        <v>#VALUE!</v>
      </c>
      <c r="CH148" t="e">
        <f>AND('SPR BARRANQUILLA'!DH177,"AAAAAD7Ju1U=")</f>
        <v>#VALUE!</v>
      </c>
      <c r="CI148" t="e">
        <f>AND('SPR BARRANQUILLA'!DI177,"AAAAAD7Ju1Y=")</f>
        <v>#VALUE!</v>
      </c>
      <c r="CJ148" t="e">
        <f>AND('SPR BARRANQUILLA'!DJ177,"AAAAAD7Ju1c=")</f>
        <v>#VALUE!</v>
      </c>
      <c r="CK148" t="e">
        <f>AND('SPR BARRANQUILLA'!DK177,"AAAAAD7Ju1g=")</f>
        <v>#VALUE!</v>
      </c>
      <c r="CL148" t="e">
        <f>AND('SPR BARRANQUILLA'!DL177,"AAAAAD7Ju1k=")</f>
        <v>#VALUE!</v>
      </c>
      <c r="CM148" t="e">
        <f>AND('SPR BARRANQUILLA'!DM177,"AAAAAD7Ju1o=")</f>
        <v>#VALUE!</v>
      </c>
      <c r="CN148" t="e">
        <f>AND('SPR BARRANQUILLA'!DN177,"AAAAAD7Ju1s=")</f>
        <v>#VALUE!</v>
      </c>
      <c r="CO148" t="e">
        <f>AND('SPR BARRANQUILLA'!DO177,"AAAAAD7Ju1w=")</f>
        <v>#VALUE!</v>
      </c>
      <c r="CP148" t="e">
        <f>AND('SPR BARRANQUILLA'!DP177,"AAAAAD7Ju10=")</f>
        <v>#VALUE!</v>
      </c>
      <c r="CQ148" t="e">
        <f>AND('SPR BARRANQUILLA'!DQ177,"AAAAAD7Ju14=")</f>
        <v>#VALUE!</v>
      </c>
      <c r="CR148" t="e">
        <f>AND('SPR BARRANQUILLA'!DR177,"AAAAAD7Ju18=")</f>
        <v>#VALUE!</v>
      </c>
      <c r="CS148" t="e">
        <f>AND('SPR BARRANQUILLA'!DS177,"AAAAAD7Ju2A=")</f>
        <v>#VALUE!</v>
      </c>
      <c r="CT148" t="e">
        <f>AND('SPR BARRANQUILLA'!DT177,"AAAAAD7Ju2E=")</f>
        <v>#VALUE!</v>
      </c>
      <c r="CU148" t="e">
        <f>AND('SPR BARRANQUILLA'!DU177,"AAAAAD7Ju2I=")</f>
        <v>#VALUE!</v>
      </c>
      <c r="CV148" t="e">
        <f>AND('SPR BARRANQUILLA'!DV177,"AAAAAD7Ju2M=")</f>
        <v>#VALUE!</v>
      </c>
      <c r="CW148" t="e">
        <f>AND('SPR BARRANQUILLA'!DW177,"AAAAAD7Ju2Q=")</f>
        <v>#VALUE!</v>
      </c>
      <c r="CX148" t="e">
        <f>AND('SPR BARRANQUILLA'!DX177,"AAAAAD7Ju2U=")</f>
        <v>#VALUE!</v>
      </c>
      <c r="CY148" t="e">
        <f>AND('SPR BARRANQUILLA'!DY177,"AAAAAD7Ju2Y=")</f>
        <v>#VALUE!</v>
      </c>
      <c r="CZ148" t="e">
        <f>AND('SPR BARRANQUILLA'!DZ177,"AAAAAD7Ju2c=")</f>
        <v>#VALUE!</v>
      </c>
      <c r="DA148" t="e">
        <f>AND('SPR BARRANQUILLA'!EA177,"AAAAAD7Ju2g=")</f>
        <v>#VALUE!</v>
      </c>
      <c r="DB148" t="e">
        <f>AND('SPR BARRANQUILLA'!EB177,"AAAAAD7Ju2k=")</f>
        <v>#VALUE!</v>
      </c>
      <c r="DC148" t="e">
        <f>AND('SPR BARRANQUILLA'!EC177,"AAAAAD7Ju2o=")</f>
        <v>#VALUE!</v>
      </c>
      <c r="DD148" t="e">
        <f>AND('SPR BARRANQUILLA'!ED177,"AAAAAD7Ju2s=")</f>
        <v>#VALUE!</v>
      </c>
      <c r="DE148" t="e">
        <f>AND('SPR BARRANQUILLA'!EE177,"AAAAAD7Ju2w=")</f>
        <v>#VALUE!</v>
      </c>
      <c r="DF148" t="e">
        <f>AND('SPR BARRANQUILLA'!EF177,"AAAAAD7Ju20=")</f>
        <v>#VALUE!</v>
      </c>
      <c r="DG148" t="e">
        <f>AND('SPR BARRANQUILLA'!EG177,"AAAAAD7Ju24=")</f>
        <v>#VALUE!</v>
      </c>
      <c r="DH148" t="e">
        <f>AND('SPR BARRANQUILLA'!EH177,"AAAAAD7Ju28=")</f>
        <v>#VALUE!</v>
      </c>
      <c r="DI148" t="e">
        <f>AND('SPR BARRANQUILLA'!EI177,"AAAAAD7Ju3A=")</f>
        <v>#VALUE!</v>
      </c>
      <c r="DJ148" t="e">
        <f>AND('SPR BARRANQUILLA'!EJ177,"AAAAAD7Ju3E=")</f>
        <v>#VALUE!</v>
      </c>
      <c r="DK148" t="e">
        <f>AND('SPR BARRANQUILLA'!EK177,"AAAAAD7Ju3I=")</f>
        <v>#VALUE!</v>
      </c>
      <c r="DL148" t="e">
        <f>AND('SPR BARRANQUILLA'!EL177,"AAAAAD7Ju3M=")</f>
        <v>#VALUE!</v>
      </c>
      <c r="DM148" t="e">
        <f>AND('SPR BARRANQUILLA'!EM177,"AAAAAD7Ju3Q=")</f>
        <v>#VALUE!</v>
      </c>
      <c r="DN148" t="e">
        <f>AND('SPR BARRANQUILLA'!EN177,"AAAAAD7Ju3U=")</f>
        <v>#VALUE!</v>
      </c>
      <c r="DO148" t="e">
        <f>AND('SPR BARRANQUILLA'!EO177,"AAAAAD7Ju3Y=")</f>
        <v>#VALUE!</v>
      </c>
      <c r="DP148" t="e">
        <f>AND('SPR BARRANQUILLA'!EP177,"AAAAAD7Ju3c=")</f>
        <v>#VALUE!</v>
      </c>
      <c r="DQ148" t="e">
        <f>AND('SPR BARRANQUILLA'!EQ177,"AAAAAD7Ju3g=")</f>
        <v>#VALUE!</v>
      </c>
      <c r="DR148" t="e">
        <f>AND('SPR BARRANQUILLA'!ER177,"AAAAAD7Ju3k=")</f>
        <v>#VALUE!</v>
      </c>
      <c r="DS148" t="e">
        <f>AND('SPR BARRANQUILLA'!ES177,"AAAAAD7Ju3o=")</f>
        <v>#VALUE!</v>
      </c>
      <c r="DT148" t="e">
        <f>AND('SPR BARRANQUILLA'!ET177,"AAAAAD7Ju3s=")</f>
        <v>#VALUE!</v>
      </c>
      <c r="DU148" t="e">
        <f>AND('SPR BARRANQUILLA'!EU177,"AAAAAD7Ju3w=")</f>
        <v>#VALUE!</v>
      </c>
      <c r="DV148" t="e">
        <f>AND('SPR BARRANQUILLA'!EV177,"AAAAAD7Ju30=")</f>
        <v>#VALUE!</v>
      </c>
      <c r="DW148" t="e">
        <f>AND('SPR BARRANQUILLA'!EW177,"AAAAAD7Ju34=")</f>
        <v>#VALUE!</v>
      </c>
      <c r="DX148" t="e">
        <f>AND('SPR BARRANQUILLA'!EX177,"AAAAAD7Ju38=")</f>
        <v>#VALUE!</v>
      </c>
      <c r="DY148" t="e">
        <f>AND('SPR BARRANQUILLA'!EY177,"AAAAAD7Ju4A=")</f>
        <v>#VALUE!</v>
      </c>
      <c r="DZ148" t="e">
        <f>AND('SPR BARRANQUILLA'!EZ177,"AAAAAD7Ju4E=")</f>
        <v>#VALUE!</v>
      </c>
      <c r="EA148" t="e">
        <f>AND('SPR BARRANQUILLA'!FA177,"AAAAAD7Ju4I=")</f>
        <v>#VALUE!</v>
      </c>
      <c r="EB148" t="e">
        <f>AND('SPR BARRANQUILLA'!FB177,"AAAAAD7Ju4M=")</f>
        <v>#VALUE!</v>
      </c>
      <c r="EC148" t="e">
        <f>AND('SPR BARRANQUILLA'!FC177,"AAAAAD7Ju4Q=")</f>
        <v>#VALUE!</v>
      </c>
      <c r="ED148" t="e">
        <f>AND('SPR BARRANQUILLA'!FD177,"AAAAAD7Ju4U=")</f>
        <v>#VALUE!</v>
      </c>
      <c r="EE148" t="e">
        <f>AND('SPR BARRANQUILLA'!FE177,"AAAAAD7Ju4Y=")</f>
        <v>#VALUE!</v>
      </c>
      <c r="EF148" t="e">
        <f>AND('SPR BARRANQUILLA'!FF177,"AAAAAD7Ju4c=")</f>
        <v>#VALUE!</v>
      </c>
      <c r="EG148" t="e">
        <f>AND('SPR BARRANQUILLA'!FG177,"AAAAAD7Ju4g=")</f>
        <v>#VALUE!</v>
      </c>
      <c r="EH148" t="e">
        <f>AND('SPR BARRANQUILLA'!FH177,"AAAAAD7Ju4k=")</f>
        <v>#VALUE!</v>
      </c>
      <c r="EI148" t="e">
        <f>AND('SPR BARRANQUILLA'!FI177,"AAAAAD7Ju4o=")</f>
        <v>#VALUE!</v>
      </c>
      <c r="EJ148" t="e">
        <f>AND('SPR BARRANQUILLA'!FJ177,"AAAAAD7Ju4s=")</f>
        <v>#VALUE!</v>
      </c>
      <c r="EK148" t="e">
        <f>AND('SPR BARRANQUILLA'!FK177,"AAAAAD7Ju4w=")</f>
        <v>#VALUE!</v>
      </c>
      <c r="EL148" t="e">
        <f>AND('SPR BARRANQUILLA'!FL177,"AAAAAD7Ju40=")</f>
        <v>#VALUE!</v>
      </c>
      <c r="EM148" t="e">
        <f>AND('SPR BARRANQUILLA'!FM177,"AAAAAD7Ju44=")</f>
        <v>#VALUE!</v>
      </c>
      <c r="EN148" t="e">
        <f>AND('SPR BARRANQUILLA'!FN177,"AAAAAD7Ju48=")</f>
        <v>#VALUE!</v>
      </c>
      <c r="EO148" t="e">
        <f>AND('SPR BARRANQUILLA'!FO177,"AAAAAD7Ju5A=")</f>
        <v>#VALUE!</v>
      </c>
      <c r="EP148" t="e">
        <f>AND('SPR BARRANQUILLA'!FP177,"AAAAAD7Ju5E=")</f>
        <v>#VALUE!</v>
      </c>
      <c r="EQ148" t="e">
        <f>AND('SPR BARRANQUILLA'!FQ177,"AAAAAD7Ju5I=")</f>
        <v>#VALUE!</v>
      </c>
      <c r="ER148" t="e">
        <f>AND('SPR BARRANQUILLA'!FR177,"AAAAAD7Ju5M=")</f>
        <v>#VALUE!</v>
      </c>
      <c r="ES148" t="e">
        <f>AND('SPR BARRANQUILLA'!FS177,"AAAAAD7Ju5Q=")</f>
        <v>#VALUE!</v>
      </c>
      <c r="ET148" t="e">
        <f>AND('SPR BARRANQUILLA'!FT177,"AAAAAD7Ju5U=")</f>
        <v>#VALUE!</v>
      </c>
      <c r="EU148" t="e">
        <f>AND('SPR BARRANQUILLA'!FU177,"AAAAAD7Ju5Y=")</f>
        <v>#VALUE!</v>
      </c>
      <c r="EV148" t="e">
        <f>AND('SPR BARRANQUILLA'!FV177,"AAAAAD7Ju5c=")</f>
        <v>#VALUE!</v>
      </c>
      <c r="EW148" t="e">
        <f>AND('SPR BARRANQUILLA'!FW177,"AAAAAD7Ju5g=")</f>
        <v>#VALUE!</v>
      </c>
      <c r="EX148" t="e">
        <f>AND('SPR BARRANQUILLA'!FX177,"AAAAAD7Ju5k=")</f>
        <v>#VALUE!</v>
      </c>
      <c r="EY148" t="e">
        <f>AND('SPR BARRANQUILLA'!FY177,"AAAAAD7Ju5o=")</f>
        <v>#VALUE!</v>
      </c>
      <c r="EZ148" t="e">
        <f>AND('SPR BARRANQUILLA'!FZ177,"AAAAAD7Ju5s=")</f>
        <v>#VALUE!</v>
      </c>
      <c r="FA148" t="e">
        <f>AND('SPR BARRANQUILLA'!GA177,"AAAAAD7Ju5w=")</f>
        <v>#VALUE!</v>
      </c>
      <c r="FB148" t="e">
        <f>AND('SPR BARRANQUILLA'!GB177,"AAAAAD7Ju50=")</f>
        <v>#VALUE!</v>
      </c>
      <c r="FC148" t="e">
        <f>AND('SPR BARRANQUILLA'!GC177,"AAAAAD7Ju54=")</f>
        <v>#VALUE!</v>
      </c>
      <c r="FD148" t="e">
        <f>AND('SPR BARRANQUILLA'!GD177,"AAAAAD7Ju58=")</f>
        <v>#VALUE!</v>
      </c>
      <c r="FE148" t="e">
        <f>AND('SPR BARRANQUILLA'!GE177,"AAAAAD7Ju6A=")</f>
        <v>#VALUE!</v>
      </c>
      <c r="FF148" t="e">
        <f>AND('SPR BARRANQUILLA'!GF177,"AAAAAD7Ju6E=")</f>
        <v>#VALUE!</v>
      </c>
      <c r="FG148" t="e">
        <f>AND('SPR BARRANQUILLA'!GG177,"AAAAAD7Ju6I=")</f>
        <v>#VALUE!</v>
      </c>
      <c r="FH148" t="e">
        <f>AND('SPR BARRANQUILLA'!GH177,"AAAAAD7Ju6M=")</f>
        <v>#VALUE!</v>
      </c>
      <c r="FI148" t="e">
        <f>AND('SPR BARRANQUILLA'!GI177,"AAAAAD7Ju6Q=")</f>
        <v>#VALUE!</v>
      </c>
      <c r="FJ148" t="e">
        <f>AND('SPR BARRANQUILLA'!GJ177,"AAAAAD7Ju6U=")</f>
        <v>#VALUE!</v>
      </c>
      <c r="FK148" t="e">
        <f>AND('SPR BARRANQUILLA'!GK177,"AAAAAD7Ju6Y=")</f>
        <v>#VALUE!</v>
      </c>
      <c r="FL148" t="e">
        <f>AND('SPR BARRANQUILLA'!GL177,"AAAAAD7Ju6c=")</f>
        <v>#VALUE!</v>
      </c>
      <c r="FM148" t="e">
        <f>AND('SPR BARRANQUILLA'!GM177,"AAAAAD7Ju6g=")</f>
        <v>#VALUE!</v>
      </c>
      <c r="FN148" t="e">
        <f>AND('SPR BARRANQUILLA'!GN177,"AAAAAD7Ju6k=")</f>
        <v>#VALUE!</v>
      </c>
      <c r="FO148" t="e">
        <f>AND('SPR BARRANQUILLA'!GO177,"AAAAAD7Ju6o=")</f>
        <v>#VALUE!</v>
      </c>
      <c r="FP148" t="e">
        <f>AND('SPR BARRANQUILLA'!GP177,"AAAAAD7Ju6s=")</f>
        <v>#VALUE!</v>
      </c>
      <c r="FQ148" t="e">
        <f>AND('SPR BARRANQUILLA'!GQ177,"AAAAAD7Ju6w=")</f>
        <v>#VALUE!</v>
      </c>
      <c r="FR148" t="e">
        <f>AND('SPR BARRANQUILLA'!GR177,"AAAAAD7Ju60=")</f>
        <v>#VALUE!</v>
      </c>
      <c r="FS148" t="e">
        <f>AND('SPR BARRANQUILLA'!GS177,"AAAAAD7Ju64=")</f>
        <v>#VALUE!</v>
      </c>
      <c r="FT148" t="e">
        <f>AND('SPR BARRANQUILLA'!GT177,"AAAAAD7Ju68=")</f>
        <v>#VALUE!</v>
      </c>
      <c r="FU148" t="e">
        <f>AND('SPR BARRANQUILLA'!GU177,"AAAAAD7Ju7A=")</f>
        <v>#VALUE!</v>
      </c>
      <c r="FV148" t="e">
        <f>AND('SPR BARRANQUILLA'!GV177,"AAAAAD7Ju7E=")</f>
        <v>#VALUE!</v>
      </c>
      <c r="FW148" t="e">
        <f>AND('SPR BARRANQUILLA'!GW177,"AAAAAD7Ju7I=")</f>
        <v>#VALUE!</v>
      </c>
      <c r="FX148" t="e">
        <f>AND('SPR BARRANQUILLA'!GX177,"AAAAAD7Ju7M=")</f>
        <v>#VALUE!</v>
      </c>
      <c r="FY148" t="e">
        <f>AND('SPR BARRANQUILLA'!GY177,"AAAAAD7Ju7Q=")</f>
        <v>#VALUE!</v>
      </c>
      <c r="FZ148">
        <f>IF('SPR BARRANQUILLA'!178:178,"AAAAAD7Ju7U=",0)</f>
        <v>0</v>
      </c>
      <c r="GA148" t="e">
        <f>AND('SPR BARRANQUILLA'!A178,"AAAAAD7Ju7Y=")</f>
        <v>#VALUE!</v>
      </c>
      <c r="GB148" t="e">
        <f>AND('SPR BARRANQUILLA'!B178,"AAAAAD7Ju7c=")</f>
        <v>#VALUE!</v>
      </c>
      <c r="GC148" t="e">
        <f>AND('SPR BARRANQUILLA'!C178,"AAAAAD7Ju7g=")</f>
        <v>#VALUE!</v>
      </c>
      <c r="GD148" t="e">
        <f>AND('SPR BARRANQUILLA'!D178,"AAAAAD7Ju7k=")</f>
        <v>#VALUE!</v>
      </c>
      <c r="GE148" t="e">
        <f>AND('SPR BARRANQUILLA'!E178,"AAAAAD7Ju7o=")</f>
        <v>#VALUE!</v>
      </c>
      <c r="GF148" t="e">
        <f>AND('SPR BARRANQUILLA'!F178,"AAAAAD7Ju7s=")</f>
        <v>#VALUE!</v>
      </c>
      <c r="GG148" t="e">
        <f>AND('SPR BARRANQUILLA'!G178,"AAAAAD7Ju7w=")</f>
        <v>#VALUE!</v>
      </c>
      <c r="GH148" t="e">
        <f>AND('SPR BARRANQUILLA'!H178,"AAAAAD7Ju70=")</f>
        <v>#VALUE!</v>
      </c>
      <c r="GI148" t="e">
        <f>AND('SPR BARRANQUILLA'!I178,"AAAAAD7Ju74=")</f>
        <v>#VALUE!</v>
      </c>
      <c r="GJ148" t="e">
        <f>AND('SPR BARRANQUILLA'!J178,"AAAAAD7Ju78=")</f>
        <v>#VALUE!</v>
      </c>
      <c r="GK148" t="e">
        <f>AND('SPR BARRANQUILLA'!K178,"AAAAAD7Ju8A=")</f>
        <v>#VALUE!</v>
      </c>
      <c r="GL148" t="e">
        <f>AND('SPR BARRANQUILLA'!L178,"AAAAAD7Ju8E=")</f>
        <v>#VALUE!</v>
      </c>
      <c r="GM148" t="e">
        <f>AND('SPR BARRANQUILLA'!M178,"AAAAAD7Ju8I=")</f>
        <v>#VALUE!</v>
      </c>
      <c r="GN148" t="e">
        <f>AND('SPR BARRANQUILLA'!N178,"AAAAAD7Ju8M=")</f>
        <v>#VALUE!</v>
      </c>
      <c r="GO148" t="e">
        <f>AND('SPR BARRANQUILLA'!O178,"AAAAAD7Ju8Q=")</f>
        <v>#VALUE!</v>
      </c>
      <c r="GP148" t="e">
        <f>AND('SPR BARRANQUILLA'!P178,"AAAAAD7Ju8U=")</f>
        <v>#VALUE!</v>
      </c>
      <c r="GQ148" t="e">
        <f>AND('SPR BARRANQUILLA'!Q178,"AAAAAD7Ju8Y=")</f>
        <v>#VALUE!</v>
      </c>
      <c r="GR148" t="e">
        <f>AND('SPR BARRANQUILLA'!R178,"AAAAAD7Ju8c=")</f>
        <v>#VALUE!</v>
      </c>
      <c r="GS148" t="e">
        <f>AND('SPR BARRANQUILLA'!S178,"AAAAAD7Ju8g=")</f>
        <v>#VALUE!</v>
      </c>
      <c r="GT148" t="e">
        <f>AND('SPR BARRANQUILLA'!T178,"AAAAAD7Ju8k=")</f>
        <v>#VALUE!</v>
      </c>
      <c r="GU148" t="e">
        <f>AND('SPR BARRANQUILLA'!U178,"AAAAAD7Ju8o=")</f>
        <v>#VALUE!</v>
      </c>
      <c r="GV148" t="e">
        <f>AND('SPR BARRANQUILLA'!V178,"AAAAAD7Ju8s=")</f>
        <v>#VALUE!</v>
      </c>
      <c r="GW148" t="e">
        <f>AND('SPR BARRANQUILLA'!W178,"AAAAAD7Ju8w=")</f>
        <v>#VALUE!</v>
      </c>
      <c r="GX148" t="e">
        <f>AND('SPR BARRANQUILLA'!X178,"AAAAAD7Ju80=")</f>
        <v>#VALUE!</v>
      </c>
      <c r="GY148" t="e">
        <f>AND('SPR BARRANQUILLA'!Y178,"AAAAAD7Ju84=")</f>
        <v>#VALUE!</v>
      </c>
      <c r="GZ148" t="e">
        <f>AND('SPR BARRANQUILLA'!Z178,"AAAAAD7Ju88=")</f>
        <v>#VALUE!</v>
      </c>
      <c r="HA148" t="e">
        <f>AND('SPR BARRANQUILLA'!AA178,"AAAAAD7Ju9A=")</f>
        <v>#VALUE!</v>
      </c>
      <c r="HB148" t="e">
        <f>AND('SPR BARRANQUILLA'!AB178,"AAAAAD7Ju9E=")</f>
        <v>#VALUE!</v>
      </c>
      <c r="HC148" t="e">
        <f>AND('SPR BARRANQUILLA'!AC178,"AAAAAD7Ju9I=")</f>
        <v>#VALUE!</v>
      </c>
      <c r="HD148" t="e">
        <f>AND('SPR BARRANQUILLA'!AD178,"AAAAAD7Ju9M=")</f>
        <v>#VALUE!</v>
      </c>
      <c r="HE148" t="e">
        <f>AND('SPR BARRANQUILLA'!AE178,"AAAAAD7Ju9Q=")</f>
        <v>#VALUE!</v>
      </c>
      <c r="HF148" t="e">
        <f>AND('SPR BARRANQUILLA'!AF178,"AAAAAD7Ju9U=")</f>
        <v>#VALUE!</v>
      </c>
      <c r="HG148" t="e">
        <f>AND('SPR BARRANQUILLA'!AG178,"AAAAAD7Ju9Y=")</f>
        <v>#VALUE!</v>
      </c>
      <c r="HH148" t="e">
        <f>AND('SPR BARRANQUILLA'!AH178,"AAAAAD7Ju9c=")</f>
        <v>#VALUE!</v>
      </c>
      <c r="HI148" t="e">
        <f>AND('SPR BARRANQUILLA'!AI178,"AAAAAD7Ju9g=")</f>
        <v>#VALUE!</v>
      </c>
      <c r="HJ148" t="e">
        <f>AND('SPR BARRANQUILLA'!AJ178,"AAAAAD7Ju9k=")</f>
        <v>#VALUE!</v>
      </c>
      <c r="HK148" t="e">
        <f>AND('SPR BARRANQUILLA'!AK178,"AAAAAD7Ju9o=")</f>
        <v>#VALUE!</v>
      </c>
      <c r="HL148" t="e">
        <f>AND('SPR BARRANQUILLA'!AL178,"AAAAAD7Ju9s=")</f>
        <v>#VALUE!</v>
      </c>
      <c r="HM148" t="e">
        <f>AND('SPR BARRANQUILLA'!AM178,"AAAAAD7Ju9w=")</f>
        <v>#VALUE!</v>
      </c>
      <c r="HN148" t="e">
        <f>AND('SPR BARRANQUILLA'!AN178,"AAAAAD7Ju90=")</f>
        <v>#VALUE!</v>
      </c>
      <c r="HO148" t="e">
        <f>AND('SPR BARRANQUILLA'!AO178,"AAAAAD7Ju94=")</f>
        <v>#VALUE!</v>
      </c>
      <c r="HP148" t="e">
        <f>AND('SPR BARRANQUILLA'!AP178,"AAAAAD7Ju98=")</f>
        <v>#VALUE!</v>
      </c>
      <c r="HQ148" t="e">
        <f>AND('SPR BARRANQUILLA'!AQ178,"AAAAAD7Ju+A=")</f>
        <v>#VALUE!</v>
      </c>
      <c r="HR148" t="e">
        <f>AND('SPR BARRANQUILLA'!AR178,"AAAAAD7Ju+E=")</f>
        <v>#VALUE!</v>
      </c>
      <c r="HS148" t="e">
        <f>AND('SPR BARRANQUILLA'!AS178,"AAAAAD7Ju+I=")</f>
        <v>#VALUE!</v>
      </c>
      <c r="HT148" t="e">
        <f>AND('SPR BARRANQUILLA'!AT178,"AAAAAD7Ju+M=")</f>
        <v>#VALUE!</v>
      </c>
      <c r="HU148" t="e">
        <f>AND('SPR BARRANQUILLA'!AU178,"AAAAAD7Ju+Q=")</f>
        <v>#VALUE!</v>
      </c>
      <c r="HV148" t="e">
        <f>AND('SPR BARRANQUILLA'!AV178,"AAAAAD7Ju+U=")</f>
        <v>#VALUE!</v>
      </c>
      <c r="HW148" t="e">
        <f>AND('SPR BARRANQUILLA'!AW178,"AAAAAD7Ju+Y=")</f>
        <v>#VALUE!</v>
      </c>
      <c r="HX148" t="e">
        <f>AND('SPR BARRANQUILLA'!AX178,"AAAAAD7Ju+c=")</f>
        <v>#VALUE!</v>
      </c>
      <c r="HY148" t="e">
        <f>AND('SPR BARRANQUILLA'!AY178,"AAAAAD7Ju+g=")</f>
        <v>#VALUE!</v>
      </c>
      <c r="HZ148" t="e">
        <f>AND('SPR BARRANQUILLA'!AZ178,"AAAAAD7Ju+k=")</f>
        <v>#VALUE!</v>
      </c>
      <c r="IA148" t="e">
        <f>AND('SPR BARRANQUILLA'!BA178,"AAAAAD7Ju+o=")</f>
        <v>#VALUE!</v>
      </c>
      <c r="IB148" t="e">
        <f>AND('SPR BARRANQUILLA'!BB178,"AAAAAD7Ju+s=")</f>
        <v>#VALUE!</v>
      </c>
      <c r="IC148" t="e">
        <f>AND('SPR BARRANQUILLA'!BC178,"AAAAAD7Ju+w=")</f>
        <v>#VALUE!</v>
      </c>
      <c r="ID148" t="e">
        <f>AND('SPR BARRANQUILLA'!BD178,"AAAAAD7Ju+0=")</f>
        <v>#VALUE!</v>
      </c>
      <c r="IE148" t="e">
        <f>AND('SPR BARRANQUILLA'!BE178,"AAAAAD7Ju+4=")</f>
        <v>#VALUE!</v>
      </c>
      <c r="IF148" t="e">
        <f>AND('SPR BARRANQUILLA'!BF178,"AAAAAD7Ju+8=")</f>
        <v>#VALUE!</v>
      </c>
      <c r="IG148" t="e">
        <f>AND('SPR BARRANQUILLA'!BG178,"AAAAAD7Ju/A=")</f>
        <v>#VALUE!</v>
      </c>
      <c r="IH148" t="e">
        <f>AND('SPR BARRANQUILLA'!BH178,"AAAAAD7Ju/E=")</f>
        <v>#VALUE!</v>
      </c>
      <c r="II148" t="e">
        <f>AND('SPR BARRANQUILLA'!BI178,"AAAAAD7Ju/I=")</f>
        <v>#VALUE!</v>
      </c>
      <c r="IJ148" t="e">
        <f>AND('SPR BARRANQUILLA'!BJ178,"AAAAAD7Ju/M=")</f>
        <v>#VALUE!</v>
      </c>
      <c r="IK148" t="e">
        <f>AND('SPR BARRANQUILLA'!BK178,"AAAAAD7Ju/Q=")</f>
        <v>#VALUE!</v>
      </c>
      <c r="IL148" t="e">
        <f>AND('SPR BARRANQUILLA'!BL178,"AAAAAD7Ju/U=")</f>
        <v>#VALUE!</v>
      </c>
      <c r="IM148" t="e">
        <f>AND('SPR BARRANQUILLA'!BM178,"AAAAAD7Ju/Y=")</f>
        <v>#VALUE!</v>
      </c>
      <c r="IN148" t="e">
        <f>AND('SPR BARRANQUILLA'!BN178,"AAAAAD7Ju/c=")</f>
        <v>#VALUE!</v>
      </c>
      <c r="IO148" t="e">
        <f>AND('SPR BARRANQUILLA'!BO178,"AAAAAD7Ju/g=")</f>
        <v>#VALUE!</v>
      </c>
      <c r="IP148" t="e">
        <f>AND('SPR BARRANQUILLA'!BP178,"AAAAAD7Ju/k=")</f>
        <v>#VALUE!</v>
      </c>
      <c r="IQ148" t="e">
        <f>AND('SPR BARRANQUILLA'!BQ178,"AAAAAD7Ju/o=")</f>
        <v>#VALUE!</v>
      </c>
      <c r="IR148" t="e">
        <f>AND('SPR BARRANQUILLA'!BR178,"AAAAAD7Ju/s=")</f>
        <v>#VALUE!</v>
      </c>
      <c r="IS148" t="e">
        <f>AND('SPR BARRANQUILLA'!BS178,"AAAAAD7Ju/w=")</f>
        <v>#VALUE!</v>
      </c>
      <c r="IT148" t="e">
        <f>AND('SPR BARRANQUILLA'!BT178,"AAAAAD7Ju/0=")</f>
        <v>#VALUE!</v>
      </c>
      <c r="IU148" t="e">
        <f>AND('SPR BARRANQUILLA'!BU178,"AAAAAD7Ju/4=")</f>
        <v>#VALUE!</v>
      </c>
      <c r="IV148" t="e">
        <f>AND('SPR BARRANQUILLA'!BV178,"AAAAAD7Ju/8=")</f>
        <v>#VALUE!</v>
      </c>
    </row>
    <row r="149" spans="1:256">
      <c r="A149" t="e">
        <f>AND('SPR BARRANQUILLA'!BW178,"AAAAAH/2/QA=")</f>
        <v>#VALUE!</v>
      </c>
      <c r="B149" t="e">
        <f>AND('SPR BARRANQUILLA'!BX178,"AAAAAH/2/QE=")</f>
        <v>#VALUE!</v>
      </c>
      <c r="C149" t="e">
        <f>AND('SPR BARRANQUILLA'!BY178,"AAAAAH/2/QI=")</f>
        <v>#VALUE!</v>
      </c>
      <c r="D149" t="e">
        <f>AND('SPR BARRANQUILLA'!BZ178,"AAAAAH/2/QM=")</f>
        <v>#VALUE!</v>
      </c>
      <c r="E149" t="e">
        <f>AND('SPR BARRANQUILLA'!CA178,"AAAAAH/2/QQ=")</f>
        <v>#VALUE!</v>
      </c>
      <c r="F149" t="e">
        <f>AND('SPR BARRANQUILLA'!CB178,"AAAAAH/2/QU=")</f>
        <v>#VALUE!</v>
      </c>
      <c r="G149" t="e">
        <f>AND('SPR BARRANQUILLA'!CC178,"AAAAAH/2/QY=")</f>
        <v>#VALUE!</v>
      </c>
      <c r="H149" t="e">
        <f>AND('SPR BARRANQUILLA'!CD178,"AAAAAH/2/Qc=")</f>
        <v>#VALUE!</v>
      </c>
      <c r="I149" t="e">
        <f>AND('SPR BARRANQUILLA'!CE178,"AAAAAH/2/Qg=")</f>
        <v>#VALUE!</v>
      </c>
      <c r="J149" t="e">
        <f>AND('SPR BARRANQUILLA'!CF178,"AAAAAH/2/Qk=")</f>
        <v>#VALUE!</v>
      </c>
      <c r="K149" t="e">
        <f>AND('SPR BARRANQUILLA'!CG178,"AAAAAH/2/Qo=")</f>
        <v>#VALUE!</v>
      </c>
      <c r="L149" t="e">
        <f>AND('SPR BARRANQUILLA'!CH178,"AAAAAH/2/Qs=")</f>
        <v>#VALUE!</v>
      </c>
      <c r="M149" t="e">
        <f>AND('SPR BARRANQUILLA'!CI178,"AAAAAH/2/Qw=")</f>
        <v>#VALUE!</v>
      </c>
      <c r="N149" t="e">
        <f>AND('SPR BARRANQUILLA'!CJ178,"AAAAAH/2/Q0=")</f>
        <v>#VALUE!</v>
      </c>
      <c r="O149" t="e">
        <f>AND('SPR BARRANQUILLA'!CK178,"AAAAAH/2/Q4=")</f>
        <v>#VALUE!</v>
      </c>
      <c r="P149" t="e">
        <f>AND('SPR BARRANQUILLA'!CL178,"AAAAAH/2/Q8=")</f>
        <v>#VALUE!</v>
      </c>
      <c r="Q149" t="e">
        <f>AND('SPR BARRANQUILLA'!CM178,"AAAAAH/2/RA=")</f>
        <v>#VALUE!</v>
      </c>
      <c r="R149" t="e">
        <f>AND('SPR BARRANQUILLA'!CN178,"AAAAAH/2/RE=")</f>
        <v>#VALUE!</v>
      </c>
      <c r="S149" t="e">
        <f>AND('SPR BARRANQUILLA'!CO178,"AAAAAH/2/RI=")</f>
        <v>#VALUE!</v>
      </c>
      <c r="T149" t="e">
        <f>AND('SPR BARRANQUILLA'!CP178,"AAAAAH/2/RM=")</f>
        <v>#VALUE!</v>
      </c>
      <c r="U149" t="e">
        <f>AND('SPR BARRANQUILLA'!CQ178,"AAAAAH/2/RQ=")</f>
        <v>#VALUE!</v>
      </c>
      <c r="V149" t="e">
        <f>AND('SPR BARRANQUILLA'!CR178,"AAAAAH/2/RU=")</f>
        <v>#VALUE!</v>
      </c>
      <c r="W149" t="e">
        <f>AND('SPR BARRANQUILLA'!CS178,"AAAAAH/2/RY=")</f>
        <v>#VALUE!</v>
      </c>
      <c r="X149" t="e">
        <f>AND('SPR BARRANQUILLA'!CT178,"AAAAAH/2/Rc=")</f>
        <v>#VALUE!</v>
      </c>
      <c r="Y149" t="e">
        <f>AND('SPR BARRANQUILLA'!CU178,"AAAAAH/2/Rg=")</f>
        <v>#VALUE!</v>
      </c>
      <c r="Z149" t="e">
        <f>AND('SPR BARRANQUILLA'!CV178,"AAAAAH/2/Rk=")</f>
        <v>#VALUE!</v>
      </c>
      <c r="AA149" t="e">
        <f>AND('SPR BARRANQUILLA'!CW178,"AAAAAH/2/Ro=")</f>
        <v>#VALUE!</v>
      </c>
      <c r="AB149" t="e">
        <f>AND('SPR BARRANQUILLA'!CX178,"AAAAAH/2/Rs=")</f>
        <v>#VALUE!</v>
      </c>
      <c r="AC149" t="e">
        <f>AND('SPR BARRANQUILLA'!CY178,"AAAAAH/2/Rw=")</f>
        <v>#VALUE!</v>
      </c>
      <c r="AD149" t="e">
        <f>AND('SPR BARRANQUILLA'!CZ178,"AAAAAH/2/R0=")</f>
        <v>#VALUE!</v>
      </c>
      <c r="AE149" t="e">
        <f>AND('SPR BARRANQUILLA'!DA178,"AAAAAH/2/R4=")</f>
        <v>#VALUE!</v>
      </c>
      <c r="AF149" t="e">
        <f>AND('SPR BARRANQUILLA'!DB178,"AAAAAH/2/R8=")</f>
        <v>#VALUE!</v>
      </c>
      <c r="AG149" t="e">
        <f>AND('SPR BARRANQUILLA'!DC178,"AAAAAH/2/SA=")</f>
        <v>#VALUE!</v>
      </c>
      <c r="AH149" t="e">
        <f>AND('SPR BARRANQUILLA'!DD178,"AAAAAH/2/SE=")</f>
        <v>#VALUE!</v>
      </c>
      <c r="AI149" t="e">
        <f>AND('SPR BARRANQUILLA'!DE178,"AAAAAH/2/SI=")</f>
        <v>#VALUE!</v>
      </c>
      <c r="AJ149" t="e">
        <f>AND('SPR BARRANQUILLA'!DF178,"AAAAAH/2/SM=")</f>
        <v>#VALUE!</v>
      </c>
      <c r="AK149" t="e">
        <f>AND('SPR BARRANQUILLA'!DG178,"AAAAAH/2/SQ=")</f>
        <v>#VALUE!</v>
      </c>
      <c r="AL149" t="e">
        <f>AND('SPR BARRANQUILLA'!DH178,"AAAAAH/2/SU=")</f>
        <v>#VALUE!</v>
      </c>
      <c r="AM149" t="e">
        <f>AND('SPR BARRANQUILLA'!DI178,"AAAAAH/2/SY=")</f>
        <v>#VALUE!</v>
      </c>
      <c r="AN149" t="e">
        <f>AND('SPR BARRANQUILLA'!DJ178,"AAAAAH/2/Sc=")</f>
        <v>#VALUE!</v>
      </c>
      <c r="AO149" t="e">
        <f>AND('SPR BARRANQUILLA'!DK178,"AAAAAH/2/Sg=")</f>
        <v>#VALUE!</v>
      </c>
      <c r="AP149" t="e">
        <f>AND('SPR BARRANQUILLA'!DL178,"AAAAAH/2/Sk=")</f>
        <v>#VALUE!</v>
      </c>
      <c r="AQ149" t="e">
        <f>AND('SPR BARRANQUILLA'!DM178,"AAAAAH/2/So=")</f>
        <v>#VALUE!</v>
      </c>
      <c r="AR149" t="e">
        <f>AND('SPR BARRANQUILLA'!DN178,"AAAAAH/2/Ss=")</f>
        <v>#VALUE!</v>
      </c>
      <c r="AS149" t="e">
        <f>AND('SPR BARRANQUILLA'!DO178,"AAAAAH/2/Sw=")</f>
        <v>#VALUE!</v>
      </c>
      <c r="AT149" t="e">
        <f>AND('SPR BARRANQUILLA'!DP178,"AAAAAH/2/S0=")</f>
        <v>#VALUE!</v>
      </c>
      <c r="AU149" t="e">
        <f>AND('SPR BARRANQUILLA'!DQ178,"AAAAAH/2/S4=")</f>
        <v>#VALUE!</v>
      </c>
      <c r="AV149" t="e">
        <f>AND('SPR BARRANQUILLA'!DR178,"AAAAAH/2/S8=")</f>
        <v>#VALUE!</v>
      </c>
      <c r="AW149" t="e">
        <f>AND('SPR BARRANQUILLA'!DS178,"AAAAAH/2/TA=")</f>
        <v>#VALUE!</v>
      </c>
      <c r="AX149" t="e">
        <f>AND('SPR BARRANQUILLA'!DT178,"AAAAAH/2/TE=")</f>
        <v>#VALUE!</v>
      </c>
      <c r="AY149" t="e">
        <f>AND('SPR BARRANQUILLA'!DU178,"AAAAAH/2/TI=")</f>
        <v>#VALUE!</v>
      </c>
      <c r="AZ149" t="e">
        <f>AND('SPR BARRANQUILLA'!DV178,"AAAAAH/2/TM=")</f>
        <v>#VALUE!</v>
      </c>
      <c r="BA149" t="e">
        <f>AND('SPR BARRANQUILLA'!DW178,"AAAAAH/2/TQ=")</f>
        <v>#VALUE!</v>
      </c>
      <c r="BB149" t="e">
        <f>AND('SPR BARRANQUILLA'!DX178,"AAAAAH/2/TU=")</f>
        <v>#VALUE!</v>
      </c>
      <c r="BC149" t="e">
        <f>AND('SPR BARRANQUILLA'!DY178,"AAAAAH/2/TY=")</f>
        <v>#VALUE!</v>
      </c>
      <c r="BD149" t="e">
        <f>AND('SPR BARRANQUILLA'!DZ178,"AAAAAH/2/Tc=")</f>
        <v>#VALUE!</v>
      </c>
      <c r="BE149" t="e">
        <f>AND('SPR BARRANQUILLA'!EA178,"AAAAAH/2/Tg=")</f>
        <v>#VALUE!</v>
      </c>
      <c r="BF149" t="e">
        <f>AND('SPR BARRANQUILLA'!EB178,"AAAAAH/2/Tk=")</f>
        <v>#VALUE!</v>
      </c>
      <c r="BG149" t="e">
        <f>AND('SPR BARRANQUILLA'!EC178,"AAAAAH/2/To=")</f>
        <v>#VALUE!</v>
      </c>
      <c r="BH149" t="e">
        <f>AND('SPR BARRANQUILLA'!ED178,"AAAAAH/2/Ts=")</f>
        <v>#VALUE!</v>
      </c>
      <c r="BI149" t="e">
        <f>AND('SPR BARRANQUILLA'!EE178,"AAAAAH/2/Tw=")</f>
        <v>#VALUE!</v>
      </c>
      <c r="BJ149" t="e">
        <f>AND('SPR BARRANQUILLA'!EF178,"AAAAAH/2/T0=")</f>
        <v>#VALUE!</v>
      </c>
      <c r="BK149" t="e">
        <f>AND('SPR BARRANQUILLA'!EG178,"AAAAAH/2/T4=")</f>
        <v>#VALUE!</v>
      </c>
      <c r="BL149" t="e">
        <f>AND('SPR BARRANQUILLA'!EH178,"AAAAAH/2/T8=")</f>
        <v>#VALUE!</v>
      </c>
      <c r="BM149" t="e">
        <f>AND('SPR BARRANQUILLA'!EI178,"AAAAAH/2/UA=")</f>
        <v>#VALUE!</v>
      </c>
      <c r="BN149" t="e">
        <f>AND('SPR BARRANQUILLA'!EJ178,"AAAAAH/2/UE=")</f>
        <v>#VALUE!</v>
      </c>
      <c r="BO149" t="e">
        <f>AND('SPR BARRANQUILLA'!EK178,"AAAAAH/2/UI=")</f>
        <v>#VALUE!</v>
      </c>
      <c r="BP149" t="e">
        <f>AND('SPR BARRANQUILLA'!EL178,"AAAAAH/2/UM=")</f>
        <v>#VALUE!</v>
      </c>
      <c r="BQ149" t="e">
        <f>AND('SPR BARRANQUILLA'!EM178,"AAAAAH/2/UQ=")</f>
        <v>#VALUE!</v>
      </c>
      <c r="BR149" t="e">
        <f>AND('SPR BARRANQUILLA'!EN178,"AAAAAH/2/UU=")</f>
        <v>#VALUE!</v>
      </c>
      <c r="BS149" t="e">
        <f>AND('SPR BARRANQUILLA'!EO178,"AAAAAH/2/UY=")</f>
        <v>#VALUE!</v>
      </c>
      <c r="BT149" t="e">
        <f>AND('SPR BARRANQUILLA'!EP178,"AAAAAH/2/Uc=")</f>
        <v>#VALUE!</v>
      </c>
      <c r="BU149" t="e">
        <f>AND('SPR BARRANQUILLA'!EQ178,"AAAAAH/2/Ug=")</f>
        <v>#VALUE!</v>
      </c>
      <c r="BV149" t="e">
        <f>AND('SPR BARRANQUILLA'!ER178,"AAAAAH/2/Uk=")</f>
        <v>#VALUE!</v>
      </c>
      <c r="BW149" t="e">
        <f>AND('SPR BARRANQUILLA'!ES178,"AAAAAH/2/Uo=")</f>
        <v>#VALUE!</v>
      </c>
      <c r="BX149" t="e">
        <f>AND('SPR BARRANQUILLA'!ET178,"AAAAAH/2/Us=")</f>
        <v>#VALUE!</v>
      </c>
      <c r="BY149" t="e">
        <f>AND('SPR BARRANQUILLA'!EU178,"AAAAAH/2/Uw=")</f>
        <v>#VALUE!</v>
      </c>
      <c r="BZ149" t="e">
        <f>AND('SPR BARRANQUILLA'!EV178,"AAAAAH/2/U0=")</f>
        <v>#VALUE!</v>
      </c>
      <c r="CA149" t="e">
        <f>AND('SPR BARRANQUILLA'!EW178,"AAAAAH/2/U4=")</f>
        <v>#VALUE!</v>
      </c>
      <c r="CB149" t="e">
        <f>AND('SPR BARRANQUILLA'!EX178,"AAAAAH/2/U8=")</f>
        <v>#VALUE!</v>
      </c>
      <c r="CC149" t="e">
        <f>AND('SPR BARRANQUILLA'!EY178,"AAAAAH/2/VA=")</f>
        <v>#VALUE!</v>
      </c>
      <c r="CD149" t="e">
        <f>AND('SPR BARRANQUILLA'!EZ178,"AAAAAH/2/VE=")</f>
        <v>#VALUE!</v>
      </c>
      <c r="CE149" t="e">
        <f>AND('SPR BARRANQUILLA'!FA178,"AAAAAH/2/VI=")</f>
        <v>#VALUE!</v>
      </c>
      <c r="CF149" t="e">
        <f>AND('SPR BARRANQUILLA'!FB178,"AAAAAH/2/VM=")</f>
        <v>#VALUE!</v>
      </c>
      <c r="CG149" t="e">
        <f>AND('SPR BARRANQUILLA'!FC178,"AAAAAH/2/VQ=")</f>
        <v>#VALUE!</v>
      </c>
      <c r="CH149" t="e">
        <f>AND('SPR BARRANQUILLA'!FD178,"AAAAAH/2/VU=")</f>
        <v>#VALUE!</v>
      </c>
      <c r="CI149" t="e">
        <f>AND('SPR BARRANQUILLA'!FE178,"AAAAAH/2/VY=")</f>
        <v>#VALUE!</v>
      </c>
      <c r="CJ149" t="e">
        <f>AND('SPR BARRANQUILLA'!FF178,"AAAAAH/2/Vc=")</f>
        <v>#VALUE!</v>
      </c>
      <c r="CK149" t="e">
        <f>AND('SPR BARRANQUILLA'!FG178,"AAAAAH/2/Vg=")</f>
        <v>#VALUE!</v>
      </c>
      <c r="CL149" t="e">
        <f>AND('SPR BARRANQUILLA'!FH178,"AAAAAH/2/Vk=")</f>
        <v>#VALUE!</v>
      </c>
      <c r="CM149" t="e">
        <f>AND('SPR BARRANQUILLA'!FI178,"AAAAAH/2/Vo=")</f>
        <v>#VALUE!</v>
      </c>
      <c r="CN149" t="e">
        <f>AND('SPR BARRANQUILLA'!FJ178,"AAAAAH/2/Vs=")</f>
        <v>#VALUE!</v>
      </c>
      <c r="CO149" t="e">
        <f>AND('SPR BARRANQUILLA'!FK178,"AAAAAH/2/Vw=")</f>
        <v>#VALUE!</v>
      </c>
      <c r="CP149" t="e">
        <f>AND('SPR BARRANQUILLA'!FL178,"AAAAAH/2/V0=")</f>
        <v>#VALUE!</v>
      </c>
      <c r="CQ149" t="e">
        <f>AND('SPR BARRANQUILLA'!FM178,"AAAAAH/2/V4=")</f>
        <v>#VALUE!</v>
      </c>
      <c r="CR149" t="e">
        <f>AND('SPR BARRANQUILLA'!FN178,"AAAAAH/2/V8=")</f>
        <v>#VALUE!</v>
      </c>
      <c r="CS149" t="e">
        <f>AND('SPR BARRANQUILLA'!FO178,"AAAAAH/2/WA=")</f>
        <v>#VALUE!</v>
      </c>
      <c r="CT149" t="e">
        <f>AND('SPR BARRANQUILLA'!FP178,"AAAAAH/2/WE=")</f>
        <v>#VALUE!</v>
      </c>
      <c r="CU149" t="e">
        <f>AND('SPR BARRANQUILLA'!FQ178,"AAAAAH/2/WI=")</f>
        <v>#VALUE!</v>
      </c>
      <c r="CV149" t="e">
        <f>AND('SPR BARRANQUILLA'!FR178,"AAAAAH/2/WM=")</f>
        <v>#VALUE!</v>
      </c>
      <c r="CW149" t="e">
        <f>AND('SPR BARRANQUILLA'!FS178,"AAAAAH/2/WQ=")</f>
        <v>#VALUE!</v>
      </c>
      <c r="CX149" t="e">
        <f>AND('SPR BARRANQUILLA'!FT178,"AAAAAH/2/WU=")</f>
        <v>#VALUE!</v>
      </c>
      <c r="CY149" t="e">
        <f>AND('SPR BARRANQUILLA'!FU178,"AAAAAH/2/WY=")</f>
        <v>#VALUE!</v>
      </c>
      <c r="CZ149" t="e">
        <f>AND('SPR BARRANQUILLA'!FV178,"AAAAAH/2/Wc=")</f>
        <v>#VALUE!</v>
      </c>
      <c r="DA149" t="e">
        <f>AND('SPR BARRANQUILLA'!FW178,"AAAAAH/2/Wg=")</f>
        <v>#VALUE!</v>
      </c>
      <c r="DB149" t="e">
        <f>AND('SPR BARRANQUILLA'!FX178,"AAAAAH/2/Wk=")</f>
        <v>#VALUE!</v>
      </c>
      <c r="DC149" t="e">
        <f>AND('SPR BARRANQUILLA'!FY178,"AAAAAH/2/Wo=")</f>
        <v>#VALUE!</v>
      </c>
      <c r="DD149" t="e">
        <f>AND('SPR BARRANQUILLA'!FZ178,"AAAAAH/2/Ws=")</f>
        <v>#VALUE!</v>
      </c>
      <c r="DE149" t="e">
        <f>AND('SPR BARRANQUILLA'!GA178,"AAAAAH/2/Ww=")</f>
        <v>#VALUE!</v>
      </c>
      <c r="DF149" t="e">
        <f>AND('SPR BARRANQUILLA'!GB178,"AAAAAH/2/W0=")</f>
        <v>#VALUE!</v>
      </c>
      <c r="DG149" t="e">
        <f>AND('SPR BARRANQUILLA'!GC178,"AAAAAH/2/W4=")</f>
        <v>#VALUE!</v>
      </c>
      <c r="DH149" t="e">
        <f>AND('SPR BARRANQUILLA'!GD178,"AAAAAH/2/W8=")</f>
        <v>#VALUE!</v>
      </c>
      <c r="DI149" t="e">
        <f>AND('SPR BARRANQUILLA'!GE178,"AAAAAH/2/XA=")</f>
        <v>#VALUE!</v>
      </c>
      <c r="DJ149" t="e">
        <f>AND('SPR BARRANQUILLA'!GF178,"AAAAAH/2/XE=")</f>
        <v>#VALUE!</v>
      </c>
      <c r="DK149" t="e">
        <f>AND('SPR BARRANQUILLA'!GG178,"AAAAAH/2/XI=")</f>
        <v>#VALUE!</v>
      </c>
      <c r="DL149" t="e">
        <f>AND('SPR BARRANQUILLA'!GH178,"AAAAAH/2/XM=")</f>
        <v>#VALUE!</v>
      </c>
      <c r="DM149" t="e">
        <f>AND('SPR BARRANQUILLA'!GI178,"AAAAAH/2/XQ=")</f>
        <v>#VALUE!</v>
      </c>
      <c r="DN149" t="e">
        <f>AND('SPR BARRANQUILLA'!GJ178,"AAAAAH/2/XU=")</f>
        <v>#VALUE!</v>
      </c>
      <c r="DO149" t="e">
        <f>AND('SPR BARRANQUILLA'!GK178,"AAAAAH/2/XY=")</f>
        <v>#VALUE!</v>
      </c>
      <c r="DP149" t="e">
        <f>AND('SPR BARRANQUILLA'!GL178,"AAAAAH/2/Xc=")</f>
        <v>#VALUE!</v>
      </c>
      <c r="DQ149" t="e">
        <f>AND('SPR BARRANQUILLA'!GM178,"AAAAAH/2/Xg=")</f>
        <v>#VALUE!</v>
      </c>
      <c r="DR149" t="e">
        <f>AND('SPR BARRANQUILLA'!GN178,"AAAAAH/2/Xk=")</f>
        <v>#VALUE!</v>
      </c>
      <c r="DS149" t="e">
        <f>AND('SPR BARRANQUILLA'!GO178,"AAAAAH/2/Xo=")</f>
        <v>#VALUE!</v>
      </c>
      <c r="DT149" t="e">
        <f>AND('SPR BARRANQUILLA'!GP178,"AAAAAH/2/Xs=")</f>
        <v>#VALUE!</v>
      </c>
      <c r="DU149" t="e">
        <f>AND('SPR BARRANQUILLA'!GQ178,"AAAAAH/2/Xw=")</f>
        <v>#VALUE!</v>
      </c>
      <c r="DV149" t="e">
        <f>AND('SPR BARRANQUILLA'!GR178,"AAAAAH/2/X0=")</f>
        <v>#VALUE!</v>
      </c>
      <c r="DW149" t="e">
        <f>AND('SPR BARRANQUILLA'!GS178,"AAAAAH/2/X4=")</f>
        <v>#VALUE!</v>
      </c>
      <c r="DX149" t="e">
        <f>AND('SPR BARRANQUILLA'!GT178,"AAAAAH/2/X8=")</f>
        <v>#VALUE!</v>
      </c>
      <c r="DY149" t="e">
        <f>AND('SPR BARRANQUILLA'!GU178,"AAAAAH/2/YA=")</f>
        <v>#VALUE!</v>
      </c>
      <c r="DZ149" t="e">
        <f>AND('SPR BARRANQUILLA'!GV178,"AAAAAH/2/YE=")</f>
        <v>#VALUE!</v>
      </c>
      <c r="EA149" t="e">
        <f>AND('SPR BARRANQUILLA'!GW178,"AAAAAH/2/YI=")</f>
        <v>#VALUE!</v>
      </c>
      <c r="EB149" t="e">
        <f>AND('SPR BARRANQUILLA'!GX178,"AAAAAH/2/YM=")</f>
        <v>#VALUE!</v>
      </c>
      <c r="EC149" t="e">
        <f>AND('SPR BARRANQUILLA'!GY178,"AAAAAH/2/YQ=")</f>
        <v>#VALUE!</v>
      </c>
      <c r="ED149">
        <f>IF('SPR BARRANQUILLA'!179:179,"AAAAAH/2/YU=",0)</f>
        <v>0</v>
      </c>
      <c r="EE149" t="e">
        <f>AND('SPR BARRANQUILLA'!A179,"AAAAAH/2/YY=")</f>
        <v>#VALUE!</v>
      </c>
      <c r="EF149" t="e">
        <f>AND('SPR BARRANQUILLA'!B179,"AAAAAH/2/Yc=")</f>
        <v>#VALUE!</v>
      </c>
      <c r="EG149" t="e">
        <f>AND('SPR BARRANQUILLA'!C179,"AAAAAH/2/Yg=")</f>
        <v>#VALUE!</v>
      </c>
      <c r="EH149" t="e">
        <f>AND('SPR BARRANQUILLA'!D179,"AAAAAH/2/Yk=")</f>
        <v>#VALUE!</v>
      </c>
      <c r="EI149" t="e">
        <f>AND('SPR BARRANQUILLA'!E179,"AAAAAH/2/Yo=")</f>
        <v>#VALUE!</v>
      </c>
      <c r="EJ149" t="e">
        <f>AND('SPR BARRANQUILLA'!F179,"AAAAAH/2/Ys=")</f>
        <v>#VALUE!</v>
      </c>
      <c r="EK149" t="e">
        <f>AND('SPR BARRANQUILLA'!G179,"AAAAAH/2/Yw=")</f>
        <v>#VALUE!</v>
      </c>
      <c r="EL149" t="e">
        <f>AND('SPR BARRANQUILLA'!H179,"AAAAAH/2/Y0=")</f>
        <v>#VALUE!</v>
      </c>
      <c r="EM149" t="e">
        <f>AND('SPR BARRANQUILLA'!I179,"AAAAAH/2/Y4=")</f>
        <v>#VALUE!</v>
      </c>
      <c r="EN149" t="e">
        <f>AND('SPR BARRANQUILLA'!J179,"AAAAAH/2/Y8=")</f>
        <v>#VALUE!</v>
      </c>
      <c r="EO149" t="e">
        <f>AND('SPR BARRANQUILLA'!K179,"AAAAAH/2/ZA=")</f>
        <v>#VALUE!</v>
      </c>
      <c r="EP149" t="e">
        <f>AND('SPR BARRANQUILLA'!L179,"AAAAAH/2/ZE=")</f>
        <v>#VALUE!</v>
      </c>
      <c r="EQ149" t="e">
        <f>AND('SPR BARRANQUILLA'!M179,"AAAAAH/2/ZI=")</f>
        <v>#VALUE!</v>
      </c>
      <c r="ER149" t="e">
        <f>AND('SPR BARRANQUILLA'!N179,"AAAAAH/2/ZM=")</f>
        <v>#VALUE!</v>
      </c>
      <c r="ES149" t="e">
        <f>AND('SPR BARRANQUILLA'!O179,"AAAAAH/2/ZQ=")</f>
        <v>#VALUE!</v>
      </c>
      <c r="ET149" t="e">
        <f>AND('SPR BARRANQUILLA'!P179,"AAAAAH/2/ZU=")</f>
        <v>#VALUE!</v>
      </c>
      <c r="EU149" t="e">
        <f>AND('SPR BARRANQUILLA'!Q179,"AAAAAH/2/ZY=")</f>
        <v>#VALUE!</v>
      </c>
      <c r="EV149" t="e">
        <f>AND('SPR BARRANQUILLA'!R179,"AAAAAH/2/Zc=")</f>
        <v>#VALUE!</v>
      </c>
      <c r="EW149" t="e">
        <f>AND('SPR BARRANQUILLA'!S179,"AAAAAH/2/Zg=")</f>
        <v>#VALUE!</v>
      </c>
      <c r="EX149" t="e">
        <f>AND('SPR BARRANQUILLA'!T179,"AAAAAH/2/Zk=")</f>
        <v>#VALUE!</v>
      </c>
      <c r="EY149" t="e">
        <f>AND('SPR BARRANQUILLA'!U179,"AAAAAH/2/Zo=")</f>
        <v>#VALUE!</v>
      </c>
      <c r="EZ149" t="e">
        <f>AND('SPR BARRANQUILLA'!V179,"AAAAAH/2/Zs=")</f>
        <v>#VALUE!</v>
      </c>
      <c r="FA149" t="e">
        <f>AND('SPR BARRANQUILLA'!W179,"AAAAAH/2/Zw=")</f>
        <v>#VALUE!</v>
      </c>
      <c r="FB149" t="e">
        <f>AND('SPR BARRANQUILLA'!X179,"AAAAAH/2/Z0=")</f>
        <v>#VALUE!</v>
      </c>
      <c r="FC149" t="e">
        <f>AND('SPR BARRANQUILLA'!Y179,"AAAAAH/2/Z4=")</f>
        <v>#VALUE!</v>
      </c>
      <c r="FD149" t="e">
        <f>AND('SPR BARRANQUILLA'!Z179,"AAAAAH/2/Z8=")</f>
        <v>#VALUE!</v>
      </c>
      <c r="FE149" t="e">
        <f>AND('SPR BARRANQUILLA'!AA179,"AAAAAH/2/aA=")</f>
        <v>#VALUE!</v>
      </c>
      <c r="FF149" t="e">
        <f>AND('SPR BARRANQUILLA'!AB179,"AAAAAH/2/aE=")</f>
        <v>#VALUE!</v>
      </c>
      <c r="FG149" t="e">
        <f>AND('SPR BARRANQUILLA'!AC179,"AAAAAH/2/aI=")</f>
        <v>#VALUE!</v>
      </c>
      <c r="FH149" t="e">
        <f>AND('SPR BARRANQUILLA'!AD179,"AAAAAH/2/aM=")</f>
        <v>#VALUE!</v>
      </c>
      <c r="FI149" t="e">
        <f>AND('SPR BARRANQUILLA'!AE179,"AAAAAH/2/aQ=")</f>
        <v>#VALUE!</v>
      </c>
      <c r="FJ149" t="e">
        <f>AND('SPR BARRANQUILLA'!AF179,"AAAAAH/2/aU=")</f>
        <v>#VALUE!</v>
      </c>
      <c r="FK149" t="e">
        <f>AND('SPR BARRANQUILLA'!AG179,"AAAAAH/2/aY=")</f>
        <v>#VALUE!</v>
      </c>
      <c r="FL149" t="e">
        <f>AND('SPR BARRANQUILLA'!AH179,"AAAAAH/2/ac=")</f>
        <v>#VALUE!</v>
      </c>
      <c r="FM149" t="e">
        <f>AND('SPR BARRANQUILLA'!AI179,"AAAAAH/2/ag=")</f>
        <v>#VALUE!</v>
      </c>
      <c r="FN149" t="e">
        <f>AND('SPR BARRANQUILLA'!AJ179,"AAAAAH/2/ak=")</f>
        <v>#VALUE!</v>
      </c>
      <c r="FO149" t="e">
        <f>AND('SPR BARRANQUILLA'!AK179,"AAAAAH/2/ao=")</f>
        <v>#VALUE!</v>
      </c>
      <c r="FP149" t="e">
        <f>AND('SPR BARRANQUILLA'!AL179,"AAAAAH/2/as=")</f>
        <v>#VALUE!</v>
      </c>
      <c r="FQ149" t="e">
        <f>AND('SPR BARRANQUILLA'!AM179,"AAAAAH/2/aw=")</f>
        <v>#VALUE!</v>
      </c>
      <c r="FR149" t="e">
        <f>AND('SPR BARRANQUILLA'!AN179,"AAAAAH/2/a0=")</f>
        <v>#VALUE!</v>
      </c>
      <c r="FS149" t="e">
        <f>AND('SPR BARRANQUILLA'!AO179,"AAAAAH/2/a4=")</f>
        <v>#VALUE!</v>
      </c>
      <c r="FT149" t="e">
        <f>AND('SPR BARRANQUILLA'!AP179,"AAAAAH/2/a8=")</f>
        <v>#VALUE!</v>
      </c>
      <c r="FU149" t="e">
        <f>AND('SPR BARRANQUILLA'!AQ179,"AAAAAH/2/bA=")</f>
        <v>#VALUE!</v>
      </c>
      <c r="FV149" t="e">
        <f>AND('SPR BARRANQUILLA'!AR179,"AAAAAH/2/bE=")</f>
        <v>#VALUE!</v>
      </c>
      <c r="FW149" t="e">
        <f>AND('SPR BARRANQUILLA'!AS179,"AAAAAH/2/bI=")</f>
        <v>#VALUE!</v>
      </c>
      <c r="FX149" t="e">
        <f>AND('SPR BARRANQUILLA'!AT179,"AAAAAH/2/bM=")</f>
        <v>#VALUE!</v>
      </c>
      <c r="FY149" t="e">
        <f>AND('SPR BARRANQUILLA'!AU179,"AAAAAH/2/bQ=")</f>
        <v>#VALUE!</v>
      </c>
      <c r="FZ149" t="e">
        <f>AND('SPR BARRANQUILLA'!AV179,"AAAAAH/2/bU=")</f>
        <v>#VALUE!</v>
      </c>
      <c r="GA149" t="e">
        <f>AND('SPR BARRANQUILLA'!AW179,"AAAAAH/2/bY=")</f>
        <v>#VALUE!</v>
      </c>
      <c r="GB149" t="e">
        <f>AND('SPR BARRANQUILLA'!AX179,"AAAAAH/2/bc=")</f>
        <v>#VALUE!</v>
      </c>
      <c r="GC149" t="e">
        <f>AND('SPR BARRANQUILLA'!AY179,"AAAAAH/2/bg=")</f>
        <v>#VALUE!</v>
      </c>
      <c r="GD149" t="e">
        <f>AND('SPR BARRANQUILLA'!AZ179,"AAAAAH/2/bk=")</f>
        <v>#VALUE!</v>
      </c>
      <c r="GE149" t="e">
        <f>AND('SPR BARRANQUILLA'!BA179,"AAAAAH/2/bo=")</f>
        <v>#VALUE!</v>
      </c>
      <c r="GF149" t="e">
        <f>AND('SPR BARRANQUILLA'!BB179,"AAAAAH/2/bs=")</f>
        <v>#VALUE!</v>
      </c>
      <c r="GG149" t="e">
        <f>AND('SPR BARRANQUILLA'!BC179,"AAAAAH/2/bw=")</f>
        <v>#VALUE!</v>
      </c>
      <c r="GH149" t="e">
        <f>AND('SPR BARRANQUILLA'!BD179,"AAAAAH/2/b0=")</f>
        <v>#VALUE!</v>
      </c>
      <c r="GI149" t="e">
        <f>AND('SPR BARRANQUILLA'!BE179,"AAAAAH/2/b4=")</f>
        <v>#VALUE!</v>
      </c>
      <c r="GJ149" t="e">
        <f>AND('SPR BARRANQUILLA'!BF179,"AAAAAH/2/b8=")</f>
        <v>#VALUE!</v>
      </c>
      <c r="GK149" t="e">
        <f>AND('SPR BARRANQUILLA'!BG179,"AAAAAH/2/cA=")</f>
        <v>#VALUE!</v>
      </c>
      <c r="GL149" t="e">
        <f>AND('SPR BARRANQUILLA'!BH179,"AAAAAH/2/cE=")</f>
        <v>#VALUE!</v>
      </c>
      <c r="GM149" t="e">
        <f>AND('SPR BARRANQUILLA'!BI179,"AAAAAH/2/cI=")</f>
        <v>#VALUE!</v>
      </c>
      <c r="GN149" t="e">
        <f>AND('SPR BARRANQUILLA'!BJ179,"AAAAAH/2/cM=")</f>
        <v>#VALUE!</v>
      </c>
      <c r="GO149" t="e">
        <f>AND('SPR BARRANQUILLA'!BK179,"AAAAAH/2/cQ=")</f>
        <v>#VALUE!</v>
      </c>
      <c r="GP149" t="e">
        <f>AND('SPR BARRANQUILLA'!BL179,"AAAAAH/2/cU=")</f>
        <v>#VALUE!</v>
      </c>
      <c r="GQ149" t="e">
        <f>AND('SPR BARRANQUILLA'!BM179,"AAAAAH/2/cY=")</f>
        <v>#VALUE!</v>
      </c>
      <c r="GR149" t="e">
        <f>AND('SPR BARRANQUILLA'!BN179,"AAAAAH/2/cc=")</f>
        <v>#VALUE!</v>
      </c>
      <c r="GS149" t="e">
        <f>AND('SPR BARRANQUILLA'!BO179,"AAAAAH/2/cg=")</f>
        <v>#VALUE!</v>
      </c>
      <c r="GT149" t="e">
        <f>AND('SPR BARRANQUILLA'!BP179,"AAAAAH/2/ck=")</f>
        <v>#VALUE!</v>
      </c>
      <c r="GU149" t="e">
        <f>AND('SPR BARRANQUILLA'!BQ179,"AAAAAH/2/co=")</f>
        <v>#VALUE!</v>
      </c>
      <c r="GV149" t="e">
        <f>AND('SPR BARRANQUILLA'!BR179,"AAAAAH/2/cs=")</f>
        <v>#VALUE!</v>
      </c>
      <c r="GW149" t="e">
        <f>AND('SPR BARRANQUILLA'!BS179,"AAAAAH/2/cw=")</f>
        <v>#VALUE!</v>
      </c>
      <c r="GX149" t="e">
        <f>AND('SPR BARRANQUILLA'!BT179,"AAAAAH/2/c0=")</f>
        <v>#VALUE!</v>
      </c>
      <c r="GY149" t="e">
        <f>AND('SPR BARRANQUILLA'!BU179,"AAAAAH/2/c4=")</f>
        <v>#VALUE!</v>
      </c>
      <c r="GZ149" t="e">
        <f>AND('SPR BARRANQUILLA'!BV179,"AAAAAH/2/c8=")</f>
        <v>#VALUE!</v>
      </c>
      <c r="HA149" t="e">
        <f>AND('SPR BARRANQUILLA'!BW179,"AAAAAH/2/dA=")</f>
        <v>#VALUE!</v>
      </c>
      <c r="HB149" t="e">
        <f>AND('SPR BARRANQUILLA'!BX179,"AAAAAH/2/dE=")</f>
        <v>#VALUE!</v>
      </c>
      <c r="HC149" t="e">
        <f>AND('SPR BARRANQUILLA'!BY179,"AAAAAH/2/dI=")</f>
        <v>#VALUE!</v>
      </c>
      <c r="HD149" t="e">
        <f>AND('SPR BARRANQUILLA'!BZ179,"AAAAAH/2/dM=")</f>
        <v>#VALUE!</v>
      </c>
      <c r="HE149" t="e">
        <f>AND('SPR BARRANQUILLA'!CA179,"AAAAAH/2/dQ=")</f>
        <v>#VALUE!</v>
      </c>
      <c r="HF149" t="e">
        <f>AND('SPR BARRANQUILLA'!CB179,"AAAAAH/2/dU=")</f>
        <v>#VALUE!</v>
      </c>
      <c r="HG149" t="e">
        <f>AND('SPR BARRANQUILLA'!CC179,"AAAAAH/2/dY=")</f>
        <v>#VALUE!</v>
      </c>
      <c r="HH149" t="e">
        <f>AND('SPR BARRANQUILLA'!CD179,"AAAAAH/2/dc=")</f>
        <v>#VALUE!</v>
      </c>
      <c r="HI149" t="e">
        <f>AND('SPR BARRANQUILLA'!CE179,"AAAAAH/2/dg=")</f>
        <v>#VALUE!</v>
      </c>
      <c r="HJ149" t="e">
        <f>AND('SPR BARRANQUILLA'!CF179,"AAAAAH/2/dk=")</f>
        <v>#VALUE!</v>
      </c>
      <c r="HK149" t="e">
        <f>AND('SPR BARRANQUILLA'!CG179,"AAAAAH/2/do=")</f>
        <v>#VALUE!</v>
      </c>
      <c r="HL149" t="e">
        <f>AND('SPR BARRANQUILLA'!CH179,"AAAAAH/2/ds=")</f>
        <v>#VALUE!</v>
      </c>
      <c r="HM149" t="e">
        <f>AND('SPR BARRANQUILLA'!CI179,"AAAAAH/2/dw=")</f>
        <v>#VALUE!</v>
      </c>
      <c r="HN149" t="e">
        <f>AND('SPR BARRANQUILLA'!CJ179,"AAAAAH/2/d0=")</f>
        <v>#VALUE!</v>
      </c>
      <c r="HO149" t="e">
        <f>AND('SPR BARRANQUILLA'!CK179,"AAAAAH/2/d4=")</f>
        <v>#VALUE!</v>
      </c>
      <c r="HP149" t="e">
        <f>AND('SPR BARRANQUILLA'!CL179,"AAAAAH/2/d8=")</f>
        <v>#VALUE!</v>
      </c>
      <c r="HQ149" t="e">
        <f>AND('SPR BARRANQUILLA'!CM179,"AAAAAH/2/eA=")</f>
        <v>#VALUE!</v>
      </c>
      <c r="HR149" t="e">
        <f>AND('SPR BARRANQUILLA'!CN179,"AAAAAH/2/eE=")</f>
        <v>#VALUE!</v>
      </c>
      <c r="HS149" t="e">
        <f>AND('SPR BARRANQUILLA'!CO179,"AAAAAH/2/eI=")</f>
        <v>#VALUE!</v>
      </c>
      <c r="HT149" t="e">
        <f>AND('SPR BARRANQUILLA'!CP179,"AAAAAH/2/eM=")</f>
        <v>#VALUE!</v>
      </c>
      <c r="HU149" t="e">
        <f>AND('SPR BARRANQUILLA'!CQ179,"AAAAAH/2/eQ=")</f>
        <v>#VALUE!</v>
      </c>
      <c r="HV149" t="e">
        <f>AND('SPR BARRANQUILLA'!CR179,"AAAAAH/2/eU=")</f>
        <v>#VALUE!</v>
      </c>
      <c r="HW149" t="e">
        <f>AND('SPR BARRANQUILLA'!CS179,"AAAAAH/2/eY=")</f>
        <v>#VALUE!</v>
      </c>
      <c r="HX149" t="e">
        <f>AND('SPR BARRANQUILLA'!CT179,"AAAAAH/2/ec=")</f>
        <v>#VALUE!</v>
      </c>
      <c r="HY149" t="e">
        <f>AND('SPR BARRANQUILLA'!CU179,"AAAAAH/2/eg=")</f>
        <v>#VALUE!</v>
      </c>
      <c r="HZ149" t="e">
        <f>AND('SPR BARRANQUILLA'!CV179,"AAAAAH/2/ek=")</f>
        <v>#VALUE!</v>
      </c>
      <c r="IA149" t="e">
        <f>AND('SPR BARRANQUILLA'!CW179,"AAAAAH/2/eo=")</f>
        <v>#VALUE!</v>
      </c>
      <c r="IB149" t="e">
        <f>AND('SPR BARRANQUILLA'!CX179,"AAAAAH/2/es=")</f>
        <v>#VALUE!</v>
      </c>
      <c r="IC149" t="e">
        <f>AND('SPR BARRANQUILLA'!CY179,"AAAAAH/2/ew=")</f>
        <v>#VALUE!</v>
      </c>
      <c r="ID149" t="e">
        <f>AND('SPR BARRANQUILLA'!CZ179,"AAAAAH/2/e0=")</f>
        <v>#VALUE!</v>
      </c>
      <c r="IE149" t="e">
        <f>AND('SPR BARRANQUILLA'!DA179,"AAAAAH/2/e4=")</f>
        <v>#VALUE!</v>
      </c>
      <c r="IF149" t="e">
        <f>AND('SPR BARRANQUILLA'!DB179,"AAAAAH/2/e8=")</f>
        <v>#VALUE!</v>
      </c>
      <c r="IG149" t="e">
        <f>AND('SPR BARRANQUILLA'!DC179,"AAAAAH/2/fA=")</f>
        <v>#VALUE!</v>
      </c>
      <c r="IH149" t="e">
        <f>AND('SPR BARRANQUILLA'!DD179,"AAAAAH/2/fE=")</f>
        <v>#VALUE!</v>
      </c>
      <c r="II149" t="e">
        <f>AND('SPR BARRANQUILLA'!DE179,"AAAAAH/2/fI=")</f>
        <v>#VALUE!</v>
      </c>
      <c r="IJ149" t="e">
        <f>AND('SPR BARRANQUILLA'!DF179,"AAAAAH/2/fM=")</f>
        <v>#VALUE!</v>
      </c>
      <c r="IK149" t="e">
        <f>AND('SPR BARRANQUILLA'!DG179,"AAAAAH/2/fQ=")</f>
        <v>#VALUE!</v>
      </c>
      <c r="IL149" t="e">
        <f>AND('SPR BARRANQUILLA'!DH179,"AAAAAH/2/fU=")</f>
        <v>#VALUE!</v>
      </c>
      <c r="IM149" t="e">
        <f>AND('SPR BARRANQUILLA'!DI179,"AAAAAH/2/fY=")</f>
        <v>#VALUE!</v>
      </c>
      <c r="IN149" t="e">
        <f>AND('SPR BARRANQUILLA'!DJ179,"AAAAAH/2/fc=")</f>
        <v>#VALUE!</v>
      </c>
      <c r="IO149" t="e">
        <f>AND('SPR BARRANQUILLA'!DK179,"AAAAAH/2/fg=")</f>
        <v>#VALUE!</v>
      </c>
      <c r="IP149" t="e">
        <f>AND('SPR BARRANQUILLA'!DL179,"AAAAAH/2/fk=")</f>
        <v>#VALUE!</v>
      </c>
      <c r="IQ149" t="e">
        <f>AND('SPR BARRANQUILLA'!DM179,"AAAAAH/2/fo=")</f>
        <v>#VALUE!</v>
      </c>
      <c r="IR149" t="e">
        <f>AND('SPR BARRANQUILLA'!DN179,"AAAAAH/2/fs=")</f>
        <v>#VALUE!</v>
      </c>
      <c r="IS149" t="e">
        <f>AND('SPR BARRANQUILLA'!DO179,"AAAAAH/2/fw=")</f>
        <v>#VALUE!</v>
      </c>
      <c r="IT149" t="e">
        <f>AND('SPR BARRANQUILLA'!DP179,"AAAAAH/2/f0=")</f>
        <v>#VALUE!</v>
      </c>
      <c r="IU149" t="e">
        <f>AND('SPR BARRANQUILLA'!DQ179,"AAAAAH/2/f4=")</f>
        <v>#VALUE!</v>
      </c>
      <c r="IV149" t="e">
        <f>AND('SPR BARRANQUILLA'!DR179,"AAAAAH/2/f8=")</f>
        <v>#VALUE!</v>
      </c>
    </row>
    <row r="150" spans="1:256">
      <c r="A150" t="e">
        <f>AND('SPR BARRANQUILLA'!DS179,"AAAAAHqzzQA=")</f>
        <v>#VALUE!</v>
      </c>
      <c r="B150" t="e">
        <f>AND('SPR BARRANQUILLA'!DT179,"AAAAAHqzzQE=")</f>
        <v>#VALUE!</v>
      </c>
      <c r="C150" t="e">
        <f>AND('SPR BARRANQUILLA'!DU179,"AAAAAHqzzQI=")</f>
        <v>#VALUE!</v>
      </c>
      <c r="D150" t="e">
        <f>AND('SPR BARRANQUILLA'!DV179,"AAAAAHqzzQM=")</f>
        <v>#VALUE!</v>
      </c>
      <c r="E150" t="e">
        <f>AND('SPR BARRANQUILLA'!DW179,"AAAAAHqzzQQ=")</f>
        <v>#VALUE!</v>
      </c>
      <c r="F150" t="e">
        <f>AND('SPR BARRANQUILLA'!DX179,"AAAAAHqzzQU=")</f>
        <v>#VALUE!</v>
      </c>
      <c r="G150" t="e">
        <f>AND('SPR BARRANQUILLA'!DY179,"AAAAAHqzzQY=")</f>
        <v>#VALUE!</v>
      </c>
      <c r="H150" t="e">
        <f>AND('SPR BARRANQUILLA'!DZ179,"AAAAAHqzzQc=")</f>
        <v>#VALUE!</v>
      </c>
      <c r="I150" t="e">
        <f>AND('SPR BARRANQUILLA'!EA179,"AAAAAHqzzQg=")</f>
        <v>#VALUE!</v>
      </c>
      <c r="J150" t="e">
        <f>AND('SPR BARRANQUILLA'!EB179,"AAAAAHqzzQk=")</f>
        <v>#VALUE!</v>
      </c>
      <c r="K150" t="e">
        <f>AND('SPR BARRANQUILLA'!EC179,"AAAAAHqzzQo=")</f>
        <v>#VALUE!</v>
      </c>
      <c r="L150" t="e">
        <f>AND('SPR BARRANQUILLA'!ED179,"AAAAAHqzzQs=")</f>
        <v>#VALUE!</v>
      </c>
      <c r="M150" t="e">
        <f>AND('SPR BARRANQUILLA'!EE179,"AAAAAHqzzQw=")</f>
        <v>#VALUE!</v>
      </c>
      <c r="N150" t="e">
        <f>AND('SPR BARRANQUILLA'!EF179,"AAAAAHqzzQ0=")</f>
        <v>#VALUE!</v>
      </c>
      <c r="O150" t="e">
        <f>AND('SPR BARRANQUILLA'!EG179,"AAAAAHqzzQ4=")</f>
        <v>#VALUE!</v>
      </c>
      <c r="P150" t="e">
        <f>AND('SPR BARRANQUILLA'!EH179,"AAAAAHqzzQ8=")</f>
        <v>#VALUE!</v>
      </c>
      <c r="Q150" t="e">
        <f>AND('SPR BARRANQUILLA'!EI179,"AAAAAHqzzRA=")</f>
        <v>#VALUE!</v>
      </c>
      <c r="R150" t="e">
        <f>AND('SPR BARRANQUILLA'!EJ179,"AAAAAHqzzRE=")</f>
        <v>#VALUE!</v>
      </c>
      <c r="S150" t="e">
        <f>AND('SPR BARRANQUILLA'!EK179,"AAAAAHqzzRI=")</f>
        <v>#VALUE!</v>
      </c>
      <c r="T150" t="e">
        <f>AND('SPR BARRANQUILLA'!EL179,"AAAAAHqzzRM=")</f>
        <v>#VALUE!</v>
      </c>
      <c r="U150" t="e">
        <f>AND('SPR BARRANQUILLA'!EM179,"AAAAAHqzzRQ=")</f>
        <v>#VALUE!</v>
      </c>
      <c r="V150" t="e">
        <f>AND('SPR BARRANQUILLA'!EN179,"AAAAAHqzzRU=")</f>
        <v>#VALUE!</v>
      </c>
      <c r="W150" t="e">
        <f>AND('SPR BARRANQUILLA'!EO179,"AAAAAHqzzRY=")</f>
        <v>#VALUE!</v>
      </c>
      <c r="X150" t="e">
        <f>AND('SPR BARRANQUILLA'!EP179,"AAAAAHqzzRc=")</f>
        <v>#VALUE!</v>
      </c>
      <c r="Y150" t="e">
        <f>AND('SPR BARRANQUILLA'!EQ179,"AAAAAHqzzRg=")</f>
        <v>#VALUE!</v>
      </c>
      <c r="Z150" t="e">
        <f>AND('SPR BARRANQUILLA'!ER179,"AAAAAHqzzRk=")</f>
        <v>#VALUE!</v>
      </c>
      <c r="AA150" t="e">
        <f>AND('SPR BARRANQUILLA'!ES179,"AAAAAHqzzRo=")</f>
        <v>#VALUE!</v>
      </c>
      <c r="AB150" t="e">
        <f>AND('SPR BARRANQUILLA'!ET179,"AAAAAHqzzRs=")</f>
        <v>#VALUE!</v>
      </c>
      <c r="AC150" t="e">
        <f>AND('SPR BARRANQUILLA'!EU179,"AAAAAHqzzRw=")</f>
        <v>#VALUE!</v>
      </c>
      <c r="AD150" t="e">
        <f>AND('SPR BARRANQUILLA'!EV179,"AAAAAHqzzR0=")</f>
        <v>#VALUE!</v>
      </c>
      <c r="AE150" t="e">
        <f>AND('SPR BARRANQUILLA'!EW179,"AAAAAHqzzR4=")</f>
        <v>#VALUE!</v>
      </c>
      <c r="AF150" t="e">
        <f>AND('SPR BARRANQUILLA'!EX179,"AAAAAHqzzR8=")</f>
        <v>#VALUE!</v>
      </c>
      <c r="AG150" t="e">
        <f>AND('SPR BARRANQUILLA'!EY179,"AAAAAHqzzSA=")</f>
        <v>#VALUE!</v>
      </c>
      <c r="AH150" t="e">
        <f>AND('SPR BARRANQUILLA'!EZ179,"AAAAAHqzzSE=")</f>
        <v>#VALUE!</v>
      </c>
      <c r="AI150" t="e">
        <f>AND('SPR BARRANQUILLA'!FA179,"AAAAAHqzzSI=")</f>
        <v>#VALUE!</v>
      </c>
      <c r="AJ150" t="e">
        <f>AND('SPR BARRANQUILLA'!FB179,"AAAAAHqzzSM=")</f>
        <v>#VALUE!</v>
      </c>
      <c r="AK150" t="e">
        <f>AND('SPR BARRANQUILLA'!FC179,"AAAAAHqzzSQ=")</f>
        <v>#VALUE!</v>
      </c>
      <c r="AL150" t="e">
        <f>AND('SPR BARRANQUILLA'!FD179,"AAAAAHqzzSU=")</f>
        <v>#VALUE!</v>
      </c>
      <c r="AM150" t="e">
        <f>AND('SPR BARRANQUILLA'!FE179,"AAAAAHqzzSY=")</f>
        <v>#VALUE!</v>
      </c>
      <c r="AN150" t="e">
        <f>AND('SPR BARRANQUILLA'!FF179,"AAAAAHqzzSc=")</f>
        <v>#VALUE!</v>
      </c>
      <c r="AO150" t="e">
        <f>AND('SPR BARRANQUILLA'!FG179,"AAAAAHqzzSg=")</f>
        <v>#VALUE!</v>
      </c>
      <c r="AP150" t="e">
        <f>AND('SPR BARRANQUILLA'!FH179,"AAAAAHqzzSk=")</f>
        <v>#VALUE!</v>
      </c>
      <c r="AQ150" t="e">
        <f>AND('SPR BARRANQUILLA'!FI179,"AAAAAHqzzSo=")</f>
        <v>#VALUE!</v>
      </c>
      <c r="AR150" t="e">
        <f>AND('SPR BARRANQUILLA'!FJ179,"AAAAAHqzzSs=")</f>
        <v>#VALUE!</v>
      </c>
      <c r="AS150" t="e">
        <f>AND('SPR BARRANQUILLA'!FK179,"AAAAAHqzzSw=")</f>
        <v>#VALUE!</v>
      </c>
      <c r="AT150" t="e">
        <f>AND('SPR BARRANQUILLA'!FL179,"AAAAAHqzzS0=")</f>
        <v>#VALUE!</v>
      </c>
      <c r="AU150" t="e">
        <f>AND('SPR BARRANQUILLA'!FM179,"AAAAAHqzzS4=")</f>
        <v>#VALUE!</v>
      </c>
      <c r="AV150" t="e">
        <f>AND('SPR BARRANQUILLA'!FN179,"AAAAAHqzzS8=")</f>
        <v>#VALUE!</v>
      </c>
      <c r="AW150" t="e">
        <f>AND('SPR BARRANQUILLA'!FO179,"AAAAAHqzzTA=")</f>
        <v>#VALUE!</v>
      </c>
      <c r="AX150" t="e">
        <f>AND('SPR BARRANQUILLA'!FP179,"AAAAAHqzzTE=")</f>
        <v>#VALUE!</v>
      </c>
      <c r="AY150" t="e">
        <f>AND('SPR BARRANQUILLA'!FQ179,"AAAAAHqzzTI=")</f>
        <v>#VALUE!</v>
      </c>
      <c r="AZ150" t="e">
        <f>AND('SPR BARRANQUILLA'!FR179,"AAAAAHqzzTM=")</f>
        <v>#VALUE!</v>
      </c>
      <c r="BA150" t="e">
        <f>AND('SPR BARRANQUILLA'!FS179,"AAAAAHqzzTQ=")</f>
        <v>#VALUE!</v>
      </c>
      <c r="BB150" t="e">
        <f>AND('SPR BARRANQUILLA'!FT179,"AAAAAHqzzTU=")</f>
        <v>#VALUE!</v>
      </c>
      <c r="BC150" t="e">
        <f>AND('SPR BARRANQUILLA'!FU179,"AAAAAHqzzTY=")</f>
        <v>#VALUE!</v>
      </c>
      <c r="BD150" t="e">
        <f>AND('SPR BARRANQUILLA'!FV179,"AAAAAHqzzTc=")</f>
        <v>#VALUE!</v>
      </c>
      <c r="BE150" t="e">
        <f>AND('SPR BARRANQUILLA'!FW179,"AAAAAHqzzTg=")</f>
        <v>#VALUE!</v>
      </c>
      <c r="BF150" t="e">
        <f>AND('SPR BARRANQUILLA'!FX179,"AAAAAHqzzTk=")</f>
        <v>#VALUE!</v>
      </c>
      <c r="BG150" t="e">
        <f>AND('SPR BARRANQUILLA'!FY179,"AAAAAHqzzTo=")</f>
        <v>#VALUE!</v>
      </c>
      <c r="BH150" t="e">
        <f>AND('SPR BARRANQUILLA'!FZ179,"AAAAAHqzzTs=")</f>
        <v>#VALUE!</v>
      </c>
      <c r="BI150" t="e">
        <f>AND('SPR BARRANQUILLA'!GA179,"AAAAAHqzzTw=")</f>
        <v>#VALUE!</v>
      </c>
      <c r="BJ150" t="e">
        <f>AND('SPR BARRANQUILLA'!GB179,"AAAAAHqzzT0=")</f>
        <v>#VALUE!</v>
      </c>
      <c r="BK150" t="e">
        <f>AND('SPR BARRANQUILLA'!GC179,"AAAAAHqzzT4=")</f>
        <v>#VALUE!</v>
      </c>
      <c r="BL150" t="e">
        <f>AND('SPR BARRANQUILLA'!GD179,"AAAAAHqzzT8=")</f>
        <v>#VALUE!</v>
      </c>
      <c r="BM150" t="e">
        <f>AND('SPR BARRANQUILLA'!GE179,"AAAAAHqzzUA=")</f>
        <v>#VALUE!</v>
      </c>
      <c r="BN150" t="e">
        <f>AND('SPR BARRANQUILLA'!GF179,"AAAAAHqzzUE=")</f>
        <v>#VALUE!</v>
      </c>
      <c r="BO150" t="e">
        <f>AND('SPR BARRANQUILLA'!GG179,"AAAAAHqzzUI=")</f>
        <v>#VALUE!</v>
      </c>
      <c r="BP150" t="e">
        <f>AND('SPR BARRANQUILLA'!GH179,"AAAAAHqzzUM=")</f>
        <v>#VALUE!</v>
      </c>
      <c r="BQ150" t="e">
        <f>AND('SPR BARRANQUILLA'!GI179,"AAAAAHqzzUQ=")</f>
        <v>#VALUE!</v>
      </c>
      <c r="BR150" t="e">
        <f>AND('SPR BARRANQUILLA'!GJ179,"AAAAAHqzzUU=")</f>
        <v>#VALUE!</v>
      </c>
      <c r="BS150" t="e">
        <f>AND('SPR BARRANQUILLA'!GK179,"AAAAAHqzzUY=")</f>
        <v>#VALUE!</v>
      </c>
      <c r="BT150" t="e">
        <f>AND('SPR BARRANQUILLA'!GL179,"AAAAAHqzzUc=")</f>
        <v>#VALUE!</v>
      </c>
      <c r="BU150" t="e">
        <f>AND('SPR BARRANQUILLA'!GM179,"AAAAAHqzzUg=")</f>
        <v>#VALUE!</v>
      </c>
      <c r="BV150" t="e">
        <f>AND('SPR BARRANQUILLA'!GN179,"AAAAAHqzzUk=")</f>
        <v>#VALUE!</v>
      </c>
      <c r="BW150" t="e">
        <f>AND('SPR BARRANQUILLA'!GO179,"AAAAAHqzzUo=")</f>
        <v>#VALUE!</v>
      </c>
      <c r="BX150" t="e">
        <f>AND('SPR BARRANQUILLA'!GP179,"AAAAAHqzzUs=")</f>
        <v>#VALUE!</v>
      </c>
      <c r="BY150" t="e">
        <f>AND('SPR BARRANQUILLA'!GQ179,"AAAAAHqzzUw=")</f>
        <v>#VALUE!</v>
      </c>
      <c r="BZ150" t="e">
        <f>AND('SPR BARRANQUILLA'!GR179,"AAAAAHqzzU0=")</f>
        <v>#VALUE!</v>
      </c>
      <c r="CA150" t="e">
        <f>AND('SPR BARRANQUILLA'!GS179,"AAAAAHqzzU4=")</f>
        <v>#VALUE!</v>
      </c>
      <c r="CB150" t="e">
        <f>AND('SPR BARRANQUILLA'!GT179,"AAAAAHqzzU8=")</f>
        <v>#VALUE!</v>
      </c>
      <c r="CC150" t="e">
        <f>AND('SPR BARRANQUILLA'!GU179,"AAAAAHqzzVA=")</f>
        <v>#VALUE!</v>
      </c>
      <c r="CD150" t="e">
        <f>AND('SPR BARRANQUILLA'!GV179,"AAAAAHqzzVE=")</f>
        <v>#VALUE!</v>
      </c>
      <c r="CE150" t="e">
        <f>AND('SPR BARRANQUILLA'!GW179,"AAAAAHqzzVI=")</f>
        <v>#VALUE!</v>
      </c>
      <c r="CF150" t="e">
        <f>AND('SPR BARRANQUILLA'!GX179,"AAAAAHqzzVM=")</f>
        <v>#VALUE!</v>
      </c>
      <c r="CG150" t="e">
        <f>AND('SPR BARRANQUILLA'!GY179,"AAAAAHqzzVQ=")</f>
        <v>#VALUE!</v>
      </c>
      <c r="CH150">
        <f>IF('SPR BARRANQUILLA'!180:180,"AAAAAHqzzVU=",0)</f>
        <v>0</v>
      </c>
      <c r="CI150" t="e">
        <f>AND('SPR BARRANQUILLA'!A180,"AAAAAHqzzVY=")</f>
        <v>#VALUE!</v>
      </c>
      <c r="CJ150" t="e">
        <f>AND('SPR BARRANQUILLA'!B180,"AAAAAHqzzVc=")</f>
        <v>#VALUE!</v>
      </c>
      <c r="CK150" t="e">
        <f>AND('SPR BARRANQUILLA'!C180,"AAAAAHqzzVg=")</f>
        <v>#VALUE!</v>
      </c>
      <c r="CL150" t="e">
        <f>AND('SPR BARRANQUILLA'!D180,"AAAAAHqzzVk=")</f>
        <v>#VALUE!</v>
      </c>
      <c r="CM150" t="e">
        <f>AND('SPR BARRANQUILLA'!E180,"AAAAAHqzzVo=")</f>
        <v>#VALUE!</v>
      </c>
      <c r="CN150" t="e">
        <f>AND('SPR BARRANQUILLA'!F180,"AAAAAHqzzVs=")</f>
        <v>#VALUE!</v>
      </c>
      <c r="CO150" t="e">
        <f>AND('SPR BARRANQUILLA'!G180,"AAAAAHqzzVw=")</f>
        <v>#VALUE!</v>
      </c>
      <c r="CP150" t="e">
        <f>AND('SPR BARRANQUILLA'!H180,"AAAAAHqzzV0=")</f>
        <v>#VALUE!</v>
      </c>
      <c r="CQ150" t="e">
        <f>AND('SPR BARRANQUILLA'!I180,"AAAAAHqzzV4=")</f>
        <v>#VALUE!</v>
      </c>
      <c r="CR150" t="e">
        <f>AND('SPR BARRANQUILLA'!J180,"AAAAAHqzzV8=")</f>
        <v>#VALUE!</v>
      </c>
      <c r="CS150" t="e">
        <f>AND('SPR BARRANQUILLA'!K180,"AAAAAHqzzWA=")</f>
        <v>#VALUE!</v>
      </c>
      <c r="CT150" t="e">
        <f>AND('SPR BARRANQUILLA'!L180,"AAAAAHqzzWE=")</f>
        <v>#VALUE!</v>
      </c>
      <c r="CU150" t="e">
        <f>AND('SPR BARRANQUILLA'!M180,"AAAAAHqzzWI=")</f>
        <v>#VALUE!</v>
      </c>
      <c r="CV150" t="e">
        <f>AND('SPR BARRANQUILLA'!N180,"AAAAAHqzzWM=")</f>
        <v>#VALUE!</v>
      </c>
      <c r="CW150" t="e">
        <f>AND('SPR BARRANQUILLA'!O180,"AAAAAHqzzWQ=")</f>
        <v>#VALUE!</v>
      </c>
      <c r="CX150" t="e">
        <f>AND('SPR BARRANQUILLA'!P180,"AAAAAHqzzWU=")</f>
        <v>#VALUE!</v>
      </c>
      <c r="CY150" t="e">
        <f>AND('SPR BARRANQUILLA'!Q180,"AAAAAHqzzWY=")</f>
        <v>#VALUE!</v>
      </c>
      <c r="CZ150" t="e">
        <f>AND('SPR BARRANQUILLA'!R180,"AAAAAHqzzWc=")</f>
        <v>#VALUE!</v>
      </c>
      <c r="DA150" t="e">
        <f>AND('SPR BARRANQUILLA'!S180,"AAAAAHqzzWg=")</f>
        <v>#VALUE!</v>
      </c>
      <c r="DB150" t="e">
        <f>AND('SPR BARRANQUILLA'!T180,"AAAAAHqzzWk=")</f>
        <v>#VALUE!</v>
      </c>
      <c r="DC150" t="e">
        <f>AND('SPR BARRANQUILLA'!U180,"AAAAAHqzzWo=")</f>
        <v>#VALUE!</v>
      </c>
      <c r="DD150" t="e">
        <f>AND('SPR BARRANQUILLA'!V180,"AAAAAHqzzWs=")</f>
        <v>#VALUE!</v>
      </c>
      <c r="DE150" t="e">
        <f>AND('SPR BARRANQUILLA'!W180,"AAAAAHqzzWw=")</f>
        <v>#VALUE!</v>
      </c>
      <c r="DF150" t="e">
        <f>AND('SPR BARRANQUILLA'!X180,"AAAAAHqzzW0=")</f>
        <v>#VALUE!</v>
      </c>
      <c r="DG150" t="e">
        <f>AND('SPR BARRANQUILLA'!Y180,"AAAAAHqzzW4=")</f>
        <v>#VALUE!</v>
      </c>
      <c r="DH150" t="e">
        <f>AND('SPR BARRANQUILLA'!Z180,"AAAAAHqzzW8=")</f>
        <v>#VALUE!</v>
      </c>
      <c r="DI150" t="e">
        <f>AND('SPR BARRANQUILLA'!AA180,"AAAAAHqzzXA=")</f>
        <v>#VALUE!</v>
      </c>
      <c r="DJ150" t="e">
        <f>AND('SPR BARRANQUILLA'!AB180,"AAAAAHqzzXE=")</f>
        <v>#VALUE!</v>
      </c>
      <c r="DK150" t="e">
        <f>AND('SPR BARRANQUILLA'!AC180,"AAAAAHqzzXI=")</f>
        <v>#VALUE!</v>
      </c>
      <c r="DL150" t="e">
        <f>AND('SPR BARRANQUILLA'!AD180,"AAAAAHqzzXM=")</f>
        <v>#VALUE!</v>
      </c>
      <c r="DM150" t="e">
        <f>AND('SPR BARRANQUILLA'!AE180,"AAAAAHqzzXQ=")</f>
        <v>#VALUE!</v>
      </c>
      <c r="DN150" t="e">
        <f>AND('SPR BARRANQUILLA'!AF180,"AAAAAHqzzXU=")</f>
        <v>#VALUE!</v>
      </c>
      <c r="DO150" t="e">
        <f>AND('SPR BARRANQUILLA'!AG180,"AAAAAHqzzXY=")</f>
        <v>#VALUE!</v>
      </c>
      <c r="DP150" t="e">
        <f>AND('SPR BARRANQUILLA'!AH180,"AAAAAHqzzXc=")</f>
        <v>#VALUE!</v>
      </c>
      <c r="DQ150" t="e">
        <f>AND('SPR BARRANQUILLA'!AI180,"AAAAAHqzzXg=")</f>
        <v>#VALUE!</v>
      </c>
      <c r="DR150" t="e">
        <f>AND('SPR BARRANQUILLA'!AJ180,"AAAAAHqzzXk=")</f>
        <v>#VALUE!</v>
      </c>
      <c r="DS150" t="e">
        <f>AND('SPR BARRANQUILLA'!AK180,"AAAAAHqzzXo=")</f>
        <v>#VALUE!</v>
      </c>
      <c r="DT150" t="e">
        <f>AND('SPR BARRANQUILLA'!AL180,"AAAAAHqzzXs=")</f>
        <v>#VALUE!</v>
      </c>
      <c r="DU150" t="e">
        <f>AND('SPR BARRANQUILLA'!AM180,"AAAAAHqzzXw=")</f>
        <v>#VALUE!</v>
      </c>
      <c r="DV150" t="e">
        <f>AND('SPR BARRANQUILLA'!AN180,"AAAAAHqzzX0=")</f>
        <v>#VALUE!</v>
      </c>
      <c r="DW150" t="e">
        <f>AND('SPR BARRANQUILLA'!AO180,"AAAAAHqzzX4=")</f>
        <v>#VALUE!</v>
      </c>
      <c r="DX150" t="e">
        <f>AND('SPR BARRANQUILLA'!AP180,"AAAAAHqzzX8=")</f>
        <v>#VALUE!</v>
      </c>
      <c r="DY150" t="e">
        <f>AND('SPR BARRANQUILLA'!AQ180,"AAAAAHqzzYA=")</f>
        <v>#VALUE!</v>
      </c>
      <c r="DZ150" t="e">
        <f>AND('SPR BARRANQUILLA'!AR180,"AAAAAHqzzYE=")</f>
        <v>#VALUE!</v>
      </c>
      <c r="EA150" t="e">
        <f>AND('SPR BARRANQUILLA'!AS180,"AAAAAHqzzYI=")</f>
        <v>#VALUE!</v>
      </c>
      <c r="EB150" t="e">
        <f>AND('SPR BARRANQUILLA'!AT180,"AAAAAHqzzYM=")</f>
        <v>#VALUE!</v>
      </c>
      <c r="EC150" t="e">
        <f>AND('SPR BARRANQUILLA'!AU180,"AAAAAHqzzYQ=")</f>
        <v>#VALUE!</v>
      </c>
      <c r="ED150" t="e">
        <f>AND('SPR BARRANQUILLA'!AV180,"AAAAAHqzzYU=")</f>
        <v>#VALUE!</v>
      </c>
      <c r="EE150" t="e">
        <f>AND('SPR BARRANQUILLA'!AW180,"AAAAAHqzzYY=")</f>
        <v>#VALUE!</v>
      </c>
      <c r="EF150" t="e">
        <f>AND('SPR BARRANQUILLA'!AX180,"AAAAAHqzzYc=")</f>
        <v>#VALUE!</v>
      </c>
      <c r="EG150" t="e">
        <f>AND('SPR BARRANQUILLA'!AY180,"AAAAAHqzzYg=")</f>
        <v>#VALUE!</v>
      </c>
      <c r="EH150" t="e">
        <f>AND('SPR BARRANQUILLA'!AZ180,"AAAAAHqzzYk=")</f>
        <v>#VALUE!</v>
      </c>
      <c r="EI150" t="e">
        <f>AND('SPR BARRANQUILLA'!BA180,"AAAAAHqzzYo=")</f>
        <v>#VALUE!</v>
      </c>
      <c r="EJ150" t="e">
        <f>AND('SPR BARRANQUILLA'!BB180,"AAAAAHqzzYs=")</f>
        <v>#VALUE!</v>
      </c>
      <c r="EK150" t="e">
        <f>AND('SPR BARRANQUILLA'!BC180,"AAAAAHqzzYw=")</f>
        <v>#VALUE!</v>
      </c>
      <c r="EL150" t="e">
        <f>AND('SPR BARRANQUILLA'!BD180,"AAAAAHqzzY0=")</f>
        <v>#VALUE!</v>
      </c>
      <c r="EM150" t="e">
        <f>AND('SPR BARRANQUILLA'!BE180,"AAAAAHqzzY4=")</f>
        <v>#VALUE!</v>
      </c>
      <c r="EN150" t="e">
        <f>AND('SPR BARRANQUILLA'!BF180,"AAAAAHqzzY8=")</f>
        <v>#VALUE!</v>
      </c>
      <c r="EO150" t="e">
        <f>AND('SPR BARRANQUILLA'!BG180,"AAAAAHqzzZA=")</f>
        <v>#VALUE!</v>
      </c>
      <c r="EP150" t="e">
        <f>AND('SPR BARRANQUILLA'!BH180,"AAAAAHqzzZE=")</f>
        <v>#VALUE!</v>
      </c>
      <c r="EQ150" t="e">
        <f>AND('SPR BARRANQUILLA'!BI180,"AAAAAHqzzZI=")</f>
        <v>#VALUE!</v>
      </c>
      <c r="ER150" t="e">
        <f>AND('SPR BARRANQUILLA'!BJ180,"AAAAAHqzzZM=")</f>
        <v>#VALUE!</v>
      </c>
      <c r="ES150" t="e">
        <f>AND('SPR BARRANQUILLA'!BK180,"AAAAAHqzzZQ=")</f>
        <v>#VALUE!</v>
      </c>
      <c r="ET150" t="e">
        <f>AND('SPR BARRANQUILLA'!BL180,"AAAAAHqzzZU=")</f>
        <v>#VALUE!</v>
      </c>
      <c r="EU150" t="e">
        <f>AND('SPR BARRANQUILLA'!BM180,"AAAAAHqzzZY=")</f>
        <v>#VALUE!</v>
      </c>
      <c r="EV150" t="e">
        <f>AND('SPR BARRANQUILLA'!BN180,"AAAAAHqzzZc=")</f>
        <v>#VALUE!</v>
      </c>
      <c r="EW150" t="e">
        <f>AND('SPR BARRANQUILLA'!BO180,"AAAAAHqzzZg=")</f>
        <v>#VALUE!</v>
      </c>
      <c r="EX150" t="e">
        <f>AND('SPR BARRANQUILLA'!BP180,"AAAAAHqzzZk=")</f>
        <v>#VALUE!</v>
      </c>
      <c r="EY150" t="e">
        <f>AND('SPR BARRANQUILLA'!BQ180,"AAAAAHqzzZo=")</f>
        <v>#VALUE!</v>
      </c>
      <c r="EZ150" t="e">
        <f>AND('SPR BARRANQUILLA'!BR180,"AAAAAHqzzZs=")</f>
        <v>#VALUE!</v>
      </c>
      <c r="FA150" t="e">
        <f>AND('SPR BARRANQUILLA'!BS180,"AAAAAHqzzZw=")</f>
        <v>#VALUE!</v>
      </c>
      <c r="FB150" t="e">
        <f>AND('SPR BARRANQUILLA'!BT180,"AAAAAHqzzZ0=")</f>
        <v>#VALUE!</v>
      </c>
      <c r="FC150" t="e">
        <f>AND('SPR BARRANQUILLA'!BU180,"AAAAAHqzzZ4=")</f>
        <v>#VALUE!</v>
      </c>
      <c r="FD150" t="e">
        <f>AND('SPR BARRANQUILLA'!BV180,"AAAAAHqzzZ8=")</f>
        <v>#VALUE!</v>
      </c>
      <c r="FE150" t="e">
        <f>AND('SPR BARRANQUILLA'!BW180,"AAAAAHqzzaA=")</f>
        <v>#VALUE!</v>
      </c>
      <c r="FF150" t="e">
        <f>AND('SPR BARRANQUILLA'!BX180,"AAAAAHqzzaE=")</f>
        <v>#VALUE!</v>
      </c>
      <c r="FG150" t="e">
        <f>AND('SPR BARRANQUILLA'!BY180,"AAAAAHqzzaI=")</f>
        <v>#VALUE!</v>
      </c>
      <c r="FH150" t="e">
        <f>AND('SPR BARRANQUILLA'!BZ180,"AAAAAHqzzaM=")</f>
        <v>#VALUE!</v>
      </c>
      <c r="FI150" t="e">
        <f>AND('SPR BARRANQUILLA'!CA180,"AAAAAHqzzaQ=")</f>
        <v>#VALUE!</v>
      </c>
      <c r="FJ150" t="e">
        <f>AND('SPR BARRANQUILLA'!CB180,"AAAAAHqzzaU=")</f>
        <v>#VALUE!</v>
      </c>
      <c r="FK150" t="e">
        <f>AND('SPR BARRANQUILLA'!CC180,"AAAAAHqzzaY=")</f>
        <v>#VALUE!</v>
      </c>
      <c r="FL150" t="e">
        <f>AND('SPR BARRANQUILLA'!CD180,"AAAAAHqzzac=")</f>
        <v>#VALUE!</v>
      </c>
      <c r="FM150" t="e">
        <f>AND('SPR BARRANQUILLA'!CE180,"AAAAAHqzzag=")</f>
        <v>#VALUE!</v>
      </c>
      <c r="FN150" t="e">
        <f>AND('SPR BARRANQUILLA'!CF180,"AAAAAHqzzak=")</f>
        <v>#VALUE!</v>
      </c>
      <c r="FO150" t="e">
        <f>AND('SPR BARRANQUILLA'!CG180,"AAAAAHqzzao=")</f>
        <v>#VALUE!</v>
      </c>
      <c r="FP150" t="e">
        <f>AND('SPR BARRANQUILLA'!CH180,"AAAAAHqzzas=")</f>
        <v>#VALUE!</v>
      </c>
      <c r="FQ150" t="e">
        <f>AND('SPR BARRANQUILLA'!CI180,"AAAAAHqzzaw=")</f>
        <v>#VALUE!</v>
      </c>
      <c r="FR150" t="e">
        <f>AND('SPR BARRANQUILLA'!CJ180,"AAAAAHqzza0=")</f>
        <v>#VALUE!</v>
      </c>
      <c r="FS150" t="e">
        <f>AND('SPR BARRANQUILLA'!CK180,"AAAAAHqzza4=")</f>
        <v>#VALUE!</v>
      </c>
      <c r="FT150" t="e">
        <f>AND('SPR BARRANQUILLA'!CL180,"AAAAAHqzza8=")</f>
        <v>#VALUE!</v>
      </c>
      <c r="FU150" t="e">
        <f>AND('SPR BARRANQUILLA'!CM180,"AAAAAHqzzbA=")</f>
        <v>#VALUE!</v>
      </c>
      <c r="FV150" t="e">
        <f>AND('SPR BARRANQUILLA'!CN180,"AAAAAHqzzbE=")</f>
        <v>#VALUE!</v>
      </c>
      <c r="FW150" t="e">
        <f>AND('SPR BARRANQUILLA'!CO180,"AAAAAHqzzbI=")</f>
        <v>#VALUE!</v>
      </c>
      <c r="FX150" t="e">
        <f>AND('SPR BARRANQUILLA'!CP180,"AAAAAHqzzbM=")</f>
        <v>#VALUE!</v>
      </c>
      <c r="FY150" t="e">
        <f>AND('SPR BARRANQUILLA'!CQ180,"AAAAAHqzzbQ=")</f>
        <v>#VALUE!</v>
      </c>
      <c r="FZ150" t="e">
        <f>AND('SPR BARRANQUILLA'!CR180,"AAAAAHqzzbU=")</f>
        <v>#VALUE!</v>
      </c>
      <c r="GA150" t="e">
        <f>AND('SPR BARRANQUILLA'!CS180,"AAAAAHqzzbY=")</f>
        <v>#VALUE!</v>
      </c>
      <c r="GB150" t="e">
        <f>AND('SPR BARRANQUILLA'!CT180,"AAAAAHqzzbc=")</f>
        <v>#VALUE!</v>
      </c>
      <c r="GC150" t="e">
        <f>AND('SPR BARRANQUILLA'!CU180,"AAAAAHqzzbg=")</f>
        <v>#VALUE!</v>
      </c>
      <c r="GD150" t="e">
        <f>AND('SPR BARRANQUILLA'!CV180,"AAAAAHqzzbk=")</f>
        <v>#VALUE!</v>
      </c>
      <c r="GE150" t="e">
        <f>AND('SPR BARRANQUILLA'!CW180,"AAAAAHqzzbo=")</f>
        <v>#VALUE!</v>
      </c>
      <c r="GF150" t="e">
        <f>AND('SPR BARRANQUILLA'!CX180,"AAAAAHqzzbs=")</f>
        <v>#VALUE!</v>
      </c>
      <c r="GG150" t="e">
        <f>AND('SPR BARRANQUILLA'!CY180,"AAAAAHqzzbw=")</f>
        <v>#VALUE!</v>
      </c>
      <c r="GH150" t="e">
        <f>AND('SPR BARRANQUILLA'!CZ180,"AAAAAHqzzb0=")</f>
        <v>#VALUE!</v>
      </c>
      <c r="GI150" t="e">
        <f>AND('SPR BARRANQUILLA'!DA180,"AAAAAHqzzb4=")</f>
        <v>#VALUE!</v>
      </c>
      <c r="GJ150" t="e">
        <f>AND('SPR BARRANQUILLA'!DB180,"AAAAAHqzzb8=")</f>
        <v>#VALUE!</v>
      </c>
      <c r="GK150" t="e">
        <f>AND('SPR BARRANQUILLA'!DC180,"AAAAAHqzzcA=")</f>
        <v>#VALUE!</v>
      </c>
      <c r="GL150" t="e">
        <f>AND('SPR BARRANQUILLA'!DD180,"AAAAAHqzzcE=")</f>
        <v>#VALUE!</v>
      </c>
      <c r="GM150" t="e">
        <f>AND('SPR BARRANQUILLA'!DE180,"AAAAAHqzzcI=")</f>
        <v>#VALUE!</v>
      </c>
      <c r="GN150" t="e">
        <f>AND('SPR BARRANQUILLA'!DF180,"AAAAAHqzzcM=")</f>
        <v>#VALUE!</v>
      </c>
      <c r="GO150" t="e">
        <f>AND('SPR BARRANQUILLA'!DG180,"AAAAAHqzzcQ=")</f>
        <v>#VALUE!</v>
      </c>
      <c r="GP150" t="e">
        <f>AND('SPR BARRANQUILLA'!DH180,"AAAAAHqzzcU=")</f>
        <v>#VALUE!</v>
      </c>
      <c r="GQ150" t="e">
        <f>AND('SPR BARRANQUILLA'!DI180,"AAAAAHqzzcY=")</f>
        <v>#VALUE!</v>
      </c>
      <c r="GR150" t="e">
        <f>AND('SPR BARRANQUILLA'!DJ180,"AAAAAHqzzcc=")</f>
        <v>#VALUE!</v>
      </c>
      <c r="GS150" t="e">
        <f>AND('SPR BARRANQUILLA'!DK180,"AAAAAHqzzcg=")</f>
        <v>#VALUE!</v>
      </c>
      <c r="GT150" t="e">
        <f>AND('SPR BARRANQUILLA'!DL180,"AAAAAHqzzck=")</f>
        <v>#VALUE!</v>
      </c>
      <c r="GU150" t="e">
        <f>AND('SPR BARRANQUILLA'!DM180,"AAAAAHqzzco=")</f>
        <v>#VALUE!</v>
      </c>
      <c r="GV150" t="e">
        <f>AND('SPR BARRANQUILLA'!DN180,"AAAAAHqzzcs=")</f>
        <v>#VALUE!</v>
      </c>
      <c r="GW150" t="e">
        <f>AND('SPR BARRANQUILLA'!DO180,"AAAAAHqzzcw=")</f>
        <v>#VALUE!</v>
      </c>
      <c r="GX150" t="e">
        <f>AND('SPR BARRANQUILLA'!DP180,"AAAAAHqzzc0=")</f>
        <v>#VALUE!</v>
      </c>
      <c r="GY150" t="e">
        <f>AND('SPR BARRANQUILLA'!DQ180,"AAAAAHqzzc4=")</f>
        <v>#VALUE!</v>
      </c>
      <c r="GZ150" t="e">
        <f>AND('SPR BARRANQUILLA'!DR180,"AAAAAHqzzc8=")</f>
        <v>#VALUE!</v>
      </c>
      <c r="HA150" t="e">
        <f>AND('SPR BARRANQUILLA'!DS180,"AAAAAHqzzdA=")</f>
        <v>#VALUE!</v>
      </c>
      <c r="HB150" t="e">
        <f>AND('SPR BARRANQUILLA'!DT180,"AAAAAHqzzdE=")</f>
        <v>#VALUE!</v>
      </c>
      <c r="HC150" t="e">
        <f>AND('SPR BARRANQUILLA'!DU180,"AAAAAHqzzdI=")</f>
        <v>#VALUE!</v>
      </c>
      <c r="HD150" t="e">
        <f>AND('SPR BARRANQUILLA'!DV180,"AAAAAHqzzdM=")</f>
        <v>#VALUE!</v>
      </c>
      <c r="HE150" t="e">
        <f>AND('SPR BARRANQUILLA'!DW180,"AAAAAHqzzdQ=")</f>
        <v>#VALUE!</v>
      </c>
      <c r="HF150" t="e">
        <f>AND('SPR BARRANQUILLA'!DX180,"AAAAAHqzzdU=")</f>
        <v>#VALUE!</v>
      </c>
      <c r="HG150" t="e">
        <f>AND('SPR BARRANQUILLA'!DY180,"AAAAAHqzzdY=")</f>
        <v>#VALUE!</v>
      </c>
      <c r="HH150" t="e">
        <f>AND('SPR BARRANQUILLA'!DZ180,"AAAAAHqzzdc=")</f>
        <v>#VALUE!</v>
      </c>
      <c r="HI150" t="e">
        <f>AND('SPR BARRANQUILLA'!EA180,"AAAAAHqzzdg=")</f>
        <v>#VALUE!</v>
      </c>
      <c r="HJ150" t="e">
        <f>AND('SPR BARRANQUILLA'!EB180,"AAAAAHqzzdk=")</f>
        <v>#VALUE!</v>
      </c>
      <c r="HK150" t="e">
        <f>AND('SPR BARRANQUILLA'!EC180,"AAAAAHqzzdo=")</f>
        <v>#VALUE!</v>
      </c>
      <c r="HL150" t="e">
        <f>AND('SPR BARRANQUILLA'!ED180,"AAAAAHqzzds=")</f>
        <v>#VALUE!</v>
      </c>
      <c r="HM150" t="e">
        <f>AND('SPR BARRANQUILLA'!EE180,"AAAAAHqzzdw=")</f>
        <v>#VALUE!</v>
      </c>
      <c r="HN150" t="e">
        <f>AND('SPR BARRANQUILLA'!EF180,"AAAAAHqzzd0=")</f>
        <v>#VALUE!</v>
      </c>
      <c r="HO150" t="e">
        <f>AND('SPR BARRANQUILLA'!EG180,"AAAAAHqzzd4=")</f>
        <v>#VALUE!</v>
      </c>
      <c r="HP150" t="e">
        <f>AND('SPR BARRANQUILLA'!EH180,"AAAAAHqzzd8=")</f>
        <v>#VALUE!</v>
      </c>
      <c r="HQ150" t="e">
        <f>AND('SPR BARRANQUILLA'!EI180,"AAAAAHqzzeA=")</f>
        <v>#VALUE!</v>
      </c>
      <c r="HR150" t="e">
        <f>AND('SPR BARRANQUILLA'!EJ180,"AAAAAHqzzeE=")</f>
        <v>#VALUE!</v>
      </c>
      <c r="HS150" t="e">
        <f>AND('SPR BARRANQUILLA'!EK180,"AAAAAHqzzeI=")</f>
        <v>#VALUE!</v>
      </c>
      <c r="HT150" t="e">
        <f>AND('SPR BARRANQUILLA'!EL180,"AAAAAHqzzeM=")</f>
        <v>#VALUE!</v>
      </c>
      <c r="HU150" t="e">
        <f>AND('SPR BARRANQUILLA'!EM180,"AAAAAHqzzeQ=")</f>
        <v>#VALUE!</v>
      </c>
      <c r="HV150" t="e">
        <f>AND('SPR BARRANQUILLA'!EN180,"AAAAAHqzzeU=")</f>
        <v>#VALUE!</v>
      </c>
      <c r="HW150" t="e">
        <f>AND('SPR BARRANQUILLA'!EO180,"AAAAAHqzzeY=")</f>
        <v>#VALUE!</v>
      </c>
      <c r="HX150" t="e">
        <f>AND('SPR BARRANQUILLA'!EP180,"AAAAAHqzzec=")</f>
        <v>#VALUE!</v>
      </c>
      <c r="HY150" t="e">
        <f>AND('SPR BARRANQUILLA'!EQ180,"AAAAAHqzzeg=")</f>
        <v>#VALUE!</v>
      </c>
      <c r="HZ150" t="e">
        <f>AND('SPR BARRANQUILLA'!ER180,"AAAAAHqzzek=")</f>
        <v>#VALUE!</v>
      </c>
      <c r="IA150" t="e">
        <f>AND('SPR BARRANQUILLA'!ES180,"AAAAAHqzzeo=")</f>
        <v>#VALUE!</v>
      </c>
      <c r="IB150" t="e">
        <f>AND('SPR BARRANQUILLA'!ET180,"AAAAAHqzzes=")</f>
        <v>#VALUE!</v>
      </c>
      <c r="IC150" t="e">
        <f>AND('SPR BARRANQUILLA'!EU180,"AAAAAHqzzew=")</f>
        <v>#VALUE!</v>
      </c>
      <c r="ID150" t="e">
        <f>AND('SPR BARRANQUILLA'!EV180,"AAAAAHqzze0=")</f>
        <v>#VALUE!</v>
      </c>
      <c r="IE150" t="e">
        <f>AND('SPR BARRANQUILLA'!EW180,"AAAAAHqzze4=")</f>
        <v>#VALUE!</v>
      </c>
      <c r="IF150" t="e">
        <f>AND('SPR BARRANQUILLA'!EX180,"AAAAAHqzze8=")</f>
        <v>#VALUE!</v>
      </c>
      <c r="IG150" t="e">
        <f>AND('SPR BARRANQUILLA'!EY180,"AAAAAHqzzfA=")</f>
        <v>#VALUE!</v>
      </c>
      <c r="IH150" t="e">
        <f>AND('SPR BARRANQUILLA'!EZ180,"AAAAAHqzzfE=")</f>
        <v>#VALUE!</v>
      </c>
      <c r="II150" t="e">
        <f>AND('SPR BARRANQUILLA'!FA180,"AAAAAHqzzfI=")</f>
        <v>#VALUE!</v>
      </c>
      <c r="IJ150" t="e">
        <f>AND('SPR BARRANQUILLA'!FB180,"AAAAAHqzzfM=")</f>
        <v>#VALUE!</v>
      </c>
      <c r="IK150" t="e">
        <f>AND('SPR BARRANQUILLA'!FC180,"AAAAAHqzzfQ=")</f>
        <v>#VALUE!</v>
      </c>
      <c r="IL150" t="e">
        <f>AND('SPR BARRANQUILLA'!FD180,"AAAAAHqzzfU=")</f>
        <v>#VALUE!</v>
      </c>
      <c r="IM150" t="e">
        <f>AND('SPR BARRANQUILLA'!FE180,"AAAAAHqzzfY=")</f>
        <v>#VALUE!</v>
      </c>
      <c r="IN150" t="e">
        <f>AND('SPR BARRANQUILLA'!FF180,"AAAAAHqzzfc=")</f>
        <v>#VALUE!</v>
      </c>
      <c r="IO150" t="e">
        <f>AND('SPR BARRANQUILLA'!FG180,"AAAAAHqzzfg=")</f>
        <v>#VALUE!</v>
      </c>
      <c r="IP150" t="e">
        <f>AND('SPR BARRANQUILLA'!FH180,"AAAAAHqzzfk=")</f>
        <v>#VALUE!</v>
      </c>
      <c r="IQ150" t="e">
        <f>AND('SPR BARRANQUILLA'!FI180,"AAAAAHqzzfo=")</f>
        <v>#VALUE!</v>
      </c>
      <c r="IR150" t="e">
        <f>AND('SPR BARRANQUILLA'!FJ180,"AAAAAHqzzfs=")</f>
        <v>#VALUE!</v>
      </c>
      <c r="IS150" t="e">
        <f>AND('SPR BARRANQUILLA'!FK180,"AAAAAHqzzfw=")</f>
        <v>#VALUE!</v>
      </c>
      <c r="IT150" t="e">
        <f>AND('SPR BARRANQUILLA'!FL180,"AAAAAHqzzf0=")</f>
        <v>#VALUE!</v>
      </c>
      <c r="IU150" t="e">
        <f>AND('SPR BARRANQUILLA'!FM180,"AAAAAHqzzf4=")</f>
        <v>#VALUE!</v>
      </c>
      <c r="IV150" t="e">
        <f>AND('SPR BARRANQUILLA'!FN180,"AAAAAHqzzf8=")</f>
        <v>#VALUE!</v>
      </c>
    </row>
    <row r="151" spans="1:256">
      <c r="A151" t="e">
        <f>AND('SPR BARRANQUILLA'!FO180,"AAAAACbLSgA=")</f>
        <v>#VALUE!</v>
      </c>
      <c r="B151" t="e">
        <f>AND('SPR BARRANQUILLA'!FP180,"AAAAACbLSgE=")</f>
        <v>#VALUE!</v>
      </c>
      <c r="C151" t="e">
        <f>AND('SPR BARRANQUILLA'!FQ180,"AAAAACbLSgI=")</f>
        <v>#VALUE!</v>
      </c>
      <c r="D151" t="e">
        <f>AND('SPR BARRANQUILLA'!FR180,"AAAAACbLSgM=")</f>
        <v>#VALUE!</v>
      </c>
      <c r="E151" t="e">
        <f>AND('SPR BARRANQUILLA'!FS180,"AAAAACbLSgQ=")</f>
        <v>#VALUE!</v>
      </c>
      <c r="F151" t="e">
        <f>AND('SPR BARRANQUILLA'!FT180,"AAAAACbLSgU=")</f>
        <v>#VALUE!</v>
      </c>
      <c r="G151" t="e">
        <f>AND('SPR BARRANQUILLA'!FU180,"AAAAACbLSgY=")</f>
        <v>#VALUE!</v>
      </c>
      <c r="H151" t="e">
        <f>AND('SPR BARRANQUILLA'!FV180,"AAAAACbLSgc=")</f>
        <v>#VALUE!</v>
      </c>
      <c r="I151" t="e">
        <f>AND('SPR BARRANQUILLA'!FW180,"AAAAACbLSgg=")</f>
        <v>#VALUE!</v>
      </c>
      <c r="J151" t="e">
        <f>AND('SPR BARRANQUILLA'!FX180,"AAAAACbLSgk=")</f>
        <v>#VALUE!</v>
      </c>
      <c r="K151" t="e">
        <f>AND('SPR BARRANQUILLA'!FY180,"AAAAACbLSgo=")</f>
        <v>#VALUE!</v>
      </c>
      <c r="L151" t="e">
        <f>AND('SPR BARRANQUILLA'!FZ180,"AAAAACbLSgs=")</f>
        <v>#VALUE!</v>
      </c>
      <c r="M151" t="e">
        <f>AND('SPR BARRANQUILLA'!GA180,"AAAAACbLSgw=")</f>
        <v>#VALUE!</v>
      </c>
      <c r="N151" t="e">
        <f>AND('SPR BARRANQUILLA'!GB180,"AAAAACbLSg0=")</f>
        <v>#VALUE!</v>
      </c>
      <c r="O151" t="e">
        <f>AND('SPR BARRANQUILLA'!GC180,"AAAAACbLSg4=")</f>
        <v>#VALUE!</v>
      </c>
      <c r="P151" t="e">
        <f>AND('SPR BARRANQUILLA'!GD180,"AAAAACbLSg8=")</f>
        <v>#VALUE!</v>
      </c>
      <c r="Q151" t="e">
        <f>AND('SPR BARRANQUILLA'!GE180,"AAAAACbLShA=")</f>
        <v>#VALUE!</v>
      </c>
      <c r="R151" t="e">
        <f>AND('SPR BARRANQUILLA'!GF180,"AAAAACbLShE=")</f>
        <v>#VALUE!</v>
      </c>
      <c r="S151" t="e">
        <f>AND('SPR BARRANQUILLA'!GG180,"AAAAACbLShI=")</f>
        <v>#VALUE!</v>
      </c>
      <c r="T151" t="e">
        <f>AND('SPR BARRANQUILLA'!GH180,"AAAAACbLShM=")</f>
        <v>#VALUE!</v>
      </c>
      <c r="U151" t="e">
        <f>AND('SPR BARRANQUILLA'!GI180,"AAAAACbLShQ=")</f>
        <v>#VALUE!</v>
      </c>
      <c r="V151" t="e">
        <f>AND('SPR BARRANQUILLA'!GJ180,"AAAAACbLShU=")</f>
        <v>#VALUE!</v>
      </c>
      <c r="W151" t="e">
        <f>AND('SPR BARRANQUILLA'!GK180,"AAAAACbLShY=")</f>
        <v>#VALUE!</v>
      </c>
      <c r="X151" t="e">
        <f>AND('SPR BARRANQUILLA'!GL180,"AAAAACbLShc=")</f>
        <v>#VALUE!</v>
      </c>
      <c r="Y151" t="e">
        <f>AND('SPR BARRANQUILLA'!GM180,"AAAAACbLShg=")</f>
        <v>#VALUE!</v>
      </c>
      <c r="Z151" t="e">
        <f>AND('SPR BARRANQUILLA'!GN180,"AAAAACbLShk=")</f>
        <v>#VALUE!</v>
      </c>
      <c r="AA151" t="e">
        <f>AND('SPR BARRANQUILLA'!GO180,"AAAAACbLSho=")</f>
        <v>#VALUE!</v>
      </c>
      <c r="AB151" t="e">
        <f>AND('SPR BARRANQUILLA'!GP180,"AAAAACbLShs=")</f>
        <v>#VALUE!</v>
      </c>
      <c r="AC151" t="e">
        <f>AND('SPR BARRANQUILLA'!GQ180,"AAAAACbLShw=")</f>
        <v>#VALUE!</v>
      </c>
      <c r="AD151" t="e">
        <f>AND('SPR BARRANQUILLA'!GR180,"AAAAACbLSh0=")</f>
        <v>#VALUE!</v>
      </c>
      <c r="AE151" t="e">
        <f>AND('SPR BARRANQUILLA'!GS180,"AAAAACbLSh4=")</f>
        <v>#VALUE!</v>
      </c>
      <c r="AF151" t="e">
        <f>AND('SPR BARRANQUILLA'!GT180,"AAAAACbLSh8=")</f>
        <v>#VALUE!</v>
      </c>
      <c r="AG151" t="e">
        <f>AND('SPR BARRANQUILLA'!GU180,"AAAAACbLSiA=")</f>
        <v>#VALUE!</v>
      </c>
      <c r="AH151" t="e">
        <f>AND('SPR BARRANQUILLA'!GV180,"AAAAACbLSiE=")</f>
        <v>#VALUE!</v>
      </c>
      <c r="AI151" t="e">
        <f>AND('SPR BARRANQUILLA'!GW180,"AAAAACbLSiI=")</f>
        <v>#VALUE!</v>
      </c>
      <c r="AJ151" t="e">
        <f>AND('SPR BARRANQUILLA'!GX180,"AAAAACbLSiM=")</f>
        <v>#VALUE!</v>
      </c>
      <c r="AK151" t="e">
        <f>AND('SPR BARRANQUILLA'!GY180,"AAAAACbLSiQ=")</f>
        <v>#VALUE!</v>
      </c>
      <c r="AL151">
        <f>IF('SPR BARRANQUILLA'!181:181,"AAAAACbLSiU=",0)</f>
        <v>0</v>
      </c>
      <c r="AM151" t="e">
        <f>AND('SPR BARRANQUILLA'!A181,"AAAAACbLSiY=")</f>
        <v>#VALUE!</v>
      </c>
      <c r="AN151" t="e">
        <f>AND('SPR BARRANQUILLA'!B181,"AAAAACbLSic=")</f>
        <v>#VALUE!</v>
      </c>
      <c r="AO151" t="e">
        <f>AND('SPR BARRANQUILLA'!C181,"AAAAACbLSig=")</f>
        <v>#VALUE!</v>
      </c>
      <c r="AP151" t="e">
        <f>AND('SPR BARRANQUILLA'!D181,"AAAAACbLSik=")</f>
        <v>#VALUE!</v>
      </c>
      <c r="AQ151" t="e">
        <f>AND('SPR BARRANQUILLA'!E181,"AAAAACbLSio=")</f>
        <v>#VALUE!</v>
      </c>
      <c r="AR151" t="e">
        <f>AND('SPR BARRANQUILLA'!F181,"AAAAACbLSis=")</f>
        <v>#VALUE!</v>
      </c>
      <c r="AS151" t="e">
        <f>AND('SPR BARRANQUILLA'!G181,"AAAAACbLSiw=")</f>
        <v>#VALUE!</v>
      </c>
      <c r="AT151" t="e">
        <f>AND('SPR BARRANQUILLA'!H181,"AAAAACbLSi0=")</f>
        <v>#VALUE!</v>
      </c>
      <c r="AU151" t="e">
        <f>AND('SPR BARRANQUILLA'!I181,"AAAAACbLSi4=")</f>
        <v>#VALUE!</v>
      </c>
      <c r="AV151" t="e">
        <f>AND('SPR BARRANQUILLA'!J181,"AAAAACbLSi8=")</f>
        <v>#VALUE!</v>
      </c>
      <c r="AW151" t="e">
        <f>AND('SPR BARRANQUILLA'!K181,"AAAAACbLSjA=")</f>
        <v>#VALUE!</v>
      </c>
      <c r="AX151" t="e">
        <f>AND('SPR BARRANQUILLA'!L181,"AAAAACbLSjE=")</f>
        <v>#VALUE!</v>
      </c>
      <c r="AY151" t="e">
        <f>AND('SPR BARRANQUILLA'!M181,"AAAAACbLSjI=")</f>
        <v>#VALUE!</v>
      </c>
      <c r="AZ151" t="e">
        <f>AND('SPR BARRANQUILLA'!N181,"AAAAACbLSjM=")</f>
        <v>#VALUE!</v>
      </c>
      <c r="BA151" t="e">
        <f>AND('SPR BARRANQUILLA'!O181,"AAAAACbLSjQ=")</f>
        <v>#VALUE!</v>
      </c>
      <c r="BB151" t="e">
        <f>AND('SPR BARRANQUILLA'!P181,"AAAAACbLSjU=")</f>
        <v>#VALUE!</v>
      </c>
      <c r="BC151" t="e">
        <f>AND('SPR BARRANQUILLA'!Q181,"AAAAACbLSjY=")</f>
        <v>#VALUE!</v>
      </c>
      <c r="BD151" t="e">
        <f>AND('SPR BARRANQUILLA'!R181,"AAAAACbLSjc=")</f>
        <v>#VALUE!</v>
      </c>
      <c r="BE151" t="e">
        <f>AND('SPR BARRANQUILLA'!S181,"AAAAACbLSjg=")</f>
        <v>#VALUE!</v>
      </c>
      <c r="BF151" t="e">
        <f>AND('SPR BARRANQUILLA'!T181,"AAAAACbLSjk=")</f>
        <v>#VALUE!</v>
      </c>
      <c r="BG151" t="e">
        <f>AND('SPR BARRANQUILLA'!U181,"AAAAACbLSjo=")</f>
        <v>#VALUE!</v>
      </c>
      <c r="BH151" t="e">
        <f>AND('SPR BARRANQUILLA'!V181,"AAAAACbLSjs=")</f>
        <v>#VALUE!</v>
      </c>
      <c r="BI151" t="e">
        <f>AND('SPR BARRANQUILLA'!W181,"AAAAACbLSjw=")</f>
        <v>#VALUE!</v>
      </c>
      <c r="BJ151" t="e">
        <f>AND('SPR BARRANQUILLA'!X181,"AAAAACbLSj0=")</f>
        <v>#VALUE!</v>
      </c>
      <c r="BK151" t="e">
        <f>AND('SPR BARRANQUILLA'!Y181,"AAAAACbLSj4=")</f>
        <v>#VALUE!</v>
      </c>
      <c r="BL151" t="e">
        <f>AND('SPR BARRANQUILLA'!Z181,"AAAAACbLSj8=")</f>
        <v>#VALUE!</v>
      </c>
      <c r="BM151" t="e">
        <f>AND('SPR BARRANQUILLA'!AA181,"AAAAACbLSkA=")</f>
        <v>#VALUE!</v>
      </c>
      <c r="BN151" t="e">
        <f>AND('SPR BARRANQUILLA'!AB181,"AAAAACbLSkE=")</f>
        <v>#VALUE!</v>
      </c>
      <c r="BO151" t="e">
        <f>AND('SPR BARRANQUILLA'!AC181,"AAAAACbLSkI=")</f>
        <v>#VALUE!</v>
      </c>
      <c r="BP151" t="e">
        <f>AND('SPR BARRANQUILLA'!AD181,"AAAAACbLSkM=")</f>
        <v>#VALUE!</v>
      </c>
      <c r="BQ151" t="e">
        <f>AND('SPR BARRANQUILLA'!AE181,"AAAAACbLSkQ=")</f>
        <v>#VALUE!</v>
      </c>
      <c r="BR151" t="e">
        <f>AND('SPR BARRANQUILLA'!AF181,"AAAAACbLSkU=")</f>
        <v>#VALUE!</v>
      </c>
      <c r="BS151" t="e">
        <f>AND('SPR BARRANQUILLA'!AG181,"AAAAACbLSkY=")</f>
        <v>#VALUE!</v>
      </c>
      <c r="BT151" t="e">
        <f>AND('SPR BARRANQUILLA'!AH181,"AAAAACbLSkc=")</f>
        <v>#VALUE!</v>
      </c>
      <c r="BU151" t="e">
        <f>AND('SPR BARRANQUILLA'!AI181,"AAAAACbLSkg=")</f>
        <v>#VALUE!</v>
      </c>
      <c r="BV151" t="e">
        <f>AND('SPR BARRANQUILLA'!AJ181,"AAAAACbLSkk=")</f>
        <v>#VALUE!</v>
      </c>
      <c r="BW151" t="e">
        <f>AND('SPR BARRANQUILLA'!AK181,"AAAAACbLSko=")</f>
        <v>#VALUE!</v>
      </c>
      <c r="BX151" t="e">
        <f>AND('SPR BARRANQUILLA'!AL181,"AAAAACbLSks=")</f>
        <v>#VALUE!</v>
      </c>
      <c r="BY151" t="e">
        <f>AND('SPR BARRANQUILLA'!AM181,"AAAAACbLSkw=")</f>
        <v>#VALUE!</v>
      </c>
      <c r="BZ151" t="e">
        <f>AND('SPR BARRANQUILLA'!AN181,"AAAAACbLSk0=")</f>
        <v>#VALUE!</v>
      </c>
      <c r="CA151" t="e">
        <f>AND('SPR BARRANQUILLA'!AO181,"AAAAACbLSk4=")</f>
        <v>#VALUE!</v>
      </c>
      <c r="CB151" t="e">
        <f>AND('SPR BARRANQUILLA'!AP181,"AAAAACbLSk8=")</f>
        <v>#VALUE!</v>
      </c>
      <c r="CC151" t="e">
        <f>AND('SPR BARRANQUILLA'!AQ181,"AAAAACbLSlA=")</f>
        <v>#VALUE!</v>
      </c>
      <c r="CD151" t="e">
        <f>AND('SPR BARRANQUILLA'!AR181,"AAAAACbLSlE=")</f>
        <v>#VALUE!</v>
      </c>
      <c r="CE151" t="e">
        <f>AND('SPR BARRANQUILLA'!AS181,"AAAAACbLSlI=")</f>
        <v>#VALUE!</v>
      </c>
      <c r="CF151" t="e">
        <f>AND('SPR BARRANQUILLA'!AT181,"AAAAACbLSlM=")</f>
        <v>#VALUE!</v>
      </c>
      <c r="CG151" t="e">
        <f>AND('SPR BARRANQUILLA'!AU181,"AAAAACbLSlQ=")</f>
        <v>#VALUE!</v>
      </c>
      <c r="CH151" t="e">
        <f>AND('SPR BARRANQUILLA'!AV181,"AAAAACbLSlU=")</f>
        <v>#VALUE!</v>
      </c>
      <c r="CI151" t="e">
        <f>AND('SPR BARRANQUILLA'!AW181,"AAAAACbLSlY=")</f>
        <v>#VALUE!</v>
      </c>
      <c r="CJ151" t="e">
        <f>AND('SPR BARRANQUILLA'!AX181,"AAAAACbLSlc=")</f>
        <v>#VALUE!</v>
      </c>
      <c r="CK151" t="e">
        <f>AND('SPR BARRANQUILLA'!AY181,"AAAAACbLSlg=")</f>
        <v>#VALUE!</v>
      </c>
      <c r="CL151" t="e">
        <f>AND('SPR BARRANQUILLA'!AZ181,"AAAAACbLSlk=")</f>
        <v>#VALUE!</v>
      </c>
      <c r="CM151" t="e">
        <f>AND('SPR BARRANQUILLA'!BA181,"AAAAACbLSlo=")</f>
        <v>#VALUE!</v>
      </c>
      <c r="CN151" t="e">
        <f>AND('SPR BARRANQUILLA'!BB181,"AAAAACbLSls=")</f>
        <v>#VALUE!</v>
      </c>
      <c r="CO151" t="e">
        <f>AND('SPR BARRANQUILLA'!BC181,"AAAAACbLSlw=")</f>
        <v>#VALUE!</v>
      </c>
      <c r="CP151" t="e">
        <f>AND('SPR BARRANQUILLA'!BD181,"AAAAACbLSl0=")</f>
        <v>#VALUE!</v>
      </c>
      <c r="CQ151" t="e">
        <f>AND('SPR BARRANQUILLA'!BE181,"AAAAACbLSl4=")</f>
        <v>#VALUE!</v>
      </c>
      <c r="CR151" t="e">
        <f>AND('SPR BARRANQUILLA'!BF181,"AAAAACbLSl8=")</f>
        <v>#VALUE!</v>
      </c>
      <c r="CS151" t="e">
        <f>AND('SPR BARRANQUILLA'!BG181,"AAAAACbLSmA=")</f>
        <v>#VALUE!</v>
      </c>
      <c r="CT151" t="e">
        <f>AND('SPR BARRANQUILLA'!BH181,"AAAAACbLSmE=")</f>
        <v>#VALUE!</v>
      </c>
      <c r="CU151" t="e">
        <f>AND('SPR BARRANQUILLA'!BI181,"AAAAACbLSmI=")</f>
        <v>#VALUE!</v>
      </c>
      <c r="CV151" t="e">
        <f>AND('SPR BARRANQUILLA'!BJ181,"AAAAACbLSmM=")</f>
        <v>#VALUE!</v>
      </c>
      <c r="CW151" t="e">
        <f>AND('SPR BARRANQUILLA'!BK181,"AAAAACbLSmQ=")</f>
        <v>#VALUE!</v>
      </c>
      <c r="CX151" t="e">
        <f>AND('SPR BARRANQUILLA'!BL181,"AAAAACbLSmU=")</f>
        <v>#VALUE!</v>
      </c>
      <c r="CY151" t="e">
        <f>AND('SPR BARRANQUILLA'!BM181,"AAAAACbLSmY=")</f>
        <v>#VALUE!</v>
      </c>
      <c r="CZ151" t="e">
        <f>AND('SPR BARRANQUILLA'!BN181,"AAAAACbLSmc=")</f>
        <v>#VALUE!</v>
      </c>
      <c r="DA151" t="e">
        <f>AND('SPR BARRANQUILLA'!BO181,"AAAAACbLSmg=")</f>
        <v>#VALUE!</v>
      </c>
      <c r="DB151" t="e">
        <f>AND('SPR BARRANQUILLA'!BP181,"AAAAACbLSmk=")</f>
        <v>#VALUE!</v>
      </c>
      <c r="DC151" t="e">
        <f>AND('SPR BARRANQUILLA'!BQ181,"AAAAACbLSmo=")</f>
        <v>#VALUE!</v>
      </c>
      <c r="DD151" t="e">
        <f>AND('SPR BARRANQUILLA'!BR181,"AAAAACbLSms=")</f>
        <v>#VALUE!</v>
      </c>
      <c r="DE151" t="e">
        <f>AND('SPR BARRANQUILLA'!BS181,"AAAAACbLSmw=")</f>
        <v>#VALUE!</v>
      </c>
      <c r="DF151" t="e">
        <f>AND('SPR BARRANQUILLA'!BT181,"AAAAACbLSm0=")</f>
        <v>#VALUE!</v>
      </c>
      <c r="DG151" t="e">
        <f>AND('SPR BARRANQUILLA'!BU181,"AAAAACbLSm4=")</f>
        <v>#VALUE!</v>
      </c>
      <c r="DH151" t="e">
        <f>AND('SPR BARRANQUILLA'!BV181,"AAAAACbLSm8=")</f>
        <v>#VALUE!</v>
      </c>
      <c r="DI151" t="e">
        <f>AND('SPR BARRANQUILLA'!BW181,"AAAAACbLSnA=")</f>
        <v>#VALUE!</v>
      </c>
      <c r="DJ151" t="e">
        <f>AND('SPR BARRANQUILLA'!BX181,"AAAAACbLSnE=")</f>
        <v>#VALUE!</v>
      </c>
      <c r="DK151" t="e">
        <f>AND('SPR BARRANQUILLA'!BY181,"AAAAACbLSnI=")</f>
        <v>#VALUE!</v>
      </c>
      <c r="DL151" t="e">
        <f>AND('SPR BARRANQUILLA'!BZ181,"AAAAACbLSnM=")</f>
        <v>#VALUE!</v>
      </c>
      <c r="DM151" t="e">
        <f>AND('SPR BARRANQUILLA'!CA181,"AAAAACbLSnQ=")</f>
        <v>#VALUE!</v>
      </c>
      <c r="DN151" t="e">
        <f>AND('SPR BARRANQUILLA'!CB181,"AAAAACbLSnU=")</f>
        <v>#VALUE!</v>
      </c>
      <c r="DO151" t="e">
        <f>AND('SPR BARRANQUILLA'!CC181,"AAAAACbLSnY=")</f>
        <v>#VALUE!</v>
      </c>
      <c r="DP151" t="e">
        <f>AND('SPR BARRANQUILLA'!CD181,"AAAAACbLSnc=")</f>
        <v>#VALUE!</v>
      </c>
      <c r="DQ151" t="e">
        <f>AND('SPR BARRANQUILLA'!CE181,"AAAAACbLSng=")</f>
        <v>#VALUE!</v>
      </c>
      <c r="DR151" t="e">
        <f>AND('SPR BARRANQUILLA'!CF181,"AAAAACbLSnk=")</f>
        <v>#VALUE!</v>
      </c>
      <c r="DS151" t="e">
        <f>AND('SPR BARRANQUILLA'!CG181,"AAAAACbLSno=")</f>
        <v>#VALUE!</v>
      </c>
      <c r="DT151" t="e">
        <f>AND('SPR BARRANQUILLA'!CH181,"AAAAACbLSns=")</f>
        <v>#VALUE!</v>
      </c>
      <c r="DU151" t="e">
        <f>AND('SPR BARRANQUILLA'!CI181,"AAAAACbLSnw=")</f>
        <v>#VALUE!</v>
      </c>
      <c r="DV151" t="e">
        <f>AND('SPR BARRANQUILLA'!CJ181,"AAAAACbLSn0=")</f>
        <v>#VALUE!</v>
      </c>
      <c r="DW151" t="e">
        <f>AND('SPR BARRANQUILLA'!CK181,"AAAAACbLSn4=")</f>
        <v>#VALUE!</v>
      </c>
      <c r="DX151" t="e">
        <f>AND('SPR BARRANQUILLA'!CL181,"AAAAACbLSn8=")</f>
        <v>#VALUE!</v>
      </c>
      <c r="DY151" t="e">
        <f>AND('SPR BARRANQUILLA'!CM181,"AAAAACbLSoA=")</f>
        <v>#VALUE!</v>
      </c>
      <c r="DZ151" t="e">
        <f>AND('SPR BARRANQUILLA'!CN181,"AAAAACbLSoE=")</f>
        <v>#VALUE!</v>
      </c>
      <c r="EA151" t="e">
        <f>AND('SPR BARRANQUILLA'!CO181,"AAAAACbLSoI=")</f>
        <v>#VALUE!</v>
      </c>
      <c r="EB151" t="e">
        <f>AND('SPR BARRANQUILLA'!CP181,"AAAAACbLSoM=")</f>
        <v>#VALUE!</v>
      </c>
      <c r="EC151" t="e">
        <f>AND('SPR BARRANQUILLA'!CQ181,"AAAAACbLSoQ=")</f>
        <v>#VALUE!</v>
      </c>
      <c r="ED151" t="e">
        <f>AND('SPR BARRANQUILLA'!CR181,"AAAAACbLSoU=")</f>
        <v>#VALUE!</v>
      </c>
      <c r="EE151" t="e">
        <f>AND('SPR BARRANQUILLA'!CS181,"AAAAACbLSoY=")</f>
        <v>#VALUE!</v>
      </c>
      <c r="EF151" t="e">
        <f>AND('SPR BARRANQUILLA'!CT181,"AAAAACbLSoc=")</f>
        <v>#VALUE!</v>
      </c>
      <c r="EG151" t="e">
        <f>AND('SPR BARRANQUILLA'!CU181,"AAAAACbLSog=")</f>
        <v>#VALUE!</v>
      </c>
      <c r="EH151" t="e">
        <f>AND('SPR BARRANQUILLA'!CV181,"AAAAACbLSok=")</f>
        <v>#VALUE!</v>
      </c>
      <c r="EI151" t="e">
        <f>AND('SPR BARRANQUILLA'!CW181,"AAAAACbLSoo=")</f>
        <v>#VALUE!</v>
      </c>
      <c r="EJ151" t="e">
        <f>AND('SPR BARRANQUILLA'!CX181,"AAAAACbLSos=")</f>
        <v>#VALUE!</v>
      </c>
      <c r="EK151" t="e">
        <f>AND('SPR BARRANQUILLA'!CY181,"AAAAACbLSow=")</f>
        <v>#VALUE!</v>
      </c>
      <c r="EL151" t="e">
        <f>AND('SPR BARRANQUILLA'!CZ181,"AAAAACbLSo0=")</f>
        <v>#VALUE!</v>
      </c>
      <c r="EM151" t="e">
        <f>AND('SPR BARRANQUILLA'!DA181,"AAAAACbLSo4=")</f>
        <v>#VALUE!</v>
      </c>
      <c r="EN151" t="e">
        <f>AND('SPR BARRANQUILLA'!DB181,"AAAAACbLSo8=")</f>
        <v>#VALUE!</v>
      </c>
      <c r="EO151" t="e">
        <f>AND('SPR BARRANQUILLA'!DC181,"AAAAACbLSpA=")</f>
        <v>#VALUE!</v>
      </c>
      <c r="EP151" t="e">
        <f>AND('SPR BARRANQUILLA'!DD181,"AAAAACbLSpE=")</f>
        <v>#VALUE!</v>
      </c>
      <c r="EQ151" t="e">
        <f>AND('SPR BARRANQUILLA'!DE181,"AAAAACbLSpI=")</f>
        <v>#VALUE!</v>
      </c>
      <c r="ER151" t="e">
        <f>AND('SPR BARRANQUILLA'!DF181,"AAAAACbLSpM=")</f>
        <v>#VALUE!</v>
      </c>
      <c r="ES151" t="e">
        <f>AND('SPR BARRANQUILLA'!DG181,"AAAAACbLSpQ=")</f>
        <v>#VALUE!</v>
      </c>
      <c r="ET151" t="e">
        <f>AND('SPR BARRANQUILLA'!DH181,"AAAAACbLSpU=")</f>
        <v>#VALUE!</v>
      </c>
      <c r="EU151" t="e">
        <f>AND('SPR BARRANQUILLA'!DI181,"AAAAACbLSpY=")</f>
        <v>#VALUE!</v>
      </c>
      <c r="EV151" t="e">
        <f>AND('SPR BARRANQUILLA'!DJ181,"AAAAACbLSpc=")</f>
        <v>#VALUE!</v>
      </c>
      <c r="EW151" t="e">
        <f>AND('SPR BARRANQUILLA'!DK181,"AAAAACbLSpg=")</f>
        <v>#VALUE!</v>
      </c>
      <c r="EX151" t="e">
        <f>AND('SPR BARRANQUILLA'!DL181,"AAAAACbLSpk=")</f>
        <v>#VALUE!</v>
      </c>
      <c r="EY151" t="e">
        <f>AND('SPR BARRANQUILLA'!DM181,"AAAAACbLSpo=")</f>
        <v>#VALUE!</v>
      </c>
      <c r="EZ151" t="e">
        <f>AND('SPR BARRANQUILLA'!DN181,"AAAAACbLSps=")</f>
        <v>#VALUE!</v>
      </c>
      <c r="FA151" t="e">
        <f>AND('SPR BARRANQUILLA'!DO181,"AAAAACbLSpw=")</f>
        <v>#VALUE!</v>
      </c>
      <c r="FB151" t="e">
        <f>AND('SPR BARRANQUILLA'!DP181,"AAAAACbLSp0=")</f>
        <v>#VALUE!</v>
      </c>
      <c r="FC151" t="e">
        <f>AND('SPR BARRANQUILLA'!DQ181,"AAAAACbLSp4=")</f>
        <v>#VALUE!</v>
      </c>
      <c r="FD151" t="e">
        <f>AND('SPR BARRANQUILLA'!DR181,"AAAAACbLSp8=")</f>
        <v>#VALUE!</v>
      </c>
      <c r="FE151" t="e">
        <f>AND('SPR BARRANQUILLA'!DS181,"AAAAACbLSqA=")</f>
        <v>#VALUE!</v>
      </c>
      <c r="FF151" t="e">
        <f>AND('SPR BARRANQUILLA'!DT181,"AAAAACbLSqE=")</f>
        <v>#VALUE!</v>
      </c>
      <c r="FG151" t="e">
        <f>AND('SPR BARRANQUILLA'!DU181,"AAAAACbLSqI=")</f>
        <v>#VALUE!</v>
      </c>
      <c r="FH151" t="e">
        <f>AND('SPR BARRANQUILLA'!DV181,"AAAAACbLSqM=")</f>
        <v>#VALUE!</v>
      </c>
      <c r="FI151" t="e">
        <f>AND('SPR BARRANQUILLA'!DW181,"AAAAACbLSqQ=")</f>
        <v>#VALUE!</v>
      </c>
      <c r="FJ151" t="e">
        <f>AND('SPR BARRANQUILLA'!DX181,"AAAAACbLSqU=")</f>
        <v>#VALUE!</v>
      </c>
      <c r="FK151" t="e">
        <f>AND('SPR BARRANQUILLA'!DY181,"AAAAACbLSqY=")</f>
        <v>#VALUE!</v>
      </c>
      <c r="FL151" t="e">
        <f>AND('SPR BARRANQUILLA'!DZ181,"AAAAACbLSqc=")</f>
        <v>#VALUE!</v>
      </c>
      <c r="FM151" t="e">
        <f>AND('SPR BARRANQUILLA'!EA181,"AAAAACbLSqg=")</f>
        <v>#VALUE!</v>
      </c>
      <c r="FN151" t="e">
        <f>AND('SPR BARRANQUILLA'!EB181,"AAAAACbLSqk=")</f>
        <v>#VALUE!</v>
      </c>
      <c r="FO151" t="e">
        <f>AND('SPR BARRANQUILLA'!EC181,"AAAAACbLSqo=")</f>
        <v>#VALUE!</v>
      </c>
      <c r="FP151" t="e">
        <f>AND('SPR BARRANQUILLA'!ED181,"AAAAACbLSqs=")</f>
        <v>#VALUE!</v>
      </c>
      <c r="FQ151" t="e">
        <f>AND('SPR BARRANQUILLA'!EE181,"AAAAACbLSqw=")</f>
        <v>#VALUE!</v>
      </c>
      <c r="FR151" t="e">
        <f>AND('SPR BARRANQUILLA'!EF181,"AAAAACbLSq0=")</f>
        <v>#VALUE!</v>
      </c>
      <c r="FS151" t="e">
        <f>AND('SPR BARRANQUILLA'!EG181,"AAAAACbLSq4=")</f>
        <v>#VALUE!</v>
      </c>
      <c r="FT151" t="e">
        <f>AND('SPR BARRANQUILLA'!EH181,"AAAAACbLSq8=")</f>
        <v>#VALUE!</v>
      </c>
      <c r="FU151" t="e">
        <f>AND('SPR BARRANQUILLA'!EI181,"AAAAACbLSrA=")</f>
        <v>#VALUE!</v>
      </c>
      <c r="FV151" t="e">
        <f>AND('SPR BARRANQUILLA'!EJ181,"AAAAACbLSrE=")</f>
        <v>#VALUE!</v>
      </c>
      <c r="FW151" t="e">
        <f>AND('SPR BARRANQUILLA'!EK181,"AAAAACbLSrI=")</f>
        <v>#VALUE!</v>
      </c>
      <c r="FX151" t="e">
        <f>AND('SPR BARRANQUILLA'!EL181,"AAAAACbLSrM=")</f>
        <v>#VALUE!</v>
      </c>
      <c r="FY151" t="e">
        <f>AND('SPR BARRANQUILLA'!EM181,"AAAAACbLSrQ=")</f>
        <v>#VALUE!</v>
      </c>
      <c r="FZ151" t="e">
        <f>AND('SPR BARRANQUILLA'!EN181,"AAAAACbLSrU=")</f>
        <v>#VALUE!</v>
      </c>
      <c r="GA151" t="e">
        <f>AND('SPR BARRANQUILLA'!EO181,"AAAAACbLSrY=")</f>
        <v>#VALUE!</v>
      </c>
      <c r="GB151" t="e">
        <f>AND('SPR BARRANQUILLA'!EP181,"AAAAACbLSrc=")</f>
        <v>#VALUE!</v>
      </c>
      <c r="GC151" t="e">
        <f>AND('SPR BARRANQUILLA'!EQ181,"AAAAACbLSrg=")</f>
        <v>#VALUE!</v>
      </c>
      <c r="GD151" t="e">
        <f>AND('SPR BARRANQUILLA'!ER181,"AAAAACbLSrk=")</f>
        <v>#VALUE!</v>
      </c>
      <c r="GE151" t="e">
        <f>AND('SPR BARRANQUILLA'!ES181,"AAAAACbLSro=")</f>
        <v>#VALUE!</v>
      </c>
      <c r="GF151" t="e">
        <f>AND('SPR BARRANQUILLA'!ET181,"AAAAACbLSrs=")</f>
        <v>#VALUE!</v>
      </c>
      <c r="GG151" t="e">
        <f>AND('SPR BARRANQUILLA'!EU181,"AAAAACbLSrw=")</f>
        <v>#VALUE!</v>
      </c>
      <c r="GH151" t="e">
        <f>AND('SPR BARRANQUILLA'!EV181,"AAAAACbLSr0=")</f>
        <v>#VALUE!</v>
      </c>
      <c r="GI151" t="e">
        <f>AND('SPR BARRANQUILLA'!EW181,"AAAAACbLSr4=")</f>
        <v>#VALUE!</v>
      </c>
      <c r="GJ151" t="e">
        <f>AND('SPR BARRANQUILLA'!EX181,"AAAAACbLSr8=")</f>
        <v>#VALUE!</v>
      </c>
      <c r="GK151" t="e">
        <f>AND('SPR BARRANQUILLA'!EY181,"AAAAACbLSsA=")</f>
        <v>#VALUE!</v>
      </c>
      <c r="GL151" t="e">
        <f>AND('SPR BARRANQUILLA'!EZ181,"AAAAACbLSsE=")</f>
        <v>#VALUE!</v>
      </c>
      <c r="GM151" t="e">
        <f>AND('SPR BARRANQUILLA'!FA181,"AAAAACbLSsI=")</f>
        <v>#VALUE!</v>
      </c>
      <c r="GN151" t="e">
        <f>AND('SPR BARRANQUILLA'!FB181,"AAAAACbLSsM=")</f>
        <v>#VALUE!</v>
      </c>
      <c r="GO151" t="e">
        <f>AND('SPR BARRANQUILLA'!FC181,"AAAAACbLSsQ=")</f>
        <v>#VALUE!</v>
      </c>
      <c r="GP151" t="e">
        <f>AND('SPR BARRANQUILLA'!FD181,"AAAAACbLSsU=")</f>
        <v>#VALUE!</v>
      </c>
      <c r="GQ151" t="e">
        <f>AND('SPR BARRANQUILLA'!FE181,"AAAAACbLSsY=")</f>
        <v>#VALUE!</v>
      </c>
      <c r="GR151" t="e">
        <f>AND('SPR BARRANQUILLA'!FF181,"AAAAACbLSsc=")</f>
        <v>#VALUE!</v>
      </c>
      <c r="GS151" t="e">
        <f>AND('SPR BARRANQUILLA'!FG181,"AAAAACbLSsg=")</f>
        <v>#VALUE!</v>
      </c>
      <c r="GT151" t="e">
        <f>AND('SPR BARRANQUILLA'!FH181,"AAAAACbLSsk=")</f>
        <v>#VALUE!</v>
      </c>
      <c r="GU151" t="e">
        <f>AND('SPR BARRANQUILLA'!FI181,"AAAAACbLSso=")</f>
        <v>#VALUE!</v>
      </c>
      <c r="GV151" t="e">
        <f>AND('SPR BARRANQUILLA'!FJ181,"AAAAACbLSss=")</f>
        <v>#VALUE!</v>
      </c>
      <c r="GW151" t="e">
        <f>AND('SPR BARRANQUILLA'!FK181,"AAAAACbLSsw=")</f>
        <v>#VALUE!</v>
      </c>
      <c r="GX151" t="e">
        <f>AND('SPR BARRANQUILLA'!FL181,"AAAAACbLSs0=")</f>
        <v>#VALUE!</v>
      </c>
      <c r="GY151" t="e">
        <f>AND('SPR BARRANQUILLA'!FM181,"AAAAACbLSs4=")</f>
        <v>#VALUE!</v>
      </c>
      <c r="GZ151" t="e">
        <f>AND('SPR BARRANQUILLA'!FN181,"AAAAACbLSs8=")</f>
        <v>#VALUE!</v>
      </c>
      <c r="HA151" t="e">
        <f>AND('SPR BARRANQUILLA'!FO181,"AAAAACbLStA=")</f>
        <v>#VALUE!</v>
      </c>
      <c r="HB151" t="e">
        <f>AND('SPR BARRANQUILLA'!FP181,"AAAAACbLStE=")</f>
        <v>#VALUE!</v>
      </c>
      <c r="HC151" t="e">
        <f>AND('SPR BARRANQUILLA'!FQ181,"AAAAACbLStI=")</f>
        <v>#VALUE!</v>
      </c>
      <c r="HD151" t="e">
        <f>AND('SPR BARRANQUILLA'!FR181,"AAAAACbLStM=")</f>
        <v>#VALUE!</v>
      </c>
      <c r="HE151" t="e">
        <f>AND('SPR BARRANQUILLA'!FS181,"AAAAACbLStQ=")</f>
        <v>#VALUE!</v>
      </c>
      <c r="HF151" t="e">
        <f>AND('SPR BARRANQUILLA'!FT181,"AAAAACbLStU=")</f>
        <v>#VALUE!</v>
      </c>
      <c r="HG151" t="e">
        <f>AND('SPR BARRANQUILLA'!FU181,"AAAAACbLStY=")</f>
        <v>#VALUE!</v>
      </c>
      <c r="HH151" t="e">
        <f>AND('SPR BARRANQUILLA'!FV181,"AAAAACbLStc=")</f>
        <v>#VALUE!</v>
      </c>
      <c r="HI151" t="e">
        <f>AND('SPR BARRANQUILLA'!FW181,"AAAAACbLStg=")</f>
        <v>#VALUE!</v>
      </c>
      <c r="HJ151" t="e">
        <f>AND('SPR BARRANQUILLA'!FX181,"AAAAACbLStk=")</f>
        <v>#VALUE!</v>
      </c>
      <c r="HK151" t="e">
        <f>AND('SPR BARRANQUILLA'!FY181,"AAAAACbLSto=")</f>
        <v>#VALUE!</v>
      </c>
      <c r="HL151" t="e">
        <f>AND('SPR BARRANQUILLA'!FZ181,"AAAAACbLSts=")</f>
        <v>#VALUE!</v>
      </c>
      <c r="HM151" t="e">
        <f>AND('SPR BARRANQUILLA'!GA181,"AAAAACbLStw=")</f>
        <v>#VALUE!</v>
      </c>
      <c r="HN151" t="e">
        <f>AND('SPR BARRANQUILLA'!GB181,"AAAAACbLSt0=")</f>
        <v>#VALUE!</v>
      </c>
      <c r="HO151" t="e">
        <f>AND('SPR BARRANQUILLA'!GC181,"AAAAACbLSt4=")</f>
        <v>#VALUE!</v>
      </c>
      <c r="HP151" t="e">
        <f>AND('SPR BARRANQUILLA'!GD181,"AAAAACbLSt8=")</f>
        <v>#VALUE!</v>
      </c>
      <c r="HQ151" t="e">
        <f>AND('SPR BARRANQUILLA'!GE181,"AAAAACbLSuA=")</f>
        <v>#VALUE!</v>
      </c>
      <c r="HR151" t="e">
        <f>AND('SPR BARRANQUILLA'!GF181,"AAAAACbLSuE=")</f>
        <v>#VALUE!</v>
      </c>
      <c r="HS151" t="e">
        <f>AND('SPR BARRANQUILLA'!GG181,"AAAAACbLSuI=")</f>
        <v>#VALUE!</v>
      </c>
      <c r="HT151" t="e">
        <f>AND('SPR BARRANQUILLA'!GH181,"AAAAACbLSuM=")</f>
        <v>#VALUE!</v>
      </c>
      <c r="HU151" t="e">
        <f>AND('SPR BARRANQUILLA'!GI181,"AAAAACbLSuQ=")</f>
        <v>#VALUE!</v>
      </c>
      <c r="HV151" t="e">
        <f>AND('SPR BARRANQUILLA'!GJ181,"AAAAACbLSuU=")</f>
        <v>#VALUE!</v>
      </c>
      <c r="HW151" t="e">
        <f>AND('SPR BARRANQUILLA'!GK181,"AAAAACbLSuY=")</f>
        <v>#VALUE!</v>
      </c>
      <c r="HX151" t="e">
        <f>AND('SPR BARRANQUILLA'!GL181,"AAAAACbLSuc=")</f>
        <v>#VALUE!</v>
      </c>
      <c r="HY151" t="e">
        <f>AND('SPR BARRANQUILLA'!GM181,"AAAAACbLSug=")</f>
        <v>#VALUE!</v>
      </c>
      <c r="HZ151" t="e">
        <f>AND('SPR BARRANQUILLA'!GN181,"AAAAACbLSuk=")</f>
        <v>#VALUE!</v>
      </c>
      <c r="IA151" t="e">
        <f>AND('SPR BARRANQUILLA'!GO181,"AAAAACbLSuo=")</f>
        <v>#VALUE!</v>
      </c>
      <c r="IB151" t="e">
        <f>AND('SPR BARRANQUILLA'!GP181,"AAAAACbLSus=")</f>
        <v>#VALUE!</v>
      </c>
      <c r="IC151" t="e">
        <f>AND('SPR BARRANQUILLA'!GQ181,"AAAAACbLSuw=")</f>
        <v>#VALUE!</v>
      </c>
      <c r="ID151" t="e">
        <f>AND('SPR BARRANQUILLA'!GR181,"AAAAACbLSu0=")</f>
        <v>#VALUE!</v>
      </c>
      <c r="IE151" t="e">
        <f>AND('SPR BARRANQUILLA'!GS181,"AAAAACbLSu4=")</f>
        <v>#VALUE!</v>
      </c>
      <c r="IF151" t="e">
        <f>AND('SPR BARRANQUILLA'!GT181,"AAAAACbLSu8=")</f>
        <v>#VALUE!</v>
      </c>
      <c r="IG151" t="e">
        <f>AND('SPR BARRANQUILLA'!GU181,"AAAAACbLSvA=")</f>
        <v>#VALUE!</v>
      </c>
      <c r="IH151" t="e">
        <f>AND('SPR BARRANQUILLA'!GV181,"AAAAACbLSvE=")</f>
        <v>#VALUE!</v>
      </c>
      <c r="II151" t="e">
        <f>AND('SPR BARRANQUILLA'!GW181,"AAAAACbLSvI=")</f>
        <v>#VALUE!</v>
      </c>
      <c r="IJ151" t="e">
        <f>AND('SPR BARRANQUILLA'!GX181,"AAAAACbLSvM=")</f>
        <v>#VALUE!</v>
      </c>
      <c r="IK151" t="e">
        <f>AND('SPR BARRANQUILLA'!GY181,"AAAAACbLSvQ=")</f>
        <v>#VALUE!</v>
      </c>
      <c r="IL151">
        <f>IF('SPR BARRANQUILLA'!182:182,"AAAAACbLSvU=",0)</f>
        <v>0</v>
      </c>
      <c r="IM151" t="e">
        <f>AND('SPR BARRANQUILLA'!A182,"AAAAACbLSvY=")</f>
        <v>#VALUE!</v>
      </c>
      <c r="IN151" t="e">
        <f>AND('SPR BARRANQUILLA'!B182,"AAAAACbLSvc=")</f>
        <v>#VALUE!</v>
      </c>
      <c r="IO151" t="e">
        <f>AND('SPR BARRANQUILLA'!C182,"AAAAACbLSvg=")</f>
        <v>#VALUE!</v>
      </c>
      <c r="IP151" t="e">
        <f>AND('SPR BARRANQUILLA'!D182,"AAAAACbLSvk=")</f>
        <v>#VALUE!</v>
      </c>
      <c r="IQ151" t="e">
        <f>AND('SPR BARRANQUILLA'!E182,"AAAAACbLSvo=")</f>
        <v>#VALUE!</v>
      </c>
      <c r="IR151" t="e">
        <f>AND('SPR BARRANQUILLA'!F182,"AAAAACbLSvs=")</f>
        <v>#VALUE!</v>
      </c>
      <c r="IS151" t="e">
        <f>AND('SPR BARRANQUILLA'!G182,"AAAAACbLSvw=")</f>
        <v>#VALUE!</v>
      </c>
      <c r="IT151" t="e">
        <f>AND('SPR BARRANQUILLA'!H182,"AAAAACbLSv0=")</f>
        <v>#VALUE!</v>
      </c>
      <c r="IU151" t="e">
        <f>AND('SPR BARRANQUILLA'!I182,"AAAAACbLSv4=")</f>
        <v>#VALUE!</v>
      </c>
      <c r="IV151" t="e">
        <f>AND('SPR BARRANQUILLA'!J182,"AAAAACbLSv8=")</f>
        <v>#VALUE!</v>
      </c>
    </row>
    <row r="152" spans="1:256">
      <c r="A152" t="e">
        <f>AND('SPR BARRANQUILLA'!K182,"AAAAAGt77QA=")</f>
        <v>#VALUE!</v>
      </c>
      <c r="B152" t="e">
        <f>AND('SPR BARRANQUILLA'!L182,"AAAAAGt77QE=")</f>
        <v>#VALUE!</v>
      </c>
      <c r="C152" t="e">
        <f>AND('SPR BARRANQUILLA'!M182,"AAAAAGt77QI=")</f>
        <v>#VALUE!</v>
      </c>
      <c r="D152" t="e">
        <f>AND('SPR BARRANQUILLA'!N182,"AAAAAGt77QM=")</f>
        <v>#VALUE!</v>
      </c>
      <c r="E152" t="e">
        <f>AND('SPR BARRANQUILLA'!O182,"AAAAAGt77QQ=")</f>
        <v>#VALUE!</v>
      </c>
      <c r="F152" t="e">
        <f>AND('SPR BARRANQUILLA'!P182,"AAAAAGt77QU=")</f>
        <v>#VALUE!</v>
      </c>
      <c r="G152" t="e">
        <f>AND('SPR BARRANQUILLA'!Q182,"AAAAAGt77QY=")</f>
        <v>#VALUE!</v>
      </c>
      <c r="H152" t="e">
        <f>AND('SPR BARRANQUILLA'!R182,"AAAAAGt77Qc=")</f>
        <v>#VALUE!</v>
      </c>
      <c r="I152" t="e">
        <f>AND('SPR BARRANQUILLA'!S182,"AAAAAGt77Qg=")</f>
        <v>#VALUE!</v>
      </c>
      <c r="J152" t="e">
        <f>AND('SPR BARRANQUILLA'!T182,"AAAAAGt77Qk=")</f>
        <v>#VALUE!</v>
      </c>
      <c r="K152" t="e">
        <f>AND('SPR BARRANQUILLA'!U182,"AAAAAGt77Qo=")</f>
        <v>#VALUE!</v>
      </c>
      <c r="L152" t="e">
        <f>AND('SPR BARRANQUILLA'!V182,"AAAAAGt77Qs=")</f>
        <v>#VALUE!</v>
      </c>
      <c r="M152" t="e">
        <f>AND('SPR BARRANQUILLA'!W182,"AAAAAGt77Qw=")</f>
        <v>#VALUE!</v>
      </c>
      <c r="N152" t="e">
        <f>AND('SPR BARRANQUILLA'!X182,"AAAAAGt77Q0=")</f>
        <v>#VALUE!</v>
      </c>
      <c r="O152" t="e">
        <f>AND('SPR BARRANQUILLA'!Y182,"AAAAAGt77Q4=")</f>
        <v>#VALUE!</v>
      </c>
      <c r="P152" t="e">
        <f>AND('SPR BARRANQUILLA'!Z182,"AAAAAGt77Q8=")</f>
        <v>#VALUE!</v>
      </c>
      <c r="Q152" t="e">
        <f>AND('SPR BARRANQUILLA'!AA182,"AAAAAGt77RA=")</f>
        <v>#VALUE!</v>
      </c>
      <c r="R152" t="e">
        <f>AND('SPR BARRANQUILLA'!AB182,"AAAAAGt77RE=")</f>
        <v>#VALUE!</v>
      </c>
      <c r="S152" t="e">
        <f>AND('SPR BARRANQUILLA'!AC182,"AAAAAGt77RI=")</f>
        <v>#VALUE!</v>
      </c>
      <c r="T152" t="e">
        <f>AND('SPR BARRANQUILLA'!AD182,"AAAAAGt77RM=")</f>
        <v>#VALUE!</v>
      </c>
      <c r="U152" t="e">
        <f>AND('SPR BARRANQUILLA'!AE182,"AAAAAGt77RQ=")</f>
        <v>#VALUE!</v>
      </c>
      <c r="V152" t="e">
        <f>AND('SPR BARRANQUILLA'!AF182,"AAAAAGt77RU=")</f>
        <v>#VALUE!</v>
      </c>
      <c r="W152" t="e">
        <f>AND('SPR BARRANQUILLA'!AG182,"AAAAAGt77RY=")</f>
        <v>#VALUE!</v>
      </c>
      <c r="X152" t="e">
        <f>AND('SPR BARRANQUILLA'!AH182,"AAAAAGt77Rc=")</f>
        <v>#VALUE!</v>
      </c>
      <c r="Y152" t="e">
        <f>AND('SPR BARRANQUILLA'!AI182,"AAAAAGt77Rg=")</f>
        <v>#VALUE!</v>
      </c>
      <c r="Z152" t="e">
        <f>AND('SPR BARRANQUILLA'!AJ182,"AAAAAGt77Rk=")</f>
        <v>#VALUE!</v>
      </c>
      <c r="AA152" t="e">
        <f>AND('SPR BARRANQUILLA'!AK182,"AAAAAGt77Ro=")</f>
        <v>#VALUE!</v>
      </c>
      <c r="AB152" t="e">
        <f>AND('SPR BARRANQUILLA'!AL182,"AAAAAGt77Rs=")</f>
        <v>#VALUE!</v>
      </c>
      <c r="AC152" t="e">
        <f>AND('SPR BARRANQUILLA'!AM182,"AAAAAGt77Rw=")</f>
        <v>#VALUE!</v>
      </c>
      <c r="AD152" t="e">
        <f>AND('SPR BARRANQUILLA'!AN182,"AAAAAGt77R0=")</f>
        <v>#VALUE!</v>
      </c>
      <c r="AE152" t="e">
        <f>AND('SPR BARRANQUILLA'!AO182,"AAAAAGt77R4=")</f>
        <v>#VALUE!</v>
      </c>
      <c r="AF152" t="e">
        <f>AND('SPR BARRANQUILLA'!AP182,"AAAAAGt77R8=")</f>
        <v>#VALUE!</v>
      </c>
      <c r="AG152" t="e">
        <f>AND('SPR BARRANQUILLA'!AQ182,"AAAAAGt77SA=")</f>
        <v>#VALUE!</v>
      </c>
      <c r="AH152" t="e">
        <f>AND('SPR BARRANQUILLA'!AR182,"AAAAAGt77SE=")</f>
        <v>#VALUE!</v>
      </c>
      <c r="AI152" t="e">
        <f>AND('SPR BARRANQUILLA'!AS182,"AAAAAGt77SI=")</f>
        <v>#VALUE!</v>
      </c>
      <c r="AJ152" t="e">
        <f>AND('SPR BARRANQUILLA'!AT182,"AAAAAGt77SM=")</f>
        <v>#VALUE!</v>
      </c>
      <c r="AK152" t="e">
        <f>AND('SPR BARRANQUILLA'!AU182,"AAAAAGt77SQ=")</f>
        <v>#VALUE!</v>
      </c>
      <c r="AL152" t="e">
        <f>AND('SPR BARRANQUILLA'!AV182,"AAAAAGt77SU=")</f>
        <v>#VALUE!</v>
      </c>
      <c r="AM152" t="e">
        <f>AND('SPR BARRANQUILLA'!AW182,"AAAAAGt77SY=")</f>
        <v>#VALUE!</v>
      </c>
      <c r="AN152" t="e">
        <f>AND('SPR BARRANQUILLA'!AX182,"AAAAAGt77Sc=")</f>
        <v>#VALUE!</v>
      </c>
      <c r="AO152" t="e">
        <f>AND('SPR BARRANQUILLA'!AY182,"AAAAAGt77Sg=")</f>
        <v>#VALUE!</v>
      </c>
      <c r="AP152" t="e">
        <f>AND('SPR BARRANQUILLA'!AZ182,"AAAAAGt77Sk=")</f>
        <v>#VALUE!</v>
      </c>
      <c r="AQ152" t="e">
        <f>AND('SPR BARRANQUILLA'!BA182,"AAAAAGt77So=")</f>
        <v>#VALUE!</v>
      </c>
      <c r="AR152" t="e">
        <f>AND('SPR BARRANQUILLA'!BB182,"AAAAAGt77Ss=")</f>
        <v>#VALUE!</v>
      </c>
      <c r="AS152" t="e">
        <f>AND('SPR BARRANQUILLA'!BC182,"AAAAAGt77Sw=")</f>
        <v>#VALUE!</v>
      </c>
      <c r="AT152" t="e">
        <f>AND('SPR BARRANQUILLA'!BD182,"AAAAAGt77S0=")</f>
        <v>#VALUE!</v>
      </c>
      <c r="AU152" t="e">
        <f>AND('SPR BARRANQUILLA'!BE182,"AAAAAGt77S4=")</f>
        <v>#VALUE!</v>
      </c>
      <c r="AV152" t="e">
        <f>AND('SPR BARRANQUILLA'!BF182,"AAAAAGt77S8=")</f>
        <v>#VALUE!</v>
      </c>
      <c r="AW152" t="e">
        <f>AND('SPR BARRANQUILLA'!BG182,"AAAAAGt77TA=")</f>
        <v>#VALUE!</v>
      </c>
      <c r="AX152" t="e">
        <f>AND('SPR BARRANQUILLA'!BH182,"AAAAAGt77TE=")</f>
        <v>#VALUE!</v>
      </c>
      <c r="AY152" t="e">
        <f>AND('SPR BARRANQUILLA'!BI182,"AAAAAGt77TI=")</f>
        <v>#VALUE!</v>
      </c>
      <c r="AZ152" t="e">
        <f>AND('SPR BARRANQUILLA'!BJ182,"AAAAAGt77TM=")</f>
        <v>#VALUE!</v>
      </c>
      <c r="BA152" t="e">
        <f>AND('SPR BARRANQUILLA'!BK182,"AAAAAGt77TQ=")</f>
        <v>#VALUE!</v>
      </c>
      <c r="BB152" t="e">
        <f>AND('SPR BARRANQUILLA'!BL182,"AAAAAGt77TU=")</f>
        <v>#VALUE!</v>
      </c>
      <c r="BC152" t="e">
        <f>AND('SPR BARRANQUILLA'!BM182,"AAAAAGt77TY=")</f>
        <v>#VALUE!</v>
      </c>
      <c r="BD152" t="e">
        <f>AND('SPR BARRANQUILLA'!BN182,"AAAAAGt77Tc=")</f>
        <v>#VALUE!</v>
      </c>
      <c r="BE152" t="e">
        <f>AND('SPR BARRANQUILLA'!BO182,"AAAAAGt77Tg=")</f>
        <v>#VALUE!</v>
      </c>
      <c r="BF152" t="e">
        <f>AND('SPR BARRANQUILLA'!BP182,"AAAAAGt77Tk=")</f>
        <v>#VALUE!</v>
      </c>
      <c r="BG152" t="e">
        <f>AND('SPR BARRANQUILLA'!BQ182,"AAAAAGt77To=")</f>
        <v>#VALUE!</v>
      </c>
      <c r="BH152" t="e">
        <f>AND('SPR BARRANQUILLA'!BR182,"AAAAAGt77Ts=")</f>
        <v>#VALUE!</v>
      </c>
      <c r="BI152" t="e">
        <f>AND('SPR BARRANQUILLA'!BS182,"AAAAAGt77Tw=")</f>
        <v>#VALUE!</v>
      </c>
      <c r="BJ152" t="e">
        <f>AND('SPR BARRANQUILLA'!BT182,"AAAAAGt77T0=")</f>
        <v>#VALUE!</v>
      </c>
      <c r="BK152" t="e">
        <f>AND('SPR BARRANQUILLA'!BU182,"AAAAAGt77T4=")</f>
        <v>#VALUE!</v>
      </c>
      <c r="BL152" t="e">
        <f>AND('SPR BARRANQUILLA'!BV182,"AAAAAGt77T8=")</f>
        <v>#VALUE!</v>
      </c>
      <c r="BM152" t="e">
        <f>AND('SPR BARRANQUILLA'!BW182,"AAAAAGt77UA=")</f>
        <v>#VALUE!</v>
      </c>
      <c r="BN152" t="e">
        <f>AND('SPR BARRANQUILLA'!BX182,"AAAAAGt77UE=")</f>
        <v>#VALUE!</v>
      </c>
      <c r="BO152" t="e">
        <f>AND('SPR BARRANQUILLA'!BY182,"AAAAAGt77UI=")</f>
        <v>#VALUE!</v>
      </c>
      <c r="BP152" t="e">
        <f>AND('SPR BARRANQUILLA'!BZ182,"AAAAAGt77UM=")</f>
        <v>#VALUE!</v>
      </c>
      <c r="BQ152" t="e">
        <f>AND('SPR BARRANQUILLA'!CA182,"AAAAAGt77UQ=")</f>
        <v>#VALUE!</v>
      </c>
      <c r="BR152" t="e">
        <f>AND('SPR BARRANQUILLA'!CB182,"AAAAAGt77UU=")</f>
        <v>#VALUE!</v>
      </c>
      <c r="BS152" t="e">
        <f>AND('SPR BARRANQUILLA'!CC182,"AAAAAGt77UY=")</f>
        <v>#VALUE!</v>
      </c>
      <c r="BT152" t="e">
        <f>AND('SPR BARRANQUILLA'!CD182,"AAAAAGt77Uc=")</f>
        <v>#VALUE!</v>
      </c>
      <c r="BU152" t="e">
        <f>AND('SPR BARRANQUILLA'!CE182,"AAAAAGt77Ug=")</f>
        <v>#VALUE!</v>
      </c>
      <c r="BV152" t="e">
        <f>AND('SPR BARRANQUILLA'!CF182,"AAAAAGt77Uk=")</f>
        <v>#VALUE!</v>
      </c>
      <c r="BW152" t="e">
        <f>AND('SPR BARRANQUILLA'!CG182,"AAAAAGt77Uo=")</f>
        <v>#VALUE!</v>
      </c>
      <c r="BX152" t="e">
        <f>AND('SPR BARRANQUILLA'!CH182,"AAAAAGt77Us=")</f>
        <v>#VALUE!</v>
      </c>
      <c r="BY152" t="e">
        <f>AND('SPR BARRANQUILLA'!CI182,"AAAAAGt77Uw=")</f>
        <v>#VALUE!</v>
      </c>
      <c r="BZ152" t="e">
        <f>AND('SPR BARRANQUILLA'!CJ182,"AAAAAGt77U0=")</f>
        <v>#VALUE!</v>
      </c>
      <c r="CA152" t="e">
        <f>AND('SPR BARRANQUILLA'!CK182,"AAAAAGt77U4=")</f>
        <v>#VALUE!</v>
      </c>
      <c r="CB152" t="e">
        <f>AND('SPR BARRANQUILLA'!CL182,"AAAAAGt77U8=")</f>
        <v>#VALUE!</v>
      </c>
      <c r="CC152" t="e">
        <f>AND('SPR BARRANQUILLA'!CM182,"AAAAAGt77VA=")</f>
        <v>#VALUE!</v>
      </c>
      <c r="CD152" t="e">
        <f>AND('SPR BARRANQUILLA'!CN182,"AAAAAGt77VE=")</f>
        <v>#VALUE!</v>
      </c>
      <c r="CE152" t="e">
        <f>AND('SPR BARRANQUILLA'!CO182,"AAAAAGt77VI=")</f>
        <v>#VALUE!</v>
      </c>
      <c r="CF152" t="e">
        <f>AND('SPR BARRANQUILLA'!CP182,"AAAAAGt77VM=")</f>
        <v>#VALUE!</v>
      </c>
      <c r="CG152" t="e">
        <f>AND('SPR BARRANQUILLA'!CQ182,"AAAAAGt77VQ=")</f>
        <v>#VALUE!</v>
      </c>
      <c r="CH152" t="e">
        <f>AND('SPR BARRANQUILLA'!CR182,"AAAAAGt77VU=")</f>
        <v>#VALUE!</v>
      </c>
      <c r="CI152" t="e">
        <f>AND('SPR BARRANQUILLA'!CS182,"AAAAAGt77VY=")</f>
        <v>#VALUE!</v>
      </c>
      <c r="CJ152" t="e">
        <f>AND('SPR BARRANQUILLA'!CT182,"AAAAAGt77Vc=")</f>
        <v>#VALUE!</v>
      </c>
      <c r="CK152" t="e">
        <f>AND('SPR BARRANQUILLA'!CU182,"AAAAAGt77Vg=")</f>
        <v>#VALUE!</v>
      </c>
      <c r="CL152" t="e">
        <f>AND('SPR BARRANQUILLA'!CV182,"AAAAAGt77Vk=")</f>
        <v>#VALUE!</v>
      </c>
      <c r="CM152" t="e">
        <f>AND('SPR BARRANQUILLA'!CW182,"AAAAAGt77Vo=")</f>
        <v>#VALUE!</v>
      </c>
      <c r="CN152" t="e">
        <f>AND('SPR BARRANQUILLA'!CX182,"AAAAAGt77Vs=")</f>
        <v>#VALUE!</v>
      </c>
      <c r="CO152" t="e">
        <f>AND('SPR BARRANQUILLA'!CY182,"AAAAAGt77Vw=")</f>
        <v>#VALUE!</v>
      </c>
      <c r="CP152" t="e">
        <f>AND('SPR BARRANQUILLA'!CZ182,"AAAAAGt77V0=")</f>
        <v>#VALUE!</v>
      </c>
      <c r="CQ152" t="e">
        <f>AND('SPR BARRANQUILLA'!DA182,"AAAAAGt77V4=")</f>
        <v>#VALUE!</v>
      </c>
      <c r="CR152" t="e">
        <f>AND('SPR BARRANQUILLA'!DB182,"AAAAAGt77V8=")</f>
        <v>#VALUE!</v>
      </c>
      <c r="CS152" t="e">
        <f>AND('SPR BARRANQUILLA'!DC182,"AAAAAGt77WA=")</f>
        <v>#VALUE!</v>
      </c>
      <c r="CT152" t="e">
        <f>AND('SPR BARRANQUILLA'!DD182,"AAAAAGt77WE=")</f>
        <v>#VALUE!</v>
      </c>
      <c r="CU152" t="e">
        <f>AND('SPR BARRANQUILLA'!DE182,"AAAAAGt77WI=")</f>
        <v>#VALUE!</v>
      </c>
      <c r="CV152" t="e">
        <f>AND('SPR BARRANQUILLA'!DF182,"AAAAAGt77WM=")</f>
        <v>#VALUE!</v>
      </c>
      <c r="CW152" t="e">
        <f>AND('SPR BARRANQUILLA'!DG182,"AAAAAGt77WQ=")</f>
        <v>#VALUE!</v>
      </c>
      <c r="CX152" t="e">
        <f>AND('SPR BARRANQUILLA'!DH182,"AAAAAGt77WU=")</f>
        <v>#VALUE!</v>
      </c>
      <c r="CY152" t="e">
        <f>AND('SPR BARRANQUILLA'!DI182,"AAAAAGt77WY=")</f>
        <v>#VALUE!</v>
      </c>
      <c r="CZ152" t="e">
        <f>AND('SPR BARRANQUILLA'!DJ182,"AAAAAGt77Wc=")</f>
        <v>#VALUE!</v>
      </c>
      <c r="DA152" t="e">
        <f>AND('SPR BARRANQUILLA'!DK182,"AAAAAGt77Wg=")</f>
        <v>#VALUE!</v>
      </c>
      <c r="DB152" t="e">
        <f>AND('SPR BARRANQUILLA'!DL182,"AAAAAGt77Wk=")</f>
        <v>#VALUE!</v>
      </c>
      <c r="DC152" t="e">
        <f>AND('SPR BARRANQUILLA'!DM182,"AAAAAGt77Wo=")</f>
        <v>#VALUE!</v>
      </c>
      <c r="DD152" t="e">
        <f>AND('SPR BARRANQUILLA'!DN182,"AAAAAGt77Ws=")</f>
        <v>#VALUE!</v>
      </c>
      <c r="DE152" t="e">
        <f>AND('SPR BARRANQUILLA'!DO182,"AAAAAGt77Ww=")</f>
        <v>#VALUE!</v>
      </c>
      <c r="DF152" t="e">
        <f>AND('SPR BARRANQUILLA'!DP182,"AAAAAGt77W0=")</f>
        <v>#VALUE!</v>
      </c>
      <c r="DG152" t="e">
        <f>AND('SPR BARRANQUILLA'!DQ182,"AAAAAGt77W4=")</f>
        <v>#VALUE!</v>
      </c>
      <c r="DH152" t="e">
        <f>AND('SPR BARRANQUILLA'!DR182,"AAAAAGt77W8=")</f>
        <v>#VALUE!</v>
      </c>
      <c r="DI152" t="e">
        <f>AND('SPR BARRANQUILLA'!DS182,"AAAAAGt77XA=")</f>
        <v>#VALUE!</v>
      </c>
      <c r="DJ152" t="e">
        <f>AND('SPR BARRANQUILLA'!DT182,"AAAAAGt77XE=")</f>
        <v>#VALUE!</v>
      </c>
      <c r="DK152" t="e">
        <f>AND('SPR BARRANQUILLA'!DU182,"AAAAAGt77XI=")</f>
        <v>#VALUE!</v>
      </c>
      <c r="DL152" t="e">
        <f>AND('SPR BARRANQUILLA'!DV182,"AAAAAGt77XM=")</f>
        <v>#VALUE!</v>
      </c>
      <c r="DM152" t="e">
        <f>AND('SPR BARRANQUILLA'!DW182,"AAAAAGt77XQ=")</f>
        <v>#VALUE!</v>
      </c>
      <c r="DN152" t="e">
        <f>AND('SPR BARRANQUILLA'!DX182,"AAAAAGt77XU=")</f>
        <v>#VALUE!</v>
      </c>
      <c r="DO152" t="e">
        <f>AND('SPR BARRANQUILLA'!DY182,"AAAAAGt77XY=")</f>
        <v>#VALUE!</v>
      </c>
      <c r="DP152" t="e">
        <f>AND('SPR BARRANQUILLA'!DZ182,"AAAAAGt77Xc=")</f>
        <v>#VALUE!</v>
      </c>
      <c r="DQ152" t="e">
        <f>AND('SPR BARRANQUILLA'!EA182,"AAAAAGt77Xg=")</f>
        <v>#VALUE!</v>
      </c>
      <c r="DR152" t="e">
        <f>AND('SPR BARRANQUILLA'!EB182,"AAAAAGt77Xk=")</f>
        <v>#VALUE!</v>
      </c>
      <c r="DS152" t="e">
        <f>AND('SPR BARRANQUILLA'!EC182,"AAAAAGt77Xo=")</f>
        <v>#VALUE!</v>
      </c>
      <c r="DT152" t="e">
        <f>AND('SPR BARRANQUILLA'!ED182,"AAAAAGt77Xs=")</f>
        <v>#VALUE!</v>
      </c>
      <c r="DU152" t="e">
        <f>AND('SPR BARRANQUILLA'!EE182,"AAAAAGt77Xw=")</f>
        <v>#VALUE!</v>
      </c>
      <c r="DV152" t="e">
        <f>AND('SPR BARRANQUILLA'!EF182,"AAAAAGt77X0=")</f>
        <v>#VALUE!</v>
      </c>
      <c r="DW152" t="e">
        <f>AND('SPR BARRANQUILLA'!EG182,"AAAAAGt77X4=")</f>
        <v>#VALUE!</v>
      </c>
      <c r="DX152" t="e">
        <f>AND('SPR BARRANQUILLA'!EH182,"AAAAAGt77X8=")</f>
        <v>#VALUE!</v>
      </c>
      <c r="DY152" t="e">
        <f>AND('SPR BARRANQUILLA'!EI182,"AAAAAGt77YA=")</f>
        <v>#VALUE!</v>
      </c>
      <c r="DZ152" t="e">
        <f>AND('SPR BARRANQUILLA'!EJ182,"AAAAAGt77YE=")</f>
        <v>#VALUE!</v>
      </c>
      <c r="EA152" t="e">
        <f>AND('SPR BARRANQUILLA'!EK182,"AAAAAGt77YI=")</f>
        <v>#VALUE!</v>
      </c>
      <c r="EB152" t="e">
        <f>AND('SPR BARRANQUILLA'!EL182,"AAAAAGt77YM=")</f>
        <v>#VALUE!</v>
      </c>
      <c r="EC152" t="e">
        <f>AND('SPR BARRANQUILLA'!EM182,"AAAAAGt77YQ=")</f>
        <v>#VALUE!</v>
      </c>
      <c r="ED152" t="e">
        <f>AND('SPR BARRANQUILLA'!EN182,"AAAAAGt77YU=")</f>
        <v>#VALUE!</v>
      </c>
      <c r="EE152" t="e">
        <f>AND('SPR BARRANQUILLA'!EO182,"AAAAAGt77YY=")</f>
        <v>#VALUE!</v>
      </c>
      <c r="EF152" t="e">
        <f>AND('SPR BARRANQUILLA'!EP182,"AAAAAGt77Yc=")</f>
        <v>#VALUE!</v>
      </c>
      <c r="EG152" t="e">
        <f>AND('SPR BARRANQUILLA'!EQ182,"AAAAAGt77Yg=")</f>
        <v>#VALUE!</v>
      </c>
      <c r="EH152" t="e">
        <f>AND('SPR BARRANQUILLA'!ER182,"AAAAAGt77Yk=")</f>
        <v>#VALUE!</v>
      </c>
      <c r="EI152" t="e">
        <f>AND('SPR BARRANQUILLA'!ES182,"AAAAAGt77Yo=")</f>
        <v>#VALUE!</v>
      </c>
      <c r="EJ152" t="e">
        <f>AND('SPR BARRANQUILLA'!ET182,"AAAAAGt77Ys=")</f>
        <v>#VALUE!</v>
      </c>
      <c r="EK152" t="e">
        <f>AND('SPR BARRANQUILLA'!EU182,"AAAAAGt77Yw=")</f>
        <v>#VALUE!</v>
      </c>
      <c r="EL152" t="e">
        <f>AND('SPR BARRANQUILLA'!EV182,"AAAAAGt77Y0=")</f>
        <v>#VALUE!</v>
      </c>
      <c r="EM152" t="e">
        <f>AND('SPR BARRANQUILLA'!EW182,"AAAAAGt77Y4=")</f>
        <v>#VALUE!</v>
      </c>
      <c r="EN152" t="e">
        <f>AND('SPR BARRANQUILLA'!EX182,"AAAAAGt77Y8=")</f>
        <v>#VALUE!</v>
      </c>
      <c r="EO152" t="e">
        <f>AND('SPR BARRANQUILLA'!EY182,"AAAAAGt77ZA=")</f>
        <v>#VALUE!</v>
      </c>
      <c r="EP152" t="e">
        <f>AND('SPR BARRANQUILLA'!EZ182,"AAAAAGt77ZE=")</f>
        <v>#VALUE!</v>
      </c>
      <c r="EQ152" t="e">
        <f>AND('SPR BARRANQUILLA'!FA182,"AAAAAGt77ZI=")</f>
        <v>#VALUE!</v>
      </c>
      <c r="ER152" t="e">
        <f>AND('SPR BARRANQUILLA'!FB182,"AAAAAGt77ZM=")</f>
        <v>#VALUE!</v>
      </c>
      <c r="ES152" t="e">
        <f>AND('SPR BARRANQUILLA'!FC182,"AAAAAGt77ZQ=")</f>
        <v>#VALUE!</v>
      </c>
      <c r="ET152" t="e">
        <f>AND('SPR BARRANQUILLA'!FD182,"AAAAAGt77ZU=")</f>
        <v>#VALUE!</v>
      </c>
      <c r="EU152" t="e">
        <f>AND('SPR BARRANQUILLA'!FE182,"AAAAAGt77ZY=")</f>
        <v>#VALUE!</v>
      </c>
      <c r="EV152" t="e">
        <f>AND('SPR BARRANQUILLA'!FF182,"AAAAAGt77Zc=")</f>
        <v>#VALUE!</v>
      </c>
      <c r="EW152" t="e">
        <f>AND('SPR BARRANQUILLA'!FG182,"AAAAAGt77Zg=")</f>
        <v>#VALUE!</v>
      </c>
      <c r="EX152" t="e">
        <f>AND('SPR BARRANQUILLA'!FH182,"AAAAAGt77Zk=")</f>
        <v>#VALUE!</v>
      </c>
      <c r="EY152" t="e">
        <f>AND('SPR BARRANQUILLA'!FI182,"AAAAAGt77Zo=")</f>
        <v>#VALUE!</v>
      </c>
      <c r="EZ152" t="e">
        <f>AND('SPR BARRANQUILLA'!FJ182,"AAAAAGt77Zs=")</f>
        <v>#VALUE!</v>
      </c>
      <c r="FA152" t="e">
        <f>AND('SPR BARRANQUILLA'!FK182,"AAAAAGt77Zw=")</f>
        <v>#VALUE!</v>
      </c>
      <c r="FB152" t="e">
        <f>AND('SPR BARRANQUILLA'!FL182,"AAAAAGt77Z0=")</f>
        <v>#VALUE!</v>
      </c>
      <c r="FC152" t="e">
        <f>AND('SPR BARRANQUILLA'!FM182,"AAAAAGt77Z4=")</f>
        <v>#VALUE!</v>
      </c>
      <c r="FD152" t="e">
        <f>AND('SPR BARRANQUILLA'!FN182,"AAAAAGt77Z8=")</f>
        <v>#VALUE!</v>
      </c>
      <c r="FE152" t="e">
        <f>AND('SPR BARRANQUILLA'!FO182,"AAAAAGt77aA=")</f>
        <v>#VALUE!</v>
      </c>
      <c r="FF152" t="e">
        <f>AND('SPR BARRANQUILLA'!FP182,"AAAAAGt77aE=")</f>
        <v>#VALUE!</v>
      </c>
      <c r="FG152" t="e">
        <f>AND('SPR BARRANQUILLA'!FQ182,"AAAAAGt77aI=")</f>
        <v>#VALUE!</v>
      </c>
      <c r="FH152" t="e">
        <f>AND('SPR BARRANQUILLA'!FR182,"AAAAAGt77aM=")</f>
        <v>#VALUE!</v>
      </c>
      <c r="FI152" t="e">
        <f>AND('SPR BARRANQUILLA'!FS182,"AAAAAGt77aQ=")</f>
        <v>#VALUE!</v>
      </c>
      <c r="FJ152" t="e">
        <f>AND('SPR BARRANQUILLA'!FT182,"AAAAAGt77aU=")</f>
        <v>#VALUE!</v>
      </c>
      <c r="FK152" t="e">
        <f>AND('SPR BARRANQUILLA'!FU182,"AAAAAGt77aY=")</f>
        <v>#VALUE!</v>
      </c>
      <c r="FL152" t="e">
        <f>AND('SPR BARRANQUILLA'!FV182,"AAAAAGt77ac=")</f>
        <v>#VALUE!</v>
      </c>
      <c r="FM152" t="e">
        <f>AND('SPR BARRANQUILLA'!FW182,"AAAAAGt77ag=")</f>
        <v>#VALUE!</v>
      </c>
      <c r="FN152" t="e">
        <f>AND('SPR BARRANQUILLA'!FX182,"AAAAAGt77ak=")</f>
        <v>#VALUE!</v>
      </c>
      <c r="FO152" t="e">
        <f>AND('SPR BARRANQUILLA'!FY182,"AAAAAGt77ao=")</f>
        <v>#VALUE!</v>
      </c>
      <c r="FP152" t="e">
        <f>AND('SPR BARRANQUILLA'!FZ182,"AAAAAGt77as=")</f>
        <v>#VALUE!</v>
      </c>
      <c r="FQ152" t="e">
        <f>AND('SPR BARRANQUILLA'!GA182,"AAAAAGt77aw=")</f>
        <v>#VALUE!</v>
      </c>
      <c r="FR152" t="e">
        <f>AND('SPR BARRANQUILLA'!GB182,"AAAAAGt77a0=")</f>
        <v>#VALUE!</v>
      </c>
      <c r="FS152" t="e">
        <f>AND('SPR BARRANQUILLA'!GC182,"AAAAAGt77a4=")</f>
        <v>#VALUE!</v>
      </c>
      <c r="FT152" t="e">
        <f>AND('SPR BARRANQUILLA'!GD182,"AAAAAGt77a8=")</f>
        <v>#VALUE!</v>
      </c>
      <c r="FU152" t="e">
        <f>AND('SPR BARRANQUILLA'!GE182,"AAAAAGt77bA=")</f>
        <v>#VALUE!</v>
      </c>
      <c r="FV152" t="e">
        <f>AND('SPR BARRANQUILLA'!GF182,"AAAAAGt77bE=")</f>
        <v>#VALUE!</v>
      </c>
      <c r="FW152" t="e">
        <f>AND('SPR BARRANQUILLA'!GG182,"AAAAAGt77bI=")</f>
        <v>#VALUE!</v>
      </c>
      <c r="FX152" t="e">
        <f>AND('SPR BARRANQUILLA'!GH182,"AAAAAGt77bM=")</f>
        <v>#VALUE!</v>
      </c>
      <c r="FY152" t="e">
        <f>AND('SPR BARRANQUILLA'!GI182,"AAAAAGt77bQ=")</f>
        <v>#VALUE!</v>
      </c>
      <c r="FZ152" t="e">
        <f>AND('SPR BARRANQUILLA'!GJ182,"AAAAAGt77bU=")</f>
        <v>#VALUE!</v>
      </c>
      <c r="GA152" t="e">
        <f>AND('SPR BARRANQUILLA'!GK182,"AAAAAGt77bY=")</f>
        <v>#VALUE!</v>
      </c>
      <c r="GB152" t="e">
        <f>AND('SPR BARRANQUILLA'!GL182,"AAAAAGt77bc=")</f>
        <v>#VALUE!</v>
      </c>
      <c r="GC152" t="e">
        <f>AND('SPR BARRANQUILLA'!GM182,"AAAAAGt77bg=")</f>
        <v>#VALUE!</v>
      </c>
      <c r="GD152" t="e">
        <f>AND('SPR BARRANQUILLA'!GN182,"AAAAAGt77bk=")</f>
        <v>#VALUE!</v>
      </c>
      <c r="GE152" t="e">
        <f>AND('SPR BARRANQUILLA'!GO182,"AAAAAGt77bo=")</f>
        <v>#VALUE!</v>
      </c>
      <c r="GF152" t="e">
        <f>AND('SPR BARRANQUILLA'!GP182,"AAAAAGt77bs=")</f>
        <v>#VALUE!</v>
      </c>
      <c r="GG152" t="e">
        <f>AND('SPR BARRANQUILLA'!GQ182,"AAAAAGt77bw=")</f>
        <v>#VALUE!</v>
      </c>
      <c r="GH152" t="e">
        <f>AND('SPR BARRANQUILLA'!GR182,"AAAAAGt77b0=")</f>
        <v>#VALUE!</v>
      </c>
      <c r="GI152" t="e">
        <f>AND('SPR BARRANQUILLA'!GS182,"AAAAAGt77b4=")</f>
        <v>#VALUE!</v>
      </c>
      <c r="GJ152" t="e">
        <f>AND('SPR BARRANQUILLA'!GT182,"AAAAAGt77b8=")</f>
        <v>#VALUE!</v>
      </c>
      <c r="GK152" t="e">
        <f>AND('SPR BARRANQUILLA'!GU182,"AAAAAGt77cA=")</f>
        <v>#VALUE!</v>
      </c>
      <c r="GL152" t="e">
        <f>AND('SPR BARRANQUILLA'!GV182,"AAAAAGt77cE=")</f>
        <v>#VALUE!</v>
      </c>
      <c r="GM152" t="e">
        <f>AND('SPR BARRANQUILLA'!GW182,"AAAAAGt77cI=")</f>
        <v>#VALUE!</v>
      </c>
      <c r="GN152" t="e">
        <f>AND('SPR BARRANQUILLA'!GX182,"AAAAAGt77cM=")</f>
        <v>#VALUE!</v>
      </c>
      <c r="GO152" t="e">
        <f>AND('SPR BARRANQUILLA'!GY182,"AAAAAGt77cQ=")</f>
        <v>#VALUE!</v>
      </c>
      <c r="GP152">
        <f>IF('SPR BARRANQUILLA'!183:183,"AAAAAGt77cU=",0)</f>
        <v>0</v>
      </c>
      <c r="GQ152" t="e">
        <f>AND('SPR BARRANQUILLA'!A183,"AAAAAGt77cY=")</f>
        <v>#VALUE!</v>
      </c>
      <c r="GR152" t="e">
        <f>AND('SPR BARRANQUILLA'!B183,"AAAAAGt77cc=")</f>
        <v>#VALUE!</v>
      </c>
      <c r="GS152" t="e">
        <f>AND('SPR BARRANQUILLA'!C183,"AAAAAGt77cg=")</f>
        <v>#VALUE!</v>
      </c>
      <c r="GT152" t="e">
        <f>AND('SPR BARRANQUILLA'!D183,"AAAAAGt77ck=")</f>
        <v>#VALUE!</v>
      </c>
      <c r="GU152" t="e">
        <f>AND('SPR BARRANQUILLA'!E183,"AAAAAGt77co=")</f>
        <v>#VALUE!</v>
      </c>
      <c r="GV152" t="e">
        <f>AND('SPR BARRANQUILLA'!F183,"AAAAAGt77cs=")</f>
        <v>#VALUE!</v>
      </c>
      <c r="GW152" t="e">
        <f>AND('SPR BARRANQUILLA'!G183,"AAAAAGt77cw=")</f>
        <v>#VALUE!</v>
      </c>
      <c r="GX152" t="e">
        <f>AND('SPR BARRANQUILLA'!H183,"AAAAAGt77c0=")</f>
        <v>#VALUE!</v>
      </c>
      <c r="GY152" t="e">
        <f>AND('SPR BARRANQUILLA'!I183,"AAAAAGt77c4=")</f>
        <v>#VALUE!</v>
      </c>
      <c r="GZ152" t="e">
        <f>AND('SPR BARRANQUILLA'!J183,"AAAAAGt77c8=")</f>
        <v>#VALUE!</v>
      </c>
      <c r="HA152" t="e">
        <f>AND('SPR BARRANQUILLA'!K183,"AAAAAGt77dA=")</f>
        <v>#VALUE!</v>
      </c>
      <c r="HB152" t="e">
        <f>AND('SPR BARRANQUILLA'!L183,"AAAAAGt77dE=")</f>
        <v>#VALUE!</v>
      </c>
      <c r="HC152" t="e">
        <f>AND('SPR BARRANQUILLA'!M183,"AAAAAGt77dI=")</f>
        <v>#VALUE!</v>
      </c>
      <c r="HD152" t="e">
        <f>AND('SPR BARRANQUILLA'!N183,"AAAAAGt77dM=")</f>
        <v>#VALUE!</v>
      </c>
      <c r="HE152" t="e">
        <f>AND('SPR BARRANQUILLA'!O183,"AAAAAGt77dQ=")</f>
        <v>#VALUE!</v>
      </c>
      <c r="HF152" t="e">
        <f>AND('SPR BARRANQUILLA'!P183,"AAAAAGt77dU=")</f>
        <v>#VALUE!</v>
      </c>
      <c r="HG152" t="e">
        <f>AND('SPR BARRANQUILLA'!Q183,"AAAAAGt77dY=")</f>
        <v>#VALUE!</v>
      </c>
      <c r="HH152" t="e">
        <f>AND('SPR BARRANQUILLA'!R183,"AAAAAGt77dc=")</f>
        <v>#VALUE!</v>
      </c>
      <c r="HI152" t="e">
        <f>AND('SPR BARRANQUILLA'!S183,"AAAAAGt77dg=")</f>
        <v>#VALUE!</v>
      </c>
      <c r="HJ152" t="e">
        <f>AND('SPR BARRANQUILLA'!T183,"AAAAAGt77dk=")</f>
        <v>#VALUE!</v>
      </c>
      <c r="HK152" t="e">
        <f>AND('SPR BARRANQUILLA'!U183,"AAAAAGt77do=")</f>
        <v>#VALUE!</v>
      </c>
      <c r="HL152" t="e">
        <f>AND('SPR BARRANQUILLA'!V183,"AAAAAGt77ds=")</f>
        <v>#VALUE!</v>
      </c>
      <c r="HM152" t="e">
        <f>AND('SPR BARRANQUILLA'!W183,"AAAAAGt77dw=")</f>
        <v>#VALUE!</v>
      </c>
      <c r="HN152" t="e">
        <f>AND('SPR BARRANQUILLA'!X183,"AAAAAGt77d0=")</f>
        <v>#VALUE!</v>
      </c>
      <c r="HO152" t="e">
        <f>AND('SPR BARRANQUILLA'!Y183,"AAAAAGt77d4=")</f>
        <v>#VALUE!</v>
      </c>
      <c r="HP152" t="e">
        <f>AND('SPR BARRANQUILLA'!Z183,"AAAAAGt77d8=")</f>
        <v>#VALUE!</v>
      </c>
      <c r="HQ152" t="e">
        <f>AND('SPR BARRANQUILLA'!AA183,"AAAAAGt77eA=")</f>
        <v>#VALUE!</v>
      </c>
      <c r="HR152" t="e">
        <f>AND('SPR BARRANQUILLA'!AB183,"AAAAAGt77eE=")</f>
        <v>#VALUE!</v>
      </c>
      <c r="HS152" t="e">
        <f>AND('SPR BARRANQUILLA'!AC183,"AAAAAGt77eI=")</f>
        <v>#VALUE!</v>
      </c>
      <c r="HT152" t="e">
        <f>AND('SPR BARRANQUILLA'!AD183,"AAAAAGt77eM=")</f>
        <v>#VALUE!</v>
      </c>
      <c r="HU152" t="e">
        <f>AND('SPR BARRANQUILLA'!AE183,"AAAAAGt77eQ=")</f>
        <v>#VALUE!</v>
      </c>
      <c r="HV152" t="e">
        <f>AND('SPR BARRANQUILLA'!AF183,"AAAAAGt77eU=")</f>
        <v>#VALUE!</v>
      </c>
      <c r="HW152" t="e">
        <f>AND('SPR BARRANQUILLA'!AG183,"AAAAAGt77eY=")</f>
        <v>#VALUE!</v>
      </c>
      <c r="HX152" t="e">
        <f>AND('SPR BARRANQUILLA'!AH183,"AAAAAGt77ec=")</f>
        <v>#VALUE!</v>
      </c>
      <c r="HY152" t="e">
        <f>AND('SPR BARRANQUILLA'!AI183,"AAAAAGt77eg=")</f>
        <v>#VALUE!</v>
      </c>
      <c r="HZ152" t="e">
        <f>AND('SPR BARRANQUILLA'!AJ183,"AAAAAGt77ek=")</f>
        <v>#VALUE!</v>
      </c>
      <c r="IA152" t="e">
        <f>AND('SPR BARRANQUILLA'!AK183,"AAAAAGt77eo=")</f>
        <v>#VALUE!</v>
      </c>
      <c r="IB152" t="e">
        <f>AND('SPR BARRANQUILLA'!AL183,"AAAAAGt77es=")</f>
        <v>#VALUE!</v>
      </c>
      <c r="IC152" t="e">
        <f>AND('SPR BARRANQUILLA'!AM183,"AAAAAGt77ew=")</f>
        <v>#VALUE!</v>
      </c>
      <c r="ID152" t="e">
        <f>AND('SPR BARRANQUILLA'!AN183,"AAAAAGt77e0=")</f>
        <v>#VALUE!</v>
      </c>
      <c r="IE152" t="e">
        <f>AND('SPR BARRANQUILLA'!AO183,"AAAAAGt77e4=")</f>
        <v>#VALUE!</v>
      </c>
      <c r="IF152" t="e">
        <f>AND('SPR BARRANQUILLA'!AP183,"AAAAAGt77e8=")</f>
        <v>#VALUE!</v>
      </c>
      <c r="IG152" t="e">
        <f>AND('SPR BARRANQUILLA'!AQ183,"AAAAAGt77fA=")</f>
        <v>#VALUE!</v>
      </c>
      <c r="IH152" t="e">
        <f>AND('SPR BARRANQUILLA'!AR183,"AAAAAGt77fE=")</f>
        <v>#VALUE!</v>
      </c>
      <c r="II152" t="e">
        <f>AND('SPR BARRANQUILLA'!AS183,"AAAAAGt77fI=")</f>
        <v>#VALUE!</v>
      </c>
      <c r="IJ152" t="e">
        <f>AND('SPR BARRANQUILLA'!AT183,"AAAAAGt77fM=")</f>
        <v>#VALUE!</v>
      </c>
      <c r="IK152" t="e">
        <f>AND('SPR BARRANQUILLA'!AU183,"AAAAAGt77fQ=")</f>
        <v>#VALUE!</v>
      </c>
      <c r="IL152" t="e">
        <f>AND('SPR BARRANQUILLA'!AV183,"AAAAAGt77fU=")</f>
        <v>#VALUE!</v>
      </c>
      <c r="IM152" t="e">
        <f>AND('SPR BARRANQUILLA'!AW183,"AAAAAGt77fY=")</f>
        <v>#VALUE!</v>
      </c>
      <c r="IN152" t="e">
        <f>AND('SPR BARRANQUILLA'!AX183,"AAAAAGt77fc=")</f>
        <v>#VALUE!</v>
      </c>
      <c r="IO152" t="e">
        <f>AND('SPR BARRANQUILLA'!AY183,"AAAAAGt77fg=")</f>
        <v>#VALUE!</v>
      </c>
      <c r="IP152" t="e">
        <f>AND('SPR BARRANQUILLA'!AZ183,"AAAAAGt77fk=")</f>
        <v>#VALUE!</v>
      </c>
      <c r="IQ152" t="e">
        <f>AND('SPR BARRANQUILLA'!BA183,"AAAAAGt77fo=")</f>
        <v>#VALUE!</v>
      </c>
      <c r="IR152" t="e">
        <f>AND('SPR BARRANQUILLA'!BB183,"AAAAAGt77fs=")</f>
        <v>#VALUE!</v>
      </c>
      <c r="IS152" t="e">
        <f>AND('SPR BARRANQUILLA'!BC183,"AAAAAGt77fw=")</f>
        <v>#VALUE!</v>
      </c>
      <c r="IT152" t="e">
        <f>AND('SPR BARRANQUILLA'!BD183,"AAAAAGt77f0=")</f>
        <v>#VALUE!</v>
      </c>
      <c r="IU152" t="e">
        <f>AND('SPR BARRANQUILLA'!BE183,"AAAAAGt77f4=")</f>
        <v>#VALUE!</v>
      </c>
      <c r="IV152" t="e">
        <f>AND('SPR BARRANQUILLA'!BF183,"AAAAAGt77f8=")</f>
        <v>#VALUE!</v>
      </c>
    </row>
    <row r="153" spans="1:256">
      <c r="A153" t="e">
        <f>AND('SPR BARRANQUILLA'!BG183,"AAAAAD15vQA=")</f>
        <v>#VALUE!</v>
      </c>
      <c r="B153" t="e">
        <f>AND('SPR BARRANQUILLA'!BH183,"AAAAAD15vQE=")</f>
        <v>#VALUE!</v>
      </c>
      <c r="C153" t="e">
        <f>AND('SPR BARRANQUILLA'!BI183,"AAAAAD15vQI=")</f>
        <v>#VALUE!</v>
      </c>
      <c r="D153" t="e">
        <f>AND('SPR BARRANQUILLA'!BJ183,"AAAAAD15vQM=")</f>
        <v>#VALUE!</v>
      </c>
      <c r="E153" t="e">
        <f>AND('SPR BARRANQUILLA'!BK183,"AAAAAD15vQQ=")</f>
        <v>#VALUE!</v>
      </c>
      <c r="F153" t="e">
        <f>AND('SPR BARRANQUILLA'!BL183,"AAAAAD15vQU=")</f>
        <v>#VALUE!</v>
      </c>
      <c r="G153" t="e">
        <f>AND('SPR BARRANQUILLA'!BM183,"AAAAAD15vQY=")</f>
        <v>#VALUE!</v>
      </c>
      <c r="H153" t="e">
        <f>AND('SPR BARRANQUILLA'!BN183,"AAAAAD15vQc=")</f>
        <v>#VALUE!</v>
      </c>
      <c r="I153" t="e">
        <f>AND('SPR BARRANQUILLA'!BO183,"AAAAAD15vQg=")</f>
        <v>#VALUE!</v>
      </c>
      <c r="J153" t="e">
        <f>AND('SPR BARRANQUILLA'!BP183,"AAAAAD15vQk=")</f>
        <v>#VALUE!</v>
      </c>
      <c r="K153" t="e">
        <f>AND('SPR BARRANQUILLA'!BQ183,"AAAAAD15vQo=")</f>
        <v>#VALUE!</v>
      </c>
      <c r="L153" t="e">
        <f>AND('SPR BARRANQUILLA'!BR183,"AAAAAD15vQs=")</f>
        <v>#VALUE!</v>
      </c>
      <c r="M153" t="e">
        <f>AND('SPR BARRANQUILLA'!BS183,"AAAAAD15vQw=")</f>
        <v>#VALUE!</v>
      </c>
      <c r="N153" t="e">
        <f>AND('SPR BARRANQUILLA'!BT183,"AAAAAD15vQ0=")</f>
        <v>#VALUE!</v>
      </c>
      <c r="O153" t="e">
        <f>AND('SPR BARRANQUILLA'!BU183,"AAAAAD15vQ4=")</f>
        <v>#VALUE!</v>
      </c>
      <c r="P153" t="e">
        <f>AND('SPR BARRANQUILLA'!BV183,"AAAAAD15vQ8=")</f>
        <v>#VALUE!</v>
      </c>
      <c r="Q153" t="e">
        <f>AND('SPR BARRANQUILLA'!BW183,"AAAAAD15vRA=")</f>
        <v>#VALUE!</v>
      </c>
      <c r="R153" t="e">
        <f>AND('SPR BARRANQUILLA'!BX183,"AAAAAD15vRE=")</f>
        <v>#VALUE!</v>
      </c>
      <c r="S153" t="e">
        <f>AND('SPR BARRANQUILLA'!BY183,"AAAAAD15vRI=")</f>
        <v>#VALUE!</v>
      </c>
      <c r="T153" t="e">
        <f>AND('SPR BARRANQUILLA'!BZ183,"AAAAAD15vRM=")</f>
        <v>#VALUE!</v>
      </c>
      <c r="U153" t="e">
        <f>AND('SPR BARRANQUILLA'!CA183,"AAAAAD15vRQ=")</f>
        <v>#VALUE!</v>
      </c>
      <c r="V153" t="e">
        <f>AND('SPR BARRANQUILLA'!CB183,"AAAAAD15vRU=")</f>
        <v>#VALUE!</v>
      </c>
      <c r="W153" t="e">
        <f>AND('SPR BARRANQUILLA'!CC183,"AAAAAD15vRY=")</f>
        <v>#VALUE!</v>
      </c>
      <c r="X153" t="e">
        <f>AND('SPR BARRANQUILLA'!CD183,"AAAAAD15vRc=")</f>
        <v>#VALUE!</v>
      </c>
      <c r="Y153" t="e">
        <f>AND('SPR BARRANQUILLA'!CE183,"AAAAAD15vRg=")</f>
        <v>#VALUE!</v>
      </c>
      <c r="Z153" t="e">
        <f>AND('SPR BARRANQUILLA'!CF183,"AAAAAD15vRk=")</f>
        <v>#VALUE!</v>
      </c>
      <c r="AA153" t="e">
        <f>AND('SPR BARRANQUILLA'!CG183,"AAAAAD15vRo=")</f>
        <v>#VALUE!</v>
      </c>
      <c r="AB153" t="e">
        <f>AND('SPR BARRANQUILLA'!CH183,"AAAAAD15vRs=")</f>
        <v>#VALUE!</v>
      </c>
      <c r="AC153" t="e">
        <f>AND('SPR BARRANQUILLA'!CI183,"AAAAAD15vRw=")</f>
        <v>#VALUE!</v>
      </c>
      <c r="AD153" t="e">
        <f>AND('SPR BARRANQUILLA'!CJ183,"AAAAAD15vR0=")</f>
        <v>#VALUE!</v>
      </c>
      <c r="AE153" t="e">
        <f>AND('SPR BARRANQUILLA'!CK183,"AAAAAD15vR4=")</f>
        <v>#VALUE!</v>
      </c>
      <c r="AF153" t="e">
        <f>AND('SPR BARRANQUILLA'!CL183,"AAAAAD15vR8=")</f>
        <v>#VALUE!</v>
      </c>
      <c r="AG153" t="e">
        <f>AND('SPR BARRANQUILLA'!CM183,"AAAAAD15vSA=")</f>
        <v>#VALUE!</v>
      </c>
      <c r="AH153" t="e">
        <f>AND('SPR BARRANQUILLA'!CN183,"AAAAAD15vSE=")</f>
        <v>#VALUE!</v>
      </c>
      <c r="AI153" t="e">
        <f>AND('SPR BARRANQUILLA'!CO183,"AAAAAD15vSI=")</f>
        <v>#VALUE!</v>
      </c>
      <c r="AJ153" t="e">
        <f>AND('SPR BARRANQUILLA'!CP183,"AAAAAD15vSM=")</f>
        <v>#VALUE!</v>
      </c>
      <c r="AK153" t="e">
        <f>AND('SPR BARRANQUILLA'!CQ183,"AAAAAD15vSQ=")</f>
        <v>#VALUE!</v>
      </c>
      <c r="AL153" t="e">
        <f>AND('SPR BARRANQUILLA'!CR183,"AAAAAD15vSU=")</f>
        <v>#VALUE!</v>
      </c>
      <c r="AM153" t="e">
        <f>AND('SPR BARRANQUILLA'!CS183,"AAAAAD15vSY=")</f>
        <v>#VALUE!</v>
      </c>
      <c r="AN153" t="e">
        <f>AND('SPR BARRANQUILLA'!CT183,"AAAAAD15vSc=")</f>
        <v>#VALUE!</v>
      </c>
      <c r="AO153" t="e">
        <f>AND('SPR BARRANQUILLA'!CU183,"AAAAAD15vSg=")</f>
        <v>#VALUE!</v>
      </c>
      <c r="AP153" t="e">
        <f>AND('SPR BARRANQUILLA'!CV183,"AAAAAD15vSk=")</f>
        <v>#VALUE!</v>
      </c>
      <c r="AQ153" t="e">
        <f>AND('SPR BARRANQUILLA'!CW183,"AAAAAD15vSo=")</f>
        <v>#VALUE!</v>
      </c>
      <c r="AR153" t="e">
        <f>AND('SPR BARRANQUILLA'!CX183,"AAAAAD15vSs=")</f>
        <v>#VALUE!</v>
      </c>
      <c r="AS153" t="e">
        <f>AND('SPR BARRANQUILLA'!CY183,"AAAAAD15vSw=")</f>
        <v>#VALUE!</v>
      </c>
      <c r="AT153" t="e">
        <f>AND('SPR BARRANQUILLA'!CZ183,"AAAAAD15vS0=")</f>
        <v>#VALUE!</v>
      </c>
      <c r="AU153" t="e">
        <f>AND('SPR BARRANQUILLA'!DA183,"AAAAAD15vS4=")</f>
        <v>#VALUE!</v>
      </c>
      <c r="AV153" t="e">
        <f>AND('SPR BARRANQUILLA'!DB183,"AAAAAD15vS8=")</f>
        <v>#VALUE!</v>
      </c>
      <c r="AW153" t="e">
        <f>AND('SPR BARRANQUILLA'!DC183,"AAAAAD15vTA=")</f>
        <v>#VALUE!</v>
      </c>
      <c r="AX153" t="e">
        <f>AND('SPR BARRANQUILLA'!DD183,"AAAAAD15vTE=")</f>
        <v>#VALUE!</v>
      </c>
      <c r="AY153" t="e">
        <f>AND('SPR BARRANQUILLA'!DE183,"AAAAAD15vTI=")</f>
        <v>#VALUE!</v>
      </c>
      <c r="AZ153" t="e">
        <f>AND('SPR BARRANQUILLA'!DF183,"AAAAAD15vTM=")</f>
        <v>#VALUE!</v>
      </c>
      <c r="BA153" t="e">
        <f>AND('SPR BARRANQUILLA'!DG183,"AAAAAD15vTQ=")</f>
        <v>#VALUE!</v>
      </c>
      <c r="BB153" t="e">
        <f>AND('SPR BARRANQUILLA'!DH183,"AAAAAD15vTU=")</f>
        <v>#VALUE!</v>
      </c>
      <c r="BC153" t="e">
        <f>AND('SPR BARRANQUILLA'!DI183,"AAAAAD15vTY=")</f>
        <v>#VALUE!</v>
      </c>
      <c r="BD153" t="e">
        <f>AND('SPR BARRANQUILLA'!DJ183,"AAAAAD15vTc=")</f>
        <v>#VALUE!</v>
      </c>
      <c r="BE153" t="e">
        <f>AND('SPR BARRANQUILLA'!DK183,"AAAAAD15vTg=")</f>
        <v>#VALUE!</v>
      </c>
      <c r="BF153" t="e">
        <f>AND('SPR BARRANQUILLA'!DL183,"AAAAAD15vTk=")</f>
        <v>#VALUE!</v>
      </c>
      <c r="BG153" t="e">
        <f>AND('SPR BARRANQUILLA'!DM183,"AAAAAD15vTo=")</f>
        <v>#VALUE!</v>
      </c>
      <c r="BH153" t="e">
        <f>AND('SPR BARRANQUILLA'!DN183,"AAAAAD15vTs=")</f>
        <v>#VALUE!</v>
      </c>
      <c r="BI153" t="e">
        <f>AND('SPR BARRANQUILLA'!DO183,"AAAAAD15vTw=")</f>
        <v>#VALUE!</v>
      </c>
      <c r="BJ153" t="e">
        <f>AND('SPR BARRANQUILLA'!DP183,"AAAAAD15vT0=")</f>
        <v>#VALUE!</v>
      </c>
      <c r="BK153" t="e">
        <f>AND('SPR BARRANQUILLA'!DQ183,"AAAAAD15vT4=")</f>
        <v>#VALUE!</v>
      </c>
      <c r="BL153" t="e">
        <f>AND('SPR BARRANQUILLA'!DR183,"AAAAAD15vT8=")</f>
        <v>#VALUE!</v>
      </c>
      <c r="BM153" t="e">
        <f>AND('SPR BARRANQUILLA'!DS183,"AAAAAD15vUA=")</f>
        <v>#VALUE!</v>
      </c>
      <c r="BN153" t="e">
        <f>AND('SPR BARRANQUILLA'!DT183,"AAAAAD15vUE=")</f>
        <v>#VALUE!</v>
      </c>
      <c r="BO153" t="e">
        <f>AND('SPR BARRANQUILLA'!DU183,"AAAAAD15vUI=")</f>
        <v>#VALUE!</v>
      </c>
      <c r="BP153" t="e">
        <f>AND('SPR BARRANQUILLA'!DV183,"AAAAAD15vUM=")</f>
        <v>#VALUE!</v>
      </c>
      <c r="BQ153" t="e">
        <f>AND('SPR BARRANQUILLA'!DW183,"AAAAAD15vUQ=")</f>
        <v>#VALUE!</v>
      </c>
      <c r="BR153" t="e">
        <f>AND('SPR BARRANQUILLA'!DX183,"AAAAAD15vUU=")</f>
        <v>#VALUE!</v>
      </c>
      <c r="BS153" t="e">
        <f>AND('SPR BARRANQUILLA'!DY183,"AAAAAD15vUY=")</f>
        <v>#VALUE!</v>
      </c>
      <c r="BT153" t="e">
        <f>AND('SPR BARRANQUILLA'!DZ183,"AAAAAD15vUc=")</f>
        <v>#VALUE!</v>
      </c>
      <c r="BU153" t="e">
        <f>AND('SPR BARRANQUILLA'!EA183,"AAAAAD15vUg=")</f>
        <v>#VALUE!</v>
      </c>
      <c r="BV153" t="e">
        <f>AND('SPR BARRANQUILLA'!EB183,"AAAAAD15vUk=")</f>
        <v>#VALUE!</v>
      </c>
      <c r="BW153" t="e">
        <f>AND('SPR BARRANQUILLA'!EC183,"AAAAAD15vUo=")</f>
        <v>#VALUE!</v>
      </c>
      <c r="BX153" t="e">
        <f>AND('SPR BARRANQUILLA'!ED183,"AAAAAD15vUs=")</f>
        <v>#VALUE!</v>
      </c>
      <c r="BY153" t="e">
        <f>AND('SPR BARRANQUILLA'!EE183,"AAAAAD15vUw=")</f>
        <v>#VALUE!</v>
      </c>
      <c r="BZ153" t="e">
        <f>AND('SPR BARRANQUILLA'!EF183,"AAAAAD15vU0=")</f>
        <v>#VALUE!</v>
      </c>
      <c r="CA153" t="e">
        <f>AND('SPR BARRANQUILLA'!EG183,"AAAAAD15vU4=")</f>
        <v>#VALUE!</v>
      </c>
      <c r="CB153" t="e">
        <f>AND('SPR BARRANQUILLA'!EH183,"AAAAAD15vU8=")</f>
        <v>#VALUE!</v>
      </c>
      <c r="CC153" t="e">
        <f>AND('SPR BARRANQUILLA'!EI183,"AAAAAD15vVA=")</f>
        <v>#VALUE!</v>
      </c>
      <c r="CD153" t="e">
        <f>AND('SPR BARRANQUILLA'!EJ183,"AAAAAD15vVE=")</f>
        <v>#VALUE!</v>
      </c>
      <c r="CE153" t="e">
        <f>AND('SPR BARRANQUILLA'!EK183,"AAAAAD15vVI=")</f>
        <v>#VALUE!</v>
      </c>
      <c r="CF153" t="e">
        <f>AND('SPR BARRANQUILLA'!EL183,"AAAAAD15vVM=")</f>
        <v>#VALUE!</v>
      </c>
      <c r="CG153" t="e">
        <f>AND('SPR BARRANQUILLA'!EM183,"AAAAAD15vVQ=")</f>
        <v>#VALUE!</v>
      </c>
      <c r="CH153" t="e">
        <f>AND('SPR BARRANQUILLA'!EN183,"AAAAAD15vVU=")</f>
        <v>#VALUE!</v>
      </c>
      <c r="CI153" t="e">
        <f>AND('SPR BARRANQUILLA'!EO183,"AAAAAD15vVY=")</f>
        <v>#VALUE!</v>
      </c>
      <c r="CJ153" t="e">
        <f>AND('SPR BARRANQUILLA'!EP183,"AAAAAD15vVc=")</f>
        <v>#VALUE!</v>
      </c>
      <c r="CK153" t="e">
        <f>AND('SPR BARRANQUILLA'!EQ183,"AAAAAD15vVg=")</f>
        <v>#VALUE!</v>
      </c>
      <c r="CL153" t="e">
        <f>AND('SPR BARRANQUILLA'!ER183,"AAAAAD15vVk=")</f>
        <v>#VALUE!</v>
      </c>
      <c r="CM153" t="e">
        <f>AND('SPR BARRANQUILLA'!ES183,"AAAAAD15vVo=")</f>
        <v>#VALUE!</v>
      </c>
      <c r="CN153" t="e">
        <f>AND('SPR BARRANQUILLA'!ET183,"AAAAAD15vVs=")</f>
        <v>#VALUE!</v>
      </c>
      <c r="CO153" t="e">
        <f>AND('SPR BARRANQUILLA'!EU183,"AAAAAD15vVw=")</f>
        <v>#VALUE!</v>
      </c>
      <c r="CP153" t="e">
        <f>AND('SPR BARRANQUILLA'!EV183,"AAAAAD15vV0=")</f>
        <v>#VALUE!</v>
      </c>
      <c r="CQ153" t="e">
        <f>AND('SPR BARRANQUILLA'!EW183,"AAAAAD15vV4=")</f>
        <v>#VALUE!</v>
      </c>
      <c r="CR153" t="e">
        <f>AND('SPR BARRANQUILLA'!EX183,"AAAAAD15vV8=")</f>
        <v>#VALUE!</v>
      </c>
      <c r="CS153" t="e">
        <f>AND('SPR BARRANQUILLA'!EY183,"AAAAAD15vWA=")</f>
        <v>#VALUE!</v>
      </c>
      <c r="CT153" t="e">
        <f>AND('SPR BARRANQUILLA'!EZ183,"AAAAAD15vWE=")</f>
        <v>#VALUE!</v>
      </c>
      <c r="CU153" t="e">
        <f>AND('SPR BARRANQUILLA'!FA183,"AAAAAD15vWI=")</f>
        <v>#VALUE!</v>
      </c>
      <c r="CV153" t="e">
        <f>AND('SPR BARRANQUILLA'!FB183,"AAAAAD15vWM=")</f>
        <v>#VALUE!</v>
      </c>
      <c r="CW153" t="e">
        <f>AND('SPR BARRANQUILLA'!FC183,"AAAAAD15vWQ=")</f>
        <v>#VALUE!</v>
      </c>
      <c r="CX153" t="e">
        <f>AND('SPR BARRANQUILLA'!FD183,"AAAAAD15vWU=")</f>
        <v>#VALUE!</v>
      </c>
      <c r="CY153" t="e">
        <f>AND('SPR BARRANQUILLA'!FE183,"AAAAAD15vWY=")</f>
        <v>#VALUE!</v>
      </c>
      <c r="CZ153" t="e">
        <f>AND('SPR BARRANQUILLA'!FF183,"AAAAAD15vWc=")</f>
        <v>#VALUE!</v>
      </c>
      <c r="DA153" t="e">
        <f>AND('SPR BARRANQUILLA'!FG183,"AAAAAD15vWg=")</f>
        <v>#VALUE!</v>
      </c>
      <c r="DB153" t="e">
        <f>AND('SPR BARRANQUILLA'!FH183,"AAAAAD15vWk=")</f>
        <v>#VALUE!</v>
      </c>
      <c r="DC153" t="e">
        <f>AND('SPR BARRANQUILLA'!FI183,"AAAAAD15vWo=")</f>
        <v>#VALUE!</v>
      </c>
      <c r="DD153" t="e">
        <f>AND('SPR BARRANQUILLA'!FJ183,"AAAAAD15vWs=")</f>
        <v>#VALUE!</v>
      </c>
      <c r="DE153" t="e">
        <f>AND('SPR BARRANQUILLA'!FK183,"AAAAAD15vWw=")</f>
        <v>#VALUE!</v>
      </c>
      <c r="DF153" t="e">
        <f>AND('SPR BARRANQUILLA'!FL183,"AAAAAD15vW0=")</f>
        <v>#VALUE!</v>
      </c>
      <c r="DG153" t="e">
        <f>AND('SPR BARRANQUILLA'!FM183,"AAAAAD15vW4=")</f>
        <v>#VALUE!</v>
      </c>
      <c r="DH153" t="e">
        <f>AND('SPR BARRANQUILLA'!FN183,"AAAAAD15vW8=")</f>
        <v>#VALUE!</v>
      </c>
      <c r="DI153" t="e">
        <f>AND('SPR BARRANQUILLA'!FO183,"AAAAAD15vXA=")</f>
        <v>#VALUE!</v>
      </c>
      <c r="DJ153" t="e">
        <f>AND('SPR BARRANQUILLA'!FP183,"AAAAAD15vXE=")</f>
        <v>#VALUE!</v>
      </c>
      <c r="DK153" t="e">
        <f>AND('SPR BARRANQUILLA'!FQ183,"AAAAAD15vXI=")</f>
        <v>#VALUE!</v>
      </c>
      <c r="DL153" t="e">
        <f>AND('SPR BARRANQUILLA'!FR183,"AAAAAD15vXM=")</f>
        <v>#VALUE!</v>
      </c>
      <c r="DM153" t="e">
        <f>AND('SPR BARRANQUILLA'!FS183,"AAAAAD15vXQ=")</f>
        <v>#VALUE!</v>
      </c>
      <c r="DN153" t="e">
        <f>AND('SPR BARRANQUILLA'!FT183,"AAAAAD15vXU=")</f>
        <v>#VALUE!</v>
      </c>
      <c r="DO153" t="e">
        <f>AND('SPR BARRANQUILLA'!FU183,"AAAAAD15vXY=")</f>
        <v>#VALUE!</v>
      </c>
      <c r="DP153" t="e">
        <f>AND('SPR BARRANQUILLA'!FV183,"AAAAAD15vXc=")</f>
        <v>#VALUE!</v>
      </c>
      <c r="DQ153" t="e">
        <f>AND('SPR BARRANQUILLA'!FW183,"AAAAAD15vXg=")</f>
        <v>#VALUE!</v>
      </c>
      <c r="DR153" t="e">
        <f>AND('SPR BARRANQUILLA'!FX183,"AAAAAD15vXk=")</f>
        <v>#VALUE!</v>
      </c>
      <c r="DS153" t="e">
        <f>AND('SPR BARRANQUILLA'!FY183,"AAAAAD15vXo=")</f>
        <v>#VALUE!</v>
      </c>
      <c r="DT153" t="e">
        <f>AND('SPR BARRANQUILLA'!FZ183,"AAAAAD15vXs=")</f>
        <v>#VALUE!</v>
      </c>
      <c r="DU153" t="e">
        <f>AND('SPR BARRANQUILLA'!GA183,"AAAAAD15vXw=")</f>
        <v>#VALUE!</v>
      </c>
      <c r="DV153" t="e">
        <f>AND('SPR BARRANQUILLA'!GB183,"AAAAAD15vX0=")</f>
        <v>#VALUE!</v>
      </c>
      <c r="DW153" t="e">
        <f>AND('SPR BARRANQUILLA'!GC183,"AAAAAD15vX4=")</f>
        <v>#VALUE!</v>
      </c>
      <c r="DX153" t="e">
        <f>AND('SPR BARRANQUILLA'!GD183,"AAAAAD15vX8=")</f>
        <v>#VALUE!</v>
      </c>
      <c r="DY153" t="e">
        <f>AND('SPR BARRANQUILLA'!GE183,"AAAAAD15vYA=")</f>
        <v>#VALUE!</v>
      </c>
      <c r="DZ153" t="e">
        <f>AND('SPR BARRANQUILLA'!GF183,"AAAAAD15vYE=")</f>
        <v>#VALUE!</v>
      </c>
      <c r="EA153" t="e">
        <f>AND('SPR BARRANQUILLA'!GG183,"AAAAAD15vYI=")</f>
        <v>#VALUE!</v>
      </c>
      <c r="EB153" t="e">
        <f>AND('SPR BARRANQUILLA'!GH183,"AAAAAD15vYM=")</f>
        <v>#VALUE!</v>
      </c>
      <c r="EC153" t="e">
        <f>AND('SPR BARRANQUILLA'!GI183,"AAAAAD15vYQ=")</f>
        <v>#VALUE!</v>
      </c>
      <c r="ED153" t="e">
        <f>AND('SPR BARRANQUILLA'!GJ183,"AAAAAD15vYU=")</f>
        <v>#VALUE!</v>
      </c>
      <c r="EE153" t="e">
        <f>AND('SPR BARRANQUILLA'!GK183,"AAAAAD15vYY=")</f>
        <v>#VALUE!</v>
      </c>
      <c r="EF153" t="e">
        <f>AND('SPR BARRANQUILLA'!GL183,"AAAAAD15vYc=")</f>
        <v>#VALUE!</v>
      </c>
      <c r="EG153" t="e">
        <f>AND('SPR BARRANQUILLA'!GM183,"AAAAAD15vYg=")</f>
        <v>#VALUE!</v>
      </c>
      <c r="EH153" t="e">
        <f>AND('SPR BARRANQUILLA'!GN183,"AAAAAD15vYk=")</f>
        <v>#VALUE!</v>
      </c>
      <c r="EI153" t="e">
        <f>AND('SPR BARRANQUILLA'!GO183,"AAAAAD15vYo=")</f>
        <v>#VALUE!</v>
      </c>
      <c r="EJ153" t="e">
        <f>AND('SPR BARRANQUILLA'!GP183,"AAAAAD15vYs=")</f>
        <v>#VALUE!</v>
      </c>
      <c r="EK153" t="e">
        <f>AND('SPR BARRANQUILLA'!GQ183,"AAAAAD15vYw=")</f>
        <v>#VALUE!</v>
      </c>
      <c r="EL153" t="e">
        <f>AND('SPR BARRANQUILLA'!GR183,"AAAAAD15vY0=")</f>
        <v>#VALUE!</v>
      </c>
      <c r="EM153" t="e">
        <f>AND('SPR BARRANQUILLA'!GS183,"AAAAAD15vY4=")</f>
        <v>#VALUE!</v>
      </c>
      <c r="EN153" t="e">
        <f>AND('SPR BARRANQUILLA'!GT183,"AAAAAD15vY8=")</f>
        <v>#VALUE!</v>
      </c>
      <c r="EO153" t="e">
        <f>AND('SPR BARRANQUILLA'!GU183,"AAAAAD15vZA=")</f>
        <v>#VALUE!</v>
      </c>
      <c r="EP153" t="e">
        <f>AND('SPR BARRANQUILLA'!GV183,"AAAAAD15vZE=")</f>
        <v>#VALUE!</v>
      </c>
      <c r="EQ153" t="e">
        <f>AND('SPR BARRANQUILLA'!GW183,"AAAAAD15vZI=")</f>
        <v>#VALUE!</v>
      </c>
      <c r="ER153" t="e">
        <f>AND('SPR BARRANQUILLA'!GX183,"AAAAAD15vZM=")</f>
        <v>#VALUE!</v>
      </c>
      <c r="ES153" t="e">
        <f>AND('SPR BARRANQUILLA'!GY183,"AAAAAD15vZQ=")</f>
        <v>#VALUE!</v>
      </c>
      <c r="ET153">
        <f>IF('SPR BARRANQUILLA'!184:184,"AAAAAD15vZU=",0)</f>
        <v>0</v>
      </c>
      <c r="EU153" t="e">
        <f>AND('SPR BARRANQUILLA'!A184,"AAAAAD15vZY=")</f>
        <v>#VALUE!</v>
      </c>
      <c r="EV153" t="e">
        <f>AND('SPR BARRANQUILLA'!B184,"AAAAAD15vZc=")</f>
        <v>#VALUE!</v>
      </c>
      <c r="EW153" t="e">
        <f>AND('SPR BARRANQUILLA'!C184,"AAAAAD15vZg=")</f>
        <v>#VALUE!</v>
      </c>
      <c r="EX153" t="e">
        <f>AND('SPR BARRANQUILLA'!D184,"AAAAAD15vZk=")</f>
        <v>#VALUE!</v>
      </c>
      <c r="EY153" t="e">
        <f>AND('SPR BARRANQUILLA'!E184,"AAAAAD15vZo=")</f>
        <v>#VALUE!</v>
      </c>
      <c r="EZ153" t="e">
        <f>AND('SPR BARRANQUILLA'!F184,"AAAAAD15vZs=")</f>
        <v>#VALUE!</v>
      </c>
      <c r="FA153" t="e">
        <f>AND('SPR BARRANQUILLA'!G184,"AAAAAD15vZw=")</f>
        <v>#VALUE!</v>
      </c>
      <c r="FB153" t="e">
        <f>AND('SPR BARRANQUILLA'!H184,"AAAAAD15vZ0=")</f>
        <v>#VALUE!</v>
      </c>
      <c r="FC153" t="e">
        <f>AND('SPR BARRANQUILLA'!I184,"AAAAAD15vZ4=")</f>
        <v>#VALUE!</v>
      </c>
      <c r="FD153" t="e">
        <f>AND('SPR BARRANQUILLA'!J184,"AAAAAD15vZ8=")</f>
        <v>#VALUE!</v>
      </c>
      <c r="FE153" t="e">
        <f>AND('SPR BARRANQUILLA'!K184,"AAAAAD15vaA=")</f>
        <v>#VALUE!</v>
      </c>
      <c r="FF153" t="e">
        <f>AND('SPR BARRANQUILLA'!L184,"AAAAAD15vaE=")</f>
        <v>#VALUE!</v>
      </c>
      <c r="FG153" t="e">
        <f>AND('SPR BARRANQUILLA'!M184,"AAAAAD15vaI=")</f>
        <v>#VALUE!</v>
      </c>
      <c r="FH153" t="e">
        <f>AND('SPR BARRANQUILLA'!N184,"AAAAAD15vaM=")</f>
        <v>#VALUE!</v>
      </c>
      <c r="FI153" t="e">
        <f>AND('SPR BARRANQUILLA'!O184,"AAAAAD15vaQ=")</f>
        <v>#VALUE!</v>
      </c>
      <c r="FJ153" t="e">
        <f>AND('SPR BARRANQUILLA'!P184,"AAAAAD15vaU=")</f>
        <v>#VALUE!</v>
      </c>
      <c r="FK153" t="e">
        <f>AND('SPR BARRANQUILLA'!Q184,"AAAAAD15vaY=")</f>
        <v>#VALUE!</v>
      </c>
      <c r="FL153" t="e">
        <f>AND('SPR BARRANQUILLA'!R184,"AAAAAD15vac=")</f>
        <v>#VALUE!</v>
      </c>
      <c r="FM153" t="e">
        <f>AND('SPR BARRANQUILLA'!S184,"AAAAAD15vag=")</f>
        <v>#VALUE!</v>
      </c>
      <c r="FN153" t="e">
        <f>AND('SPR BARRANQUILLA'!T184,"AAAAAD15vak=")</f>
        <v>#VALUE!</v>
      </c>
      <c r="FO153" t="e">
        <f>AND('SPR BARRANQUILLA'!U184,"AAAAAD15vao=")</f>
        <v>#VALUE!</v>
      </c>
      <c r="FP153" t="e">
        <f>AND('SPR BARRANQUILLA'!V184,"AAAAAD15vas=")</f>
        <v>#VALUE!</v>
      </c>
      <c r="FQ153" t="e">
        <f>AND('SPR BARRANQUILLA'!W184,"AAAAAD15vaw=")</f>
        <v>#VALUE!</v>
      </c>
      <c r="FR153" t="e">
        <f>AND('SPR BARRANQUILLA'!X184,"AAAAAD15va0=")</f>
        <v>#VALUE!</v>
      </c>
      <c r="FS153" t="e">
        <f>AND('SPR BARRANQUILLA'!Y184,"AAAAAD15va4=")</f>
        <v>#VALUE!</v>
      </c>
      <c r="FT153" t="e">
        <f>AND('SPR BARRANQUILLA'!Z184,"AAAAAD15va8=")</f>
        <v>#VALUE!</v>
      </c>
      <c r="FU153" t="e">
        <f>AND('SPR BARRANQUILLA'!AA184,"AAAAAD15vbA=")</f>
        <v>#VALUE!</v>
      </c>
      <c r="FV153" t="e">
        <f>AND('SPR BARRANQUILLA'!AB184,"AAAAAD15vbE=")</f>
        <v>#VALUE!</v>
      </c>
      <c r="FW153" t="e">
        <f>AND('SPR BARRANQUILLA'!AC184,"AAAAAD15vbI=")</f>
        <v>#VALUE!</v>
      </c>
      <c r="FX153" t="e">
        <f>AND('SPR BARRANQUILLA'!AD184,"AAAAAD15vbM=")</f>
        <v>#VALUE!</v>
      </c>
      <c r="FY153" t="e">
        <f>AND('SPR BARRANQUILLA'!AE184,"AAAAAD15vbQ=")</f>
        <v>#VALUE!</v>
      </c>
      <c r="FZ153" t="e">
        <f>AND('SPR BARRANQUILLA'!AF184,"AAAAAD15vbU=")</f>
        <v>#VALUE!</v>
      </c>
      <c r="GA153" t="e">
        <f>AND('SPR BARRANQUILLA'!AG184,"AAAAAD15vbY=")</f>
        <v>#VALUE!</v>
      </c>
      <c r="GB153" t="e">
        <f>AND('SPR BARRANQUILLA'!AH184,"AAAAAD15vbc=")</f>
        <v>#VALUE!</v>
      </c>
      <c r="GC153" t="e">
        <f>AND('SPR BARRANQUILLA'!AI184,"AAAAAD15vbg=")</f>
        <v>#VALUE!</v>
      </c>
      <c r="GD153" t="e">
        <f>AND('SPR BARRANQUILLA'!AJ184,"AAAAAD15vbk=")</f>
        <v>#VALUE!</v>
      </c>
      <c r="GE153" t="e">
        <f>AND('SPR BARRANQUILLA'!AK184,"AAAAAD15vbo=")</f>
        <v>#VALUE!</v>
      </c>
      <c r="GF153" t="e">
        <f>AND('SPR BARRANQUILLA'!AL184,"AAAAAD15vbs=")</f>
        <v>#VALUE!</v>
      </c>
      <c r="GG153" t="e">
        <f>AND('SPR BARRANQUILLA'!AM184,"AAAAAD15vbw=")</f>
        <v>#VALUE!</v>
      </c>
      <c r="GH153" t="e">
        <f>AND('SPR BARRANQUILLA'!AN184,"AAAAAD15vb0=")</f>
        <v>#VALUE!</v>
      </c>
      <c r="GI153" t="e">
        <f>AND('SPR BARRANQUILLA'!AO184,"AAAAAD15vb4=")</f>
        <v>#VALUE!</v>
      </c>
      <c r="GJ153" t="e">
        <f>AND('SPR BARRANQUILLA'!AP184,"AAAAAD15vb8=")</f>
        <v>#VALUE!</v>
      </c>
      <c r="GK153" t="e">
        <f>AND('SPR BARRANQUILLA'!AQ184,"AAAAAD15vcA=")</f>
        <v>#VALUE!</v>
      </c>
      <c r="GL153" t="e">
        <f>AND('SPR BARRANQUILLA'!AR184,"AAAAAD15vcE=")</f>
        <v>#VALUE!</v>
      </c>
      <c r="GM153" t="e">
        <f>AND('SPR BARRANQUILLA'!AS184,"AAAAAD15vcI=")</f>
        <v>#VALUE!</v>
      </c>
      <c r="GN153" t="e">
        <f>AND('SPR BARRANQUILLA'!AT184,"AAAAAD15vcM=")</f>
        <v>#VALUE!</v>
      </c>
      <c r="GO153" t="e">
        <f>AND('SPR BARRANQUILLA'!AU184,"AAAAAD15vcQ=")</f>
        <v>#VALUE!</v>
      </c>
      <c r="GP153" t="e">
        <f>AND('SPR BARRANQUILLA'!AV184,"AAAAAD15vcU=")</f>
        <v>#VALUE!</v>
      </c>
      <c r="GQ153" t="e">
        <f>AND('SPR BARRANQUILLA'!AW184,"AAAAAD15vcY=")</f>
        <v>#VALUE!</v>
      </c>
      <c r="GR153" t="e">
        <f>AND('SPR BARRANQUILLA'!AX184,"AAAAAD15vcc=")</f>
        <v>#VALUE!</v>
      </c>
      <c r="GS153" t="e">
        <f>AND('SPR BARRANQUILLA'!AY184,"AAAAAD15vcg=")</f>
        <v>#VALUE!</v>
      </c>
      <c r="GT153" t="e">
        <f>AND('SPR BARRANQUILLA'!AZ184,"AAAAAD15vck=")</f>
        <v>#VALUE!</v>
      </c>
      <c r="GU153" t="e">
        <f>AND('SPR BARRANQUILLA'!BA184,"AAAAAD15vco=")</f>
        <v>#VALUE!</v>
      </c>
      <c r="GV153" t="e">
        <f>AND('SPR BARRANQUILLA'!BB184,"AAAAAD15vcs=")</f>
        <v>#VALUE!</v>
      </c>
      <c r="GW153" t="e">
        <f>AND('SPR BARRANQUILLA'!BC184,"AAAAAD15vcw=")</f>
        <v>#VALUE!</v>
      </c>
      <c r="GX153" t="e">
        <f>AND('SPR BARRANQUILLA'!BD184,"AAAAAD15vc0=")</f>
        <v>#VALUE!</v>
      </c>
      <c r="GY153" t="e">
        <f>AND('SPR BARRANQUILLA'!BE184,"AAAAAD15vc4=")</f>
        <v>#VALUE!</v>
      </c>
      <c r="GZ153" t="e">
        <f>AND('SPR BARRANQUILLA'!BF184,"AAAAAD15vc8=")</f>
        <v>#VALUE!</v>
      </c>
      <c r="HA153" t="e">
        <f>AND('SPR BARRANQUILLA'!BG184,"AAAAAD15vdA=")</f>
        <v>#VALUE!</v>
      </c>
      <c r="HB153" t="e">
        <f>AND('SPR BARRANQUILLA'!BH184,"AAAAAD15vdE=")</f>
        <v>#VALUE!</v>
      </c>
      <c r="HC153" t="e">
        <f>AND('SPR BARRANQUILLA'!BI184,"AAAAAD15vdI=")</f>
        <v>#VALUE!</v>
      </c>
      <c r="HD153" t="e">
        <f>AND('SPR BARRANQUILLA'!BJ184,"AAAAAD15vdM=")</f>
        <v>#VALUE!</v>
      </c>
      <c r="HE153" t="e">
        <f>AND('SPR BARRANQUILLA'!BK184,"AAAAAD15vdQ=")</f>
        <v>#VALUE!</v>
      </c>
      <c r="HF153" t="e">
        <f>AND('SPR BARRANQUILLA'!BL184,"AAAAAD15vdU=")</f>
        <v>#VALUE!</v>
      </c>
      <c r="HG153" t="e">
        <f>AND('SPR BARRANQUILLA'!BM184,"AAAAAD15vdY=")</f>
        <v>#VALUE!</v>
      </c>
      <c r="HH153" t="e">
        <f>AND('SPR BARRANQUILLA'!BN184,"AAAAAD15vdc=")</f>
        <v>#VALUE!</v>
      </c>
      <c r="HI153" t="e">
        <f>AND('SPR BARRANQUILLA'!BO184,"AAAAAD15vdg=")</f>
        <v>#VALUE!</v>
      </c>
      <c r="HJ153" t="e">
        <f>AND('SPR BARRANQUILLA'!BP184,"AAAAAD15vdk=")</f>
        <v>#VALUE!</v>
      </c>
      <c r="HK153" t="e">
        <f>AND('SPR BARRANQUILLA'!BQ184,"AAAAAD15vdo=")</f>
        <v>#VALUE!</v>
      </c>
      <c r="HL153" t="e">
        <f>AND('SPR BARRANQUILLA'!BR184,"AAAAAD15vds=")</f>
        <v>#VALUE!</v>
      </c>
      <c r="HM153" t="e">
        <f>AND('SPR BARRANQUILLA'!BS184,"AAAAAD15vdw=")</f>
        <v>#VALUE!</v>
      </c>
      <c r="HN153" t="e">
        <f>AND('SPR BARRANQUILLA'!BT184,"AAAAAD15vd0=")</f>
        <v>#VALUE!</v>
      </c>
      <c r="HO153" t="e">
        <f>AND('SPR BARRANQUILLA'!BU184,"AAAAAD15vd4=")</f>
        <v>#VALUE!</v>
      </c>
      <c r="HP153" t="e">
        <f>AND('SPR BARRANQUILLA'!BV184,"AAAAAD15vd8=")</f>
        <v>#VALUE!</v>
      </c>
      <c r="HQ153" t="e">
        <f>AND('SPR BARRANQUILLA'!BW184,"AAAAAD15veA=")</f>
        <v>#VALUE!</v>
      </c>
      <c r="HR153" t="e">
        <f>AND('SPR BARRANQUILLA'!BX184,"AAAAAD15veE=")</f>
        <v>#VALUE!</v>
      </c>
      <c r="HS153" t="e">
        <f>AND('SPR BARRANQUILLA'!BY184,"AAAAAD15veI=")</f>
        <v>#VALUE!</v>
      </c>
      <c r="HT153" t="e">
        <f>AND('SPR BARRANQUILLA'!BZ184,"AAAAAD15veM=")</f>
        <v>#VALUE!</v>
      </c>
      <c r="HU153" t="e">
        <f>AND('SPR BARRANQUILLA'!CA184,"AAAAAD15veQ=")</f>
        <v>#VALUE!</v>
      </c>
      <c r="HV153" t="e">
        <f>AND('SPR BARRANQUILLA'!CB184,"AAAAAD15veU=")</f>
        <v>#VALUE!</v>
      </c>
      <c r="HW153" t="e">
        <f>AND('SPR BARRANQUILLA'!CC184,"AAAAAD15veY=")</f>
        <v>#VALUE!</v>
      </c>
      <c r="HX153" t="e">
        <f>AND('SPR BARRANQUILLA'!CD184,"AAAAAD15vec=")</f>
        <v>#VALUE!</v>
      </c>
      <c r="HY153" t="e">
        <f>AND('SPR BARRANQUILLA'!CE184,"AAAAAD15veg=")</f>
        <v>#VALUE!</v>
      </c>
      <c r="HZ153" t="e">
        <f>AND('SPR BARRANQUILLA'!CF184,"AAAAAD15vek=")</f>
        <v>#VALUE!</v>
      </c>
      <c r="IA153" t="e">
        <f>AND('SPR BARRANQUILLA'!CG184,"AAAAAD15veo=")</f>
        <v>#VALUE!</v>
      </c>
      <c r="IB153" t="e">
        <f>AND('SPR BARRANQUILLA'!CH184,"AAAAAD15ves=")</f>
        <v>#VALUE!</v>
      </c>
      <c r="IC153" t="e">
        <f>AND('SPR BARRANQUILLA'!CI184,"AAAAAD15vew=")</f>
        <v>#VALUE!</v>
      </c>
      <c r="ID153" t="e">
        <f>AND('SPR BARRANQUILLA'!CJ184,"AAAAAD15ve0=")</f>
        <v>#VALUE!</v>
      </c>
      <c r="IE153" t="e">
        <f>AND('SPR BARRANQUILLA'!CK184,"AAAAAD15ve4=")</f>
        <v>#VALUE!</v>
      </c>
      <c r="IF153" t="e">
        <f>AND('SPR BARRANQUILLA'!CL184,"AAAAAD15ve8=")</f>
        <v>#VALUE!</v>
      </c>
      <c r="IG153" t="e">
        <f>AND('SPR BARRANQUILLA'!CM184,"AAAAAD15vfA=")</f>
        <v>#VALUE!</v>
      </c>
      <c r="IH153" t="e">
        <f>AND('SPR BARRANQUILLA'!CN184,"AAAAAD15vfE=")</f>
        <v>#VALUE!</v>
      </c>
      <c r="II153" t="e">
        <f>AND('SPR BARRANQUILLA'!CO184,"AAAAAD15vfI=")</f>
        <v>#VALUE!</v>
      </c>
      <c r="IJ153" t="e">
        <f>AND('SPR BARRANQUILLA'!CP184,"AAAAAD15vfM=")</f>
        <v>#VALUE!</v>
      </c>
      <c r="IK153" t="e">
        <f>AND('SPR BARRANQUILLA'!CQ184,"AAAAAD15vfQ=")</f>
        <v>#VALUE!</v>
      </c>
      <c r="IL153" t="e">
        <f>AND('SPR BARRANQUILLA'!CR184,"AAAAAD15vfU=")</f>
        <v>#VALUE!</v>
      </c>
      <c r="IM153" t="e">
        <f>AND('SPR BARRANQUILLA'!CS184,"AAAAAD15vfY=")</f>
        <v>#VALUE!</v>
      </c>
      <c r="IN153" t="e">
        <f>AND('SPR BARRANQUILLA'!CT184,"AAAAAD15vfc=")</f>
        <v>#VALUE!</v>
      </c>
      <c r="IO153" t="e">
        <f>AND('SPR BARRANQUILLA'!CU184,"AAAAAD15vfg=")</f>
        <v>#VALUE!</v>
      </c>
      <c r="IP153" t="e">
        <f>AND('SPR BARRANQUILLA'!CV184,"AAAAAD15vfk=")</f>
        <v>#VALUE!</v>
      </c>
      <c r="IQ153" t="e">
        <f>AND('SPR BARRANQUILLA'!CW184,"AAAAAD15vfo=")</f>
        <v>#VALUE!</v>
      </c>
      <c r="IR153" t="e">
        <f>AND('SPR BARRANQUILLA'!CX184,"AAAAAD15vfs=")</f>
        <v>#VALUE!</v>
      </c>
      <c r="IS153" t="e">
        <f>AND('SPR BARRANQUILLA'!CY184,"AAAAAD15vfw=")</f>
        <v>#VALUE!</v>
      </c>
      <c r="IT153" t="e">
        <f>AND('SPR BARRANQUILLA'!CZ184,"AAAAAD15vf0=")</f>
        <v>#VALUE!</v>
      </c>
      <c r="IU153" t="e">
        <f>AND('SPR BARRANQUILLA'!DA184,"AAAAAD15vf4=")</f>
        <v>#VALUE!</v>
      </c>
      <c r="IV153" t="e">
        <f>AND('SPR BARRANQUILLA'!DB184,"AAAAAD15vf8=")</f>
        <v>#VALUE!</v>
      </c>
    </row>
    <row r="154" spans="1:256">
      <c r="A154" t="e">
        <f>AND('SPR BARRANQUILLA'!DC184,"AAAAAHe/8wA=")</f>
        <v>#VALUE!</v>
      </c>
      <c r="B154" t="e">
        <f>AND('SPR BARRANQUILLA'!DD184,"AAAAAHe/8wE=")</f>
        <v>#VALUE!</v>
      </c>
      <c r="C154" t="e">
        <f>AND('SPR BARRANQUILLA'!DE184,"AAAAAHe/8wI=")</f>
        <v>#VALUE!</v>
      </c>
      <c r="D154" t="e">
        <f>AND('SPR BARRANQUILLA'!DF184,"AAAAAHe/8wM=")</f>
        <v>#VALUE!</v>
      </c>
      <c r="E154" t="e">
        <f>AND('SPR BARRANQUILLA'!DG184,"AAAAAHe/8wQ=")</f>
        <v>#VALUE!</v>
      </c>
      <c r="F154" t="e">
        <f>AND('SPR BARRANQUILLA'!DH184,"AAAAAHe/8wU=")</f>
        <v>#VALUE!</v>
      </c>
      <c r="G154" t="e">
        <f>AND('SPR BARRANQUILLA'!DI184,"AAAAAHe/8wY=")</f>
        <v>#VALUE!</v>
      </c>
      <c r="H154" t="e">
        <f>AND('SPR BARRANQUILLA'!DJ184,"AAAAAHe/8wc=")</f>
        <v>#VALUE!</v>
      </c>
      <c r="I154" t="e">
        <f>AND('SPR BARRANQUILLA'!DK184,"AAAAAHe/8wg=")</f>
        <v>#VALUE!</v>
      </c>
      <c r="J154" t="e">
        <f>AND('SPR BARRANQUILLA'!DL184,"AAAAAHe/8wk=")</f>
        <v>#VALUE!</v>
      </c>
      <c r="K154" t="e">
        <f>AND('SPR BARRANQUILLA'!DM184,"AAAAAHe/8wo=")</f>
        <v>#VALUE!</v>
      </c>
      <c r="L154" t="e">
        <f>AND('SPR BARRANQUILLA'!DN184,"AAAAAHe/8ws=")</f>
        <v>#VALUE!</v>
      </c>
      <c r="M154" t="e">
        <f>AND('SPR BARRANQUILLA'!DO184,"AAAAAHe/8ww=")</f>
        <v>#VALUE!</v>
      </c>
      <c r="N154" t="e">
        <f>AND('SPR BARRANQUILLA'!DP184,"AAAAAHe/8w0=")</f>
        <v>#VALUE!</v>
      </c>
      <c r="O154" t="e">
        <f>AND('SPR BARRANQUILLA'!DQ184,"AAAAAHe/8w4=")</f>
        <v>#VALUE!</v>
      </c>
      <c r="P154" t="e">
        <f>AND('SPR BARRANQUILLA'!DR184,"AAAAAHe/8w8=")</f>
        <v>#VALUE!</v>
      </c>
      <c r="Q154" t="e">
        <f>AND('SPR BARRANQUILLA'!DS184,"AAAAAHe/8xA=")</f>
        <v>#VALUE!</v>
      </c>
      <c r="R154" t="e">
        <f>AND('SPR BARRANQUILLA'!DT184,"AAAAAHe/8xE=")</f>
        <v>#VALUE!</v>
      </c>
      <c r="S154" t="e">
        <f>AND('SPR BARRANQUILLA'!DU184,"AAAAAHe/8xI=")</f>
        <v>#VALUE!</v>
      </c>
      <c r="T154" t="e">
        <f>AND('SPR BARRANQUILLA'!DV184,"AAAAAHe/8xM=")</f>
        <v>#VALUE!</v>
      </c>
      <c r="U154" t="e">
        <f>AND('SPR BARRANQUILLA'!DW184,"AAAAAHe/8xQ=")</f>
        <v>#VALUE!</v>
      </c>
      <c r="V154" t="e">
        <f>AND('SPR BARRANQUILLA'!DX184,"AAAAAHe/8xU=")</f>
        <v>#VALUE!</v>
      </c>
      <c r="W154" t="e">
        <f>AND('SPR BARRANQUILLA'!DY184,"AAAAAHe/8xY=")</f>
        <v>#VALUE!</v>
      </c>
      <c r="X154" t="e">
        <f>AND('SPR BARRANQUILLA'!DZ184,"AAAAAHe/8xc=")</f>
        <v>#VALUE!</v>
      </c>
      <c r="Y154" t="e">
        <f>AND('SPR BARRANQUILLA'!EA184,"AAAAAHe/8xg=")</f>
        <v>#VALUE!</v>
      </c>
      <c r="Z154" t="e">
        <f>AND('SPR BARRANQUILLA'!EB184,"AAAAAHe/8xk=")</f>
        <v>#VALUE!</v>
      </c>
      <c r="AA154" t="e">
        <f>AND('SPR BARRANQUILLA'!EC184,"AAAAAHe/8xo=")</f>
        <v>#VALUE!</v>
      </c>
      <c r="AB154" t="e">
        <f>AND('SPR BARRANQUILLA'!ED184,"AAAAAHe/8xs=")</f>
        <v>#VALUE!</v>
      </c>
      <c r="AC154" t="e">
        <f>AND('SPR BARRANQUILLA'!EE184,"AAAAAHe/8xw=")</f>
        <v>#VALUE!</v>
      </c>
      <c r="AD154" t="e">
        <f>AND('SPR BARRANQUILLA'!EF184,"AAAAAHe/8x0=")</f>
        <v>#VALUE!</v>
      </c>
      <c r="AE154" t="e">
        <f>AND('SPR BARRANQUILLA'!EG184,"AAAAAHe/8x4=")</f>
        <v>#VALUE!</v>
      </c>
      <c r="AF154" t="e">
        <f>AND('SPR BARRANQUILLA'!EH184,"AAAAAHe/8x8=")</f>
        <v>#VALUE!</v>
      </c>
      <c r="AG154" t="e">
        <f>AND('SPR BARRANQUILLA'!EI184,"AAAAAHe/8yA=")</f>
        <v>#VALUE!</v>
      </c>
      <c r="AH154" t="e">
        <f>AND('SPR BARRANQUILLA'!EJ184,"AAAAAHe/8yE=")</f>
        <v>#VALUE!</v>
      </c>
      <c r="AI154" t="e">
        <f>AND('SPR BARRANQUILLA'!EK184,"AAAAAHe/8yI=")</f>
        <v>#VALUE!</v>
      </c>
      <c r="AJ154" t="e">
        <f>AND('SPR BARRANQUILLA'!EL184,"AAAAAHe/8yM=")</f>
        <v>#VALUE!</v>
      </c>
      <c r="AK154" t="e">
        <f>AND('SPR BARRANQUILLA'!EM184,"AAAAAHe/8yQ=")</f>
        <v>#VALUE!</v>
      </c>
      <c r="AL154" t="e">
        <f>AND('SPR BARRANQUILLA'!EN184,"AAAAAHe/8yU=")</f>
        <v>#VALUE!</v>
      </c>
      <c r="AM154" t="e">
        <f>AND('SPR BARRANQUILLA'!EO184,"AAAAAHe/8yY=")</f>
        <v>#VALUE!</v>
      </c>
      <c r="AN154" t="e">
        <f>AND('SPR BARRANQUILLA'!EP184,"AAAAAHe/8yc=")</f>
        <v>#VALUE!</v>
      </c>
      <c r="AO154" t="e">
        <f>AND('SPR BARRANQUILLA'!EQ184,"AAAAAHe/8yg=")</f>
        <v>#VALUE!</v>
      </c>
      <c r="AP154" t="e">
        <f>AND('SPR BARRANQUILLA'!ER184,"AAAAAHe/8yk=")</f>
        <v>#VALUE!</v>
      </c>
      <c r="AQ154" t="e">
        <f>AND('SPR BARRANQUILLA'!ES184,"AAAAAHe/8yo=")</f>
        <v>#VALUE!</v>
      </c>
      <c r="AR154" t="e">
        <f>AND('SPR BARRANQUILLA'!ET184,"AAAAAHe/8ys=")</f>
        <v>#VALUE!</v>
      </c>
      <c r="AS154" t="e">
        <f>AND('SPR BARRANQUILLA'!EU184,"AAAAAHe/8yw=")</f>
        <v>#VALUE!</v>
      </c>
      <c r="AT154" t="e">
        <f>AND('SPR BARRANQUILLA'!EV184,"AAAAAHe/8y0=")</f>
        <v>#VALUE!</v>
      </c>
      <c r="AU154" t="e">
        <f>AND('SPR BARRANQUILLA'!EW184,"AAAAAHe/8y4=")</f>
        <v>#VALUE!</v>
      </c>
      <c r="AV154" t="e">
        <f>AND('SPR BARRANQUILLA'!EX184,"AAAAAHe/8y8=")</f>
        <v>#VALUE!</v>
      </c>
      <c r="AW154" t="e">
        <f>AND('SPR BARRANQUILLA'!EY184,"AAAAAHe/8zA=")</f>
        <v>#VALUE!</v>
      </c>
      <c r="AX154" t="e">
        <f>AND('SPR BARRANQUILLA'!EZ184,"AAAAAHe/8zE=")</f>
        <v>#VALUE!</v>
      </c>
      <c r="AY154" t="e">
        <f>AND('SPR BARRANQUILLA'!FA184,"AAAAAHe/8zI=")</f>
        <v>#VALUE!</v>
      </c>
      <c r="AZ154" t="e">
        <f>AND('SPR BARRANQUILLA'!FB184,"AAAAAHe/8zM=")</f>
        <v>#VALUE!</v>
      </c>
      <c r="BA154" t="e">
        <f>AND('SPR BARRANQUILLA'!FC184,"AAAAAHe/8zQ=")</f>
        <v>#VALUE!</v>
      </c>
      <c r="BB154" t="e">
        <f>AND('SPR BARRANQUILLA'!FD184,"AAAAAHe/8zU=")</f>
        <v>#VALUE!</v>
      </c>
      <c r="BC154" t="e">
        <f>AND('SPR BARRANQUILLA'!FE184,"AAAAAHe/8zY=")</f>
        <v>#VALUE!</v>
      </c>
      <c r="BD154" t="e">
        <f>AND('SPR BARRANQUILLA'!FF184,"AAAAAHe/8zc=")</f>
        <v>#VALUE!</v>
      </c>
      <c r="BE154" t="e">
        <f>AND('SPR BARRANQUILLA'!FG184,"AAAAAHe/8zg=")</f>
        <v>#VALUE!</v>
      </c>
      <c r="BF154" t="e">
        <f>AND('SPR BARRANQUILLA'!FH184,"AAAAAHe/8zk=")</f>
        <v>#VALUE!</v>
      </c>
      <c r="BG154" t="e">
        <f>AND('SPR BARRANQUILLA'!FI184,"AAAAAHe/8zo=")</f>
        <v>#VALUE!</v>
      </c>
      <c r="BH154" t="e">
        <f>AND('SPR BARRANQUILLA'!FJ184,"AAAAAHe/8zs=")</f>
        <v>#VALUE!</v>
      </c>
      <c r="BI154" t="e">
        <f>AND('SPR BARRANQUILLA'!FK184,"AAAAAHe/8zw=")</f>
        <v>#VALUE!</v>
      </c>
      <c r="BJ154" t="e">
        <f>AND('SPR BARRANQUILLA'!FL184,"AAAAAHe/8z0=")</f>
        <v>#VALUE!</v>
      </c>
      <c r="BK154" t="e">
        <f>AND('SPR BARRANQUILLA'!FM184,"AAAAAHe/8z4=")</f>
        <v>#VALUE!</v>
      </c>
      <c r="BL154" t="e">
        <f>AND('SPR BARRANQUILLA'!FN184,"AAAAAHe/8z8=")</f>
        <v>#VALUE!</v>
      </c>
      <c r="BM154" t="e">
        <f>AND('SPR BARRANQUILLA'!FO184,"AAAAAHe/80A=")</f>
        <v>#VALUE!</v>
      </c>
      <c r="BN154" t="e">
        <f>AND('SPR BARRANQUILLA'!FP184,"AAAAAHe/80E=")</f>
        <v>#VALUE!</v>
      </c>
      <c r="BO154" t="e">
        <f>AND('SPR BARRANQUILLA'!FQ184,"AAAAAHe/80I=")</f>
        <v>#VALUE!</v>
      </c>
      <c r="BP154" t="e">
        <f>AND('SPR BARRANQUILLA'!FR184,"AAAAAHe/80M=")</f>
        <v>#VALUE!</v>
      </c>
      <c r="BQ154" t="e">
        <f>AND('SPR BARRANQUILLA'!FS184,"AAAAAHe/80Q=")</f>
        <v>#VALUE!</v>
      </c>
      <c r="BR154" t="e">
        <f>AND('SPR BARRANQUILLA'!FT184,"AAAAAHe/80U=")</f>
        <v>#VALUE!</v>
      </c>
      <c r="BS154" t="e">
        <f>AND('SPR BARRANQUILLA'!FU184,"AAAAAHe/80Y=")</f>
        <v>#VALUE!</v>
      </c>
      <c r="BT154" t="e">
        <f>AND('SPR BARRANQUILLA'!FV184,"AAAAAHe/80c=")</f>
        <v>#VALUE!</v>
      </c>
      <c r="BU154" t="e">
        <f>AND('SPR BARRANQUILLA'!FW184,"AAAAAHe/80g=")</f>
        <v>#VALUE!</v>
      </c>
      <c r="BV154" t="e">
        <f>AND('SPR BARRANQUILLA'!FX184,"AAAAAHe/80k=")</f>
        <v>#VALUE!</v>
      </c>
      <c r="BW154" t="e">
        <f>AND('SPR BARRANQUILLA'!FY184,"AAAAAHe/80o=")</f>
        <v>#VALUE!</v>
      </c>
      <c r="BX154" t="e">
        <f>AND('SPR BARRANQUILLA'!FZ184,"AAAAAHe/80s=")</f>
        <v>#VALUE!</v>
      </c>
      <c r="BY154" t="e">
        <f>AND('SPR BARRANQUILLA'!GA184,"AAAAAHe/80w=")</f>
        <v>#VALUE!</v>
      </c>
      <c r="BZ154" t="e">
        <f>AND('SPR BARRANQUILLA'!GB184,"AAAAAHe/800=")</f>
        <v>#VALUE!</v>
      </c>
      <c r="CA154" t="e">
        <f>AND('SPR BARRANQUILLA'!GC184,"AAAAAHe/804=")</f>
        <v>#VALUE!</v>
      </c>
      <c r="CB154" t="e">
        <f>AND('SPR BARRANQUILLA'!GD184,"AAAAAHe/808=")</f>
        <v>#VALUE!</v>
      </c>
      <c r="CC154" t="e">
        <f>AND('SPR BARRANQUILLA'!GE184,"AAAAAHe/81A=")</f>
        <v>#VALUE!</v>
      </c>
      <c r="CD154" t="e">
        <f>AND('SPR BARRANQUILLA'!GF184,"AAAAAHe/81E=")</f>
        <v>#VALUE!</v>
      </c>
      <c r="CE154" t="e">
        <f>AND('SPR BARRANQUILLA'!GG184,"AAAAAHe/81I=")</f>
        <v>#VALUE!</v>
      </c>
      <c r="CF154" t="e">
        <f>AND('SPR BARRANQUILLA'!GH184,"AAAAAHe/81M=")</f>
        <v>#VALUE!</v>
      </c>
      <c r="CG154" t="e">
        <f>AND('SPR BARRANQUILLA'!GI184,"AAAAAHe/81Q=")</f>
        <v>#VALUE!</v>
      </c>
      <c r="CH154" t="e">
        <f>AND('SPR BARRANQUILLA'!GJ184,"AAAAAHe/81U=")</f>
        <v>#VALUE!</v>
      </c>
      <c r="CI154" t="e">
        <f>AND('SPR BARRANQUILLA'!GK184,"AAAAAHe/81Y=")</f>
        <v>#VALUE!</v>
      </c>
      <c r="CJ154" t="e">
        <f>AND('SPR BARRANQUILLA'!GL184,"AAAAAHe/81c=")</f>
        <v>#VALUE!</v>
      </c>
      <c r="CK154" t="e">
        <f>AND('SPR BARRANQUILLA'!GM184,"AAAAAHe/81g=")</f>
        <v>#VALUE!</v>
      </c>
      <c r="CL154" t="e">
        <f>AND('SPR BARRANQUILLA'!GN184,"AAAAAHe/81k=")</f>
        <v>#VALUE!</v>
      </c>
      <c r="CM154" t="e">
        <f>AND('SPR BARRANQUILLA'!GO184,"AAAAAHe/81o=")</f>
        <v>#VALUE!</v>
      </c>
      <c r="CN154" t="e">
        <f>AND('SPR BARRANQUILLA'!GP184,"AAAAAHe/81s=")</f>
        <v>#VALUE!</v>
      </c>
      <c r="CO154" t="e">
        <f>AND('SPR BARRANQUILLA'!GQ184,"AAAAAHe/81w=")</f>
        <v>#VALUE!</v>
      </c>
      <c r="CP154" t="e">
        <f>AND('SPR BARRANQUILLA'!GR184,"AAAAAHe/810=")</f>
        <v>#VALUE!</v>
      </c>
      <c r="CQ154" t="e">
        <f>AND('SPR BARRANQUILLA'!GS184,"AAAAAHe/814=")</f>
        <v>#VALUE!</v>
      </c>
      <c r="CR154" t="e">
        <f>AND('SPR BARRANQUILLA'!GT184,"AAAAAHe/818=")</f>
        <v>#VALUE!</v>
      </c>
      <c r="CS154" t="e">
        <f>AND('SPR BARRANQUILLA'!GU184,"AAAAAHe/82A=")</f>
        <v>#VALUE!</v>
      </c>
      <c r="CT154" t="e">
        <f>AND('SPR BARRANQUILLA'!GV184,"AAAAAHe/82E=")</f>
        <v>#VALUE!</v>
      </c>
      <c r="CU154" t="e">
        <f>AND('SPR BARRANQUILLA'!GW184,"AAAAAHe/82I=")</f>
        <v>#VALUE!</v>
      </c>
      <c r="CV154" t="e">
        <f>AND('SPR BARRANQUILLA'!GX184,"AAAAAHe/82M=")</f>
        <v>#VALUE!</v>
      </c>
      <c r="CW154" t="e">
        <f>AND('SPR BARRANQUILLA'!GY184,"AAAAAHe/82Q=")</f>
        <v>#VALUE!</v>
      </c>
      <c r="CX154">
        <f>IF('SPR BARRANQUILLA'!185:185,"AAAAAHe/82U=",0)</f>
        <v>0</v>
      </c>
      <c r="CY154" t="e">
        <f>AND('SPR BARRANQUILLA'!A185,"AAAAAHe/82Y=")</f>
        <v>#VALUE!</v>
      </c>
      <c r="CZ154" t="e">
        <f>AND('SPR BARRANQUILLA'!B185,"AAAAAHe/82c=")</f>
        <v>#VALUE!</v>
      </c>
      <c r="DA154" t="e">
        <f>AND('SPR BARRANQUILLA'!C185,"AAAAAHe/82g=")</f>
        <v>#VALUE!</v>
      </c>
      <c r="DB154" t="e">
        <f>AND('SPR BARRANQUILLA'!D185,"AAAAAHe/82k=")</f>
        <v>#VALUE!</v>
      </c>
      <c r="DC154" t="e">
        <f>AND('SPR BARRANQUILLA'!E185,"AAAAAHe/82o=")</f>
        <v>#VALUE!</v>
      </c>
      <c r="DD154" t="e">
        <f>AND('SPR BARRANQUILLA'!F185,"AAAAAHe/82s=")</f>
        <v>#VALUE!</v>
      </c>
      <c r="DE154" t="e">
        <f>AND('SPR BARRANQUILLA'!G185,"AAAAAHe/82w=")</f>
        <v>#VALUE!</v>
      </c>
      <c r="DF154" t="e">
        <f>AND('SPR BARRANQUILLA'!H185,"AAAAAHe/820=")</f>
        <v>#VALUE!</v>
      </c>
      <c r="DG154" t="e">
        <f>AND('SPR BARRANQUILLA'!I185,"AAAAAHe/824=")</f>
        <v>#VALUE!</v>
      </c>
      <c r="DH154" t="e">
        <f>AND('SPR BARRANQUILLA'!J185,"AAAAAHe/828=")</f>
        <v>#VALUE!</v>
      </c>
      <c r="DI154" t="e">
        <f>AND('SPR BARRANQUILLA'!K185,"AAAAAHe/83A=")</f>
        <v>#VALUE!</v>
      </c>
      <c r="DJ154" t="e">
        <f>AND('SPR BARRANQUILLA'!L185,"AAAAAHe/83E=")</f>
        <v>#VALUE!</v>
      </c>
      <c r="DK154" t="e">
        <f>AND('SPR BARRANQUILLA'!M185,"AAAAAHe/83I=")</f>
        <v>#VALUE!</v>
      </c>
      <c r="DL154" t="e">
        <f>AND('SPR BARRANQUILLA'!N185,"AAAAAHe/83M=")</f>
        <v>#VALUE!</v>
      </c>
      <c r="DM154" t="e">
        <f>AND('SPR BARRANQUILLA'!O185,"AAAAAHe/83Q=")</f>
        <v>#VALUE!</v>
      </c>
      <c r="DN154" t="e">
        <f>AND('SPR BARRANQUILLA'!P185,"AAAAAHe/83U=")</f>
        <v>#VALUE!</v>
      </c>
      <c r="DO154" t="e">
        <f>AND('SPR BARRANQUILLA'!Q185,"AAAAAHe/83Y=")</f>
        <v>#VALUE!</v>
      </c>
      <c r="DP154" t="e">
        <f>AND('SPR BARRANQUILLA'!R185,"AAAAAHe/83c=")</f>
        <v>#VALUE!</v>
      </c>
      <c r="DQ154" t="e">
        <f>AND('SPR BARRANQUILLA'!S185,"AAAAAHe/83g=")</f>
        <v>#VALUE!</v>
      </c>
      <c r="DR154" t="e">
        <f>AND('SPR BARRANQUILLA'!T185,"AAAAAHe/83k=")</f>
        <v>#VALUE!</v>
      </c>
      <c r="DS154" t="e">
        <f>AND('SPR BARRANQUILLA'!U185,"AAAAAHe/83o=")</f>
        <v>#VALUE!</v>
      </c>
      <c r="DT154" t="e">
        <f>AND('SPR BARRANQUILLA'!V185,"AAAAAHe/83s=")</f>
        <v>#VALUE!</v>
      </c>
      <c r="DU154" t="e">
        <f>AND('SPR BARRANQUILLA'!W185,"AAAAAHe/83w=")</f>
        <v>#VALUE!</v>
      </c>
      <c r="DV154" t="e">
        <f>AND('SPR BARRANQUILLA'!X185,"AAAAAHe/830=")</f>
        <v>#VALUE!</v>
      </c>
      <c r="DW154" t="e">
        <f>AND('SPR BARRANQUILLA'!Y185,"AAAAAHe/834=")</f>
        <v>#VALUE!</v>
      </c>
      <c r="DX154" t="e">
        <f>AND('SPR BARRANQUILLA'!Z185,"AAAAAHe/838=")</f>
        <v>#VALUE!</v>
      </c>
      <c r="DY154" t="e">
        <f>AND('SPR BARRANQUILLA'!AA185,"AAAAAHe/84A=")</f>
        <v>#VALUE!</v>
      </c>
      <c r="DZ154" t="e">
        <f>AND('SPR BARRANQUILLA'!AB185,"AAAAAHe/84E=")</f>
        <v>#VALUE!</v>
      </c>
      <c r="EA154" t="e">
        <f>AND('SPR BARRANQUILLA'!AC185,"AAAAAHe/84I=")</f>
        <v>#VALUE!</v>
      </c>
      <c r="EB154" t="e">
        <f>AND('SPR BARRANQUILLA'!AD185,"AAAAAHe/84M=")</f>
        <v>#VALUE!</v>
      </c>
      <c r="EC154" t="e">
        <f>AND('SPR BARRANQUILLA'!AE185,"AAAAAHe/84Q=")</f>
        <v>#VALUE!</v>
      </c>
      <c r="ED154" t="e">
        <f>AND('SPR BARRANQUILLA'!AF185,"AAAAAHe/84U=")</f>
        <v>#VALUE!</v>
      </c>
      <c r="EE154" t="e">
        <f>AND('SPR BARRANQUILLA'!AG185,"AAAAAHe/84Y=")</f>
        <v>#VALUE!</v>
      </c>
      <c r="EF154" t="e">
        <f>AND('SPR BARRANQUILLA'!AH185,"AAAAAHe/84c=")</f>
        <v>#VALUE!</v>
      </c>
      <c r="EG154" t="e">
        <f>AND('SPR BARRANQUILLA'!AI185,"AAAAAHe/84g=")</f>
        <v>#VALUE!</v>
      </c>
      <c r="EH154" t="e">
        <f>AND('SPR BARRANQUILLA'!AJ185,"AAAAAHe/84k=")</f>
        <v>#VALUE!</v>
      </c>
      <c r="EI154" t="e">
        <f>AND('SPR BARRANQUILLA'!AK185,"AAAAAHe/84o=")</f>
        <v>#VALUE!</v>
      </c>
      <c r="EJ154" t="e">
        <f>AND('SPR BARRANQUILLA'!AL185,"AAAAAHe/84s=")</f>
        <v>#VALUE!</v>
      </c>
      <c r="EK154" t="e">
        <f>AND('SPR BARRANQUILLA'!AM185,"AAAAAHe/84w=")</f>
        <v>#VALUE!</v>
      </c>
      <c r="EL154" t="e">
        <f>AND('SPR BARRANQUILLA'!AN185,"AAAAAHe/840=")</f>
        <v>#VALUE!</v>
      </c>
      <c r="EM154" t="e">
        <f>AND('SPR BARRANQUILLA'!AO185,"AAAAAHe/844=")</f>
        <v>#VALUE!</v>
      </c>
      <c r="EN154" t="e">
        <f>AND('SPR BARRANQUILLA'!AP185,"AAAAAHe/848=")</f>
        <v>#VALUE!</v>
      </c>
      <c r="EO154" t="e">
        <f>AND('SPR BARRANQUILLA'!AQ185,"AAAAAHe/85A=")</f>
        <v>#VALUE!</v>
      </c>
      <c r="EP154" t="e">
        <f>AND('SPR BARRANQUILLA'!AR185,"AAAAAHe/85E=")</f>
        <v>#VALUE!</v>
      </c>
      <c r="EQ154" t="e">
        <f>AND('SPR BARRANQUILLA'!AS185,"AAAAAHe/85I=")</f>
        <v>#VALUE!</v>
      </c>
      <c r="ER154" t="e">
        <f>AND('SPR BARRANQUILLA'!AT185,"AAAAAHe/85M=")</f>
        <v>#VALUE!</v>
      </c>
      <c r="ES154" t="e">
        <f>AND('SPR BARRANQUILLA'!AU185,"AAAAAHe/85Q=")</f>
        <v>#VALUE!</v>
      </c>
      <c r="ET154" t="e">
        <f>AND('SPR BARRANQUILLA'!AV185,"AAAAAHe/85U=")</f>
        <v>#VALUE!</v>
      </c>
      <c r="EU154" t="e">
        <f>AND('SPR BARRANQUILLA'!AW185,"AAAAAHe/85Y=")</f>
        <v>#VALUE!</v>
      </c>
      <c r="EV154" t="e">
        <f>AND('SPR BARRANQUILLA'!AX185,"AAAAAHe/85c=")</f>
        <v>#VALUE!</v>
      </c>
      <c r="EW154" t="e">
        <f>AND('SPR BARRANQUILLA'!AY185,"AAAAAHe/85g=")</f>
        <v>#VALUE!</v>
      </c>
      <c r="EX154" t="e">
        <f>AND('SPR BARRANQUILLA'!AZ185,"AAAAAHe/85k=")</f>
        <v>#VALUE!</v>
      </c>
      <c r="EY154" t="e">
        <f>AND('SPR BARRANQUILLA'!BA185,"AAAAAHe/85o=")</f>
        <v>#VALUE!</v>
      </c>
      <c r="EZ154" t="e">
        <f>AND('SPR BARRANQUILLA'!BB185,"AAAAAHe/85s=")</f>
        <v>#VALUE!</v>
      </c>
      <c r="FA154" t="e">
        <f>AND('SPR BARRANQUILLA'!BC185,"AAAAAHe/85w=")</f>
        <v>#VALUE!</v>
      </c>
      <c r="FB154" t="e">
        <f>AND('SPR BARRANQUILLA'!BD185,"AAAAAHe/850=")</f>
        <v>#VALUE!</v>
      </c>
      <c r="FC154" t="e">
        <f>AND('SPR BARRANQUILLA'!BE185,"AAAAAHe/854=")</f>
        <v>#VALUE!</v>
      </c>
      <c r="FD154" t="e">
        <f>AND('SPR BARRANQUILLA'!BF185,"AAAAAHe/858=")</f>
        <v>#VALUE!</v>
      </c>
      <c r="FE154" t="e">
        <f>AND('SPR BARRANQUILLA'!BG185,"AAAAAHe/86A=")</f>
        <v>#VALUE!</v>
      </c>
      <c r="FF154" t="e">
        <f>AND('SPR BARRANQUILLA'!BH185,"AAAAAHe/86E=")</f>
        <v>#VALUE!</v>
      </c>
      <c r="FG154" t="e">
        <f>AND('SPR BARRANQUILLA'!BI185,"AAAAAHe/86I=")</f>
        <v>#VALUE!</v>
      </c>
      <c r="FH154" t="e">
        <f>AND('SPR BARRANQUILLA'!BJ185,"AAAAAHe/86M=")</f>
        <v>#VALUE!</v>
      </c>
      <c r="FI154" t="e">
        <f>AND('SPR BARRANQUILLA'!BK185,"AAAAAHe/86Q=")</f>
        <v>#VALUE!</v>
      </c>
      <c r="FJ154" t="e">
        <f>AND('SPR BARRANQUILLA'!BL185,"AAAAAHe/86U=")</f>
        <v>#VALUE!</v>
      </c>
      <c r="FK154" t="e">
        <f>AND('SPR BARRANQUILLA'!BM185,"AAAAAHe/86Y=")</f>
        <v>#VALUE!</v>
      </c>
      <c r="FL154" t="e">
        <f>AND('SPR BARRANQUILLA'!BN185,"AAAAAHe/86c=")</f>
        <v>#VALUE!</v>
      </c>
      <c r="FM154" t="e">
        <f>AND('SPR BARRANQUILLA'!BO185,"AAAAAHe/86g=")</f>
        <v>#VALUE!</v>
      </c>
      <c r="FN154" t="e">
        <f>AND('SPR BARRANQUILLA'!BP185,"AAAAAHe/86k=")</f>
        <v>#VALUE!</v>
      </c>
      <c r="FO154" t="e">
        <f>AND('SPR BARRANQUILLA'!BQ185,"AAAAAHe/86o=")</f>
        <v>#VALUE!</v>
      </c>
      <c r="FP154" t="e">
        <f>AND('SPR BARRANQUILLA'!BR185,"AAAAAHe/86s=")</f>
        <v>#VALUE!</v>
      </c>
      <c r="FQ154" t="e">
        <f>AND('SPR BARRANQUILLA'!BS185,"AAAAAHe/86w=")</f>
        <v>#VALUE!</v>
      </c>
      <c r="FR154" t="e">
        <f>AND('SPR BARRANQUILLA'!BT185,"AAAAAHe/860=")</f>
        <v>#VALUE!</v>
      </c>
      <c r="FS154" t="e">
        <f>AND('SPR BARRANQUILLA'!BU185,"AAAAAHe/864=")</f>
        <v>#VALUE!</v>
      </c>
      <c r="FT154" t="e">
        <f>AND('SPR BARRANQUILLA'!BV185,"AAAAAHe/868=")</f>
        <v>#VALUE!</v>
      </c>
      <c r="FU154" t="e">
        <f>AND('SPR BARRANQUILLA'!BW185,"AAAAAHe/87A=")</f>
        <v>#VALUE!</v>
      </c>
      <c r="FV154" t="e">
        <f>AND('SPR BARRANQUILLA'!BX185,"AAAAAHe/87E=")</f>
        <v>#VALUE!</v>
      </c>
      <c r="FW154" t="e">
        <f>AND('SPR BARRANQUILLA'!BY185,"AAAAAHe/87I=")</f>
        <v>#VALUE!</v>
      </c>
      <c r="FX154" t="e">
        <f>AND('SPR BARRANQUILLA'!BZ185,"AAAAAHe/87M=")</f>
        <v>#VALUE!</v>
      </c>
      <c r="FY154" t="e">
        <f>AND('SPR BARRANQUILLA'!CA185,"AAAAAHe/87Q=")</f>
        <v>#VALUE!</v>
      </c>
      <c r="FZ154" t="e">
        <f>AND('SPR BARRANQUILLA'!CB185,"AAAAAHe/87U=")</f>
        <v>#VALUE!</v>
      </c>
      <c r="GA154" t="e">
        <f>AND('SPR BARRANQUILLA'!CC185,"AAAAAHe/87Y=")</f>
        <v>#VALUE!</v>
      </c>
      <c r="GB154" t="e">
        <f>AND('SPR BARRANQUILLA'!CD185,"AAAAAHe/87c=")</f>
        <v>#VALUE!</v>
      </c>
      <c r="GC154" t="e">
        <f>AND('SPR BARRANQUILLA'!CE185,"AAAAAHe/87g=")</f>
        <v>#VALUE!</v>
      </c>
      <c r="GD154" t="e">
        <f>AND('SPR BARRANQUILLA'!CF185,"AAAAAHe/87k=")</f>
        <v>#VALUE!</v>
      </c>
      <c r="GE154" t="e">
        <f>AND('SPR BARRANQUILLA'!CG185,"AAAAAHe/87o=")</f>
        <v>#VALUE!</v>
      </c>
      <c r="GF154" t="e">
        <f>AND('SPR BARRANQUILLA'!CH185,"AAAAAHe/87s=")</f>
        <v>#VALUE!</v>
      </c>
      <c r="GG154" t="e">
        <f>AND('SPR BARRANQUILLA'!CI185,"AAAAAHe/87w=")</f>
        <v>#VALUE!</v>
      </c>
      <c r="GH154" t="e">
        <f>AND('SPR BARRANQUILLA'!CJ185,"AAAAAHe/870=")</f>
        <v>#VALUE!</v>
      </c>
      <c r="GI154" t="e">
        <f>AND('SPR BARRANQUILLA'!CK185,"AAAAAHe/874=")</f>
        <v>#VALUE!</v>
      </c>
      <c r="GJ154" t="e">
        <f>AND('SPR BARRANQUILLA'!CL185,"AAAAAHe/878=")</f>
        <v>#VALUE!</v>
      </c>
      <c r="GK154" t="e">
        <f>AND('SPR BARRANQUILLA'!CM185,"AAAAAHe/88A=")</f>
        <v>#VALUE!</v>
      </c>
      <c r="GL154" t="e">
        <f>AND('SPR BARRANQUILLA'!CN185,"AAAAAHe/88E=")</f>
        <v>#VALUE!</v>
      </c>
      <c r="GM154" t="e">
        <f>AND('SPR BARRANQUILLA'!CO185,"AAAAAHe/88I=")</f>
        <v>#VALUE!</v>
      </c>
      <c r="GN154" t="e">
        <f>AND('SPR BARRANQUILLA'!CP185,"AAAAAHe/88M=")</f>
        <v>#VALUE!</v>
      </c>
      <c r="GO154" t="e">
        <f>AND('SPR BARRANQUILLA'!CQ185,"AAAAAHe/88Q=")</f>
        <v>#VALUE!</v>
      </c>
      <c r="GP154" t="e">
        <f>AND('SPR BARRANQUILLA'!CR185,"AAAAAHe/88U=")</f>
        <v>#VALUE!</v>
      </c>
      <c r="GQ154" t="e">
        <f>AND('SPR BARRANQUILLA'!CS185,"AAAAAHe/88Y=")</f>
        <v>#VALUE!</v>
      </c>
      <c r="GR154" t="e">
        <f>AND('SPR BARRANQUILLA'!CT185,"AAAAAHe/88c=")</f>
        <v>#VALUE!</v>
      </c>
      <c r="GS154" t="e">
        <f>AND('SPR BARRANQUILLA'!CU185,"AAAAAHe/88g=")</f>
        <v>#VALUE!</v>
      </c>
      <c r="GT154" t="e">
        <f>AND('SPR BARRANQUILLA'!CV185,"AAAAAHe/88k=")</f>
        <v>#VALUE!</v>
      </c>
      <c r="GU154" t="e">
        <f>AND('SPR BARRANQUILLA'!CW185,"AAAAAHe/88o=")</f>
        <v>#VALUE!</v>
      </c>
      <c r="GV154" t="e">
        <f>AND('SPR BARRANQUILLA'!CX185,"AAAAAHe/88s=")</f>
        <v>#VALUE!</v>
      </c>
      <c r="GW154" t="e">
        <f>AND('SPR BARRANQUILLA'!CY185,"AAAAAHe/88w=")</f>
        <v>#VALUE!</v>
      </c>
      <c r="GX154" t="e">
        <f>AND('SPR BARRANQUILLA'!CZ185,"AAAAAHe/880=")</f>
        <v>#VALUE!</v>
      </c>
      <c r="GY154" t="e">
        <f>AND('SPR BARRANQUILLA'!DA185,"AAAAAHe/884=")</f>
        <v>#VALUE!</v>
      </c>
      <c r="GZ154" t="e">
        <f>AND('SPR BARRANQUILLA'!DB185,"AAAAAHe/888=")</f>
        <v>#VALUE!</v>
      </c>
      <c r="HA154" t="e">
        <f>AND('SPR BARRANQUILLA'!DC185,"AAAAAHe/89A=")</f>
        <v>#VALUE!</v>
      </c>
      <c r="HB154" t="e">
        <f>AND('SPR BARRANQUILLA'!DD185,"AAAAAHe/89E=")</f>
        <v>#VALUE!</v>
      </c>
      <c r="HC154" t="e">
        <f>AND('SPR BARRANQUILLA'!DE185,"AAAAAHe/89I=")</f>
        <v>#VALUE!</v>
      </c>
      <c r="HD154" t="e">
        <f>AND('SPR BARRANQUILLA'!DF185,"AAAAAHe/89M=")</f>
        <v>#VALUE!</v>
      </c>
      <c r="HE154" t="e">
        <f>AND('SPR BARRANQUILLA'!DG185,"AAAAAHe/89Q=")</f>
        <v>#VALUE!</v>
      </c>
      <c r="HF154" t="e">
        <f>AND('SPR BARRANQUILLA'!DH185,"AAAAAHe/89U=")</f>
        <v>#VALUE!</v>
      </c>
      <c r="HG154" t="e">
        <f>AND('SPR BARRANQUILLA'!DI185,"AAAAAHe/89Y=")</f>
        <v>#VALUE!</v>
      </c>
      <c r="HH154" t="e">
        <f>AND('SPR BARRANQUILLA'!DJ185,"AAAAAHe/89c=")</f>
        <v>#VALUE!</v>
      </c>
      <c r="HI154" t="e">
        <f>AND('SPR BARRANQUILLA'!DK185,"AAAAAHe/89g=")</f>
        <v>#VALUE!</v>
      </c>
      <c r="HJ154" t="e">
        <f>AND('SPR BARRANQUILLA'!DL185,"AAAAAHe/89k=")</f>
        <v>#VALUE!</v>
      </c>
      <c r="HK154" t="e">
        <f>AND('SPR BARRANQUILLA'!DM185,"AAAAAHe/89o=")</f>
        <v>#VALUE!</v>
      </c>
      <c r="HL154" t="e">
        <f>AND('SPR BARRANQUILLA'!DN185,"AAAAAHe/89s=")</f>
        <v>#VALUE!</v>
      </c>
      <c r="HM154" t="e">
        <f>AND('SPR BARRANQUILLA'!DO185,"AAAAAHe/89w=")</f>
        <v>#VALUE!</v>
      </c>
      <c r="HN154" t="e">
        <f>AND('SPR BARRANQUILLA'!DP185,"AAAAAHe/890=")</f>
        <v>#VALUE!</v>
      </c>
      <c r="HO154" t="e">
        <f>AND('SPR BARRANQUILLA'!DQ185,"AAAAAHe/894=")</f>
        <v>#VALUE!</v>
      </c>
      <c r="HP154" t="e">
        <f>AND('SPR BARRANQUILLA'!DR185,"AAAAAHe/898=")</f>
        <v>#VALUE!</v>
      </c>
      <c r="HQ154" t="e">
        <f>AND('SPR BARRANQUILLA'!DS185,"AAAAAHe/8+A=")</f>
        <v>#VALUE!</v>
      </c>
      <c r="HR154" t="e">
        <f>AND('SPR BARRANQUILLA'!DT185,"AAAAAHe/8+E=")</f>
        <v>#VALUE!</v>
      </c>
      <c r="HS154" t="e">
        <f>AND('SPR BARRANQUILLA'!DU185,"AAAAAHe/8+I=")</f>
        <v>#VALUE!</v>
      </c>
      <c r="HT154" t="e">
        <f>AND('SPR BARRANQUILLA'!DV185,"AAAAAHe/8+M=")</f>
        <v>#VALUE!</v>
      </c>
      <c r="HU154" t="e">
        <f>AND('SPR BARRANQUILLA'!DW185,"AAAAAHe/8+Q=")</f>
        <v>#VALUE!</v>
      </c>
      <c r="HV154" t="e">
        <f>AND('SPR BARRANQUILLA'!DX185,"AAAAAHe/8+U=")</f>
        <v>#VALUE!</v>
      </c>
      <c r="HW154" t="e">
        <f>AND('SPR BARRANQUILLA'!DY185,"AAAAAHe/8+Y=")</f>
        <v>#VALUE!</v>
      </c>
      <c r="HX154" t="e">
        <f>AND('SPR BARRANQUILLA'!DZ185,"AAAAAHe/8+c=")</f>
        <v>#VALUE!</v>
      </c>
      <c r="HY154" t="e">
        <f>AND('SPR BARRANQUILLA'!EA185,"AAAAAHe/8+g=")</f>
        <v>#VALUE!</v>
      </c>
      <c r="HZ154" t="e">
        <f>AND('SPR BARRANQUILLA'!EB185,"AAAAAHe/8+k=")</f>
        <v>#VALUE!</v>
      </c>
      <c r="IA154" t="e">
        <f>AND('SPR BARRANQUILLA'!EC185,"AAAAAHe/8+o=")</f>
        <v>#VALUE!</v>
      </c>
      <c r="IB154" t="e">
        <f>AND('SPR BARRANQUILLA'!ED185,"AAAAAHe/8+s=")</f>
        <v>#VALUE!</v>
      </c>
      <c r="IC154" t="e">
        <f>AND('SPR BARRANQUILLA'!EE185,"AAAAAHe/8+w=")</f>
        <v>#VALUE!</v>
      </c>
      <c r="ID154" t="e">
        <f>AND('SPR BARRANQUILLA'!EF185,"AAAAAHe/8+0=")</f>
        <v>#VALUE!</v>
      </c>
      <c r="IE154" t="e">
        <f>AND('SPR BARRANQUILLA'!EG185,"AAAAAHe/8+4=")</f>
        <v>#VALUE!</v>
      </c>
      <c r="IF154" t="e">
        <f>AND('SPR BARRANQUILLA'!EH185,"AAAAAHe/8+8=")</f>
        <v>#VALUE!</v>
      </c>
      <c r="IG154" t="e">
        <f>AND('SPR BARRANQUILLA'!EI185,"AAAAAHe/8/A=")</f>
        <v>#VALUE!</v>
      </c>
      <c r="IH154" t="e">
        <f>AND('SPR BARRANQUILLA'!EJ185,"AAAAAHe/8/E=")</f>
        <v>#VALUE!</v>
      </c>
      <c r="II154" t="e">
        <f>AND('SPR BARRANQUILLA'!EK185,"AAAAAHe/8/I=")</f>
        <v>#VALUE!</v>
      </c>
      <c r="IJ154" t="e">
        <f>AND('SPR BARRANQUILLA'!EL185,"AAAAAHe/8/M=")</f>
        <v>#VALUE!</v>
      </c>
      <c r="IK154" t="e">
        <f>AND('SPR BARRANQUILLA'!EM185,"AAAAAHe/8/Q=")</f>
        <v>#VALUE!</v>
      </c>
      <c r="IL154" t="e">
        <f>AND('SPR BARRANQUILLA'!EN185,"AAAAAHe/8/U=")</f>
        <v>#VALUE!</v>
      </c>
      <c r="IM154" t="e">
        <f>AND('SPR BARRANQUILLA'!EO185,"AAAAAHe/8/Y=")</f>
        <v>#VALUE!</v>
      </c>
      <c r="IN154" t="e">
        <f>AND('SPR BARRANQUILLA'!EP185,"AAAAAHe/8/c=")</f>
        <v>#VALUE!</v>
      </c>
      <c r="IO154" t="e">
        <f>AND('SPR BARRANQUILLA'!EQ185,"AAAAAHe/8/g=")</f>
        <v>#VALUE!</v>
      </c>
      <c r="IP154" t="e">
        <f>AND('SPR BARRANQUILLA'!ER185,"AAAAAHe/8/k=")</f>
        <v>#VALUE!</v>
      </c>
      <c r="IQ154" t="e">
        <f>AND('SPR BARRANQUILLA'!ES185,"AAAAAHe/8/o=")</f>
        <v>#VALUE!</v>
      </c>
      <c r="IR154" t="e">
        <f>AND('SPR BARRANQUILLA'!ET185,"AAAAAHe/8/s=")</f>
        <v>#VALUE!</v>
      </c>
      <c r="IS154" t="e">
        <f>AND('SPR BARRANQUILLA'!EU185,"AAAAAHe/8/w=")</f>
        <v>#VALUE!</v>
      </c>
      <c r="IT154" t="e">
        <f>AND('SPR BARRANQUILLA'!EV185,"AAAAAHe/8/0=")</f>
        <v>#VALUE!</v>
      </c>
      <c r="IU154" t="e">
        <f>AND('SPR BARRANQUILLA'!EW185,"AAAAAHe/8/4=")</f>
        <v>#VALUE!</v>
      </c>
      <c r="IV154" t="e">
        <f>AND('SPR BARRANQUILLA'!EX185,"AAAAAHe/8/8=")</f>
        <v>#VALUE!</v>
      </c>
    </row>
    <row r="155" spans="1:256">
      <c r="A155" t="e">
        <f>AND('SPR BARRANQUILLA'!EY185,"AAAAAH7/1wA=")</f>
        <v>#VALUE!</v>
      </c>
      <c r="B155" t="e">
        <f>AND('SPR BARRANQUILLA'!EZ185,"AAAAAH7/1wE=")</f>
        <v>#VALUE!</v>
      </c>
      <c r="C155" t="e">
        <f>AND('SPR BARRANQUILLA'!FA185,"AAAAAH7/1wI=")</f>
        <v>#VALUE!</v>
      </c>
      <c r="D155" t="e">
        <f>AND('SPR BARRANQUILLA'!FB185,"AAAAAH7/1wM=")</f>
        <v>#VALUE!</v>
      </c>
      <c r="E155" t="e">
        <f>AND('SPR BARRANQUILLA'!FC185,"AAAAAH7/1wQ=")</f>
        <v>#VALUE!</v>
      </c>
      <c r="F155" t="e">
        <f>AND('SPR BARRANQUILLA'!FD185,"AAAAAH7/1wU=")</f>
        <v>#VALUE!</v>
      </c>
      <c r="G155" t="e">
        <f>AND('SPR BARRANQUILLA'!FE185,"AAAAAH7/1wY=")</f>
        <v>#VALUE!</v>
      </c>
      <c r="H155" t="e">
        <f>AND('SPR BARRANQUILLA'!FF185,"AAAAAH7/1wc=")</f>
        <v>#VALUE!</v>
      </c>
      <c r="I155" t="e">
        <f>AND('SPR BARRANQUILLA'!FG185,"AAAAAH7/1wg=")</f>
        <v>#VALUE!</v>
      </c>
      <c r="J155" t="e">
        <f>AND('SPR BARRANQUILLA'!FH185,"AAAAAH7/1wk=")</f>
        <v>#VALUE!</v>
      </c>
      <c r="K155" t="e">
        <f>AND('SPR BARRANQUILLA'!FI185,"AAAAAH7/1wo=")</f>
        <v>#VALUE!</v>
      </c>
      <c r="L155" t="e">
        <f>AND('SPR BARRANQUILLA'!FJ185,"AAAAAH7/1ws=")</f>
        <v>#VALUE!</v>
      </c>
      <c r="M155" t="e">
        <f>AND('SPR BARRANQUILLA'!FK185,"AAAAAH7/1ww=")</f>
        <v>#VALUE!</v>
      </c>
      <c r="N155" t="e">
        <f>AND('SPR BARRANQUILLA'!FL185,"AAAAAH7/1w0=")</f>
        <v>#VALUE!</v>
      </c>
      <c r="O155" t="e">
        <f>AND('SPR BARRANQUILLA'!FM185,"AAAAAH7/1w4=")</f>
        <v>#VALUE!</v>
      </c>
      <c r="P155" t="e">
        <f>AND('SPR BARRANQUILLA'!FN185,"AAAAAH7/1w8=")</f>
        <v>#VALUE!</v>
      </c>
      <c r="Q155" t="e">
        <f>AND('SPR BARRANQUILLA'!FO185,"AAAAAH7/1xA=")</f>
        <v>#VALUE!</v>
      </c>
      <c r="R155" t="e">
        <f>AND('SPR BARRANQUILLA'!FP185,"AAAAAH7/1xE=")</f>
        <v>#VALUE!</v>
      </c>
      <c r="S155" t="e">
        <f>AND('SPR BARRANQUILLA'!FQ185,"AAAAAH7/1xI=")</f>
        <v>#VALUE!</v>
      </c>
      <c r="T155" t="e">
        <f>AND('SPR BARRANQUILLA'!FR185,"AAAAAH7/1xM=")</f>
        <v>#VALUE!</v>
      </c>
      <c r="U155" t="e">
        <f>AND('SPR BARRANQUILLA'!FS185,"AAAAAH7/1xQ=")</f>
        <v>#VALUE!</v>
      </c>
      <c r="V155" t="e">
        <f>AND('SPR BARRANQUILLA'!FT185,"AAAAAH7/1xU=")</f>
        <v>#VALUE!</v>
      </c>
      <c r="W155" t="e">
        <f>AND('SPR BARRANQUILLA'!FU185,"AAAAAH7/1xY=")</f>
        <v>#VALUE!</v>
      </c>
      <c r="X155" t="e">
        <f>AND('SPR BARRANQUILLA'!FV185,"AAAAAH7/1xc=")</f>
        <v>#VALUE!</v>
      </c>
      <c r="Y155" t="e">
        <f>AND('SPR BARRANQUILLA'!FW185,"AAAAAH7/1xg=")</f>
        <v>#VALUE!</v>
      </c>
      <c r="Z155" t="e">
        <f>AND('SPR BARRANQUILLA'!FX185,"AAAAAH7/1xk=")</f>
        <v>#VALUE!</v>
      </c>
      <c r="AA155" t="e">
        <f>AND('SPR BARRANQUILLA'!FY185,"AAAAAH7/1xo=")</f>
        <v>#VALUE!</v>
      </c>
      <c r="AB155" t="e">
        <f>AND('SPR BARRANQUILLA'!FZ185,"AAAAAH7/1xs=")</f>
        <v>#VALUE!</v>
      </c>
      <c r="AC155" t="e">
        <f>AND('SPR BARRANQUILLA'!GA185,"AAAAAH7/1xw=")</f>
        <v>#VALUE!</v>
      </c>
      <c r="AD155" t="e">
        <f>AND('SPR BARRANQUILLA'!GB185,"AAAAAH7/1x0=")</f>
        <v>#VALUE!</v>
      </c>
      <c r="AE155" t="e">
        <f>AND('SPR BARRANQUILLA'!GC185,"AAAAAH7/1x4=")</f>
        <v>#VALUE!</v>
      </c>
      <c r="AF155" t="e">
        <f>AND('SPR BARRANQUILLA'!GD185,"AAAAAH7/1x8=")</f>
        <v>#VALUE!</v>
      </c>
      <c r="AG155" t="e">
        <f>AND('SPR BARRANQUILLA'!GE185,"AAAAAH7/1yA=")</f>
        <v>#VALUE!</v>
      </c>
      <c r="AH155" t="e">
        <f>AND('SPR BARRANQUILLA'!GF185,"AAAAAH7/1yE=")</f>
        <v>#VALUE!</v>
      </c>
      <c r="AI155" t="e">
        <f>AND('SPR BARRANQUILLA'!GG185,"AAAAAH7/1yI=")</f>
        <v>#VALUE!</v>
      </c>
      <c r="AJ155" t="e">
        <f>AND('SPR BARRANQUILLA'!GH185,"AAAAAH7/1yM=")</f>
        <v>#VALUE!</v>
      </c>
      <c r="AK155" t="e">
        <f>AND('SPR BARRANQUILLA'!GI185,"AAAAAH7/1yQ=")</f>
        <v>#VALUE!</v>
      </c>
      <c r="AL155" t="e">
        <f>AND('SPR BARRANQUILLA'!GJ185,"AAAAAH7/1yU=")</f>
        <v>#VALUE!</v>
      </c>
      <c r="AM155" t="e">
        <f>AND('SPR BARRANQUILLA'!GK185,"AAAAAH7/1yY=")</f>
        <v>#VALUE!</v>
      </c>
      <c r="AN155" t="e">
        <f>AND('SPR BARRANQUILLA'!GL185,"AAAAAH7/1yc=")</f>
        <v>#VALUE!</v>
      </c>
      <c r="AO155" t="e">
        <f>AND('SPR BARRANQUILLA'!GM185,"AAAAAH7/1yg=")</f>
        <v>#VALUE!</v>
      </c>
      <c r="AP155" t="e">
        <f>AND('SPR BARRANQUILLA'!GN185,"AAAAAH7/1yk=")</f>
        <v>#VALUE!</v>
      </c>
      <c r="AQ155" t="e">
        <f>AND('SPR BARRANQUILLA'!GO185,"AAAAAH7/1yo=")</f>
        <v>#VALUE!</v>
      </c>
      <c r="AR155" t="e">
        <f>AND('SPR BARRANQUILLA'!GP185,"AAAAAH7/1ys=")</f>
        <v>#VALUE!</v>
      </c>
      <c r="AS155" t="e">
        <f>AND('SPR BARRANQUILLA'!GQ185,"AAAAAH7/1yw=")</f>
        <v>#VALUE!</v>
      </c>
      <c r="AT155" t="e">
        <f>AND('SPR BARRANQUILLA'!GR185,"AAAAAH7/1y0=")</f>
        <v>#VALUE!</v>
      </c>
      <c r="AU155" t="e">
        <f>AND('SPR BARRANQUILLA'!GS185,"AAAAAH7/1y4=")</f>
        <v>#VALUE!</v>
      </c>
      <c r="AV155" t="e">
        <f>AND('SPR BARRANQUILLA'!GT185,"AAAAAH7/1y8=")</f>
        <v>#VALUE!</v>
      </c>
      <c r="AW155" t="e">
        <f>AND('SPR BARRANQUILLA'!GU185,"AAAAAH7/1zA=")</f>
        <v>#VALUE!</v>
      </c>
      <c r="AX155" t="e">
        <f>AND('SPR BARRANQUILLA'!GV185,"AAAAAH7/1zE=")</f>
        <v>#VALUE!</v>
      </c>
      <c r="AY155" t="e">
        <f>AND('SPR BARRANQUILLA'!GW185,"AAAAAH7/1zI=")</f>
        <v>#VALUE!</v>
      </c>
      <c r="AZ155" t="e">
        <f>AND('SPR BARRANQUILLA'!GX185,"AAAAAH7/1zM=")</f>
        <v>#VALUE!</v>
      </c>
      <c r="BA155" t="e">
        <f>AND('SPR BARRANQUILLA'!GY185,"AAAAAH7/1zQ=")</f>
        <v>#VALUE!</v>
      </c>
      <c r="BB155">
        <f>IF('SPR BARRANQUILLA'!186:186,"AAAAAH7/1zU=",0)</f>
        <v>0</v>
      </c>
      <c r="BC155" t="e">
        <f>AND('SPR BARRANQUILLA'!A186,"AAAAAH7/1zY=")</f>
        <v>#VALUE!</v>
      </c>
      <c r="BD155" t="e">
        <f>AND('SPR BARRANQUILLA'!B186,"AAAAAH7/1zc=")</f>
        <v>#VALUE!</v>
      </c>
      <c r="BE155" t="e">
        <f>AND('SPR BARRANQUILLA'!C186,"AAAAAH7/1zg=")</f>
        <v>#VALUE!</v>
      </c>
      <c r="BF155" t="e">
        <f>AND('SPR BARRANQUILLA'!D186,"AAAAAH7/1zk=")</f>
        <v>#VALUE!</v>
      </c>
      <c r="BG155" t="e">
        <f>AND('SPR BARRANQUILLA'!E186,"AAAAAH7/1zo=")</f>
        <v>#VALUE!</v>
      </c>
      <c r="BH155" t="e">
        <f>AND('SPR BARRANQUILLA'!F186,"AAAAAH7/1zs=")</f>
        <v>#VALUE!</v>
      </c>
      <c r="BI155" t="e">
        <f>AND('SPR BARRANQUILLA'!G186,"AAAAAH7/1zw=")</f>
        <v>#VALUE!</v>
      </c>
      <c r="BJ155" t="e">
        <f>AND('SPR BARRANQUILLA'!H186,"AAAAAH7/1z0=")</f>
        <v>#VALUE!</v>
      </c>
      <c r="BK155" t="e">
        <f>AND('SPR BARRANQUILLA'!I186,"AAAAAH7/1z4=")</f>
        <v>#VALUE!</v>
      </c>
      <c r="BL155" t="e">
        <f>AND('SPR BARRANQUILLA'!J186,"AAAAAH7/1z8=")</f>
        <v>#VALUE!</v>
      </c>
      <c r="BM155" t="e">
        <f>AND('SPR BARRANQUILLA'!K186,"AAAAAH7/10A=")</f>
        <v>#VALUE!</v>
      </c>
      <c r="BN155" t="e">
        <f>AND('SPR BARRANQUILLA'!L186,"AAAAAH7/10E=")</f>
        <v>#VALUE!</v>
      </c>
      <c r="BO155" t="e">
        <f>AND('SPR BARRANQUILLA'!M186,"AAAAAH7/10I=")</f>
        <v>#VALUE!</v>
      </c>
      <c r="BP155" t="e">
        <f>AND('SPR BARRANQUILLA'!N186,"AAAAAH7/10M=")</f>
        <v>#VALUE!</v>
      </c>
      <c r="BQ155" t="e">
        <f>AND('SPR BARRANQUILLA'!O186,"AAAAAH7/10Q=")</f>
        <v>#VALUE!</v>
      </c>
      <c r="BR155" t="e">
        <f>AND('SPR BARRANQUILLA'!P186,"AAAAAH7/10U=")</f>
        <v>#VALUE!</v>
      </c>
      <c r="BS155" t="e">
        <f>AND('SPR BARRANQUILLA'!Q186,"AAAAAH7/10Y=")</f>
        <v>#VALUE!</v>
      </c>
      <c r="BT155" t="e">
        <f>AND('SPR BARRANQUILLA'!R186,"AAAAAH7/10c=")</f>
        <v>#VALUE!</v>
      </c>
      <c r="BU155" t="e">
        <f>AND('SPR BARRANQUILLA'!S186,"AAAAAH7/10g=")</f>
        <v>#VALUE!</v>
      </c>
      <c r="BV155" t="e">
        <f>AND('SPR BARRANQUILLA'!T186,"AAAAAH7/10k=")</f>
        <v>#VALUE!</v>
      </c>
      <c r="BW155" t="e">
        <f>AND('SPR BARRANQUILLA'!U186,"AAAAAH7/10o=")</f>
        <v>#VALUE!</v>
      </c>
      <c r="BX155" t="e">
        <f>AND('SPR BARRANQUILLA'!V186,"AAAAAH7/10s=")</f>
        <v>#VALUE!</v>
      </c>
      <c r="BY155" t="e">
        <f>AND('SPR BARRANQUILLA'!W186,"AAAAAH7/10w=")</f>
        <v>#VALUE!</v>
      </c>
      <c r="BZ155" t="e">
        <f>AND('SPR BARRANQUILLA'!X186,"AAAAAH7/100=")</f>
        <v>#VALUE!</v>
      </c>
      <c r="CA155" t="e">
        <f>AND('SPR BARRANQUILLA'!Y186,"AAAAAH7/104=")</f>
        <v>#VALUE!</v>
      </c>
      <c r="CB155" t="e">
        <f>AND('SPR BARRANQUILLA'!Z186,"AAAAAH7/108=")</f>
        <v>#VALUE!</v>
      </c>
      <c r="CC155" t="e">
        <f>AND('SPR BARRANQUILLA'!AA186,"AAAAAH7/11A=")</f>
        <v>#VALUE!</v>
      </c>
      <c r="CD155" t="e">
        <f>AND('SPR BARRANQUILLA'!AB186,"AAAAAH7/11E=")</f>
        <v>#VALUE!</v>
      </c>
      <c r="CE155" t="e">
        <f>AND('SPR BARRANQUILLA'!AC186,"AAAAAH7/11I=")</f>
        <v>#VALUE!</v>
      </c>
      <c r="CF155" t="e">
        <f>AND('SPR BARRANQUILLA'!AD186,"AAAAAH7/11M=")</f>
        <v>#VALUE!</v>
      </c>
      <c r="CG155" t="e">
        <f>AND('SPR BARRANQUILLA'!AE186,"AAAAAH7/11Q=")</f>
        <v>#VALUE!</v>
      </c>
      <c r="CH155" t="e">
        <f>AND('SPR BARRANQUILLA'!AF186,"AAAAAH7/11U=")</f>
        <v>#VALUE!</v>
      </c>
      <c r="CI155" t="e">
        <f>AND('SPR BARRANQUILLA'!AG186,"AAAAAH7/11Y=")</f>
        <v>#VALUE!</v>
      </c>
      <c r="CJ155" t="e">
        <f>AND('SPR BARRANQUILLA'!AH186,"AAAAAH7/11c=")</f>
        <v>#VALUE!</v>
      </c>
      <c r="CK155" t="e">
        <f>AND('SPR BARRANQUILLA'!AI186,"AAAAAH7/11g=")</f>
        <v>#VALUE!</v>
      </c>
      <c r="CL155" t="e">
        <f>AND('SPR BARRANQUILLA'!AJ186,"AAAAAH7/11k=")</f>
        <v>#VALUE!</v>
      </c>
      <c r="CM155" t="e">
        <f>AND('SPR BARRANQUILLA'!AK186,"AAAAAH7/11o=")</f>
        <v>#VALUE!</v>
      </c>
      <c r="CN155" t="e">
        <f>AND('SPR BARRANQUILLA'!AL186,"AAAAAH7/11s=")</f>
        <v>#VALUE!</v>
      </c>
      <c r="CO155" t="e">
        <f>AND('SPR BARRANQUILLA'!AM186,"AAAAAH7/11w=")</f>
        <v>#VALUE!</v>
      </c>
      <c r="CP155" t="e">
        <f>AND('SPR BARRANQUILLA'!AN186,"AAAAAH7/110=")</f>
        <v>#VALUE!</v>
      </c>
      <c r="CQ155" t="e">
        <f>AND('SPR BARRANQUILLA'!AO186,"AAAAAH7/114=")</f>
        <v>#VALUE!</v>
      </c>
      <c r="CR155" t="e">
        <f>AND('SPR BARRANQUILLA'!AP186,"AAAAAH7/118=")</f>
        <v>#VALUE!</v>
      </c>
      <c r="CS155" t="e">
        <f>AND('SPR BARRANQUILLA'!AQ186,"AAAAAH7/12A=")</f>
        <v>#VALUE!</v>
      </c>
      <c r="CT155" t="e">
        <f>AND('SPR BARRANQUILLA'!AR186,"AAAAAH7/12E=")</f>
        <v>#VALUE!</v>
      </c>
      <c r="CU155" t="e">
        <f>AND('SPR BARRANQUILLA'!AS186,"AAAAAH7/12I=")</f>
        <v>#VALUE!</v>
      </c>
      <c r="CV155" t="e">
        <f>AND('SPR BARRANQUILLA'!AT186,"AAAAAH7/12M=")</f>
        <v>#VALUE!</v>
      </c>
      <c r="CW155" t="e">
        <f>AND('SPR BARRANQUILLA'!AU186,"AAAAAH7/12Q=")</f>
        <v>#VALUE!</v>
      </c>
      <c r="CX155" t="e">
        <f>AND('SPR BARRANQUILLA'!AV186,"AAAAAH7/12U=")</f>
        <v>#VALUE!</v>
      </c>
      <c r="CY155" t="e">
        <f>AND('SPR BARRANQUILLA'!AW186,"AAAAAH7/12Y=")</f>
        <v>#VALUE!</v>
      </c>
      <c r="CZ155" t="e">
        <f>AND('SPR BARRANQUILLA'!AX186,"AAAAAH7/12c=")</f>
        <v>#VALUE!</v>
      </c>
      <c r="DA155" t="e">
        <f>AND('SPR BARRANQUILLA'!AY186,"AAAAAH7/12g=")</f>
        <v>#VALUE!</v>
      </c>
      <c r="DB155" t="e">
        <f>AND('SPR BARRANQUILLA'!AZ186,"AAAAAH7/12k=")</f>
        <v>#VALUE!</v>
      </c>
      <c r="DC155" t="e">
        <f>AND('SPR BARRANQUILLA'!BA186,"AAAAAH7/12o=")</f>
        <v>#VALUE!</v>
      </c>
      <c r="DD155" t="e">
        <f>AND('SPR BARRANQUILLA'!BB186,"AAAAAH7/12s=")</f>
        <v>#VALUE!</v>
      </c>
      <c r="DE155" t="e">
        <f>AND('SPR BARRANQUILLA'!BC186,"AAAAAH7/12w=")</f>
        <v>#VALUE!</v>
      </c>
      <c r="DF155" t="e">
        <f>AND('SPR BARRANQUILLA'!BD186,"AAAAAH7/120=")</f>
        <v>#VALUE!</v>
      </c>
      <c r="DG155" t="e">
        <f>AND('SPR BARRANQUILLA'!BE186,"AAAAAH7/124=")</f>
        <v>#VALUE!</v>
      </c>
      <c r="DH155" t="e">
        <f>AND('SPR BARRANQUILLA'!BF186,"AAAAAH7/128=")</f>
        <v>#VALUE!</v>
      </c>
      <c r="DI155" t="e">
        <f>AND('SPR BARRANQUILLA'!BG186,"AAAAAH7/13A=")</f>
        <v>#VALUE!</v>
      </c>
      <c r="DJ155" t="e">
        <f>AND('SPR BARRANQUILLA'!BH186,"AAAAAH7/13E=")</f>
        <v>#VALUE!</v>
      </c>
      <c r="DK155" t="e">
        <f>AND('SPR BARRANQUILLA'!BI186,"AAAAAH7/13I=")</f>
        <v>#VALUE!</v>
      </c>
      <c r="DL155" t="e">
        <f>AND('SPR BARRANQUILLA'!BJ186,"AAAAAH7/13M=")</f>
        <v>#VALUE!</v>
      </c>
      <c r="DM155" t="e">
        <f>AND('SPR BARRANQUILLA'!BK186,"AAAAAH7/13Q=")</f>
        <v>#VALUE!</v>
      </c>
      <c r="DN155" t="e">
        <f>AND('SPR BARRANQUILLA'!BL186,"AAAAAH7/13U=")</f>
        <v>#VALUE!</v>
      </c>
      <c r="DO155" t="e">
        <f>AND('SPR BARRANQUILLA'!BM186,"AAAAAH7/13Y=")</f>
        <v>#VALUE!</v>
      </c>
      <c r="DP155" t="e">
        <f>AND('SPR BARRANQUILLA'!BN186,"AAAAAH7/13c=")</f>
        <v>#VALUE!</v>
      </c>
      <c r="DQ155" t="e">
        <f>AND('SPR BARRANQUILLA'!BO186,"AAAAAH7/13g=")</f>
        <v>#VALUE!</v>
      </c>
      <c r="DR155" t="e">
        <f>AND('SPR BARRANQUILLA'!BP186,"AAAAAH7/13k=")</f>
        <v>#VALUE!</v>
      </c>
      <c r="DS155" t="e">
        <f>AND('SPR BARRANQUILLA'!BQ186,"AAAAAH7/13o=")</f>
        <v>#VALUE!</v>
      </c>
      <c r="DT155" t="e">
        <f>AND('SPR BARRANQUILLA'!BR186,"AAAAAH7/13s=")</f>
        <v>#VALUE!</v>
      </c>
      <c r="DU155" t="e">
        <f>AND('SPR BARRANQUILLA'!BS186,"AAAAAH7/13w=")</f>
        <v>#VALUE!</v>
      </c>
      <c r="DV155" t="e">
        <f>AND('SPR BARRANQUILLA'!BT186,"AAAAAH7/130=")</f>
        <v>#VALUE!</v>
      </c>
      <c r="DW155" t="e">
        <f>AND('SPR BARRANQUILLA'!BU186,"AAAAAH7/134=")</f>
        <v>#VALUE!</v>
      </c>
      <c r="DX155" t="e">
        <f>AND('SPR BARRANQUILLA'!BV186,"AAAAAH7/138=")</f>
        <v>#VALUE!</v>
      </c>
      <c r="DY155" t="e">
        <f>AND('SPR BARRANQUILLA'!BW186,"AAAAAH7/14A=")</f>
        <v>#VALUE!</v>
      </c>
      <c r="DZ155" t="e">
        <f>AND('SPR BARRANQUILLA'!BX186,"AAAAAH7/14E=")</f>
        <v>#VALUE!</v>
      </c>
      <c r="EA155" t="e">
        <f>AND('SPR BARRANQUILLA'!BY186,"AAAAAH7/14I=")</f>
        <v>#VALUE!</v>
      </c>
      <c r="EB155" t="e">
        <f>AND('SPR BARRANQUILLA'!BZ186,"AAAAAH7/14M=")</f>
        <v>#VALUE!</v>
      </c>
      <c r="EC155" t="e">
        <f>AND('SPR BARRANQUILLA'!CA186,"AAAAAH7/14Q=")</f>
        <v>#VALUE!</v>
      </c>
      <c r="ED155" t="e">
        <f>AND('SPR BARRANQUILLA'!CB186,"AAAAAH7/14U=")</f>
        <v>#VALUE!</v>
      </c>
      <c r="EE155" t="e">
        <f>AND('SPR BARRANQUILLA'!CC186,"AAAAAH7/14Y=")</f>
        <v>#VALUE!</v>
      </c>
      <c r="EF155" t="e">
        <f>AND('SPR BARRANQUILLA'!CD186,"AAAAAH7/14c=")</f>
        <v>#VALUE!</v>
      </c>
      <c r="EG155" t="e">
        <f>AND('SPR BARRANQUILLA'!CE186,"AAAAAH7/14g=")</f>
        <v>#VALUE!</v>
      </c>
      <c r="EH155" t="e">
        <f>AND('SPR BARRANQUILLA'!CF186,"AAAAAH7/14k=")</f>
        <v>#VALUE!</v>
      </c>
      <c r="EI155" t="e">
        <f>AND('SPR BARRANQUILLA'!CG186,"AAAAAH7/14o=")</f>
        <v>#VALUE!</v>
      </c>
      <c r="EJ155" t="e">
        <f>AND('SPR BARRANQUILLA'!CH186,"AAAAAH7/14s=")</f>
        <v>#VALUE!</v>
      </c>
      <c r="EK155" t="e">
        <f>AND('SPR BARRANQUILLA'!CI186,"AAAAAH7/14w=")</f>
        <v>#VALUE!</v>
      </c>
      <c r="EL155" t="e">
        <f>AND('SPR BARRANQUILLA'!CJ186,"AAAAAH7/140=")</f>
        <v>#VALUE!</v>
      </c>
      <c r="EM155" t="e">
        <f>AND('SPR BARRANQUILLA'!CK186,"AAAAAH7/144=")</f>
        <v>#VALUE!</v>
      </c>
      <c r="EN155" t="e">
        <f>AND('SPR BARRANQUILLA'!CL186,"AAAAAH7/148=")</f>
        <v>#VALUE!</v>
      </c>
      <c r="EO155" t="e">
        <f>AND('SPR BARRANQUILLA'!CM186,"AAAAAH7/15A=")</f>
        <v>#VALUE!</v>
      </c>
      <c r="EP155" t="e">
        <f>AND('SPR BARRANQUILLA'!CN186,"AAAAAH7/15E=")</f>
        <v>#VALUE!</v>
      </c>
      <c r="EQ155" t="e">
        <f>AND('SPR BARRANQUILLA'!CO186,"AAAAAH7/15I=")</f>
        <v>#VALUE!</v>
      </c>
      <c r="ER155" t="e">
        <f>AND('SPR BARRANQUILLA'!CP186,"AAAAAH7/15M=")</f>
        <v>#VALUE!</v>
      </c>
      <c r="ES155" t="e">
        <f>AND('SPR BARRANQUILLA'!CQ186,"AAAAAH7/15Q=")</f>
        <v>#VALUE!</v>
      </c>
      <c r="ET155" t="e">
        <f>AND('SPR BARRANQUILLA'!CR186,"AAAAAH7/15U=")</f>
        <v>#VALUE!</v>
      </c>
      <c r="EU155" t="e">
        <f>AND('SPR BARRANQUILLA'!CS186,"AAAAAH7/15Y=")</f>
        <v>#VALUE!</v>
      </c>
      <c r="EV155" t="e">
        <f>AND('SPR BARRANQUILLA'!CT186,"AAAAAH7/15c=")</f>
        <v>#VALUE!</v>
      </c>
      <c r="EW155" t="e">
        <f>AND('SPR BARRANQUILLA'!CU186,"AAAAAH7/15g=")</f>
        <v>#VALUE!</v>
      </c>
      <c r="EX155" t="e">
        <f>AND('SPR BARRANQUILLA'!CV186,"AAAAAH7/15k=")</f>
        <v>#VALUE!</v>
      </c>
      <c r="EY155" t="e">
        <f>AND('SPR BARRANQUILLA'!CW186,"AAAAAH7/15o=")</f>
        <v>#VALUE!</v>
      </c>
      <c r="EZ155" t="e">
        <f>AND('SPR BARRANQUILLA'!CX186,"AAAAAH7/15s=")</f>
        <v>#VALUE!</v>
      </c>
      <c r="FA155" t="e">
        <f>AND('SPR BARRANQUILLA'!CY186,"AAAAAH7/15w=")</f>
        <v>#VALUE!</v>
      </c>
      <c r="FB155" t="e">
        <f>AND('SPR BARRANQUILLA'!CZ186,"AAAAAH7/150=")</f>
        <v>#VALUE!</v>
      </c>
      <c r="FC155" t="e">
        <f>AND('SPR BARRANQUILLA'!DA186,"AAAAAH7/154=")</f>
        <v>#VALUE!</v>
      </c>
      <c r="FD155" t="e">
        <f>AND('SPR BARRANQUILLA'!DB186,"AAAAAH7/158=")</f>
        <v>#VALUE!</v>
      </c>
      <c r="FE155" t="e">
        <f>AND('SPR BARRANQUILLA'!DC186,"AAAAAH7/16A=")</f>
        <v>#VALUE!</v>
      </c>
      <c r="FF155" t="e">
        <f>AND('SPR BARRANQUILLA'!DD186,"AAAAAH7/16E=")</f>
        <v>#VALUE!</v>
      </c>
      <c r="FG155" t="e">
        <f>AND('SPR BARRANQUILLA'!DE186,"AAAAAH7/16I=")</f>
        <v>#VALUE!</v>
      </c>
      <c r="FH155" t="e">
        <f>AND('SPR BARRANQUILLA'!DF186,"AAAAAH7/16M=")</f>
        <v>#VALUE!</v>
      </c>
      <c r="FI155" t="e">
        <f>AND('SPR BARRANQUILLA'!DG186,"AAAAAH7/16Q=")</f>
        <v>#VALUE!</v>
      </c>
      <c r="FJ155" t="e">
        <f>AND('SPR BARRANQUILLA'!DH186,"AAAAAH7/16U=")</f>
        <v>#VALUE!</v>
      </c>
      <c r="FK155" t="e">
        <f>AND('SPR BARRANQUILLA'!DI186,"AAAAAH7/16Y=")</f>
        <v>#VALUE!</v>
      </c>
      <c r="FL155" t="e">
        <f>AND('SPR BARRANQUILLA'!DJ186,"AAAAAH7/16c=")</f>
        <v>#VALUE!</v>
      </c>
      <c r="FM155" t="e">
        <f>AND('SPR BARRANQUILLA'!DK186,"AAAAAH7/16g=")</f>
        <v>#VALUE!</v>
      </c>
      <c r="FN155" t="e">
        <f>AND('SPR BARRANQUILLA'!DL186,"AAAAAH7/16k=")</f>
        <v>#VALUE!</v>
      </c>
      <c r="FO155" t="e">
        <f>AND('SPR BARRANQUILLA'!DM186,"AAAAAH7/16o=")</f>
        <v>#VALUE!</v>
      </c>
      <c r="FP155" t="e">
        <f>AND('SPR BARRANQUILLA'!DN186,"AAAAAH7/16s=")</f>
        <v>#VALUE!</v>
      </c>
      <c r="FQ155" t="e">
        <f>AND('SPR BARRANQUILLA'!DO186,"AAAAAH7/16w=")</f>
        <v>#VALUE!</v>
      </c>
      <c r="FR155" t="e">
        <f>AND('SPR BARRANQUILLA'!DP186,"AAAAAH7/160=")</f>
        <v>#VALUE!</v>
      </c>
      <c r="FS155" t="e">
        <f>AND('SPR BARRANQUILLA'!DQ186,"AAAAAH7/164=")</f>
        <v>#VALUE!</v>
      </c>
      <c r="FT155" t="e">
        <f>AND('SPR BARRANQUILLA'!DR186,"AAAAAH7/168=")</f>
        <v>#VALUE!</v>
      </c>
      <c r="FU155" t="e">
        <f>AND('SPR BARRANQUILLA'!DS186,"AAAAAH7/17A=")</f>
        <v>#VALUE!</v>
      </c>
      <c r="FV155" t="e">
        <f>AND('SPR BARRANQUILLA'!DT186,"AAAAAH7/17E=")</f>
        <v>#VALUE!</v>
      </c>
      <c r="FW155" t="e">
        <f>AND('SPR BARRANQUILLA'!DU186,"AAAAAH7/17I=")</f>
        <v>#VALUE!</v>
      </c>
      <c r="FX155" t="e">
        <f>AND('SPR BARRANQUILLA'!DV186,"AAAAAH7/17M=")</f>
        <v>#VALUE!</v>
      </c>
      <c r="FY155" t="e">
        <f>AND('SPR BARRANQUILLA'!DW186,"AAAAAH7/17Q=")</f>
        <v>#VALUE!</v>
      </c>
      <c r="FZ155" t="e">
        <f>AND('SPR BARRANQUILLA'!DX186,"AAAAAH7/17U=")</f>
        <v>#VALUE!</v>
      </c>
      <c r="GA155" t="e">
        <f>AND('SPR BARRANQUILLA'!DY186,"AAAAAH7/17Y=")</f>
        <v>#VALUE!</v>
      </c>
      <c r="GB155" t="e">
        <f>AND('SPR BARRANQUILLA'!DZ186,"AAAAAH7/17c=")</f>
        <v>#VALUE!</v>
      </c>
      <c r="GC155" t="e">
        <f>AND('SPR BARRANQUILLA'!EA186,"AAAAAH7/17g=")</f>
        <v>#VALUE!</v>
      </c>
      <c r="GD155" t="e">
        <f>AND('SPR BARRANQUILLA'!EB186,"AAAAAH7/17k=")</f>
        <v>#VALUE!</v>
      </c>
      <c r="GE155" t="e">
        <f>AND('SPR BARRANQUILLA'!EC186,"AAAAAH7/17o=")</f>
        <v>#VALUE!</v>
      </c>
      <c r="GF155" t="e">
        <f>AND('SPR BARRANQUILLA'!ED186,"AAAAAH7/17s=")</f>
        <v>#VALUE!</v>
      </c>
      <c r="GG155" t="e">
        <f>AND('SPR BARRANQUILLA'!EE186,"AAAAAH7/17w=")</f>
        <v>#VALUE!</v>
      </c>
      <c r="GH155" t="e">
        <f>AND('SPR BARRANQUILLA'!EF186,"AAAAAH7/170=")</f>
        <v>#VALUE!</v>
      </c>
      <c r="GI155" t="e">
        <f>AND('SPR BARRANQUILLA'!EG186,"AAAAAH7/174=")</f>
        <v>#VALUE!</v>
      </c>
      <c r="GJ155" t="e">
        <f>AND('SPR BARRANQUILLA'!EH186,"AAAAAH7/178=")</f>
        <v>#VALUE!</v>
      </c>
      <c r="GK155" t="e">
        <f>AND('SPR BARRANQUILLA'!EI186,"AAAAAH7/18A=")</f>
        <v>#VALUE!</v>
      </c>
      <c r="GL155" t="e">
        <f>AND('SPR BARRANQUILLA'!EJ186,"AAAAAH7/18E=")</f>
        <v>#VALUE!</v>
      </c>
      <c r="GM155" t="e">
        <f>AND('SPR BARRANQUILLA'!EK186,"AAAAAH7/18I=")</f>
        <v>#VALUE!</v>
      </c>
      <c r="GN155" t="e">
        <f>AND('SPR BARRANQUILLA'!EL186,"AAAAAH7/18M=")</f>
        <v>#VALUE!</v>
      </c>
      <c r="GO155" t="e">
        <f>AND('SPR BARRANQUILLA'!EM186,"AAAAAH7/18Q=")</f>
        <v>#VALUE!</v>
      </c>
      <c r="GP155" t="e">
        <f>AND('SPR BARRANQUILLA'!EN186,"AAAAAH7/18U=")</f>
        <v>#VALUE!</v>
      </c>
      <c r="GQ155" t="e">
        <f>AND('SPR BARRANQUILLA'!EO186,"AAAAAH7/18Y=")</f>
        <v>#VALUE!</v>
      </c>
      <c r="GR155" t="e">
        <f>AND('SPR BARRANQUILLA'!EP186,"AAAAAH7/18c=")</f>
        <v>#VALUE!</v>
      </c>
      <c r="GS155" t="e">
        <f>AND('SPR BARRANQUILLA'!EQ186,"AAAAAH7/18g=")</f>
        <v>#VALUE!</v>
      </c>
      <c r="GT155" t="e">
        <f>AND('SPR BARRANQUILLA'!ER186,"AAAAAH7/18k=")</f>
        <v>#VALUE!</v>
      </c>
      <c r="GU155" t="e">
        <f>AND('SPR BARRANQUILLA'!ES186,"AAAAAH7/18o=")</f>
        <v>#VALUE!</v>
      </c>
      <c r="GV155" t="e">
        <f>AND('SPR BARRANQUILLA'!ET186,"AAAAAH7/18s=")</f>
        <v>#VALUE!</v>
      </c>
      <c r="GW155" t="e">
        <f>AND('SPR BARRANQUILLA'!EU186,"AAAAAH7/18w=")</f>
        <v>#VALUE!</v>
      </c>
      <c r="GX155" t="e">
        <f>AND('SPR BARRANQUILLA'!EV186,"AAAAAH7/180=")</f>
        <v>#VALUE!</v>
      </c>
      <c r="GY155" t="e">
        <f>AND('SPR BARRANQUILLA'!EW186,"AAAAAH7/184=")</f>
        <v>#VALUE!</v>
      </c>
      <c r="GZ155" t="e">
        <f>AND('SPR BARRANQUILLA'!EX186,"AAAAAH7/188=")</f>
        <v>#VALUE!</v>
      </c>
      <c r="HA155" t="e">
        <f>AND('SPR BARRANQUILLA'!EY186,"AAAAAH7/19A=")</f>
        <v>#VALUE!</v>
      </c>
      <c r="HB155" t="e">
        <f>AND('SPR BARRANQUILLA'!EZ186,"AAAAAH7/19E=")</f>
        <v>#VALUE!</v>
      </c>
      <c r="HC155" t="e">
        <f>AND('SPR BARRANQUILLA'!FA186,"AAAAAH7/19I=")</f>
        <v>#VALUE!</v>
      </c>
      <c r="HD155" t="e">
        <f>AND('SPR BARRANQUILLA'!FB186,"AAAAAH7/19M=")</f>
        <v>#VALUE!</v>
      </c>
      <c r="HE155" t="e">
        <f>AND('SPR BARRANQUILLA'!FC186,"AAAAAH7/19Q=")</f>
        <v>#VALUE!</v>
      </c>
      <c r="HF155" t="e">
        <f>AND('SPR BARRANQUILLA'!FD186,"AAAAAH7/19U=")</f>
        <v>#VALUE!</v>
      </c>
      <c r="HG155" t="e">
        <f>AND('SPR BARRANQUILLA'!FE186,"AAAAAH7/19Y=")</f>
        <v>#VALUE!</v>
      </c>
      <c r="HH155" t="e">
        <f>AND('SPR BARRANQUILLA'!FF186,"AAAAAH7/19c=")</f>
        <v>#VALUE!</v>
      </c>
      <c r="HI155" t="e">
        <f>AND('SPR BARRANQUILLA'!FG186,"AAAAAH7/19g=")</f>
        <v>#VALUE!</v>
      </c>
      <c r="HJ155" t="e">
        <f>AND('SPR BARRANQUILLA'!FH186,"AAAAAH7/19k=")</f>
        <v>#VALUE!</v>
      </c>
      <c r="HK155" t="e">
        <f>AND('SPR BARRANQUILLA'!FI186,"AAAAAH7/19o=")</f>
        <v>#VALUE!</v>
      </c>
      <c r="HL155" t="e">
        <f>AND('SPR BARRANQUILLA'!FJ186,"AAAAAH7/19s=")</f>
        <v>#VALUE!</v>
      </c>
      <c r="HM155" t="e">
        <f>AND('SPR BARRANQUILLA'!FK186,"AAAAAH7/19w=")</f>
        <v>#VALUE!</v>
      </c>
      <c r="HN155" t="e">
        <f>AND('SPR BARRANQUILLA'!FL186,"AAAAAH7/190=")</f>
        <v>#VALUE!</v>
      </c>
      <c r="HO155" t="e">
        <f>AND('SPR BARRANQUILLA'!FM186,"AAAAAH7/194=")</f>
        <v>#VALUE!</v>
      </c>
      <c r="HP155" t="e">
        <f>AND('SPR BARRANQUILLA'!FN186,"AAAAAH7/198=")</f>
        <v>#VALUE!</v>
      </c>
      <c r="HQ155" t="e">
        <f>AND('SPR BARRANQUILLA'!FO186,"AAAAAH7/1+A=")</f>
        <v>#VALUE!</v>
      </c>
      <c r="HR155" t="e">
        <f>AND('SPR BARRANQUILLA'!FP186,"AAAAAH7/1+E=")</f>
        <v>#VALUE!</v>
      </c>
      <c r="HS155" t="e">
        <f>AND('SPR BARRANQUILLA'!FQ186,"AAAAAH7/1+I=")</f>
        <v>#VALUE!</v>
      </c>
      <c r="HT155" t="e">
        <f>AND('SPR BARRANQUILLA'!FR186,"AAAAAH7/1+M=")</f>
        <v>#VALUE!</v>
      </c>
      <c r="HU155" t="e">
        <f>AND('SPR BARRANQUILLA'!FS186,"AAAAAH7/1+Q=")</f>
        <v>#VALUE!</v>
      </c>
      <c r="HV155" t="e">
        <f>AND('SPR BARRANQUILLA'!FT186,"AAAAAH7/1+U=")</f>
        <v>#VALUE!</v>
      </c>
      <c r="HW155" t="e">
        <f>AND('SPR BARRANQUILLA'!FU186,"AAAAAH7/1+Y=")</f>
        <v>#VALUE!</v>
      </c>
      <c r="HX155" t="e">
        <f>AND('SPR BARRANQUILLA'!FV186,"AAAAAH7/1+c=")</f>
        <v>#VALUE!</v>
      </c>
      <c r="HY155" t="e">
        <f>AND('SPR BARRANQUILLA'!FW186,"AAAAAH7/1+g=")</f>
        <v>#VALUE!</v>
      </c>
      <c r="HZ155" t="e">
        <f>AND('SPR BARRANQUILLA'!FX186,"AAAAAH7/1+k=")</f>
        <v>#VALUE!</v>
      </c>
      <c r="IA155" t="e">
        <f>AND('SPR BARRANQUILLA'!FY186,"AAAAAH7/1+o=")</f>
        <v>#VALUE!</v>
      </c>
      <c r="IB155" t="e">
        <f>AND('SPR BARRANQUILLA'!FZ186,"AAAAAH7/1+s=")</f>
        <v>#VALUE!</v>
      </c>
      <c r="IC155" t="e">
        <f>AND('SPR BARRANQUILLA'!GA186,"AAAAAH7/1+w=")</f>
        <v>#VALUE!</v>
      </c>
      <c r="ID155" t="e">
        <f>AND('SPR BARRANQUILLA'!GB186,"AAAAAH7/1+0=")</f>
        <v>#VALUE!</v>
      </c>
      <c r="IE155" t="e">
        <f>AND('SPR BARRANQUILLA'!GC186,"AAAAAH7/1+4=")</f>
        <v>#VALUE!</v>
      </c>
      <c r="IF155" t="e">
        <f>AND('SPR BARRANQUILLA'!GD186,"AAAAAH7/1+8=")</f>
        <v>#VALUE!</v>
      </c>
      <c r="IG155" t="e">
        <f>AND('SPR BARRANQUILLA'!GE186,"AAAAAH7/1/A=")</f>
        <v>#VALUE!</v>
      </c>
      <c r="IH155" t="e">
        <f>AND('SPR BARRANQUILLA'!GF186,"AAAAAH7/1/E=")</f>
        <v>#VALUE!</v>
      </c>
      <c r="II155" t="e">
        <f>AND('SPR BARRANQUILLA'!GG186,"AAAAAH7/1/I=")</f>
        <v>#VALUE!</v>
      </c>
      <c r="IJ155" t="e">
        <f>AND('SPR BARRANQUILLA'!GH186,"AAAAAH7/1/M=")</f>
        <v>#VALUE!</v>
      </c>
      <c r="IK155" t="e">
        <f>AND('SPR BARRANQUILLA'!GI186,"AAAAAH7/1/Q=")</f>
        <v>#VALUE!</v>
      </c>
      <c r="IL155" t="e">
        <f>AND('SPR BARRANQUILLA'!GJ186,"AAAAAH7/1/U=")</f>
        <v>#VALUE!</v>
      </c>
      <c r="IM155" t="e">
        <f>AND('SPR BARRANQUILLA'!GK186,"AAAAAH7/1/Y=")</f>
        <v>#VALUE!</v>
      </c>
      <c r="IN155" t="e">
        <f>AND('SPR BARRANQUILLA'!GL186,"AAAAAH7/1/c=")</f>
        <v>#VALUE!</v>
      </c>
      <c r="IO155" t="e">
        <f>AND('SPR BARRANQUILLA'!GM186,"AAAAAH7/1/g=")</f>
        <v>#VALUE!</v>
      </c>
      <c r="IP155" t="e">
        <f>AND('SPR BARRANQUILLA'!GN186,"AAAAAH7/1/k=")</f>
        <v>#VALUE!</v>
      </c>
      <c r="IQ155" t="e">
        <f>AND('SPR BARRANQUILLA'!GO186,"AAAAAH7/1/o=")</f>
        <v>#VALUE!</v>
      </c>
      <c r="IR155" t="e">
        <f>AND('SPR BARRANQUILLA'!GP186,"AAAAAH7/1/s=")</f>
        <v>#VALUE!</v>
      </c>
      <c r="IS155" t="e">
        <f>AND('SPR BARRANQUILLA'!GQ186,"AAAAAH7/1/w=")</f>
        <v>#VALUE!</v>
      </c>
      <c r="IT155" t="e">
        <f>AND('SPR BARRANQUILLA'!GR186,"AAAAAH7/1/0=")</f>
        <v>#VALUE!</v>
      </c>
      <c r="IU155" t="e">
        <f>AND('SPR BARRANQUILLA'!GS186,"AAAAAH7/1/4=")</f>
        <v>#VALUE!</v>
      </c>
      <c r="IV155" t="e">
        <f>AND('SPR BARRANQUILLA'!GT186,"AAAAAH7/1/8=")</f>
        <v>#VALUE!</v>
      </c>
    </row>
    <row r="156" spans="1:256">
      <c r="A156" t="e">
        <f>AND('SPR BARRANQUILLA'!GU186,"AAAAAG4W/wA=")</f>
        <v>#VALUE!</v>
      </c>
      <c r="B156" t="e">
        <f>AND('SPR BARRANQUILLA'!GV186,"AAAAAG4W/wE=")</f>
        <v>#VALUE!</v>
      </c>
      <c r="C156" t="e">
        <f>AND('SPR BARRANQUILLA'!GW186,"AAAAAG4W/wI=")</f>
        <v>#VALUE!</v>
      </c>
      <c r="D156" t="e">
        <f>AND('SPR BARRANQUILLA'!GX186,"AAAAAG4W/wM=")</f>
        <v>#VALUE!</v>
      </c>
      <c r="E156" t="e">
        <f>AND('SPR BARRANQUILLA'!GY186,"AAAAAG4W/wQ=")</f>
        <v>#VALUE!</v>
      </c>
      <c r="F156">
        <f>IF('SPR BARRANQUILLA'!187:187,"AAAAAG4W/wU=",0)</f>
        <v>0</v>
      </c>
      <c r="G156" t="e">
        <f>AND('SPR BARRANQUILLA'!A187,"AAAAAG4W/wY=")</f>
        <v>#VALUE!</v>
      </c>
      <c r="H156" t="e">
        <f>AND('SPR BARRANQUILLA'!B187,"AAAAAG4W/wc=")</f>
        <v>#VALUE!</v>
      </c>
      <c r="I156" t="e">
        <f>AND('SPR BARRANQUILLA'!C187,"AAAAAG4W/wg=")</f>
        <v>#VALUE!</v>
      </c>
      <c r="J156" t="e">
        <f>AND('SPR BARRANQUILLA'!D187,"AAAAAG4W/wk=")</f>
        <v>#VALUE!</v>
      </c>
      <c r="K156" t="e">
        <f>AND('SPR BARRANQUILLA'!E187,"AAAAAG4W/wo=")</f>
        <v>#VALUE!</v>
      </c>
      <c r="L156" t="e">
        <f>AND('SPR BARRANQUILLA'!F187,"AAAAAG4W/ws=")</f>
        <v>#VALUE!</v>
      </c>
      <c r="M156" t="e">
        <f>AND('SPR BARRANQUILLA'!G187,"AAAAAG4W/ww=")</f>
        <v>#VALUE!</v>
      </c>
      <c r="N156" t="e">
        <f>AND('SPR BARRANQUILLA'!H187,"AAAAAG4W/w0=")</f>
        <v>#VALUE!</v>
      </c>
      <c r="O156" t="e">
        <f>AND('SPR BARRANQUILLA'!I187,"AAAAAG4W/w4=")</f>
        <v>#VALUE!</v>
      </c>
      <c r="P156" t="e">
        <f>AND('SPR BARRANQUILLA'!J187,"AAAAAG4W/w8=")</f>
        <v>#VALUE!</v>
      </c>
      <c r="Q156" t="e">
        <f>AND('SPR BARRANQUILLA'!K187,"AAAAAG4W/xA=")</f>
        <v>#VALUE!</v>
      </c>
      <c r="R156" t="e">
        <f>AND('SPR BARRANQUILLA'!L187,"AAAAAG4W/xE=")</f>
        <v>#VALUE!</v>
      </c>
      <c r="S156" t="e">
        <f>AND('SPR BARRANQUILLA'!M187,"AAAAAG4W/xI=")</f>
        <v>#VALUE!</v>
      </c>
      <c r="T156" t="e">
        <f>AND('SPR BARRANQUILLA'!N187,"AAAAAG4W/xM=")</f>
        <v>#VALUE!</v>
      </c>
      <c r="U156" t="e">
        <f>AND('SPR BARRANQUILLA'!O187,"AAAAAG4W/xQ=")</f>
        <v>#VALUE!</v>
      </c>
      <c r="V156" t="e">
        <f>AND('SPR BARRANQUILLA'!P187,"AAAAAG4W/xU=")</f>
        <v>#VALUE!</v>
      </c>
      <c r="W156" t="e">
        <f>AND('SPR BARRANQUILLA'!Q187,"AAAAAG4W/xY=")</f>
        <v>#VALUE!</v>
      </c>
      <c r="X156" t="e">
        <f>AND('SPR BARRANQUILLA'!R187,"AAAAAG4W/xc=")</f>
        <v>#VALUE!</v>
      </c>
      <c r="Y156" t="e">
        <f>AND('SPR BARRANQUILLA'!S187,"AAAAAG4W/xg=")</f>
        <v>#VALUE!</v>
      </c>
      <c r="Z156" t="e">
        <f>AND('SPR BARRANQUILLA'!T187,"AAAAAG4W/xk=")</f>
        <v>#VALUE!</v>
      </c>
      <c r="AA156" t="e">
        <f>AND('SPR BARRANQUILLA'!U187,"AAAAAG4W/xo=")</f>
        <v>#VALUE!</v>
      </c>
      <c r="AB156" t="e">
        <f>AND('SPR BARRANQUILLA'!V187,"AAAAAG4W/xs=")</f>
        <v>#VALUE!</v>
      </c>
      <c r="AC156" t="e">
        <f>AND('SPR BARRANQUILLA'!W187,"AAAAAG4W/xw=")</f>
        <v>#VALUE!</v>
      </c>
      <c r="AD156" t="e">
        <f>AND('SPR BARRANQUILLA'!X187,"AAAAAG4W/x0=")</f>
        <v>#VALUE!</v>
      </c>
      <c r="AE156" t="e">
        <f>AND('SPR BARRANQUILLA'!Y187,"AAAAAG4W/x4=")</f>
        <v>#VALUE!</v>
      </c>
      <c r="AF156" t="e">
        <f>AND('SPR BARRANQUILLA'!Z187,"AAAAAG4W/x8=")</f>
        <v>#VALUE!</v>
      </c>
      <c r="AG156" t="e">
        <f>AND('SPR BARRANQUILLA'!AA187,"AAAAAG4W/yA=")</f>
        <v>#VALUE!</v>
      </c>
      <c r="AH156" t="e">
        <f>AND('SPR BARRANQUILLA'!AB187,"AAAAAG4W/yE=")</f>
        <v>#VALUE!</v>
      </c>
      <c r="AI156" t="e">
        <f>AND('SPR BARRANQUILLA'!AC187,"AAAAAG4W/yI=")</f>
        <v>#VALUE!</v>
      </c>
      <c r="AJ156" t="e">
        <f>AND('SPR BARRANQUILLA'!AD187,"AAAAAG4W/yM=")</f>
        <v>#VALUE!</v>
      </c>
      <c r="AK156" t="e">
        <f>AND('SPR BARRANQUILLA'!AE187,"AAAAAG4W/yQ=")</f>
        <v>#VALUE!</v>
      </c>
      <c r="AL156" t="e">
        <f>AND('SPR BARRANQUILLA'!AF187,"AAAAAG4W/yU=")</f>
        <v>#VALUE!</v>
      </c>
      <c r="AM156" t="e">
        <f>AND('SPR BARRANQUILLA'!AG187,"AAAAAG4W/yY=")</f>
        <v>#VALUE!</v>
      </c>
      <c r="AN156" t="e">
        <f>AND('SPR BARRANQUILLA'!AH187,"AAAAAG4W/yc=")</f>
        <v>#VALUE!</v>
      </c>
      <c r="AO156" t="e">
        <f>AND('SPR BARRANQUILLA'!AI187,"AAAAAG4W/yg=")</f>
        <v>#VALUE!</v>
      </c>
      <c r="AP156" t="e">
        <f>AND('SPR BARRANQUILLA'!AJ187,"AAAAAG4W/yk=")</f>
        <v>#VALUE!</v>
      </c>
      <c r="AQ156" t="e">
        <f>AND('SPR BARRANQUILLA'!AK187,"AAAAAG4W/yo=")</f>
        <v>#VALUE!</v>
      </c>
      <c r="AR156" t="e">
        <f>AND('SPR BARRANQUILLA'!AL187,"AAAAAG4W/ys=")</f>
        <v>#VALUE!</v>
      </c>
      <c r="AS156" t="e">
        <f>AND('SPR BARRANQUILLA'!AM187,"AAAAAG4W/yw=")</f>
        <v>#VALUE!</v>
      </c>
      <c r="AT156" t="e">
        <f>AND('SPR BARRANQUILLA'!AN187,"AAAAAG4W/y0=")</f>
        <v>#VALUE!</v>
      </c>
      <c r="AU156" t="e">
        <f>AND('SPR BARRANQUILLA'!AO187,"AAAAAG4W/y4=")</f>
        <v>#VALUE!</v>
      </c>
      <c r="AV156" t="e">
        <f>AND('SPR BARRANQUILLA'!AP187,"AAAAAG4W/y8=")</f>
        <v>#VALUE!</v>
      </c>
      <c r="AW156" t="e">
        <f>AND('SPR BARRANQUILLA'!AQ187,"AAAAAG4W/zA=")</f>
        <v>#VALUE!</v>
      </c>
      <c r="AX156" t="e">
        <f>AND('SPR BARRANQUILLA'!AR187,"AAAAAG4W/zE=")</f>
        <v>#VALUE!</v>
      </c>
      <c r="AY156" t="e">
        <f>AND('SPR BARRANQUILLA'!AS187,"AAAAAG4W/zI=")</f>
        <v>#VALUE!</v>
      </c>
      <c r="AZ156" t="e">
        <f>AND('SPR BARRANQUILLA'!AT187,"AAAAAG4W/zM=")</f>
        <v>#VALUE!</v>
      </c>
      <c r="BA156" t="e">
        <f>AND('SPR BARRANQUILLA'!AU187,"AAAAAG4W/zQ=")</f>
        <v>#VALUE!</v>
      </c>
      <c r="BB156" t="e">
        <f>AND('SPR BARRANQUILLA'!AV187,"AAAAAG4W/zU=")</f>
        <v>#VALUE!</v>
      </c>
      <c r="BC156" t="e">
        <f>AND('SPR BARRANQUILLA'!AW187,"AAAAAG4W/zY=")</f>
        <v>#VALUE!</v>
      </c>
      <c r="BD156" t="e">
        <f>AND('SPR BARRANQUILLA'!AX187,"AAAAAG4W/zc=")</f>
        <v>#VALUE!</v>
      </c>
      <c r="BE156" t="e">
        <f>AND('SPR BARRANQUILLA'!AY187,"AAAAAG4W/zg=")</f>
        <v>#VALUE!</v>
      </c>
      <c r="BF156" t="e">
        <f>AND('SPR BARRANQUILLA'!AZ187,"AAAAAG4W/zk=")</f>
        <v>#VALUE!</v>
      </c>
      <c r="BG156" t="e">
        <f>AND('SPR BARRANQUILLA'!BA187,"AAAAAG4W/zo=")</f>
        <v>#VALUE!</v>
      </c>
      <c r="BH156" t="e">
        <f>AND('SPR BARRANQUILLA'!BB187,"AAAAAG4W/zs=")</f>
        <v>#VALUE!</v>
      </c>
      <c r="BI156" t="e">
        <f>AND('SPR BARRANQUILLA'!BC187,"AAAAAG4W/zw=")</f>
        <v>#VALUE!</v>
      </c>
      <c r="BJ156" t="e">
        <f>AND('SPR BARRANQUILLA'!BD187,"AAAAAG4W/z0=")</f>
        <v>#VALUE!</v>
      </c>
      <c r="BK156" t="e">
        <f>AND('SPR BARRANQUILLA'!BE187,"AAAAAG4W/z4=")</f>
        <v>#VALUE!</v>
      </c>
      <c r="BL156" t="e">
        <f>AND('SPR BARRANQUILLA'!BF187,"AAAAAG4W/z8=")</f>
        <v>#VALUE!</v>
      </c>
      <c r="BM156" t="e">
        <f>AND('SPR BARRANQUILLA'!BG187,"AAAAAG4W/0A=")</f>
        <v>#VALUE!</v>
      </c>
      <c r="BN156" t="e">
        <f>AND('SPR BARRANQUILLA'!BH187,"AAAAAG4W/0E=")</f>
        <v>#VALUE!</v>
      </c>
      <c r="BO156" t="e">
        <f>AND('SPR BARRANQUILLA'!BI187,"AAAAAG4W/0I=")</f>
        <v>#VALUE!</v>
      </c>
      <c r="BP156" t="e">
        <f>AND('SPR BARRANQUILLA'!BJ187,"AAAAAG4W/0M=")</f>
        <v>#VALUE!</v>
      </c>
      <c r="BQ156" t="e">
        <f>AND('SPR BARRANQUILLA'!BK187,"AAAAAG4W/0Q=")</f>
        <v>#VALUE!</v>
      </c>
      <c r="BR156" t="e">
        <f>AND('SPR BARRANQUILLA'!BL187,"AAAAAG4W/0U=")</f>
        <v>#VALUE!</v>
      </c>
      <c r="BS156" t="e">
        <f>AND('SPR BARRANQUILLA'!BM187,"AAAAAG4W/0Y=")</f>
        <v>#VALUE!</v>
      </c>
      <c r="BT156" t="e">
        <f>AND('SPR BARRANQUILLA'!BN187,"AAAAAG4W/0c=")</f>
        <v>#VALUE!</v>
      </c>
      <c r="BU156" t="e">
        <f>AND('SPR BARRANQUILLA'!BO187,"AAAAAG4W/0g=")</f>
        <v>#VALUE!</v>
      </c>
      <c r="BV156" t="e">
        <f>AND('SPR BARRANQUILLA'!BP187,"AAAAAG4W/0k=")</f>
        <v>#VALUE!</v>
      </c>
      <c r="BW156" t="e">
        <f>AND('SPR BARRANQUILLA'!BQ187,"AAAAAG4W/0o=")</f>
        <v>#VALUE!</v>
      </c>
      <c r="BX156" t="e">
        <f>AND('SPR BARRANQUILLA'!BR187,"AAAAAG4W/0s=")</f>
        <v>#VALUE!</v>
      </c>
      <c r="BY156" t="e">
        <f>AND('SPR BARRANQUILLA'!BS187,"AAAAAG4W/0w=")</f>
        <v>#VALUE!</v>
      </c>
      <c r="BZ156" t="e">
        <f>AND('SPR BARRANQUILLA'!BT187,"AAAAAG4W/00=")</f>
        <v>#VALUE!</v>
      </c>
      <c r="CA156" t="e">
        <f>AND('SPR BARRANQUILLA'!BU187,"AAAAAG4W/04=")</f>
        <v>#VALUE!</v>
      </c>
      <c r="CB156" t="e">
        <f>AND('SPR BARRANQUILLA'!BV187,"AAAAAG4W/08=")</f>
        <v>#VALUE!</v>
      </c>
      <c r="CC156" t="e">
        <f>AND('SPR BARRANQUILLA'!BW187,"AAAAAG4W/1A=")</f>
        <v>#VALUE!</v>
      </c>
      <c r="CD156" t="e">
        <f>AND('SPR BARRANQUILLA'!BX187,"AAAAAG4W/1E=")</f>
        <v>#VALUE!</v>
      </c>
      <c r="CE156" t="e">
        <f>AND('SPR BARRANQUILLA'!BY187,"AAAAAG4W/1I=")</f>
        <v>#VALUE!</v>
      </c>
      <c r="CF156" t="e">
        <f>AND('SPR BARRANQUILLA'!BZ187,"AAAAAG4W/1M=")</f>
        <v>#VALUE!</v>
      </c>
      <c r="CG156" t="e">
        <f>AND('SPR BARRANQUILLA'!CA187,"AAAAAG4W/1Q=")</f>
        <v>#VALUE!</v>
      </c>
      <c r="CH156" t="e">
        <f>AND('SPR BARRANQUILLA'!CB187,"AAAAAG4W/1U=")</f>
        <v>#VALUE!</v>
      </c>
      <c r="CI156" t="e">
        <f>AND('SPR BARRANQUILLA'!CC187,"AAAAAG4W/1Y=")</f>
        <v>#VALUE!</v>
      </c>
      <c r="CJ156" t="e">
        <f>AND('SPR BARRANQUILLA'!CD187,"AAAAAG4W/1c=")</f>
        <v>#VALUE!</v>
      </c>
      <c r="CK156" t="e">
        <f>AND('SPR BARRANQUILLA'!CE187,"AAAAAG4W/1g=")</f>
        <v>#VALUE!</v>
      </c>
      <c r="CL156" t="e">
        <f>AND('SPR BARRANQUILLA'!CF187,"AAAAAG4W/1k=")</f>
        <v>#VALUE!</v>
      </c>
      <c r="CM156" t="e">
        <f>AND('SPR BARRANQUILLA'!CG187,"AAAAAG4W/1o=")</f>
        <v>#VALUE!</v>
      </c>
      <c r="CN156" t="e">
        <f>AND('SPR BARRANQUILLA'!CH187,"AAAAAG4W/1s=")</f>
        <v>#VALUE!</v>
      </c>
      <c r="CO156" t="e">
        <f>AND('SPR BARRANQUILLA'!CI187,"AAAAAG4W/1w=")</f>
        <v>#VALUE!</v>
      </c>
      <c r="CP156" t="e">
        <f>AND('SPR BARRANQUILLA'!CJ187,"AAAAAG4W/10=")</f>
        <v>#VALUE!</v>
      </c>
      <c r="CQ156" t="e">
        <f>AND('SPR BARRANQUILLA'!CK187,"AAAAAG4W/14=")</f>
        <v>#VALUE!</v>
      </c>
      <c r="CR156" t="e">
        <f>AND('SPR BARRANQUILLA'!CL187,"AAAAAG4W/18=")</f>
        <v>#VALUE!</v>
      </c>
      <c r="CS156" t="e">
        <f>AND('SPR BARRANQUILLA'!CM187,"AAAAAG4W/2A=")</f>
        <v>#VALUE!</v>
      </c>
      <c r="CT156" t="e">
        <f>AND('SPR BARRANQUILLA'!CN187,"AAAAAG4W/2E=")</f>
        <v>#VALUE!</v>
      </c>
      <c r="CU156" t="e">
        <f>AND('SPR BARRANQUILLA'!CO187,"AAAAAG4W/2I=")</f>
        <v>#VALUE!</v>
      </c>
      <c r="CV156" t="e">
        <f>AND('SPR BARRANQUILLA'!CP187,"AAAAAG4W/2M=")</f>
        <v>#VALUE!</v>
      </c>
      <c r="CW156" t="e">
        <f>AND('SPR BARRANQUILLA'!CQ187,"AAAAAG4W/2Q=")</f>
        <v>#VALUE!</v>
      </c>
      <c r="CX156" t="e">
        <f>AND('SPR BARRANQUILLA'!CR187,"AAAAAG4W/2U=")</f>
        <v>#VALUE!</v>
      </c>
      <c r="CY156" t="e">
        <f>AND('SPR BARRANQUILLA'!CS187,"AAAAAG4W/2Y=")</f>
        <v>#VALUE!</v>
      </c>
      <c r="CZ156" t="e">
        <f>AND('SPR BARRANQUILLA'!CT187,"AAAAAG4W/2c=")</f>
        <v>#VALUE!</v>
      </c>
      <c r="DA156" t="e">
        <f>AND('SPR BARRANQUILLA'!CU187,"AAAAAG4W/2g=")</f>
        <v>#VALUE!</v>
      </c>
      <c r="DB156" t="e">
        <f>AND('SPR BARRANQUILLA'!CV187,"AAAAAG4W/2k=")</f>
        <v>#VALUE!</v>
      </c>
      <c r="DC156" t="e">
        <f>AND('SPR BARRANQUILLA'!CW187,"AAAAAG4W/2o=")</f>
        <v>#VALUE!</v>
      </c>
      <c r="DD156" t="e">
        <f>AND('SPR BARRANQUILLA'!CX187,"AAAAAG4W/2s=")</f>
        <v>#VALUE!</v>
      </c>
      <c r="DE156" t="e">
        <f>AND('SPR BARRANQUILLA'!CY187,"AAAAAG4W/2w=")</f>
        <v>#VALUE!</v>
      </c>
      <c r="DF156" t="e">
        <f>AND('SPR BARRANQUILLA'!CZ187,"AAAAAG4W/20=")</f>
        <v>#VALUE!</v>
      </c>
      <c r="DG156" t="e">
        <f>AND('SPR BARRANQUILLA'!DA187,"AAAAAG4W/24=")</f>
        <v>#VALUE!</v>
      </c>
      <c r="DH156" t="e">
        <f>AND('SPR BARRANQUILLA'!DB187,"AAAAAG4W/28=")</f>
        <v>#VALUE!</v>
      </c>
      <c r="DI156" t="e">
        <f>AND('SPR BARRANQUILLA'!DC187,"AAAAAG4W/3A=")</f>
        <v>#VALUE!</v>
      </c>
      <c r="DJ156" t="e">
        <f>AND('SPR BARRANQUILLA'!DD187,"AAAAAG4W/3E=")</f>
        <v>#VALUE!</v>
      </c>
      <c r="DK156" t="e">
        <f>AND('SPR BARRANQUILLA'!DE187,"AAAAAG4W/3I=")</f>
        <v>#VALUE!</v>
      </c>
      <c r="DL156" t="e">
        <f>AND('SPR BARRANQUILLA'!DF187,"AAAAAG4W/3M=")</f>
        <v>#VALUE!</v>
      </c>
      <c r="DM156" t="e">
        <f>AND('SPR BARRANQUILLA'!DG187,"AAAAAG4W/3Q=")</f>
        <v>#VALUE!</v>
      </c>
      <c r="DN156" t="e">
        <f>AND('SPR BARRANQUILLA'!DH187,"AAAAAG4W/3U=")</f>
        <v>#VALUE!</v>
      </c>
      <c r="DO156" t="e">
        <f>AND('SPR BARRANQUILLA'!DI187,"AAAAAG4W/3Y=")</f>
        <v>#VALUE!</v>
      </c>
      <c r="DP156" t="e">
        <f>AND('SPR BARRANQUILLA'!DJ187,"AAAAAG4W/3c=")</f>
        <v>#VALUE!</v>
      </c>
      <c r="DQ156" t="e">
        <f>AND('SPR BARRANQUILLA'!DK187,"AAAAAG4W/3g=")</f>
        <v>#VALUE!</v>
      </c>
      <c r="DR156" t="e">
        <f>AND('SPR BARRANQUILLA'!DL187,"AAAAAG4W/3k=")</f>
        <v>#VALUE!</v>
      </c>
      <c r="DS156" t="e">
        <f>AND('SPR BARRANQUILLA'!DM187,"AAAAAG4W/3o=")</f>
        <v>#VALUE!</v>
      </c>
      <c r="DT156" t="e">
        <f>AND('SPR BARRANQUILLA'!DN187,"AAAAAG4W/3s=")</f>
        <v>#VALUE!</v>
      </c>
      <c r="DU156" t="e">
        <f>AND('SPR BARRANQUILLA'!DO187,"AAAAAG4W/3w=")</f>
        <v>#VALUE!</v>
      </c>
      <c r="DV156" t="e">
        <f>AND('SPR BARRANQUILLA'!DP187,"AAAAAG4W/30=")</f>
        <v>#VALUE!</v>
      </c>
      <c r="DW156" t="e">
        <f>AND('SPR BARRANQUILLA'!DQ187,"AAAAAG4W/34=")</f>
        <v>#VALUE!</v>
      </c>
      <c r="DX156" t="e">
        <f>AND('SPR BARRANQUILLA'!DR187,"AAAAAG4W/38=")</f>
        <v>#VALUE!</v>
      </c>
      <c r="DY156" t="e">
        <f>AND('SPR BARRANQUILLA'!DS187,"AAAAAG4W/4A=")</f>
        <v>#VALUE!</v>
      </c>
      <c r="DZ156" t="e">
        <f>AND('SPR BARRANQUILLA'!DT187,"AAAAAG4W/4E=")</f>
        <v>#VALUE!</v>
      </c>
      <c r="EA156" t="e">
        <f>AND('SPR BARRANQUILLA'!DU187,"AAAAAG4W/4I=")</f>
        <v>#VALUE!</v>
      </c>
      <c r="EB156" t="e">
        <f>AND('SPR BARRANQUILLA'!DV187,"AAAAAG4W/4M=")</f>
        <v>#VALUE!</v>
      </c>
      <c r="EC156" t="e">
        <f>AND('SPR BARRANQUILLA'!DW187,"AAAAAG4W/4Q=")</f>
        <v>#VALUE!</v>
      </c>
      <c r="ED156" t="e">
        <f>AND('SPR BARRANQUILLA'!DX187,"AAAAAG4W/4U=")</f>
        <v>#VALUE!</v>
      </c>
      <c r="EE156" t="e">
        <f>AND('SPR BARRANQUILLA'!DY187,"AAAAAG4W/4Y=")</f>
        <v>#VALUE!</v>
      </c>
      <c r="EF156" t="e">
        <f>AND('SPR BARRANQUILLA'!DZ187,"AAAAAG4W/4c=")</f>
        <v>#VALUE!</v>
      </c>
      <c r="EG156" t="e">
        <f>AND('SPR BARRANQUILLA'!EA187,"AAAAAG4W/4g=")</f>
        <v>#VALUE!</v>
      </c>
      <c r="EH156" t="e">
        <f>AND('SPR BARRANQUILLA'!EB187,"AAAAAG4W/4k=")</f>
        <v>#VALUE!</v>
      </c>
      <c r="EI156" t="e">
        <f>AND('SPR BARRANQUILLA'!EC187,"AAAAAG4W/4o=")</f>
        <v>#VALUE!</v>
      </c>
      <c r="EJ156" t="e">
        <f>AND('SPR BARRANQUILLA'!ED187,"AAAAAG4W/4s=")</f>
        <v>#VALUE!</v>
      </c>
      <c r="EK156" t="e">
        <f>AND('SPR BARRANQUILLA'!EE187,"AAAAAG4W/4w=")</f>
        <v>#VALUE!</v>
      </c>
      <c r="EL156" t="e">
        <f>AND('SPR BARRANQUILLA'!EF187,"AAAAAG4W/40=")</f>
        <v>#VALUE!</v>
      </c>
      <c r="EM156" t="e">
        <f>AND('SPR BARRANQUILLA'!EG187,"AAAAAG4W/44=")</f>
        <v>#VALUE!</v>
      </c>
      <c r="EN156" t="e">
        <f>AND('SPR BARRANQUILLA'!EH187,"AAAAAG4W/48=")</f>
        <v>#VALUE!</v>
      </c>
      <c r="EO156" t="e">
        <f>AND('SPR BARRANQUILLA'!EI187,"AAAAAG4W/5A=")</f>
        <v>#VALUE!</v>
      </c>
      <c r="EP156" t="e">
        <f>AND('SPR BARRANQUILLA'!EJ187,"AAAAAG4W/5E=")</f>
        <v>#VALUE!</v>
      </c>
      <c r="EQ156" t="e">
        <f>AND('SPR BARRANQUILLA'!EK187,"AAAAAG4W/5I=")</f>
        <v>#VALUE!</v>
      </c>
      <c r="ER156" t="e">
        <f>AND('SPR BARRANQUILLA'!EL187,"AAAAAG4W/5M=")</f>
        <v>#VALUE!</v>
      </c>
      <c r="ES156" t="e">
        <f>AND('SPR BARRANQUILLA'!EM187,"AAAAAG4W/5Q=")</f>
        <v>#VALUE!</v>
      </c>
      <c r="ET156" t="e">
        <f>AND('SPR BARRANQUILLA'!EN187,"AAAAAG4W/5U=")</f>
        <v>#VALUE!</v>
      </c>
      <c r="EU156" t="e">
        <f>AND('SPR BARRANQUILLA'!EO187,"AAAAAG4W/5Y=")</f>
        <v>#VALUE!</v>
      </c>
      <c r="EV156" t="e">
        <f>AND('SPR BARRANQUILLA'!EP187,"AAAAAG4W/5c=")</f>
        <v>#VALUE!</v>
      </c>
      <c r="EW156" t="e">
        <f>AND('SPR BARRANQUILLA'!EQ187,"AAAAAG4W/5g=")</f>
        <v>#VALUE!</v>
      </c>
      <c r="EX156" t="e">
        <f>AND('SPR BARRANQUILLA'!ER187,"AAAAAG4W/5k=")</f>
        <v>#VALUE!</v>
      </c>
      <c r="EY156" t="e">
        <f>AND('SPR BARRANQUILLA'!ES187,"AAAAAG4W/5o=")</f>
        <v>#VALUE!</v>
      </c>
      <c r="EZ156" t="e">
        <f>AND('SPR BARRANQUILLA'!ET187,"AAAAAG4W/5s=")</f>
        <v>#VALUE!</v>
      </c>
      <c r="FA156" t="e">
        <f>AND('SPR BARRANQUILLA'!EU187,"AAAAAG4W/5w=")</f>
        <v>#VALUE!</v>
      </c>
      <c r="FB156" t="e">
        <f>AND('SPR BARRANQUILLA'!EV187,"AAAAAG4W/50=")</f>
        <v>#VALUE!</v>
      </c>
      <c r="FC156" t="e">
        <f>AND('SPR BARRANQUILLA'!EW187,"AAAAAG4W/54=")</f>
        <v>#VALUE!</v>
      </c>
      <c r="FD156" t="e">
        <f>AND('SPR BARRANQUILLA'!EX187,"AAAAAG4W/58=")</f>
        <v>#VALUE!</v>
      </c>
      <c r="FE156" t="e">
        <f>AND('SPR BARRANQUILLA'!EY187,"AAAAAG4W/6A=")</f>
        <v>#VALUE!</v>
      </c>
      <c r="FF156" t="e">
        <f>AND('SPR BARRANQUILLA'!EZ187,"AAAAAG4W/6E=")</f>
        <v>#VALUE!</v>
      </c>
      <c r="FG156" t="e">
        <f>AND('SPR BARRANQUILLA'!FA187,"AAAAAG4W/6I=")</f>
        <v>#VALUE!</v>
      </c>
      <c r="FH156" t="e">
        <f>AND('SPR BARRANQUILLA'!FB187,"AAAAAG4W/6M=")</f>
        <v>#VALUE!</v>
      </c>
      <c r="FI156" t="e">
        <f>AND('SPR BARRANQUILLA'!FC187,"AAAAAG4W/6Q=")</f>
        <v>#VALUE!</v>
      </c>
      <c r="FJ156" t="e">
        <f>AND('SPR BARRANQUILLA'!FD187,"AAAAAG4W/6U=")</f>
        <v>#VALUE!</v>
      </c>
      <c r="FK156" t="e">
        <f>AND('SPR BARRANQUILLA'!FE187,"AAAAAG4W/6Y=")</f>
        <v>#VALUE!</v>
      </c>
      <c r="FL156" t="e">
        <f>AND('SPR BARRANQUILLA'!FF187,"AAAAAG4W/6c=")</f>
        <v>#VALUE!</v>
      </c>
      <c r="FM156" t="e">
        <f>AND('SPR BARRANQUILLA'!FG187,"AAAAAG4W/6g=")</f>
        <v>#VALUE!</v>
      </c>
      <c r="FN156" t="e">
        <f>AND('SPR BARRANQUILLA'!FH187,"AAAAAG4W/6k=")</f>
        <v>#VALUE!</v>
      </c>
      <c r="FO156" t="e">
        <f>AND('SPR BARRANQUILLA'!FI187,"AAAAAG4W/6o=")</f>
        <v>#VALUE!</v>
      </c>
      <c r="FP156" t="e">
        <f>AND('SPR BARRANQUILLA'!FJ187,"AAAAAG4W/6s=")</f>
        <v>#VALUE!</v>
      </c>
      <c r="FQ156" t="e">
        <f>AND('SPR BARRANQUILLA'!FK187,"AAAAAG4W/6w=")</f>
        <v>#VALUE!</v>
      </c>
      <c r="FR156" t="e">
        <f>AND('SPR BARRANQUILLA'!FL187,"AAAAAG4W/60=")</f>
        <v>#VALUE!</v>
      </c>
      <c r="FS156" t="e">
        <f>AND('SPR BARRANQUILLA'!FM187,"AAAAAG4W/64=")</f>
        <v>#VALUE!</v>
      </c>
      <c r="FT156" t="e">
        <f>AND('SPR BARRANQUILLA'!FN187,"AAAAAG4W/68=")</f>
        <v>#VALUE!</v>
      </c>
      <c r="FU156" t="e">
        <f>AND('SPR BARRANQUILLA'!FO187,"AAAAAG4W/7A=")</f>
        <v>#VALUE!</v>
      </c>
      <c r="FV156" t="e">
        <f>AND('SPR BARRANQUILLA'!FP187,"AAAAAG4W/7E=")</f>
        <v>#VALUE!</v>
      </c>
      <c r="FW156" t="e">
        <f>AND('SPR BARRANQUILLA'!FQ187,"AAAAAG4W/7I=")</f>
        <v>#VALUE!</v>
      </c>
      <c r="FX156" t="e">
        <f>AND('SPR BARRANQUILLA'!FR187,"AAAAAG4W/7M=")</f>
        <v>#VALUE!</v>
      </c>
      <c r="FY156" t="e">
        <f>AND('SPR BARRANQUILLA'!FS187,"AAAAAG4W/7Q=")</f>
        <v>#VALUE!</v>
      </c>
      <c r="FZ156" t="e">
        <f>AND('SPR BARRANQUILLA'!FT187,"AAAAAG4W/7U=")</f>
        <v>#VALUE!</v>
      </c>
      <c r="GA156" t="e">
        <f>AND('SPR BARRANQUILLA'!FU187,"AAAAAG4W/7Y=")</f>
        <v>#VALUE!</v>
      </c>
      <c r="GB156" t="e">
        <f>AND('SPR BARRANQUILLA'!FV187,"AAAAAG4W/7c=")</f>
        <v>#VALUE!</v>
      </c>
      <c r="GC156" t="e">
        <f>AND('SPR BARRANQUILLA'!FW187,"AAAAAG4W/7g=")</f>
        <v>#VALUE!</v>
      </c>
      <c r="GD156" t="e">
        <f>AND('SPR BARRANQUILLA'!FX187,"AAAAAG4W/7k=")</f>
        <v>#VALUE!</v>
      </c>
      <c r="GE156" t="e">
        <f>AND('SPR BARRANQUILLA'!FY187,"AAAAAG4W/7o=")</f>
        <v>#VALUE!</v>
      </c>
      <c r="GF156" t="e">
        <f>AND('SPR BARRANQUILLA'!FZ187,"AAAAAG4W/7s=")</f>
        <v>#VALUE!</v>
      </c>
      <c r="GG156" t="e">
        <f>AND('SPR BARRANQUILLA'!GA187,"AAAAAG4W/7w=")</f>
        <v>#VALUE!</v>
      </c>
      <c r="GH156" t="e">
        <f>AND('SPR BARRANQUILLA'!GB187,"AAAAAG4W/70=")</f>
        <v>#VALUE!</v>
      </c>
      <c r="GI156" t="e">
        <f>AND('SPR BARRANQUILLA'!GC187,"AAAAAG4W/74=")</f>
        <v>#VALUE!</v>
      </c>
      <c r="GJ156" t="e">
        <f>AND('SPR BARRANQUILLA'!GD187,"AAAAAG4W/78=")</f>
        <v>#VALUE!</v>
      </c>
      <c r="GK156" t="e">
        <f>AND('SPR BARRANQUILLA'!GE187,"AAAAAG4W/8A=")</f>
        <v>#VALUE!</v>
      </c>
      <c r="GL156" t="e">
        <f>AND('SPR BARRANQUILLA'!GF187,"AAAAAG4W/8E=")</f>
        <v>#VALUE!</v>
      </c>
      <c r="GM156" t="e">
        <f>AND('SPR BARRANQUILLA'!GG187,"AAAAAG4W/8I=")</f>
        <v>#VALUE!</v>
      </c>
      <c r="GN156" t="e">
        <f>AND('SPR BARRANQUILLA'!GH187,"AAAAAG4W/8M=")</f>
        <v>#VALUE!</v>
      </c>
      <c r="GO156" t="e">
        <f>AND('SPR BARRANQUILLA'!GI187,"AAAAAG4W/8Q=")</f>
        <v>#VALUE!</v>
      </c>
      <c r="GP156" t="e">
        <f>AND('SPR BARRANQUILLA'!GJ187,"AAAAAG4W/8U=")</f>
        <v>#VALUE!</v>
      </c>
      <c r="GQ156" t="e">
        <f>AND('SPR BARRANQUILLA'!GK187,"AAAAAG4W/8Y=")</f>
        <v>#VALUE!</v>
      </c>
      <c r="GR156" t="e">
        <f>AND('SPR BARRANQUILLA'!GL187,"AAAAAG4W/8c=")</f>
        <v>#VALUE!</v>
      </c>
      <c r="GS156" t="e">
        <f>AND('SPR BARRANQUILLA'!GM187,"AAAAAG4W/8g=")</f>
        <v>#VALUE!</v>
      </c>
      <c r="GT156" t="e">
        <f>AND('SPR BARRANQUILLA'!GN187,"AAAAAG4W/8k=")</f>
        <v>#VALUE!</v>
      </c>
      <c r="GU156" t="e">
        <f>AND('SPR BARRANQUILLA'!GO187,"AAAAAG4W/8o=")</f>
        <v>#VALUE!</v>
      </c>
      <c r="GV156" t="e">
        <f>AND('SPR BARRANQUILLA'!GP187,"AAAAAG4W/8s=")</f>
        <v>#VALUE!</v>
      </c>
      <c r="GW156" t="e">
        <f>AND('SPR BARRANQUILLA'!GQ187,"AAAAAG4W/8w=")</f>
        <v>#VALUE!</v>
      </c>
      <c r="GX156" t="e">
        <f>AND('SPR BARRANQUILLA'!GR187,"AAAAAG4W/80=")</f>
        <v>#VALUE!</v>
      </c>
      <c r="GY156" t="e">
        <f>AND('SPR BARRANQUILLA'!GS187,"AAAAAG4W/84=")</f>
        <v>#VALUE!</v>
      </c>
      <c r="GZ156" t="e">
        <f>AND('SPR BARRANQUILLA'!GT187,"AAAAAG4W/88=")</f>
        <v>#VALUE!</v>
      </c>
      <c r="HA156" t="e">
        <f>AND('SPR BARRANQUILLA'!GU187,"AAAAAG4W/9A=")</f>
        <v>#VALUE!</v>
      </c>
      <c r="HB156" t="e">
        <f>AND('SPR BARRANQUILLA'!GV187,"AAAAAG4W/9E=")</f>
        <v>#VALUE!</v>
      </c>
      <c r="HC156" t="e">
        <f>AND('SPR BARRANQUILLA'!GW187,"AAAAAG4W/9I=")</f>
        <v>#VALUE!</v>
      </c>
      <c r="HD156" t="e">
        <f>AND('SPR BARRANQUILLA'!GX187,"AAAAAG4W/9M=")</f>
        <v>#VALUE!</v>
      </c>
      <c r="HE156" t="e">
        <f>AND('SPR BARRANQUILLA'!GY187,"AAAAAG4W/9Q=")</f>
        <v>#VALUE!</v>
      </c>
      <c r="HF156">
        <f>IF('SPR BARRANQUILLA'!188:188,"AAAAAG4W/9U=",0)</f>
        <v>0</v>
      </c>
      <c r="HG156" t="e">
        <f>AND('SPR BARRANQUILLA'!A188,"AAAAAG4W/9Y=")</f>
        <v>#VALUE!</v>
      </c>
      <c r="HH156" t="e">
        <f>AND('SPR BARRANQUILLA'!B188,"AAAAAG4W/9c=")</f>
        <v>#VALUE!</v>
      </c>
      <c r="HI156" t="e">
        <f>AND('SPR BARRANQUILLA'!C188,"AAAAAG4W/9g=")</f>
        <v>#VALUE!</v>
      </c>
      <c r="HJ156" t="e">
        <f>AND('SPR BARRANQUILLA'!D188,"AAAAAG4W/9k=")</f>
        <v>#VALUE!</v>
      </c>
      <c r="HK156" t="e">
        <f>AND('SPR BARRANQUILLA'!E188,"AAAAAG4W/9o=")</f>
        <v>#VALUE!</v>
      </c>
      <c r="HL156" t="e">
        <f>AND('SPR BARRANQUILLA'!F188,"AAAAAG4W/9s=")</f>
        <v>#VALUE!</v>
      </c>
      <c r="HM156" t="e">
        <f>AND('SPR BARRANQUILLA'!G188,"AAAAAG4W/9w=")</f>
        <v>#VALUE!</v>
      </c>
      <c r="HN156" t="e">
        <f>AND('SPR BARRANQUILLA'!H188,"AAAAAG4W/90=")</f>
        <v>#VALUE!</v>
      </c>
      <c r="HO156" t="e">
        <f>AND('SPR BARRANQUILLA'!I188,"AAAAAG4W/94=")</f>
        <v>#VALUE!</v>
      </c>
      <c r="HP156" t="e">
        <f>AND('SPR BARRANQUILLA'!J188,"AAAAAG4W/98=")</f>
        <v>#VALUE!</v>
      </c>
      <c r="HQ156" t="e">
        <f>AND('SPR BARRANQUILLA'!K188,"AAAAAG4W/+A=")</f>
        <v>#VALUE!</v>
      </c>
      <c r="HR156" t="e">
        <f>AND('SPR BARRANQUILLA'!L188,"AAAAAG4W/+E=")</f>
        <v>#VALUE!</v>
      </c>
      <c r="HS156" t="e">
        <f>AND('SPR BARRANQUILLA'!M188,"AAAAAG4W/+I=")</f>
        <v>#VALUE!</v>
      </c>
      <c r="HT156" t="e">
        <f>AND('SPR BARRANQUILLA'!N188,"AAAAAG4W/+M=")</f>
        <v>#VALUE!</v>
      </c>
      <c r="HU156" t="e">
        <f>AND('SPR BARRANQUILLA'!O188,"AAAAAG4W/+Q=")</f>
        <v>#VALUE!</v>
      </c>
      <c r="HV156" t="e">
        <f>AND('SPR BARRANQUILLA'!P188,"AAAAAG4W/+U=")</f>
        <v>#VALUE!</v>
      </c>
      <c r="HW156" t="e">
        <f>AND('SPR BARRANQUILLA'!Q188,"AAAAAG4W/+Y=")</f>
        <v>#VALUE!</v>
      </c>
      <c r="HX156" t="e">
        <f>AND('SPR BARRANQUILLA'!R188,"AAAAAG4W/+c=")</f>
        <v>#VALUE!</v>
      </c>
      <c r="HY156" t="e">
        <f>AND('SPR BARRANQUILLA'!S188,"AAAAAG4W/+g=")</f>
        <v>#VALUE!</v>
      </c>
      <c r="HZ156" t="e">
        <f>AND('SPR BARRANQUILLA'!T188,"AAAAAG4W/+k=")</f>
        <v>#VALUE!</v>
      </c>
      <c r="IA156" t="e">
        <f>AND('SPR BARRANQUILLA'!U188,"AAAAAG4W/+o=")</f>
        <v>#VALUE!</v>
      </c>
      <c r="IB156" t="e">
        <f>AND('SPR BARRANQUILLA'!V188,"AAAAAG4W/+s=")</f>
        <v>#VALUE!</v>
      </c>
      <c r="IC156" t="e">
        <f>AND('SPR BARRANQUILLA'!W188,"AAAAAG4W/+w=")</f>
        <v>#VALUE!</v>
      </c>
      <c r="ID156" t="e">
        <f>AND('SPR BARRANQUILLA'!X188,"AAAAAG4W/+0=")</f>
        <v>#VALUE!</v>
      </c>
      <c r="IE156" t="e">
        <f>AND('SPR BARRANQUILLA'!Y188,"AAAAAG4W/+4=")</f>
        <v>#VALUE!</v>
      </c>
      <c r="IF156" t="e">
        <f>AND('SPR BARRANQUILLA'!Z188,"AAAAAG4W/+8=")</f>
        <v>#VALUE!</v>
      </c>
      <c r="IG156" t="e">
        <f>AND('SPR BARRANQUILLA'!AA188,"AAAAAG4W//A=")</f>
        <v>#VALUE!</v>
      </c>
      <c r="IH156" t="e">
        <f>AND('SPR BARRANQUILLA'!AB188,"AAAAAG4W//E=")</f>
        <v>#VALUE!</v>
      </c>
      <c r="II156" t="e">
        <f>AND('SPR BARRANQUILLA'!AC188,"AAAAAG4W//I=")</f>
        <v>#VALUE!</v>
      </c>
      <c r="IJ156" t="e">
        <f>AND('SPR BARRANQUILLA'!AD188,"AAAAAG4W//M=")</f>
        <v>#VALUE!</v>
      </c>
      <c r="IK156" t="e">
        <f>AND('SPR BARRANQUILLA'!AE188,"AAAAAG4W//Q=")</f>
        <v>#VALUE!</v>
      </c>
      <c r="IL156" t="e">
        <f>AND('SPR BARRANQUILLA'!AF188,"AAAAAG4W//U=")</f>
        <v>#VALUE!</v>
      </c>
      <c r="IM156" t="e">
        <f>AND('SPR BARRANQUILLA'!AG188,"AAAAAG4W//Y=")</f>
        <v>#VALUE!</v>
      </c>
      <c r="IN156" t="e">
        <f>AND('SPR BARRANQUILLA'!AH188,"AAAAAG4W//c=")</f>
        <v>#VALUE!</v>
      </c>
      <c r="IO156" t="e">
        <f>AND('SPR BARRANQUILLA'!AI188,"AAAAAG4W//g=")</f>
        <v>#VALUE!</v>
      </c>
      <c r="IP156" t="e">
        <f>AND('SPR BARRANQUILLA'!AJ188,"AAAAAG4W//k=")</f>
        <v>#VALUE!</v>
      </c>
      <c r="IQ156" t="e">
        <f>AND('SPR BARRANQUILLA'!AK188,"AAAAAG4W//o=")</f>
        <v>#VALUE!</v>
      </c>
      <c r="IR156" t="e">
        <f>AND('SPR BARRANQUILLA'!AL188,"AAAAAG4W//s=")</f>
        <v>#VALUE!</v>
      </c>
      <c r="IS156" t="e">
        <f>AND('SPR BARRANQUILLA'!AM188,"AAAAAG4W//w=")</f>
        <v>#VALUE!</v>
      </c>
      <c r="IT156" t="e">
        <f>AND('SPR BARRANQUILLA'!AN188,"AAAAAG4W//0=")</f>
        <v>#VALUE!</v>
      </c>
      <c r="IU156" t="e">
        <f>AND('SPR BARRANQUILLA'!AO188,"AAAAAG4W//4=")</f>
        <v>#VALUE!</v>
      </c>
      <c r="IV156" t="e">
        <f>AND('SPR BARRANQUILLA'!AP188,"AAAAAG4W//8=")</f>
        <v>#VALUE!</v>
      </c>
    </row>
    <row r="157" spans="1:256">
      <c r="A157" t="e">
        <f>AND('SPR BARRANQUILLA'!AQ188,"AAAAAH7/ZwA=")</f>
        <v>#VALUE!</v>
      </c>
      <c r="B157" t="e">
        <f>AND('SPR BARRANQUILLA'!AR188,"AAAAAH7/ZwE=")</f>
        <v>#VALUE!</v>
      </c>
      <c r="C157" t="e">
        <f>AND('SPR BARRANQUILLA'!AS188,"AAAAAH7/ZwI=")</f>
        <v>#VALUE!</v>
      </c>
      <c r="D157" t="e">
        <f>AND('SPR BARRANQUILLA'!AT188,"AAAAAH7/ZwM=")</f>
        <v>#VALUE!</v>
      </c>
      <c r="E157" t="e">
        <f>AND('SPR BARRANQUILLA'!AU188,"AAAAAH7/ZwQ=")</f>
        <v>#VALUE!</v>
      </c>
      <c r="F157" t="e">
        <f>AND('SPR BARRANQUILLA'!AV188,"AAAAAH7/ZwU=")</f>
        <v>#VALUE!</v>
      </c>
      <c r="G157" t="e">
        <f>AND('SPR BARRANQUILLA'!AW188,"AAAAAH7/ZwY=")</f>
        <v>#VALUE!</v>
      </c>
      <c r="H157" t="e">
        <f>AND('SPR BARRANQUILLA'!AX188,"AAAAAH7/Zwc=")</f>
        <v>#VALUE!</v>
      </c>
      <c r="I157" t="e">
        <f>AND('SPR BARRANQUILLA'!AY188,"AAAAAH7/Zwg=")</f>
        <v>#VALUE!</v>
      </c>
      <c r="J157" t="e">
        <f>AND('SPR BARRANQUILLA'!AZ188,"AAAAAH7/Zwk=")</f>
        <v>#VALUE!</v>
      </c>
      <c r="K157" t="e">
        <f>AND('SPR BARRANQUILLA'!BA188,"AAAAAH7/Zwo=")</f>
        <v>#VALUE!</v>
      </c>
      <c r="L157" t="e">
        <f>AND('SPR BARRANQUILLA'!BB188,"AAAAAH7/Zws=")</f>
        <v>#VALUE!</v>
      </c>
      <c r="M157" t="e">
        <f>AND('SPR BARRANQUILLA'!BC188,"AAAAAH7/Zww=")</f>
        <v>#VALUE!</v>
      </c>
      <c r="N157" t="e">
        <f>AND('SPR BARRANQUILLA'!BD188,"AAAAAH7/Zw0=")</f>
        <v>#VALUE!</v>
      </c>
      <c r="O157" t="e">
        <f>AND('SPR BARRANQUILLA'!BE188,"AAAAAH7/Zw4=")</f>
        <v>#VALUE!</v>
      </c>
      <c r="P157" t="e">
        <f>AND('SPR BARRANQUILLA'!BF188,"AAAAAH7/Zw8=")</f>
        <v>#VALUE!</v>
      </c>
      <c r="Q157" t="e">
        <f>AND('SPR BARRANQUILLA'!BG188,"AAAAAH7/ZxA=")</f>
        <v>#VALUE!</v>
      </c>
      <c r="R157" t="e">
        <f>AND('SPR BARRANQUILLA'!BH188,"AAAAAH7/ZxE=")</f>
        <v>#VALUE!</v>
      </c>
      <c r="S157" t="e">
        <f>AND('SPR BARRANQUILLA'!BI188,"AAAAAH7/ZxI=")</f>
        <v>#VALUE!</v>
      </c>
      <c r="T157" t="e">
        <f>AND('SPR BARRANQUILLA'!BJ188,"AAAAAH7/ZxM=")</f>
        <v>#VALUE!</v>
      </c>
      <c r="U157" t="e">
        <f>AND('SPR BARRANQUILLA'!BK188,"AAAAAH7/ZxQ=")</f>
        <v>#VALUE!</v>
      </c>
      <c r="V157" t="e">
        <f>AND('SPR BARRANQUILLA'!BL188,"AAAAAH7/ZxU=")</f>
        <v>#VALUE!</v>
      </c>
      <c r="W157" t="e">
        <f>AND('SPR BARRANQUILLA'!BM188,"AAAAAH7/ZxY=")</f>
        <v>#VALUE!</v>
      </c>
      <c r="X157" t="e">
        <f>AND('SPR BARRANQUILLA'!BN188,"AAAAAH7/Zxc=")</f>
        <v>#VALUE!</v>
      </c>
      <c r="Y157" t="e">
        <f>AND('SPR BARRANQUILLA'!BO188,"AAAAAH7/Zxg=")</f>
        <v>#VALUE!</v>
      </c>
      <c r="Z157" t="e">
        <f>AND('SPR BARRANQUILLA'!BP188,"AAAAAH7/Zxk=")</f>
        <v>#VALUE!</v>
      </c>
      <c r="AA157" t="e">
        <f>AND('SPR BARRANQUILLA'!BQ188,"AAAAAH7/Zxo=")</f>
        <v>#VALUE!</v>
      </c>
      <c r="AB157" t="e">
        <f>AND('SPR BARRANQUILLA'!BR188,"AAAAAH7/Zxs=")</f>
        <v>#VALUE!</v>
      </c>
      <c r="AC157" t="e">
        <f>AND('SPR BARRANQUILLA'!BS188,"AAAAAH7/Zxw=")</f>
        <v>#VALUE!</v>
      </c>
      <c r="AD157" t="e">
        <f>AND('SPR BARRANQUILLA'!BT188,"AAAAAH7/Zx0=")</f>
        <v>#VALUE!</v>
      </c>
      <c r="AE157" t="e">
        <f>AND('SPR BARRANQUILLA'!BU188,"AAAAAH7/Zx4=")</f>
        <v>#VALUE!</v>
      </c>
      <c r="AF157" t="e">
        <f>AND('SPR BARRANQUILLA'!BV188,"AAAAAH7/Zx8=")</f>
        <v>#VALUE!</v>
      </c>
      <c r="AG157" t="e">
        <f>AND('SPR BARRANQUILLA'!BW188,"AAAAAH7/ZyA=")</f>
        <v>#VALUE!</v>
      </c>
      <c r="AH157" t="e">
        <f>AND('SPR BARRANQUILLA'!BX188,"AAAAAH7/ZyE=")</f>
        <v>#VALUE!</v>
      </c>
      <c r="AI157" t="e">
        <f>AND('SPR BARRANQUILLA'!BY188,"AAAAAH7/ZyI=")</f>
        <v>#VALUE!</v>
      </c>
      <c r="AJ157" t="e">
        <f>AND('SPR BARRANQUILLA'!BZ188,"AAAAAH7/ZyM=")</f>
        <v>#VALUE!</v>
      </c>
      <c r="AK157" t="e">
        <f>AND('SPR BARRANQUILLA'!CA188,"AAAAAH7/ZyQ=")</f>
        <v>#VALUE!</v>
      </c>
      <c r="AL157" t="e">
        <f>AND('SPR BARRANQUILLA'!CB188,"AAAAAH7/ZyU=")</f>
        <v>#VALUE!</v>
      </c>
      <c r="AM157" t="e">
        <f>AND('SPR BARRANQUILLA'!CC188,"AAAAAH7/ZyY=")</f>
        <v>#VALUE!</v>
      </c>
      <c r="AN157" t="e">
        <f>AND('SPR BARRANQUILLA'!CD188,"AAAAAH7/Zyc=")</f>
        <v>#VALUE!</v>
      </c>
      <c r="AO157" t="e">
        <f>AND('SPR BARRANQUILLA'!CE188,"AAAAAH7/Zyg=")</f>
        <v>#VALUE!</v>
      </c>
      <c r="AP157" t="e">
        <f>AND('SPR BARRANQUILLA'!CF188,"AAAAAH7/Zyk=")</f>
        <v>#VALUE!</v>
      </c>
      <c r="AQ157" t="e">
        <f>AND('SPR BARRANQUILLA'!CG188,"AAAAAH7/Zyo=")</f>
        <v>#VALUE!</v>
      </c>
      <c r="AR157" t="e">
        <f>AND('SPR BARRANQUILLA'!CH188,"AAAAAH7/Zys=")</f>
        <v>#VALUE!</v>
      </c>
      <c r="AS157" t="e">
        <f>AND('SPR BARRANQUILLA'!CI188,"AAAAAH7/Zyw=")</f>
        <v>#VALUE!</v>
      </c>
      <c r="AT157" t="e">
        <f>AND('SPR BARRANQUILLA'!CJ188,"AAAAAH7/Zy0=")</f>
        <v>#VALUE!</v>
      </c>
      <c r="AU157" t="e">
        <f>AND('SPR BARRANQUILLA'!CK188,"AAAAAH7/Zy4=")</f>
        <v>#VALUE!</v>
      </c>
      <c r="AV157" t="e">
        <f>AND('SPR BARRANQUILLA'!CL188,"AAAAAH7/Zy8=")</f>
        <v>#VALUE!</v>
      </c>
      <c r="AW157" t="e">
        <f>AND('SPR BARRANQUILLA'!CM188,"AAAAAH7/ZzA=")</f>
        <v>#VALUE!</v>
      </c>
      <c r="AX157" t="e">
        <f>AND('SPR BARRANQUILLA'!CN188,"AAAAAH7/ZzE=")</f>
        <v>#VALUE!</v>
      </c>
      <c r="AY157" t="e">
        <f>AND('SPR BARRANQUILLA'!CO188,"AAAAAH7/ZzI=")</f>
        <v>#VALUE!</v>
      </c>
      <c r="AZ157" t="e">
        <f>AND('SPR BARRANQUILLA'!CP188,"AAAAAH7/ZzM=")</f>
        <v>#VALUE!</v>
      </c>
      <c r="BA157" t="e">
        <f>AND('SPR BARRANQUILLA'!CQ188,"AAAAAH7/ZzQ=")</f>
        <v>#VALUE!</v>
      </c>
      <c r="BB157" t="e">
        <f>AND('SPR BARRANQUILLA'!CR188,"AAAAAH7/ZzU=")</f>
        <v>#VALUE!</v>
      </c>
      <c r="BC157" t="e">
        <f>AND('SPR BARRANQUILLA'!CS188,"AAAAAH7/ZzY=")</f>
        <v>#VALUE!</v>
      </c>
      <c r="BD157" t="e">
        <f>AND('SPR BARRANQUILLA'!CT188,"AAAAAH7/Zzc=")</f>
        <v>#VALUE!</v>
      </c>
      <c r="BE157" t="e">
        <f>AND('SPR BARRANQUILLA'!CU188,"AAAAAH7/Zzg=")</f>
        <v>#VALUE!</v>
      </c>
      <c r="BF157" t="e">
        <f>AND('SPR BARRANQUILLA'!CV188,"AAAAAH7/Zzk=")</f>
        <v>#VALUE!</v>
      </c>
      <c r="BG157" t="e">
        <f>AND('SPR BARRANQUILLA'!CW188,"AAAAAH7/Zzo=")</f>
        <v>#VALUE!</v>
      </c>
      <c r="BH157" t="e">
        <f>AND('SPR BARRANQUILLA'!CX188,"AAAAAH7/Zzs=")</f>
        <v>#VALUE!</v>
      </c>
      <c r="BI157" t="e">
        <f>AND('SPR BARRANQUILLA'!CY188,"AAAAAH7/Zzw=")</f>
        <v>#VALUE!</v>
      </c>
      <c r="BJ157" t="e">
        <f>AND('SPR BARRANQUILLA'!CZ188,"AAAAAH7/Zz0=")</f>
        <v>#VALUE!</v>
      </c>
      <c r="BK157" t="e">
        <f>AND('SPR BARRANQUILLA'!DA188,"AAAAAH7/Zz4=")</f>
        <v>#VALUE!</v>
      </c>
      <c r="BL157" t="e">
        <f>AND('SPR BARRANQUILLA'!DB188,"AAAAAH7/Zz8=")</f>
        <v>#VALUE!</v>
      </c>
      <c r="BM157" t="e">
        <f>AND('SPR BARRANQUILLA'!DC188,"AAAAAH7/Z0A=")</f>
        <v>#VALUE!</v>
      </c>
      <c r="BN157" t="e">
        <f>AND('SPR BARRANQUILLA'!DD188,"AAAAAH7/Z0E=")</f>
        <v>#VALUE!</v>
      </c>
      <c r="BO157" t="e">
        <f>AND('SPR BARRANQUILLA'!DE188,"AAAAAH7/Z0I=")</f>
        <v>#VALUE!</v>
      </c>
      <c r="BP157" t="e">
        <f>AND('SPR BARRANQUILLA'!DF188,"AAAAAH7/Z0M=")</f>
        <v>#VALUE!</v>
      </c>
      <c r="BQ157" t="e">
        <f>AND('SPR BARRANQUILLA'!DG188,"AAAAAH7/Z0Q=")</f>
        <v>#VALUE!</v>
      </c>
      <c r="BR157" t="e">
        <f>AND('SPR BARRANQUILLA'!DH188,"AAAAAH7/Z0U=")</f>
        <v>#VALUE!</v>
      </c>
      <c r="BS157" t="e">
        <f>AND('SPR BARRANQUILLA'!DI188,"AAAAAH7/Z0Y=")</f>
        <v>#VALUE!</v>
      </c>
      <c r="BT157" t="e">
        <f>AND('SPR BARRANQUILLA'!DJ188,"AAAAAH7/Z0c=")</f>
        <v>#VALUE!</v>
      </c>
      <c r="BU157" t="e">
        <f>AND('SPR BARRANQUILLA'!DK188,"AAAAAH7/Z0g=")</f>
        <v>#VALUE!</v>
      </c>
      <c r="BV157" t="e">
        <f>AND('SPR BARRANQUILLA'!DL188,"AAAAAH7/Z0k=")</f>
        <v>#VALUE!</v>
      </c>
      <c r="BW157" t="e">
        <f>AND('SPR BARRANQUILLA'!DM188,"AAAAAH7/Z0o=")</f>
        <v>#VALUE!</v>
      </c>
      <c r="BX157" t="e">
        <f>AND('SPR BARRANQUILLA'!DN188,"AAAAAH7/Z0s=")</f>
        <v>#VALUE!</v>
      </c>
      <c r="BY157" t="e">
        <f>AND('SPR BARRANQUILLA'!DO188,"AAAAAH7/Z0w=")</f>
        <v>#VALUE!</v>
      </c>
      <c r="BZ157" t="e">
        <f>AND('SPR BARRANQUILLA'!DP188,"AAAAAH7/Z00=")</f>
        <v>#VALUE!</v>
      </c>
      <c r="CA157" t="e">
        <f>AND('SPR BARRANQUILLA'!DQ188,"AAAAAH7/Z04=")</f>
        <v>#VALUE!</v>
      </c>
      <c r="CB157" t="e">
        <f>AND('SPR BARRANQUILLA'!DR188,"AAAAAH7/Z08=")</f>
        <v>#VALUE!</v>
      </c>
      <c r="CC157" t="e">
        <f>AND('SPR BARRANQUILLA'!DS188,"AAAAAH7/Z1A=")</f>
        <v>#VALUE!</v>
      </c>
      <c r="CD157" t="e">
        <f>AND('SPR BARRANQUILLA'!DT188,"AAAAAH7/Z1E=")</f>
        <v>#VALUE!</v>
      </c>
      <c r="CE157" t="e">
        <f>AND('SPR BARRANQUILLA'!DU188,"AAAAAH7/Z1I=")</f>
        <v>#VALUE!</v>
      </c>
      <c r="CF157" t="e">
        <f>AND('SPR BARRANQUILLA'!DV188,"AAAAAH7/Z1M=")</f>
        <v>#VALUE!</v>
      </c>
      <c r="CG157" t="e">
        <f>AND('SPR BARRANQUILLA'!DW188,"AAAAAH7/Z1Q=")</f>
        <v>#VALUE!</v>
      </c>
      <c r="CH157" t="e">
        <f>AND('SPR BARRANQUILLA'!DX188,"AAAAAH7/Z1U=")</f>
        <v>#VALUE!</v>
      </c>
      <c r="CI157" t="e">
        <f>AND('SPR BARRANQUILLA'!DY188,"AAAAAH7/Z1Y=")</f>
        <v>#VALUE!</v>
      </c>
      <c r="CJ157" t="e">
        <f>AND('SPR BARRANQUILLA'!DZ188,"AAAAAH7/Z1c=")</f>
        <v>#VALUE!</v>
      </c>
      <c r="CK157" t="e">
        <f>AND('SPR BARRANQUILLA'!EA188,"AAAAAH7/Z1g=")</f>
        <v>#VALUE!</v>
      </c>
      <c r="CL157" t="e">
        <f>AND('SPR BARRANQUILLA'!EB188,"AAAAAH7/Z1k=")</f>
        <v>#VALUE!</v>
      </c>
      <c r="CM157" t="e">
        <f>AND('SPR BARRANQUILLA'!EC188,"AAAAAH7/Z1o=")</f>
        <v>#VALUE!</v>
      </c>
      <c r="CN157" t="e">
        <f>AND('SPR BARRANQUILLA'!ED188,"AAAAAH7/Z1s=")</f>
        <v>#VALUE!</v>
      </c>
      <c r="CO157" t="e">
        <f>AND('SPR BARRANQUILLA'!EE188,"AAAAAH7/Z1w=")</f>
        <v>#VALUE!</v>
      </c>
      <c r="CP157" t="e">
        <f>AND('SPR BARRANQUILLA'!EF188,"AAAAAH7/Z10=")</f>
        <v>#VALUE!</v>
      </c>
      <c r="CQ157" t="e">
        <f>AND('SPR BARRANQUILLA'!EG188,"AAAAAH7/Z14=")</f>
        <v>#VALUE!</v>
      </c>
      <c r="CR157" t="e">
        <f>AND('SPR BARRANQUILLA'!EH188,"AAAAAH7/Z18=")</f>
        <v>#VALUE!</v>
      </c>
      <c r="CS157" t="e">
        <f>AND('SPR BARRANQUILLA'!EI188,"AAAAAH7/Z2A=")</f>
        <v>#VALUE!</v>
      </c>
      <c r="CT157" t="e">
        <f>AND('SPR BARRANQUILLA'!EJ188,"AAAAAH7/Z2E=")</f>
        <v>#VALUE!</v>
      </c>
      <c r="CU157" t="e">
        <f>AND('SPR BARRANQUILLA'!EK188,"AAAAAH7/Z2I=")</f>
        <v>#VALUE!</v>
      </c>
      <c r="CV157" t="e">
        <f>AND('SPR BARRANQUILLA'!EL188,"AAAAAH7/Z2M=")</f>
        <v>#VALUE!</v>
      </c>
      <c r="CW157" t="e">
        <f>AND('SPR BARRANQUILLA'!EM188,"AAAAAH7/Z2Q=")</f>
        <v>#VALUE!</v>
      </c>
      <c r="CX157" t="e">
        <f>AND('SPR BARRANQUILLA'!EN188,"AAAAAH7/Z2U=")</f>
        <v>#VALUE!</v>
      </c>
      <c r="CY157" t="e">
        <f>AND('SPR BARRANQUILLA'!EO188,"AAAAAH7/Z2Y=")</f>
        <v>#VALUE!</v>
      </c>
      <c r="CZ157" t="e">
        <f>AND('SPR BARRANQUILLA'!EP188,"AAAAAH7/Z2c=")</f>
        <v>#VALUE!</v>
      </c>
      <c r="DA157" t="e">
        <f>AND('SPR BARRANQUILLA'!EQ188,"AAAAAH7/Z2g=")</f>
        <v>#VALUE!</v>
      </c>
      <c r="DB157" t="e">
        <f>AND('SPR BARRANQUILLA'!ER188,"AAAAAH7/Z2k=")</f>
        <v>#VALUE!</v>
      </c>
      <c r="DC157" t="e">
        <f>AND('SPR BARRANQUILLA'!ES188,"AAAAAH7/Z2o=")</f>
        <v>#VALUE!</v>
      </c>
      <c r="DD157" t="e">
        <f>AND('SPR BARRANQUILLA'!ET188,"AAAAAH7/Z2s=")</f>
        <v>#VALUE!</v>
      </c>
      <c r="DE157" t="e">
        <f>AND('SPR BARRANQUILLA'!EU188,"AAAAAH7/Z2w=")</f>
        <v>#VALUE!</v>
      </c>
      <c r="DF157" t="e">
        <f>AND('SPR BARRANQUILLA'!EV188,"AAAAAH7/Z20=")</f>
        <v>#VALUE!</v>
      </c>
      <c r="DG157" t="e">
        <f>AND('SPR BARRANQUILLA'!EW188,"AAAAAH7/Z24=")</f>
        <v>#VALUE!</v>
      </c>
      <c r="DH157" t="e">
        <f>AND('SPR BARRANQUILLA'!EX188,"AAAAAH7/Z28=")</f>
        <v>#VALUE!</v>
      </c>
      <c r="DI157" t="e">
        <f>AND('SPR BARRANQUILLA'!EY188,"AAAAAH7/Z3A=")</f>
        <v>#VALUE!</v>
      </c>
      <c r="DJ157" t="e">
        <f>AND('SPR BARRANQUILLA'!EZ188,"AAAAAH7/Z3E=")</f>
        <v>#VALUE!</v>
      </c>
      <c r="DK157" t="e">
        <f>AND('SPR BARRANQUILLA'!FA188,"AAAAAH7/Z3I=")</f>
        <v>#VALUE!</v>
      </c>
      <c r="DL157" t="e">
        <f>AND('SPR BARRANQUILLA'!FB188,"AAAAAH7/Z3M=")</f>
        <v>#VALUE!</v>
      </c>
      <c r="DM157" t="e">
        <f>AND('SPR BARRANQUILLA'!FC188,"AAAAAH7/Z3Q=")</f>
        <v>#VALUE!</v>
      </c>
      <c r="DN157" t="e">
        <f>AND('SPR BARRANQUILLA'!FD188,"AAAAAH7/Z3U=")</f>
        <v>#VALUE!</v>
      </c>
      <c r="DO157" t="e">
        <f>AND('SPR BARRANQUILLA'!FE188,"AAAAAH7/Z3Y=")</f>
        <v>#VALUE!</v>
      </c>
      <c r="DP157" t="e">
        <f>AND('SPR BARRANQUILLA'!FF188,"AAAAAH7/Z3c=")</f>
        <v>#VALUE!</v>
      </c>
      <c r="DQ157" t="e">
        <f>AND('SPR BARRANQUILLA'!FG188,"AAAAAH7/Z3g=")</f>
        <v>#VALUE!</v>
      </c>
      <c r="DR157" t="e">
        <f>AND('SPR BARRANQUILLA'!FH188,"AAAAAH7/Z3k=")</f>
        <v>#VALUE!</v>
      </c>
      <c r="DS157" t="e">
        <f>AND('SPR BARRANQUILLA'!FI188,"AAAAAH7/Z3o=")</f>
        <v>#VALUE!</v>
      </c>
      <c r="DT157" t="e">
        <f>AND('SPR BARRANQUILLA'!FJ188,"AAAAAH7/Z3s=")</f>
        <v>#VALUE!</v>
      </c>
      <c r="DU157" t="e">
        <f>AND('SPR BARRANQUILLA'!FK188,"AAAAAH7/Z3w=")</f>
        <v>#VALUE!</v>
      </c>
      <c r="DV157" t="e">
        <f>AND('SPR BARRANQUILLA'!FL188,"AAAAAH7/Z30=")</f>
        <v>#VALUE!</v>
      </c>
      <c r="DW157" t="e">
        <f>AND('SPR BARRANQUILLA'!FM188,"AAAAAH7/Z34=")</f>
        <v>#VALUE!</v>
      </c>
      <c r="DX157" t="e">
        <f>AND('SPR BARRANQUILLA'!FN188,"AAAAAH7/Z38=")</f>
        <v>#VALUE!</v>
      </c>
      <c r="DY157" t="e">
        <f>AND('SPR BARRANQUILLA'!FO188,"AAAAAH7/Z4A=")</f>
        <v>#VALUE!</v>
      </c>
      <c r="DZ157" t="e">
        <f>AND('SPR BARRANQUILLA'!FP188,"AAAAAH7/Z4E=")</f>
        <v>#VALUE!</v>
      </c>
      <c r="EA157" t="e">
        <f>AND('SPR BARRANQUILLA'!FQ188,"AAAAAH7/Z4I=")</f>
        <v>#VALUE!</v>
      </c>
      <c r="EB157" t="e">
        <f>AND('SPR BARRANQUILLA'!FR188,"AAAAAH7/Z4M=")</f>
        <v>#VALUE!</v>
      </c>
      <c r="EC157" t="e">
        <f>AND('SPR BARRANQUILLA'!FS188,"AAAAAH7/Z4Q=")</f>
        <v>#VALUE!</v>
      </c>
      <c r="ED157" t="e">
        <f>AND('SPR BARRANQUILLA'!FT188,"AAAAAH7/Z4U=")</f>
        <v>#VALUE!</v>
      </c>
      <c r="EE157" t="e">
        <f>AND('SPR BARRANQUILLA'!FU188,"AAAAAH7/Z4Y=")</f>
        <v>#VALUE!</v>
      </c>
      <c r="EF157" t="e">
        <f>AND('SPR BARRANQUILLA'!FV188,"AAAAAH7/Z4c=")</f>
        <v>#VALUE!</v>
      </c>
      <c r="EG157" t="e">
        <f>AND('SPR BARRANQUILLA'!FW188,"AAAAAH7/Z4g=")</f>
        <v>#VALUE!</v>
      </c>
      <c r="EH157" t="e">
        <f>AND('SPR BARRANQUILLA'!FX188,"AAAAAH7/Z4k=")</f>
        <v>#VALUE!</v>
      </c>
      <c r="EI157" t="e">
        <f>AND('SPR BARRANQUILLA'!FY188,"AAAAAH7/Z4o=")</f>
        <v>#VALUE!</v>
      </c>
      <c r="EJ157" t="e">
        <f>AND('SPR BARRANQUILLA'!FZ188,"AAAAAH7/Z4s=")</f>
        <v>#VALUE!</v>
      </c>
      <c r="EK157" t="e">
        <f>AND('SPR BARRANQUILLA'!GA188,"AAAAAH7/Z4w=")</f>
        <v>#VALUE!</v>
      </c>
      <c r="EL157" t="e">
        <f>AND('SPR BARRANQUILLA'!GB188,"AAAAAH7/Z40=")</f>
        <v>#VALUE!</v>
      </c>
      <c r="EM157" t="e">
        <f>AND('SPR BARRANQUILLA'!GC188,"AAAAAH7/Z44=")</f>
        <v>#VALUE!</v>
      </c>
      <c r="EN157" t="e">
        <f>AND('SPR BARRANQUILLA'!GD188,"AAAAAH7/Z48=")</f>
        <v>#VALUE!</v>
      </c>
      <c r="EO157" t="e">
        <f>AND('SPR BARRANQUILLA'!GE188,"AAAAAH7/Z5A=")</f>
        <v>#VALUE!</v>
      </c>
      <c r="EP157" t="e">
        <f>AND('SPR BARRANQUILLA'!GF188,"AAAAAH7/Z5E=")</f>
        <v>#VALUE!</v>
      </c>
      <c r="EQ157" t="e">
        <f>AND('SPR BARRANQUILLA'!GG188,"AAAAAH7/Z5I=")</f>
        <v>#VALUE!</v>
      </c>
      <c r="ER157" t="e">
        <f>AND('SPR BARRANQUILLA'!GH188,"AAAAAH7/Z5M=")</f>
        <v>#VALUE!</v>
      </c>
      <c r="ES157" t="e">
        <f>AND('SPR BARRANQUILLA'!GI188,"AAAAAH7/Z5Q=")</f>
        <v>#VALUE!</v>
      </c>
      <c r="ET157" t="e">
        <f>AND('SPR BARRANQUILLA'!GJ188,"AAAAAH7/Z5U=")</f>
        <v>#VALUE!</v>
      </c>
      <c r="EU157" t="e">
        <f>AND('SPR BARRANQUILLA'!GK188,"AAAAAH7/Z5Y=")</f>
        <v>#VALUE!</v>
      </c>
      <c r="EV157" t="e">
        <f>AND('SPR BARRANQUILLA'!GL188,"AAAAAH7/Z5c=")</f>
        <v>#VALUE!</v>
      </c>
      <c r="EW157" t="e">
        <f>AND('SPR BARRANQUILLA'!GM188,"AAAAAH7/Z5g=")</f>
        <v>#VALUE!</v>
      </c>
      <c r="EX157" t="e">
        <f>AND('SPR BARRANQUILLA'!GN188,"AAAAAH7/Z5k=")</f>
        <v>#VALUE!</v>
      </c>
      <c r="EY157" t="e">
        <f>AND('SPR BARRANQUILLA'!GO188,"AAAAAH7/Z5o=")</f>
        <v>#VALUE!</v>
      </c>
      <c r="EZ157" t="e">
        <f>AND('SPR BARRANQUILLA'!GP188,"AAAAAH7/Z5s=")</f>
        <v>#VALUE!</v>
      </c>
      <c r="FA157" t="e">
        <f>AND('SPR BARRANQUILLA'!GQ188,"AAAAAH7/Z5w=")</f>
        <v>#VALUE!</v>
      </c>
      <c r="FB157" t="e">
        <f>AND('SPR BARRANQUILLA'!GR188,"AAAAAH7/Z50=")</f>
        <v>#VALUE!</v>
      </c>
      <c r="FC157" t="e">
        <f>AND('SPR BARRANQUILLA'!GS188,"AAAAAH7/Z54=")</f>
        <v>#VALUE!</v>
      </c>
      <c r="FD157" t="e">
        <f>AND('SPR BARRANQUILLA'!GT188,"AAAAAH7/Z58=")</f>
        <v>#VALUE!</v>
      </c>
      <c r="FE157" t="e">
        <f>AND('SPR BARRANQUILLA'!GU188,"AAAAAH7/Z6A=")</f>
        <v>#VALUE!</v>
      </c>
      <c r="FF157" t="e">
        <f>AND('SPR BARRANQUILLA'!GV188,"AAAAAH7/Z6E=")</f>
        <v>#VALUE!</v>
      </c>
      <c r="FG157" t="e">
        <f>AND('SPR BARRANQUILLA'!GW188,"AAAAAH7/Z6I=")</f>
        <v>#VALUE!</v>
      </c>
      <c r="FH157" t="e">
        <f>AND('SPR BARRANQUILLA'!GX188,"AAAAAH7/Z6M=")</f>
        <v>#VALUE!</v>
      </c>
      <c r="FI157" t="e">
        <f>AND('SPR BARRANQUILLA'!GY188,"AAAAAH7/Z6Q=")</f>
        <v>#VALUE!</v>
      </c>
      <c r="FJ157">
        <f>IF('SPR BARRANQUILLA'!189:189,"AAAAAH7/Z6U=",0)</f>
        <v>0</v>
      </c>
      <c r="FK157" t="e">
        <f>AND('SPR BARRANQUILLA'!A189,"AAAAAH7/Z6Y=")</f>
        <v>#VALUE!</v>
      </c>
      <c r="FL157" t="e">
        <f>AND('SPR BARRANQUILLA'!B189,"AAAAAH7/Z6c=")</f>
        <v>#VALUE!</v>
      </c>
      <c r="FM157" t="e">
        <f>AND('SPR BARRANQUILLA'!C189,"AAAAAH7/Z6g=")</f>
        <v>#VALUE!</v>
      </c>
      <c r="FN157" t="e">
        <f>AND('SPR BARRANQUILLA'!D189,"AAAAAH7/Z6k=")</f>
        <v>#VALUE!</v>
      </c>
      <c r="FO157" t="e">
        <f>AND('SPR BARRANQUILLA'!E189,"AAAAAH7/Z6o=")</f>
        <v>#VALUE!</v>
      </c>
      <c r="FP157" t="e">
        <f>AND('SPR BARRANQUILLA'!F189,"AAAAAH7/Z6s=")</f>
        <v>#VALUE!</v>
      </c>
      <c r="FQ157" t="e">
        <f>AND('SPR BARRANQUILLA'!G189,"AAAAAH7/Z6w=")</f>
        <v>#VALUE!</v>
      </c>
      <c r="FR157" t="e">
        <f>AND('SPR BARRANQUILLA'!H189,"AAAAAH7/Z60=")</f>
        <v>#VALUE!</v>
      </c>
      <c r="FS157" t="e">
        <f>AND('SPR BARRANQUILLA'!I189,"AAAAAH7/Z64=")</f>
        <v>#VALUE!</v>
      </c>
      <c r="FT157" t="e">
        <f>AND('SPR BARRANQUILLA'!J189,"AAAAAH7/Z68=")</f>
        <v>#VALUE!</v>
      </c>
      <c r="FU157" t="e">
        <f>AND('SPR BARRANQUILLA'!K189,"AAAAAH7/Z7A=")</f>
        <v>#VALUE!</v>
      </c>
      <c r="FV157" t="e">
        <f>AND('SPR BARRANQUILLA'!L189,"AAAAAH7/Z7E=")</f>
        <v>#VALUE!</v>
      </c>
      <c r="FW157" t="e">
        <f>AND('SPR BARRANQUILLA'!M189,"AAAAAH7/Z7I=")</f>
        <v>#VALUE!</v>
      </c>
      <c r="FX157" t="e">
        <f>AND('SPR BARRANQUILLA'!N189,"AAAAAH7/Z7M=")</f>
        <v>#VALUE!</v>
      </c>
      <c r="FY157" t="e">
        <f>AND('SPR BARRANQUILLA'!O189,"AAAAAH7/Z7Q=")</f>
        <v>#VALUE!</v>
      </c>
      <c r="FZ157" t="e">
        <f>AND('SPR BARRANQUILLA'!P189,"AAAAAH7/Z7U=")</f>
        <v>#VALUE!</v>
      </c>
      <c r="GA157" t="e">
        <f>AND('SPR BARRANQUILLA'!Q189,"AAAAAH7/Z7Y=")</f>
        <v>#VALUE!</v>
      </c>
      <c r="GB157" t="e">
        <f>AND('SPR BARRANQUILLA'!R189,"AAAAAH7/Z7c=")</f>
        <v>#VALUE!</v>
      </c>
      <c r="GC157" t="e">
        <f>AND('SPR BARRANQUILLA'!S189,"AAAAAH7/Z7g=")</f>
        <v>#VALUE!</v>
      </c>
      <c r="GD157" t="e">
        <f>AND('SPR BARRANQUILLA'!T189,"AAAAAH7/Z7k=")</f>
        <v>#VALUE!</v>
      </c>
      <c r="GE157" t="e">
        <f>AND('SPR BARRANQUILLA'!U189,"AAAAAH7/Z7o=")</f>
        <v>#VALUE!</v>
      </c>
      <c r="GF157" t="e">
        <f>AND('SPR BARRANQUILLA'!V189,"AAAAAH7/Z7s=")</f>
        <v>#VALUE!</v>
      </c>
      <c r="GG157" t="e">
        <f>AND('SPR BARRANQUILLA'!W189,"AAAAAH7/Z7w=")</f>
        <v>#VALUE!</v>
      </c>
      <c r="GH157" t="e">
        <f>AND('SPR BARRANQUILLA'!X189,"AAAAAH7/Z70=")</f>
        <v>#VALUE!</v>
      </c>
      <c r="GI157" t="e">
        <f>AND('SPR BARRANQUILLA'!Y189,"AAAAAH7/Z74=")</f>
        <v>#VALUE!</v>
      </c>
      <c r="GJ157" t="e">
        <f>AND('SPR BARRANQUILLA'!Z189,"AAAAAH7/Z78=")</f>
        <v>#VALUE!</v>
      </c>
      <c r="GK157" t="e">
        <f>AND('SPR BARRANQUILLA'!AA189,"AAAAAH7/Z8A=")</f>
        <v>#VALUE!</v>
      </c>
      <c r="GL157" t="e">
        <f>AND('SPR BARRANQUILLA'!AB189,"AAAAAH7/Z8E=")</f>
        <v>#VALUE!</v>
      </c>
      <c r="GM157" t="e">
        <f>AND('SPR BARRANQUILLA'!AC189,"AAAAAH7/Z8I=")</f>
        <v>#VALUE!</v>
      </c>
      <c r="GN157" t="e">
        <f>AND('SPR BARRANQUILLA'!AD189,"AAAAAH7/Z8M=")</f>
        <v>#VALUE!</v>
      </c>
      <c r="GO157" t="e">
        <f>AND('SPR BARRANQUILLA'!AE189,"AAAAAH7/Z8Q=")</f>
        <v>#VALUE!</v>
      </c>
      <c r="GP157" t="e">
        <f>AND('SPR BARRANQUILLA'!AF189,"AAAAAH7/Z8U=")</f>
        <v>#VALUE!</v>
      </c>
      <c r="GQ157" t="e">
        <f>AND('SPR BARRANQUILLA'!AG189,"AAAAAH7/Z8Y=")</f>
        <v>#VALUE!</v>
      </c>
      <c r="GR157" t="e">
        <f>AND('SPR BARRANQUILLA'!AH189,"AAAAAH7/Z8c=")</f>
        <v>#VALUE!</v>
      </c>
      <c r="GS157" t="e">
        <f>AND('SPR BARRANQUILLA'!AI189,"AAAAAH7/Z8g=")</f>
        <v>#VALUE!</v>
      </c>
      <c r="GT157" t="e">
        <f>AND('SPR BARRANQUILLA'!AJ189,"AAAAAH7/Z8k=")</f>
        <v>#VALUE!</v>
      </c>
      <c r="GU157" t="e">
        <f>AND('SPR BARRANQUILLA'!AK189,"AAAAAH7/Z8o=")</f>
        <v>#VALUE!</v>
      </c>
      <c r="GV157" t="e">
        <f>AND('SPR BARRANQUILLA'!AL189,"AAAAAH7/Z8s=")</f>
        <v>#VALUE!</v>
      </c>
      <c r="GW157" t="e">
        <f>AND('SPR BARRANQUILLA'!AM189,"AAAAAH7/Z8w=")</f>
        <v>#VALUE!</v>
      </c>
      <c r="GX157" t="e">
        <f>AND('SPR BARRANQUILLA'!AN189,"AAAAAH7/Z80=")</f>
        <v>#VALUE!</v>
      </c>
      <c r="GY157" t="e">
        <f>AND('SPR BARRANQUILLA'!AO189,"AAAAAH7/Z84=")</f>
        <v>#VALUE!</v>
      </c>
      <c r="GZ157" t="e">
        <f>AND('SPR BARRANQUILLA'!AP189,"AAAAAH7/Z88=")</f>
        <v>#VALUE!</v>
      </c>
      <c r="HA157" t="e">
        <f>AND('SPR BARRANQUILLA'!AQ189,"AAAAAH7/Z9A=")</f>
        <v>#VALUE!</v>
      </c>
      <c r="HB157" t="e">
        <f>AND('SPR BARRANQUILLA'!AR189,"AAAAAH7/Z9E=")</f>
        <v>#VALUE!</v>
      </c>
      <c r="HC157" t="e">
        <f>AND('SPR BARRANQUILLA'!AS189,"AAAAAH7/Z9I=")</f>
        <v>#VALUE!</v>
      </c>
      <c r="HD157" t="e">
        <f>AND('SPR BARRANQUILLA'!AT189,"AAAAAH7/Z9M=")</f>
        <v>#VALUE!</v>
      </c>
      <c r="HE157" t="e">
        <f>AND('SPR BARRANQUILLA'!AU189,"AAAAAH7/Z9Q=")</f>
        <v>#VALUE!</v>
      </c>
      <c r="HF157" t="e">
        <f>AND('SPR BARRANQUILLA'!AV189,"AAAAAH7/Z9U=")</f>
        <v>#VALUE!</v>
      </c>
      <c r="HG157" t="e">
        <f>AND('SPR BARRANQUILLA'!AW189,"AAAAAH7/Z9Y=")</f>
        <v>#VALUE!</v>
      </c>
      <c r="HH157" t="e">
        <f>AND('SPR BARRANQUILLA'!AX189,"AAAAAH7/Z9c=")</f>
        <v>#VALUE!</v>
      </c>
      <c r="HI157" t="e">
        <f>AND('SPR BARRANQUILLA'!AY189,"AAAAAH7/Z9g=")</f>
        <v>#VALUE!</v>
      </c>
      <c r="HJ157" t="e">
        <f>AND('SPR BARRANQUILLA'!AZ189,"AAAAAH7/Z9k=")</f>
        <v>#VALUE!</v>
      </c>
      <c r="HK157" t="e">
        <f>AND('SPR BARRANQUILLA'!BA189,"AAAAAH7/Z9o=")</f>
        <v>#VALUE!</v>
      </c>
      <c r="HL157" t="e">
        <f>AND('SPR BARRANQUILLA'!BB189,"AAAAAH7/Z9s=")</f>
        <v>#VALUE!</v>
      </c>
      <c r="HM157" t="e">
        <f>AND('SPR BARRANQUILLA'!BC189,"AAAAAH7/Z9w=")</f>
        <v>#VALUE!</v>
      </c>
      <c r="HN157" t="e">
        <f>AND('SPR BARRANQUILLA'!BD189,"AAAAAH7/Z90=")</f>
        <v>#VALUE!</v>
      </c>
      <c r="HO157" t="e">
        <f>AND('SPR BARRANQUILLA'!BE189,"AAAAAH7/Z94=")</f>
        <v>#VALUE!</v>
      </c>
      <c r="HP157" t="e">
        <f>AND('SPR BARRANQUILLA'!BF189,"AAAAAH7/Z98=")</f>
        <v>#VALUE!</v>
      </c>
      <c r="HQ157" t="e">
        <f>AND('SPR BARRANQUILLA'!BG189,"AAAAAH7/Z+A=")</f>
        <v>#VALUE!</v>
      </c>
      <c r="HR157" t="e">
        <f>AND('SPR BARRANQUILLA'!BH189,"AAAAAH7/Z+E=")</f>
        <v>#VALUE!</v>
      </c>
      <c r="HS157" t="e">
        <f>AND('SPR BARRANQUILLA'!BI189,"AAAAAH7/Z+I=")</f>
        <v>#VALUE!</v>
      </c>
      <c r="HT157" t="e">
        <f>AND('SPR BARRANQUILLA'!BJ189,"AAAAAH7/Z+M=")</f>
        <v>#VALUE!</v>
      </c>
      <c r="HU157" t="e">
        <f>AND('SPR BARRANQUILLA'!BK189,"AAAAAH7/Z+Q=")</f>
        <v>#VALUE!</v>
      </c>
      <c r="HV157" t="e">
        <f>AND('SPR BARRANQUILLA'!BL189,"AAAAAH7/Z+U=")</f>
        <v>#VALUE!</v>
      </c>
      <c r="HW157" t="e">
        <f>AND('SPR BARRANQUILLA'!BM189,"AAAAAH7/Z+Y=")</f>
        <v>#VALUE!</v>
      </c>
      <c r="HX157" t="e">
        <f>AND('SPR BARRANQUILLA'!BN189,"AAAAAH7/Z+c=")</f>
        <v>#VALUE!</v>
      </c>
      <c r="HY157" t="e">
        <f>AND('SPR BARRANQUILLA'!BO189,"AAAAAH7/Z+g=")</f>
        <v>#VALUE!</v>
      </c>
      <c r="HZ157" t="e">
        <f>AND('SPR BARRANQUILLA'!BP189,"AAAAAH7/Z+k=")</f>
        <v>#VALUE!</v>
      </c>
      <c r="IA157" t="e">
        <f>AND('SPR BARRANQUILLA'!BQ189,"AAAAAH7/Z+o=")</f>
        <v>#VALUE!</v>
      </c>
      <c r="IB157" t="e">
        <f>AND('SPR BARRANQUILLA'!BR189,"AAAAAH7/Z+s=")</f>
        <v>#VALUE!</v>
      </c>
      <c r="IC157" t="e">
        <f>AND('SPR BARRANQUILLA'!BS189,"AAAAAH7/Z+w=")</f>
        <v>#VALUE!</v>
      </c>
      <c r="ID157" t="e">
        <f>AND('SPR BARRANQUILLA'!BT189,"AAAAAH7/Z+0=")</f>
        <v>#VALUE!</v>
      </c>
      <c r="IE157" t="e">
        <f>AND('SPR BARRANQUILLA'!BU189,"AAAAAH7/Z+4=")</f>
        <v>#VALUE!</v>
      </c>
      <c r="IF157" t="e">
        <f>AND('SPR BARRANQUILLA'!BV189,"AAAAAH7/Z+8=")</f>
        <v>#VALUE!</v>
      </c>
      <c r="IG157" t="e">
        <f>AND('SPR BARRANQUILLA'!BW189,"AAAAAH7/Z/A=")</f>
        <v>#VALUE!</v>
      </c>
      <c r="IH157" t="e">
        <f>AND('SPR BARRANQUILLA'!BX189,"AAAAAH7/Z/E=")</f>
        <v>#VALUE!</v>
      </c>
      <c r="II157" t="e">
        <f>AND('SPR BARRANQUILLA'!BY189,"AAAAAH7/Z/I=")</f>
        <v>#VALUE!</v>
      </c>
      <c r="IJ157" t="e">
        <f>AND('SPR BARRANQUILLA'!BZ189,"AAAAAH7/Z/M=")</f>
        <v>#VALUE!</v>
      </c>
      <c r="IK157" t="e">
        <f>AND('SPR BARRANQUILLA'!CA189,"AAAAAH7/Z/Q=")</f>
        <v>#VALUE!</v>
      </c>
      <c r="IL157" t="e">
        <f>AND('SPR BARRANQUILLA'!CB189,"AAAAAH7/Z/U=")</f>
        <v>#VALUE!</v>
      </c>
      <c r="IM157" t="e">
        <f>AND('SPR BARRANQUILLA'!CC189,"AAAAAH7/Z/Y=")</f>
        <v>#VALUE!</v>
      </c>
      <c r="IN157" t="e">
        <f>AND('SPR BARRANQUILLA'!CD189,"AAAAAH7/Z/c=")</f>
        <v>#VALUE!</v>
      </c>
      <c r="IO157" t="e">
        <f>AND('SPR BARRANQUILLA'!CE189,"AAAAAH7/Z/g=")</f>
        <v>#VALUE!</v>
      </c>
      <c r="IP157" t="e">
        <f>AND('SPR BARRANQUILLA'!CF189,"AAAAAH7/Z/k=")</f>
        <v>#VALUE!</v>
      </c>
      <c r="IQ157" t="e">
        <f>AND('SPR BARRANQUILLA'!CG189,"AAAAAH7/Z/o=")</f>
        <v>#VALUE!</v>
      </c>
      <c r="IR157" t="e">
        <f>AND('SPR BARRANQUILLA'!CH189,"AAAAAH7/Z/s=")</f>
        <v>#VALUE!</v>
      </c>
      <c r="IS157" t="e">
        <f>AND('SPR BARRANQUILLA'!CI189,"AAAAAH7/Z/w=")</f>
        <v>#VALUE!</v>
      </c>
      <c r="IT157" t="e">
        <f>AND('SPR BARRANQUILLA'!CJ189,"AAAAAH7/Z/0=")</f>
        <v>#VALUE!</v>
      </c>
      <c r="IU157" t="e">
        <f>AND('SPR BARRANQUILLA'!CK189,"AAAAAH7/Z/4=")</f>
        <v>#VALUE!</v>
      </c>
      <c r="IV157" t="e">
        <f>AND('SPR BARRANQUILLA'!CL189,"AAAAAH7/Z/8=")</f>
        <v>#VALUE!</v>
      </c>
    </row>
    <row r="158" spans="1:256">
      <c r="A158" t="e">
        <f>AND('SPR BARRANQUILLA'!CM189,"AAAAAG9/7wA=")</f>
        <v>#VALUE!</v>
      </c>
      <c r="B158" t="e">
        <f>AND('SPR BARRANQUILLA'!CN189,"AAAAAG9/7wE=")</f>
        <v>#VALUE!</v>
      </c>
      <c r="C158" t="e">
        <f>AND('SPR BARRANQUILLA'!CO189,"AAAAAG9/7wI=")</f>
        <v>#VALUE!</v>
      </c>
      <c r="D158" t="e">
        <f>AND('SPR BARRANQUILLA'!CP189,"AAAAAG9/7wM=")</f>
        <v>#VALUE!</v>
      </c>
      <c r="E158" t="e">
        <f>AND('SPR BARRANQUILLA'!CQ189,"AAAAAG9/7wQ=")</f>
        <v>#VALUE!</v>
      </c>
      <c r="F158" t="e">
        <f>AND('SPR BARRANQUILLA'!CR189,"AAAAAG9/7wU=")</f>
        <v>#VALUE!</v>
      </c>
      <c r="G158" t="e">
        <f>AND('SPR BARRANQUILLA'!CS189,"AAAAAG9/7wY=")</f>
        <v>#VALUE!</v>
      </c>
      <c r="H158" t="e">
        <f>AND('SPR BARRANQUILLA'!CT189,"AAAAAG9/7wc=")</f>
        <v>#VALUE!</v>
      </c>
      <c r="I158" t="e">
        <f>AND('SPR BARRANQUILLA'!CU189,"AAAAAG9/7wg=")</f>
        <v>#VALUE!</v>
      </c>
      <c r="J158" t="e">
        <f>AND('SPR BARRANQUILLA'!CV189,"AAAAAG9/7wk=")</f>
        <v>#VALUE!</v>
      </c>
      <c r="K158" t="e">
        <f>AND('SPR BARRANQUILLA'!CW189,"AAAAAG9/7wo=")</f>
        <v>#VALUE!</v>
      </c>
      <c r="L158" t="e">
        <f>AND('SPR BARRANQUILLA'!CX189,"AAAAAG9/7ws=")</f>
        <v>#VALUE!</v>
      </c>
      <c r="M158" t="e">
        <f>AND('SPR BARRANQUILLA'!CY189,"AAAAAG9/7ww=")</f>
        <v>#VALUE!</v>
      </c>
      <c r="N158" t="e">
        <f>AND('SPR BARRANQUILLA'!CZ189,"AAAAAG9/7w0=")</f>
        <v>#VALUE!</v>
      </c>
      <c r="O158" t="e">
        <f>AND('SPR BARRANQUILLA'!DA189,"AAAAAG9/7w4=")</f>
        <v>#VALUE!</v>
      </c>
      <c r="P158" t="e">
        <f>AND('SPR BARRANQUILLA'!DB189,"AAAAAG9/7w8=")</f>
        <v>#VALUE!</v>
      </c>
      <c r="Q158" t="e">
        <f>AND('SPR BARRANQUILLA'!DC189,"AAAAAG9/7xA=")</f>
        <v>#VALUE!</v>
      </c>
      <c r="R158" t="e">
        <f>AND('SPR BARRANQUILLA'!DD189,"AAAAAG9/7xE=")</f>
        <v>#VALUE!</v>
      </c>
      <c r="S158" t="e">
        <f>AND('SPR BARRANQUILLA'!DE189,"AAAAAG9/7xI=")</f>
        <v>#VALUE!</v>
      </c>
      <c r="T158" t="e">
        <f>AND('SPR BARRANQUILLA'!DF189,"AAAAAG9/7xM=")</f>
        <v>#VALUE!</v>
      </c>
      <c r="U158" t="e">
        <f>AND('SPR BARRANQUILLA'!DG189,"AAAAAG9/7xQ=")</f>
        <v>#VALUE!</v>
      </c>
      <c r="V158" t="e">
        <f>AND('SPR BARRANQUILLA'!DH189,"AAAAAG9/7xU=")</f>
        <v>#VALUE!</v>
      </c>
      <c r="W158" t="e">
        <f>AND('SPR BARRANQUILLA'!DI189,"AAAAAG9/7xY=")</f>
        <v>#VALUE!</v>
      </c>
      <c r="X158" t="e">
        <f>AND('SPR BARRANQUILLA'!DJ189,"AAAAAG9/7xc=")</f>
        <v>#VALUE!</v>
      </c>
      <c r="Y158" t="e">
        <f>AND('SPR BARRANQUILLA'!DK189,"AAAAAG9/7xg=")</f>
        <v>#VALUE!</v>
      </c>
      <c r="Z158" t="e">
        <f>AND('SPR BARRANQUILLA'!DL189,"AAAAAG9/7xk=")</f>
        <v>#VALUE!</v>
      </c>
      <c r="AA158" t="e">
        <f>AND('SPR BARRANQUILLA'!DM189,"AAAAAG9/7xo=")</f>
        <v>#VALUE!</v>
      </c>
      <c r="AB158" t="e">
        <f>AND('SPR BARRANQUILLA'!DN189,"AAAAAG9/7xs=")</f>
        <v>#VALUE!</v>
      </c>
      <c r="AC158" t="e">
        <f>AND('SPR BARRANQUILLA'!DO189,"AAAAAG9/7xw=")</f>
        <v>#VALUE!</v>
      </c>
      <c r="AD158" t="e">
        <f>AND('SPR BARRANQUILLA'!DP189,"AAAAAG9/7x0=")</f>
        <v>#VALUE!</v>
      </c>
      <c r="AE158" t="e">
        <f>AND('SPR BARRANQUILLA'!DQ189,"AAAAAG9/7x4=")</f>
        <v>#VALUE!</v>
      </c>
      <c r="AF158" t="e">
        <f>AND('SPR BARRANQUILLA'!DR189,"AAAAAG9/7x8=")</f>
        <v>#VALUE!</v>
      </c>
      <c r="AG158" t="e">
        <f>AND('SPR BARRANQUILLA'!DS189,"AAAAAG9/7yA=")</f>
        <v>#VALUE!</v>
      </c>
      <c r="AH158" t="e">
        <f>AND('SPR BARRANQUILLA'!DT189,"AAAAAG9/7yE=")</f>
        <v>#VALUE!</v>
      </c>
      <c r="AI158" t="e">
        <f>AND('SPR BARRANQUILLA'!DU189,"AAAAAG9/7yI=")</f>
        <v>#VALUE!</v>
      </c>
      <c r="AJ158" t="e">
        <f>AND('SPR BARRANQUILLA'!DV189,"AAAAAG9/7yM=")</f>
        <v>#VALUE!</v>
      </c>
      <c r="AK158" t="e">
        <f>AND('SPR BARRANQUILLA'!DW189,"AAAAAG9/7yQ=")</f>
        <v>#VALUE!</v>
      </c>
      <c r="AL158" t="e">
        <f>AND('SPR BARRANQUILLA'!DX189,"AAAAAG9/7yU=")</f>
        <v>#VALUE!</v>
      </c>
      <c r="AM158" t="e">
        <f>AND('SPR BARRANQUILLA'!DY189,"AAAAAG9/7yY=")</f>
        <v>#VALUE!</v>
      </c>
      <c r="AN158" t="e">
        <f>AND('SPR BARRANQUILLA'!DZ189,"AAAAAG9/7yc=")</f>
        <v>#VALUE!</v>
      </c>
      <c r="AO158" t="e">
        <f>AND('SPR BARRANQUILLA'!EA189,"AAAAAG9/7yg=")</f>
        <v>#VALUE!</v>
      </c>
      <c r="AP158" t="e">
        <f>AND('SPR BARRANQUILLA'!EB189,"AAAAAG9/7yk=")</f>
        <v>#VALUE!</v>
      </c>
      <c r="AQ158" t="e">
        <f>AND('SPR BARRANQUILLA'!EC189,"AAAAAG9/7yo=")</f>
        <v>#VALUE!</v>
      </c>
      <c r="AR158" t="e">
        <f>AND('SPR BARRANQUILLA'!ED189,"AAAAAG9/7ys=")</f>
        <v>#VALUE!</v>
      </c>
      <c r="AS158" t="e">
        <f>AND('SPR BARRANQUILLA'!EE189,"AAAAAG9/7yw=")</f>
        <v>#VALUE!</v>
      </c>
      <c r="AT158" t="e">
        <f>AND('SPR BARRANQUILLA'!EF189,"AAAAAG9/7y0=")</f>
        <v>#VALUE!</v>
      </c>
      <c r="AU158" t="e">
        <f>AND('SPR BARRANQUILLA'!EG189,"AAAAAG9/7y4=")</f>
        <v>#VALUE!</v>
      </c>
      <c r="AV158" t="e">
        <f>AND('SPR BARRANQUILLA'!EH189,"AAAAAG9/7y8=")</f>
        <v>#VALUE!</v>
      </c>
      <c r="AW158" t="e">
        <f>AND('SPR BARRANQUILLA'!EI189,"AAAAAG9/7zA=")</f>
        <v>#VALUE!</v>
      </c>
      <c r="AX158" t="e">
        <f>AND('SPR BARRANQUILLA'!EJ189,"AAAAAG9/7zE=")</f>
        <v>#VALUE!</v>
      </c>
      <c r="AY158" t="e">
        <f>AND('SPR BARRANQUILLA'!EK189,"AAAAAG9/7zI=")</f>
        <v>#VALUE!</v>
      </c>
      <c r="AZ158" t="e">
        <f>AND('SPR BARRANQUILLA'!EL189,"AAAAAG9/7zM=")</f>
        <v>#VALUE!</v>
      </c>
      <c r="BA158" t="e">
        <f>AND('SPR BARRANQUILLA'!EM189,"AAAAAG9/7zQ=")</f>
        <v>#VALUE!</v>
      </c>
      <c r="BB158" t="e">
        <f>AND('SPR BARRANQUILLA'!EN189,"AAAAAG9/7zU=")</f>
        <v>#VALUE!</v>
      </c>
      <c r="BC158" t="e">
        <f>AND('SPR BARRANQUILLA'!EO189,"AAAAAG9/7zY=")</f>
        <v>#VALUE!</v>
      </c>
      <c r="BD158" t="e">
        <f>AND('SPR BARRANQUILLA'!EP189,"AAAAAG9/7zc=")</f>
        <v>#VALUE!</v>
      </c>
      <c r="BE158" t="e">
        <f>AND('SPR BARRANQUILLA'!EQ189,"AAAAAG9/7zg=")</f>
        <v>#VALUE!</v>
      </c>
      <c r="BF158" t="e">
        <f>AND('SPR BARRANQUILLA'!ER189,"AAAAAG9/7zk=")</f>
        <v>#VALUE!</v>
      </c>
      <c r="BG158" t="e">
        <f>AND('SPR BARRANQUILLA'!ES189,"AAAAAG9/7zo=")</f>
        <v>#VALUE!</v>
      </c>
      <c r="BH158" t="e">
        <f>AND('SPR BARRANQUILLA'!ET189,"AAAAAG9/7zs=")</f>
        <v>#VALUE!</v>
      </c>
      <c r="BI158" t="e">
        <f>AND('SPR BARRANQUILLA'!EU189,"AAAAAG9/7zw=")</f>
        <v>#VALUE!</v>
      </c>
      <c r="BJ158" t="e">
        <f>AND('SPR BARRANQUILLA'!EV189,"AAAAAG9/7z0=")</f>
        <v>#VALUE!</v>
      </c>
      <c r="BK158" t="e">
        <f>AND('SPR BARRANQUILLA'!EW189,"AAAAAG9/7z4=")</f>
        <v>#VALUE!</v>
      </c>
      <c r="BL158" t="e">
        <f>AND('SPR BARRANQUILLA'!EX189,"AAAAAG9/7z8=")</f>
        <v>#VALUE!</v>
      </c>
      <c r="BM158" t="e">
        <f>AND('SPR BARRANQUILLA'!EY189,"AAAAAG9/70A=")</f>
        <v>#VALUE!</v>
      </c>
      <c r="BN158" t="e">
        <f>AND('SPR BARRANQUILLA'!EZ189,"AAAAAG9/70E=")</f>
        <v>#VALUE!</v>
      </c>
      <c r="BO158" t="e">
        <f>AND('SPR BARRANQUILLA'!FA189,"AAAAAG9/70I=")</f>
        <v>#VALUE!</v>
      </c>
      <c r="BP158" t="e">
        <f>AND('SPR BARRANQUILLA'!FB189,"AAAAAG9/70M=")</f>
        <v>#VALUE!</v>
      </c>
      <c r="BQ158" t="e">
        <f>AND('SPR BARRANQUILLA'!FC189,"AAAAAG9/70Q=")</f>
        <v>#VALUE!</v>
      </c>
      <c r="BR158" t="e">
        <f>AND('SPR BARRANQUILLA'!FD189,"AAAAAG9/70U=")</f>
        <v>#VALUE!</v>
      </c>
      <c r="BS158" t="e">
        <f>AND('SPR BARRANQUILLA'!FE189,"AAAAAG9/70Y=")</f>
        <v>#VALUE!</v>
      </c>
      <c r="BT158" t="e">
        <f>AND('SPR BARRANQUILLA'!FF189,"AAAAAG9/70c=")</f>
        <v>#VALUE!</v>
      </c>
      <c r="BU158" t="e">
        <f>AND('SPR BARRANQUILLA'!FG189,"AAAAAG9/70g=")</f>
        <v>#VALUE!</v>
      </c>
      <c r="BV158" t="e">
        <f>AND('SPR BARRANQUILLA'!FH189,"AAAAAG9/70k=")</f>
        <v>#VALUE!</v>
      </c>
      <c r="BW158" t="e">
        <f>AND('SPR BARRANQUILLA'!FI189,"AAAAAG9/70o=")</f>
        <v>#VALUE!</v>
      </c>
      <c r="BX158" t="e">
        <f>AND('SPR BARRANQUILLA'!FJ189,"AAAAAG9/70s=")</f>
        <v>#VALUE!</v>
      </c>
      <c r="BY158" t="e">
        <f>AND('SPR BARRANQUILLA'!FK189,"AAAAAG9/70w=")</f>
        <v>#VALUE!</v>
      </c>
      <c r="BZ158" t="e">
        <f>AND('SPR BARRANQUILLA'!FL189,"AAAAAG9/700=")</f>
        <v>#VALUE!</v>
      </c>
      <c r="CA158" t="e">
        <f>AND('SPR BARRANQUILLA'!FM189,"AAAAAG9/704=")</f>
        <v>#VALUE!</v>
      </c>
      <c r="CB158" t="e">
        <f>AND('SPR BARRANQUILLA'!FN189,"AAAAAG9/708=")</f>
        <v>#VALUE!</v>
      </c>
      <c r="CC158" t="e">
        <f>AND('SPR BARRANQUILLA'!FO189,"AAAAAG9/71A=")</f>
        <v>#VALUE!</v>
      </c>
      <c r="CD158" t="e">
        <f>AND('SPR BARRANQUILLA'!FP189,"AAAAAG9/71E=")</f>
        <v>#VALUE!</v>
      </c>
      <c r="CE158" t="e">
        <f>AND('SPR BARRANQUILLA'!FQ189,"AAAAAG9/71I=")</f>
        <v>#VALUE!</v>
      </c>
      <c r="CF158" t="e">
        <f>AND('SPR BARRANQUILLA'!FR189,"AAAAAG9/71M=")</f>
        <v>#VALUE!</v>
      </c>
      <c r="CG158" t="e">
        <f>AND('SPR BARRANQUILLA'!FS189,"AAAAAG9/71Q=")</f>
        <v>#VALUE!</v>
      </c>
      <c r="CH158" t="e">
        <f>AND('SPR BARRANQUILLA'!FT189,"AAAAAG9/71U=")</f>
        <v>#VALUE!</v>
      </c>
      <c r="CI158" t="e">
        <f>AND('SPR BARRANQUILLA'!FU189,"AAAAAG9/71Y=")</f>
        <v>#VALUE!</v>
      </c>
      <c r="CJ158" t="e">
        <f>AND('SPR BARRANQUILLA'!FV189,"AAAAAG9/71c=")</f>
        <v>#VALUE!</v>
      </c>
      <c r="CK158" t="e">
        <f>AND('SPR BARRANQUILLA'!FW189,"AAAAAG9/71g=")</f>
        <v>#VALUE!</v>
      </c>
      <c r="CL158" t="e">
        <f>AND('SPR BARRANQUILLA'!FX189,"AAAAAG9/71k=")</f>
        <v>#VALUE!</v>
      </c>
      <c r="CM158" t="e">
        <f>AND('SPR BARRANQUILLA'!FY189,"AAAAAG9/71o=")</f>
        <v>#VALUE!</v>
      </c>
      <c r="CN158" t="e">
        <f>AND('SPR BARRANQUILLA'!FZ189,"AAAAAG9/71s=")</f>
        <v>#VALUE!</v>
      </c>
      <c r="CO158" t="e">
        <f>AND('SPR BARRANQUILLA'!GA189,"AAAAAG9/71w=")</f>
        <v>#VALUE!</v>
      </c>
      <c r="CP158" t="e">
        <f>AND('SPR BARRANQUILLA'!GB189,"AAAAAG9/710=")</f>
        <v>#VALUE!</v>
      </c>
      <c r="CQ158" t="e">
        <f>AND('SPR BARRANQUILLA'!GC189,"AAAAAG9/714=")</f>
        <v>#VALUE!</v>
      </c>
      <c r="CR158" t="e">
        <f>AND('SPR BARRANQUILLA'!GD189,"AAAAAG9/718=")</f>
        <v>#VALUE!</v>
      </c>
      <c r="CS158" t="e">
        <f>AND('SPR BARRANQUILLA'!GE189,"AAAAAG9/72A=")</f>
        <v>#VALUE!</v>
      </c>
      <c r="CT158" t="e">
        <f>AND('SPR BARRANQUILLA'!GF189,"AAAAAG9/72E=")</f>
        <v>#VALUE!</v>
      </c>
      <c r="CU158" t="e">
        <f>AND('SPR BARRANQUILLA'!GG189,"AAAAAG9/72I=")</f>
        <v>#VALUE!</v>
      </c>
      <c r="CV158" t="e">
        <f>AND('SPR BARRANQUILLA'!GH189,"AAAAAG9/72M=")</f>
        <v>#VALUE!</v>
      </c>
      <c r="CW158" t="e">
        <f>AND('SPR BARRANQUILLA'!GI189,"AAAAAG9/72Q=")</f>
        <v>#VALUE!</v>
      </c>
      <c r="CX158" t="e">
        <f>AND('SPR BARRANQUILLA'!GJ189,"AAAAAG9/72U=")</f>
        <v>#VALUE!</v>
      </c>
      <c r="CY158" t="e">
        <f>AND('SPR BARRANQUILLA'!GK189,"AAAAAG9/72Y=")</f>
        <v>#VALUE!</v>
      </c>
      <c r="CZ158" t="e">
        <f>AND('SPR BARRANQUILLA'!GL189,"AAAAAG9/72c=")</f>
        <v>#VALUE!</v>
      </c>
      <c r="DA158" t="e">
        <f>AND('SPR BARRANQUILLA'!GM189,"AAAAAG9/72g=")</f>
        <v>#VALUE!</v>
      </c>
      <c r="DB158" t="e">
        <f>AND('SPR BARRANQUILLA'!GN189,"AAAAAG9/72k=")</f>
        <v>#VALUE!</v>
      </c>
      <c r="DC158" t="e">
        <f>AND('SPR BARRANQUILLA'!GO189,"AAAAAG9/72o=")</f>
        <v>#VALUE!</v>
      </c>
      <c r="DD158" t="e">
        <f>AND('SPR BARRANQUILLA'!GP189,"AAAAAG9/72s=")</f>
        <v>#VALUE!</v>
      </c>
      <c r="DE158" t="e">
        <f>AND('SPR BARRANQUILLA'!GQ189,"AAAAAG9/72w=")</f>
        <v>#VALUE!</v>
      </c>
      <c r="DF158" t="e">
        <f>AND('SPR BARRANQUILLA'!GR189,"AAAAAG9/720=")</f>
        <v>#VALUE!</v>
      </c>
      <c r="DG158" t="e">
        <f>AND('SPR BARRANQUILLA'!GS189,"AAAAAG9/724=")</f>
        <v>#VALUE!</v>
      </c>
      <c r="DH158" t="e">
        <f>AND('SPR BARRANQUILLA'!GT189,"AAAAAG9/728=")</f>
        <v>#VALUE!</v>
      </c>
      <c r="DI158" t="e">
        <f>AND('SPR BARRANQUILLA'!GU189,"AAAAAG9/73A=")</f>
        <v>#VALUE!</v>
      </c>
      <c r="DJ158" t="e">
        <f>AND('SPR BARRANQUILLA'!GV189,"AAAAAG9/73E=")</f>
        <v>#VALUE!</v>
      </c>
      <c r="DK158" t="e">
        <f>AND('SPR BARRANQUILLA'!GW189,"AAAAAG9/73I=")</f>
        <v>#VALUE!</v>
      </c>
      <c r="DL158" t="e">
        <f>AND('SPR BARRANQUILLA'!GX189,"AAAAAG9/73M=")</f>
        <v>#VALUE!</v>
      </c>
      <c r="DM158" t="e">
        <f>AND('SPR BARRANQUILLA'!GY189,"AAAAAG9/73Q=")</f>
        <v>#VALUE!</v>
      </c>
      <c r="DN158">
        <f>IF('SPR BARRANQUILLA'!190:190,"AAAAAG9/73U=",0)</f>
        <v>0</v>
      </c>
      <c r="DO158" t="e">
        <f>AND('SPR BARRANQUILLA'!A190,"AAAAAG9/73Y=")</f>
        <v>#VALUE!</v>
      </c>
      <c r="DP158" t="e">
        <f>AND('SPR BARRANQUILLA'!B190,"AAAAAG9/73c=")</f>
        <v>#VALUE!</v>
      </c>
      <c r="DQ158" t="e">
        <f>AND('SPR BARRANQUILLA'!C190,"AAAAAG9/73g=")</f>
        <v>#VALUE!</v>
      </c>
      <c r="DR158" t="e">
        <f>AND('SPR BARRANQUILLA'!D190,"AAAAAG9/73k=")</f>
        <v>#VALUE!</v>
      </c>
      <c r="DS158" t="e">
        <f>AND('SPR BARRANQUILLA'!E190,"AAAAAG9/73o=")</f>
        <v>#VALUE!</v>
      </c>
      <c r="DT158" t="e">
        <f>AND('SPR BARRANQUILLA'!F190,"AAAAAG9/73s=")</f>
        <v>#VALUE!</v>
      </c>
      <c r="DU158" t="e">
        <f>AND('SPR BARRANQUILLA'!G190,"AAAAAG9/73w=")</f>
        <v>#VALUE!</v>
      </c>
      <c r="DV158" t="e">
        <f>AND('SPR BARRANQUILLA'!H190,"AAAAAG9/730=")</f>
        <v>#VALUE!</v>
      </c>
      <c r="DW158" t="e">
        <f>AND('SPR BARRANQUILLA'!I190,"AAAAAG9/734=")</f>
        <v>#VALUE!</v>
      </c>
      <c r="DX158" t="e">
        <f>AND('SPR BARRANQUILLA'!J190,"AAAAAG9/738=")</f>
        <v>#VALUE!</v>
      </c>
      <c r="DY158" t="e">
        <f>AND('SPR BARRANQUILLA'!K190,"AAAAAG9/74A=")</f>
        <v>#VALUE!</v>
      </c>
      <c r="DZ158" t="e">
        <f>AND('SPR BARRANQUILLA'!L190,"AAAAAG9/74E=")</f>
        <v>#VALUE!</v>
      </c>
      <c r="EA158" t="e">
        <f>AND('SPR BARRANQUILLA'!M190,"AAAAAG9/74I=")</f>
        <v>#VALUE!</v>
      </c>
      <c r="EB158" t="e">
        <f>AND('SPR BARRANQUILLA'!N190,"AAAAAG9/74M=")</f>
        <v>#VALUE!</v>
      </c>
      <c r="EC158" t="e">
        <f>AND('SPR BARRANQUILLA'!O190,"AAAAAG9/74Q=")</f>
        <v>#VALUE!</v>
      </c>
      <c r="ED158" t="e">
        <f>AND('SPR BARRANQUILLA'!P190,"AAAAAG9/74U=")</f>
        <v>#VALUE!</v>
      </c>
      <c r="EE158" t="e">
        <f>AND('SPR BARRANQUILLA'!Q190,"AAAAAG9/74Y=")</f>
        <v>#VALUE!</v>
      </c>
      <c r="EF158" t="e">
        <f>AND('SPR BARRANQUILLA'!R190,"AAAAAG9/74c=")</f>
        <v>#VALUE!</v>
      </c>
      <c r="EG158" t="e">
        <f>AND('SPR BARRANQUILLA'!S190,"AAAAAG9/74g=")</f>
        <v>#VALUE!</v>
      </c>
      <c r="EH158" t="e">
        <f>AND('SPR BARRANQUILLA'!T190,"AAAAAG9/74k=")</f>
        <v>#VALUE!</v>
      </c>
      <c r="EI158" t="e">
        <f>AND('SPR BARRANQUILLA'!U190,"AAAAAG9/74o=")</f>
        <v>#VALUE!</v>
      </c>
      <c r="EJ158" t="e">
        <f>AND('SPR BARRANQUILLA'!V190,"AAAAAG9/74s=")</f>
        <v>#VALUE!</v>
      </c>
      <c r="EK158" t="e">
        <f>AND('SPR BARRANQUILLA'!W190,"AAAAAG9/74w=")</f>
        <v>#VALUE!</v>
      </c>
      <c r="EL158" t="e">
        <f>AND('SPR BARRANQUILLA'!X190,"AAAAAG9/740=")</f>
        <v>#VALUE!</v>
      </c>
      <c r="EM158" t="e">
        <f>AND('SPR BARRANQUILLA'!Y190,"AAAAAG9/744=")</f>
        <v>#VALUE!</v>
      </c>
      <c r="EN158" t="e">
        <f>AND('SPR BARRANQUILLA'!Z190,"AAAAAG9/748=")</f>
        <v>#VALUE!</v>
      </c>
      <c r="EO158" t="e">
        <f>AND('SPR BARRANQUILLA'!AA190,"AAAAAG9/75A=")</f>
        <v>#VALUE!</v>
      </c>
      <c r="EP158" t="e">
        <f>AND('SPR BARRANQUILLA'!AB190,"AAAAAG9/75E=")</f>
        <v>#VALUE!</v>
      </c>
      <c r="EQ158" t="e">
        <f>AND('SPR BARRANQUILLA'!AC190,"AAAAAG9/75I=")</f>
        <v>#VALUE!</v>
      </c>
      <c r="ER158" t="e">
        <f>AND('SPR BARRANQUILLA'!AD190,"AAAAAG9/75M=")</f>
        <v>#VALUE!</v>
      </c>
      <c r="ES158" t="e">
        <f>AND('SPR BARRANQUILLA'!AE190,"AAAAAG9/75Q=")</f>
        <v>#VALUE!</v>
      </c>
      <c r="ET158" t="e">
        <f>AND('SPR BARRANQUILLA'!AF190,"AAAAAG9/75U=")</f>
        <v>#VALUE!</v>
      </c>
      <c r="EU158" t="e">
        <f>AND('SPR BARRANQUILLA'!AG190,"AAAAAG9/75Y=")</f>
        <v>#VALUE!</v>
      </c>
      <c r="EV158" t="e">
        <f>AND('SPR BARRANQUILLA'!AH190,"AAAAAG9/75c=")</f>
        <v>#VALUE!</v>
      </c>
      <c r="EW158" t="e">
        <f>AND('SPR BARRANQUILLA'!AI190,"AAAAAG9/75g=")</f>
        <v>#VALUE!</v>
      </c>
      <c r="EX158" t="e">
        <f>AND('SPR BARRANQUILLA'!AJ190,"AAAAAG9/75k=")</f>
        <v>#VALUE!</v>
      </c>
      <c r="EY158" t="e">
        <f>AND('SPR BARRANQUILLA'!AK190,"AAAAAG9/75o=")</f>
        <v>#VALUE!</v>
      </c>
      <c r="EZ158" t="e">
        <f>AND('SPR BARRANQUILLA'!AL190,"AAAAAG9/75s=")</f>
        <v>#VALUE!</v>
      </c>
      <c r="FA158" t="e">
        <f>AND('SPR BARRANQUILLA'!AM190,"AAAAAG9/75w=")</f>
        <v>#VALUE!</v>
      </c>
      <c r="FB158" t="e">
        <f>AND('SPR BARRANQUILLA'!AN190,"AAAAAG9/750=")</f>
        <v>#VALUE!</v>
      </c>
      <c r="FC158" t="e">
        <f>AND('SPR BARRANQUILLA'!AO190,"AAAAAG9/754=")</f>
        <v>#VALUE!</v>
      </c>
      <c r="FD158" t="e">
        <f>AND('SPR BARRANQUILLA'!AP190,"AAAAAG9/758=")</f>
        <v>#VALUE!</v>
      </c>
      <c r="FE158" t="e">
        <f>AND('SPR BARRANQUILLA'!AQ190,"AAAAAG9/76A=")</f>
        <v>#VALUE!</v>
      </c>
      <c r="FF158" t="e">
        <f>AND('SPR BARRANQUILLA'!AR190,"AAAAAG9/76E=")</f>
        <v>#VALUE!</v>
      </c>
      <c r="FG158" t="e">
        <f>AND('SPR BARRANQUILLA'!AS190,"AAAAAG9/76I=")</f>
        <v>#VALUE!</v>
      </c>
      <c r="FH158" t="e">
        <f>AND('SPR BARRANQUILLA'!AT190,"AAAAAG9/76M=")</f>
        <v>#VALUE!</v>
      </c>
      <c r="FI158" t="e">
        <f>AND('SPR BARRANQUILLA'!AU190,"AAAAAG9/76Q=")</f>
        <v>#VALUE!</v>
      </c>
      <c r="FJ158" t="e">
        <f>AND('SPR BARRANQUILLA'!AV190,"AAAAAG9/76U=")</f>
        <v>#VALUE!</v>
      </c>
      <c r="FK158" t="e">
        <f>AND('SPR BARRANQUILLA'!AW190,"AAAAAG9/76Y=")</f>
        <v>#VALUE!</v>
      </c>
      <c r="FL158" t="e">
        <f>AND('SPR BARRANQUILLA'!AX190,"AAAAAG9/76c=")</f>
        <v>#VALUE!</v>
      </c>
      <c r="FM158" t="e">
        <f>AND('SPR BARRANQUILLA'!AY190,"AAAAAG9/76g=")</f>
        <v>#VALUE!</v>
      </c>
      <c r="FN158" t="e">
        <f>AND('SPR BARRANQUILLA'!AZ190,"AAAAAG9/76k=")</f>
        <v>#VALUE!</v>
      </c>
      <c r="FO158" t="e">
        <f>AND('SPR BARRANQUILLA'!BA190,"AAAAAG9/76o=")</f>
        <v>#VALUE!</v>
      </c>
      <c r="FP158" t="e">
        <f>AND('SPR BARRANQUILLA'!BB190,"AAAAAG9/76s=")</f>
        <v>#VALUE!</v>
      </c>
      <c r="FQ158" t="e">
        <f>AND('SPR BARRANQUILLA'!BC190,"AAAAAG9/76w=")</f>
        <v>#VALUE!</v>
      </c>
      <c r="FR158" t="e">
        <f>AND('SPR BARRANQUILLA'!BD190,"AAAAAG9/760=")</f>
        <v>#VALUE!</v>
      </c>
      <c r="FS158" t="e">
        <f>AND('SPR BARRANQUILLA'!BE190,"AAAAAG9/764=")</f>
        <v>#VALUE!</v>
      </c>
      <c r="FT158" t="e">
        <f>AND('SPR BARRANQUILLA'!BF190,"AAAAAG9/768=")</f>
        <v>#VALUE!</v>
      </c>
      <c r="FU158" t="e">
        <f>AND('SPR BARRANQUILLA'!BG190,"AAAAAG9/77A=")</f>
        <v>#VALUE!</v>
      </c>
      <c r="FV158" t="e">
        <f>AND('SPR BARRANQUILLA'!BH190,"AAAAAG9/77E=")</f>
        <v>#VALUE!</v>
      </c>
      <c r="FW158" t="e">
        <f>AND('SPR BARRANQUILLA'!BI190,"AAAAAG9/77I=")</f>
        <v>#VALUE!</v>
      </c>
      <c r="FX158" t="e">
        <f>AND('SPR BARRANQUILLA'!BJ190,"AAAAAG9/77M=")</f>
        <v>#VALUE!</v>
      </c>
      <c r="FY158" t="e">
        <f>AND('SPR BARRANQUILLA'!BK190,"AAAAAG9/77Q=")</f>
        <v>#VALUE!</v>
      </c>
      <c r="FZ158" t="e">
        <f>AND('SPR BARRANQUILLA'!BL190,"AAAAAG9/77U=")</f>
        <v>#VALUE!</v>
      </c>
      <c r="GA158" t="e">
        <f>AND('SPR BARRANQUILLA'!BM190,"AAAAAG9/77Y=")</f>
        <v>#VALUE!</v>
      </c>
      <c r="GB158" t="e">
        <f>AND('SPR BARRANQUILLA'!BN190,"AAAAAG9/77c=")</f>
        <v>#VALUE!</v>
      </c>
      <c r="GC158" t="e">
        <f>AND('SPR BARRANQUILLA'!BO190,"AAAAAG9/77g=")</f>
        <v>#VALUE!</v>
      </c>
      <c r="GD158" t="e">
        <f>AND('SPR BARRANQUILLA'!BP190,"AAAAAG9/77k=")</f>
        <v>#VALUE!</v>
      </c>
      <c r="GE158" t="e">
        <f>AND('SPR BARRANQUILLA'!BQ190,"AAAAAG9/77o=")</f>
        <v>#VALUE!</v>
      </c>
      <c r="GF158" t="e">
        <f>AND('SPR BARRANQUILLA'!BR190,"AAAAAG9/77s=")</f>
        <v>#VALUE!</v>
      </c>
      <c r="GG158" t="e">
        <f>AND('SPR BARRANQUILLA'!BS190,"AAAAAG9/77w=")</f>
        <v>#VALUE!</v>
      </c>
      <c r="GH158" t="e">
        <f>AND('SPR BARRANQUILLA'!BT190,"AAAAAG9/770=")</f>
        <v>#VALUE!</v>
      </c>
      <c r="GI158" t="e">
        <f>AND('SPR BARRANQUILLA'!BU190,"AAAAAG9/774=")</f>
        <v>#VALUE!</v>
      </c>
      <c r="GJ158" t="e">
        <f>AND('SPR BARRANQUILLA'!BV190,"AAAAAG9/778=")</f>
        <v>#VALUE!</v>
      </c>
      <c r="GK158" t="e">
        <f>AND('SPR BARRANQUILLA'!BW190,"AAAAAG9/78A=")</f>
        <v>#VALUE!</v>
      </c>
      <c r="GL158" t="e">
        <f>AND('SPR BARRANQUILLA'!BX190,"AAAAAG9/78E=")</f>
        <v>#VALUE!</v>
      </c>
      <c r="GM158" t="e">
        <f>AND('SPR BARRANQUILLA'!BY190,"AAAAAG9/78I=")</f>
        <v>#VALUE!</v>
      </c>
      <c r="GN158" t="e">
        <f>AND('SPR BARRANQUILLA'!BZ190,"AAAAAG9/78M=")</f>
        <v>#VALUE!</v>
      </c>
      <c r="GO158" t="e">
        <f>AND('SPR BARRANQUILLA'!CA190,"AAAAAG9/78Q=")</f>
        <v>#VALUE!</v>
      </c>
      <c r="GP158" t="e">
        <f>AND('SPR BARRANQUILLA'!CB190,"AAAAAG9/78U=")</f>
        <v>#VALUE!</v>
      </c>
      <c r="GQ158" t="e">
        <f>AND('SPR BARRANQUILLA'!CC190,"AAAAAG9/78Y=")</f>
        <v>#VALUE!</v>
      </c>
      <c r="GR158" t="e">
        <f>AND('SPR BARRANQUILLA'!CD190,"AAAAAG9/78c=")</f>
        <v>#VALUE!</v>
      </c>
      <c r="GS158" t="e">
        <f>AND('SPR BARRANQUILLA'!CE190,"AAAAAG9/78g=")</f>
        <v>#VALUE!</v>
      </c>
      <c r="GT158" t="e">
        <f>AND('SPR BARRANQUILLA'!CF190,"AAAAAG9/78k=")</f>
        <v>#VALUE!</v>
      </c>
      <c r="GU158" t="e">
        <f>AND('SPR BARRANQUILLA'!CG190,"AAAAAG9/78o=")</f>
        <v>#VALUE!</v>
      </c>
      <c r="GV158" t="e">
        <f>AND('SPR BARRANQUILLA'!CH190,"AAAAAG9/78s=")</f>
        <v>#VALUE!</v>
      </c>
      <c r="GW158" t="e">
        <f>AND('SPR BARRANQUILLA'!CI190,"AAAAAG9/78w=")</f>
        <v>#VALUE!</v>
      </c>
      <c r="GX158" t="e">
        <f>AND('SPR BARRANQUILLA'!CJ190,"AAAAAG9/780=")</f>
        <v>#VALUE!</v>
      </c>
      <c r="GY158" t="e">
        <f>AND('SPR BARRANQUILLA'!CK190,"AAAAAG9/784=")</f>
        <v>#VALUE!</v>
      </c>
      <c r="GZ158" t="e">
        <f>AND('SPR BARRANQUILLA'!CL190,"AAAAAG9/788=")</f>
        <v>#VALUE!</v>
      </c>
      <c r="HA158" t="e">
        <f>AND('SPR BARRANQUILLA'!CM190,"AAAAAG9/79A=")</f>
        <v>#VALUE!</v>
      </c>
      <c r="HB158" t="e">
        <f>AND('SPR BARRANQUILLA'!CN190,"AAAAAG9/79E=")</f>
        <v>#VALUE!</v>
      </c>
      <c r="HC158" t="e">
        <f>AND('SPR BARRANQUILLA'!CO190,"AAAAAG9/79I=")</f>
        <v>#VALUE!</v>
      </c>
      <c r="HD158" t="e">
        <f>AND('SPR BARRANQUILLA'!CP190,"AAAAAG9/79M=")</f>
        <v>#VALUE!</v>
      </c>
      <c r="HE158" t="e">
        <f>AND('SPR BARRANQUILLA'!CQ190,"AAAAAG9/79Q=")</f>
        <v>#VALUE!</v>
      </c>
      <c r="HF158" t="e">
        <f>AND('SPR BARRANQUILLA'!CR190,"AAAAAG9/79U=")</f>
        <v>#VALUE!</v>
      </c>
      <c r="HG158" t="e">
        <f>AND('SPR BARRANQUILLA'!CS190,"AAAAAG9/79Y=")</f>
        <v>#VALUE!</v>
      </c>
      <c r="HH158" t="e">
        <f>AND('SPR BARRANQUILLA'!CT190,"AAAAAG9/79c=")</f>
        <v>#VALUE!</v>
      </c>
      <c r="HI158" t="e">
        <f>AND('SPR BARRANQUILLA'!CU190,"AAAAAG9/79g=")</f>
        <v>#VALUE!</v>
      </c>
      <c r="HJ158" t="e">
        <f>AND('SPR BARRANQUILLA'!CV190,"AAAAAG9/79k=")</f>
        <v>#VALUE!</v>
      </c>
      <c r="HK158" t="e">
        <f>AND('SPR BARRANQUILLA'!CW190,"AAAAAG9/79o=")</f>
        <v>#VALUE!</v>
      </c>
      <c r="HL158" t="e">
        <f>AND('SPR BARRANQUILLA'!CX190,"AAAAAG9/79s=")</f>
        <v>#VALUE!</v>
      </c>
      <c r="HM158" t="e">
        <f>AND('SPR BARRANQUILLA'!CY190,"AAAAAG9/79w=")</f>
        <v>#VALUE!</v>
      </c>
      <c r="HN158" t="e">
        <f>AND('SPR BARRANQUILLA'!CZ190,"AAAAAG9/790=")</f>
        <v>#VALUE!</v>
      </c>
      <c r="HO158" t="e">
        <f>AND('SPR BARRANQUILLA'!DA190,"AAAAAG9/794=")</f>
        <v>#VALUE!</v>
      </c>
      <c r="HP158" t="e">
        <f>AND('SPR BARRANQUILLA'!DB190,"AAAAAG9/798=")</f>
        <v>#VALUE!</v>
      </c>
      <c r="HQ158" t="e">
        <f>AND('SPR BARRANQUILLA'!DC190,"AAAAAG9/7+A=")</f>
        <v>#VALUE!</v>
      </c>
      <c r="HR158" t="e">
        <f>AND('SPR BARRANQUILLA'!DD190,"AAAAAG9/7+E=")</f>
        <v>#VALUE!</v>
      </c>
      <c r="HS158" t="e">
        <f>AND('SPR BARRANQUILLA'!DE190,"AAAAAG9/7+I=")</f>
        <v>#VALUE!</v>
      </c>
      <c r="HT158" t="e">
        <f>AND('SPR BARRANQUILLA'!DF190,"AAAAAG9/7+M=")</f>
        <v>#VALUE!</v>
      </c>
      <c r="HU158" t="e">
        <f>AND('SPR BARRANQUILLA'!DG190,"AAAAAG9/7+Q=")</f>
        <v>#VALUE!</v>
      </c>
      <c r="HV158" t="e">
        <f>AND('SPR BARRANQUILLA'!DH190,"AAAAAG9/7+U=")</f>
        <v>#VALUE!</v>
      </c>
      <c r="HW158" t="e">
        <f>AND('SPR BARRANQUILLA'!DI190,"AAAAAG9/7+Y=")</f>
        <v>#VALUE!</v>
      </c>
      <c r="HX158" t="e">
        <f>AND('SPR BARRANQUILLA'!DJ190,"AAAAAG9/7+c=")</f>
        <v>#VALUE!</v>
      </c>
      <c r="HY158" t="e">
        <f>AND('SPR BARRANQUILLA'!DK190,"AAAAAG9/7+g=")</f>
        <v>#VALUE!</v>
      </c>
      <c r="HZ158" t="e">
        <f>AND('SPR BARRANQUILLA'!DL190,"AAAAAG9/7+k=")</f>
        <v>#VALUE!</v>
      </c>
      <c r="IA158" t="e">
        <f>AND('SPR BARRANQUILLA'!DM190,"AAAAAG9/7+o=")</f>
        <v>#VALUE!</v>
      </c>
      <c r="IB158" t="e">
        <f>AND('SPR BARRANQUILLA'!DN190,"AAAAAG9/7+s=")</f>
        <v>#VALUE!</v>
      </c>
      <c r="IC158" t="e">
        <f>AND('SPR BARRANQUILLA'!DO190,"AAAAAG9/7+w=")</f>
        <v>#VALUE!</v>
      </c>
      <c r="ID158" t="e">
        <f>AND('SPR BARRANQUILLA'!DP190,"AAAAAG9/7+0=")</f>
        <v>#VALUE!</v>
      </c>
      <c r="IE158" t="e">
        <f>AND('SPR BARRANQUILLA'!DQ190,"AAAAAG9/7+4=")</f>
        <v>#VALUE!</v>
      </c>
      <c r="IF158" t="e">
        <f>AND('SPR BARRANQUILLA'!DR190,"AAAAAG9/7+8=")</f>
        <v>#VALUE!</v>
      </c>
      <c r="IG158" t="e">
        <f>AND('SPR BARRANQUILLA'!DS190,"AAAAAG9/7/A=")</f>
        <v>#VALUE!</v>
      </c>
      <c r="IH158" t="e">
        <f>AND('SPR BARRANQUILLA'!DT190,"AAAAAG9/7/E=")</f>
        <v>#VALUE!</v>
      </c>
      <c r="II158" t="e">
        <f>AND('SPR BARRANQUILLA'!DU190,"AAAAAG9/7/I=")</f>
        <v>#VALUE!</v>
      </c>
      <c r="IJ158" t="e">
        <f>AND('SPR BARRANQUILLA'!DV190,"AAAAAG9/7/M=")</f>
        <v>#VALUE!</v>
      </c>
      <c r="IK158" t="e">
        <f>AND('SPR BARRANQUILLA'!DW190,"AAAAAG9/7/Q=")</f>
        <v>#VALUE!</v>
      </c>
      <c r="IL158" t="e">
        <f>AND('SPR BARRANQUILLA'!DX190,"AAAAAG9/7/U=")</f>
        <v>#VALUE!</v>
      </c>
      <c r="IM158" t="e">
        <f>AND('SPR BARRANQUILLA'!DY190,"AAAAAG9/7/Y=")</f>
        <v>#VALUE!</v>
      </c>
      <c r="IN158" t="e">
        <f>AND('SPR BARRANQUILLA'!DZ190,"AAAAAG9/7/c=")</f>
        <v>#VALUE!</v>
      </c>
      <c r="IO158" t="e">
        <f>AND('SPR BARRANQUILLA'!EA190,"AAAAAG9/7/g=")</f>
        <v>#VALUE!</v>
      </c>
      <c r="IP158" t="e">
        <f>AND('SPR BARRANQUILLA'!EB190,"AAAAAG9/7/k=")</f>
        <v>#VALUE!</v>
      </c>
      <c r="IQ158" t="e">
        <f>AND('SPR BARRANQUILLA'!EC190,"AAAAAG9/7/o=")</f>
        <v>#VALUE!</v>
      </c>
      <c r="IR158" t="e">
        <f>AND('SPR BARRANQUILLA'!ED190,"AAAAAG9/7/s=")</f>
        <v>#VALUE!</v>
      </c>
      <c r="IS158" t="e">
        <f>AND('SPR BARRANQUILLA'!EE190,"AAAAAG9/7/w=")</f>
        <v>#VALUE!</v>
      </c>
      <c r="IT158" t="e">
        <f>AND('SPR BARRANQUILLA'!EF190,"AAAAAG9/7/0=")</f>
        <v>#VALUE!</v>
      </c>
      <c r="IU158" t="e">
        <f>AND('SPR BARRANQUILLA'!EG190,"AAAAAG9/7/4=")</f>
        <v>#VALUE!</v>
      </c>
      <c r="IV158" t="e">
        <f>AND('SPR BARRANQUILLA'!EH190,"AAAAAG9/7/8=")</f>
        <v>#VALUE!</v>
      </c>
    </row>
    <row r="159" spans="1:256">
      <c r="A159" t="e">
        <f>AND('SPR BARRANQUILLA'!EI190,"AAAAAB/29QA=")</f>
        <v>#VALUE!</v>
      </c>
      <c r="B159" t="e">
        <f>AND('SPR BARRANQUILLA'!EJ190,"AAAAAB/29QE=")</f>
        <v>#VALUE!</v>
      </c>
      <c r="C159" t="e">
        <f>AND('SPR BARRANQUILLA'!EK190,"AAAAAB/29QI=")</f>
        <v>#VALUE!</v>
      </c>
      <c r="D159" t="e">
        <f>AND('SPR BARRANQUILLA'!EL190,"AAAAAB/29QM=")</f>
        <v>#VALUE!</v>
      </c>
      <c r="E159" t="e">
        <f>AND('SPR BARRANQUILLA'!EM190,"AAAAAB/29QQ=")</f>
        <v>#VALUE!</v>
      </c>
      <c r="F159" t="e">
        <f>AND('SPR BARRANQUILLA'!EN190,"AAAAAB/29QU=")</f>
        <v>#VALUE!</v>
      </c>
      <c r="G159" t="e">
        <f>AND('SPR BARRANQUILLA'!EO190,"AAAAAB/29QY=")</f>
        <v>#VALUE!</v>
      </c>
      <c r="H159" t="e">
        <f>AND('SPR BARRANQUILLA'!EP190,"AAAAAB/29Qc=")</f>
        <v>#VALUE!</v>
      </c>
      <c r="I159" t="e">
        <f>AND('SPR BARRANQUILLA'!EQ190,"AAAAAB/29Qg=")</f>
        <v>#VALUE!</v>
      </c>
      <c r="J159" t="e">
        <f>AND('SPR BARRANQUILLA'!ER190,"AAAAAB/29Qk=")</f>
        <v>#VALUE!</v>
      </c>
      <c r="K159" t="e">
        <f>AND('SPR BARRANQUILLA'!ES190,"AAAAAB/29Qo=")</f>
        <v>#VALUE!</v>
      </c>
      <c r="L159" t="e">
        <f>AND('SPR BARRANQUILLA'!ET190,"AAAAAB/29Qs=")</f>
        <v>#VALUE!</v>
      </c>
      <c r="M159" t="e">
        <f>AND('SPR BARRANQUILLA'!EU190,"AAAAAB/29Qw=")</f>
        <v>#VALUE!</v>
      </c>
      <c r="N159" t="e">
        <f>AND('SPR BARRANQUILLA'!EV190,"AAAAAB/29Q0=")</f>
        <v>#VALUE!</v>
      </c>
      <c r="O159" t="e">
        <f>AND('SPR BARRANQUILLA'!EW190,"AAAAAB/29Q4=")</f>
        <v>#VALUE!</v>
      </c>
      <c r="P159" t="e">
        <f>AND('SPR BARRANQUILLA'!EX190,"AAAAAB/29Q8=")</f>
        <v>#VALUE!</v>
      </c>
      <c r="Q159" t="e">
        <f>AND('SPR BARRANQUILLA'!EY190,"AAAAAB/29RA=")</f>
        <v>#VALUE!</v>
      </c>
      <c r="R159" t="e">
        <f>AND('SPR BARRANQUILLA'!EZ190,"AAAAAB/29RE=")</f>
        <v>#VALUE!</v>
      </c>
      <c r="S159" t="e">
        <f>AND('SPR BARRANQUILLA'!FA190,"AAAAAB/29RI=")</f>
        <v>#VALUE!</v>
      </c>
      <c r="T159" t="e">
        <f>AND('SPR BARRANQUILLA'!FB190,"AAAAAB/29RM=")</f>
        <v>#VALUE!</v>
      </c>
      <c r="U159" t="e">
        <f>AND('SPR BARRANQUILLA'!FC190,"AAAAAB/29RQ=")</f>
        <v>#VALUE!</v>
      </c>
      <c r="V159" t="e">
        <f>AND('SPR BARRANQUILLA'!FD190,"AAAAAB/29RU=")</f>
        <v>#VALUE!</v>
      </c>
      <c r="W159" t="e">
        <f>AND('SPR BARRANQUILLA'!FE190,"AAAAAB/29RY=")</f>
        <v>#VALUE!</v>
      </c>
      <c r="X159" t="e">
        <f>AND('SPR BARRANQUILLA'!FF190,"AAAAAB/29Rc=")</f>
        <v>#VALUE!</v>
      </c>
      <c r="Y159" t="e">
        <f>AND('SPR BARRANQUILLA'!FG190,"AAAAAB/29Rg=")</f>
        <v>#VALUE!</v>
      </c>
      <c r="Z159" t="e">
        <f>AND('SPR BARRANQUILLA'!FH190,"AAAAAB/29Rk=")</f>
        <v>#VALUE!</v>
      </c>
      <c r="AA159" t="e">
        <f>AND('SPR BARRANQUILLA'!FI190,"AAAAAB/29Ro=")</f>
        <v>#VALUE!</v>
      </c>
      <c r="AB159" t="e">
        <f>AND('SPR BARRANQUILLA'!FJ190,"AAAAAB/29Rs=")</f>
        <v>#VALUE!</v>
      </c>
      <c r="AC159" t="e">
        <f>AND('SPR BARRANQUILLA'!FK190,"AAAAAB/29Rw=")</f>
        <v>#VALUE!</v>
      </c>
      <c r="AD159" t="e">
        <f>AND('SPR BARRANQUILLA'!FL190,"AAAAAB/29R0=")</f>
        <v>#VALUE!</v>
      </c>
      <c r="AE159" t="e">
        <f>AND('SPR BARRANQUILLA'!FM190,"AAAAAB/29R4=")</f>
        <v>#VALUE!</v>
      </c>
      <c r="AF159" t="e">
        <f>AND('SPR BARRANQUILLA'!FN190,"AAAAAB/29R8=")</f>
        <v>#VALUE!</v>
      </c>
      <c r="AG159" t="e">
        <f>AND('SPR BARRANQUILLA'!FO190,"AAAAAB/29SA=")</f>
        <v>#VALUE!</v>
      </c>
      <c r="AH159" t="e">
        <f>AND('SPR BARRANQUILLA'!FP190,"AAAAAB/29SE=")</f>
        <v>#VALUE!</v>
      </c>
      <c r="AI159" t="e">
        <f>AND('SPR BARRANQUILLA'!FQ190,"AAAAAB/29SI=")</f>
        <v>#VALUE!</v>
      </c>
      <c r="AJ159" t="e">
        <f>AND('SPR BARRANQUILLA'!FR190,"AAAAAB/29SM=")</f>
        <v>#VALUE!</v>
      </c>
      <c r="AK159" t="e">
        <f>AND('SPR BARRANQUILLA'!FS190,"AAAAAB/29SQ=")</f>
        <v>#VALUE!</v>
      </c>
      <c r="AL159" t="e">
        <f>AND('SPR BARRANQUILLA'!FT190,"AAAAAB/29SU=")</f>
        <v>#VALUE!</v>
      </c>
      <c r="AM159" t="e">
        <f>AND('SPR BARRANQUILLA'!FU190,"AAAAAB/29SY=")</f>
        <v>#VALUE!</v>
      </c>
      <c r="AN159" t="e">
        <f>AND('SPR BARRANQUILLA'!FV190,"AAAAAB/29Sc=")</f>
        <v>#VALUE!</v>
      </c>
      <c r="AO159" t="e">
        <f>AND('SPR BARRANQUILLA'!FW190,"AAAAAB/29Sg=")</f>
        <v>#VALUE!</v>
      </c>
      <c r="AP159" t="e">
        <f>AND('SPR BARRANQUILLA'!FX190,"AAAAAB/29Sk=")</f>
        <v>#VALUE!</v>
      </c>
      <c r="AQ159" t="e">
        <f>AND('SPR BARRANQUILLA'!FY190,"AAAAAB/29So=")</f>
        <v>#VALUE!</v>
      </c>
      <c r="AR159" t="e">
        <f>AND('SPR BARRANQUILLA'!FZ190,"AAAAAB/29Ss=")</f>
        <v>#VALUE!</v>
      </c>
      <c r="AS159" t="e">
        <f>AND('SPR BARRANQUILLA'!GA190,"AAAAAB/29Sw=")</f>
        <v>#VALUE!</v>
      </c>
      <c r="AT159" t="e">
        <f>AND('SPR BARRANQUILLA'!GB190,"AAAAAB/29S0=")</f>
        <v>#VALUE!</v>
      </c>
      <c r="AU159" t="e">
        <f>AND('SPR BARRANQUILLA'!GC190,"AAAAAB/29S4=")</f>
        <v>#VALUE!</v>
      </c>
      <c r="AV159" t="e">
        <f>AND('SPR BARRANQUILLA'!GD190,"AAAAAB/29S8=")</f>
        <v>#VALUE!</v>
      </c>
      <c r="AW159" t="e">
        <f>AND('SPR BARRANQUILLA'!GE190,"AAAAAB/29TA=")</f>
        <v>#VALUE!</v>
      </c>
      <c r="AX159" t="e">
        <f>AND('SPR BARRANQUILLA'!GF190,"AAAAAB/29TE=")</f>
        <v>#VALUE!</v>
      </c>
      <c r="AY159" t="e">
        <f>AND('SPR BARRANQUILLA'!GG190,"AAAAAB/29TI=")</f>
        <v>#VALUE!</v>
      </c>
      <c r="AZ159" t="e">
        <f>AND('SPR BARRANQUILLA'!GH190,"AAAAAB/29TM=")</f>
        <v>#VALUE!</v>
      </c>
      <c r="BA159" t="e">
        <f>AND('SPR BARRANQUILLA'!GI190,"AAAAAB/29TQ=")</f>
        <v>#VALUE!</v>
      </c>
      <c r="BB159" t="e">
        <f>AND('SPR BARRANQUILLA'!GJ190,"AAAAAB/29TU=")</f>
        <v>#VALUE!</v>
      </c>
      <c r="BC159" t="e">
        <f>AND('SPR BARRANQUILLA'!GK190,"AAAAAB/29TY=")</f>
        <v>#VALUE!</v>
      </c>
      <c r="BD159" t="e">
        <f>AND('SPR BARRANQUILLA'!GL190,"AAAAAB/29Tc=")</f>
        <v>#VALUE!</v>
      </c>
      <c r="BE159" t="e">
        <f>AND('SPR BARRANQUILLA'!GM190,"AAAAAB/29Tg=")</f>
        <v>#VALUE!</v>
      </c>
      <c r="BF159" t="e">
        <f>AND('SPR BARRANQUILLA'!GN190,"AAAAAB/29Tk=")</f>
        <v>#VALUE!</v>
      </c>
      <c r="BG159" t="e">
        <f>AND('SPR BARRANQUILLA'!GO190,"AAAAAB/29To=")</f>
        <v>#VALUE!</v>
      </c>
      <c r="BH159" t="e">
        <f>AND('SPR BARRANQUILLA'!GP190,"AAAAAB/29Ts=")</f>
        <v>#VALUE!</v>
      </c>
      <c r="BI159" t="e">
        <f>AND('SPR BARRANQUILLA'!GQ190,"AAAAAB/29Tw=")</f>
        <v>#VALUE!</v>
      </c>
      <c r="BJ159" t="e">
        <f>AND('SPR BARRANQUILLA'!GR190,"AAAAAB/29T0=")</f>
        <v>#VALUE!</v>
      </c>
      <c r="BK159" t="e">
        <f>AND('SPR BARRANQUILLA'!GS190,"AAAAAB/29T4=")</f>
        <v>#VALUE!</v>
      </c>
      <c r="BL159" t="e">
        <f>AND('SPR BARRANQUILLA'!GT190,"AAAAAB/29T8=")</f>
        <v>#VALUE!</v>
      </c>
      <c r="BM159" t="e">
        <f>AND('SPR BARRANQUILLA'!GU190,"AAAAAB/29UA=")</f>
        <v>#VALUE!</v>
      </c>
      <c r="BN159" t="e">
        <f>AND('SPR BARRANQUILLA'!GV190,"AAAAAB/29UE=")</f>
        <v>#VALUE!</v>
      </c>
      <c r="BO159" t="e">
        <f>AND('SPR BARRANQUILLA'!GW190,"AAAAAB/29UI=")</f>
        <v>#VALUE!</v>
      </c>
      <c r="BP159" t="e">
        <f>AND('SPR BARRANQUILLA'!GX190,"AAAAAB/29UM=")</f>
        <v>#VALUE!</v>
      </c>
      <c r="BQ159" t="e">
        <f>AND('SPR BARRANQUILLA'!GY190,"AAAAAB/29UQ=")</f>
        <v>#VALUE!</v>
      </c>
      <c r="BR159">
        <f>IF('SPR BARRANQUILLA'!191:191,"AAAAAB/29UU=",0)</f>
        <v>0</v>
      </c>
      <c r="BS159" t="e">
        <f>AND('SPR BARRANQUILLA'!A191,"AAAAAB/29UY=")</f>
        <v>#VALUE!</v>
      </c>
      <c r="BT159" t="e">
        <f>AND('SPR BARRANQUILLA'!B191,"AAAAAB/29Uc=")</f>
        <v>#VALUE!</v>
      </c>
      <c r="BU159" t="e">
        <f>AND('SPR BARRANQUILLA'!C191,"AAAAAB/29Ug=")</f>
        <v>#VALUE!</v>
      </c>
      <c r="BV159" t="e">
        <f>AND('SPR BARRANQUILLA'!D191,"AAAAAB/29Uk=")</f>
        <v>#VALUE!</v>
      </c>
      <c r="BW159" t="e">
        <f>AND('SPR BARRANQUILLA'!E191,"AAAAAB/29Uo=")</f>
        <v>#VALUE!</v>
      </c>
      <c r="BX159" t="e">
        <f>AND('SPR BARRANQUILLA'!F191,"AAAAAB/29Us=")</f>
        <v>#VALUE!</v>
      </c>
      <c r="BY159" t="e">
        <f>AND('SPR BARRANQUILLA'!G191,"AAAAAB/29Uw=")</f>
        <v>#VALUE!</v>
      </c>
      <c r="BZ159" t="e">
        <f>AND('SPR BARRANQUILLA'!H191,"AAAAAB/29U0=")</f>
        <v>#VALUE!</v>
      </c>
      <c r="CA159" t="e">
        <f>AND('SPR BARRANQUILLA'!I191,"AAAAAB/29U4=")</f>
        <v>#VALUE!</v>
      </c>
      <c r="CB159" t="e">
        <f>AND('SPR BARRANQUILLA'!J191,"AAAAAB/29U8=")</f>
        <v>#VALUE!</v>
      </c>
      <c r="CC159" t="e">
        <f>AND('SPR BARRANQUILLA'!K191,"AAAAAB/29VA=")</f>
        <v>#VALUE!</v>
      </c>
      <c r="CD159" t="e">
        <f>AND('SPR BARRANQUILLA'!L191,"AAAAAB/29VE=")</f>
        <v>#VALUE!</v>
      </c>
      <c r="CE159" t="e">
        <f>AND('SPR BARRANQUILLA'!M191,"AAAAAB/29VI=")</f>
        <v>#VALUE!</v>
      </c>
      <c r="CF159" t="e">
        <f>AND('SPR BARRANQUILLA'!N191,"AAAAAB/29VM=")</f>
        <v>#VALUE!</v>
      </c>
      <c r="CG159" t="e">
        <f>AND('SPR BARRANQUILLA'!O191,"AAAAAB/29VQ=")</f>
        <v>#VALUE!</v>
      </c>
      <c r="CH159" t="e">
        <f>AND('SPR BARRANQUILLA'!P191,"AAAAAB/29VU=")</f>
        <v>#VALUE!</v>
      </c>
      <c r="CI159" t="e">
        <f>AND('SPR BARRANQUILLA'!Q191,"AAAAAB/29VY=")</f>
        <v>#VALUE!</v>
      </c>
      <c r="CJ159" t="e">
        <f>AND('SPR BARRANQUILLA'!R191,"AAAAAB/29Vc=")</f>
        <v>#VALUE!</v>
      </c>
      <c r="CK159" t="e">
        <f>AND('SPR BARRANQUILLA'!S191,"AAAAAB/29Vg=")</f>
        <v>#VALUE!</v>
      </c>
      <c r="CL159" t="e">
        <f>AND('SPR BARRANQUILLA'!T191,"AAAAAB/29Vk=")</f>
        <v>#VALUE!</v>
      </c>
      <c r="CM159" t="e">
        <f>AND('SPR BARRANQUILLA'!U191,"AAAAAB/29Vo=")</f>
        <v>#VALUE!</v>
      </c>
      <c r="CN159" t="e">
        <f>AND('SPR BARRANQUILLA'!V191,"AAAAAB/29Vs=")</f>
        <v>#VALUE!</v>
      </c>
      <c r="CO159" t="e">
        <f>AND('SPR BARRANQUILLA'!W191,"AAAAAB/29Vw=")</f>
        <v>#VALUE!</v>
      </c>
      <c r="CP159" t="e">
        <f>AND('SPR BARRANQUILLA'!X191,"AAAAAB/29V0=")</f>
        <v>#VALUE!</v>
      </c>
      <c r="CQ159" t="e">
        <f>AND('SPR BARRANQUILLA'!Y191,"AAAAAB/29V4=")</f>
        <v>#VALUE!</v>
      </c>
      <c r="CR159" t="e">
        <f>AND('SPR BARRANQUILLA'!Z191,"AAAAAB/29V8=")</f>
        <v>#VALUE!</v>
      </c>
      <c r="CS159" t="e">
        <f>AND('SPR BARRANQUILLA'!AA191,"AAAAAB/29WA=")</f>
        <v>#VALUE!</v>
      </c>
      <c r="CT159" t="e">
        <f>AND('SPR BARRANQUILLA'!AB191,"AAAAAB/29WE=")</f>
        <v>#VALUE!</v>
      </c>
      <c r="CU159" t="e">
        <f>AND('SPR BARRANQUILLA'!AC191,"AAAAAB/29WI=")</f>
        <v>#VALUE!</v>
      </c>
      <c r="CV159" t="e">
        <f>AND('SPR BARRANQUILLA'!AD191,"AAAAAB/29WM=")</f>
        <v>#VALUE!</v>
      </c>
      <c r="CW159" t="e">
        <f>AND('SPR BARRANQUILLA'!AE191,"AAAAAB/29WQ=")</f>
        <v>#VALUE!</v>
      </c>
      <c r="CX159" t="e">
        <f>AND('SPR BARRANQUILLA'!AF191,"AAAAAB/29WU=")</f>
        <v>#VALUE!</v>
      </c>
      <c r="CY159" t="e">
        <f>AND('SPR BARRANQUILLA'!AG191,"AAAAAB/29WY=")</f>
        <v>#VALUE!</v>
      </c>
      <c r="CZ159" t="e">
        <f>AND('SPR BARRANQUILLA'!AH191,"AAAAAB/29Wc=")</f>
        <v>#VALUE!</v>
      </c>
      <c r="DA159" t="e">
        <f>AND('SPR BARRANQUILLA'!AI191,"AAAAAB/29Wg=")</f>
        <v>#VALUE!</v>
      </c>
      <c r="DB159" t="e">
        <f>AND('SPR BARRANQUILLA'!AJ191,"AAAAAB/29Wk=")</f>
        <v>#VALUE!</v>
      </c>
      <c r="DC159" t="e">
        <f>AND('SPR BARRANQUILLA'!AK191,"AAAAAB/29Wo=")</f>
        <v>#VALUE!</v>
      </c>
      <c r="DD159" t="e">
        <f>AND('SPR BARRANQUILLA'!AL191,"AAAAAB/29Ws=")</f>
        <v>#VALUE!</v>
      </c>
      <c r="DE159" t="e">
        <f>AND('SPR BARRANQUILLA'!AM191,"AAAAAB/29Ww=")</f>
        <v>#VALUE!</v>
      </c>
      <c r="DF159" t="e">
        <f>AND('SPR BARRANQUILLA'!AN191,"AAAAAB/29W0=")</f>
        <v>#VALUE!</v>
      </c>
      <c r="DG159" t="e">
        <f>AND('SPR BARRANQUILLA'!AO191,"AAAAAB/29W4=")</f>
        <v>#VALUE!</v>
      </c>
      <c r="DH159" t="e">
        <f>AND('SPR BARRANQUILLA'!AP191,"AAAAAB/29W8=")</f>
        <v>#VALUE!</v>
      </c>
      <c r="DI159" t="e">
        <f>AND('SPR BARRANQUILLA'!AQ191,"AAAAAB/29XA=")</f>
        <v>#VALUE!</v>
      </c>
      <c r="DJ159" t="e">
        <f>AND('SPR BARRANQUILLA'!AR191,"AAAAAB/29XE=")</f>
        <v>#VALUE!</v>
      </c>
      <c r="DK159" t="e">
        <f>AND('SPR BARRANQUILLA'!AS191,"AAAAAB/29XI=")</f>
        <v>#VALUE!</v>
      </c>
      <c r="DL159" t="e">
        <f>AND('SPR BARRANQUILLA'!AT191,"AAAAAB/29XM=")</f>
        <v>#VALUE!</v>
      </c>
      <c r="DM159" t="e">
        <f>AND('SPR BARRANQUILLA'!AU191,"AAAAAB/29XQ=")</f>
        <v>#VALUE!</v>
      </c>
      <c r="DN159" t="e">
        <f>AND('SPR BARRANQUILLA'!AV191,"AAAAAB/29XU=")</f>
        <v>#VALUE!</v>
      </c>
      <c r="DO159" t="e">
        <f>AND('SPR BARRANQUILLA'!AW191,"AAAAAB/29XY=")</f>
        <v>#VALUE!</v>
      </c>
      <c r="DP159" t="e">
        <f>AND('SPR BARRANQUILLA'!AX191,"AAAAAB/29Xc=")</f>
        <v>#VALUE!</v>
      </c>
      <c r="DQ159" t="e">
        <f>AND('SPR BARRANQUILLA'!AY191,"AAAAAB/29Xg=")</f>
        <v>#VALUE!</v>
      </c>
      <c r="DR159" t="e">
        <f>AND('SPR BARRANQUILLA'!AZ191,"AAAAAB/29Xk=")</f>
        <v>#VALUE!</v>
      </c>
      <c r="DS159" t="e">
        <f>AND('SPR BARRANQUILLA'!BA191,"AAAAAB/29Xo=")</f>
        <v>#VALUE!</v>
      </c>
      <c r="DT159" t="e">
        <f>AND('SPR BARRANQUILLA'!BB191,"AAAAAB/29Xs=")</f>
        <v>#VALUE!</v>
      </c>
      <c r="DU159" t="e">
        <f>AND('SPR BARRANQUILLA'!BC191,"AAAAAB/29Xw=")</f>
        <v>#VALUE!</v>
      </c>
      <c r="DV159" t="e">
        <f>AND('SPR BARRANQUILLA'!BD191,"AAAAAB/29X0=")</f>
        <v>#VALUE!</v>
      </c>
      <c r="DW159" t="e">
        <f>AND('SPR BARRANQUILLA'!BE191,"AAAAAB/29X4=")</f>
        <v>#VALUE!</v>
      </c>
      <c r="DX159" t="e">
        <f>AND('SPR BARRANQUILLA'!BF191,"AAAAAB/29X8=")</f>
        <v>#VALUE!</v>
      </c>
      <c r="DY159" t="e">
        <f>AND('SPR BARRANQUILLA'!BG191,"AAAAAB/29YA=")</f>
        <v>#VALUE!</v>
      </c>
      <c r="DZ159" t="e">
        <f>AND('SPR BARRANQUILLA'!BH191,"AAAAAB/29YE=")</f>
        <v>#VALUE!</v>
      </c>
      <c r="EA159" t="e">
        <f>AND('SPR BARRANQUILLA'!BI191,"AAAAAB/29YI=")</f>
        <v>#VALUE!</v>
      </c>
      <c r="EB159" t="e">
        <f>AND('SPR BARRANQUILLA'!BJ191,"AAAAAB/29YM=")</f>
        <v>#VALUE!</v>
      </c>
      <c r="EC159" t="e">
        <f>AND('SPR BARRANQUILLA'!BK191,"AAAAAB/29YQ=")</f>
        <v>#VALUE!</v>
      </c>
      <c r="ED159" t="e">
        <f>AND('SPR BARRANQUILLA'!BL191,"AAAAAB/29YU=")</f>
        <v>#VALUE!</v>
      </c>
      <c r="EE159" t="e">
        <f>AND('SPR BARRANQUILLA'!BM191,"AAAAAB/29YY=")</f>
        <v>#VALUE!</v>
      </c>
      <c r="EF159" t="e">
        <f>AND('SPR BARRANQUILLA'!BN191,"AAAAAB/29Yc=")</f>
        <v>#VALUE!</v>
      </c>
      <c r="EG159" t="e">
        <f>AND('SPR BARRANQUILLA'!BO191,"AAAAAB/29Yg=")</f>
        <v>#VALUE!</v>
      </c>
      <c r="EH159" t="e">
        <f>AND('SPR BARRANQUILLA'!BP191,"AAAAAB/29Yk=")</f>
        <v>#VALUE!</v>
      </c>
      <c r="EI159" t="e">
        <f>AND('SPR BARRANQUILLA'!BQ191,"AAAAAB/29Yo=")</f>
        <v>#VALUE!</v>
      </c>
      <c r="EJ159" t="e">
        <f>AND('SPR BARRANQUILLA'!BR191,"AAAAAB/29Ys=")</f>
        <v>#VALUE!</v>
      </c>
      <c r="EK159" t="e">
        <f>AND('SPR BARRANQUILLA'!BS191,"AAAAAB/29Yw=")</f>
        <v>#VALUE!</v>
      </c>
      <c r="EL159" t="e">
        <f>AND('SPR BARRANQUILLA'!BT191,"AAAAAB/29Y0=")</f>
        <v>#VALUE!</v>
      </c>
      <c r="EM159" t="e">
        <f>AND('SPR BARRANQUILLA'!BU191,"AAAAAB/29Y4=")</f>
        <v>#VALUE!</v>
      </c>
      <c r="EN159" t="e">
        <f>AND('SPR BARRANQUILLA'!BV191,"AAAAAB/29Y8=")</f>
        <v>#VALUE!</v>
      </c>
      <c r="EO159" t="e">
        <f>AND('SPR BARRANQUILLA'!BW191,"AAAAAB/29ZA=")</f>
        <v>#VALUE!</v>
      </c>
      <c r="EP159" t="e">
        <f>AND('SPR BARRANQUILLA'!BX191,"AAAAAB/29ZE=")</f>
        <v>#VALUE!</v>
      </c>
      <c r="EQ159" t="e">
        <f>AND('SPR BARRANQUILLA'!BY191,"AAAAAB/29ZI=")</f>
        <v>#VALUE!</v>
      </c>
      <c r="ER159" t="e">
        <f>AND('SPR BARRANQUILLA'!BZ191,"AAAAAB/29ZM=")</f>
        <v>#VALUE!</v>
      </c>
      <c r="ES159" t="e">
        <f>AND('SPR BARRANQUILLA'!CA191,"AAAAAB/29ZQ=")</f>
        <v>#VALUE!</v>
      </c>
      <c r="ET159" t="e">
        <f>AND('SPR BARRANQUILLA'!CB191,"AAAAAB/29ZU=")</f>
        <v>#VALUE!</v>
      </c>
      <c r="EU159" t="e">
        <f>AND('SPR BARRANQUILLA'!CC191,"AAAAAB/29ZY=")</f>
        <v>#VALUE!</v>
      </c>
      <c r="EV159" t="e">
        <f>AND('SPR BARRANQUILLA'!CD191,"AAAAAB/29Zc=")</f>
        <v>#VALUE!</v>
      </c>
      <c r="EW159" t="e">
        <f>AND('SPR BARRANQUILLA'!CE191,"AAAAAB/29Zg=")</f>
        <v>#VALUE!</v>
      </c>
      <c r="EX159" t="e">
        <f>AND('SPR BARRANQUILLA'!CF191,"AAAAAB/29Zk=")</f>
        <v>#VALUE!</v>
      </c>
      <c r="EY159" t="e">
        <f>AND('SPR BARRANQUILLA'!CG191,"AAAAAB/29Zo=")</f>
        <v>#VALUE!</v>
      </c>
      <c r="EZ159" t="e">
        <f>AND('SPR BARRANQUILLA'!CH191,"AAAAAB/29Zs=")</f>
        <v>#VALUE!</v>
      </c>
      <c r="FA159" t="e">
        <f>AND('SPR BARRANQUILLA'!CI191,"AAAAAB/29Zw=")</f>
        <v>#VALUE!</v>
      </c>
      <c r="FB159" t="e">
        <f>AND('SPR BARRANQUILLA'!CJ191,"AAAAAB/29Z0=")</f>
        <v>#VALUE!</v>
      </c>
      <c r="FC159" t="e">
        <f>AND('SPR BARRANQUILLA'!CK191,"AAAAAB/29Z4=")</f>
        <v>#VALUE!</v>
      </c>
      <c r="FD159" t="e">
        <f>AND('SPR BARRANQUILLA'!CL191,"AAAAAB/29Z8=")</f>
        <v>#VALUE!</v>
      </c>
      <c r="FE159" t="e">
        <f>AND('SPR BARRANQUILLA'!CM191,"AAAAAB/29aA=")</f>
        <v>#VALUE!</v>
      </c>
      <c r="FF159" t="e">
        <f>AND('SPR BARRANQUILLA'!CN191,"AAAAAB/29aE=")</f>
        <v>#VALUE!</v>
      </c>
      <c r="FG159" t="e">
        <f>AND('SPR BARRANQUILLA'!CO191,"AAAAAB/29aI=")</f>
        <v>#VALUE!</v>
      </c>
      <c r="FH159" t="e">
        <f>AND('SPR BARRANQUILLA'!CP191,"AAAAAB/29aM=")</f>
        <v>#VALUE!</v>
      </c>
      <c r="FI159" t="e">
        <f>AND('SPR BARRANQUILLA'!CQ191,"AAAAAB/29aQ=")</f>
        <v>#VALUE!</v>
      </c>
      <c r="FJ159" t="e">
        <f>AND('SPR BARRANQUILLA'!CR191,"AAAAAB/29aU=")</f>
        <v>#VALUE!</v>
      </c>
      <c r="FK159" t="e">
        <f>AND('SPR BARRANQUILLA'!CS191,"AAAAAB/29aY=")</f>
        <v>#VALUE!</v>
      </c>
      <c r="FL159" t="e">
        <f>AND('SPR BARRANQUILLA'!CT191,"AAAAAB/29ac=")</f>
        <v>#VALUE!</v>
      </c>
      <c r="FM159" t="e">
        <f>AND('SPR BARRANQUILLA'!CU191,"AAAAAB/29ag=")</f>
        <v>#VALUE!</v>
      </c>
      <c r="FN159" t="e">
        <f>AND('SPR BARRANQUILLA'!CV191,"AAAAAB/29ak=")</f>
        <v>#VALUE!</v>
      </c>
      <c r="FO159" t="e">
        <f>AND('SPR BARRANQUILLA'!CW191,"AAAAAB/29ao=")</f>
        <v>#VALUE!</v>
      </c>
      <c r="FP159" t="e">
        <f>AND('SPR BARRANQUILLA'!CX191,"AAAAAB/29as=")</f>
        <v>#VALUE!</v>
      </c>
      <c r="FQ159" t="e">
        <f>AND('SPR BARRANQUILLA'!CY191,"AAAAAB/29aw=")</f>
        <v>#VALUE!</v>
      </c>
      <c r="FR159" t="e">
        <f>AND('SPR BARRANQUILLA'!CZ191,"AAAAAB/29a0=")</f>
        <v>#VALUE!</v>
      </c>
      <c r="FS159" t="e">
        <f>AND('SPR BARRANQUILLA'!DA191,"AAAAAB/29a4=")</f>
        <v>#VALUE!</v>
      </c>
      <c r="FT159" t="e">
        <f>AND('SPR BARRANQUILLA'!DB191,"AAAAAB/29a8=")</f>
        <v>#VALUE!</v>
      </c>
      <c r="FU159" t="e">
        <f>AND('SPR BARRANQUILLA'!DC191,"AAAAAB/29bA=")</f>
        <v>#VALUE!</v>
      </c>
      <c r="FV159" t="e">
        <f>AND('SPR BARRANQUILLA'!DD191,"AAAAAB/29bE=")</f>
        <v>#VALUE!</v>
      </c>
      <c r="FW159" t="e">
        <f>AND('SPR BARRANQUILLA'!DE191,"AAAAAB/29bI=")</f>
        <v>#VALUE!</v>
      </c>
      <c r="FX159" t="e">
        <f>AND('SPR BARRANQUILLA'!DF191,"AAAAAB/29bM=")</f>
        <v>#VALUE!</v>
      </c>
      <c r="FY159" t="e">
        <f>AND('SPR BARRANQUILLA'!DG191,"AAAAAB/29bQ=")</f>
        <v>#VALUE!</v>
      </c>
      <c r="FZ159" t="e">
        <f>AND('SPR BARRANQUILLA'!DH191,"AAAAAB/29bU=")</f>
        <v>#VALUE!</v>
      </c>
      <c r="GA159" t="e">
        <f>AND('SPR BARRANQUILLA'!DI191,"AAAAAB/29bY=")</f>
        <v>#VALUE!</v>
      </c>
      <c r="GB159" t="e">
        <f>AND('SPR BARRANQUILLA'!DJ191,"AAAAAB/29bc=")</f>
        <v>#VALUE!</v>
      </c>
      <c r="GC159" t="e">
        <f>AND('SPR BARRANQUILLA'!DK191,"AAAAAB/29bg=")</f>
        <v>#VALUE!</v>
      </c>
      <c r="GD159" t="e">
        <f>AND('SPR BARRANQUILLA'!DL191,"AAAAAB/29bk=")</f>
        <v>#VALUE!</v>
      </c>
      <c r="GE159" t="e">
        <f>AND('SPR BARRANQUILLA'!DM191,"AAAAAB/29bo=")</f>
        <v>#VALUE!</v>
      </c>
      <c r="GF159" t="e">
        <f>AND('SPR BARRANQUILLA'!DN191,"AAAAAB/29bs=")</f>
        <v>#VALUE!</v>
      </c>
      <c r="GG159" t="e">
        <f>AND('SPR BARRANQUILLA'!DO191,"AAAAAB/29bw=")</f>
        <v>#VALUE!</v>
      </c>
      <c r="GH159" t="e">
        <f>AND('SPR BARRANQUILLA'!DP191,"AAAAAB/29b0=")</f>
        <v>#VALUE!</v>
      </c>
      <c r="GI159" t="e">
        <f>AND('SPR BARRANQUILLA'!DQ191,"AAAAAB/29b4=")</f>
        <v>#VALUE!</v>
      </c>
      <c r="GJ159" t="e">
        <f>AND('SPR BARRANQUILLA'!DR191,"AAAAAB/29b8=")</f>
        <v>#VALUE!</v>
      </c>
      <c r="GK159" t="e">
        <f>AND('SPR BARRANQUILLA'!DS191,"AAAAAB/29cA=")</f>
        <v>#VALUE!</v>
      </c>
      <c r="GL159" t="e">
        <f>AND('SPR BARRANQUILLA'!DT191,"AAAAAB/29cE=")</f>
        <v>#VALUE!</v>
      </c>
      <c r="GM159" t="e">
        <f>AND('SPR BARRANQUILLA'!DU191,"AAAAAB/29cI=")</f>
        <v>#VALUE!</v>
      </c>
      <c r="GN159" t="e">
        <f>AND('SPR BARRANQUILLA'!DV191,"AAAAAB/29cM=")</f>
        <v>#VALUE!</v>
      </c>
      <c r="GO159" t="e">
        <f>AND('SPR BARRANQUILLA'!DW191,"AAAAAB/29cQ=")</f>
        <v>#VALUE!</v>
      </c>
      <c r="GP159" t="e">
        <f>AND('SPR BARRANQUILLA'!DX191,"AAAAAB/29cU=")</f>
        <v>#VALUE!</v>
      </c>
      <c r="GQ159" t="e">
        <f>AND('SPR BARRANQUILLA'!DY191,"AAAAAB/29cY=")</f>
        <v>#VALUE!</v>
      </c>
      <c r="GR159" t="e">
        <f>AND('SPR BARRANQUILLA'!DZ191,"AAAAAB/29cc=")</f>
        <v>#VALUE!</v>
      </c>
      <c r="GS159" t="e">
        <f>AND('SPR BARRANQUILLA'!EA191,"AAAAAB/29cg=")</f>
        <v>#VALUE!</v>
      </c>
      <c r="GT159" t="e">
        <f>AND('SPR BARRANQUILLA'!EB191,"AAAAAB/29ck=")</f>
        <v>#VALUE!</v>
      </c>
      <c r="GU159" t="e">
        <f>AND('SPR BARRANQUILLA'!EC191,"AAAAAB/29co=")</f>
        <v>#VALUE!</v>
      </c>
      <c r="GV159" t="e">
        <f>AND('SPR BARRANQUILLA'!ED191,"AAAAAB/29cs=")</f>
        <v>#VALUE!</v>
      </c>
      <c r="GW159" t="e">
        <f>AND('SPR BARRANQUILLA'!EE191,"AAAAAB/29cw=")</f>
        <v>#VALUE!</v>
      </c>
      <c r="GX159" t="e">
        <f>AND('SPR BARRANQUILLA'!EF191,"AAAAAB/29c0=")</f>
        <v>#VALUE!</v>
      </c>
      <c r="GY159" t="e">
        <f>AND('SPR BARRANQUILLA'!EG191,"AAAAAB/29c4=")</f>
        <v>#VALUE!</v>
      </c>
      <c r="GZ159" t="e">
        <f>AND('SPR BARRANQUILLA'!EH191,"AAAAAB/29c8=")</f>
        <v>#VALUE!</v>
      </c>
      <c r="HA159" t="e">
        <f>AND('SPR BARRANQUILLA'!EI191,"AAAAAB/29dA=")</f>
        <v>#VALUE!</v>
      </c>
      <c r="HB159" t="e">
        <f>AND('SPR BARRANQUILLA'!EJ191,"AAAAAB/29dE=")</f>
        <v>#VALUE!</v>
      </c>
      <c r="HC159" t="e">
        <f>AND('SPR BARRANQUILLA'!EK191,"AAAAAB/29dI=")</f>
        <v>#VALUE!</v>
      </c>
      <c r="HD159" t="e">
        <f>AND('SPR BARRANQUILLA'!EL191,"AAAAAB/29dM=")</f>
        <v>#VALUE!</v>
      </c>
      <c r="HE159" t="e">
        <f>AND('SPR BARRANQUILLA'!EM191,"AAAAAB/29dQ=")</f>
        <v>#VALUE!</v>
      </c>
      <c r="HF159" t="e">
        <f>AND('SPR BARRANQUILLA'!EN191,"AAAAAB/29dU=")</f>
        <v>#VALUE!</v>
      </c>
      <c r="HG159" t="e">
        <f>AND('SPR BARRANQUILLA'!EO191,"AAAAAB/29dY=")</f>
        <v>#VALUE!</v>
      </c>
      <c r="HH159" t="e">
        <f>AND('SPR BARRANQUILLA'!EP191,"AAAAAB/29dc=")</f>
        <v>#VALUE!</v>
      </c>
      <c r="HI159" t="e">
        <f>AND('SPR BARRANQUILLA'!EQ191,"AAAAAB/29dg=")</f>
        <v>#VALUE!</v>
      </c>
      <c r="HJ159" t="e">
        <f>AND('SPR BARRANQUILLA'!ER191,"AAAAAB/29dk=")</f>
        <v>#VALUE!</v>
      </c>
      <c r="HK159" t="e">
        <f>AND('SPR BARRANQUILLA'!ES191,"AAAAAB/29do=")</f>
        <v>#VALUE!</v>
      </c>
      <c r="HL159" t="e">
        <f>AND('SPR BARRANQUILLA'!ET191,"AAAAAB/29ds=")</f>
        <v>#VALUE!</v>
      </c>
      <c r="HM159" t="e">
        <f>AND('SPR BARRANQUILLA'!EU191,"AAAAAB/29dw=")</f>
        <v>#VALUE!</v>
      </c>
      <c r="HN159" t="e">
        <f>AND('SPR BARRANQUILLA'!EV191,"AAAAAB/29d0=")</f>
        <v>#VALUE!</v>
      </c>
      <c r="HO159" t="e">
        <f>AND('SPR BARRANQUILLA'!EW191,"AAAAAB/29d4=")</f>
        <v>#VALUE!</v>
      </c>
      <c r="HP159" t="e">
        <f>AND('SPR BARRANQUILLA'!EX191,"AAAAAB/29d8=")</f>
        <v>#VALUE!</v>
      </c>
      <c r="HQ159" t="e">
        <f>AND('SPR BARRANQUILLA'!EY191,"AAAAAB/29eA=")</f>
        <v>#VALUE!</v>
      </c>
      <c r="HR159" t="e">
        <f>AND('SPR BARRANQUILLA'!EZ191,"AAAAAB/29eE=")</f>
        <v>#VALUE!</v>
      </c>
      <c r="HS159" t="e">
        <f>AND('SPR BARRANQUILLA'!FA191,"AAAAAB/29eI=")</f>
        <v>#VALUE!</v>
      </c>
      <c r="HT159" t="e">
        <f>AND('SPR BARRANQUILLA'!FB191,"AAAAAB/29eM=")</f>
        <v>#VALUE!</v>
      </c>
      <c r="HU159" t="e">
        <f>AND('SPR BARRANQUILLA'!FC191,"AAAAAB/29eQ=")</f>
        <v>#VALUE!</v>
      </c>
      <c r="HV159" t="e">
        <f>AND('SPR BARRANQUILLA'!FD191,"AAAAAB/29eU=")</f>
        <v>#VALUE!</v>
      </c>
      <c r="HW159" t="e">
        <f>AND('SPR BARRANQUILLA'!FE191,"AAAAAB/29eY=")</f>
        <v>#VALUE!</v>
      </c>
      <c r="HX159" t="e">
        <f>AND('SPR BARRANQUILLA'!FF191,"AAAAAB/29ec=")</f>
        <v>#VALUE!</v>
      </c>
      <c r="HY159" t="e">
        <f>AND('SPR BARRANQUILLA'!FG191,"AAAAAB/29eg=")</f>
        <v>#VALUE!</v>
      </c>
      <c r="HZ159" t="e">
        <f>AND('SPR BARRANQUILLA'!FH191,"AAAAAB/29ek=")</f>
        <v>#VALUE!</v>
      </c>
      <c r="IA159" t="e">
        <f>AND('SPR BARRANQUILLA'!FI191,"AAAAAB/29eo=")</f>
        <v>#VALUE!</v>
      </c>
      <c r="IB159" t="e">
        <f>AND('SPR BARRANQUILLA'!FJ191,"AAAAAB/29es=")</f>
        <v>#VALUE!</v>
      </c>
      <c r="IC159" t="e">
        <f>AND('SPR BARRANQUILLA'!FK191,"AAAAAB/29ew=")</f>
        <v>#VALUE!</v>
      </c>
      <c r="ID159" t="e">
        <f>AND('SPR BARRANQUILLA'!FL191,"AAAAAB/29e0=")</f>
        <v>#VALUE!</v>
      </c>
      <c r="IE159" t="e">
        <f>AND('SPR BARRANQUILLA'!FM191,"AAAAAB/29e4=")</f>
        <v>#VALUE!</v>
      </c>
      <c r="IF159" t="e">
        <f>AND('SPR BARRANQUILLA'!FN191,"AAAAAB/29e8=")</f>
        <v>#VALUE!</v>
      </c>
      <c r="IG159" t="e">
        <f>AND('SPR BARRANQUILLA'!FO191,"AAAAAB/29fA=")</f>
        <v>#VALUE!</v>
      </c>
      <c r="IH159" t="e">
        <f>AND('SPR BARRANQUILLA'!FP191,"AAAAAB/29fE=")</f>
        <v>#VALUE!</v>
      </c>
      <c r="II159" t="e">
        <f>AND('SPR BARRANQUILLA'!FQ191,"AAAAAB/29fI=")</f>
        <v>#VALUE!</v>
      </c>
      <c r="IJ159" t="e">
        <f>AND('SPR BARRANQUILLA'!FR191,"AAAAAB/29fM=")</f>
        <v>#VALUE!</v>
      </c>
      <c r="IK159" t="e">
        <f>AND('SPR BARRANQUILLA'!FS191,"AAAAAB/29fQ=")</f>
        <v>#VALUE!</v>
      </c>
      <c r="IL159" t="e">
        <f>AND('SPR BARRANQUILLA'!FT191,"AAAAAB/29fU=")</f>
        <v>#VALUE!</v>
      </c>
      <c r="IM159" t="e">
        <f>AND('SPR BARRANQUILLA'!FU191,"AAAAAB/29fY=")</f>
        <v>#VALUE!</v>
      </c>
      <c r="IN159" t="e">
        <f>AND('SPR BARRANQUILLA'!FV191,"AAAAAB/29fc=")</f>
        <v>#VALUE!</v>
      </c>
      <c r="IO159" t="e">
        <f>AND('SPR BARRANQUILLA'!FW191,"AAAAAB/29fg=")</f>
        <v>#VALUE!</v>
      </c>
      <c r="IP159" t="e">
        <f>AND('SPR BARRANQUILLA'!FX191,"AAAAAB/29fk=")</f>
        <v>#VALUE!</v>
      </c>
      <c r="IQ159" t="e">
        <f>AND('SPR BARRANQUILLA'!FY191,"AAAAAB/29fo=")</f>
        <v>#VALUE!</v>
      </c>
      <c r="IR159" t="e">
        <f>AND('SPR BARRANQUILLA'!FZ191,"AAAAAB/29fs=")</f>
        <v>#VALUE!</v>
      </c>
      <c r="IS159" t="e">
        <f>AND('SPR BARRANQUILLA'!GA191,"AAAAAB/29fw=")</f>
        <v>#VALUE!</v>
      </c>
      <c r="IT159" t="e">
        <f>AND('SPR BARRANQUILLA'!GB191,"AAAAAB/29f0=")</f>
        <v>#VALUE!</v>
      </c>
      <c r="IU159" t="e">
        <f>AND('SPR BARRANQUILLA'!GC191,"AAAAAB/29f4=")</f>
        <v>#VALUE!</v>
      </c>
      <c r="IV159" t="e">
        <f>AND('SPR BARRANQUILLA'!GD191,"AAAAAB/29f8=")</f>
        <v>#VALUE!</v>
      </c>
    </row>
    <row r="160" spans="1:256">
      <c r="A160" t="e">
        <f>AND('SPR BARRANQUILLA'!GE191,"AAAAAH/t+wA=")</f>
        <v>#VALUE!</v>
      </c>
      <c r="B160" t="e">
        <f>AND('SPR BARRANQUILLA'!GF191,"AAAAAH/t+wE=")</f>
        <v>#VALUE!</v>
      </c>
      <c r="C160" t="e">
        <f>AND('SPR BARRANQUILLA'!GG191,"AAAAAH/t+wI=")</f>
        <v>#VALUE!</v>
      </c>
      <c r="D160" t="e">
        <f>AND('SPR BARRANQUILLA'!GH191,"AAAAAH/t+wM=")</f>
        <v>#VALUE!</v>
      </c>
      <c r="E160" t="e">
        <f>AND('SPR BARRANQUILLA'!GI191,"AAAAAH/t+wQ=")</f>
        <v>#VALUE!</v>
      </c>
      <c r="F160" t="e">
        <f>AND('SPR BARRANQUILLA'!GJ191,"AAAAAH/t+wU=")</f>
        <v>#VALUE!</v>
      </c>
      <c r="G160" t="e">
        <f>AND('SPR BARRANQUILLA'!GK191,"AAAAAH/t+wY=")</f>
        <v>#VALUE!</v>
      </c>
      <c r="H160" t="e">
        <f>AND('SPR BARRANQUILLA'!GL191,"AAAAAH/t+wc=")</f>
        <v>#VALUE!</v>
      </c>
      <c r="I160" t="e">
        <f>AND('SPR BARRANQUILLA'!GM191,"AAAAAH/t+wg=")</f>
        <v>#VALUE!</v>
      </c>
      <c r="J160" t="e">
        <f>AND('SPR BARRANQUILLA'!GN191,"AAAAAH/t+wk=")</f>
        <v>#VALUE!</v>
      </c>
      <c r="K160" t="e">
        <f>AND('SPR BARRANQUILLA'!GO191,"AAAAAH/t+wo=")</f>
        <v>#VALUE!</v>
      </c>
      <c r="L160" t="e">
        <f>AND('SPR BARRANQUILLA'!GP191,"AAAAAH/t+ws=")</f>
        <v>#VALUE!</v>
      </c>
      <c r="M160" t="e">
        <f>AND('SPR BARRANQUILLA'!GQ191,"AAAAAH/t+ww=")</f>
        <v>#VALUE!</v>
      </c>
      <c r="N160" t="e">
        <f>AND('SPR BARRANQUILLA'!GR191,"AAAAAH/t+w0=")</f>
        <v>#VALUE!</v>
      </c>
      <c r="O160" t="e">
        <f>AND('SPR BARRANQUILLA'!GS191,"AAAAAH/t+w4=")</f>
        <v>#VALUE!</v>
      </c>
      <c r="P160" t="e">
        <f>AND('SPR BARRANQUILLA'!GT191,"AAAAAH/t+w8=")</f>
        <v>#VALUE!</v>
      </c>
      <c r="Q160" t="e">
        <f>AND('SPR BARRANQUILLA'!GU191,"AAAAAH/t+xA=")</f>
        <v>#VALUE!</v>
      </c>
      <c r="R160" t="e">
        <f>AND('SPR BARRANQUILLA'!GV191,"AAAAAH/t+xE=")</f>
        <v>#VALUE!</v>
      </c>
      <c r="S160" t="e">
        <f>AND('SPR BARRANQUILLA'!GW191,"AAAAAH/t+xI=")</f>
        <v>#VALUE!</v>
      </c>
      <c r="T160" t="e">
        <f>AND('SPR BARRANQUILLA'!GX191,"AAAAAH/t+xM=")</f>
        <v>#VALUE!</v>
      </c>
      <c r="U160" t="e">
        <f>AND('SPR BARRANQUILLA'!GY191,"AAAAAH/t+xQ=")</f>
        <v>#VALUE!</v>
      </c>
      <c r="V160">
        <f>IF('SPR BARRANQUILLA'!192:192,"AAAAAH/t+xU=",0)</f>
        <v>0</v>
      </c>
      <c r="W160" t="e">
        <f>AND('SPR BARRANQUILLA'!A192,"AAAAAH/t+xY=")</f>
        <v>#VALUE!</v>
      </c>
      <c r="X160" t="e">
        <f>AND('SPR BARRANQUILLA'!B192,"AAAAAH/t+xc=")</f>
        <v>#VALUE!</v>
      </c>
      <c r="Y160" t="e">
        <f>AND('SPR BARRANQUILLA'!C192,"AAAAAH/t+xg=")</f>
        <v>#VALUE!</v>
      </c>
      <c r="Z160" t="e">
        <f>AND('SPR BARRANQUILLA'!D192,"AAAAAH/t+xk=")</f>
        <v>#VALUE!</v>
      </c>
      <c r="AA160" t="e">
        <f>AND('SPR BARRANQUILLA'!E192,"AAAAAH/t+xo=")</f>
        <v>#VALUE!</v>
      </c>
      <c r="AB160" t="e">
        <f>AND('SPR BARRANQUILLA'!F192,"AAAAAH/t+xs=")</f>
        <v>#VALUE!</v>
      </c>
      <c r="AC160" t="e">
        <f>AND('SPR BARRANQUILLA'!G192,"AAAAAH/t+xw=")</f>
        <v>#VALUE!</v>
      </c>
      <c r="AD160" t="e">
        <f>AND('SPR BARRANQUILLA'!H192,"AAAAAH/t+x0=")</f>
        <v>#VALUE!</v>
      </c>
      <c r="AE160" t="e">
        <f>AND('SPR BARRANQUILLA'!I192,"AAAAAH/t+x4=")</f>
        <v>#VALUE!</v>
      </c>
      <c r="AF160" t="e">
        <f>AND('SPR BARRANQUILLA'!J192,"AAAAAH/t+x8=")</f>
        <v>#VALUE!</v>
      </c>
      <c r="AG160" t="e">
        <f>AND('SPR BARRANQUILLA'!K192,"AAAAAH/t+yA=")</f>
        <v>#VALUE!</v>
      </c>
      <c r="AH160" t="e">
        <f>AND('SPR BARRANQUILLA'!L192,"AAAAAH/t+yE=")</f>
        <v>#VALUE!</v>
      </c>
      <c r="AI160" t="e">
        <f>AND('SPR BARRANQUILLA'!M192,"AAAAAH/t+yI=")</f>
        <v>#VALUE!</v>
      </c>
      <c r="AJ160" t="e">
        <f>AND('SPR BARRANQUILLA'!N192,"AAAAAH/t+yM=")</f>
        <v>#VALUE!</v>
      </c>
      <c r="AK160" t="e">
        <f>AND('SPR BARRANQUILLA'!O192,"AAAAAH/t+yQ=")</f>
        <v>#VALUE!</v>
      </c>
      <c r="AL160" t="e">
        <f>AND('SPR BARRANQUILLA'!P192,"AAAAAH/t+yU=")</f>
        <v>#VALUE!</v>
      </c>
      <c r="AM160" t="e">
        <f>AND('SPR BARRANQUILLA'!Q192,"AAAAAH/t+yY=")</f>
        <v>#VALUE!</v>
      </c>
      <c r="AN160" t="e">
        <f>AND('SPR BARRANQUILLA'!R192,"AAAAAH/t+yc=")</f>
        <v>#VALUE!</v>
      </c>
      <c r="AO160" t="e">
        <f>AND('SPR BARRANQUILLA'!S192,"AAAAAH/t+yg=")</f>
        <v>#VALUE!</v>
      </c>
      <c r="AP160" t="e">
        <f>AND('SPR BARRANQUILLA'!T192,"AAAAAH/t+yk=")</f>
        <v>#VALUE!</v>
      </c>
      <c r="AQ160" t="e">
        <f>AND('SPR BARRANQUILLA'!U192,"AAAAAH/t+yo=")</f>
        <v>#VALUE!</v>
      </c>
      <c r="AR160" t="e">
        <f>AND('SPR BARRANQUILLA'!V192,"AAAAAH/t+ys=")</f>
        <v>#VALUE!</v>
      </c>
      <c r="AS160" t="e">
        <f>AND('SPR BARRANQUILLA'!W192,"AAAAAH/t+yw=")</f>
        <v>#VALUE!</v>
      </c>
      <c r="AT160" t="e">
        <f>AND('SPR BARRANQUILLA'!X192,"AAAAAH/t+y0=")</f>
        <v>#VALUE!</v>
      </c>
      <c r="AU160" t="e">
        <f>AND('SPR BARRANQUILLA'!Y192,"AAAAAH/t+y4=")</f>
        <v>#VALUE!</v>
      </c>
      <c r="AV160" t="e">
        <f>AND('SPR BARRANQUILLA'!Z192,"AAAAAH/t+y8=")</f>
        <v>#VALUE!</v>
      </c>
      <c r="AW160" t="e">
        <f>AND('SPR BARRANQUILLA'!AA192,"AAAAAH/t+zA=")</f>
        <v>#VALUE!</v>
      </c>
      <c r="AX160" t="e">
        <f>AND('SPR BARRANQUILLA'!AB192,"AAAAAH/t+zE=")</f>
        <v>#VALUE!</v>
      </c>
      <c r="AY160" t="e">
        <f>AND('SPR BARRANQUILLA'!AC192,"AAAAAH/t+zI=")</f>
        <v>#VALUE!</v>
      </c>
      <c r="AZ160" t="e">
        <f>AND('SPR BARRANQUILLA'!AD192,"AAAAAH/t+zM=")</f>
        <v>#VALUE!</v>
      </c>
      <c r="BA160" t="e">
        <f>AND('SPR BARRANQUILLA'!AE192,"AAAAAH/t+zQ=")</f>
        <v>#VALUE!</v>
      </c>
      <c r="BB160" t="e">
        <f>AND('SPR BARRANQUILLA'!AF192,"AAAAAH/t+zU=")</f>
        <v>#VALUE!</v>
      </c>
      <c r="BC160" t="e">
        <f>AND('SPR BARRANQUILLA'!AG192,"AAAAAH/t+zY=")</f>
        <v>#VALUE!</v>
      </c>
      <c r="BD160" t="e">
        <f>AND('SPR BARRANQUILLA'!AH192,"AAAAAH/t+zc=")</f>
        <v>#VALUE!</v>
      </c>
      <c r="BE160" t="e">
        <f>AND('SPR BARRANQUILLA'!AI192,"AAAAAH/t+zg=")</f>
        <v>#VALUE!</v>
      </c>
      <c r="BF160" t="e">
        <f>AND('SPR BARRANQUILLA'!AJ192,"AAAAAH/t+zk=")</f>
        <v>#VALUE!</v>
      </c>
      <c r="BG160" t="e">
        <f>AND('SPR BARRANQUILLA'!AK192,"AAAAAH/t+zo=")</f>
        <v>#VALUE!</v>
      </c>
      <c r="BH160" t="e">
        <f>AND('SPR BARRANQUILLA'!AL192,"AAAAAH/t+zs=")</f>
        <v>#VALUE!</v>
      </c>
      <c r="BI160" t="e">
        <f>AND('SPR BARRANQUILLA'!AM192,"AAAAAH/t+zw=")</f>
        <v>#VALUE!</v>
      </c>
      <c r="BJ160" t="e">
        <f>AND('SPR BARRANQUILLA'!AN192,"AAAAAH/t+z0=")</f>
        <v>#VALUE!</v>
      </c>
      <c r="BK160" t="e">
        <f>AND('SPR BARRANQUILLA'!AO192,"AAAAAH/t+z4=")</f>
        <v>#VALUE!</v>
      </c>
      <c r="BL160" t="e">
        <f>AND('SPR BARRANQUILLA'!AP192,"AAAAAH/t+z8=")</f>
        <v>#VALUE!</v>
      </c>
      <c r="BM160" t="e">
        <f>AND('SPR BARRANQUILLA'!AQ192,"AAAAAH/t+0A=")</f>
        <v>#VALUE!</v>
      </c>
      <c r="BN160" t="e">
        <f>AND('SPR BARRANQUILLA'!AR192,"AAAAAH/t+0E=")</f>
        <v>#VALUE!</v>
      </c>
      <c r="BO160" t="e">
        <f>AND('SPR BARRANQUILLA'!AS192,"AAAAAH/t+0I=")</f>
        <v>#VALUE!</v>
      </c>
      <c r="BP160" t="e">
        <f>AND('SPR BARRANQUILLA'!AT192,"AAAAAH/t+0M=")</f>
        <v>#VALUE!</v>
      </c>
      <c r="BQ160" t="e">
        <f>AND('SPR BARRANQUILLA'!AU192,"AAAAAH/t+0Q=")</f>
        <v>#VALUE!</v>
      </c>
      <c r="BR160" t="e">
        <f>AND('SPR BARRANQUILLA'!AV192,"AAAAAH/t+0U=")</f>
        <v>#VALUE!</v>
      </c>
      <c r="BS160" t="e">
        <f>AND('SPR BARRANQUILLA'!AW192,"AAAAAH/t+0Y=")</f>
        <v>#VALUE!</v>
      </c>
      <c r="BT160" t="e">
        <f>AND('SPR BARRANQUILLA'!AX192,"AAAAAH/t+0c=")</f>
        <v>#VALUE!</v>
      </c>
      <c r="BU160" t="e">
        <f>AND('SPR BARRANQUILLA'!AY192,"AAAAAH/t+0g=")</f>
        <v>#VALUE!</v>
      </c>
      <c r="BV160" t="e">
        <f>AND('SPR BARRANQUILLA'!AZ192,"AAAAAH/t+0k=")</f>
        <v>#VALUE!</v>
      </c>
      <c r="BW160" t="e">
        <f>AND('SPR BARRANQUILLA'!BA192,"AAAAAH/t+0o=")</f>
        <v>#VALUE!</v>
      </c>
      <c r="BX160" t="e">
        <f>AND('SPR BARRANQUILLA'!BB192,"AAAAAH/t+0s=")</f>
        <v>#VALUE!</v>
      </c>
      <c r="BY160" t="e">
        <f>AND('SPR BARRANQUILLA'!BC192,"AAAAAH/t+0w=")</f>
        <v>#VALUE!</v>
      </c>
      <c r="BZ160" t="e">
        <f>AND('SPR BARRANQUILLA'!BD192,"AAAAAH/t+00=")</f>
        <v>#VALUE!</v>
      </c>
      <c r="CA160" t="e">
        <f>AND('SPR BARRANQUILLA'!BE192,"AAAAAH/t+04=")</f>
        <v>#VALUE!</v>
      </c>
      <c r="CB160" t="e">
        <f>AND('SPR BARRANQUILLA'!BF192,"AAAAAH/t+08=")</f>
        <v>#VALUE!</v>
      </c>
      <c r="CC160" t="e">
        <f>AND('SPR BARRANQUILLA'!BG192,"AAAAAH/t+1A=")</f>
        <v>#VALUE!</v>
      </c>
      <c r="CD160" t="e">
        <f>AND('SPR BARRANQUILLA'!BH192,"AAAAAH/t+1E=")</f>
        <v>#VALUE!</v>
      </c>
      <c r="CE160" t="e">
        <f>AND('SPR BARRANQUILLA'!BI192,"AAAAAH/t+1I=")</f>
        <v>#VALUE!</v>
      </c>
      <c r="CF160" t="e">
        <f>AND('SPR BARRANQUILLA'!BJ192,"AAAAAH/t+1M=")</f>
        <v>#VALUE!</v>
      </c>
      <c r="CG160" t="e">
        <f>AND('SPR BARRANQUILLA'!BK192,"AAAAAH/t+1Q=")</f>
        <v>#VALUE!</v>
      </c>
      <c r="CH160" t="e">
        <f>AND('SPR BARRANQUILLA'!BL192,"AAAAAH/t+1U=")</f>
        <v>#VALUE!</v>
      </c>
      <c r="CI160" t="e">
        <f>AND('SPR BARRANQUILLA'!BM192,"AAAAAH/t+1Y=")</f>
        <v>#VALUE!</v>
      </c>
      <c r="CJ160" t="e">
        <f>AND('SPR BARRANQUILLA'!BN192,"AAAAAH/t+1c=")</f>
        <v>#VALUE!</v>
      </c>
      <c r="CK160" t="e">
        <f>AND('SPR BARRANQUILLA'!BO192,"AAAAAH/t+1g=")</f>
        <v>#VALUE!</v>
      </c>
      <c r="CL160" t="e">
        <f>AND('SPR BARRANQUILLA'!BP192,"AAAAAH/t+1k=")</f>
        <v>#VALUE!</v>
      </c>
      <c r="CM160" t="e">
        <f>AND('SPR BARRANQUILLA'!BQ192,"AAAAAH/t+1o=")</f>
        <v>#VALUE!</v>
      </c>
      <c r="CN160" t="e">
        <f>AND('SPR BARRANQUILLA'!BR192,"AAAAAH/t+1s=")</f>
        <v>#VALUE!</v>
      </c>
      <c r="CO160" t="e">
        <f>AND('SPR BARRANQUILLA'!BS192,"AAAAAH/t+1w=")</f>
        <v>#VALUE!</v>
      </c>
      <c r="CP160" t="e">
        <f>AND('SPR BARRANQUILLA'!BT192,"AAAAAH/t+10=")</f>
        <v>#VALUE!</v>
      </c>
      <c r="CQ160" t="e">
        <f>AND('SPR BARRANQUILLA'!BU192,"AAAAAH/t+14=")</f>
        <v>#VALUE!</v>
      </c>
      <c r="CR160" t="e">
        <f>AND('SPR BARRANQUILLA'!BV192,"AAAAAH/t+18=")</f>
        <v>#VALUE!</v>
      </c>
      <c r="CS160" t="e">
        <f>AND('SPR BARRANQUILLA'!BW192,"AAAAAH/t+2A=")</f>
        <v>#VALUE!</v>
      </c>
      <c r="CT160" t="e">
        <f>AND('SPR BARRANQUILLA'!BX192,"AAAAAH/t+2E=")</f>
        <v>#VALUE!</v>
      </c>
      <c r="CU160" t="e">
        <f>AND('SPR BARRANQUILLA'!BY192,"AAAAAH/t+2I=")</f>
        <v>#VALUE!</v>
      </c>
      <c r="CV160" t="e">
        <f>AND('SPR BARRANQUILLA'!BZ192,"AAAAAH/t+2M=")</f>
        <v>#VALUE!</v>
      </c>
      <c r="CW160" t="e">
        <f>AND('SPR BARRANQUILLA'!CA192,"AAAAAH/t+2Q=")</f>
        <v>#VALUE!</v>
      </c>
      <c r="CX160" t="e">
        <f>AND('SPR BARRANQUILLA'!CB192,"AAAAAH/t+2U=")</f>
        <v>#VALUE!</v>
      </c>
      <c r="CY160" t="e">
        <f>AND('SPR BARRANQUILLA'!CC192,"AAAAAH/t+2Y=")</f>
        <v>#VALUE!</v>
      </c>
      <c r="CZ160" t="e">
        <f>AND('SPR BARRANQUILLA'!CD192,"AAAAAH/t+2c=")</f>
        <v>#VALUE!</v>
      </c>
      <c r="DA160" t="e">
        <f>AND('SPR BARRANQUILLA'!CE192,"AAAAAH/t+2g=")</f>
        <v>#VALUE!</v>
      </c>
      <c r="DB160" t="e">
        <f>AND('SPR BARRANQUILLA'!CF192,"AAAAAH/t+2k=")</f>
        <v>#VALUE!</v>
      </c>
      <c r="DC160" t="e">
        <f>AND('SPR BARRANQUILLA'!CG192,"AAAAAH/t+2o=")</f>
        <v>#VALUE!</v>
      </c>
      <c r="DD160" t="e">
        <f>AND('SPR BARRANQUILLA'!CH192,"AAAAAH/t+2s=")</f>
        <v>#VALUE!</v>
      </c>
      <c r="DE160" t="e">
        <f>AND('SPR BARRANQUILLA'!CI192,"AAAAAH/t+2w=")</f>
        <v>#VALUE!</v>
      </c>
      <c r="DF160" t="e">
        <f>AND('SPR BARRANQUILLA'!CJ192,"AAAAAH/t+20=")</f>
        <v>#VALUE!</v>
      </c>
      <c r="DG160" t="e">
        <f>AND('SPR BARRANQUILLA'!CK192,"AAAAAH/t+24=")</f>
        <v>#VALUE!</v>
      </c>
      <c r="DH160" t="e">
        <f>AND('SPR BARRANQUILLA'!CL192,"AAAAAH/t+28=")</f>
        <v>#VALUE!</v>
      </c>
      <c r="DI160" t="e">
        <f>AND('SPR BARRANQUILLA'!CM192,"AAAAAH/t+3A=")</f>
        <v>#VALUE!</v>
      </c>
      <c r="DJ160" t="e">
        <f>AND('SPR BARRANQUILLA'!CN192,"AAAAAH/t+3E=")</f>
        <v>#VALUE!</v>
      </c>
      <c r="DK160" t="e">
        <f>AND('SPR BARRANQUILLA'!CO192,"AAAAAH/t+3I=")</f>
        <v>#VALUE!</v>
      </c>
      <c r="DL160" t="e">
        <f>AND('SPR BARRANQUILLA'!CP192,"AAAAAH/t+3M=")</f>
        <v>#VALUE!</v>
      </c>
      <c r="DM160" t="e">
        <f>AND('SPR BARRANQUILLA'!CQ192,"AAAAAH/t+3Q=")</f>
        <v>#VALUE!</v>
      </c>
      <c r="DN160" t="e">
        <f>AND('SPR BARRANQUILLA'!CR192,"AAAAAH/t+3U=")</f>
        <v>#VALUE!</v>
      </c>
      <c r="DO160" t="e">
        <f>AND('SPR BARRANQUILLA'!CS192,"AAAAAH/t+3Y=")</f>
        <v>#VALUE!</v>
      </c>
      <c r="DP160" t="e">
        <f>AND('SPR BARRANQUILLA'!CT192,"AAAAAH/t+3c=")</f>
        <v>#VALUE!</v>
      </c>
      <c r="DQ160" t="e">
        <f>AND('SPR BARRANQUILLA'!CU192,"AAAAAH/t+3g=")</f>
        <v>#VALUE!</v>
      </c>
      <c r="DR160" t="e">
        <f>AND('SPR BARRANQUILLA'!CV192,"AAAAAH/t+3k=")</f>
        <v>#VALUE!</v>
      </c>
      <c r="DS160" t="e">
        <f>AND('SPR BARRANQUILLA'!CW192,"AAAAAH/t+3o=")</f>
        <v>#VALUE!</v>
      </c>
      <c r="DT160" t="e">
        <f>AND('SPR BARRANQUILLA'!CX192,"AAAAAH/t+3s=")</f>
        <v>#VALUE!</v>
      </c>
      <c r="DU160" t="e">
        <f>AND('SPR BARRANQUILLA'!CY192,"AAAAAH/t+3w=")</f>
        <v>#VALUE!</v>
      </c>
      <c r="DV160" t="e">
        <f>AND('SPR BARRANQUILLA'!CZ192,"AAAAAH/t+30=")</f>
        <v>#VALUE!</v>
      </c>
      <c r="DW160" t="e">
        <f>AND('SPR BARRANQUILLA'!DA192,"AAAAAH/t+34=")</f>
        <v>#VALUE!</v>
      </c>
      <c r="DX160" t="e">
        <f>AND('SPR BARRANQUILLA'!DB192,"AAAAAH/t+38=")</f>
        <v>#VALUE!</v>
      </c>
      <c r="DY160" t="e">
        <f>AND('SPR BARRANQUILLA'!DC192,"AAAAAH/t+4A=")</f>
        <v>#VALUE!</v>
      </c>
      <c r="DZ160" t="e">
        <f>AND('SPR BARRANQUILLA'!DD192,"AAAAAH/t+4E=")</f>
        <v>#VALUE!</v>
      </c>
      <c r="EA160" t="e">
        <f>AND('SPR BARRANQUILLA'!DE192,"AAAAAH/t+4I=")</f>
        <v>#VALUE!</v>
      </c>
      <c r="EB160" t="e">
        <f>AND('SPR BARRANQUILLA'!DF192,"AAAAAH/t+4M=")</f>
        <v>#VALUE!</v>
      </c>
      <c r="EC160" t="e">
        <f>AND('SPR BARRANQUILLA'!DG192,"AAAAAH/t+4Q=")</f>
        <v>#VALUE!</v>
      </c>
      <c r="ED160" t="e">
        <f>AND('SPR BARRANQUILLA'!DH192,"AAAAAH/t+4U=")</f>
        <v>#VALUE!</v>
      </c>
      <c r="EE160" t="e">
        <f>AND('SPR BARRANQUILLA'!DI192,"AAAAAH/t+4Y=")</f>
        <v>#VALUE!</v>
      </c>
      <c r="EF160" t="e">
        <f>AND('SPR BARRANQUILLA'!DJ192,"AAAAAH/t+4c=")</f>
        <v>#VALUE!</v>
      </c>
      <c r="EG160" t="e">
        <f>AND('SPR BARRANQUILLA'!DK192,"AAAAAH/t+4g=")</f>
        <v>#VALUE!</v>
      </c>
      <c r="EH160" t="e">
        <f>AND('SPR BARRANQUILLA'!DL192,"AAAAAH/t+4k=")</f>
        <v>#VALUE!</v>
      </c>
      <c r="EI160" t="e">
        <f>AND('SPR BARRANQUILLA'!DM192,"AAAAAH/t+4o=")</f>
        <v>#VALUE!</v>
      </c>
      <c r="EJ160" t="e">
        <f>AND('SPR BARRANQUILLA'!DN192,"AAAAAH/t+4s=")</f>
        <v>#VALUE!</v>
      </c>
      <c r="EK160" t="e">
        <f>AND('SPR BARRANQUILLA'!DO192,"AAAAAH/t+4w=")</f>
        <v>#VALUE!</v>
      </c>
      <c r="EL160" t="e">
        <f>AND('SPR BARRANQUILLA'!DP192,"AAAAAH/t+40=")</f>
        <v>#VALUE!</v>
      </c>
      <c r="EM160" t="e">
        <f>AND('SPR BARRANQUILLA'!DQ192,"AAAAAH/t+44=")</f>
        <v>#VALUE!</v>
      </c>
      <c r="EN160" t="e">
        <f>AND('SPR BARRANQUILLA'!DR192,"AAAAAH/t+48=")</f>
        <v>#VALUE!</v>
      </c>
      <c r="EO160" t="e">
        <f>AND('SPR BARRANQUILLA'!DS192,"AAAAAH/t+5A=")</f>
        <v>#VALUE!</v>
      </c>
      <c r="EP160" t="e">
        <f>AND('SPR BARRANQUILLA'!DT192,"AAAAAH/t+5E=")</f>
        <v>#VALUE!</v>
      </c>
      <c r="EQ160" t="e">
        <f>AND('SPR BARRANQUILLA'!DU192,"AAAAAH/t+5I=")</f>
        <v>#VALUE!</v>
      </c>
      <c r="ER160" t="e">
        <f>AND('SPR BARRANQUILLA'!DV192,"AAAAAH/t+5M=")</f>
        <v>#VALUE!</v>
      </c>
      <c r="ES160" t="e">
        <f>AND('SPR BARRANQUILLA'!DW192,"AAAAAH/t+5Q=")</f>
        <v>#VALUE!</v>
      </c>
      <c r="ET160" t="e">
        <f>AND('SPR BARRANQUILLA'!DX192,"AAAAAH/t+5U=")</f>
        <v>#VALUE!</v>
      </c>
      <c r="EU160" t="e">
        <f>AND('SPR BARRANQUILLA'!DY192,"AAAAAH/t+5Y=")</f>
        <v>#VALUE!</v>
      </c>
      <c r="EV160" t="e">
        <f>AND('SPR BARRANQUILLA'!DZ192,"AAAAAH/t+5c=")</f>
        <v>#VALUE!</v>
      </c>
      <c r="EW160" t="e">
        <f>AND('SPR BARRANQUILLA'!EA192,"AAAAAH/t+5g=")</f>
        <v>#VALUE!</v>
      </c>
      <c r="EX160" t="e">
        <f>AND('SPR BARRANQUILLA'!EB192,"AAAAAH/t+5k=")</f>
        <v>#VALUE!</v>
      </c>
      <c r="EY160" t="e">
        <f>AND('SPR BARRANQUILLA'!EC192,"AAAAAH/t+5o=")</f>
        <v>#VALUE!</v>
      </c>
      <c r="EZ160" t="e">
        <f>AND('SPR BARRANQUILLA'!ED192,"AAAAAH/t+5s=")</f>
        <v>#VALUE!</v>
      </c>
      <c r="FA160" t="e">
        <f>AND('SPR BARRANQUILLA'!EE192,"AAAAAH/t+5w=")</f>
        <v>#VALUE!</v>
      </c>
      <c r="FB160" t="e">
        <f>AND('SPR BARRANQUILLA'!EF192,"AAAAAH/t+50=")</f>
        <v>#VALUE!</v>
      </c>
      <c r="FC160" t="e">
        <f>AND('SPR BARRANQUILLA'!EG192,"AAAAAH/t+54=")</f>
        <v>#VALUE!</v>
      </c>
      <c r="FD160" t="e">
        <f>AND('SPR BARRANQUILLA'!EH192,"AAAAAH/t+58=")</f>
        <v>#VALUE!</v>
      </c>
      <c r="FE160" t="e">
        <f>AND('SPR BARRANQUILLA'!EI192,"AAAAAH/t+6A=")</f>
        <v>#VALUE!</v>
      </c>
      <c r="FF160" t="e">
        <f>AND('SPR BARRANQUILLA'!EJ192,"AAAAAH/t+6E=")</f>
        <v>#VALUE!</v>
      </c>
      <c r="FG160" t="e">
        <f>AND('SPR BARRANQUILLA'!EK192,"AAAAAH/t+6I=")</f>
        <v>#VALUE!</v>
      </c>
      <c r="FH160" t="e">
        <f>AND('SPR BARRANQUILLA'!EL192,"AAAAAH/t+6M=")</f>
        <v>#VALUE!</v>
      </c>
      <c r="FI160" t="e">
        <f>AND('SPR BARRANQUILLA'!EM192,"AAAAAH/t+6Q=")</f>
        <v>#VALUE!</v>
      </c>
      <c r="FJ160" t="e">
        <f>AND('SPR BARRANQUILLA'!EN192,"AAAAAH/t+6U=")</f>
        <v>#VALUE!</v>
      </c>
      <c r="FK160" t="e">
        <f>AND('SPR BARRANQUILLA'!EO192,"AAAAAH/t+6Y=")</f>
        <v>#VALUE!</v>
      </c>
      <c r="FL160" t="e">
        <f>AND('SPR BARRANQUILLA'!EP192,"AAAAAH/t+6c=")</f>
        <v>#VALUE!</v>
      </c>
      <c r="FM160" t="e">
        <f>AND('SPR BARRANQUILLA'!EQ192,"AAAAAH/t+6g=")</f>
        <v>#VALUE!</v>
      </c>
      <c r="FN160" t="e">
        <f>AND('SPR BARRANQUILLA'!ER192,"AAAAAH/t+6k=")</f>
        <v>#VALUE!</v>
      </c>
      <c r="FO160" t="e">
        <f>AND('SPR BARRANQUILLA'!ES192,"AAAAAH/t+6o=")</f>
        <v>#VALUE!</v>
      </c>
      <c r="FP160" t="e">
        <f>AND('SPR BARRANQUILLA'!ET192,"AAAAAH/t+6s=")</f>
        <v>#VALUE!</v>
      </c>
      <c r="FQ160" t="e">
        <f>AND('SPR BARRANQUILLA'!EU192,"AAAAAH/t+6w=")</f>
        <v>#VALUE!</v>
      </c>
      <c r="FR160" t="e">
        <f>AND('SPR BARRANQUILLA'!EV192,"AAAAAH/t+60=")</f>
        <v>#VALUE!</v>
      </c>
      <c r="FS160" t="e">
        <f>AND('SPR BARRANQUILLA'!EW192,"AAAAAH/t+64=")</f>
        <v>#VALUE!</v>
      </c>
      <c r="FT160" t="e">
        <f>AND('SPR BARRANQUILLA'!EX192,"AAAAAH/t+68=")</f>
        <v>#VALUE!</v>
      </c>
      <c r="FU160" t="e">
        <f>AND('SPR BARRANQUILLA'!EY192,"AAAAAH/t+7A=")</f>
        <v>#VALUE!</v>
      </c>
      <c r="FV160" t="e">
        <f>AND('SPR BARRANQUILLA'!EZ192,"AAAAAH/t+7E=")</f>
        <v>#VALUE!</v>
      </c>
      <c r="FW160" t="e">
        <f>AND('SPR BARRANQUILLA'!FA192,"AAAAAH/t+7I=")</f>
        <v>#VALUE!</v>
      </c>
      <c r="FX160" t="e">
        <f>AND('SPR BARRANQUILLA'!FB192,"AAAAAH/t+7M=")</f>
        <v>#VALUE!</v>
      </c>
      <c r="FY160" t="e">
        <f>AND('SPR BARRANQUILLA'!FC192,"AAAAAH/t+7Q=")</f>
        <v>#VALUE!</v>
      </c>
      <c r="FZ160" t="e">
        <f>AND('SPR BARRANQUILLA'!FD192,"AAAAAH/t+7U=")</f>
        <v>#VALUE!</v>
      </c>
      <c r="GA160" t="e">
        <f>AND('SPR BARRANQUILLA'!FE192,"AAAAAH/t+7Y=")</f>
        <v>#VALUE!</v>
      </c>
      <c r="GB160" t="e">
        <f>AND('SPR BARRANQUILLA'!FF192,"AAAAAH/t+7c=")</f>
        <v>#VALUE!</v>
      </c>
      <c r="GC160" t="e">
        <f>AND('SPR BARRANQUILLA'!FG192,"AAAAAH/t+7g=")</f>
        <v>#VALUE!</v>
      </c>
      <c r="GD160" t="e">
        <f>AND('SPR BARRANQUILLA'!FH192,"AAAAAH/t+7k=")</f>
        <v>#VALUE!</v>
      </c>
      <c r="GE160" t="e">
        <f>AND('SPR BARRANQUILLA'!FI192,"AAAAAH/t+7o=")</f>
        <v>#VALUE!</v>
      </c>
      <c r="GF160" t="e">
        <f>AND('SPR BARRANQUILLA'!FJ192,"AAAAAH/t+7s=")</f>
        <v>#VALUE!</v>
      </c>
      <c r="GG160" t="e">
        <f>AND('SPR BARRANQUILLA'!FK192,"AAAAAH/t+7w=")</f>
        <v>#VALUE!</v>
      </c>
      <c r="GH160" t="e">
        <f>AND('SPR BARRANQUILLA'!FL192,"AAAAAH/t+70=")</f>
        <v>#VALUE!</v>
      </c>
      <c r="GI160" t="e">
        <f>AND('SPR BARRANQUILLA'!FM192,"AAAAAH/t+74=")</f>
        <v>#VALUE!</v>
      </c>
      <c r="GJ160" t="e">
        <f>AND('SPR BARRANQUILLA'!FN192,"AAAAAH/t+78=")</f>
        <v>#VALUE!</v>
      </c>
      <c r="GK160" t="e">
        <f>AND('SPR BARRANQUILLA'!FO192,"AAAAAH/t+8A=")</f>
        <v>#VALUE!</v>
      </c>
      <c r="GL160" t="e">
        <f>AND('SPR BARRANQUILLA'!FP192,"AAAAAH/t+8E=")</f>
        <v>#VALUE!</v>
      </c>
      <c r="GM160" t="e">
        <f>AND('SPR BARRANQUILLA'!FQ192,"AAAAAH/t+8I=")</f>
        <v>#VALUE!</v>
      </c>
      <c r="GN160" t="e">
        <f>AND('SPR BARRANQUILLA'!FR192,"AAAAAH/t+8M=")</f>
        <v>#VALUE!</v>
      </c>
      <c r="GO160" t="e">
        <f>AND('SPR BARRANQUILLA'!FS192,"AAAAAH/t+8Q=")</f>
        <v>#VALUE!</v>
      </c>
      <c r="GP160" t="e">
        <f>AND('SPR BARRANQUILLA'!FT192,"AAAAAH/t+8U=")</f>
        <v>#VALUE!</v>
      </c>
      <c r="GQ160" t="e">
        <f>AND('SPR BARRANQUILLA'!FU192,"AAAAAH/t+8Y=")</f>
        <v>#VALUE!</v>
      </c>
      <c r="GR160" t="e">
        <f>AND('SPR BARRANQUILLA'!FV192,"AAAAAH/t+8c=")</f>
        <v>#VALUE!</v>
      </c>
      <c r="GS160" t="e">
        <f>AND('SPR BARRANQUILLA'!FW192,"AAAAAH/t+8g=")</f>
        <v>#VALUE!</v>
      </c>
      <c r="GT160" t="e">
        <f>AND('SPR BARRANQUILLA'!FX192,"AAAAAH/t+8k=")</f>
        <v>#VALUE!</v>
      </c>
      <c r="GU160" t="e">
        <f>AND('SPR BARRANQUILLA'!FY192,"AAAAAH/t+8o=")</f>
        <v>#VALUE!</v>
      </c>
      <c r="GV160" t="e">
        <f>AND('SPR BARRANQUILLA'!FZ192,"AAAAAH/t+8s=")</f>
        <v>#VALUE!</v>
      </c>
      <c r="GW160" t="e">
        <f>AND('SPR BARRANQUILLA'!GA192,"AAAAAH/t+8w=")</f>
        <v>#VALUE!</v>
      </c>
      <c r="GX160" t="e">
        <f>AND('SPR BARRANQUILLA'!GB192,"AAAAAH/t+80=")</f>
        <v>#VALUE!</v>
      </c>
      <c r="GY160" t="e">
        <f>AND('SPR BARRANQUILLA'!GC192,"AAAAAH/t+84=")</f>
        <v>#VALUE!</v>
      </c>
      <c r="GZ160" t="e">
        <f>AND('SPR BARRANQUILLA'!GD192,"AAAAAH/t+88=")</f>
        <v>#VALUE!</v>
      </c>
      <c r="HA160" t="e">
        <f>AND('SPR BARRANQUILLA'!GE192,"AAAAAH/t+9A=")</f>
        <v>#VALUE!</v>
      </c>
      <c r="HB160" t="e">
        <f>AND('SPR BARRANQUILLA'!GF192,"AAAAAH/t+9E=")</f>
        <v>#VALUE!</v>
      </c>
      <c r="HC160" t="e">
        <f>AND('SPR BARRANQUILLA'!GG192,"AAAAAH/t+9I=")</f>
        <v>#VALUE!</v>
      </c>
      <c r="HD160" t="e">
        <f>AND('SPR BARRANQUILLA'!GH192,"AAAAAH/t+9M=")</f>
        <v>#VALUE!</v>
      </c>
      <c r="HE160" t="e">
        <f>AND('SPR BARRANQUILLA'!GI192,"AAAAAH/t+9Q=")</f>
        <v>#VALUE!</v>
      </c>
      <c r="HF160" t="e">
        <f>AND('SPR BARRANQUILLA'!GJ192,"AAAAAH/t+9U=")</f>
        <v>#VALUE!</v>
      </c>
      <c r="HG160" t="e">
        <f>AND('SPR BARRANQUILLA'!GK192,"AAAAAH/t+9Y=")</f>
        <v>#VALUE!</v>
      </c>
      <c r="HH160" t="e">
        <f>AND('SPR BARRANQUILLA'!GL192,"AAAAAH/t+9c=")</f>
        <v>#VALUE!</v>
      </c>
      <c r="HI160" t="e">
        <f>AND('SPR BARRANQUILLA'!GM192,"AAAAAH/t+9g=")</f>
        <v>#VALUE!</v>
      </c>
      <c r="HJ160" t="e">
        <f>AND('SPR BARRANQUILLA'!GN192,"AAAAAH/t+9k=")</f>
        <v>#VALUE!</v>
      </c>
      <c r="HK160" t="e">
        <f>AND('SPR BARRANQUILLA'!GO192,"AAAAAH/t+9o=")</f>
        <v>#VALUE!</v>
      </c>
      <c r="HL160" t="e">
        <f>AND('SPR BARRANQUILLA'!GP192,"AAAAAH/t+9s=")</f>
        <v>#VALUE!</v>
      </c>
      <c r="HM160" t="e">
        <f>AND('SPR BARRANQUILLA'!GQ192,"AAAAAH/t+9w=")</f>
        <v>#VALUE!</v>
      </c>
      <c r="HN160" t="e">
        <f>AND('SPR BARRANQUILLA'!GR192,"AAAAAH/t+90=")</f>
        <v>#VALUE!</v>
      </c>
      <c r="HO160" t="e">
        <f>AND('SPR BARRANQUILLA'!GS192,"AAAAAH/t+94=")</f>
        <v>#VALUE!</v>
      </c>
      <c r="HP160" t="e">
        <f>AND('SPR BARRANQUILLA'!GT192,"AAAAAH/t+98=")</f>
        <v>#VALUE!</v>
      </c>
      <c r="HQ160" t="e">
        <f>AND('SPR BARRANQUILLA'!GU192,"AAAAAH/t++A=")</f>
        <v>#VALUE!</v>
      </c>
      <c r="HR160" t="e">
        <f>AND('SPR BARRANQUILLA'!GV192,"AAAAAH/t++E=")</f>
        <v>#VALUE!</v>
      </c>
      <c r="HS160" t="e">
        <f>AND('SPR BARRANQUILLA'!GW192,"AAAAAH/t++I=")</f>
        <v>#VALUE!</v>
      </c>
      <c r="HT160" t="e">
        <f>AND('SPR BARRANQUILLA'!GX192,"AAAAAH/t++M=")</f>
        <v>#VALUE!</v>
      </c>
      <c r="HU160" t="e">
        <f>AND('SPR BARRANQUILLA'!GY192,"AAAAAH/t++Q=")</f>
        <v>#VALUE!</v>
      </c>
      <c r="HV160">
        <f>IF('SPR BARRANQUILLA'!193:193,"AAAAAH/t++U=",0)</f>
        <v>0</v>
      </c>
      <c r="HW160" t="e">
        <f>AND('SPR BARRANQUILLA'!A193,"AAAAAH/t++Y=")</f>
        <v>#VALUE!</v>
      </c>
      <c r="HX160" t="e">
        <f>AND('SPR BARRANQUILLA'!B193,"AAAAAH/t++c=")</f>
        <v>#VALUE!</v>
      </c>
      <c r="HY160" t="e">
        <f>AND('SPR BARRANQUILLA'!C193,"AAAAAH/t++g=")</f>
        <v>#VALUE!</v>
      </c>
      <c r="HZ160" t="e">
        <f>AND('SPR BARRANQUILLA'!D193,"AAAAAH/t++k=")</f>
        <v>#VALUE!</v>
      </c>
      <c r="IA160" t="e">
        <f>AND('SPR BARRANQUILLA'!E193,"AAAAAH/t++o=")</f>
        <v>#VALUE!</v>
      </c>
      <c r="IB160" t="e">
        <f>AND('SPR BARRANQUILLA'!F193,"AAAAAH/t++s=")</f>
        <v>#VALUE!</v>
      </c>
      <c r="IC160" t="e">
        <f>AND('SPR BARRANQUILLA'!G193,"AAAAAH/t++w=")</f>
        <v>#VALUE!</v>
      </c>
      <c r="ID160" t="e">
        <f>AND('SPR BARRANQUILLA'!H193,"AAAAAH/t++0=")</f>
        <v>#VALUE!</v>
      </c>
      <c r="IE160" t="e">
        <f>AND('SPR BARRANQUILLA'!I193,"AAAAAH/t++4=")</f>
        <v>#VALUE!</v>
      </c>
      <c r="IF160" t="e">
        <f>AND('SPR BARRANQUILLA'!J193,"AAAAAH/t++8=")</f>
        <v>#VALUE!</v>
      </c>
      <c r="IG160" t="e">
        <f>AND('SPR BARRANQUILLA'!K193,"AAAAAH/t+/A=")</f>
        <v>#VALUE!</v>
      </c>
      <c r="IH160" t="e">
        <f>AND('SPR BARRANQUILLA'!L193,"AAAAAH/t+/E=")</f>
        <v>#VALUE!</v>
      </c>
      <c r="II160" t="e">
        <f>AND('SPR BARRANQUILLA'!M193,"AAAAAH/t+/I=")</f>
        <v>#VALUE!</v>
      </c>
      <c r="IJ160" t="e">
        <f>AND('SPR BARRANQUILLA'!N193,"AAAAAH/t+/M=")</f>
        <v>#VALUE!</v>
      </c>
      <c r="IK160" t="e">
        <f>AND('SPR BARRANQUILLA'!O193,"AAAAAH/t+/Q=")</f>
        <v>#VALUE!</v>
      </c>
      <c r="IL160" t="e">
        <f>AND('SPR BARRANQUILLA'!P193,"AAAAAH/t+/U=")</f>
        <v>#VALUE!</v>
      </c>
      <c r="IM160" t="e">
        <f>AND('SPR BARRANQUILLA'!Q193,"AAAAAH/t+/Y=")</f>
        <v>#VALUE!</v>
      </c>
      <c r="IN160" t="e">
        <f>AND('SPR BARRANQUILLA'!R193,"AAAAAH/t+/c=")</f>
        <v>#VALUE!</v>
      </c>
      <c r="IO160" t="e">
        <f>AND('SPR BARRANQUILLA'!S193,"AAAAAH/t+/g=")</f>
        <v>#VALUE!</v>
      </c>
      <c r="IP160" t="e">
        <f>AND('SPR BARRANQUILLA'!T193,"AAAAAH/t+/k=")</f>
        <v>#VALUE!</v>
      </c>
      <c r="IQ160" t="e">
        <f>AND('SPR BARRANQUILLA'!U193,"AAAAAH/t+/o=")</f>
        <v>#VALUE!</v>
      </c>
      <c r="IR160" t="e">
        <f>AND('SPR BARRANQUILLA'!V193,"AAAAAH/t+/s=")</f>
        <v>#VALUE!</v>
      </c>
      <c r="IS160" t="e">
        <f>AND('SPR BARRANQUILLA'!W193,"AAAAAH/t+/w=")</f>
        <v>#VALUE!</v>
      </c>
      <c r="IT160" t="e">
        <f>AND('SPR BARRANQUILLA'!X193,"AAAAAH/t+/0=")</f>
        <v>#VALUE!</v>
      </c>
      <c r="IU160" t="e">
        <f>AND('SPR BARRANQUILLA'!Y193,"AAAAAH/t+/4=")</f>
        <v>#VALUE!</v>
      </c>
      <c r="IV160" t="e">
        <f>AND('SPR BARRANQUILLA'!Z193,"AAAAAH/t+/8=")</f>
        <v>#VALUE!</v>
      </c>
    </row>
    <row r="161" spans="1:256">
      <c r="A161" t="e">
        <f>AND('SPR BARRANQUILLA'!AA193,"AAAAAH/t/QA=")</f>
        <v>#VALUE!</v>
      </c>
      <c r="B161" t="e">
        <f>AND('SPR BARRANQUILLA'!AB193,"AAAAAH/t/QE=")</f>
        <v>#VALUE!</v>
      </c>
      <c r="C161" t="e">
        <f>AND('SPR BARRANQUILLA'!AC193,"AAAAAH/t/QI=")</f>
        <v>#VALUE!</v>
      </c>
      <c r="D161" t="e">
        <f>AND('SPR BARRANQUILLA'!AD193,"AAAAAH/t/QM=")</f>
        <v>#VALUE!</v>
      </c>
      <c r="E161" t="e">
        <f>AND('SPR BARRANQUILLA'!AE193,"AAAAAH/t/QQ=")</f>
        <v>#VALUE!</v>
      </c>
      <c r="F161" t="e">
        <f>AND('SPR BARRANQUILLA'!AF193,"AAAAAH/t/QU=")</f>
        <v>#VALUE!</v>
      </c>
      <c r="G161" t="e">
        <f>AND('SPR BARRANQUILLA'!AG193,"AAAAAH/t/QY=")</f>
        <v>#VALUE!</v>
      </c>
      <c r="H161" t="e">
        <f>AND('SPR BARRANQUILLA'!AH193,"AAAAAH/t/Qc=")</f>
        <v>#VALUE!</v>
      </c>
      <c r="I161" t="e">
        <f>AND('SPR BARRANQUILLA'!AI193,"AAAAAH/t/Qg=")</f>
        <v>#VALUE!</v>
      </c>
      <c r="J161" t="e">
        <f>AND('SPR BARRANQUILLA'!AJ193,"AAAAAH/t/Qk=")</f>
        <v>#VALUE!</v>
      </c>
      <c r="K161" t="e">
        <f>AND('SPR BARRANQUILLA'!AK193,"AAAAAH/t/Qo=")</f>
        <v>#VALUE!</v>
      </c>
      <c r="L161" t="e">
        <f>AND('SPR BARRANQUILLA'!AL193,"AAAAAH/t/Qs=")</f>
        <v>#VALUE!</v>
      </c>
      <c r="M161" t="e">
        <f>AND('SPR BARRANQUILLA'!AM193,"AAAAAH/t/Qw=")</f>
        <v>#VALUE!</v>
      </c>
      <c r="N161" t="e">
        <f>AND('SPR BARRANQUILLA'!AN193,"AAAAAH/t/Q0=")</f>
        <v>#VALUE!</v>
      </c>
      <c r="O161" t="e">
        <f>AND('SPR BARRANQUILLA'!AO193,"AAAAAH/t/Q4=")</f>
        <v>#VALUE!</v>
      </c>
      <c r="P161" t="e">
        <f>AND('SPR BARRANQUILLA'!AP193,"AAAAAH/t/Q8=")</f>
        <v>#VALUE!</v>
      </c>
      <c r="Q161" t="e">
        <f>AND('SPR BARRANQUILLA'!AQ193,"AAAAAH/t/RA=")</f>
        <v>#VALUE!</v>
      </c>
      <c r="R161" t="e">
        <f>AND('SPR BARRANQUILLA'!AR193,"AAAAAH/t/RE=")</f>
        <v>#VALUE!</v>
      </c>
      <c r="S161" t="e">
        <f>AND('SPR BARRANQUILLA'!AS193,"AAAAAH/t/RI=")</f>
        <v>#VALUE!</v>
      </c>
      <c r="T161" t="e">
        <f>AND('SPR BARRANQUILLA'!AT193,"AAAAAH/t/RM=")</f>
        <v>#VALUE!</v>
      </c>
      <c r="U161" t="e">
        <f>AND('SPR BARRANQUILLA'!AU193,"AAAAAH/t/RQ=")</f>
        <v>#VALUE!</v>
      </c>
      <c r="V161" t="e">
        <f>AND('SPR BARRANQUILLA'!AV193,"AAAAAH/t/RU=")</f>
        <v>#VALUE!</v>
      </c>
      <c r="W161" t="e">
        <f>AND('SPR BARRANQUILLA'!AW193,"AAAAAH/t/RY=")</f>
        <v>#VALUE!</v>
      </c>
      <c r="X161" t="e">
        <f>AND('SPR BARRANQUILLA'!AX193,"AAAAAH/t/Rc=")</f>
        <v>#VALUE!</v>
      </c>
      <c r="Y161" t="e">
        <f>AND('SPR BARRANQUILLA'!AY193,"AAAAAH/t/Rg=")</f>
        <v>#VALUE!</v>
      </c>
      <c r="Z161" t="e">
        <f>AND('SPR BARRANQUILLA'!AZ193,"AAAAAH/t/Rk=")</f>
        <v>#VALUE!</v>
      </c>
      <c r="AA161" t="e">
        <f>AND('SPR BARRANQUILLA'!BA193,"AAAAAH/t/Ro=")</f>
        <v>#VALUE!</v>
      </c>
      <c r="AB161" t="e">
        <f>AND('SPR BARRANQUILLA'!BB193,"AAAAAH/t/Rs=")</f>
        <v>#VALUE!</v>
      </c>
      <c r="AC161" t="e">
        <f>AND('SPR BARRANQUILLA'!BC193,"AAAAAH/t/Rw=")</f>
        <v>#VALUE!</v>
      </c>
      <c r="AD161" t="e">
        <f>AND('SPR BARRANQUILLA'!BD193,"AAAAAH/t/R0=")</f>
        <v>#VALUE!</v>
      </c>
      <c r="AE161" t="e">
        <f>AND('SPR BARRANQUILLA'!BE193,"AAAAAH/t/R4=")</f>
        <v>#VALUE!</v>
      </c>
      <c r="AF161" t="e">
        <f>AND('SPR BARRANQUILLA'!BF193,"AAAAAH/t/R8=")</f>
        <v>#VALUE!</v>
      </c>
      <c r="AG161" t="e">
        <f>AND('SPR BARRANQUILLA'!BG193,"AAAAAH/t/SA=")</f>
        <v>#VALUE!</v>
      </c>
      <c r="AH161" t="e">
        <f>AND('SPR BARRANQUILLA'!BH193,"AAAAAH/t/SE=")</f>
        <v>#VALUE!</v>
      </c>
      <c r="AI161" t="e">
        <f>AND('SPR BARRANQUILLA'!BI193,"AAAAAH/t/SI=")</f>
        <v>#VALUE!</v>
      </c>
      <c r="AJ161" t="e">
        <f>AND('SPR BARRANQUILLA'!BJ193,"AAAAAH/t/SM=")</f>
        <v>#VALUE!</v>
      </c>
      <c r="AK161" t="e">
        <f>AND('SPR BARRANQUILLA'!BK193,"AAAAAH/t/SQ=")</f>
        <v>#VALUE!</v>
      </c>
      <c r="AL161" t="e">
        <f>AND('SPR BARRANQUILLA'!BL193,"AAAAAH/t/SU=")</f>
        <v>#VALUE!</v>
      </c>
      <c r="AM161" t="e">
        <f>AND('SPR BARRANQUILLA'!BM193,"AAAAAH/t/SY=")</f>
        <v>#VALUE!</v>
      </c>
      <c r="AN161" t="e">
        <f>AND('SPR BARRANQUILLA'!BN193,"AAAAAH/t/Sc=")</f>
        <v>#VALUE!</v>
      </c>
      <c r="AO161" t="e">
        <f>AND('SPR BARRANQUILLA'!BO193,"AAAAAH/t/Sg=")</f>
        <v>#VALUE!</v>
      </c>
      <c r="AP161" t="e">
        <f>AND('SPR BARRANQUILLA'!BP193,"AAAAAH/t/Sk=")</f>
        <v>#VALUE!</v>
      </c>
      <c r="AQ161" t="e">
        <f>AND('SPR BARRANQUILLA'!BQ193,"AAAAAH/t/So=")</f>
        <v>#VALUE!</v>
      </c>
      <c r="AR161" t="e">
        <f>AND('SPR BARRANQUILLA'!BR193,"AAAAAH/t/Ss=")</f>
        <v>#VALUE!</v>
      </c>
      <c r="AS161" t="e">
        <f>AND('SPR BARRANQUILLA'!BS193,"AAAAAH/t/Sw=")</f>
        <v>#VALUE!</v>
      </c>
      <c r="AT161" t="e">
        <f>AND('SPR BARRANQUILLA'!BT193,"AAAAAH/t/S0=")</f>
        <v>#VALUE!</v>
      </c>
      <c r="AU161" t="e">
        <f>AND('SPR BARRANQUILLA'!BU193,"AAAAAH/t/S4=")</f>
        <v>#VALUE!</v>
      </c>
      <c r="AV161" t="e">
        <f>AND('SPR BARRANQUILLA'!BV193,"AAAAAH/t/S8=")</f>
        <v>#VALUE!</v>
      </c>
      <c r="AW161" t="e">
        <f>AND('SPR BARRANQUILLA'!BW193,"AAAAAH/t/TA=")</f>
        <v>#VALUE!</v>
      </c>
      <c r="AX161" t="e">
        <f>AND('SPR BARRANQUILLA'!BX193,"AAAAAH/t/TE=")</f>
        <v>#VALUE!</v>
      </c>
      <c r="AY161" t="e">
        <f>AND('SPR BARRANQUILLA'!BY193,"AAAAAH/t/TI=")</f>
        <v>#VALUE!</v>
      </c>
      <c r="AZ161" t="e">
        <f>AND('SPR BARRANQUILLA'!BZ193,"AAAAAH/t/TM=")</f>
        <v>#VALUE!</v>
      </c>
      <c r="BA161" t="e">
        <f>AND('SPR BARRANQUILLA'!CA193,"AAAAAH/t/TQ=")</f>
        <v>#VALUE!</v>
      </c>
      <c r="BB161" t="e">
        <f>AND('SPR BARRANQUILLA'!CB193,"AAAAAH/t/TU=")</f>
        <v>#VALUE!</v>
      </c>
      <c r="BC161" t="e">
        <f>AND('SPR BARRANQUILLA'!CC193,"AAAAAH/t/TY=")</f>
        <v>#VALUE!</v>
      </c>
      <c r="BD161" t="e">
        <f>AND('SPR BARRANQUILLA'!CD193,"AAAAAH/t/Tc=")</f>
        <v>#VALUE!</v>
      </c>
      <c r="BE161" t="e">
        <f>AND('SPR BARRANQUILLA'!CE193,"AAAAAH/t/Tg=")</f>
        <v>#VALUE!</v>
      </c>
      <c r="BF161" t="e">
        <f>AND('SPR BARRANQUILLA'!CF193,"AAAAAH/t/Tk=")</f>
        <v>#VALUE!</v>
      </c>
      <c r="BG161" t="e">
        <f>AND('SPR BARRANQUILLA'!CG193,"AAAAAH/t/To=")</f>
        <v>#VALUE!</v>
      </c>
      <c r="BH161" t="e">
        <f>AND('SPR BARRANQUILLA'!CH193,"AAAAAH/t/Ts=")</f>
        <v>#VALUE!</v>
      </c>
      <c r="BI161" t="e">
        <f>AND('SPR BARRANQUILLA'!CI193,"AAAAAH/t/Tw=")</f>
        <v>#VALUE!</v>
      </c>
      <c r="BJ161" t="e">
        <f>AND('SPR BARRANQUILLA'!CJ193,"AAAAAH/t/T0=")</f>
        <v>#VALUE!</v>
      </c>
      <c r="BK161" t="e">
        <f>AND('SPR BARRANQUILLA'!CK193,"AAAAAH/t/T4=")</f>
        <v>#VALUE!</v>
      </c>
      <c r="BL161" t="e">
        <f>AND('SPR BARRANQUILLA'!CL193,"AAAAAH/t/T8=")</f>
        <v>#VALUE!</v>
      </c>
      <c r="BM161" t="e">
        <f>AND('SPR BARRANQUILLA'!CM193,"AAAAAH/t/UA=")</f>
        <v>#VALUE!</v>
      </c>
      <c r="BN161" t="e">
        <f>AND('SPR BARRANQUILLA'!CN193,"AAAAAH/t/UE=")</f>
        <v>#VALUE!</v>
      </c>
      <c r="BO161" t="e">
        <f>AND('SPR BARRANQUILLA'!CO193,"AAAAAH/t/UI=")</f>
        <v>#VALUE!</v>
      </c>
      <c r="BP161" t="e">
        <f>AND('SPR BARRANQUILLA'!CP193,"AAAAAH/t/UM=")</f>
        <v>#VALUE!</v>
      </c>
      <c r="BQ161" t="e">
        <f>AND('SPR BARRANQUILLA'!CQ193,"AAAAAH/t/UQ=")</f>
        <v>#VALUE!</v>
      </c>
      <c r="BR161" t="e">
        <f>AND('SPR BARRANQUILLA'!CR193,"AAAAAH/t/UU=")</f>
        <v>#VALUE!</v>
      </c>
      <c r="BS161" t="e">
        <f>AND('SPR BARRANQUILLA'!CS193,"AAAAAH/t/UY=")</f>
        <v>#VALUE!</v>
      </c>
      <c r="BT161" t="e">
        <f>AND('SPR BARRANQUILLA'!CT193,"AAAAAH/t/Uc=")</f>
        <v>#VALUE!</v>
      </c>
      <c r="BU161" t="e">
        <f>AND('SPR BARRANQUILLA'!CU193,"AAAAAH/t/Ug=")</f>
        <v>#VALUE!</v>
      </c>
      <c r="BV161" t="e">
        <f>AND('SPR BARRANQUILLA'!CV193,"AAAAAH/t/Uk=")</f>
        <v>#VALUE!</v>
      </c>
      <c r="BW161" t="e">
        <f>AND('SPR BARRANQUILLA'!CW193,"AAAAAH/t/Uo=")</f>
        <v>#VALUE!</v>
      </c>
      <c r="BX161" t="e">
        <f>AND('SPR BARRANQUILLA'!CX193,"AAAAAH/t/Us=")</f>
        <v>#VALUE!</v>
      </c>
      <c r="BY161" t="e">
        <f>AND('SPR BARRANQUILLA'!CY193,"AAAAAH/t/Uw=")</f>
        <v>#VALUE!</v>
      </c>
      <c r="BZ161" t="e">
        <f>AND('SPR BARRANQUILLA'!CZ193,"AAAAAH/t/U0=")</f>
        <v>#VALUE!</v>
      </c>
      <c r="CA161" t="e">
        <f>AND('SPR BARRANQUILLA'!DA193,"AAAAAH/t/U4=")</f>
        <v>#VALUE!</v>
      </c>
      <c r="CB161" t="e">
        <f>AND('SPR BARRANQUILLA'!DB193,"AAAAAH/t/U8=")</f>
        <v>#VALUE!</v>
      </c>
      <c r="CC161" t="e">
        <f>AND('SPR BARRANQUILLA'!DC193,"AAAAAH/t/VA=")</f>
        <v>#VALUE!</v>
      </c>
      <c r="CD161" t="e">
        <f>AND('SPR BARRANQUILLA'!DD193,"AAAAAH/t/VE=")</f>
        <v>#VALUE!</v>
      </c>
      <c r="CE161" t="e">
        <f>AND('SPR BARRANQUILLA'!DE193,"AAAAAH/t/VI=")</f>
        <v>#VALUE!</v>
      </c>
      <c r="CF161" t="e">
        <f>AND('SPR BARRANQUILLA'!DF193,"AAAAAH/t/VM=")</f>
        <v>#VALUE!</v>
      </c>
      <c r="CG161" t="e">
        <f>AND('SPR BARRANQUILLA'!DG193,"AAAAAH/t/VQ=")</f>
        <v>#VALUE!</v>
      </c>
      <c r="CH161" t="e">
        <f>AND('SPR BARRANQUILLA'!DH193,"AAAAAH/t/VU=")</f>
        <v>#VALUE!</v>
      </c>
      <c r="CI161" t="e">
        <f>AND('SPR BARRANQUILLA'!DI193,"AAAAAH/t/VY=")</f>
        <v>#VALUE!</v>
      </c>
      <c r="CJ161" t="e">
        <f>AND('SPR BARRANQUILLA'!DJ193,"AAAAAH/t/Vc=")</f>
        <v>#VALUE!</v>
      </c>
      <c r="CK161" t="e">
        <f>AND('SPR BARRANQUILLA'!DK193,"AAAAAH/t/Vg=")</f>
        <v>#VALUE!</v>
      </c>
      <c r="CL161" t="e">
        <f>AND('SPR BARRANQUILLA'!DL193,"AAAAAH/t/Vk=")</f>
        <v>#VALUE!</v>
      </c>
      <c r="CM161" t="e">
        <f>AND('SPR BARRANQUILLA'!DM193,"AAAAAH/t/Vo=")</f>
        <v>#VALUE!</v>
      </c>
      <c r="CN161" t="e">
        <f>AND('SPR BARRANQUILLA'!DN193,"AAAAAH/t/Vs=")</f>
        <v>#VALUE!</v>
      </c>
      <c r="CO161" t="e">
        <f>AND('SPR BARRANQUILLA'!DO193,"AAAAAH/t/Vw=")</f>
        <v>#VALUE!</v>
      </c>
      <c r="CP161" t="e">
        <f>AND('SPR BARRANQUILLA'!DP193,"AAAAAH/t/V0=")</f>
        <v>#VALUE!</v>
      </c>
      <c r="CQ161" t="e">
        <f>AND('SPR BARRANQUILLA'!DQ193,"AAAAAH/t/V4=")</f>
        <v>#VALUE!</v>
      </c>
      <c r="CR161" t="e">
        <f>AND('SPR BARRANQUILLA'!DR193,"AAAAAH/t/V8=")</f>
        <v>#VALUE!</v>
      </c>
      <c r="CS161" t="e">
        <f>AND('SPR BARRANQUILLA'!DS193,"AAAAAH/t/WA=")</f>
        <v>#VALUE!</v>
      </c>
      <c r="CT161" t="e">
        <f>AND('SPR BARRANQUILLA'!DT193,"AAAAAH/t/WE=")</f>
        <v>#VALUE!</v>
      </c>
      <c r="CU161" t="e">
        <f>AND('SPR BARRANQUILLA'!DU193,"AAAAAH/t/WI=")</f>
        <v>#VALUE!</v>
      </c>
      <c r="CV161" t="e">
        <f>AND('SPR BARRANQUILLA'!DV193,"AAAAAH/t/WM=")</f>
        <v>#VALUE!</v>
      </c>
      <c r="CW161" t="e">
        <f>AND('SPR BARRANQUILLA'!DW193,"AAAAAH/t/WQ=")</f>
        <v>#VALUE!</v>
      </c>
      <c r="CX161" t="e">
        <f>AND('SPR BARRANQUILLA'!DX193,"AAAAAH/t/WU=")</f>
        <v>#VALUE!</v>
      </c>
      <c r="CY161" t="e">
        <f>AND('SPR BARRANQUILLA'!DY193,"AAAAAH/t/WY=")</f>
        <v>#VALUE!</v>
      </c>
      <c r="CZ161" t="e">
        <f>AND('SPR BARRANQUILLA'!DZ193,"AAAAAH/t/Wc=")</f>
        <v>#VALUE!</v>
      </c>
      <c r="DA161" t="e">
        <f>AND('SPR BARRANQUILLA'!EA193,"AAAAAH/t/Wg=")</f>
        <v>#VALUE!</v>
      </c>
      <c r="DB161" t="e">
        <f>AND('SPR BARRANQUILLA'!EB193,"AAAAAH/t/Wk=")</f>
        <v>#VALUE!</v>
      </c>
      <c r="DC161" t="e">
        <f>AND('SPR BARRANQUILLA'!EC193,"AAAAAH/t/Wo=")</f>
        <v>#VALUE!</v>
      </c>
      <c r="DD161" t="e">
        <f>AND('SPR BARRANQUILLA'!ED193,"AAAAAH/t/Ws=")</f>
        <v>#VALUE!</v>
      </c>
      <c r="DE161" t="e">
        <f>AND('SPR BARRANQUILLA'!EE193,"AAAAAH/t/Ww=")</f>
        <v>#VALUE!</v>
      </c>
      <c r="DF161" t="e">
        <f>AND('SPR BARRANQUILLA'!EF193,"AAAAAH/t/W0=")</f>
        <v>#VALUE!</v>
      </c>
      <c r="DG161" t="e">
        <f>AND('SPR BARRANQUILLA'!EG193,"AAAAAH/t/W4=")</f>
        <v>#VALUE!</v>
      </c>
      <c r="DH161" t="e">
        <f>AND('SPR BARRANQUILLA'!EH193,"AAAAAH/t/W8=")</f>
        <v>#VALUE!</v>
      </c>
      <c r="DI161" t="e">
        <f>AND('SPR BARRANQUILLA'!EI193,"AAAAAH/t/XA=")</f>
        <v>#VALUE!</v>
      </c>
      <c r="DJ161" t="e">
        <f>AND('SPR BARRANQUILLA'!EJ193,"AAAAAH/t/XE=")</f>
        <v>#VALUE!</v>
      </c>
      <c r="DK161" t="e">
        <f>AND('SPR BARRANQUILLA'!EK193,"AAAAAH/t/XI=")</f>
        <v>#VALUE!</v>
      </c>
      <c r="DL161" t="e">
        <f>AND('SPR BARRANQUILLA'!EL193,"AAAAAH/t/XM=")</f>
        <v>#VALUE!</v>
      </c>
      <c r="DM161" t="e">
        <f>AND('SPR BARRANQUILLA'!EM193,"AAAAAH/t/XQ=")</f>
        <v>#VALUE!</v>
      </c>
      <c r="DN161" t="e">
        <f>AND('SPR BARRANQUILLA'!EN193,"AAAAAH/t/XU=")</f>
        <v>#VALUE!</v>
      </c>
      <c r="DO161" t="e">
        <f>AND('SPR BARRANQUILLA'!EO193,"AAAAAH/t/XY=")</f>
        <v>#VALUE!</v>
      </c>
      <c r="DP161" t="e">
        <f>AND('SPR BARRANQUILLA'!EP193,"AAAAAH/t/Xc=")</f>
        <v>#VALUE!</v>
      </c>
      <c r="DQ161" t="e">
        <f>AND('SPR BARRANQUILLA'!EQ193,"AAAAAH/t/Xg=")</f>
        <v>#VALUE!</v>
      </c>
      <c r="DR161" t="e">
        <f>AND('SPR BARRANQUILLA'!ER193,"AAAAAH/t/Xk=")</f>
        <v>#VALUE!</v>
      </c>
      <c r="DS161" t="e">
        <f>AND('SPR BARRANQUILLA'!ES193,"AAAAAH/t/Xo=")</f>
        <v>#VALUE!</v>
      </c>
      <c r="DT161" t="e">
        <f>AND('SPR BARRANQUILLA'!ET193,"AAAAAH/t/Xs=")</f>
        <v>#VALUE!</v>
      </c>
      <c r="DU161" t="e">
        <f>AND('SPR BARRANQUILLA'!EU193,"AAAAAH/t/Xw=")</f>
        <v>#VALUE!</v>
      </c>
      <c r="DV161" t="e">
        <f>AND('SPR BARRANQUILLA'!EV193,"AAAAAH/t/X0=")</f>
        <v>#VALUE!</v>
      </c>
      <c r="DW161" t="e">
        <f>AND('SPR BARRANQUILLA'!EW193,"AAAAAH/t/X4=")</f>
        <v>#VALUE!</v>
      </c>
      <c r="DX161" t="e">
        <f>AND('SPR BARRANQUILLA'!EX193,"AAAAAH/t/X8=")</f>
        <v>#VALUE!</v>
      </c>
      <c r="DY161" t="e">
        <f>AND('SPR BARRANQUILLA'!EY193,"AAAAAH/t/YA=")</f>
        <v>#VALUE!</v>
      </c>
      <c r="DZ161" t="e">
        <f>AND('SPR BARRANQUILLA'!EZ193,"AAAAAH/t/YE=")</f>
        <v>#VALUE!</v>
      </c>
      <c r="EA161" t="e">
        <f>AND('SPR BARRANQUILLA'!FA193,"AAAAAH/t/YI=")</f>
        <v>#VALUE!</v>
      </c>
      <c r="EB161" t="e">
        <f>AND('SPR BARRANQUILLA'!FB193,"AAAAAH/t/YM=")</f>
        <v>#VALUE!</v>
      </c>
      <c r="EC161" t="e">
        <f>AND('SPR BARRANQUILLA'!FC193,"AAAAAH/t/YQ=")</f>
        <v>#VALUE!</v>
      </c>
      <c r="ED161" t="e">
        <f>AND('SPR BARRANQUILLA'!FD193,"AAAAAH/t/YU=")</f>
        <v>#VALUE!</v>
      </c>
      <c r="EE161" t="e">
        <f>AND('SPR BARRANQUILLA'!FE193,"AAAAAH/t/YY=")</f>
        <v>#VALUE!</v>
      </c>
      <c r="EF161" t="e">
        <f>AND('SPR BARRANQUILLA'!FF193,"AAAAAH/t/Yc=")</f>
        <v>#VALUE!</v>
      </c>
      <c r="EG161" t="e">
        <f>AND('SPR BARRANQUILLA'!FG193,"AAAAAH/t/Yg=")</f>
        <v>#VALUE!</v>
      </c>
      <c r="EH161" t="e">
        <f>AND('SPR BARRANQUILLA'!FH193,"AAAAAH/t/Yk=")</f>
        <v>#VALUE!</v>
      </c>
      <c r="EI161" t="e">
        <f>AND('SPR BARRANQUILLA'!FI193,"AAAAAH/t/Yo=")</f>
        <v>#VALUE!</v>
      </c>
      <c r="EJ161" t="e">
        <f>AND('SPR BARRANQUILLA'!FJ193,"AAAAAH/t/Ys=")</f>
        <v>#VALUE!</v>
      </c>
      <c r="EK161" t="e">
        <f>AND('SPR BARRANQUILLA'!FK193,"AAAAAH/t/Yw=")</f>
        <v>#VALUE!</v>
      </c>
      <c r="EL161" t="e">
        <f>AND('SPR BARRANQUILLA'!FL193,"AAAAAH/t/Y0=")</f>
        <v>#VALUE!</v>
      </c>
      <c r="EM161" t="e">
        <f>AND('SPR BARRANQUILLA'!FM193,"AAAAAH/t/Y4=")</f>
        <v>#VALUE!</v>
      </c>
      <c r="EN161" t="e">
        <f>AND('SPR BARRANQUILLA'!FN193,"AAAAAH/t/Y8=")</f>
        <v>#VALUE!</v>
      </c>
      <c r="EO161" t="e">
        <f>AND('SPR BARRANQUILLA'!FO193,"AAAAAH/t/ZA=")</f>
        <v>#VALUE!</v>
      </c>
      <c r="EP161" t="e">
        <f>AND('SPR BARRANQUILLA'!FP193,"AAAAAH/t/ZE=")</f>
        <v>#VALUE!</v>
      </c>
      <c r="EQ161" t="e">
        <f>AND('SPR BARRANQUILLA'!FQ193,"AAAAAH/t/ZI=")</f>
        <v>#VALUE!</v>
      </c>
      <c r="ER161" t="e">
        <f>AND('SPR BARRANQUILLA'!FR193,"AAAAAH/t/ZM=")</f>
        <v>#VALUE!</v>
      </c>
      <c r="ES161" t="e">
        <f>AND('SPR BARRANQUILLA'!FS193,"AAAAAH/t/ZQ=")</f>
        <v>#VALUE!</v>
      </c>
      <c r="ET161" t="e">
        <f>AND('SPR BARRANQUILLA'!FT193,"AAAAAH/t/ZU=")</f>
        <v>#VALUE!</v>
      </c>
      <c r="EU161" t="e">
        <f>AND('SPR BARRANQUILLA'!FU193,"AAAAAH/t/ZY=")</f>
        <v>#VALUE!</v>
      </c>
      <c r="EV161" t="e">
        <f>AND('SPR BARRANQUILLA'!FV193,"AAAAAH/t/Zc=")</f>
        <v>#VALUE!</v>
      </c>
      <c r="EW161" t="e">
        <f>AND('SPR BARRANQUILLA'!FW193,"AAAAAH/t/Zg=")</f>
        <v>#VALUE!</v>
      </c>
      <c r="EX161" t="e">
        <f>AND('SPR BARRANQUILLA'!FX193,"AAAAAH/t/Zk=")</f>
        <v>#VALUE!</v>
      </c>
      <c r="EY161" t="e">
        <f>AND('SPR BARRANQUILLA'!FY193,"AAAAAH/t/Zo=")</f>
        <v>#VALUE!</v>
      </c>
      <c r="EZ161" t="e">
        <f>AND('SPR BARRANQUILLA'!FZ193,"AAAAAH/t/Zs=")</f>
        <v>#VALUE!</v>
      </c>
      <c r="FA161" t="e">
        <f>AND('SPR BARRANQUILLA'!GA193,"AAAAAH/t/Zw=")</f>
        <v>#VALUE!</v>
      </c>
      <c r="FB161" t="e">
        <f>AND('SPR BARRANQUILLA'!GB193,"AAAAAH/t/Z0=")</f>
        <v>#VALUE!</v>
      </c>
      <c r="FC161" t="e">
        <f>AND('SPR BARRANQUILLA'!GC193,"AAAAAH/t/Z4=")</f>
        <v>#VALUE!</v>
      </c>
      <c r="FD161" t="e">
        <f>AND('SPR BARRANQUILLA'!GD193,"AAAAAH/t/Z8=")</f>
        <v>#VALUE!</v>
      </c>
      <c r="FE161" t="e">
        <f>AND('SPR BARRANQUILLA'!GE193,"AAAAAH/t/aA=")</f>
        <v>#VALUE!</v>
      </c>
      <c r="FF161" t="e">
        <f>AND('SPR BARRANQUILLA'!GF193,"AAAAAH/t/aE=")</f>
        <v>#VALUE!</v>
      </c>
      <c r="FG161" t="e">
        <f>AND('SPR BARRANQUILLA'!GG193,"AAAAAH/t/aI=")</f>
        <v>#VALUE!</v>
      </c>
      <c r="FH161" t="e">
        <f>AND('SPR BARRANQUILLA'!GH193,"AAAAAH/t/aM=")</f>
        <v>#VALUE!</v>
      </c>
      <c r="FI161" t="e">
        <f>AND('SPR BARRANQUILLA'!GI193,"AAAAAH/t/aQ=")</f>
        <v>#VALUE!</v>
      </c>
      <c r="FJ161" t="e">
        <f>AND('SPR BARRANQUILLA'!GJ193,"AAAAAH/t/aU=")</f>
        <v>#VALUE!</v>
      </c>
      <c r="FK161" t="e">
        <f>AND('SPR BARRANQUILLA'!GK193,"AAAAAH/t/aY=")</f>
        <v>#VALUE!</v>
      </c>
      <c r="FL161" t="e">
        <f>AND('SPR BARRANQUILLA'!GL193,"AAAAAH/t/ac=")</f>
        <v>#VALUE!</v>
      </c>
      <c r="FM161" t="e">
        <f>AND('SPR BARRANQUILLA'!GM193,"AAAAAH/t/ag=")</f>
        <v>#VALUE!</v>
      </c>
      <c r="FN161" t="e">
        <f>AND('SPR BARRANQUILLA'!GN193,"AAAAAH/t/ak=")</f>
        <v>#VALUE!</v>
      </c>
      <c r="FO161" t="e">
        <f>AND('SPR BARRANQUILLA'!GO193,"AAAAAH/t/ao=")</f>
        <v>#VALUE!</v>
      </c>
      <c r="FP161" t="e">
        <f>AND('SPR BARRANQUILLA'!GP193,"AAAAAH/t/as=")</f>
        <v>#VALUE!</v>
      </c>
      <c r="FQ161" t="e">
        <f>AND('SPR BARRANQUILLA'!GQ193,"AAAAAH/t/aw=")</f>
        <v>#VALUE!</v>
      </c>
      <c r="FR161" t="e">
        <f>AND('SPR BARRANQUILLA'!GR193,"AAAAAH/t/a0=")</f>
        <v>#VALUE!</v>
      </c>
      <c r="FS161" t="e">
        <f>AND('SPR BARRANQUILLA'!GS193,"AAAAAH/t/a4=")</f>
        <v>#VALUE!</v>
      </c>
      <c r="FT161" t="e">
        <f>AND('SPR BARRANQUILLA'!GT193,"AAAAAH/t/a8=")</f>
        <v>#VALUE!</v>
      </c>
      <c r="FU161" t="e">
        <f>AND('SPR BARRANQUILLA'!GU193,"AAAAAH/t/bA=")</f>
        <v>#VALUE!</v>
      </c>
      <c r="FV161" t="e">
        <f>AND('SPR BARRANQUILLA'!GV193,"AAAAAH/t/bE=")</f>
        <v>#VALUE!</v>
      </c>
      <c r="FW161" t="e">
        <f>AND('SPR BARRANQUILLA'!GW193,"AAAAAH/t/bI=")</f>
        <v>#VALUE!</v>
      </c>
      <c r="FX161" t="e">
        <f>AND('SPR BARRANQUILLA'!GX193,"AAAAAH/t/bM=")</f>
        <v>#VALUE!</v>
      </c>
      <c r="FY161" t="e">
        <f>AND('SPR BARRANQUILLA'!GY193,"AAAAAH/t/bQ=")</f>
        <v>#VALUE!</v>
      </c>
      <c r="FZ161">
        <f>IF('SPR BARRANQUILLA'!194:194,"AAAAAH/t/bU=",0)</f>
        <v>0</v>
      </c>
      <c r="GA161" t="e">
        <f>AND('SPR BARRANQUILLA'!A194,"AAAAAH/t/bY=")</f>
        <v>#VALUE!</v>
      </c>
      <c r="GB161" t="e">
        <f>AND('SPR BARRANQUILLA'!B194,"AAAAAH/t/bc=")</f>
        <v>#VALUE!</v>
      </c>
      <c r="GC161" t="e">
        <f>AND('SPR BARRANQUILLA'!C194,"AAAAAH/t/bg=")</f>
        <v>#VALUE!</v>
      </c>
      <c r="GD161" t="e">
        <f>AND('SPR BARRANQUILLA'!D194,"AAAAAH/t/bk=")</f>
        <v>#VALUE!</v>
      </c>
      <c r="GE161" t="e">
        <f>AND('SPR BARRANQUILLA'!E194,"AAAAAH/t/bo=")</f>
        <v>#VALUE!</v>
      </c>
      <c r="GF161" t="e">
        <f>AND('SPR BARRANQUILLA'!F194,"AAAAAH/t/bs=")</f>
        <v>#VALUE!</v>
      </c>
      <c r="GG161" t="e">
        <f>AND('SPR BARRANQUILLA'!G194,"AAAAAH/t/bw=")</f>
        <v>#VALUE!</v>
      </c>
      <c r="GH161" t="e">
        <f>AND('SPR BARRANQUILLA'!H194,"AAAAAH/t/b0=")</f>
        <v>#VALUE!</v>
      </c>
      <c r="GI161" t="e">
        <f>AND('SPR BARRANQUILLA'!I194,"AAAAAH/t/b4=")</f>
        <v>#VALUE!</v>
      </c>
      <c r="GJ161" t="e">
        <f>AND('SPR BARRANQUILLA'!J194,"AAAAAH/t/b8=")</f>
        <v>#VALUE!</v>
      </c>
      <c r="GK161" t="e">
        <f>AND('SPR BARRANQUILLA'!K194,"AAAAAH/t/cA=")</f>
        <v>#VALUE!</v>
      </c>
      <c r="GL161" t="e">
        <f>AND('SPR BARRANQUILLA'!L194,"AAAAAH/t/cE=")</f>
        <v>#VALUE!</v>
      </c>
      <c r="GM161" t="e">
        <f>AND('SPR BARRANQUILLA'!M194,"AAAAAH/t/cI=")</f>
        <v>#VALUE!</v>
      </c>
      <c r="GN161" t="e">
        <f>AND('SPR BARRANQUILLA'!N194,"AAAAAH/t/cM=")</f>
        <v>#VALUE!</v>
      </c>
      <c r="GO161" t="e">
        <f>AND('SPR BARRANQUILLA'!O194,"AAAAAH/t/cQ=")</f>
        <v>#VALUE!</v>
      </c>
      <c r="GP161" t="e">
        <f>AND('SPR BARRANQUILLA'!P194,"AAAAAH/t/cU=")</f>
        <v>#VALUE!</v>
      </c>
      <c r="GQ161" t="e">
        <f>AND('SPR BARRANQUILLA'!Q194,"AAAAAH/t/cY=")</f>
        <v>#VALUE!</v>
      </c>
      <c r="GR161" t="e">
        <f>AND('SPR BARRANQUILLA'!R194,"AAAAAH/t/cc=")</f>
        <v>#VALUE!</v>
      </c>
      <c r="GS161" t="e">
        <f>AND('SPR BARRANQUILLA'!S194,"AAAAAH/t/cg=")</f>
        <v>#VALUE!</v>
      </c>
      <c r="GT161" t="e">
        <f>AND('SPR BARRANQUILLA'!T194,"AAAAAH/t/ck=")</f>
        <v>#VALUE!</v>
      </c>
      <c r="GU161" t="e">
        <f>AND('SPR BARRANQUILLA'!U194,"AAAAAH/t/co=")</f>
        <v>#VALUE!</v>
      </c>
      <c r="GV161" t="e">
        <f>AND('SPR BARRANQUILLA'!V194,"AAAAAH/t/cs=")</f>
        <v>#VALUE!</v>
      </c>
      <c r="GW161" t="e">
        <f>AND('SPR BARRANQUILLA'!W194,"AAAAAH/t/cw=")</f>
        <v>#VALUE!</v>
      </c>
      <c r="GX161" t="e">
        <f>AND('SPR BARRANQUILLA'!X194,"AAAAAH/t/c0=")</f>
        <v>#VALUE!</v>
      </c>
      <c r="GY161" t="e">
        <f>AND('SPR BARRANQUILLA'!Y194,"AAAAAH/t/c4=")</f>
        <v>#VALUE!</v>
      </c>
      <c r="GZ161" t="e">
        <f>AND('SPR BARRANQUILLA'!Z194,"AAAAAH/t/c8=")</f>
        <v>#VALUE!</v>
      </c>
      <c r="HA161" t="e">
        <f>AND('SPR BARRANQUILLA'!AA194,"AAAAAH/t/dA=")</f>
        <v>#VALUE!</v>
      </c>
      <c r="HB161" t="e">
        <f>AND('SPR BARRANQUILLA'!AB194,"AAAAAH/t/dE=")</f>
        <v>#VALUE!</v>
      </c>
      <c r="HC161" t="e">
        <f>AND('SPR BARRANQUILLA'!AC194,"AAAAAH/t/dI=")</f>
        <v>#VALUE!</v>
      </c>
      <c r="HD161" t="e">
        <f>AND('SPR BARRANQUILLA'!AD194,"AAAAAH/t/dM=")</f>
        <v>#VALUE!</v>
      </c>
      <c r="HE161" t="e">
        <f>AND('SPR BARRANQUILLA'!AE194,"AAAAAH/t/dQ=")</f>
        <v>#VALUE!</v>
      </c>
      <c r="HF161" t="e">
        <f>AND('SPR BARRANQUILLA'!AF194,"AAAAAH/t/dU=")</f>
        <v>#VALUE!</v>
      </c>
      <c r="HG161" t="e">
        <f>AND('SPR BARRANQUILLA'!AG194,"AAAAAH/t/dY=")</f>
        <v>#VALUE!</v>
      </c>
      <c r="HH161" t="e">
        <f>AND('SPR BARRANQUILLA'!AH194,"AAAAAH/t/dc=")</f>
        <v>#VALUE!</v>
      </c>
      <c r="HI161" t="e">
        <f>AND('SPR BARRANQUILLA'!AI194,"AAAAAH/t/dg=")</f>
        <v>#VALUE!</v>
      </c>
      <c r="HJ161" t="e">
        <f>AND('SPR BARRANQUILLA'!AJ194,"AAAAAH/t/dk=")</f>
        <v>#VALUE!</v>
      </c>
      <c r="HK161" t="e">
        <f>AND('SPR BARRANQUILLA'!AK194,"AAAAAH/t/do=")</f>
        <v>#VALUE!</v>
      </c>
      <c r="HL161" t="e">
        <f>AND('SPR BARRANQUILLA'!AL194,"AAAAAH/t/ds=")</f>
        <v>#VALUE!</v>
      </c>
      <c r="HM161" t="e">
        <f>AND('SPR BARRANQUILLA'!AM194,"AAAAAH/t/dw=")</f>
        <v>#VALUE!</v>
      </c>
      <c r="HN161" t="e">
        <f>AND('SPR BARRANQUILLA'!AN194,"AAAAAH/t/d0=")</f>
        <v>#VALUE!</v>
      </c>
      <c r="HO161" t="e">
        <f>AND('SPR BARRANQUILLA'!AO194,"AAAAAH/t/d4=")</f>
        <v>#VALUE!</v>
      </c>
      <c r="HP161" t="e">
        <f>AND('SPR BARRANQUILLA'!AP194,"AAAAAH/t/d8=")</f>
        <v>#VALUE!</v>
      </c>
      <c r="HQ161" t="e">
        <f>AND('SPR BARRANQUILLA'!AQ194,"AAAAAH/t/eA=")</f>
        <v>#VALUE!</v>
      </c>
      <c r="HR161" t="e">
        <f>AND('SPR BARRANQUILLA'!AR194,"AAAAAH/t/eE=")</f>
        <v>#VALUE!</v>
      </c>
      <c r="HS161" t="e">
        <f>AND('SPR BARRANQUILLA'!AS194,"AAAAAH/t/eI=")</f>
        <v>#VALUE!</v>
      </c>
      <c r="HT161" t="e">
        <f>AND('SPR BARRANQUILLA'!AT194,"AAAAAH/t/eM=")</f>
        <v>#VALUE!</v>
      </c>
      <c r="HU161" t="e">
        <f>AND('SPR BARRANQUILLA'!AU194,"AAAAAH/t/eQ=")</f>
        <v>#VALUE!</v>
      </c>
      <c r="HV161" t="e">
        <f>AND('SPR BARRANQUILLA'!AV194,"AAAAAH/t/eU=")</f>
        <v>#VALUE!</v>
      </c>
      <c r="HW161" t="e">
        <f>AND('SPR BARRANQUILLA'!AW194,"AAAAAH/t/eY=")</f>
        <v>#VALUE!</v>
      </c>
      <c r="HX161" t="e">
        <f>AND('SPR BARRANQUILLA'!AX194,"AAAAAH/t/ec=")</f>
        <v>#VALUE!</v>
      </c>
      <c r="HY161" t="e">
        <f>AND('SPR BARRANQUILLA'!AY194,"AAAAAH/t/eg=")</f>
        <v>#VALUE!</v>
      </c>
      <c r="HZ161" t="e">
        <f>AND('SPR BARRANQUILLA'!AZ194,"AAAAAH/t/ek=")</f>
        <v>#VALUE!</v>
      </c>
      <c r="IA161" t="e">
        <f>AND('SPR BARRANQUILLA'!BA194,"AAAAAH/t/eo=")</f>
        <v>#VALUE!</v>
      </c>
      <c r="IB161" t="e">
        <f>AND('SPR BARRANQUILLA'!BB194,"AAAAAH/t/es=")</f>
        <v>#VALUE!</v>
      </c>
      <c r="IC161" t="e">
        <f>AND('SPR BARRANQUILLA'!BC194,"AAAAAH/t/ew=")</f>
        <v>#VALUE!</v>
      </c>
      <c r="ID161" t="e">
        <f>AND('SPR BARRANQUILLA'!BD194,"AAAAAH/t/e0=")</f>
        <v>#VALUE!</v>
      </c>
      <c r="IE161" t="e">
        <f>AND('SPR BARRANQUILLA'!BE194,"AAAAAH/t/e4=")</f>
        <v>#VALUE!</v>
      </c>
      <c r="IF161" t="e">
        <f>AND('SPR BARRANQUILLA'!BF194,"AAAAAH/t/e8=")</f>
        <v>#VALUE!</v>
      </c>
      <c r="IG161" t="e">
        <f>AND('SPR BARRANQUILLA'!BG194,"AAAAAH/t/fA=")</f>
        <v>#VALUE!</v>
      </c>
      <c r="IH161" t="e">
        <f>AND('SPR BARRANQUILLA'!BH194,"AAAAAH/t/fE=")</f>
        <v>#VALUE!</v>
      </c>
      <c r="II161" t="e">
        <f>AND('SPR BARRANQUILLA'!BI194,"AAAAAH/t/fI=")</f>
        <v>#VALUE!</v>
      </c>
      <c r="IJ161" t="e">
        <f>AND('SPR BARRANQUILLA'!BJ194,"AAAAAH/t/fM=")</f>
        <v>#VALUE!</v>
      </c>
      <c r="IK161" t="e">
        <f>AND('SPR BARRANQUILLA'!BK194,"AAAAAH/t/fQ=")</f>
        <v>#VALUE!</v>
      </c>
      <c r="IL161" t="e">
        <f>AND('SPR BARRANQUILLA'!BL194,"AAAAAH/t/fU=")</f>
        <v>#VALUE!</v>
      </c>
      <c r="IM161" t="e">
        <f>AND('SPR BARRANQUILLA'!BM194,"AAAAAH/t/fY=")</f>
        <v>#VALUE!</v>
      </c>
      <c r="IN161" t="e">
        <f>AND('SPR BARRANQUILLA'!BN194,"AAAAAH/t/fc=")</f>
        <v>#VALUE!</v>
      </c>
      <c r="IO161" t="e">
        <f>AND('SPR BARRANQUILLA'!BO194,"AAAAAH/t/fg=")</f>
        <v>#VALUE!</v>
      </c>
      <c r="IP161" t="e">
        <f>AND('SPR BARRANQUILLA'!BP194,"AAAAAH/t/fk=")</f>
        <v>#VALUE!</v>
      </c>
      <c r="IQ161" t="e">
        <f>AND('SPR BARRANQUILLA'!BQ194,"AAAAAH/t/fo=")</f>
        <v>#VALUE!</v>
      </c>
      <c r="IR161" t="e">
        <f>AND('SPR BARRANQUILLA'!BR194,"AAAAAH/t/fs=")</f>
        <v>#VALUE!</v>
      </c>
      <c r="IS161" t="e">
        <f>AND('SPR BARRANQUILLA'!BS194,"AAAAAH/t/fw=")</f>
        <v>#VALUE!</v>
      </c>
      <c r="IT161" t="e">
        <f>AND('SPR BARRANQUILLA'!BT194,"AAAAAH/t/f0=")</f>
        <v>#VALUE!</v>
      </c>
      <c r="IU161" t="e">
        <f>AND('SPR BARRANQUILLA'!BU194,"AAAAAH/t/f4=")</f>
        <v>#VALUE!</v>
      </c>
      <c r="IV161" t="e">
        <f>AND('SPR BARRANQUILLA'!BV194,"AAAAAH/t/f8=")</f>
        <v>#VALUE!</v>
      </c>
    </row>
    <row r="162" spans="1:256">
      <c r="A162" t="e">
        <f>AND('SPR BARRANQUILLA'!BW194,"AAAAAGXutQA=")</f>
        <v>#VALUE!</v>
      </c>
      <c r="B162" t="e">
        <f>AND('SPR BARRANQUILLA'!BX194,"AAAAAGXutQE=")</f>
        <v>#VALUE!</v>
      </c>
      <c r="C162" t="e">
        <f>AND('SPR BARRANQUILLA'!BY194,"AAAAAGXutQI=")</f>
        <v>#VALUE!</v>
      </c>
      <c r="D162" t="e">
        <f>AND('SPR BARRANQUILLA'!BZ194,"AAAAAGXutQM=")</f>
        <v>#VALUE!</v>
      </c>
      <c r="E162" t="e">
        <f>AND('SPR BARRANQUILLA'!CA194,"AAAAAGXutQQ=")</f>
        <v>#VALUE!</v>
      </c>
      <c r="F162" t="e">
        <f>AND('SPR BARRANQUILLA'!CB194,"AAAAAGXutQU=")</f>
        <v>#VALUE!</v>
      </c>
      <c r="G162" t="e">
        <f>AND('SPR BARRANQUILLA'!CC194,"AAAAAGXutQY=")</f>
        <v>#VALUE!</v>
      </c>
      <c r="H162" t="e">
        <f>AND('SPR BARRANQUILLA'!CD194,"AAAAAGXutQc=")</f>
        <v>#VALUE!</v>
      </c>
      <c r="I162" t="e">
        <f>AND('SPR BARRANQUILLA'!CE194,"AAAAAGXutQg=")</f>
        <v>#VALUE!</v>
      </c>
      <c r="J162" t="e">
        <f>AND('SPR BARRANQUILLA'!CF194,"AAAAAGXutQk=")</f>
        <v>#VALUE!</v>
      </c>
      <c r="K162" t="e">
        <f>AND('SPR BARRANQUILLA'!CG194,"AAAAAGXutQo=")</f>
        <v>#VALUE!</v>
      </c>
      <c r="L162" t="e">
        <f>AND('SPR BARRANQUILLA'!CH194,"AAAAAGXutQs=")</f>
        <v>#VALUE!</v>
      </c>
      <c r="M162" t="e">
        <f>AND('SPR BARRANQUILLA'!CI194,"AAAAAGXutQw=")</f>
        <v>#VALUE!</v>
      </c>
      <c r="N162" t="e">
        <f>AND('SPR BARRANQUILLA'!CJ194,"AAAAAGXutQ0=")</f>
        <v>#VALUE!</v>
      </c>
      <c r="O162" t="e">
        <f>AND('SPR BARRANQUILLA'!CK194,"AAAAAGXutQ4=")</f>
        <v>#VALUE!</v>
      </c>
      <c r="P162" t="e">
        <f>AND('SPR BARRANQUILLA'!CL194,"AAAAAGXutQ8=")</f>
        <v>#VALUE!</v>
      </c>
      <c r="Q162" t="e">
        <f>AND('SPR BARRANQUILLA'!CM194,"AAAAAGXutRA=")</f>
        <v>#VALUE!</v>
      </c>
      <c r="R162" t="e">
        <f>AND('SPR BARRANQUILLA'!CN194,"AAAAAGXutRE=")</f>
        <v>#VALUE!</v>
      </c>
      <c r="S162" t="e">
        <f>AND('SPR BARRANQUILLA'!CO194,"AAAAAGXutRI=")</f>
        <v>#VALUE!</v>
      </c>
      <c r="T162" t="e">
        <f>AND('SPR BARRANQUILLA'!CP194,"AAAAAGXutRM=")</f>
        <v>#VALUE!</v>
      </c>
      <c r="U162" t="e">
        <f>AND('SPR BARRANQUILLA'!CQ194,"AAAAAGXutRQ=")</f>
        <v>#VALUE!</v>
      </c>
      <c r="V162" t="e">
        <f>AND('SPR BARRANQUILLA'!CR194,"AAAAAGXutRU=")</f>
        <v>#VALUE!</v>
      </c>
      <c r="W162" t="e">
        <f>AND('SPR BARRANQUILLA'!CS194,"AAAAAGXutRY=")</f>
        <v>#VALUE!</v>
      </c>
      <c r="X162" t="e">
        <f>AND('SPR BARRANQUILLA'!CT194,"AAAAAGXutRc=")</f>
        <v>#VALUE!</v>
      </c>
      <c r="Y162" t="e">
        <f>AND('SPR BARRANQUILLA'!CU194,"AAAAAGXutRg=")</f>
        <v>#VALUE!</v>
      </c>
      <c r="Z162" t="e">
        <f>AND('SPR BARRANQUILLA'!CV194,"AAAAAGXutRk=")</f>
        <v>#VALUE!</v>
      </c>
      <c r="AA162" t="e">
        <f>AND('SPR BARRANQUILLA'!CW194,"AAAAAGXutRo=")</f>
        <v>#VALUE!</v>
      </c>
      <c r="AB162" t="e">
        <f>AND('SPR BARRANQUILLA'!CX194,"AAAAAGXutRs=")</f>
        <v>#VALUE!</v>
      </c>
      <c r="AC162" t="e">
        <f>AND('SPR BARRANQUILLA'!CY194,"AAAAAGXutRw=")</f>
        <v>#VALUE!</v>
      </c>
      <c r="AD162" t="e">
        <f>AND('SPR BARRANQUILLA'!CZ194,"AAAAAGXutR0=")</f>
        <v>#VALUE!</v>
      </c>
      <c r="AE162" t="e">
        <f>AND('SPR BARRANQUILLA'!DA194,"AAAAAGXutR4=")</f>
        <v>#VALUE!</v>
      </c>
      <c r="AF162" t="e">
        <f>AND('SPR BARRANQUILLA'!DB194,"AAAAAGXutR8=")</f>
        <v>#VALUE!</v>
      </c>
      <c r="AG162" t="e">
        <f>AND('SPR BARRANQUILLA'!DC194,"AAAAAGXutSA=")</f>
        <v>#VALUE!</v>
      </c>
      <c r="AH162" t="e">
        <f>AND('SPR BARRANQUILLA'!DD194,"AAAAAGXutSE=")</f>
        <v>#VALUE!</v>
      </c>
      <c r="AI162" t="e">
        <f>AND('SPR BARRANQUILLA'!DE194,"AAAAAGXutSI=")</f>
        <v>#VALUE!</v>
      </c>
      <c r="AJ162" t="e">
        <f>AND('SPR BARRANQUILLA'!DF194,"AAAAAGXutSM=")</f>
        <v>#VALUE!</v>
      </c>
      <c r="AK162" t="e">
        <f>AND('SPR BARRANQUILLA'!DG194,"AAAAAGXutSQ=")</f>
        <v>#VALUE!</v>
      </c>
      <c r="AL162" t="e">
        <f>AND('SPR BARRANQUILLA'!DH194,"AAAAAGXutSU=")</f>
        <v>#VALUE!</v>
      </c>
      <c r="AM162" t="e">
        <f>AND('SPR BARRANQUILLA'!DI194,"AAAAAGXutSY=")</f>
        <v>#VALUE!</v>
      </c>
      <c r="AN162" t="e">
        <f>AND('SPR BARRANQUILLA'!DJ194,"AAAAAGXutSc=")</f>
        <v>#VALUE!</v>
      </c>
      <c r="AO162" t="e">
        <f>AND('SPR BARRANQUILLA'!DK194,"AAAAAGXutSg=")</f>
        <v>#VALUE!</v>
      </c>
      <c r="AP162" t="e">
        <f>AND('SPR BARRANQUILLA'!DL194,"AAAAAGXutSk=")</f>
        <v>#VALUE!</v>
      </c>
      <c r="AQ162" t="e">
        <f>AND('SPR BARRANQUILLA'!DM194,"AAAAAGXutSo=")</f>
        <v>#VALUE!</v>
      </c>
      <c r="AR162" t="e">
        <f>AND('SPR BARRANQUILLA'!DN194,"AAAAAGXutSs=")</f>
        <v>#VALUE!</v>
      </c>
      <c r="AS162" t="e">
        <f>AND('SPR BARRANQUILLA'!DO194,"AAAAAGXutSw=")</f>
        <v>#VALUE!</v>
      </c>
      <c r="AT162" t="e">
        <f>AND('SPR BARRANQUILLA'!DP194,"AAAAAGXutS0=")</f>
        <v>#VALUE!</v>
      </c>
      <c r="AU162" t="e">
        <f>AND('SPR BARRANQUILLA'!DQ194,"AAAAAGXutS4=")</f>
        <v>#VALUE!</v>
      </c>
      <c r="AV162" t="e">
        <f>AND('SPR BARRANQUILLA'!DR194,"AAAAAGXutS8=")</f>
        <v>#VALUE!</v>
      </c>
      <c r="AW162" t="e">
        <f>AND('SPR BARRANQUILLA'!DS194,"AAAAAGXutTA=")</f>
        <v>#VALUE!</v>
      </c>
      <c r="AX162" t="e">
        <f>AND('SPR BARRANQUILLA'!DT194,"AAAAAGXutTE=")</f>
        <v>#VALUE!</v>
      </c>
      <c r="AY162" t="e">
        <f>AND('SPR BARRANQUILLA'!DU194,"AAAAAGXutTI=")</f>
        <v>#VALUE!</v>
      </c>
      <c r="AZ162" t="e">
        <f>AND('SPR BARRANQUILLA'!DV194,"AAAAAGXutTM=")</f>
        <v>#VALUE!</v>
      </c>
      <c r="BA162" t="e">
        <f>AND('SPR BARRANQUILLA'!DW194,"AAAAAGXutTQ=")</f>
        <v>#VALUE!</v>
      </c>
      <c r="BB162" t="e">
        <f>AND('SPR BARRANQUILLA'!DX194,"AAAAAGXutTU=")</f>
        <v>#VALUE!</v>
      </c>
      <c r="BC162" t="e">
        <f>AND('SPR BARRANQUILLA'!DY194,"AAAAAGXutTY=")</f>
        <v>#VALUE!</v>
      </c>
      <c r="BD162" t="e">
        <f>AND('SPR BARRANQUILLA'!DZ194,"AAAAAGXutTc=")</f>
        <v>#VALUE!</v>
      </c>
      <c r="BE162" t="e">
        <f>AND('SPR BARRANQUILLA'!EA194,"AAAAAGXutTg=")</f>
        <v>#VALUE!</v>
      </c>
      <c r="BF162" t="e">
        <f>AND('SPR BARRANQUILLA'!EB194,"AAAAAGXutTk=")</f>
        <v>#VALUE!</v>
      </c>
      <c r="BG162" t="e">
        <f>AND('SPR BARRANQUILLA'!EC194,"AAAAAGXutTo=")</f>
        <v>#VALUE!</v>
      </c>
      <c r="BH162" t="e">
        <f>AND('SPR BARRANQUILLA'!ED194,"AAAAAGXutTs=")</f>
        <v>#VALUE!</v>
      </c>
      <c r="BI162" t="e">
        <f>AND('SPR BARRANQUILLA'!EE194,"AAAAAGXutTw=")</f>
        <v>#VALUE!</v>
      </c>
      <c r="BJ162" t="e">
        <f>AND('SPR BARRANQUILLA'!EF194,"AAAAAGXutT0=")</f>
        <v>#VALUE!</v>
      </c>
      <c r="BK162" t="e">
        <f>AND('SPR BARRANQUILLA'!EG194,"AAAAAGXutT4=")</f>
        <v>#VALUE!</v>
      </c>
      <c r="BL162" t="e">
        <f>AND('SPR BARRANQUILLA'!EH194,"AAAAAGXutT8=")</f>
        <v>#VALUE!</v>
      </c>
      <c r="BM162" t="e">
        <f>AND('SPR BARRANQUILLA'!EI194,"AAAAAGXutUA=")</f>
        <v>#VALUE!</v>
      </c>
      <c r="BN162" t="e">
        <f>AND('SPR BARRANQUILLA'!EJ194,"AAAAAGXutUE=")</f>
        <v>#VALUE!</v>
      </c>
      <c r="BO162" t="e">
        <f>AND('SPR BARRANQUILLA'!EK194,"AAAAAGXutUI=")</f>
        <v>#VALUE!</v>
      </c>
      <c r="BP162" t="e">
        <f>AND('SPR BARRANQUILLA'!EL194,"AAAAAGXutUM=")</f>
        <v>#VALUE!</v>
      </c>
      <c r="BQ162" t="e">
        <f>AND('SPR BARRANQUILLA'!EM194,"AAAAAGXutUQ=")</f>
        <v>#VALUE!</v>
      </c>
      <c r="BR162" t="e">
        <f>AND('SPR BARRANQUILLA'!EN194,"AAAAAGXutUU=")</f>
        <v>#VALUE!</v>
      </c>
      <c r="BS162" t="e">
        <f>AND('SPR BARRANQUILLA'!EO194,"AAAAAGXutUY=")</f>
        <v>#VALUE!</v>
      </c>
      <c r="BT162" t="e">
        <f>AND('SPR BARRANQUILLA'!EP194,"AAAAAGXutUc=")</f>
        <v>#VALUE!</v>
      </c>
      <c r="BU162" t="e">
        <f>AND('SPR BARRANQUILLA'!EQ194,"AAAAAGXutUg=")</f>
        <v>#VALUE!</v>
      </c>
      <c r="BV162" t="e">
        <f>AND('SPR BARRANQUILLA'!ER194,"AAAAAGXutUk=")</f>
        <v>#VALUE!</v>
      </c>
      <c r="BW162" t="e">
        <f>AND('SPR BARRANQUILLA'!ES194,"AAAAAGXutUo=")</f>
        <v>#VALUE!</v>
      </c>
      <c r="BX162" t="e">
        <f>AND('SPR BARRANQUILLA'!ET194,"AAAAAGXutUs=")</f>
        <v>#VALUE!</v>
      </c>
      <c r="BY162" t="e">
        <f>AND('SPR BARRANQUILLA'!EU194,"AAAAAGXutUw=")</f>
        <v>#VALUE!</v>
      </c>
      <c r="BZ162" t="e">
        <f>AND('SPR BARRANQUILLA'!EV194,"AAAAAGXutU0=")</f>
        <v>#VALUE!</v>
      </c>
      <c r="CA162" t="e">
        <f>AND('SPR BARRANQUILLA'!EW194,"AAAAAGXutU4=")</f>
        <v>#VALUE!</v>
      </c>
      <c r="CB162" t="e">
        <f>AND('SPR BARRANQUILLA'!EX194,"AAAAAGXutU8=")</f>
        <v>#VALUE!</v>
      </c>
      <c r="CC162" t="e">
        <f>AND('SPR BARRANQUILLA'!EY194,"AAAAAGXutVA=")</f>
        <v>#VALUE!</v>
      </c>
      <c r="CD162" t="e">
        <f>AND('SPR BARRANQUILLA'!EZ194,"AAAAAGXutVE=")</f>
        <v>#VALUE!</v>
      </c>
      <c r="CE162" t="e">
        <f>AND('SPR BARRANQUILLA'!FA194,"AAAAAGXutVI=")</f>
        <v>#VALUE!</v>
      </c>
      <c r="CF162" t="e">
        <f>AND('SPR BARRANQUILLA'!FB194,"AAAAAGXutVM=")</f>
        <v>#VALUE!</v>
      </c>
      <c r="CG162" t="e">
        <f>AND('SPR BARRANQUILLA'!FC194,"AAAAAGXutVQ=")</f>
        <v>#VALUE!</v>
      </c>
      <c r="CH162" t="e">
        <f>AND('SPR BARRANQUILLA'!FD194,"AAAAAGXutVU=")</f>
        <v>#VALUE!</v>
      </c>
      <c r="CI162" t="e">
        <f>AND('SPR BARRANQUILLA'!FE194,"AAAAAGXutVY=")</f>
        <v>#VALUE!</v>
      </c>
      <c r="CJ162" t="e">
        <f>AND('SPR BARRANQUILLA'!FF194,"AAAAAGXutVc=")</f>
        <v>#VALUE!</v>
      </c>
      <c r="CK162" t="e">
        <f>AND('SPR BARRANQUILLA'!FG194,"AAAAAGXutVg=")</f>
        <v>#VALUE!</v>
      </c>
      <c r="CL162" t="e">
        <f>AND('SPR BARRANQUILLA'!FH194,"AAAAAGXutVk=")</f>
        <v>#VALUE!</v>
      </c>
      <c r="CM162" t="e">
        <f>AND('SPR BARRANQUILLA'!FI194,"AAAAAGXutVo=")</f>
        <v>#VALUE!</v>
      </c>
      <c r="CN162" t="e">
        <f>AND('SPR BARRANQUILLA'!FJ194,"AAAAAGXutVs=")</f>
        <v>#VALUE!</v>
      </c>
      <c r="CO162" t="e">
        <f>AND('SPR BARRANQUILLA'!FK194,"AAAAAGXutVw=")</f>
        <v>#VALUE!</v>
      </c>
      <c r="CP162" t="e">
        <f>AND('SPR BARRANQUILLA'!FL194,"AAAAAGXutV0=")</f>
        <v>#VALUE!</v>
      </c>
      <c r="CQ162" t="e">
        <f>AND('SPR BARRANQUILLA'!FM194,"AAAAAGXutV4=")</f>
        <v>#VALUE!</v>
      </c>
      <c r="CR162" t="e">
        <f>AND('SPR BARRANQUILLA'!FN194,"AAAAAGXutV8=")</f>
        <v>#VALUE!</v>
      </c>
      <c r="CS162" t="e">
        <f>AND('SPR BARRANQUILLA'!FO194,"AAAAAGXutWA=")</f>
        <v>#VALUE!</v>
      </c>
      <c r="CT162" t="e">
        <f>AND('SPR BARRANQUILLA'!FP194,"AAAAAGXutWE=")</f>
        <v>#VALUE!</v>
      </c>
      <c r="CU162" t="e">
        <f>AND('SPR BARRANQUILLA'!FQ194,"AAAAAGXutWI=")</f>
        <v>#VALUE!</v>
      </c>
      <c r="CV162" t="e">
        <f>AND('SPR BARRANQUILLA'!FR194,"AAAAAGXutWM=")</f>
        <v>#VALUE!</v>
      </c>
      <c r="CW162" t="e">
        <f>AND('SPR BARRANQUILLA'!FS194,"AAAAAGXutWQ=")</f>
        <v>#VALUE!</v>
      </c>
      <c r="CX162" t="e">
        <f>AND('SPR BARRANQUILLA'!FT194,"AAAAAGXutWU=")</f>
        <v>#VALUE!</v>
      </c>
      <c r="CY162" t="e">
        <f>AND('SPR BARRANQUILLA'!FU194,"AAAAAGXutWY=")</f>
        <v>#VALUE!</v>
      </c>
      <c r="CZ162" t="e">
        <f>AND('SPR BARRANQUILLA'!FV194,"AAAAAGXutWc=")</f>
        <v>#VALUE!</v>
      </c>
      <c r="DA162" t="e">
        <f>AND('SPR BARRANQUILLA'!FW194,"AAAAAGXutWg=")</f>
        <v>#VALUE!</v>
      </c>
      <c r="DB162" t="e">
        <f>AND('SPR BARRANQUILLA'!FX194,"AAAAAGXutWk=")</f>
        <v>#VALUE!</v>
      </c>
      <c r="DC162" t="e">
        <f>AND('SPR BARRANQUILLA'!FY194,"AAAAAGXutWo=")</f>
        <v>#VALUE!</v>
      </c>
      <c r="DD162" t="e">
        <f>AND('SPR BARRANQUILLA'!FZ194,"AAAAAGXutWs=")</f>
        <v>#VALUE!</v>
      </c>
      <c r="DE162" t="e">
        <f>AND('SPR BARRANQUILLA'!GA194,"AAAAAGXutWw=")</f>
        <v>#VALUE!</v>
      </c>
      <c r="DF162" t="e">
        <f>AND('SPR BARRANQUILLA'!GB194,"AAAAAGXutW0=")</f>
        <v>#VALUE!</v>
      </c>
      <c r="DG162" t="e">
        <f>AND('SPR BARRANQUILLA'!GC194,"AAAAAGXutW4=")</f>
        <v>#VALUE!</v>
      </c>
      <c r="DH162" t="e">
        <f>AND('SPR BARRANQUILLA'!GD194,"AAAAAGXutW8=")</f>
        <v>#VALUE!</v>
      </c>
      <c r="DI162" t="e">
        <f>AND('SPR BARRANQUILLA'!GE194,"AAAAAGXutXA=")</f>
        <v>#VALUE!</v>
      </c>
      <c r="DJ162" t="e">
        <f>AND('SPR BARRANQUILLA'!GF194,"AAAAAGXutXE=")</f>
        <v>#VALUE!</v>
      </c>
      <c r="DK162" t="e">
        <f>AND('SPR BARRANQUILLA'!GG194,"AAAAAGXutXI=")</f>
        <v>#VALUE!</v>
      </c>
      <c r="DL162" t="e">
        <f>AND('SPR BARRANQUILLA'!GH194,"AAAAAGXutXM=")</f>
        <v>#VALUE!</v>
      </c>
      <c r="DM162" t="e">
        <f>AND('SPR BARRANQUILLA'!GI194,"AAAAAGXutXQ=")</f>
        <v>#VALUE!</v>
      </c>
      <c r="DN162" t="e">
        <f>AND('SPR BARRANQUILLA'!GJ194,"AAAAAGXutXU=")</f>
        <v>#VALUE!</v>
      </c>
      <c r="DO162" t="e">
        <f>AND('SPR BARRANQUILLA'!GK194,"AAAAAGXutXY=")</f>
        <v>#VALUE!</v>
      </c>
      <c r="DP162" t="e">
        <f>AND('SPR BARRANQUILLA'!GL194,"AAAAAGXutXc=")</f>
        <v>#VALUE!</v>
      </c>
      <c r="DQ162" t="e">
        <f>AND('SPR BARRANQUILLA'!GM194,"AAAAAGXutXg=")</f>
        <v>#VALUE!</v>
      </c>
      <c r="DR162" t="e">
        <f>AND('SPR BARRANQUILLA'!GN194,"AAAAAGXutXk=")</f>
        <v>#VALUE!</v>
      </c>
      <c r="DS162" t="e">
        <f>AND('SPR BARRANQUILLA'!GO194,"AAAAAGXutXo=")</f>
        <v>#VALUE!</v>
      </c>
      <c r="DT162" t="e">
        <f>AND('SPR BARRANQUILLA'!GP194,"AAAAAGXutXs=")</f>
        <v>#VALUE!</v>
      </c>
      <c r="DU162" t="e">
        <f>AND('SPR BARRANQUILLA'!GQ194,"AAAAAGXutXw=")</f>
        <v>#VALUE!</v>
      </c>
      <c r="DV162" t="e">
        <f>AND('SPR BARRANQUILLA'!GR194,"AAAAAGXutX0=")</f>
        <v>#VALUE!</v>
      </c>
      <c r="DW162" t="e">
        <f>AND('SPR BARRANQUILLA'!GS194,"AAAAAGXutX4=")</f>
        <v>#VALUE!</v>
      </c>
      <c r="DX162" t="e">
        <f>AND('SPR BARRANQUILLA'!GT194,"AAAAAGXutX8=")</f>
        <v>#VALUE!</v>
      </c>
      <c r="DY162" t="e">
        <f>AND('SPR BARRANQUILLA'!GU194,"AAAAAGXutYA=")</f>
        <v>#VALUE!</v>
      </c>
      <c r="DZ162" t="e">
        <f>AND('SPR BARRANQUILLA'!GV194,"AAAAAGXutYE=")</f>
        <v>#VALUE!</v>
      </c>
      <c r="EA162" t="e">
        <f>AND('SPR BARRANQUILLA'!GW194,"AAAAAGXutYI=")</f>
        <v>#VALUE!</v>
      </c>
      <c r="EB162" t="e">
        <f>AND('SPR BARRANQUILLA'!GX194,"AAAAAGXutYM=")</f>
        <v>#VALUE!</v>
      </c>
      <c r="EC162" t="e">
        <f>AND('SPR BARRANQUILLA'!GY194,"AAAAAGXutYQ=")</f>
        <v>#VALUE!</v>
      </c>
      <c r="ED162">
        <f>IF('SPR BARRANQUILLA'!195:195,"AAAAAGXutYU=",0)</f>
        <v>0</v>
      </c>
      <c r="EE162" t="e">
        <f>AND('SPR BARRANQUILLA'!A195,"AAAAAGXutYY=")</f>
        <v>#VALUE!</v>
      </c>
      <c r="EF162" t="e">
        <f>AND('SPR BARRANQUILLA'!B195,"AAAAAGXutYc=")</f>
        <v>#VALUE!</v>
      </c>
      <c r="EG162" t="e">
        <f>AND('SPR BARRANQUILLA'!C195,"AAAAAGXutYg=")</f>
        <v>#VALUE!</v>
      </c>
      <c r="EH162" t="e">
        <f>AND('SPR BARRANQUILLA'!D195,"AAAAAGXutYk=")</f>
        <v>#VALUE!</v>
      </c>
      <c r="EI162" t="e">
        <f>AND('SPR BARRANQUILLA'!E195,"AAAAAGXutYo=")</f>
        <v>#VALUE!</v>
      </c>
      <c r="EJ162" t="e">
        <f>AND('SPR BARRANQUILLA'!F195,"AAAAAGXutYs=")</f>
        <v>#VALUE!</v>
      </c>
      <c r="EK162" t="e">
        <f>AND('SPR BARRANQUILLA'!G195,"AAAAAGXutYw=")</f>
        <v>#VALUE!</v>
      </c>
      <c r="EL162" t="e">
        <f>AND('SPR BARRANQUILLA'!H195,"AAAAAGXutY0=")</f>
        <v>#VALUE!</v>
      </c>
      <c r="EM162" t="e">
        <f>AND('SPR BARRANQUILLA'!I195,"AAAAAGXutY4=")</f>
        <v>#VALUE!</v>
      </c>
      <c r="EN162" t="e">
        <f>AND('SPR BARRANQUILLA'!J195,"AAAAAGXutY8=")</f>
        <v>#VALUE!</v>
      </c>
      <c r="EO162" t="e">
        <f>AND('SPR BARRANQUILLA'!K195,"AAAAAGXutZA=")</f>
        <v>#VALUE!</v>
      </c>
      <c r="EP162" t="e">
        <f>AND('SPR BARRANQUILLA'!L195,"AAAAAGXutZE=")</f>
        <v>#VALUE!</v>
      </c>
      <c r="EQ162" t="e">
        <f>AND('SPR BARRANQUILLA'!M195,"AAAAAGXutZI=")</f>
        <v>#VALUE!</v>
      </c>
      <c r="ER162" t="e">
        <f>AND('SPR BARRANQUILLA'!N195,"AAAAAGXutZM=")</f>
        <v>#VALUE!</v>
      </c>
      <c r="ES162" t="e">
        <f>AND('SPR BARRANQUILLA'!O195,"AAAAAGXutZQ=")</f>
        <v>#VALUE!</v>
      </c>
      <c r="ET162" t="e">
        <f>AND('SPR BARRANQUILLA'!P195,"AAAAAGXutZU=")</f>
        <v>#VALUE!</v>
      </c>
      <c r="EU162" t="e">
        <f>AND('SPR BARRANQUILLA'!Q195,"AAAAAGXutZY=")</f>
        <v>#VALUE!</v>
      </c>
      <c r="EV162" t="e">
        <f>AND('SPR BARRANQUILLA'!R195,"AAAAAGXutZc=")</f>
        <v>#VALUE!</v>
      </c>
      <c r="EW162" t="e">
        <f>AND('SPR BARRANQUILLA'!S195,"AAAAAGXutZg=")</f>
        <v>#VALUE!</v>
      </c>
      <c r="EX162" t="e">
        <f>AND('SPR BARRANQUILLA'!T195,"AAAAAGXutZk=")</f>
        <v>#VALUE!</v>
      </c>
      <c r="EY162" t="e">
        <f>AND('SPR BARRANQUILLA'!U195,"AAAAAGXutZo=")</f>
        <v>#VALUE!</v>
      </c>
      <c r="EZ162" t="e">
        <f>AND('SPR BARRANQUILLA'!V195,"AAAAAGXutZs=")</f>
        <v>#VALUE!</v>
      </c>
      <c r="FA162" t="e">
        <f>AND('SPR BARRANQUILLA'!W195,"AAAAAGXutZw=")</f>
        <v>#VALUE!</v>
      </c>
      <c r="FB162" t="e">
        <f>AND('SPR BARRANQUILLA'!X195,"AAAAAGXutZ0=")</f>
        <v>#VALUE!</v>
      </c>
      <c r="FC162" t="e">
        <f>AND('SPR BARRANQUILLA'!Y195,"AAAAAGXutZ4=")</f>
        <v>#VALUE!</v>
      </c>
      <c r="FD162" t="e">
        <f>AND('SPR BARRANQUILLA'!Z195,"AAAAAGXutZ8=")</f>
        <v>#VALUE!</v>
      </c>
      <c r="FE162" t="e">
        <f>AND('SPR BARRANQUILLA'!AA195,"AAAAAGXutaA=")</f>
        <v>#VALUE!</v>
      </c>
      <c r="FF162" t="e">
        <f>AND('SPR BARRANQUILLA'!AB195,"AAAAAGXutaE=")</f>
        <v>#VALUE!</v>
      </c>
      <c r="FG162" t="e">
        <f>AND('SPR BARRANQUILLA'!AC195,"AAAAAGXutaI=")</f>
        <v>#VALUE!</v>
      </c>
      <c r="FH162" t="e">
        <f>AND('SPR BARRANQUILLA'!AD195,"AAAAAGXutaM=")</f>
        <v>#VALUE!</v>
      </c>
      <c r="FI162" t="e">
        <f>AND('SPR BARRANQUILLA'!AE195,"AAAAAGXutaQ=")</f>
        <v>#VALUE!</v>
      </c>
      <c r="FJ162" t="e">
        <f>AND('SPR BARRANQUILLA'!AF195,"AAAAAGXutaU=")</f>
        <v>#VALUE!</v>
      </c>
      <c r="FK162" t="e">
        <f>AND('SPR BARRANQUILLA'!AG195,"AAAAAGXutaY=")</f>
        <v>#VALUE!</v>
      </c>
      <c r="FL162" t="e">
        <f>AND('SPR BARRANQUILLA'!AH195,"AAAAAGXutac=")</f>
        <v>#VALUE!</v>
      </c>
      <c r="FM162" t="e">
        <f>AND('SPR BARRANQUILLA'!AI195,"AAAAAGXutag=")</f>
        <v>#VALUE!</v>
      </c>
      <c r="FN162" t="e">
        <f>AND('SPR BARRANQUILLA'!AJ195,"AAAAAGXutak=")</f>
        <v>#VALUE!</v>
      </c>
      <c r="FO162" t="e">
        <f>AND('SPR BARRANQUILLA'!AK195,"AAAAAGXutao=")</f>
        <v>#VALUE!</v>
      </c>
      <c r="FP162" t="e">
        <f>AND('SPR BARRANQUILLA'!AL195,"AAAAAGXutas=")</f>
        <v>#VALUE!</v>
      </c>
      <c r="FQ162" t="e">
        <f>AND('SPR BARRANQUILLA'!AM195,"AAAAAGXutaw=")</f>
        <v>#VALUE!</v>
      </c>
      <c r="FR162" t="e">
        <f>AND('SPR BARRANQUILLA'!AN195,"AAAAAGXuta0=")</f>
        <v>#VALUE!</v>
      </c>
      <c r="FS162" t="e">
        <f>AND('SPR BARRANQUILLA'!AO195,"AAAAAGXuta4=")</f>
        <v>#VALUE!</v>
      </c>
      <c r="FT162" t="e">
        <f>AND('SPR BARRANQUILLA'!AP195,"AAAAAGXuta8=")</f>
        <v>#VALUE!</v>
      </c>
      <c r="FU162" t="e">
        <f>AND('SPR BARRANQUILLA'!AQ195,"AAAAAGXutbA=")</f>
        <v>#VALUE!</v>
      </c>
      <c r="FV162" t="e">
        <f>AND('SPR BARRANQUILLA'!AR195,"AAAAAGXutbE=")</f>
        <v>#VALUE!</v>
      </c>
      <c r="FW162" t="e">
        <f>AND('SPR BARRANQUILLA'!AS195,"AAAAAGXutbI=")</f>
        <v>#VALUE!</v>
      </c>
      <c r="FX162" t="e">
        <f>AND('SPR BARRANQUILLA'!AT195,"AAAAAGXutbM=")</f>
        <v>#VALUE!</v>
      </c>
      <c r="FY162" t="e">
        <f>AND('SPR BARRANQUILLA'!AU195,"AAAAAGXutbQ=")</f>
        <v>#VALUE!</v>
      </c>
      <c r="FZ162" t="e">
        <f>AND('SPR BARRANQUILLA'!AV195,"AAAAAGXutbU=")</f>
        <v>#VALUE!</v>
      </c>
      <c r="GA162" t="e">
        <f>AND('SPR BARRANQUILLA'!AW195,"AAAAAGXutbY=")</f>
        <v>#VALUE!</v>
      </c>
      <c r="GB162" t="e">
        <f>AND('SPR BARRANQUILLA'!AX195,"AAAAAGXutbc=")</f>
        <v>#VALUE!</v>
      </c>
      <c r="GC162" t="e">
        <f>AND('SPR BARRANQUILLA'!AY195,"AAAAAGXutbg=")</f>
        <v>#VALUE!</v>
      </c>
      <c r="GD162" t="e">
        <f>AND('SPR BARRANQUILLA'!AZ195,"AAAAAGXutbk=")</f>
        <v>#VALUE!</v>
      </c>
      <c r="GE162" t="e">
        <f>AND('SPR BARRANQUILLA'!BA195,"AAAAAGXutbo=")</f>
        <v>#VALUE!</v>
      </c>
      <c r="GF162" t="e">
        <f>AND('SPR BARRANQUILLA'!BB195,"AAAAAGXutbs=")</f>
        <v>#VALUE!</v>
      </c>
      <c r="GG162" t="e">
        <f>AND('SPR BARRANQUILLA'!BC195,"AAAAAGXutbw=")</f>
        <v>#VALUE!</v>
      </c>
      <c r="GH162" t="e">
        <f>AND('SPR BARRANQUILLA'!BD195,"AAAAAGXutb0=")</f>
        <v>#VALUE!</v>
      </c>
      <c r="GI162" t="e">
        <f>AND('SPR BARRANQUILLA'!BE195,"AAAAAGXutb4=")</f>
        <v>#VALUE!</v>
      </c>
      <c r="GJ162" t="e">
        <f>AND('SPR BARRANQUILLA'!BF195,"AAAAAGXutb8=")</f>
        <v>#VALUE!</v>
      </c>
      <c r="GK162" t="e">
        <f>AND('SPR BARRANQUILLA'!BG195,"AAAAAGXutcA=")</f>
        <v>#VALUE!</v>
      </c>
      <c r="GL162" t="e">
        <f>AND('SPR BARRANQUILLA'!BH195,"AAAAAGXutcE=")</f>
        <v>#VALUE!</v>
      </c>
      <c r="GM162" t="e">
        <f>AND('SPR BARRANQUILLA'!BI195,"AAAAAGXutcI=")</f>
        <v>#VALUE!</v>
      </c>
      <c r="GN162" t="e">
        <f>AND('SPR BARRANQUILLA'!BJ195,"AAAAAGXutcM=")</f>
        <v>#VALUE!</v>
      </c>
      <c r="GO162" t="e">
        <f>AND('SPR BARRANQUILLA'!BK195,"AAAAAGXutcQ=")</f>
        <v>#VALUE!</v>
      </c>
      <c r="GP162" t="e">
        <f>AND('SPR BARRANQUILLA'!BL195,"AAAAAGXutcU=")</f>
        <v>#VALUE!</v>
      </c>
      <c r="GQ162" t="e">
        <f>AND('SPR BARRANQUILLA'!BM195,"AAAAAGXutcY=")</f>
        <v>#VALUE!</v>
      </c>
      <c r="GR162" t="e">
        <f>AND('SPR BARRANQUILLA'!BN195,"AAAAAGXutcc=")</f>
        <v>#VALUE!</v>
      </c>
      <c r="GS162" t="e">
        <f>AND('SPR BARRANQUILLA'!BO195,"AAAAAGXutcg=")</f>
        <v>#VALUE!</v>
      </c>
      <c r="GT162" t="e">
        <f>AND('SPR BARRANQUILLA'!BP195,"AAAAAGXutck=")</f>
        <v>#VALUE!</v>
      </c>
      <c r="GU162" t="e">
        <f>AND('SPR BARRANQUILLA'!BQ195,"AAAAAGXutco=")</f>
        <v>#VALUE!</v>
      </c>
      <c r="GV162" t="e">
        <f>AND('SPR BARRANQUILLA'!BR195,"AAAAAGXutcs=")</f>
        <v>#VALUE!</v>
      </c>
      <c r="GW162" t="e">
        <f>AND('SPR BARRANQUILLA'!BS195,"AAAAAGXutcw=")</f>
        <v>#VALUE!</v>
      </c>
      <c r="GX162" t="e">
        <f>AND('SPR BARRANQUILLA'!BT195,"AAAAAGXutc0=")</f>
        <v>#VALUE!</v>
      </c>
      <c r="GY162" t="e">
        <f>AND('SPR BARRANQUILLA'!BU195,"AAAAAGXutc4=")</f>
        <v>#VALUE!</v>
      </c>
      <c r="GZ162" t="e">
        <f>AND('SPR BARRANQUILLA'!BV195,"AAAAAGXutc8=")</f>
        <v>#VALUE!</v>
      </c>
      <c r="HA162" t="e">
        <f>AND('SPR BARRANQUILLA'!BW195,"AAAAAGXutdA=")</f>
        <v>#VALUE!</v>
      </c>
      <c r="HB162" t="e">
        <f>AND('SPR BARRANQUILLA'!BX195,"AAAAAGXutdE=")</f>
        <v>#VALUE!</v>
      </c>
      <c r="HC162" t="e">
        <f>AND('SPR BARRANQUILLA'!BY195,"AAAAAGXutdI=")</f>
        <v>#VALUE!</v>
      </c>
      <c r="HD162" t="e">
        <f>AND('SPR BARRANQUILLA'!BZ195,"AAAAAGXutdM=")</f>
        <v>#VALUE!</v>
      </c>
      <c r="HE162" t="e">
        <f>AND('SPR BARRANQUILLA'!CA195,"AAAAAGXutdQ=")</f>
        <v>#VALUE!</v>
      </c>
      <c r="HF162" t="e">
        <f>AND('SPR BARRANQUILLA'!CB195,"AAAAAGXutdU=")</f>
        <v>#VALUE!</v>
      </c>
      <c r="HG162" t="e">
        <f>AND('SPR BARRANQUILLA'!CC195,"AAAAAGXutdY=")</f>
        <v>#VALUE!</v>
      </c>
      <c r="HH162" t="e">
        <f>AND('SPR BARRANQUILLA'!CD195,"AAAAAGXutdc=")</f>
        <v>#VALUE!</v>
      </c>
      <c r="HI162" t="e">
        <f>AND('SPR BARRANQUILLA'!CE195,"AAAAAGXutdg=")</f>
        <v>#VALUE!</v>
      </c>
      <c r="HJ162" t="e">
        <f>AND('SPR BARRANQUILLA'!CF195,"AAAAAGXutdk=")</f>
        <v>#VALUE!</v>
      </c>
      <c r="HK162" t="e">
        <f>AND('SPR BARRANQUILLA'!CG195,"AAAAAGXutdo=")</f>
        <v>#VALUE!</v>
      </c>
      <c r="HL162" t="e">
        <f>AND('SPR BARRANQUILLA'!CH195,"AAAAAGXutds=")</f>
        <v>#VALUE!</v>
      </c>
      <c r="HM162" t="e">
        <f>AND('SPR BARRANQUILLA'!CI195,"AAAAAGXutdw=")</f>
        <v>#VALUE!</v>
      </c>
      <c r="HN162" t="e">
        <f>AND('SPR BARRANQUILLA'!CJ195,"AAAAAGXutd0=")</f>
        <v>#VALUE!</v>
      </c>
      <c r="HO162" t="e">
        <f>AND('SPR BARRANQUILLA'!CK195,"AAAAAGXutd4=")</f>
        <v>#VALUE!</v>
      </c>
      <c r="HP162" t="e">
        <f>AND('SPR BARRANQUILLA'!CL195,"AAAAAGXutd8=")</f>
        <v>#VALUE!</v>
      </c>
      <c r="HQ162" t="e">
        <f>AND('SPR BARRANQUILLA'!CM195,"AAAAAGXuteA=")</f>
        <v>#VALUE!</v>
      </c>
      <c r="HR162" t="e">
        <f>AND('SPR BARRANQUILLA'!CN195,"AAAAAGXuteE=")</f>
        <v>#VALUE!</v>
      </c>
      <c r="HS162" t="e">
        <f>AND('SPR BARRANQUILLA'!CO195,"AAAAAGXuteI=")</f>
        <v>#VALUE!</v>
      </c>
      <c r="HT162" t="e">
        <f>AND('SPR BARRANQUILLA'!CP195,"AAAAAGXuteM=")</f>
        <v>#VALUE!</v>
      </c>
      <c r="HU162" t="e">
        <f>AND('SPR BARRANQUILLA'!CQ195,"AAAAAGXuteQ=")</f>
        <v>#VALUE!</v>
      </c>
      <c r="HV162" t="e">
        <f>AND('SPR BARRANQUILLA'!CR195,"AAAAAGXuteU=")</f>
        <v>#VALUE!</v>
      </c>
      <c r="HW162" t="e">
        <f>AND('SPR BARRANQUILLA'!CS195,"AAAAAGXuteY=")</f>
        <v>#VALUE!</v>
      </c>
      <c r="HX162" t="e">
        <f>AND('SPR BARRANQUILLA'!CT195,"AAAAAGXutec=")</f>
        <v>#VALUE!</v>
      </c>
      <c r="HY162" t="e">
        <f>AND('SPR BARRANQUILLA'!CU195,"AAAAAGXuteg=")</f>
        <v>#VALUE!</v>
      </c>
      <c r="HZ162" t="e">
        <f>AND('SPR BARRANQUILLA'!CV195,"AAAAAGXutek=")</f>
        <v>#VALUE!</v>
      </c>
      <c r="IA162" t="e">
        <f>AND('SPR BARRANQUILLA'!CW195,"AAAAAGXuteo=")</f>
        <v>#VALUE!</v>
      </c>
      <c r="IB162" t="e">
        <f>AND('SPR BARRANQUILLA'!CX195,"AAAAAGXutes=")</f>
        <v>#VALUE!</v>
      </c>
      <c r="IC162" t="e">
        <f>AND('SPR BARRANQUILLA'!CY195,"AAAAAGXutew=")</f>
        <v>#VALUE!</v>
      </c>
      <c r="ID162" t="e">
        <f>AND('SPR BARRANQUILLA'!CZ195,"AAAAAGXute0=")</f>
        <v>#VALUE!</v>
      </c>
      <c r="IE162" t="e">
        <f>AND('SPR BARRANQUILLA'!DA195,"AAAAAGXute4=")</f>
        <v>#VALUE!</v>
      </c>
      <c r="IF162" t="e">
        <f>AND('SPR BARRANQUILLA'!DB195,"AAAAAGXute8=")</f>
        <v>#VALUE!</v>
      </c>
      <c r="IG162" t="e">
        <f>AND('SPR BARRANQUILLA'!DC195,"AAAAAGXutfA=")</f>
        <v>#VALUE!</v>
      </c>
      <c r="IH162" t="e">
        <f>AND('SPR BARRANQUILLA'!DD195,"AAAAAGXutfE=")</f>
        <v>#VALUE!</v>
      </c>
      <c r="II162" t="e">
        <f>AND('SPR BARRANQUILLA'!DE195,"AAAAAGXutfI=")</f>
        <v>#VALUE!</v>
      </c>
      <c r="IJ162" t="e">
        <f>AND('SPR BARRANQUILLA'!DF195,"AAAAAGXutfM=")</f>
        <v>#VALUE!</v>
      </c>
      <c r="IK162" t="e">
        <f>AND('SPR BARRANQUILLA'!DG195,"AAAAAGXutfQ=")</f>
        <v>#VALUE!</v>
      </c>
      <c r="IL162" t="e">
        <f>AND('SPR BARRANQUILLA'!DH195,"AAAAAGXutfU=")</f>
        <v>#VALUE!</v>
      </c>
      <c r="IM162" t="e">
        <f>AND('SPR BARRANQUILLA'!DI195,"AAAAAGXutfY=")</f>
        <v>#VALUE!</v>
      </c>
      <c r="IN162" t="e">
        <f>AND('SPR BARRANQUILLA'!DJ195,"AAAAAGXutfc=")</f>
        <v>#VALUE!</v>
      </c>
      <c r="IO162" t="e">
        <f>AND('SPR BARRANQUILLA'!DK195,"AAAAAGXutfg=")</f>
        <v>#VALUE!</v>
      </c>
      <c r="IP162" t="e">
        <f>AND('SPR BARRANQUILLA'!DL195,"AAAAAGXutfk=")</f>
        <v>#VALUE!</v>
      </c>
      <c r="IQ162" t="e">
        <f>AND('SPR BARRANQUILLA'!DM195,"AAAAAGXutfo=")</f>
        <v>#VALUE!</v>
      </c>
      <c r="IR162" t="e">
        <f>AND('SPR BARRANQUILLA'!DN195,"AAAAAGXutfs=")</f>
        <v>#VALUE!</v>
      </c>
      <c r="IS162" t="e">
        <f>AND('SPR BARRANQUILLA'!DO195,"AAAAAGXutfw=")</f>
        <v>#VALUE!</v>
      </c>
      <c r="IT162" t="e">
        <f>AND('SPR BARRANQUILLA'!DP195,"AAAAAGXutf0=")</f>
        <v>#VALUE!</v>
      </c>
      <c r="IU162" t="e">
        <f>AND('SPR BARRANQUILLA'!DQ195,"AAAAAGXutf4=")</f>
        <v>#VALUE!</v>
      </c>
      <c r="IV162" t="e">
        <f>AND('SPR BARRANQUILLA'!DR195,"AAAAAGXutf8=")</f>
        <v>#VALUE!</v>
      </c>
    </row>
    <row r="163" spans="1:256">
      <c r="A163" t="e">
        <f>AND('SPR BARRANQUILLA'!DS195,"AAAAAF9gagA=")</f>
        <v>#VALUE!</v>
      </c>
      <c r="B163" t="e">
        <f>AND('SPR BARRANQUILLA'!DT195,"AAAAAF9gagE=")</f>
        <v>#VALUE!</v>
      </c>
      <c r="C163" t="e">
        <f>AND('SPR BARRANQUILLA'!DU195,"AAAAAF9gagI=")</f>
        <v>#VALUE!</v>
      </c>
      <c r="D163" t="e">
        <f>AND('SPR BARRANQUILLA'!DV195,"AAAAAF9gagM=")</f>
        <v>#VALUE!</v>
      </c>
      <c r="E163" t="e">
        <f>AND('SPR BARRANQUILLA'!DW195,"AAAAAF9gagQ=")</f>
        <v>#VALUE!</v>
      </c>
      <c r="F163" t="e">
        <f>AND('SPR BARRANQUILLA'!DX195,"AAAAAF9gagU=")</f>
        <v>#VALUE!</v>
      </c>
      <c r="G163" t="e">
        <f>AND('SPR BARRANQUILLA'!DY195,"AAAAAF9gagY=")</f>
        <v>#VALUE!</v>
      </c>
      <c r="H163" t="e">
        <f>AND('SPR BARRANQUILLA'!DZ195,"AAAAAF9gagc=")</f>
        <v>#VALUE!</v>
      </c>
      <c r="I163" t="e">
        <f>AND('SPR BARRANQUILLA'!EA195,"AAAAAF9gagg=")</f>
        <v>#VALUE!</v>
      </c>
      <c r="J163" t="e">
        <f>AND('SPR BARRANQUILLA'!EB195,"AAAAAF9gagk=")</f>
        <v>#VALUE!</v>
      </c>
      <c r="K163" t="e">
        <f>AND('SPR BARRANQUILLA'!EC195,"AAAAAF9gago=")</f>
        <v>#VALUE!</v>
      </c>
      <c r="L163" t="e">
        <f>AND('SPR BARRANQUILLA'!ED195,"AAAAAF9gags=")</f>
        <v>#VALUE!</v>
      </c>
      <c r="M163" t="e">
        <f>AND('SPR BARRANQUILLA'!EE195,"AAAAAF9gagw=")</f>
        <v>#VALUE!</v>
      </c>
      <c r="N163" t="e">
        <f>AND('SPR BARRANQUILLA'!EF195,"AAAAAF9gag0=")</f>
        <v>#VALUE!</v>
      </c>
      <c r="O163" t="e">
        <f>AND('SPR BARRANQUILLA'!EG195,"AAAAAF9gag4=")</f>
        <v>#VALUE!</v>
      </c>
      <c r="P163" t="e">
        <f>AND('SPR BARRANQUILLA'!EH195,"AAAAAF9gag8=")</f>
        <v>#VALUE!</v>
      </c>
      <c r="Q163" t="e">
        <f>AND('SPR BARRANQUILLA'!EI195,"AAAAAF9gahA=")</f>
        <v>#VALUE!</v>
      </c>
      <c r="R163" t="e">
        <f>AND('SPR BARRANQUILLA'!EJ195,"AAAAAF9gahE=")</f>
        <v>#VALUE!</v>
      </c>
      <c r="S163" t="e">
        <f>AND('SPR BARRANQUILLA'!EK195,"AAAAAF9gahI=")</f>
        <v>#VALUE!</v>
      </c>
      <c r="T163" t="e">
        <f>AND('SPR BARRANQUILLA'!EL195,"AAAAAF9gahM=")</f>
        <v>#VALUE!</v>
      </c>
      <c r="U163" t="e">
        <f>AND('SPR BARRANQUILLA'!EM195,"AAAAAF9gahQ=")</f>
        <v>#VALUE!</v>
      </c>
      <c r="V163" t="e">
        <f>AND('SPR BARRANQUILLA'!EN195,"AAAAAF9gahU=")</f>
        <v>#VALUE!</v>
      </c>
      <c r="W163" t="e">
        <f>AND('SPR BARRANQUILLA'!EO195,"AAAAAF9gahY=")</f>
        <v>#VALUE!</v>
      </c>
      <c r="X163" t="e">
        <f>AND('SPR BARRANQUILLA'!EP195,"AAAAAF9gahc=")</f>
        <v>#VALUE!</v>
      </c>
      <c r="Y163" t="e">
        <f>AND('SPR BARRANQUILLA'!EQ195,"AAAAAF9gahg=")</f>
        <v>#VALUE!</v>
      </c>
      <c r="Z163" t="e">
        <f>AND('SPR BARRANQUILLA'!ER195,"AAAAAF9gahk=")</f>
        <v>#VALUE!</v>
      </c>
      <c r="AA163" t="e">
        <f>AND('SPR BARRANQUILLA'!ES195,"AAAAAF9gaho=")</f>
        <v>#VALUE!</v>
      </c>
      <c r="AB163" t="e">
        <f>AND('SPR BARRANQUILLA'!ET195,"AAAAAF9gahs=")</f>
        <v>#VALUE!</v>
      </c>
      <c r="AC163" t="e">
        <f>AND('SPR BARRANQUILLA'!EU195,"AAAAAF9gahw=")</f>
        <v>#VALUE!</v>
      </c>
      <c r="AD163" t="e">
        <f>AND('SPR BARRANQUILLA'!EV195,"AAAAAF9gah0=")</f>
        <v>#VALUE!</v>
      </c>
      <c r="AE163" t="e">
        <f>AND('SPR BARRANQUILLA'!EW195,"AAAAAF9gah4=")</f>
        <v>#VALUE!</v>
      </c>
      <c r="AF163" t="e">
        <f>AND('SPR BARRANQUILLA'!EX195,"AAAAAF9gah8=")</f>
        <v>#VALUE!</v>
      </c>
      <c r="AG163" t="e">
        <f>AND('SPR BARRANQUILLA'!EY195,"AAAAAF9gaiA=")</f>
        <v>#VALUE!</v>
      </c>
      <c r="AH163" t="e">
        <f>AND('SPR BARRANQUILLA'!EZ195,"AAAAAF9gaiE=")</f>
        <v>#VALUE!</v>
      </c>
      <c r="AI163" t="e">
        <f>AND('SPR BARRANQUILLA'!FA195,"AAAAAF9gaiI=")</f>
        <v>#VALUE!</v>
      </c>
      <c r="AJ163" t="e">
        <f>AND('SPR BARRANQUILLA'!FB195,"AAAAAF9gaiM=")</f>
        <v>#VALUE!</v>
      </c>
      <c r="AK163" t="e">
        <f>AND('SPR BARRANQUILLA'!FC195,"AAAAAF9gaiQ=")</f>
        <v>#VALUE!</v>
      </c>
      <c r="AL163" t="e">
        <f>AND('SPR BARRANQUILLA'!FD195,"AAAAAF9gaiU=")</f>
        <v>#VALUE!</v>
      </c>
      <c r="AM163" t="e">
        <f>AND('SPR BARRANQUILLA'!FE195,"AAAAAF9gaiY=")</f>
        <v>#VALUE!</v>
      </c>
      <c r="AN163" t="e">
        <f>AND('SPR BARRANQUILLA'!FF195,"AAAAAF9gaic=")</f>
        <v>#VALUE!</v>
      </c>
      <c r="AO163" t="e">
        <f>AND('SPR BARRANQUILLA'!FG195,"AAAAAF9gaig=")</f>
        <v>#VALUE!</v>
      </c>
      <c r="AP163" t="e">
        <f>AND('SPR BARRANQUILLA'!FH195,"AAAAAF9gaik=")</f>
        <v>#VALUE!</v>
      </c>
      <c r="AQ163" t="e">
        <f>AND('SPR BARRANQUILLA'!FI195,"AAAAAF9gaio=")</f>
        <v>#VALUE!</v>
      </c>
      <c r="AR163" t="e">
        <f>AND('SPR BARRANQUILLA'!FJ195,"AAAAAF9gais=")</f>
        <v>#VALUE!</v>
      </c>
      <c r="AS163" t="e">
        <f>AND('SPR BARRANQUILLA'!FK195,"AAAAAF9gaiw=")</f>
        <v>#VALUE!</v>
      </c>
      <c r="AT163" t="e">
        <f>AND('SPR BARRANQUILLA'!FL195,"AAAAAF9gai0=")</f>
        <v>#VALUE!</v>
      </c>
      <c r="AU163" t="e">
        <f>AND('SPR BARRANQUILLA'!FM195,"AAAAAF9gai4=")</f>
        <v>#VALUE!</v>
      </c>
      <c r="AV163" t="e">
        <f>AND('SPR BARRANQUILLA'!FN195,"AAAAAF9gai8=")</f>
        <v>#VALUE!</v>
      </c>
      <c r="AW163" t="e">
        <f>AND('SPR BARRANQUILLA'!FO195,"AAAAAF9gajA=")</f>
        <v>#VALUE!</v>
      </c>
      <c r="AX163" t="e">
        <f>AND('SPR BARRANQUILLA'!FP195,"AAAAAF9gajE=")</f>
        <v>#VALUE!</v>
      </c>
      <c r="AY163" t="e">
        <f>AND('SPR BARRANQUILLA'!FQ195,"AAAAAF9gajI=")</f>
        <v>#VALUE!</v>
      </c>
      <c r="AZ163" t="e">
        <f>AND('SPR BARRANQUILLA'!FR195,"AAAAAF9gajM=")</f>
        <v>#VALUE!</v>
      </c>
      <c r="BA163" t="e">
        <f>AND('SPR BARRANQUILLA'!FS195,"AAAAAF9gajQ=")</f>
        <v>#VALUE!</v>
      </c>
      <c r="BB163" t="e">
        <f>AND('SPR BARRANQUILLA'!FT195,"AAAAAF9gajU=")</f>
        <v>#VALUE!</v>
      </c>
      <c r="BC163" t="e">
        <f>AND('SPR BARRANQUILLA'!FU195,"AAAAAF9gajY=")</f>
        <v>#VALUE!</v>
      </c>
      <c r="BD163" t="e">
        <f>AND('SPR BARRANQUILLA'!FV195,"AAAAAF9gajc=")</f>
        <v>#VALUE!</v>
      </c>
      <c r="BE163" t="e">
        <f>AND('SPR BARRANQUILLA'!FW195,"AAAAAF9gajg=")</f>
        <v>#VALUE!</v>
      </c>
      <c r="BF163" t="e">
        <f>AND('SPR BARRANQUILLA'!FX195,"AAAAAF9gajk=")</f>
        <v>#VALUE!</v>
      </c>
      <c r="BG163" t="e">
        <f>AND('SPR BARRANQUILLA'!FY195,"AAAAAF9gajo=")</f>
        <v>#VALUE!</v>
      </c>
      <c r="BH163" t="e">
        <f>AND('SPR BARRANQUILLA'!FZ195,"AAAAAF9gajs=")</f>
        <v>#VALUE!</v>
      </c>
      <c r="BI163" t="e">
        <f>AND('SPR BARRANQUILLA'!GA195,"AAAAAF9gajw=")</f>
        <v>#VALUE!</v>
      </c>
      <c r="BJ163" t="e">
        <f>AND('SPR BARRANQUILLA'!GB195,"AAAAAF9gaj0=")</f>
        <v>#VALUE!</v>
      </c>
      <c r="BK163" t="e">
        <f>AND('SPR BARRANQUILLA'!GC195,"AAAAAF9gaj4=")</f>
        <v>#VALUE!</v>
      </c>
      <c r="BL163" t="e">
        <f>AND('SPR BARRANQUILLA'!GD195,"AAAAAF9gaj8=")</f>
        <v>#VALUE!</v>
      </c>
      <c r="BM163" t="e">
        <f>AND('SPR BARRANQUILLA'!GE195,"AAAAAF9gakA=")</f>
        <v>#VALUE!</v>
      </c>
      <c r="BN163" t="e">
        <f>AND('SPR BARRANQUILLA'!GF195,"AAAAAF9gakE=")</f>
        <v>#VALUE!</v>
      </c>
      <c r="BO163" t="e">
        <f>AND('SPR BARRANQUILLA'!GG195,"AAAAAF9gakI=")</f>
        <v>#VALUE!</v>
      </c>
      <c r="BP163" t="e">
        <f>AND('SPR BARRANQUILLA'!GH195,"AAAAAF9gakM=")</f>
        <v>#VALUE!</v>
      </c>
      <c r="BQ163" t="e">
        <f>AND('SPR BARRANQUILLA'!GI195,"AAAAAF9gakQ=")</f>
        <v>#VALUE!</v>
      </c>
      <c r="BR163" t="e">
        <f>AND('SPR BARRANQUILLA'!GJ195,"AAAAAF9gakU=")</f>
        <v>#VALUE!</v>
      </c>
      <c r="BS163" t="e">
        <f>AND('SPR BARRANQUILLA'!GK195,"AAAAAF9gakY=")</f>
        <v>#VALUE!</v>
      </c>
      <c r="BT163" t="e">
        <f>AND('SPR BARRANQUILLA'!GL195,"AAAAAF9gakc=")</f>
        <v>#VALUE!</v>
      </c>
      <c r="BU163" t="e">
        <f>AND('SPR BARRANQUILLA'!GM195,"AAAAAF9gakg=")</f>
        <v>#VALUE!</v>
      </c>
      <c r="BV163" t="e">
        <f>AND('SPR BARRANQUILLA'!GN195,"AAAAAF9gakk=")</f>
        <v>#VALUE!</v>
      </c>
      <c r="BW163" t="e">
        <f>AND('SPR BARRANQUILLA'!GO195,"AAAAAF9gako=")</f>
        <v>#VALUE!</v>
      </c>
      <c r="BX163" t="e">
        <f>AND('SPR BARRANQUILLA'!GP195,"AAAAAF9gaks=")</f>
        <v>#VALUE!</v>
      </c>
      <c r="BY163" t="e">
        <f>AND('SPR BARRANQUILLA'!GQ195,"AAAAAF9gakw=")</f>
        <v>#VALUE!</v>
      </c>
      <c r="BZ163" t="e">
        <f>AND('SPR BARRANQUILLA'!GR195,"AAAAAF9gak0=")</f>
        <v>#VALUE!</v>
      </c>
      <c r="CA163" t="e">
        <f>AND('SPR BARRANQUILLA'!GS195,"AAAAAF9gak4=")</f>
        <v>#VALUE!</v>
      </c>
      <c r="CB163" t="e">
        <f>AND('SPR BARRANQUILLA'!GT195,"AAAAAF9gak8=")</f>
        <v>#VALUE!</v>
      </c>
      <c r="CC163" t="e">
        <f>AND('SPR BARRANQUILLA'!GU195,"AAAAAF9galA=")</f>
        <v>#VALUE!</v>
      </c>
      <c r="CD163" t="e">
        <f>AND('SPR BARRANQUILLA'!GV195,"AAAAAF9galE=")</f>
        <v>#VALUE!</v>
      </c>
      <c r="CE163" t="e">
        <f>AND('SPR BARRANQUILLA'!GW195,"AAAAAF9galI=")</f>
        <v>#VALUE!</v>
      </c>
      <c r="CF163" t="e">
        <f>AND('SPR BARRANQUILLA'!GX195,"AAAAAF9galM=")</f>
        <v>#VALUE!</v>
      </c>
      <c r="CG163" t="e">
        <f>AND('SPR BARRANQUILLA'!GY195,"AAAAAF9galQ=")</f>
        <v>#VALUE!</v>
      </c>
      <c r="CH163">
        <f>IF('SPR BARRANQUILLA'!196:196,"AAAAAF9galU=",0)</f>
        <v>0</v>
      </c>
      <c r="CI163" t="e">
        <f>AND('SPR BARRANQUILLA'!A196,"AAAAAF9galY=")</f>
        <v>#VALUE!</v>
      </c>
      <c r="CJ163" t="e">
        <f>AND('SPR BARRANQUILLA'!B196,"AAAAAF9galc=")</f>
        <v>#VALUE!</v>
      </c>
      <c r="CK163" t="e">
        <f>AND('SPR BARRANQUILLA'!C196,"AAAAAF9galg=")</f>
        <v>#VALUE!</v>
      </c>
      <c r="CL163" t="e">
        <f>AND('SPR BARRANQUILLA'!D196,"AAAAAF9galk=")</f>
        <v>#VALUE!</v>
      </c>
      <c r="CM163" t="e">
        <f>AND('SPR BARRANQUILLA'!E196,"AAAAAF9galo=")</f>
        <v>#VALUE!</v>
      </c>
      <c r="CN163" t="e">
        <f>AND('SPR BARRANQUILLA'!F196,"AAAAAF9gals=")</f>
        <v>#VALUE!</v>
      </c>
      <c r="CO163" t="e">
        <f>AND('SPR BARRANQUILLA'!G196,"AAAAAF9galw=")</f>
        <v>#VALUE!</v>
      </c>
      <c r="CP163" t="e">
        <f>AND('SPR BARRANQUILLA'!H196,"AAAAAF9gal0=")</f>
        <v>#VALUE!</v>
      </c>
      <c r="CQ163" t="e">
        <f>AND('SPR BARRANQUILLA'!I196,"AAAAAF9gal4=")</f>
        <v>#VALUE!</v>
      </c>
      <c r="CR163" t="e">
        <f>AND('SPR BARRANQUILLA'!J196,"AAAAAF9gal8=")</f>
        <v>#VALUE!</v>
      </c>
      <c r="CS163" t="e">
        <f>AND('SPR BARRANQUILLA'!K196,"AAAAAF9gamA=")</f>
        <v>#VALUE!</v>
      </c>
      <c r="CT163" t="e">
        <f>AND('SPR BARRANQUILLA'!L196,"AAAAAF9gamE=")</f>
        <v>#VALUE!</v>
      </c>
      <c r="CU163" t="e">
        <f>AND('SPR BARRANQUILLA'!M196,"AAAAAF9gamI=")</f>
        <v>#VALUE!</v>
      </c>
      <c r="CV163" t="e">
        <f>AND('SPR BARRANQUILLA'!N196,"AAAAAF9gamM=")</f>
        <v>#VALUE!</v>
      </c>
      <c r="CW163" t="e">
        <f>AND('SPR BARRANQUILLA'!O196,"AAAAAF9gamQ=")</f>
        <v>#VALUE!</v>
      </c>
      <c r="CX163" t="e">
        <f>AND('SPR BARRANQUILLA'!P196,"AAAAAF9gamU=")</f>
        <v>#VALUE!</v>
      </c>
      <c r="CY163" t="e">
        <f>AND('SPR BARRANQUILLA'!Q196,"AAAAAF9gamY=")</f>
        <v>#VALUE!</v>
      </c>
      <c r="CZ163" t="e">
        <f>AND('SPR BARRANQUILLA'!R196,"AAAAAF9gamc=")</f>
        <v>#VALUE!</v>
      </c>
      <c r="DA163" t="e">
        <f>AND('SPR BARRANQUILLA'!S196,"AAAAAF9gamg=")</f>
        <v>#VALUE!</v>
      </c>
      <c r="DB163" t="e">
        <f>AND('SPR BARRANQUILLA'!T196,"AAAAAF9gamk=")</f>
        <v>#VALUE!</v>
      </c>
      <c r="DC163" t="e">
        <f>AND('SPR BARRANQUILLA'!U196,"AAAAAF9gamo=")</f>
        <v>#VALUE!</v>
      </c>
      <c r="DD163" t="e">
        <f>AND('SPR BARRANQUILLA'!V196,"AAAAAF9gams=")</f>
        <v>#VALUE!</v>
      </c>
      <c r="DE163" t="e">
        <f>AND('SPR BARRANQUILLA'!W196,"AAAAAF9gamw=")</f>
        <v>#VALUE!</v>
      </c>
      <c r="DF163" t="e">
        <f>AND('SPR BARRANQUILLA'!X196,"AAAAAF9gam0=")</f>
        <v>#VALUE!</v>
      </c>
      <c r="DG163" t="e">
        <f>AND('SPR BARRANQUILLA'!Y196,"AAAAAF9gam4=")</f>
        <v>#VALUE!</v>
      </c>
      <c r="DH163" t="e">
        <f>AND('SPR BARRANQUILLA'!Z196,"AAAAAF9gam8=")</f>
        <v>#VALUE!</v>
      </c>
      <c r="DI163" t="e">
        <f>AND('SPR BARRANQUILLA'!AA196,"AAAAAF9ganA=")</f>
        <v>#VALUE!</v>
      </c>
      <c r="DJ163" t="e">
        <f>AND('SPR BARRANQUILLA'!AB196,"AAAAAF9ganE=")</f>
        <v>#VALUE!</v>
      </c>
      <c r="DK163" t="e">
        <f>AND('SPR BARRANQUILLA'!AC196,"AAAAAF9ganI=")</f>
        <v>#VALUE!</v>
      </c>
      <c r="DL163" t="e">
        <f>AND('SPR BARRANQUILLA'!AD196,"AAAAAF9ganM=")</f>
        <v>#VALUE!</v>
      </c>
      <c r="DM163" t="e">
        <f>AND('SPR BARRANQUILLA'!AE196,"AAAAAF9ganQ=")</f>
        <v>#VALUE!</v>
      </c>
      <c r="DN163" t="e">
        <f>AND('SPR BARRANQUILLA'!AF196,"AAAAAF9ganU=")</f>
        <v>#VALUE!</v>
      </c>
      <c r="DO163" t="e">
        <f>AND('SPR BARRANQUILLA'!AG196,"AAAAAF9ganY=")</f>
        <v>#VALUE!</v>
      </c>
      <c r="DP163" t="e">
        <f>AND('SPR BARRANQUILLA'!AH196,"AAAAAF9ganc=")</f>
        <v>#VALUE!</v>
      </c>
      <c r="DQ163" t="e">
        <f>AND('SPR BARRANQUILLA'!AI196,"AAAAAF9gang=")</f>
        <v>#VALUE!</v>
      </c>
      <c r="DR163" t="e">
        <f>AND('SPR BARRANQUILLA'!AJ196,"AAAAAF9gank=")</f>
        <v>#VALUE!</v>
      </c>
      <c r="DS163" t="e">
        <f>AND('SPR BARRANQUILLA'!AK196,"AAAAAF9gano=")</f>
        <v>#VALUE!</v>
      </c>
      <c r="DT163" t="e">
        <f>AND('SPR BARRANQUILLA'!AL196,"AAAAAF9gans=")</f>
        <v>#VALUE!</v>
      </c>
      <c r="DU163" t="e">
        <f>AND('SPR BARRANQUILLA'!AM196,"AAAAAF9ganw=")</f>
        <v>#VALUE!</v>
      </c>
      <c r="DV163" t="e">
        <f>AND('SPR BARRANQUILLA'!AN196,"AAAAAF9gan0=")</f>
        <v>#VALUE!</v>
      </c>
      <c r="DW163" t="e">
        <f>AND('SPR BARRANQUILLA'!AO196,"AAAAAF9gan4=")</f>
        <v>#VALUE!</v>
      </c>
      <c r="DX163" t="e">
        <f>AND('SPR BARRANQUILLA'!AP196,"AAAAAF9gan8=")</f>
        <v>#VALUE!</v>
      </c>
      <c r="DY163" t="e">
        <f>AND('SPR BARRANQUILLA'!AQ196,"AAAAAF9gaoA=")</f>
        <v>#VALUE!</v>
      </c>
      <c r="DZ163" t="e">
        <f>AND('SPR BARRANQUILLA'!AR196,"AAAAAF9gaoE=")</f>
        <v>#VALUE!</v>
      </c>
      <c r="EA163" t="e">
        <f>AND('SPR BARRANQUILLA'!AS196,"AAAAAF9gaoI=")</f>
        <v>#VALUE!</v>
      </c>
      <c r="EB163" t="e">
        <f>AND('SPR BARRANQUILLA'!AT196,"AAAAAF9gaoM=")</f>
        <v>#VALUE!</v>
      </c>
      <c r="EC163" t="e">
        <f>AND('SPR BARRANQUILLA'!AU196,"AAAAAF9gaoQ=")</f>
        <v>#VALUE!</v>
      </c>
      <c r="ED163" t="e">
        <f>AND('SPR BARRANQUILLA'!AV196,"AAAAAF9gaoU=")</f>
        <v>#VALUE!</v>
      </c>
      <c r="EE163" t="e">
        <f>AND('SPR BARRANQUILLA'!AW196,"AAAAAF9gaoY=")</f>
        <v>#VALUE!</v>
      </c>
      <c r="EF163" t="e">
        <f>AND('SPR BARRANQUILLA'!AX196,"AAAAAF9gaoc=")</f>
        <v>#VALUE!</v>
      </c>
      <c r="EG163" t="e">
        <f>AND('SPR BARRANQUILLA'!AY196,"AAAAAF9gaog=")</f>
        <v>#VALUE!</v>
      </c>
      <c r="EH163" t="e">
        <f>AND('SPR BARRANQUILLA'!AZ196,"AAAAAF9gaok=")</f>
        <v>#VALUE!</v>
      </c>
      <c r="EI163" t="e">
        <f>AND('SPR BARRANQUILLA'!BA196,"AAAAAF9gaoo=")</f>
        <v>#VALUE!</v>
      </c>
      <c r="EJ163" t="e">
        <f>AND('SPR BARRANQUILLA'!BB196,"AAAAAF9gaos=")</f>
        <v>#VALUE!</v>
      </c>
      <c r="EK163" t="e">
        <f>AND('SPR BARRANQUILLA'!BC196,"AAAAAF9gaow=")</f>
        <v>#VALUE!</v>
      </c>
      <c r="EL163" t="e">
        <f>AND('SPR BARRANQUILLA'!BD196,"AAAAAF9gao0=")</f>
        <v>#VALUE!</v>
      </c>
      <c r="EM163" t="e">
        <f>AND('SPR BARRANQUILLA'!BE196,"AAAAAF9gao4=")</f>
        <v>#VALUE!</v>
      </c>
      <c r="EN163" t="e">
        <f>AND('SPR BARRANQUILLA'!BF196,"AAAAAF9gao8=")</f>
        <v>#VALUE!</v>
      </c>
      <c r="EO163" t="e">
        <f>AND('SPR BARRANQUILLA'!BG196,"AAAAAF9gapA=")</f>
        <v>#VALUE!</v>
      </c>
      <c r="EP163" t="e">
        <f>AND('SPR BARRANQUILLA'!BH196,"AAAAAF9gapE=")</f>
        <v>#VALUE!</v>
      </c>
      <c r="EQ163" t="e">
        <f>AND('SPR BARRANQUILLA'!BI196,"AAAAAF9gapI=")</f>
        <v>#VALUE!</v>
      </c>
      <c r="ER163" t="e">
        <f>AND('SPR BARRANQUILLA'!BJ196,"AAAAAF9gapM=")</f>
        <v>#VALUE!</v>
      </c>
      <c r="ES163" t="e">
        <f>AND('SPR BARRANQUILLA'!BK196,"AAAAAF9gapQ=")</f>
        <v>#VALUE!</v>
      </c>
      <c r="ET163" t="e">
        <f>AND('SPR BARRANQUILLA'!BL196,"AAAAAF9gapU=")</f>
        <v>#VALUE!</v>
      </c>
      <c r="EU163" t="e">
        <f>AND('SPR BARRANQUILLA'!BM196,"AAAAAF9gapY=")</f>
        <v>#VALUE!</v>
      </c>
      <c r="EV163" t="e">
        <f>AND('SPR BARRANQUILLA'!BN196,"AAAAAF9gapc=")</f>
        <v>#VALUE!</v>
      </c>
      <c r="EW163" t="e">
        <f>AND('SPR BARRANQUILLA'!BO196,"AAAAAF9gapg=")</f>
        <v>#VALUE!</v>
      </c>
      <c r="EX163" t="e">
        <f>AND('SPR BARRANQUILLA'!BP196,"AAAAAF9gapk=")</f>
        <v>#VALUE!</v>
      </c>
      <c r="EY163" t="e">
        <f>AND('SPR BARRANQUILLA'!BQ196,"AAAAAF9gapo=")</f>
        <v>#VALUE!</v>
      </c>
      <c r="EZ163" t="e">
        <f>AND('SPR BARRANQUILLA'!BR196,"AAAAAF9gaps=")</f>
        <v>#VALUE!</v>
      </c>
      <c r="FA163" t="e">
        <f>AND('SPR BARRANQUILLA'!BS196,"AAAAAF9gapw=")</f>
        <v>#VALUE!</v>
      </c>
      <c r="FB163" t="e">
        <f>AND('SPR BARRANQUILLA'!BT196,"AAAAAF9gap0=")</f>
        <v>#VALUE!</v>
      </c>
      <c r="FC163" t="e">
        <f>AND('SPR BARRANQUILLA'!BU196,"AAAAAF9gap4=")</f>
        <v>#VALUE!</v>
      </c>
      <c r="FD163" t="e">
        <f>AND('SPR BARRANQUILLA'!BV196,"AAAAAF9gap8=")</f>
        <v>#VALUE!</v>
      </c>
      <c r="FE163" t="e">
        <f>AND('SPR BARRANQUILLA'!BW196,"AAAAAF9gaqA=")</f>
        <v>#VALUE!</v>
      </c>
      <c r="FF163" t="e">
        <f>AND('SPR BARRANQUILLA'!BX196,"AAAAAF9gaqE=")</f>
        <v>#VALUE!</v>
      </c>
      <c r="FG163" t="e">
        <f>AND('SPR BARRANQUILLA'!BY196,"AAAAAF9gaqI=")</f>
        <v>#VALUE!</v>
      </c>
      <c r="FH163" t="e">
        <f>AND('SPR BARRANQUILLA'!BZ196,"AAAAAF9gaqM=")</f>
        <v>#VALUE!</v>
      </c>
      <c r="FI163" t="e">
        <f>AND('SPR BARRANQUILLA'!CA196,"AAAAAF9gaqQ=")</f>
        <v>#VALUE!</v>
      </c>
      <c r="FJ163" t="e">
        <f>AND('SPR BARRANQUILLA'!CB196,"AAAAAF9gaqU=")</f>
        <v>#VALUE!</v>
      </c>
      <c r="FK163" t="e">
        <f>AND('SPR BARRANQUILLA'!CC196,"AAAAAF9gaqY=")</f>
        <v>#VALUE!</v>
      </c>
      <c r="FL163" t="e">
        <f>AND('SPR BARRANQUILLA'!CD196,"AAAAAF9gaqc=")</f>
        <v>#VALUE!</v>
      </c>
      <c r="FM163" t="e">
        <f>AND('SPR BARRANQUILLA'!CE196,"AAAAAF9gaqg=")</f>
        <v>#VALUE!</v>
      </c>
      <c r="FN163" t="e">
        <f>AND('SPR BARRANQUILLA'!CF196,"AAAAAF9gaqk=")</f>
        <v>#VALUE!</v>
      </c>
      <c r="FO163" t="e">
        <f>AND('SPR BARRANQUILLA'!CG196,"AAAAAF9gaqo=")</f>
        <v>#VALUE!</v>
      </c>
      <c r="FP163" t="e">
        <f>AND('SPR BARRANQUILLA'!CH196,"AAAAAF9gaqs=")</f>
        <v>#VALUE!</v>
      </c>
      <c r="FQ163" t="e">
        <f>AND('SPR BARRANQUILLA'!CI196,"AAAAAF9gaqw=")</f>
        <v>#VALUE!</v>
      </c>
      <c r="FR163" t="e">
        <f>AND('SPR BARRANQUILLA'!CJ196,"AAAAAF9gaq0=")</f>
        <v>#VALUE!</v>
      </c>
      <c r="FS163" t="e">
        <f>AND('SPR BARRANQUILLA'!CK196,"AAAAAF9gaq4=")</f>
        <v>#VALUE!</v>
      </c>
      <c r="FT163" t="e">
        <f>AND('SPR BARRANQUILLA'!CL196,"AAAAAF9gaq8=")</f>
        <v>#VALUE!</v>
      </c>
      <c r="FU163" t="e">
        <f>AND('SPR BARRANQUILLA'!CM196,"AAAAAF9garA=")</f>
        <v>#VALUE!</v>
      </c>
      <c r="FV163" t="e">
        <f>AND('SPR BARRANQUILLA'!CN196,"AAAAAF9garE=")</f>
        <v>#VALUE!</v>
      </c>
      <c r="FW163" t="e">
        <f>AND('SPR BARRANQUILLA'!CO196,"AAAAAF9garI=")</f>
        <v>#VALUE!</v>
      </c>
      <c r="FX163" t="e">
        <f>AND('SPR BARRANQUILLA'!CP196,"AAAAAF9garM=")</f>
        <v>#VALUE!</v>
      </c>
      <c r="FY163" t="e">
        <f>AND('SPR BARRANQUILLA'!CQ196,"AAAAAF9garQ=")</f>
        <v>#VALUE!</v>
      </c>
      <c r="FZ163" t="e">
        <f>AND('SPR BARRANQUILLA'!CR196,"AAAAAF9garU=")</f>
        <v>#VALUE!</v>
      </c>
      <c r="GA163" t="e">
        <f>AND('SPR BARRANQUILLA'!CS196,"AAAAAF9garY=")</f>
        <v>#VALUE!</v>
      </c>
      <c r="GB163" t="e">
        <f>AND('SPR BARRANQUILLA'!CT196,"AAAAAF9garc=")</f>
        <v>#VALUE!</v>
      </c>
      <c r="GC163" t="e">
        <f>AND('SPR BARRANQUILLA'!CU196,"AAAAAF9garg=")</f>
        <v>#VALUE!</v>
      </c>
      <c r="GD163" t="e">
        <f>AND('SPR BARRANQUILLA'!CV196,"AAAAAF9gark=")</f>
        <v>#VALUE!</v>
      </c>
      <c r="GE163" t="e">
        <f>AND('SPR BARRANQUILLA'!CW196,"AAAAAF9garo=")</f>
        <v>#VALUE!</v>
      </c>
      <c r="GF163" t="e">
        <f>AND('SPR BARRANQUILLA'!CX196,"AAAAAF9gars=")</f>
        <v>#VALUE!</v>
      </c>
      <c r="GG163" t="e">
        <f>AND('SPR BARRANQUILLA'!CY196,"AAAAAF9garw=")</f>
        <v>#VALUE!</v>
      </c>
      <c r="GH163" t="e">
        <f>AND('SPR BARRANQUILLA'!CZ196,"AAAAAF9gar0=")</f>
        <v>#VALUE!</v>
      </c>
      <c r="GI163" t="e">
        <f>AND('SPR BARRANQUILLA'!DA196,"AAAAAF9gar4=")</f>
        <v>#VALUE!</v>
      </c>
      <c r="GJ163" t="e">
        <f>AND('SPR BARRANQUILLA'!DB196,"AAAAAF9gar8=")</f>
        <v>#VALUE!</v>
      </c>
      <c r="GK163" t="e">
        <f>AND('SPR BARRANQUILLA'!DC196,"AAAAAF9gasA=")</f>
        <v>#VALUE!</v>
      </c>
      <c r="GL163" t="e">
        <f>AND('SPR BARRANQUILLA'!DD196,"AAAAAF9gasE=")</f>
        <v>#VALUE!</v>
      </c>
      <c r="GM163" t="e">
        <f>AND('SPR BARRANQUILLA'!DE196,"AAAAAF9gasI=")</f>
        <v>#VALUE!</v>
      </c>
      <c r="GN163" t="e">
        <f>AND('SPR BARRANQUILLA'!DF196,"AAAAAF9gasM=")</f>
        <v>#VALUE!</v>
      </c>
      <c r="GO163" t="e">
        <f>AND('SPR BARRANQUILLA'!DG196,"AAAAAF9gasQ=")</f>
        <v>#VALUE!</v>
      </c>
      <c r="GP163" t="e">
        <f>AND('SPR BARRANQUILLA'!DH196,"AAAAAF9gasU=")</f>
        <v>#VALUE!</v>
      </c>
      <c r="GQ163" t="e">
        <f>AND('SPR BARRANQUILLA'!DI196,"AAAAAF9gasY=")</f>
        <v>#VALUE!</v>
      </c>
      <c r="GR163" t="e">
        <f>AND('SPR BARRANQUILLA'!DJ196,"AAAAAF9gasc=")</f>
        <v>#VALUE!</v>
      </c>
      <c r="GS163" t="e">
        <f>AND('SPR BARRANQUILLA'!DK196,"AAAAAF9gasg=")</f>
        <v>#VALUE!</v>
      </c>
      <c r="GT163" t="e">
        <f>AND('SPR BARRANQUILLA'!DL196,"AAAAAF9gask=")</f>
        <v>#VALUE!</v>
      </c>
      <c r="GU163" t="e">
        <f>AND('SPR BARRANQUILLA'!DM196,"AAAAAF9gaso=")</f>
        <v>#VALUE!</v>
      </c>
      <c r="GV163" t="e">
        <f>AND('SPR BARRANQUILLA'!DN196,"AAAAAF9gass=")</f>
        <v>#VALUE!</v>
      </c>
      <c r="GW163" t="e">
        <f>AND('SPR BARRANQUILLA'!DO196,"AAAAAF9gasw=")</f>
        <v>#VALUE!</v>
      </c>
      <c r="GX163" t="e">
        <f>AND('SPR BARRANQUILLA'!DP196,"AAAAAF9gas0=")</f>
        <v>#VALUE!</v>
      </c>
      <c r="GY163" t="e">
        <f>AND('SPR BARRANQUILLA'!DQ196,"AAAAAF9gas4=")</f>
        <v>#VALUE!</v>
      </c>
      <c r="GZ163" t="e">
        <f>AND('SPR BARRANQUILLA'!DR196,"AAAAAF9gas8=")</f>
        <v>#VALUE!</v>
      </c>
      <c r="HA163" t="e">
        <f>AND('SPR BARRANQUILLA'!DS196,"AAAAAF9gatA=")</f>
        <v>#VALUE!</v>
      </c>
      <c r="HB163" t="e">
        <f>AND('SPR BARRANQUILLA'!DT196,"AAAAAF9gatE=")</f>
        <v>#VALUE!</v>
      </c>
      <c r="HC163" t="e">
        <f>AND('SPR BARRANQUILLA'!DU196,"AAAAAF9gatI=")</f>
        <v>#VALUE!</v>
      </c>
      <c r="HD163" t="e">
        <f>AND('SPR BARRANQUILLA'!DV196,"AAAAAF9gatM=")</f>
        <v>#VALUE!</v>
      </c>
      <c r="HE163" t="e">
        <f>AND('SPR BARRANQUILLA'!DW196,"AAAAAF9gatQ=")</f>
        <v>#VALUE!</v>
      </c>
      <c r="HF163" t="e">
        <f>AND('SPR BARRANQUILLA'!DX196,"AAAAAF9gatU=")</f>
        <v>#VALUE!</v>
      </c>
      <c r="HG163" t="e">
        <f>AND('SPR BARRANQUILLA'!DY196,"AAAAAF9gatY=")</f>
        <v>#VALUE!</v>
      </c>
      <c r="HH163" t="e">
        <f>AND('SPR BARRANQUILLA'!DZ196,"AAAAAF9gatc=")</f>
        <v>#VALUE!</v>
      </c>
      <c r="HI163" t="e">
        <f>AND('SPR BARRANQUILLA'!EA196,"AAAAAF9gatg=")</f>
        <v>#VALUE!</v>
      </c>
      <c r="HJ163" t="e">
        <f>AND('SPR BARRANQUILLA'!EB196,"AAAAAF9gatk=")</f>
        <v>#VALUE!</v>
      </c>
      <c r="HK163" t="e">
        <f>AND('SPR BARRANQUILLA'!EC196,"AAAAAF9gato=")</f>
        <v>#VALUE!</v>
      </c>
      <c r="HL163" t="e">
        <f>AND('SPR BARRANQUILLA'!ED196,"AAAAAF9gats=")</f>
        <v>#VALUE!</v>
      </c>
      <c r="HM163" t="e">
        <f>AND('SPR BARRANQUILLA'!EE196,"AAAAAF9gatw=")</f>
        <v>#VALUE!</v>
      </c>
      <c r="HN163" t="e">
        <f>AND('SPR BARRANQUILLA'!EF196,"AAAAAF9gat0=")</f>
        <v>#VALUE!</v>
      </c>
      <c r="HO163" t="e">
        <f>AND('SPR BARRANQUILLA'!EG196,"AAAAAF9gat4=")</f>
        <v>#VALUE!</v>
      </c>
      <c r="HP163" t="e">
        <f>AND('SPR BARRANQUILLA'!EH196,"AAAAAF9gat8=")</f>
        <v>#VALUE!</v>
      </c>
      <c r="HQ163" t="e">
        <f>AND('SPR BARRANQUILLA'!EI196,"AAAAAF9gauA=")</f>
        <v>#VALUE!</v>
      </c>
      <c r="HR163" t="e">
        <f>AND('SPR BARRANQUILLA'!EJ196,"AAAAAF9gauE=")</f>
        <v>#VALUE!</v>
      </c>
      <c r="HS163" t="e">
        <f>AND('SPR BARRANQUILLA'!EK196,"AAAAAF9gauI=")</f>
        <v>#VALUE!</v>
      </c>
      <c r="HT163" t="e">
        <f>AND('SPR BARRANQUILLA'!EL196,"AAAAAF9gauM=")</f>
        <v>#VALUE!</v>
      </c>
      <c r="HU163" t="e">
        <f>AND('SPR BARRANQUILLA'!EM196,"AAAAAF9gauQ=")</f>
        <v>#VALUE!</v>
      </c>
      <c r="HV163" t="e">
        <f>AND('SPR BARRANQUILLA'!EN196,"AAAAAF9gauU=")</f>
        <v>#VALUE!</v>
      </c>
      <c r="HW163" t="e">
        <f>AND('SPR BARRANQUILLA'!EO196,"AAAAAF9gauY=")</f>
        <v>#VALUE!</v>
      </c>
      <c r="HX163" t="e">
        <f>AND('SPR BARRANQUILLA'!EP196,"AAAAAF9gauc=")</f>
        <v>#VALUE!</v>
      </c>
      <c r="HY163" t="e">
        <f>AND('SPR BARRANQUILLA'!EQ196,"AAAAAF9gaug=")</f>
        <v>#VALUE!</v>
      </c>
      <c r="HZ163" t="e">
        <f>AND('SPR BARRANQUILLA'!ER196,"AAAAAF9gauk=")</f>
        <v>#VALUE!</v>
      </c>
      <c r="IA163" t="e">
        <f>AND('SPR BARRANQUILLA'!ES196,"AAAAAF9gauo=")</f>
        <v>#VALUE!</v>
      </c>
      <c r="IB163" t="e">
        <f>AND('SPR BARRANQUILLA'!ET196,"AAAAAF9gaus=")</f>
        <v>#VALUE!</v>
      </c>
      <c r="IC163" t="e">
        <f>AND('SPR BARRANQUILLA'!EU196,"AAAAAF9gauw=")</f>
        <v>#VALUE!</v>
      </c>
      <c r="ID163" t="e">
        <f>AND('SPR BARRANQUILLA'!EV196,"AAAAAF9gau0=")</f>
        <v>#VALUE!</v>
      </c>
      <c r="IE163" t="e">
        <f>AND('SPR BARRANQUILLA'!EW196,"AAAAAF9gau4=")</f>
        <v>#VALUE!</v>
      </c>
      <c r="IF163" t="e">
        <f>AND('SPR BARRANQUILLA'!EX196,"AAAAAF9gau8=")</f>
        <v>#VALUE!</v>
      </c>
      <c r="IG163" t="e">
        <f>AND('SPR BARRANQUILLA'!EY196,"AAAAAF9gavA=")</f>
        <v>#VALUE!</v>
      </c>
      <c r="IH163" t="e">
        <f>AND('SPR BARRANQUILLA'!EZ196,"AAAAAF9gavE=")</f>
        <v>#VALUE!</v>
      </c>
      <c r="II163" t="e">
        <f>AND('SPR BARRANQUILLA'!FA196,"AAAAAF9gavI=")</f>
        <v>#VALUE!</v>
      </c>
      <c r="IJ163" t="e">
        <f>AND('SPR BARRANQUILLA'!FB196,"AAAAAF9gavM=")</f>
        <v>#VALUE!</v>
      </c>
      <c r="IK163" t="e">
        <f>AND('SPR BARRANQUILLA'!FC196,"AAAAAF9gavQ=")</f>
        <v>#VALUE!</v>
      </c>
      <c r="IL163" t="e">
        <f>AND('SPR BARRANQUILLA'!FD196,"AAAAAF9gavU=")</f>
        <v>#VALUE!</v>
      </c>
      <c r="IM163" t="e">
        <f>AND('SPR BARRANQUILLA'!FE196,"AAAAAF9gavY=")</f>
        <v>#VALUE!</v>
      </c>
      <c r="IN163" t="e">
        <f>AND('SPR BARRANQUILLA'!FF196,"AAAAAF9gavc=")</f>
        <v>#VALUE!</v>
      </c>
      <c r="IO163" t="e">
        <f>AND('SPR BARRANQUILLA'!FG196,"AAAAAF9gavg=")</f>
        <v>#VALUE!</v>
      </c>
      <c r="IP163" t="e">
        <f>AND('SPR BARRANQUILLA'!FH196,"AAAAAF9gavk=")</f>
        <v>#VALUE!</v>
      </c>
      <c r="IQ163" t="e">
        <f>AND('SPR BARRANQUILLA'!FI196,"AAAAAF9gavo=")</f>
        <v>#VALUE!</v>
      </c>
      <c r="IR163" t="e">
        <f>AND('SPR BARRANQUILLA'!FJ196,"AAAAAF9gavs=")</f>
        <v>#VALUE!</v>
      </c>
      <c r="IS163" t="e">
        <f>AND('SPR BARRANQUILLA'!FK196,"AAAAAF9gavw=")</f>
        <v>#VALUE!</v>
      </c>
      <c r="IT163" t="e">
        <f>AND('SPR BARRANQUILLA'!FL196,"AAAAAF9gav0=")</f>
        <v>#VALUE!</v>
      </c>
      <c r="IU163" t="e">
        <f>AND('SPR BARRANQUILLA'!FM196,"AAAAAF9gav4=")</f>
        <v>#VALUE!</v>
      </c>
      <c r="IV163" t="e">
        <f>AND('SPR BARRANQUILLA'!FN196,"AAAAAF9gav8=")</f>
        <v>#VALUE!</v>
      </c>
    </row>
    <row r="164" spans="1:256">
      <c r="A164" t="e">
        <f>AND('SPR BARRANQUILLA'!FO196,"AAAAAH7f6QA=")</f>
        <v>#VALUE!</v>
      </c>
      <c r="B164" t="e">
        <f>AND('SPR BARRANQUILLA'!FP196,"AAAAAH7f6QE=")</f>
        <v>#VALUE!</v>
      </c>
      <c r="C164" t="e">
        <f>AND('SPR BARRANQUILLA'!FQ196,"AAAAAH7f6QI=")</f>
        <v>#VALUE!</v>
      </c>
      <c r="D164" t="e">
        <f>AND('SPR BARRANQUILLA'!FR196,"AAAAAH7f6QM=")</f>
        <v>#VALUE!</v>
      </c>
      <c r="E164" t="e">
        <f>AND('SPR BARRANQUILLA'!FS196,"AAAAAH7f6QQ=")</f>
        <v>#VALUE!</v>
      </c>
      <c r="F164" t="e">
        <f>AND('SPR BARRANQUILLA'!FT196,"AAAAAH7f6QU=")</f>
        <v>#VALUE!</v>
      </c>
      <c r="G164" t="e">
        <f>AND('SPR BARRANQUILLA'!FU196,"AAAAAH7f6QY=")</f>
        <v>#VALUE!</v>
      </c>
      <c r="H164" t="e">
        <f>AND('SPR BARRANQUILLA'!FV196,"AAAAAH7f6Qc=")</f>
        <v>#VALUE!</v>
      </c>
      <c r="I164" t="e">
        <f>AND('SPR BARRANQUILLA'!FW196,"AAAAAH7f6Qg=")</f>
        <v>#VALUE!</v>
      </c>
      <c r="J164" t="e">
        <f>AND('SPR BARRANQUILLA'!FX196,"AAAAAH7f6Qk=")</f>
        <v>#VALUE!</v>
      </c>
      <c r="K164" t="e">
        <f>AND('SPR BARRANQUILLA'!FY196,"AAAAAH7f6Qo=")</f>
        <v>#VALUE!</v>
      </c>
      <c r="L164" t="e">
        <f>AND('SPR BARRANQUILLA'!FZ196,"AAAAAH7f6Qs=")</f>
        <v>#VALUE!</v>
      </c>
      <c r="M164" t="e">
        <f>AND('SPR BARRANQUILLA'!GA196,"AAAAAH7f6Qw=")</f>
        <v>#VALUE!</v>
      </c>
      <c r="N164" t="e">
        <f>AND('SPR BARRANQUILLA'!GB196,"AAAAAH7f6Q0=")</f>
        <v>#VALUE!</v>
      </c>
      <c r="O164" t="e">
        <f>AND('SPR BARRANQUILLA'!GC196,"AAAAAH7f6Q4=")</f>
        <v>#VALUE!</v>
      </c>
      <c r="P164" t="e">
        <f>AND('SPR BARRANQUILLA'!GD196,"AAAAAH7f6Q8=")</f>
        <v>#VALUE!</v>
      </c>
      <c r="Q164" t="e">
        <f>AND('SPR BARRANQUILLA'!GE196,"AAAAAH7f6RA=")</f>
        <v>#VALUE!</v>
      </c>
      <c r="R164" t="e">
        <f>AND('SPR BARRANQUILLA'!GF196,"AAAAAH7f6RE=")</f>
        <v>#VALUE!</v>
      </c>
      <c r="S164" t="e">
        <f>AND('SPR BARRANQUILLA'!GG196,"AAAAAH7f6RI=")</f>
        <v>#VALUE!</v>
      </c>
      <c r="T164" t="e">
        <f>AND('SPR BARRANQUILLA'!GH196,"AAAAAH7f6RM=")</f>
        <v>#VALUE!</v>
      </c>
      <c r="U164" t="e">
        <f>AND('SPR BARRANQUILLA'!GI196,"AAAAAH7f6RQ=")</f>
        <v>#VALUE!</v>
      </c>
      <c r="V164" t="e">
        <f>AND('SPR BARRANQUILLA'!GJ196,"AAAAAH7f6RU=")</f>
        <v>#VALUE!</v>
      </c>
      <c r="W164" t="e">
        <f>AND('SPR BARRANQUILLA'!GK196,"AAAAAH7f6RY=")</f>
        <v>#VALUE!</v>
      </c>
      <c r="X164" t="e">
        <f>AND('SPR BARRANQUILLA'!GL196,"AAAAAH7f6Rc=")</f>
        <v>#VALUE!</v>
      </c>
      <c r="Y164" t="e">
        <f>AND('SPR BARRANQUILLA'!GM196,"AAAAAH7f6Rg=")</f>
        <v>#VALUE!</v>
      </c>
      <c r="Z164" t="e">
        <f>AND('SPR BARRANQUILLA'!GN196,"AAAAAH7f6Rk=")</f>
        <v>#VALUE!</v>
      </c>
      <c r="AA164" t="e">
        <f>AND('SPR BARRANQUILLA'!GO196,"AAAAAH7f6Ro=")</f>
        <v>#VALUE!</v>
      </c>
      <c r="AB164" t="e">
        <f>AND('SPR BARRANQUILLA'!GP196,"AAAAAH7f6Rs=")</f>
        <v>#VALUE!</v>
      </c>
      <c r="AC164" t="e">
        <f>AND('SPR BARRANQUILLA'!GQ196,"AAAAAH7f6Rw=")</f>
        <v>#VALUE!</v>
      </c>
      <c r="AD164" t="e">
        <f>AND('SPR BARRANQUILLA'!GR196,"AAAAAH7f6R0=")</f>
        <v>#VALUE!</v>
      </c>
      <c r="AE164" t="e">
        <f>AND('SPR BARRANQUILLA'!GS196,"AAAAAH7f6R4=")</f>
        <v>#VALUE!</v>
      </c>
      <c r="AF164" t="e">
        <f>AND('SPR BARRANQUILLA'!GT196,"AAAAAH7f6R8=")</f>
        <v>#VALUE!</v>
      </c>
      <c r="AG164" t="e">
        <f>AND('SPR BARRANQUILLA'!GU196,"AAAAAH7f6SA=")</f>
        <v>#VALUE!</v>
      </c>
      <c r="AH164" t="e">
        <f>AND('SPR BARRANQUILLA'!GV196,"AAAAAH7f6SE=")</f>
        <v>#VALUE!</v>
      </c>
      <c r="AI164" t="e">
        <f>AND('SPR BARRANQUILLA'!GW196,"AAAAAH7f6SI=")</f>
        <v>#VALUE!</v>
      </c>
      <c r="AJ164" t="e">
        <f>AND('SPR BARRANQUILLA'!GX196,"AAAAAH7f6SM=")</f>
        <v>#VALUE!</v>
      </c>
      <c r="AK164" t="e">
        <f>AND('SPR BARRANQUILLA'!GY196,"AAAAAH7f6SQ=")</f>
        <v>#VALUE!</v>
      </c>
      <c r="AL164">
        <f>IF('SPR BARRANQUILLA'!197:197,"AAAAAH7f6SU=",0)</f>
        <v>0</v>
      </c>
      <c r="AM164" t="e">
        <f>AND('SPR BARRANQUILLA'!A197,"AAAAAH7f6SY=")</f>
        <v>#VALUE!</v>
      </c>
      <c r="AN164" t="e">
        <f>AND('SPR BARRANQUILLA'!B197,"AAAAAH7f6Sc=")</f>
        <v>#VALUE!</v>
      </c>
      <c r="AO164" t="e">
        <f>AND('SPR BARRANQUILLA'!C197,"AAAAAH7f6Sg=")</f>
        <v>#VALUE!</v>
      </c>
      <c r="AP164" t="e">
        <f>AND('SPR BARRANQUILLA'!D197,"AAAAAH7f6Sk=")</f>
        <v>#VALUE!</v>
      </c>
      <c r="AQ164" t="e">
        <f>AND('SPR BARRANQUILLA'!E197,"AAAAAH7f6So=")</f>
        <v>#VALUE!</v>
      </c>
      <c r="AR164" t="e">
        <f>AND('SPR BARRANQUILLA'!F197,"AAAAAH7f6Ss=")</f>
        <v>#VALUE!</v>
      </c>
      <c r="AS164" t="e">
        <f>AND('SPR BARRANQUILLA'!G197,"AAAAAH7f6Sw=")</f>
        <v>#VALUE!</v>
      </c>
      <c r="AT164" t="e">
        <f>AND('SPR BARRANQUILLA'!H197,"AAAAAH7f6S0=")</f>
        <v>#VALUE!</v>
      </c>
      <c r="AU164" t="e">
        <f>AND('SPR BARRANQUILLA'!I197,"AAAAAH7f6S4=")</f>
        <v>#VALUE!</v>
      </c>
      <c r="AV164" t="e">
        <f>AND('SPR BARRANQUILLA'!J197,"AAAAAH7f6S8=")</f>
        <v>#VALUE!</v>
      </c>
      <c r="AW164" t="e">
        <f>AND('SPR BARRANQUILLA'!K197,"AAAAAH7f6TA=")</f>
        <v>#VALUE!</v>
      </c>
      <c r="AX164" t="e">
        <f>AND('SPR BARRANQUILLA'!L197,"AAAAAH7f6TE=")</f>
        <v>#VALUE!</v>
      </c>
      <c r="AY164" t="e">
        <f>AND('SPR BARRANQUILLA'!M197,"AAAAAH7f6TI=")</f>
        <v>#VALUE!</v>
      </c>
      <c r="AZ164" t="e">
        <f>AND('SPR BARRANQUILLA'!N197,"AAAAAH7f6TM=")</f>
        <v>#VALUE!</v>
      </c>
      <c r="BA164" t="e">
        <f>AND('SPR BARRANQUILLA'!O197,"AAAAAH7f6TQ=")</f>
        <v>#VALUE!</v>
      </c>
      <c r="BB164" t="e">
        <f>AND('SPR BARRANQUILLA'!P197,"AAAAAH7f6TU=")</f>
        <v>#VALUE!</v>
      </c>
      <c r="BC164" t="e">
        <f>AND('SPR BARRANQUILLA'!Q197,"AAAAAH7f6TY=")</f>
        <v>#VALUE!</v>
      </c>
      <c r="BD164" t="e">
        <f>AND('SPR BARRANQUILLA'!R197,"AAAAAH7f6Tc=")</f>
        <v>#VALUE!</v>
      </c>
      <c r="BE164" t="e">
        <f>AND('SPR BARRANQUILLA'!S197,"AAAAAH7f6Tg=")</f>
        <v>#VALUE!</v>
      </c>
      <c r="BF164" t="e">
        <f>AND('SPR BARRANQUILLA'!T197,"AAAAAH7f6Tk=")</f>
        <v>#VALUE!</v>
      </c>
      <c r="BG164" t="e">
        <f>AND('SPR BARRANQUILLA'!U197,"AAAAAH7f6To=")</f>
        <v>#VALUE!</v>
      </c>
      <c r="BH164" t="e">
        <f>AND('SPR BARRANQUILLA'!V197,"AAAAAH7f6Ts=")</f>
        <v>#VALUE!</v>
      </c>
      <c r="BI164" t="e">
        <f>AND('SPR BARRANQUILLA'!W197,"AAAAAH7f6Tw=")</f>
        <v>#VALUE!</v>
      </c>
      <c r="BJ164" t="e">
        <f>AND('SPR BARRANQUILLA'!X197,"AAAAAH7f6T0=")</f>
        <v>#VALUE!</v>
      </c>
      <c r="BK164" t="e">
        <f>AND('SPR BARRANQUILLA'!Y197,"AAAAAH7f6T4=")</f>
        <v>#VALUE!</v>
      </c>
      <c r="BL164" t="e">
        <f>AND('SPR BARRANQUILLA'!Z197,"AAAAAH7f6T8=")</f>
        <v>#VALUE!</v>
      </c>
      <c r="BM164" t="e">
        <f>AND('SPR BARRANQUILLA'!AA197,"AAAAAH7f6UA=")</f>
        <v>#VALUE!</v>
      </c>
      <c r="BN164" t="e">
        <f>AND('SPR BARRANQUILLA'!AB197,"AAAAAH7f6UE=")</f>
        <v>#VALUE!</v>
      </c>
      <c r="BO164" t="e">
        <f>AND('SPR BARRANQUILLA'!AC197,"AAAAAH7f6UI=")</f>
        <v>#VALUE!</v>
      </c>
      <c r="BP164" t="e">
        <f>AND('SPR BARRANQUILLA'!AD197,"AAAAAH7f6UM=")</f>
        <v>#VALUE!</v>
      </c>
      <c r="BQ164" t="e">
        <f>AND('SPR BARRANQUILLA'!AE197,"AAAAAH7f6UQ=")</f>
        <v>#VALUE!</v>
      </c>
      <c r="BR164" t="e">
        <f>AND('SPR BARRANQUILLA'!AF197,"AAAAAH7f6UU=")</f>
        <v>#VALUE!</v>
      </c>
      <c r="BS164" t="e">
        <f>AND('SPR BARRANQUILLA'!AG197,"AAAAAH7f6UY=")</f>
        <v>#VALUE!</v>
      </c>
      <c r="BT164" t="e">
        <f>AND('SPR BARRANQUILLA'!AH197,"AAAAAH7f6Uc=")</f>
        <v>#VALUE!</v>
      </c>
      <c r="BU164" t="e">
        <f>AND('SPR BARRANQUILLA'!AI197,"AAAAAH7f6Ug=")</f>
        <v>#VALUE!</v>
      </c>
      <c r="BV164" t="e">
        <f>AND('SPR BARRANQUILLA'!AJ197,"AAAAAH7f6Uk=")</f>
        <v>#VALUE!</v>
      </c>
      <c r="BW164" t="e">
        <f>AND('SPR BARRANQUILLA'!AK197,"AAAAAH7f6Uo=")</f>
        <v>#VALUE!</v>
      </c>
      <c r="BX164" t="e">
        <f>AND('SPR BARRANQUILLA'!AL197,"AAAAAH7f6Us=")</f>
        <v>#VALUE!</v>
      </c>
      <c r="BY164" t="e">
        <f>AND('SPR BARRANQUILLA'!AM197,"AAAAAH7f6Uw=")</f>
        <v>#VALUE!</v>
      </c>
      <c r="BZ164" t="e">
        <f>AND('SPR BARRANQUILLA'!AN197,"AAAAAH7f6U0=")</f>
        <v>#VALUE!</v>
      </c>
      <c r="CA164" t="e">
        <f>AND('SPR BARRANQUILLA'!AO197,"AAAAAH7f6U4=")</f>
        <v>#VALUE!</v>
      </c>
      <c r="CB164" t="e">
        <f>AND('SPR BARRANQUILLA'!AP197,"AAAAAH7f6U8=")</f>
        <v>#VALUE!</v>
      </c>
      <c r="CC164" t="e">
        <f>AND('SPR BARRANQUILLA'!AQ197,"AAAAAH7f6VA=")</f>
        <v>#VALUE!</v>
      </c>
      <c r="CD164" t="e">
        <f>AND('SPR BARRANQUILLA'!AR197,"AAAAAH7f6VE=")</f>
        <v>#VALUE!</v>
      </c>
      <c r="CE164" t="e">
        <f>AND('SPR BARRANQUILLA'!AS197,"AAAAAH7f6VI=")</f>
        <v>#VALUE!</v>
      </c>
      <c r="CF164" t="e">
        <f>AND('SPR BARRANQUILLA'!AT197,"AAAAAH7f6VM=")</f>
        <v>#VALUE!</v>
      </c>
      <c r="CG164" t="e">
        <f>AND('SPR BARRANQUILLA'!AU197,"AAAAAH7f6VQ=")</f>
        <v>#VALUE!</v>
      </c>
      <c r="CH164" t="e">
        <f>AND('SPR BARRANQUILLA'!AV197,"AAAAAH7f6VU=")</f>
        <v>#VALUE!</v>
      </c>
      <c r="CI164" t="e">
        <f>AND('SPR BARRANQUILLA'!AW197,"AAAAAH7f6VY=")</f>
        <v>#VALUE!</v>
      </c>
      <c r="CJ164" t="e">
        <f>AND('SPR BARRANQUILLA'!AX197,"AAAAAH7f6Vc=")</f>
        <v>#VALUE!</v>
      </c>
      <c r="CK164" t="e">
        <f>AND('SPR BARRANQUILLA'!AY197,"AAAAAH7f6Vg=")</f>
        <v>#VALUE!</v>
      </c>
      <c r="CL164" t="e">
        <f>AND('SPR BARRANQUILLA'!AZ197,"AAAAAH7f6Vk=")</f>
        <v>#VALUE!</v>
      </c>
      <c r="CM164" t="e">
        <f>AND('SPR BARRANQUILLA'!BA197,"AAAAAH7f6Vo=")</f>
        <v>#VALUE!</v>
      </c>
      <c r="CN164" t="e">
        <f>AND('SPR BARRANQUILLA'!BB197,"AAAAAH7f6Vs=")</f>
        <v>#VALUE!</v>
      </c>
      <c r="CO164" t="e">
        <f>AND('SPR BARRANQUILLA'!BC197,"AAAAAH7f6Vw=")</f>
        <v>#VALUE!</v>
      </c>
      <c r="CP164" t="e">
        <f>AND('SPR BARRANQUILLA'!BD197,"AAAAAH7f6V0=")</f>
        <v>#VALUE!</v>
      </c>
      <c r="CQ164" t="e">
        <f>AND('SPR BARRANQUILLA'!BE197,"AAAAAH7f6V4=")</f>
        <v>#VALUE!</v>
      </c>
      <c r="CR164" t="e">
        <f>AND('SPR BARRANQUILLA'!BF197,"AAAAAH7f6V8=")</f>
        <v>#VALUE!</v>
      </c>
      <c r="CS164" t="e">
        <f>AND('SPR BARRANQUILLA'!BG197,"AAAAAH7f6WA=")</f>
        <v>#VALUE!</v>
      </c>
      <c r="CT164" t="e">
        <f>AND('SPR BARRANQUILLA'!BH197,"AAAAAH7f6WE=")</f>
        <v>#VALUE!</v>
      </c>
      <c r="CU164" t="e">
        <f>AND('SPR BARRANQUILLA'!BI197,"AAAAAH7f6WI=")</f>
        <v>#VALUE!</v>
      </c>
      <c r="CV164" t="e">
        <f>AND('SPR BARRANQUILLA'!BJ197,"AAAAAH7f6WM=")</f>
        <v>#VALUE!</v>
      </c>
      <c r="CW164" t="e">
        <f>AND('SPR BARRANQUILLA'!BK197,"AAAAAH7f6WQ=")</f>
        <v>#VALUE!</v>
      </c>
      <c r="CX164" t="e">
        <f>AND('SPR BARRANQUILLA'!BL197,"AAAAAH7f6WU=")</f>
        <v>#VALUE!</v>
      </c>
      <c r="CY164" t="e">
        <f>AND('SPR BARRANQUILLA'!BM197,"AAAAAH7f6WY=")</f>
        <v>#VALUE!</v>
      </c>
      <c r="CZ164" t="e">
        <f>AND('SPR BARRANQUILLA'!BN197,"AAAAAH7f6Wc=")</f>
        <v>#VALUE!</v>
      </c>
      <c r="DA164" t="e">
        <f>AND('SPR BARRANQUILLA'!BO197,"AAAAAH7f6Wg=")</f>
        <v>#VALUE!</v>
      </c>
      <c r="DB164" t="e">
        <f>AND('SPR BARRANQUILLA'!BP197,"AAAAAH7f6Wk=")</f>
        <v>#VALUE!</v>
      </c>
      <c r="DC164" t="e">
        <f>AND('SPR BARRANQUILLA'!BQ197,"AAAAAH7f6Wo=")</f>
        <v>#VALUE!</v>
      </c>
      <c r="DD164" t="e">
        <f>AND('SPR BARRANQUILLA'!BR197,"AAAAAH7f6Ws=")</f>
        <v>#VALUE!</v>
      </c>
      <c r="DE164" t="e">
        <f>AND('SPR BARRANQUILLA'!BS197,"AAAAAH7f6Ww=")</f>
        <v>#VALUE!</v>
      </c>
      <c r="DF164" t="e">
        <f>AND('SPR BARRANQUILLA'!BT197,"AAAAAH7f6W0=")</f>
        <v>#VALUE!</v>
      </c>
      <c r="DG164" t="e">
        <f>AND('SPR BARRANQUILLA'!BU197,"AAAAAH7f6W4=")</f>
        <v>#VALUE!</v>
      </c>
      <c r="DH164" t="e">
        <f>AND('SPR BARRANQUILLA'!BV197,"AAAAAH7f6W8=")</f>
        <v>#VALUE!</v>
      </c>
      <c r="DI164" t="e">
        <f>AND('SPR BARRANQUILLA'!BW197,"AAAAAH7f6XA=")</f>
        <v>#VALUE!</v>
      </c>
      <c r="DJ164" t="e">
        <f>AND('SPR BARRANQUILLA'!BX197,"AAAAAH7f6XE=")</f>
        <v>#VALUE!</v>
      </c>
      <c r="DK164" t="e">
        <f>AND('SPR BARRANQUILLA'!BY197,"AAAAAH7f6XI=")</f>
        <v>#VALUE!</v>
      </c>
      <c r="DL164" t="e">
        <f>AND('SPR BARRANQUILLA'!BZ197,"AAAAAH7f6XM=")</f>
        <v>#VALUE!</v>
      </c>
      <c r="DM164" t="e">
        <f>AND('SPR BARRANQUILLA'!CA197,"AAAAAH7f6XQ=")</f>
        <v>#VALUE!</v>
      </c>
      <c r="DN164" t="e">
        <f>AND('SPR BARRANQUILLA'!CB197,"AAAAAH7f6XU=")</f>
        <v>#VALUE!</v>
      </c>
      <c r="DO164" t="e">
        <f>AND('SPR BARRANQUILLA'!CC197,"AAAAAH7f6XY=")</f>
        <v>#VALUE!</v>
      </c>
      <c r="DP164" t="e">
        <f>AND('SPR BARRANQUILLA'!CD197,"AAAAAH7f6Xc=")</f>
        <v>#VALUE!</v>
      </c>
      <c r="DQ164" t="e">
        <f>AND('SPR BARRANQUILLA'!CE197,"AAAAAH7f6Xg=")</f>
        <v>#VALUE!</v>
      </c>
      <c r="DR164" t="e">
        <f>AND('SPR BARRANQUILLA'!CF197,"AAAAAH7f6Xk=")</f>
        <v>#VALUE!</v>
      </c>
      <c r="DS164" t="e">
        <f>AND('SPR BARRANQUILLA'!CG197,"AAAAAH7f6Xo=")</f>
        <v>#VALUE!</v>
      </c>
      <c r="DT164" t="e">
        <f>AND('SPR BARRANQUILLA'!CH197,"AAAAAH7f6Xs=")</f>
        <v>#VALUE!</v>
      </c>
      <c r="DU164" t="e">
        <f>AND('SPR BARRANQUILLA'!CI197,"AAAAAH7f6Xw=")</f>
        <v>#VALUE!</v>
      </c>
      <c r="DV164" t="e">
        <f>AND('SPR BARRANQUILLA'!CJ197,"AAAAAH7f6X0=")</f>
        <v>#VALUE!</v>
      </c>
      <c r="DW164" t="e">
        <f>AND('SPR BARRANQUILLA'!CK197,"AAAAAH7f6X4=")</f>
        <v>#VALUE!</v>
      </c>
      <c r="DX164" t="e">
        <f>AND('SPR BARRANQUILLA'!CL197,"AAAAAH7f6X8=")</f>
        <v>#VALUE!</v>
      </c>
      <c r="DY164" t="e">
        <f>AND('SPR BARRANQUILLA'!CM197,"AAAAAH7f6YA=")</f>
        <v>#VALUE!</v>
      </c>
      <c r="DZ164" t="e">
        <f>AND('SPR BARRANQUILLA'!CN197,"AAAAAH7f6YE=")</f>
        <v>#VALUE!</v>
      </c>
      <c r="EA164" t="e">
        <f>AND('SPR BARRANQUILLA'!CO197,"AAAAAH7f6YI=")</f>
        <v>#VALUE!</v>
      </c>
      <c r="EB164" t="e">
        <f>AND('SPR BARRANQUILLA'!CP197,"AAAAAH7f6YM=")</f>
        <v>#VALUE!</v>
      </c>
      <c r="EC164" t="e">
        <f>AND('SPR BARRANQUILLA'!CQ197,"AAAAAH7f6YQ=")</f>
        <v>#VALUE!</v>
      </c>
      <c r="ED164" t="e">
        <f>AND('SPR BARRANQUILLA'!CR197,"AAAAAH7f6YU=")</f>
        <v>#VALUE!</v>
      </c>
      <c r="EE164" t="e">
        <f>AND('SPR BARRANQUILLA'!CS197,"AAAAAH7f6YY=")</f>
        <v>#VALUE!</v>
      </c>
      <c r="EF164" t="e">
        <f>AND('SPR BARRANQUILLA'!CT197,"AAAAAH7f6Yc=")</f>
        <v>#VALUE!</v>
      </c>
      <c r="EG164" t="e">
        <f>AND('SPR BARRANQUILLA'!CU197,"AAAAAH7f6Yg=")</f>
        <v>#VALUE!</v>
      </c>
      <c r="EH164" t="e">
        <f>AND('SPR BARRANQUILLA'!CV197,"AAAAAH7f6Yk=")</f>
        <v>#VALUE!</v>
      </c>
      <c r="EI164" t="e">
        <f>AND('SPR BARRANQUILLA'!CW197,"AAAAAH7f6Yo=")</f>
        <v>#VALUE!</v>
      </c>
      <c r="EJ164" t="e">
        <f>AND('SPR BARRANQUILLA'!CX197,"AAAAAH7f6Ys=")</f>
        <v>#VALUE!</v>
      </c>
      <c r="EK164" t="e">
        <f>AND('SPR BARRANQUILLA'!CY197,"AAAAAH7f6Yw=")</f>
        <v>#VALUE!</v>
      </c>
      <c r="EL164" t="e">
        <f>AND('SPR BARRANQUILLA'!CZ197,"AAAAAH7f6Y0=")</f>
        <v>#VALUE!</v>
      </c>
      <c r="EM164" t="e">
        <f>AND('SPR BARRANQUILLA'!DA197,"AAAAAH7f6Y4=")</f>
        <v>#VALUE!</v>
      </c>
      <c r="EN164" t="e">
        <f>AND('SPR BARRANQUILLA'!DB197,"AAAAAH7f6Y8=")</f>
        <v>#VALUE!</v>
      </c>
      <c r="EO164" t="e">
        <f>AND('SPR BARRANQUILLA'!DC197,"AAAAAH7f6ZA=")</f>
        <v>#VALUE!</v>
      </c>
      <c r="EP164" t="e">
        <f>AND('SPR BARRANQUILLA'!DD197,"AAAAAH7f6ZE=")</f>
        <v>#VALUE!</v>
      </c>
      <c r="EQ164" t="e">
        <f>AND('SPR BARRANQUILLA'!DE197,"AAAAAH7f6ZI=")</f>
        <v>#VALUE!</v>
      </c>
      <c r="ER164" t="e">
        <f>AND('SPR BARRANQUILLA'!DF197,"AAAAAH7f6ZM=")</f>
        <v>#VALUE!</v>
      </c>
      <c r="ES164" t="e">
        <f>AND('SPR BARRANQUILLA'!DG197,"AAAAAH7f6ZQ=")</f>
        <v>#VALUE!</v>
      </c>
      <c r="ET164" t="e">
        <f>AND('SPR BARRANQUILLA'!DH197,"AAAAAH7f6ZU=")</f>
        <v>#VALUE!</v>
      </c>
      <c r="EU164" t="e">
        <f>AND('SPR BARRANQUILLA'!DI197,"AAAAAH7f6ZY=")</f>
        <v>#VALUE!</v>
      </c>
      <c r="EV164" t="e">
        <f>AND('SPR BARRANQUILLA'!DJ197,"AAAAAH7f6Zc=")</f>
        <v>#VALUE!</v>
      </c>
      <c r="EW164" t="e">
        <f>AND('SPR BARRANQUILLA'!DK197,"AAAAAH7f6Zg=")</f>
        <v>#VALUE!</v>
      </c>
      <c r="EX164" t="e">
        <f>AND('SPR BARRANQUILLA'!DL197,"AAAAAH7f6Zk=")</f>
        <v>#VALUE!</v>
      </c>
      <c r="EY164" t="e">
        <f>AND('SPR BARRANQUILLA'!DM197,"AAAAAH7f6Zo=")</f>
        <v>#VALUE!</v>
      </c>
      <c r="EZ164" t="e">
        <f>AND('SPR BARRANQUILLA'!DN197,"AAAAAH7f6Zs=")</f>
        <v>#VALUE!</v>
      </c>
      <c r="FA164" t="e">
        <f>AND('SPR BARRANQUILLA'!DO197,"AAAAAH7f6Zw=")</f>
        <v>#VALUE!</v>
      </c>
      <c r="FB164" t="e">
        <f>AND('SPR BARRANQUILLA'!DP197,"AAAAAH7f6Z0=")</f>
        <v>#VALUE!</v>
      </c>
      <c r="FC164" t="e">
        <f>AND('SPR BARRANQUILLA'!DQ197,"AAAAAH7f6Z4=")</f>
        <v>#VALUE!</v>
      </c>
      <c r="FD164" t="e">
        <f>AND('SPR BARRANQUILLA'!DR197,"AAAAAH7f6Z8=")</f>
        <v>#VALUE!</v>
      </c>
      <c r="FE164" t="e">
        <f>AND('SPR BARRANQUILLA'!DS197,"AAAAAH7f6aA=")</f>
        <v>#VALUE!</v>
      </c>
      <c r="FF164" t="e">
        <f>AND('SPR BARRANQUILLA'!DT197,"AAAAAH7f6aE=")</f>
        <v>#VALUE!</v>
      </c>
      <c r="FG164" t="e">
        <f>AND('SPR BARRANQUILLA'!DU197,"AAAAAH7f6aI=")</f>
        <v>#VALUE!</v>
      </c>
      <c r="FH164" t="e">
        <f>AND('SPR BARRANQUILLA'!DV197,"AAAAAH7f6aM=")</f>
        <v>#VALUE!</v>
      </c>
      <c r="FI164" t="e">
        <f>AND('SPR BARRANQUILLA'!DW197,"AAAAAH7f6aQ=")</f>
        <v>#VALUE!</v>
      </c>
      <c r="FJ164" t="e">
        <f>AND('SPR BARRANQUILLA'!DX197,"AAAAAH7f6aU=")</f>
        <v>#VALUE!</v>
      </c>
      <c r="FK164" t="e">
        <f>AND('SPR BARRANQUILLA'!DY197,"AAAAAH7f6aY=")</f>
        <v>#VALUE!</v>
      </c>
      <c r="FL164" t="e">
        <f>AND('SPR BARRANQUILLA'!DZ197,"AAAAAH7f6ac=")</f>
        <v>#VALUE!</v>
      </c>
      <c r="FM164" t="e">
        <f>AND('SPR BARRANQUILLA'!EA197,"AAAAAH7f6ag=")</f>
        <v>#VALUE!</v>
      </c>
      <c r="FN164" t="e">
        <f>AND('SPR BARRANQUILLA'!EB197,"AAAAAH7f6ak=")</f>
        <v>#VALUE!</v>
      </c>
      <c r="FO164" t="e">
        <f>AND('SPR BARRANQUILLA'!EC197,"AAAAAH7f6ao=")</f>
        <v>#VALUE!</v>
      </c>
      <c r="FP164" t="e">
        <f>AND('SPR BARRANQUILLA'!ED197,"AAAAAH7f6as=")</f>
        <v>#VALUE!</v>
      </c>
      <c r="FQ164" t="e">
        <f>AND('SPR BARRANQUILLA'!EE197,"AAAAAH7f6aw=")</f>
        <v>#VALUE!</v>
      </c>
      <c r="FR164" t="e">
        <f>AND('SPR BARRANQUILLA'!EF197,"AAAAAH7f6a0=")</f>
        <v>#VALUE!</v>
      </c>
      <c r="FS164" t="e">
        <f>AND('SPR BARRANQUILLA'!EG197,"AAAAAH7f6a4=")</f>
        <v>#VALUE!</v>
      </c>
      <c r="FT164" t="e">
        <f>AND('SPR BARRANQUILLA'!EH197,"AAAAAH7f6a8=")</f>
        <v>#VALUE!</v>
      </c>
      <c r="FU164" t="e">
        <f>AND('SPR BARRANQUILLA'!EI197,"AAAAAH7f6bA=")</f>
        <v>#VALUE!</v>
      </c>
      <c r="FV164" t="e">
        <f>AND('SPR BARRANQUILLA'!EJ197,"AAAAAH7f6bE=")</f>
        <v>#VALUE!</v>
      </c>
      <c r="FW164" t="e">
        <f>AND('SPR BARRANQUILLA'!EK197,"AAAAAH7f6bI=")</f>
        <v>#VALUE!</v>
      </c>
      <c r="FX164" t="e">
        <f>AND('SPR BARRANQUILLA'!EL197,"AAAAAH7f6bM=")</f>
        <v>#VALUE!</v>
      </c>
      <c r="FY164" t="e">
        <f>AND('SPR BARRANQUILLA'!EM197,"AAAAAH7f6bQ=")</f>
        <v>#VALUE!</v>
      </c>
      <c r="FZ164" t="e">
        <f>AND('SPR BARRANQUILLA'!EN197,"AAAAAH7f6bU=")</f>
        <v>#VALUE!</v>
      </c>
      <c r="GA164" t="e">
        <f>AND('SPR BARRANQUILLA'!EO197,"AAAAAH7f6bY=")</f>
        <v>#VALUE!</v>
      </c>
      <c r="GB164" t="e">
        <f>AND('SPR BARRANQUILLA'!EP197,"AAAAAH7f6bc=")</f>
        <v>#VALUE!</v>
      </c>
      <c r="GC164" t="e">
        <f>AND('SPR BARRANQUILLA'!EQ197,"AAAAAH7f6bg=")</f>
        <v>#VALUE!</v>
      </c>
      <c r="GD164" t="e">
        <f>AND('SPR BARRANQUILLA'!ER197,"AAAAAH7f6bk=")</f>
        <v>#VALUE!</v>
      </c>
      <c r="GE164" t="e">
        <f>AND('SPR BARRANQUILLA'!ES197,"AAAAAH7f6bo=")</f>
        <v>#VALUE!</v>
      </c>
      <c r="GF164" t="e">
        <f>AND('SPR BARRANQUILLA'!ET197,"AAAAAH7f6bs=")</f>
        <v>#VALUE!</v>
      </c>
      <c r="GG164" t="e">
        <f>AND('SPR BARRANQUILLA'!EU197,"AAAAAH7f6bw=")</f>
        <v>#VALUE!</v>
      </c>
      <c r="GH164" t="e">
        <f>AND('SPR BARRANQUILLA'!EV197,"AAAAAH7f6b0=")</f>
        <v>#VALUE!</v>
      </c>
      <c r="GI164" t="e">
        <f>AND('SPR BARRANQUILLA'!EW197,"AAAAAH7f6b4=")</f>
        <v>#VALUE!</v>
      </c>
      <c r="GJ164" t="e">
        <f>AND('SPR BARRANQUILLA'!EX197,"AAAAAH7f6b8=")</f>
        <v>#VALUE!</v>
      </c>
      <c r="GK164" t="e">
        <f>AND('SPR BARRANQUILLA'!EY197,"AAAAAH7f6cA=")</f>
        <v>#VALUE!</v>
      </c>
      <c r="GL164" t="e">
        <f>AND('SPR BARRANQUILLA'!EZ197,"AAAAAH7f6cE=")</f>
        <v>#VALUE!</v>
      </c>
      <c r="GM164" t="e">
        <f>AND('SPR BARRANQUILLA'!FA197,"AAAAAH7f6cI=")</f>
        <v>#VALUE!</v>
      </c>
      <c r="GN164" t="e">
        <f>AND('SPR BARRANQUILLA'!FB197,"AAAAAH7f6cM=")</f>
        <v>#VALUE!</v>
      </c>
      <c r="GO164" t="e">
        <f>AND('SPR BARRANQUILLA'!FC197,"AAAAAH7f6cQ=")</f>
        <v>#VALUE!</v>
      </c>
      <c r="GP164" t="e">
        <f>AND('SPR BARRANQUILLA'!FD197,"AAAAAH7f6cU=")</f>
        <v>#VALUE!</v>
      </c>
      <c r="GQ164" t="e">
        <f>AND('SPR BARRANQUILLA'!FE197,"AAAAAH7f6cY=")</f>
        <v>#VALUE!</v>
      </c>
      <c r="GR164" t="e">
        <f>AND('SPR BARRANQUILLA'!FF197,"AAAAAH7f6cc=")</f>
        <v>#VALUE!</v>
      </c>
      <c r="GS164" t="e">
        <f>AND('SPR BARRANQUILLA'!FG197,"AAAAAH7f6cg=")</f>
        <v>#VALUE!</v>
      </c>
      <c r="GT164" t="e">
        <f>AND('SPR BARRANQUILLA'!FH197,"AAAAAH7f6ck=")</f>
        <v>#VALUE!</v>
      </c>
      <c r="GU164" t="e">
        <f>AND('SPR BARRANQUILLA'!FI197,"AAAAAH7f6co=")</f>
        <v>#VALUE!</v>
      </c>
      <c r="GV164" t="e">
        <f>AND('SPR BARRANQUILLA'!FJ197,"AAAAAH7f6cs=")</f>
        <v>#VALUE!</v>
      </c>
      <c r="GW164" t="e">
        <f>AND('SPR BARRANQUILLA'!FK197,"AAAAAH7f6cw=")</f>
        <v>#VALUE!</v>
      </c>
      <c r="GX164" t="e">
        <f>AND('SPR BARRANQUILLA'!FL197,"AAAAAH7f6c0=")</f>
        <v>#VALUE!</v>
      </c>
      <c r="GY164" t="e">
        <f>AND('SPR BARRANQUILLA'!FM197,"AAAAAH7f6c4=")</f>
        <v>#VALUE!</v>
      </c>
      <c r="GZ164" t="e">
        <f>AND('SPR BARRANQUILLA'!FN197,"AAAAAH7f6c8=")</f>
        <v>#VALUE!</v>
      </c>
      <c r="HA164" t="e">
        <f>AND('SPR BARRANQUILLA'!FO197,"AAAAAH7f6dA=")</f>
        <v>#VALUE!</v>
      </c>
      <c r="HB164" t="e">
        <f>AND('SPR BARRANQUILLA'!FP197,"AAAAAH7f6dE=")</f>
        <v>#VALUE!</v>
      </c>
      <c r="HC164" t="e">
        <f>AND('SPR BARRANQUILLA'!FQ197,"AAAAAH7f6dI=")</f>
        <v>#VALUE!</v>
      </c>
      <c r="HD164" t="e">
        <f>AND('SPR BARRANQUILLA'!FR197,"AAAAAH7f6dM=")</f>
        <v>#VALUE!</v>
      </c>
      <c r="HE164" t="e">
        <f>AND('SPR BARRANQUILLA'!FS197,"AAAAAH7f6dQ=")</f>
        <v>#VALUE!</v>
      </c>
      <c r="HF164" t="e">
        <f>AND('SPR BARRANQUILLA'!FT197,"AAAAAH7f6dU=")</f>
        <v>#VALUE!</v>
      </c>
      <c r="HG164" t="e">
        <f>AND('SPR BARRANQUILLA'!FU197,"AAAAAH7f6dY=")</f>
        <v>#VALUE!</v>
      </c>
      <c r="HH164" t="e">
        <f>AND('SPR BARRANQUILLA'!FV197,"AAAAAH7f6dc=")</f>
        <v>#VALUE!</v>
      </c>
      <c r="HI164" t="e">
        <f>AND('SPR BARRANQUILLA'!FW197,"AAAAAH7f6dg=")</f>
        <v>#VALUE!</v>
      </c>
      <c r="HJ164" t="e">
        <f>AND('SPR BARRANQUILLA'!FX197,"AAAAAH7f6dk=")</f>
        <v>#VALUE!</v>
      </c>
      <c r="HK164" t="e">
        <f>AND('SPR BARRANQUILLA'!FY197,"AAAAAH7f6do=")</f>
        <v>#VALUE!</v>
      </c>
      <c r="HL164" t="e">
        <f>AND('SPR BARRANQUILLA'!FZ197,"AAAAAH7f6ds=")</f>
        <v>#VALUE!</v>
      </c>
      <c r="HM164" t="e">
        <f>AND('SPR BARRANQUILLA'!GA197,"AAAAAH7f6dw=")</f>
        <v>#VALUE!</v>
      </c>
      <c r="HN164" t="e">
        <f>AND('SPR BARRANQUILLA'!GB197,"AAAAAH7f6d0=")</f>
        <v>#VALUE!</v>
      </c>
      <c r="HO164" t="e">
        <f>AND('SPR BARRANQUILLA'!GC197,"AAAAAH7f6d4=")</f>
        <v>#VALUE!</v>
      </c>
      <c r="HP164" t="e">
        <f>AND('SPR BARRANQUILLA'!GD197,"AAAAAH7f6d8=")</f>
        <v>#VALUE!</v>
      </c>
      <c r="HQ164" t="e">
        <f>AND('SPR BARRANQUILLA'!GE197,"AAAAAH7f6eA=")</f>
        <v>#VALUE!</v>
      </c>
      <c r="HR164" t="e">
        <f>AND('SPR BARRANQUILLA'!GF197,"AAAAAH7f6eE=")</f>
        <v>#VALUE!</v>
      </c>
      <c r="HS164" t="e">
        <f>AND('SPR BARRANQUILLA'!GG197,"AAAAAH7f6eI=")</f>
        <v>#VALUE!</v>
      </c>
      <c r="HT164" t="e">
        <f>AND('SPR BARRANQUILLA'!GH197,"AAAAAH7f6eM=")</f>
        <v>#VALUE!</v>
      </c>
      <c r="HU164" t="e">
        <f>AND('SPR BARRANQUILLA'!GI197,"AAAAAH7f6eQ=")</f>
        <v>#VALUE!</v>
      </c>
      <c r="HV164" t="e">
        <f>AND('SPR BARRANQUILLA'!GJ197,"AAAAAH7f6eU=")</f>
        <v>#VALUE!</v>
      </c>
      <c r="HW164" t="e">
        <f>AND('SPR BARRANQUILLA'!GK197,"AAAAAH7f6eY=")</f>
        <v>#VALUE!</v>
      </c>
      <c r="HX164" t="e">
        <f>AND('SPR BARRANQUILLA'!GL197,"AAAAAH7f6ec=")</f>
        <v>#VALUE!</v>
      </c>
      <c r="HY164" t="e">
        <f>AND('SPR BARRANQUILLA'!GM197,"AAAAAH7f6eg=")</f>
        <v>#VALUE!</v>
      </c>
      <c r="HZ164" t="e">
        <f>AND('SPR BARRANQUILLA'!GN197,"AAAAAH7f6ek=")</f>
        <v>#VALUE!</v>
      </c>
      <c r="IA164" t="e">
        <f>AND('SPR BARRANQUILLA'!GO197,"AAAAAH7f6eo=")</f>
        <v>#VALUE!</v>
      </c>
      <c r="IB164" t="e">
        <f>AND('SPR BARRANQUILLA'!GP197,"AAAAAH7f6es=")</f>
        <v>#VALUE!</v>
      </c>
      <c r="IC164" t="e">
        <f>AND('SPR BARRANQUILLA'!GQ197,"AAAAAH7f6ew=")</f>
        <v>#VALUE!</v>
      </c>
      <c r="ID164" t="e">
        <f>AND('SPR BARRANQUILLA'!GR197,"AAAAAH7f6e0=")</f>
        <v>#VALUE!</v>
      </c>
      <c r="IE164" t="e">
        <f>AND('SPR BARRANQUILLA'!GS197,"AAAAAH7f6e4=")</f>
        <v>#VALUE!</v>
      </c>
      <c r="IF164" t="e">
        <f>AND('SPR BARRANQUILLA'!GT197,"AAAAAH7f6e8=")</f>
        <v>#VALUE!</v>
      </c>
      <c r="IG164" t="e">
        <f>AND('SPR BARRANQUILLA'!GU197,"AAAAAH7f6fA=")</f>
        <v>#VALUE!</v>
      </c>
      <c r="IH164" t="e">
        <f>AND('SPR BARRANQUILLA'!GV197,"AAAAAH7f6fE=")</f>
        <v>#VALUE!</v>
      </c>
      <c r="II164" t="e">
        <f>AND('SPR BARRANQUILLA'!GW197,"AAAAAH7f6fI=")</f>
        <v>#VALUE!</v>
      </c>
      <c r="IJ164" t="e">
        <f>AND('SPR BARRANQUILLA'!GX197,"AAAAAH7f6fM=")</f>
        <v>#VALUE!</v>
      </c>
      <c r="IK164" t="e">
        <f>AND('SPR BARRANQUILLA'!GY197,"AAAAAH7f6fQ=")</f>
        <v>#VALUE!</v>
      </c>
      <c r="IL164">
        <f>IF('SPR BARRANQUILLA'!198:198,"AAAAAH7f6fU=",0)</f>
        <v>0</v>
      </c>
      <c r="IM164" t="e">
        <f>AND('SPR BARRANQUILLA'!A198,"AAAAAH7f6fY=")</f>
        <v>#VALUE!</v>
      </c>
      <c r="IN164" t="e">
        <f>AND('SPR BARRANQUILLA'!B198,"AAAAAH7f6fc=")</f>
        <v>#VALUE!</v>
      </c>
      <c r="IO164" t="e">
        <f>AND('SPR BARRANQUILLA'!C198,"AAAAAH7f6fg=")</f>
        <v>#VALUE!</v>
      </c>
      <c r="IP164" t="e">
        <f>AND('SPR BARRANQUILLA'!D198,"AAAAAH7f6fk=")</f>
        <v>#VALUE!</v>
      </c>
      <c r="IQ164" t="e">
        <f>AND('SPR BARRANQUILLA'!E198,"AAAAAH7f6fo=")</f>
        <v>#VALUE!</v>
      </c>
      <c r="IR164" t="e">
        <f>AND('SPR BARRANQUILLA'!F198,"AAAAAH7f6fs=")</f>
        <v>#VALUE!</v>
      </c>
      <c r="IS164" t="e">
        <f>AND('SPR BARRANQUILLA'!G198,"AAAAAH7f6fw=")</f>
        <v>#VALUE!</v>
      </c>
      <c r="IT164" t="e">
        <f>AND('SPR BARRANQUILLA'!H198,"AAAAAH7f6f0=")</f>
        <v>#VALUE!</v>
      </c>
      <c r="IU164" t="e">
        <f>AND('SPR BARRANQUILLA'!I198,"AAAAAH7f6f4=")</f>
        <v>#VALUE!</v>
      </c>
      <c r="IV164" t="e">
        <f>AND('SPR BARRANQUILLA'!J198,"AAAAAH7f6f8=")</f>
        <v>#VALUE!</v>
      </c>
    </row>
    <row r="165" spans="1:256">
      <c r="A165" t="e">
        <f>AND('SPR BARRANQUILLA'!K198,"AAAAAFe/uQA=")</f>
        <v>#VALUE!</v>
      </c>
      <c r="B165" t="e">
        <f>AND('SPR BARRANQUILLA'!L198,"AAAAAFe/uQE=")</f>
        <v>#VALUE!</v>
      </c>
      <c r="C165" t="e">
        <f>AND('SPR BARRANQUILLA'!M198,"AAAAAFe/uQI=")</f>
        <v>#VALUE!</v>
      </c>
      <c r="D165" t="e">
        <f>AND('SPR BARRANQUILLA'!N198,"AAAAAFe/uQM=")</f>
        <v>#VALUE!</v>
      </c>
      <c r="E165" t="e">
        <f>AND('SPR BARRANQUILLA'!O198,"AAAAAFe/uQQ=")</f>
        <v>#VALUE!</v>
      </c>
      <c r="F165" t="e">
        <f>AND('SPR BARRANQUILLA'!P198,"AAAAAFe/uQU=")</f>
        <v>#VALUE!</v>
      </c>
      <c r="G165" t="e">
        <f>AND('SPR BARRANQUILLA'!Q198,"AAAAAFe/uQY=")</f>
        <v>#VALUE!</v>
      </c>
      <c r="H165" t="e">
        <f>AND('SPR BARRANQUILLA'!R198,"AAAAAFe/uQc=")</f>
        <v>#VALUE!</v>
      </c>
      <c r="I165" t="e">
        <f>AND('SPR BARRANQUILLA'!S198,"AAAAAFe/uQg=")</f>
        <v>#VALUE!</v>
      </c>
      <c r="J165" t="e">
        <f>AND('SPR BARRANQUILLA'!T198,"AAAAAFe/uQk=")</f>
        <v>#VALUE!</v>
      </c>
      <c r="K165" t="e">
        <f>AND('SPR BARRANQUILLA'!U198,"AAAAAFe/uQo=")</f>
        <v>#VALUE!</v>
      </c>
      <c r="L165" t="e">
        <f>AND('SPR BARRANQUILLA'!V198,"AAAAAFe/uQs=")</f>
        <v>#VALUE!</v>
      </c>
      <c r="M165" t="e">
        <f>AND('SPR BARRANQUILLA'!W198,"AAAAAFe/uQw=")</f>
        <v>#VALUE!</v>
      </c>
      <c r="N165" t="e">
        <f>AND('SPR BARRANQUILLA'!X198,"AAAAAFe/uQ0=")</f>
        <v>#VALUE!</v>
      </c>
      <c r="O165" t="e">
        <f>AND('SPR BARRANQUILLA'!Y198,"AAAAAFe/uQ4=")</f>
        <v>#VALUE!</v>
      </c>
      <c r="P165" t="e">
        <f>AND('SPR BARRANQUILLA'!Z198,"AAAAAFe/uQ8=")</f>
        <v>#VALUE!</v>
      </c>
      <c r="Q165" t="e">
        <f>AND('SPR BARRANQUILLA'!AA198,"AAAAAFe/uRA=")</f>
        <v>#VALUE!</v>
      </c>
      <c r="R165" t="e">
        <f>AND('SPR BARRANQUILLA'!AB198,"AAAAAFe/uRE=")</f>
        <v>#VALUE!</v>
      </c>
      <c r="S165" t="e">
        <f>AND('SPR BARRANQUILLA'!AC198,"AAAAAFe/uRI=")</f>
        <v>#VALUE!</v>
      </c>
      <c r="T165" t="e">
        <f>AND('SPR BARRANQUILLA'!AD198,"AAAAAFe/uRM=")</f>
        <v>#VALUE!</v>
      </c>
      <c r="U165" t="e">
        <f>AND('SPR BARRANQUILLA'!AE198,"AAAAAFe/uRQ=")</f>
        <v>#VALUE!</v>
      </c>
      <c r="V165" t="e">
        <f>AND('SPR BARRANQUILLA'!AF198,"AAAAAFe/uRU=")</f>
        <v>#VALUE!</v>
      </c>
      <c r="W165" t="e">
        <f>AND('SPR BARRANQUILLA'!AG198,"AAAAAFe/uRY=")</f>
        <v>#VALUE!</v>
      </c>
      <c r="X165" t="e">
        <f>AND('SPR BARRANQUILLA'!AH198,"AAAAAFe/uRc=")</f>
        <v>#VALUE!</v>
      </c>
      <c r="Y165" t="e">
        <f>AND('SPR BARRANQUILLA'!AI198,"AAAAAFe/uRg=")</f>
        <v>#VALUE!</v>
      </c>
      <c r="Z165" t="e">
        <f>AND('SPR BARRANQUILLA'!AJ198,"AAAAAFe/uRk=")</f>
        <v>#VALUE!</v>
      </c>
      <c r="AA165" t="e">
        <f>AND('SPR BARRANQUILLA'!AK198,"AAAAAFe/uRo=")</f>
        <v>#VALUE!</v>
      </c>
      <c r="AB165" t="e">
        <f>AND('SPR BARRANQUILLA'!AL198,"AAAAAFe/uRs=")</f>
        <v>#VALUE!</v>
      </c>
      <c r="AC165" t="e">
        <f>AND('SPR BARRANQUILLA'!AM198,"AAAAAFe/uRw=")</f>
        <v>#VALUE!</v>
      </c>
      <c r="AD165" t="e">
        <f>AND('SPR BARRANQUILLA'!AN198,"AAAAAFe/uR0=")</f>
        <v>#VALUE!</v>
      </c>
      <c r="AE165" t="e">
        <f>AND('SPR BARRANQUILLA'!AO198,"AAAAAFe/uR4=")</f>
        <v>#VALUE!</v>
      </c>
      <c r="AF165" t="e">
        <f>AND('SPR BARRANQUILLA'!AP198,"AAAAAFe/uR8=")</f>
        <v>#VALUE!</v>
      </c>
      <c r="AG165" t="e">
        <f>AND('SPR BARRANQUILLA'!AQ198,"AAAAAFe/uSA=")</f>
        <v>#VALUE!</v>
      </c>
      <c r="AH165" t="e">
        <f>AND('SPR BARRANQUILLA'!AR198,"AAAAAFe/uSE=")</f>
        <v>#VALUE!</v>
      </c>
      <c r="AI165" t="e">
        <f>AND('SPR BARRANQUILLA'!AS198,"AAAAAFe/uSI=")</f>
        <v>#VALUE!</v>
      </c>
      <c r="AJ165" t="e">
        <f>AND('SPR BARRANQUILLA'!AT198,"AAAAAFe/uSM=")</f>
        <v>#VALUE!</v>
      </c>
      <c r="AK165" t="e">
        <f>AND('SPR BARRANQUILLA'!AU198,"AAAAAFe/uSQ=")</f>
        <v>#VALUE!</v>
      </c>
      <c r="AL165" t="e">
        <f>AND('SPR BARRANQUILLA'!AV198,"AAAAAFe/uSU=")</f>
        <v>#VALUE!</v>
      </c>
      <c r="AM165" t="e">
        <f>AND('SPR BARRANQUILLA'!AW198,"AAAAAFe/uSY=")</f>
        <v>#VALUE!</v>
      </c>
      <c r="AN165" t="e">
        <f>AND('SPR BARRANQUILLA'!AX198,"AAAAAFe/uSc=")</f>
        <v>#VALUE!</v>
      </c>
      <c r="AO165" t="e">
        <f>AND('SPR BARRANQUILLA'!AY198,"AAAAAFe/uSg=")</f>
        <v>#VALUE!</v>
      </c>
      <c r="AP165" t="e">
        <f>AND('SPR BARRANQUILLA'!AZ198,"AAAAAFe/uSk=")</f>
        <v>#VALUE!</v>
      </c>
      <c r="AQ165" t="e">
        <f>AND('SPR BARRANQUILLA'!BA198,"AAAAAFe/uSo=")</f>
        <v>#VALUE!</v>
      </c>
      <c r="AR165" t="e">
        <f>AND('SPR BARRANQUILLA'!BB198,"AAAAAFe/uSs=")</f>
        <v>#VALUE!</v>
      </c>
      <c r="AS165" t="e">
        <f>AND('SPR BARRANQUILLA'!BC198,"AAAAAFe/uSw=")</f>
        <v>#VALUE!</v>
      </c>
      <c r="AT165" t="e">
        <f>AND('SPR BARRANQUILLA'!BD198,"AAAAAFe/uS0=")</f>
        <v>#VALUE!</v>
      </c>
      <c r="AU165" t="e">
        <f>AND('SPR BARRANQUILLA'!BE198,"AAAAAFe/uS4=")</f>
        <v>#VALUE!</v>
      </c>
      <c r="AV165" t="e">
        <f>AND('SPR BARRANQUILLA'!BF198,"AAAAAFe/uS8=")</f>
        <v>#VALUE!</v>
      </c>
      <c r="AW165" t="e">
        <f>AND('SPR BARRANQUILLA'!BG198,"AAAAAFe/uTA=")</f>
        <v>#VALUE!</v>
      </c>
      <c r="AX165" t="e">
        <f>AND('SPR BARRANQUILLA'!BH198,"AAAAAFe/uTE=")</f>
        <v>#VALUE!</v>
      </c>
      <c r="AY165" t="e">
        <f>AND('SPR BARRANQUILLA'!BI198,"AAAAAFe/uTI=")</f>
        <v>#VALUE!</v>
      </c>
      <c r="AZ165" t="e">
        <f>AND('SPR BARRANQUILLA'!BJ198,"AAAAAFe/uTM=")</f>
        <v>#VALUE!</v>
      </c>
      <c r="BA165" t="e">
        <f>AND('SPR BARRANQUILLA'!BK198,"AAAAAFe/uTQ=")</f>
        <v>#VALUE!</v>
      </c>
      <c r="BB165" t="e">
        <f>AND('SPR BARRANQUILLA'!BL198,"AAAAAFe/uTU=")</f>
        <v>#VALUE!</v>
      </c>
      <c r="BC165" t="e">
        <f>AND('SPR BARRANQUILLA'!BM198,"AAAAAFe/uTY=")</f>
        <v>#VALUE!</v>
      </c>
      <c r="BD165" t="e">
        <f>AND('SPR BARRANQUILLA'!BN198,"AAAAAFe/uTc=")</f>
        <v>#VALUE!</v>
      </c>
      <c r="BE165" t="e">
        <f>AND('SPR BARRANQUILLA'!BO198,"AAAAAFe/uTg=")</f>
        <v>#VALUE!</v>
      </c>
      <c r="BF165" t="e">
        <f>AND('SPR BARRANQUILLA'!BP198,"AAAAAFe/uTk=")</f>
        <v>#VALUE!</v>
      </c>
      <c r="BG165" t="e">
        <f>AND('SPR BARRANQUILLA'!BQ198,"AAAAAFe/uTo=")</f>
        <v>#VALUE!</v>
      </c>
      <c r="BH165" t="e">
        <f>AND('SPR BARRANQUILLA'!BR198,"AAAAAFe/uTs=")</f>
        <v>#VALUE!</v>
      </c>
      <c r="BI165" t="e">
        <f>AND('SPR BARRANQUILLA'!BS198,"AAAAAFe/uTw=")</f>
        <v>#VALUE!</v>
      </c>
      <c r="BJ165" t="e">
        <f>AND('SPR BARRANQUILLA'!BT198,"AAAAAFe/uT0=")</f>
        <v>#VALUE!</v>
      </c>
      <c r="BK165" t="e">
        <f>AND('SPR BARRANQUILLA'!BU198,"AAAAAFe/uT4=")</f>
        <v>#VALUE!</v>
      </c>
      <c r="BL165" t="e">
        <f>AND('SPR BARRANQUILLA'!BV198,"AAAAAFe/uT8=")</f>
        <v>#VALUE!</v>
      </c>
      <c r="BM165" t="e">
        <f>AND('SPR BARRANQUILLA'!BW198,"AAAAAFe/uUA=")</f>
        <v>#VALUE!</v>
      </c>
      <c r="BN165" t="e">
        <f>AND('SPR BARRANQUILLA'!BX198,"AAAAAFe/uUE=")</f>
        <v>#VALUE!</v>
      </c>
      <c r="BO165" t="e">
        <f>AND('SPR BARRANQUILLA'!BY198,"AAAAAFe/uUI=")</f>
        <v>#VALUE!</v>
      </c>
      <c r="BP165" t="e">
        <f>AND('SPR BARRANQUILLA'!BZ198,"AAAAAFe/uUM=")</f>
        <v>#VALUE!</v>
      </c>
      <c r="BQ165" t="e">
        <f>AND('SPR BARRANQUILLA'!CA198,"AAAAAFe/uUQ=")</f>
        <v>#VALUE!</v>
      </c>
      <c r="BR165" t="e">
        <f>AND('SPR BARRANQUILLA'!CB198,"AAAAAFe/uUU=")</f>
        <v>#VALUE!</v>
      </c>
      <c r="BS165" t="e">
        <f>AND('SPR BARRANQUILLA'!CC198,"AAAAAFe/uUY=")</f>
        <v>#VALUE!</v>
      </c>
      <c r="BT165" t="e">
        <f>AND('SPR BARRANQUILLA'!CD198,"AAAAAFe/uUc=")</f>
        <v>#VALUE!</v>
      </c>
      <c r="BU165" t="e">
        <f>AND('SPR BARRANQUILLA'!CE198,"AAAAAFe/uUg=")</f>
        <v>#VALUE!</v>
      </c>
      <c r="BV165" t="e">
        <f>AND('SPR BARRANQUILLA'!CF198,"AAAAAFe/uUk=")</f>
        <v>#VALUE!</v>
      </c>
      <c r="BW165" t="e">
        <f>AND('SPR BARRANQUILLA'!CG198,"AAAAAFe/uUo=")</f>
        <v>#VALUE!</v>
      </c>
      <c r="BX165" t="e">
        <f>AND('SPR BARRANQUILLA'!CH198,"AAAAAFe/uUs=")</f>
        <v>#VALUE!</v>
      </c>
      <c r="BY165" t="e">
        <f>AND('SPR BARRANQUILLA'!CI198,"AAAAAFe/uUw=")</f>
        <v>#VALUE!</v>
      </c>
      <c r="BZ165" t="e">
        <f>AND('SPR BARRANQUILLA'!CJ198,"AAAAAFe/uU0=")</f>
        <v>#VALUE!</v>
      </c>
      <c r="CA165" t="e">
        <f>AND('SPR BARRANQUILLA'!CK198,"AAAAAFe/uU4=")</f>
        <v>#VALUE!</v>
      </c>
      <c r="CB165" t="e">
        <f>AND('SPR BARRANQUILLA'!CL198,"AAAAAFe/uU8=")</f>
        <v>#VALUE!</v>
      </c>
      <c r="CC165" t="e">
        <f>AND('SPR BARRANQUILLA'!CM198,"AAAAAFe/uVA=")</f>
        <v>#VALUE!</v>
      </c>
      <c r="CD165" t="e">
        <f>AND('SPR BARRANQUILLA'!CN198,"AAAAAFe/uVE=")</f>
        <v>#VALUE!</v>
      </c>
      <c r="CE165" t="e">
        <f>AND('SPR BARRANQUILLA'!CO198,"AAAAAFe/uVI=")</f>
        <v>#VALUE!</v>
      </c>
      <c r="CF165" t="e">
        <f>AND('SPR BARRANQUILLA'!CP198,"AAAAAFe/uVM=")</f>
        <v>#VALUE!</v>
      </c>
      <c r="CG165" t="e">
        <f>AND('SPR BARRANQUILLA'!CQ198,"AAAAAFe/uVQ=")</f>
        <v>#VALUE!</v>
      </c>
      <c r="CH165" t="e">
        <f>AND('SPR BARRANQUILLA'!CR198,"AAAAAFe/uVU=")</f>
        <v>#VALUE!</v>
      </c>
      <c r="CI165" t="e">
        <f>AND('SPR BARRANQUILLA'!CS198,"AAAAAFe/uVY=")</f>
        <v>#VALUE!</v>
      </c>
      <c r="CJ165" t="e">
        <f>AND('SPR BARRANQUILLA'!CT198,"AAAAAFe/uVc=")</f>
        <v>#VALUE!</v>
      </c>
      <c r="CK165" t="e">
        <f>AND('SPR BARRANQUILLA'!CU198,"AAAAAFe/uVg=")</f>
        <v>#VALUE!</v>
      </c>
      <c r="CL165" t="e">
        <f>AND('SPR BARRANQUILLA'!CV198,"AAAAAFe/uVk=")</f>
        <v>#VALUE!</v>
      </c>
      <c r="CM165" t="e">
        <f>AND('SPR BARRANQUILLA'!CW198,"AAAAAFe/uVo=")</f>
        <v>#VALUE!</v>
      </c>
      <c r="CN165" t="e">
        <f>AND('SPR BARRANQUILLA'!CX198,"AAAAAFe/uVs=")</f>
        <v>#VALUE!</v>
      </c>
      <c r="CO165" t="e">
        <f>AND('SPR BARRANQUILLA'!CY198,"AAAAAFe/uVw=")</f>
        <v>#VALUE!</v>
      </c>
      <c r="CP165" t="e">
        <f>AND('SPR BARRANQUILLA'!CZ198,"AAAAAFe/uV0=")</f>
        <v>#VALUE!</v>
      </c>
      <c r="CQ165" t="e">
        <f>AND('SPR BARRANQUILLA'!DA198,"AAAAAFe/uV4=")</f>
        <v>#VALUE!</v>
      </c>
      <c r="CR165" t="e">
        <f>AND('SPR BARRANQUILLA'!DB198,"AAAAAFe/uV8=")</f>
        <v>#VALUE!</v>
      </c>
      <c r="CS165" t="e">
        <f>AND('SPR BARRANQUILLA'!DC198,"AAAAAFe/uWA=")</f>
        <v>#VALUE!</v>
      </c>
      <c r="CT165" t="e">
        <f>AND('SPR BARRANQUILLA'!DD198,"AAAAAFe/uWE=")</f>
        <v>#VALUE!</v>
      </c>
      <c r="CU165" t="e">
        <f>AND('SPR BARRANQUILLA'!DE198,"AAAAAFe/uWI=")</f>
        <v>#VALUE!</v>
      </c>
      <c r="CV165" t="e">
        <f>AND('SPR BARRANQUILLA'!DF198,"AAAAAFe/uWM=")</f>
        <v>#VALUE!</v>
      </c>
      <c r="CW165" t="e">
        <f>AND('SPR BARRANQUILLA'!DG198,"AAAAAFe/uWQ=")</f>
        <v>#VALUE!</v>
      </c>
      <c r="CX165" t="e">
        <f>AND('SPR BARRANQUILLA'!DH198,"AAAAAFe/uWU=")</f>
        <v>#VALUE!</v>
      </c>
      <c r="CY165" t="e">
        <f>AND('SPR BARRANQUILLA'!DI198,"AAAAAFe/uWY=")</f>
        <v>#VALUE!</v>
      </c>
      <c r="CZ165" t="e">
        <f>AND('SPR BARRANQUILLA'!DJ198,"AAAAAFe/uWc=")</f>
        <v>#VALUE!</v>
      </c>
      <c r="DA165" t="e">
        <f>AND('SPR BARRANQUILLA'!DK198,"AAAAAFe/uWg=")</f>
        <v>#VALUE!</v>
      </c>
      <c r="DB165" t="e">
        <f>AND('SPR BARRANQUILLA'!DL198,"AAAAAFe/uWk=")</f>
        <v>#VALUE!</v>
      </c>
      <c r="DC165" t="e">
        <f>AND('SPR BARRANQUILLA'!DM198,"AAAAAFe/uWo=")</f>
        <v>#VALUE!</v>
      </c>
      <c r="DD165" t="e">
        <f>AND('SPR BARRANQUILLA'!DN198,"AAAAAFe/uWs=")</f>
        <v>#VALUE!</v>
      </c>
      <c r="DE165" t="e">
        <f>AND('SPR BARRANQUILLA'!DO198,"AAAAAFe/uWw=")</f>
        <v>#VALUE!</v>
      </c>
      <c r="DF165" t="e">
        <f>AND('SPR BARRANQUILLA'!DP198,"AAAAAFe/uW0=")</f>
        <v>#VALUE!</v>
      </c>
      <c r="DG165" t="e">
        <f>AND('SPR BARRANQUILLA'!DQ198,"AAAAAFe/uW4=")</f>
        <v>#VALUE!</v>
      </c>
      <c r="DH165" t="e">
        <f>AND('SPR BARRANQUILLA'!DR198,"AAAAAFe/uW8=")</f>
        <v>#VALUE!</v>
      </c>
      <c r="DI165" t="e">
        <f>AND('SPR BARRANQUILLA'!DS198,"AAAAAFe/uXA=")</f>
        <v>#VALUE!</v>
      </c>
      <c r="DJ165" t="e">
        <f>AND('SPR BARRANQUILLA'!DT198,"AAAAAFe/uXE=")</f>
        <v>#VALUE!</v>
      </c>
      <c r="DK165" t="e">
        <f>AND('SPR BARRANQUILLA'!DU198,"AAAAAFe/uXI=")</f>
        <v>#VALUE!</v>
      </c>
      <c r="DL165" t="e">
        <f>AND('SPR BARRANQUILLA'!DV198,"AAAAAFe/uXM=")</f>
        <v>#VALUE!</v>
      </c>
      <c r="DM165" t="e">
        <f>AND('SPR BARRANQUILLA'!DW198,"AAAAAFe/uXQ=")</f>
        <v>#VALUE!</v>
      </c>
      <c r="DN165" t="e">
        <f>AND('SPR BARRANQUILLA'!DX198,"AAAAAFe/uXU=")</f>
        <v>#VALUE!</v>
      </c>
      <c r="DO165" t="e">
        <f>AND('SPR BARRANQUILLA'!DY198,"AAAAAFe/uXY=")</f>
        <v>#VALUE!</v>
      </c>
      <c r="DP165" t="e">
        <f>AND('SPR BARRANQUILLA'!DZ198,"AAAAAFe/uXc=")</f>
        <v>#VALUE!</v>
      </c>
      <c r="DQ165" t="e">
        <f>AND('SPR BARRANQUILLA'!EA198,"AAAAAFe/uXg=")</f>
        <v>#VALUE!</v>
      </c>
      <c r="DR165" t="e">
        <f>AND('SPR BARRANQUILLA'!EB198,"AAAAAFe/uXk=")</f>
        <v>#VALUE!</v>
      </c>
      <c r="DS165" t="e">
        <f>AND('SPR BARRANQUILLA'!EC198,"AAAAAFe/uXo=")</f>
        <v>#VALUE!</v>
      </c>
      <c r="DT165" t="e">
        <f>AND('SPR BARRANQUILLA'!ED198,"AAAAAFe/uXs=")</f>
        <v>#VALUE!</v>
      </c>
      <c r="DU165" t="e">
        <f>AND('SPR BARRANQUILLA'!EE198,"AAAAAFe/uXw=")</f>
        <v>#VALUE!</v>
      </c>
      <c r="DV165" t="e">
        <f>AND('SPR BARRANQUILLA'!EF198,"AAAAAFe/uX0=")</f>
        <v>#VALUE!</v>
      </c>
      <c r="DW165" t="e">
        <f>AND('SPR BARRANQUILLA'!EG198,"AAAAAFe/uX4=")</f>
        <v>#VALUE!</v>
      </c>
      <c r="DX165" t="e">
        <f>AND('SPR BARRANQUILLA'!EH198,"AAAAAFe/uX8=")</f>
        <v>#VALUE!</v>
      </c>
      <c r="DY165" t="e">
        <f>AND('SPR BARRANQUILLA'!EI198,"AAAAAFe/uYA=")</f>
        <v>#VALUE!</v>
      </c>
      <c r="DZ165" t="e">
        <f>AND('SPR BARRANQUILLA'!EJ198,"AAAAAFe/uYE=")</f>
        <v>#VALUE!</v>
      </c>
      <c r="EA165" t="e">
        <f>AND('SPR BARRANQUILLA'!EK198,"AAAAAFe/uYI=")</f>
        <v>#VALUE!</v>
      </c>
      <c r="EB165" t="e">
        <f>AND('SPR BARRANQUILLA'!EL198,"AAAAAFe/uYM=")</f>
        <v>#VALUE!</v>
      </c>
      <c r="EC165" t="e">
        <f>AND('SPR BARRANQUILLA'!EM198,"AAAAAFe/uYQ=")</f>
        <v>#VALUE!</v>
      </c>
      <c r="ED165" t="e">
        <f>AND('SPR BARRANQUILLA'!EN198,"AAAAAFe/uYU=")</f>
        <v>#VALUE!</v>
      </c>
      <c r="EE165" t="e">
        <f>AND('SPR BARRANQUILLA'!EO198,"AAAAAFe/uYY=")</f>
        <v>#VALUE!</v>
      </c>
      <c r="EF165" t="e">
        <f>AND('SPR BARRANQUILLA'!EP198,"AAAAAFe/uYc=")</f>
        <v>#VALUE!</v>
      </c>
      <c r="EG165" t="e">
        <f>AND('SPR BARRANQUILLA'!EQ198,"AAAAAFe/uYg=")</f>
        <v>#VALUE!</v>
      </c>
      <c r="EH165" t="e">
        <f>AND('SPR BARRANQUILLA'!ER198,"AAAAAFe/uYk=")</f>
        <v>#VALUE!</v>
      </c>
      <c r="EI165" t="e">
        <f>AND('SPR BARRANQUILLA'!ES198,"AAAAAFe/uYo=")</f>
        <v>#VALUE!</v>
      </c>
      <c r="EJ165" t="e">
        <f>AND('SPR BARRANQUILLA'!ET198,"AAAAAFe/uYs=")</f>
        <v>#VALUE!</v>
      </c>
      <c r="EK165" t="e">
        <f>AND('SPR BARRANQUILLA'!EU198,"AAAAAFe/uYw=")</f>
        <v>#VALUE!</v>
      </c>
      <c r="EL165" t="e">
        <f>AND('SPR BARRANQUILLA'!EV198,"AAAAAFe/uY0=")</f>
        <v>#VALUE!</v>
      </c>
      <c r="EM165" t="e">
        <f>AND('SPR BARRANQUILLA'!EW198,"AAAAAFe/uY4=")</f>
        <v>#VALUE!</v>
      </c>
      <c r="EN165" t="e">
        <f>AND('SPR BARRANQUILLA'!EX198,"AAAAAFe/uY8=")</f>
        <v>#VALUE!</v>
      </c>
      <c r="EO165" t="e">
        <f>AND('SPR BARRANQUILLA'!EY198,"AAAAAFe/uZA=")</f>
        <v>#VALUE!</v>
      </c>
      <c r="EP165" t="e">
        <f>AND('SPR BARRANQUILLA'!EZ198,"AAAAAFe/uZE=")</f>
        <v>#VALUE!</v>
      </c>
      <c r="EQ165" t="e">
        <f>AND('SPR BARRANQUILLA'!FA198,"AAAAAFe/uZI=")</f>
        <v>#VALUE!</v>
      </c>
      <c r="ER165" t="e">
        <f>AND('SPR BARRANQUILLA'!FB198,"AAAAAFe/uZM=")</f>
        <v>#VALUE!</v>
      </c>
      <c r="ES165" t="e">
        <f>AND('SPR BARRANQUILLA'!FC198,"AAAAAFe/uZQ=")</f>
        <v>#VALUE!</v>
      </c>
      <c r="ET165" t="e">
        <f>AND('SPR BARRANQUILLA'!FD198,"AAAAAFe/uZU=")</f>
        <v>#VALUE!</v>
      </c>
      <c r="EU165" t="e">
        <f>AND('SPR BARRANQUILLA'!FE198,"AAAAAFe/uZY=")</f>
        <v>#VALUE!</v>
      </c>
      <c r="EV165" t="e">
        <f>AND('SPR BARRANQUILLA'!FF198,"AAAAAFe/uZc=")</f>
        <v>#VALUE!</v>
      </c>
      <c r="EW165" t="e">
        <f>AND('SPR BARRANQUILLA'!FG198,"AAAAAFe/uZg=")</f>
        <v>#VALUE!</v>
      </c>
      <c r="EX165" t="e">
        <f>AND('SPR BARRANQUILLA'!FH198,"AAAAAFe/uZk=")</f>
        <v>#VALUE!</v>
      </c>
      <c r="EY165" t="e">
        <f>AND('SPR BARRANQUILLA'!FI198,"AAAAAFe/uZo=")</f>
        <v>#VALUE!</v>
      </c>
      <c r="EZ165" t="e">
        <f>AND('SPR BARRANQUILLA'!FJ198,"AAAAAFe/uZs=")</f>
        <v>#VALUE!</v>
      </c>
      <c r="FA165" t="e">
        <f>AND('SPR BARRANQUILLA'!FK198,"AAAAAFe/uZw=")</f>
        <v>#VALUE!</v>
      </c>
      <c r="FB165" t="e">
        <f>AND('SPR BARRANQUILLA'!FL198,"AAAAAFe/uZ0=")</f>
        <v>#VALUE!</v>
      </c>
      <c r="FC165" t="e">
        <f>AND('SPR BARRANQUILLA'!FM198,"AAAAAFe/uZ4=")</f>
        <v>#VALUE!</v>
      </c>
      <c r="FD165" t="e">
        <f>AND('SPR BARRANQUILLA'!FN198,"AAAAAFe/uZ8=")</f>
        <v>#VALUE!</v>
      </c>
      <c r="FE165" t="e">
        <f>AND('SPR BARRANQUILLA'!FO198,"AAAAAFe/uaA=")</f>
        <v>#VALUE!</v>
      </c>
      <c r="FF165" t="e">
        <f>AND('SPR BARRANQUILLA'!FP198,"AAAAAFe/uaE=")</f>
        <v>#VALUE!</v>
      </c>
      <c r="FG165" t="e">
        <f>AND('SPR BARRANQUILLA'!FQ198,"AAAAAFe/uaI=")</f>
        <v>#VALUE!</v>
      </c>
      <c r="FH165" t="e">
        <f>AND('SPR BARRANQUILLA'!FR198,"AAAAAFe/uaM=")</f>
        <v>#VALUE!</v>
      </c>
      <c r="FI165" t="e">
        <f>AND('SPR BARRANQUILLA'!FS198,"AAAAAFe/uaQ=")</f>
        <v>#VALUE!</v>
      </c>
      <c r="FJ165" t="e">
        <f>AND('SPR BARRANQUILLA'!FT198,"AAAAAFe/uaU=")</f>
        <v>#VALUE!</v>
      </c>
      <c r="FK165" t="e">
        <f>AND('SPR BARRANQUILLA'!FU198,"AAAAAFe/uaY=")</f>
        <v>#VALUE!</v>
      </c>
      <c r="FL165" t="e">
        <f>AND('SPR BARRANQUILLA'!FV198,"AAAAAFe/uac=")</f>
        <v>#VALUE!</v>
      </c>
      <c r="FM165" t="e">
        <f>AND('SPR BARRANQUILLA'!FW198,"AAAAAFe/uag=")</f>
        <v>#VALUE!</v>
      </c>
      <c r="FN165" t="e">
        <f>AND('SPR BARRANQUILLA'!FX198,"AAAAAFe/uak=")</f>
        <v>#VALUE!</v>
      </c>
      <c r="FO165" t="e">
        <f>AND('SPR BARRANQUILLA'!FY198,"AAAAAFe/uao=")</f>
        <v>#VALUE!</v>
      </c>
      <c r="FP165" t="e">
        <f>AND('SPR BARRANQUILLA'!FZ198,"AAAAAFe/uas=")</f>
        <v>#VALUE!</v>
      </c>
      <c r="FQ165" t="e">
        <f>AND('SPR BARRANQUILLA'!GA198,"AAAAAFe/uaw=")</f>
        <v>#VALUE!</v>
      </c>
      <c r="FR165" t="e">
        <f>AND('SPR BARRANQUILLA'!GB198,"AAAAAFe/ua0=")</f>
        <v>#VALUE!</v>
      </c>
      <c r="FS165" t="e">
        <f>AND('SPR BARRANQUILLA'!GC198,"AAAAAFe/ua4=")</f>
        <v>#VALUE!</v>
      </c>
      <c r="FT165" t="e">
        <f>AND('SPR BARRANQUILLA'!GD198,"AAAAAFe/ua8=")</f>
        <v>#VALUE!</v>
      </c>
      <c r="FU165" t="e">
        <f>AND('SPR BARRANQUILLA'!GE198,"AAAAAFe/ubA=")</f>
        <v>#VALUE!</v>
      </c>
      <c r="FV165" t="e">
        <f>AND('SPR BARRANQUILLA'!GF198,"AAAAAFe/ubE=")</f>
        <v>#VALUE!</v>
      </c>
      <c r="FW165" t="e">
        <f>AND('SPR BARRANQUILLA'!GG198,"AAAAAFe/ubI=")</f>
        <v>#VALUE!</v>
      </c>
      <c r="FX165" t="e">
        <f>AND('SPR BARRANQUILLA'!GH198,"AAAAAFe/ubM=")</f>
        <v>#VALUE!</v>
      </c>
      <c r="FY165" t="e">
        <f>AND('SPR BARRANQUILLA'!GI198,"AAAAAFe/ubQ=")</f>
        <v>#VALUE!</v>
      </c>
      <c r="FZ165" t="e">
        <f>AND('SPR BARRANQUILLA'!GJ198,"AAAAAFe/ubU=")</f>
        <v>#VALUE!</v>
      </c>
      <c r="GA165" t="e">
        <f>AND('SPR BARRANQUILLA'!GK198,"AAAAAFe/ubY=")</f>
        <v>#VALUE!</v>
      </c>
      <c r="GB165" t="e">
        <f>AND('SPR BARRANQUILLA'!GL198,"AAAAAFe/ubc=")</f>
        <v>#VALUE!</v>
      </c>
      <c r="GC165" t="e">
        <f>AND('SPR BARRANQUILLA'!GM198,"AAAAAFe/ubg=")</f>
        <v>#VALUE!</v>
      </c>
      <c r="GD165" t="e">
        <f>AND('SPR BARRANQUILLA'!GN198,"AAAAAFe/ubk=")</f>
        <v>#VALUE!</v>
      </c>
      <c r="GE165" t="e">
        <f>AND('SPR BARRANQUILLA'!GO198,"AAAAAFe/ubo=")</f>
        <v>#VALUE!</v>
      </c>
      <c r="GF165" t="e">
        <f>AND('SPR BARRANQUILLA'!GP198,"AAAAAFe/ubs=")</f>
        <v>#VALUE!</v>
      </c>
      <c r="GG165" t="e">
        <f>AND('SPR BARRANQUILLA'!GQ198,"AAAAAFe/ubw=")</f>
        <v>#VALUE!</v>
      </c>
      <c r="GH165" t="e">
        <f>AND('SPR BARRANQUILLA'!GR198,"AAAAAFe/ub0=")</f>
        <v>#VALUE!</v>
      </c>
      <c r="GI165" t="e">
        <f>AND('SPR BARRANQUILLA'!GS198,"AAAAAFe/ub4=")</f>
        <v>#VALUE!</v>
      </c>
      <c r="GJ165" t="e">
        <f>AND('SPR BARRANQUILLA'!GT198,"AAAAAFe/ub8=")</f>
        <v>#VALUE!</v>
      </c>
      <c r="GK165" t="e">
        <f>AND('SPR BARRANQUILLA'!GU198,"AAAAAFe/ucA=")</f>
        <v>#VALUE!</v>
      </c>
      <c r="GL165" t="e">
        <f>AND('SPR BARRANQUILLA'!GV198,"AAAAAFe/ucE=")</f>
        <v>#VALUE!</v>
      </c>
      <c r="GM165" t="e">
        <f>AND('SPR BARRANQUILLA'!GW198,"AAAAAFe/ucI=")</f>
        <v>#VALUE!</v>
      </c>
      <c r="GN165" t="e">
        <f>AND('SPR BARRANQUILLA'!GX198,"AAAAAFe/ucM=")</f>
        <v>#VALUE!</v>
      </c>
      <c r="GO165" t="e">
        <f>AND('SPR BARRANQUILLA'!GY198,"AAAAAFe/ucQ=")</f>
        <v>#VALUE!</v>
      </c>
      <c r="GP165">
        <f>IF('SPR BARRANQUILLA'!199:199,"AAAAAFe/ucU=",0)</f>
        <v>0</v>
      </c>
      <c r="GQ165" t="e">
        <f>AND('SPR BARRANQUILLA'!A199,"AAAAAFe/ucY=")</f>
        <v>#VALUE!</v>
      </c>
      <c r="GR165" t="e">
        <f>AND('SPR BARRANQUILLA'!B199,"AAAAAFe/ucc=")</f>
        <v>#VALUE!</v>
      </c>
      <c r="GS165" t="e">
        <f>AND('SPR BARRANQUILLA'!C199,"AAAAAFe/ucg=")</f>
        <v>#VALUE!</v>
      </c>
      <c r="GT165" t="e">
        <f>AND('SPR BARRANQUILLA'!D199,"AAAAAFe/uck=")</f>
        <v>#VALUE!</v>
      </c>
      <c r="GU165" t="e">
        <f>AND('SPR BARRANQUILLA'!E199,"AAAAAFe/uco=")</f>
        <v>#VALUE!</v>
      </c>
      <c r="GV165" t="e">
        <f>AND('SPR BARRANQUILLA'!F199,"AAAAAFe/ucs=")</f>
        <v>#VALUE!</v>
      </c>
      <c r="GW165" t="e">
        <f>AND('SPR BARRANQUILLA'!G199,"AAAAAFe/ucw=")</f>
        <v>#VALUE!</v>
      </c>
      <c r="GX165" t="e">
        <f>AND('SPR BARRANQUILLA'!H199,"AAAAAFe/uc0=")</f>
        <v>#VALUE!</v>
      </c>
      <c r="GY165" t="e">
        <f>AND('SPR BARRANQUILLA'!I199,"AAAAAFe/uc4=")</f>
        <v>#VALUE!</v>
      </c>
      <c r="GZ165" t="e">
        <f>AND('SPR BARRANQUILLA'!J199,"AAAAAFe/uc8=")</f>
        <v>#VALUE!</v>
      </c>
      <c r="HA165" t="e">
        <f>AND('SPR BARRANQUILLA'!K199,"AAAAAFe/udA=")</f>
        <v>#VALUE!</v>
      </c>
      <c r="HB165" t="e">
        <f>AND('SPR BARRANQUILLA'!L199,"AAAAAFe/udE=")</f>
        <v>#VALUE!</v>
      </c>
      <c r="HC165" t="e">
        <f>AND('SPR BARRANQUILLA'!M199,"AAAAAFe/udI=")</f>
        <v>#VALUE!</v>
      </c>
      <c r="HD165" t="e">
        <f>AND('SPR BARRANQUILLA'!N199,"AAAAAFe/udM=")</f>
        <v>#VALUE!</v>
      </c>
      <c r="HE165" t="e">
        <f>AND('SPR BARRANQUILLA'!O199,"AAAAAFe/udQ=")</f>
        <v>#VALUE!</v>
      </c>
      <c r="HF165" t="e">
        <f>AND('SPR BARRANQUILLA'!P199,"AAAAAFe/udU=")</f>
        <v>#VALUE!</v>
      </c>
      <c r="HG165" t="e">
        <f>AND('SPR BARRANQUILLA'!Q199,"AAAAAFe/udY=")</f>
        <v>#VALUE!</v>
      </c>
      <c r="HH165" t="e">
        <f>AND('SPR BARRANQUILLA'!R199,"AAAAAFe/udc=")</f>
        <v>#VALUE!</v>
      </c>
      <c r="HI165" t="e">
        <f>AND('SPR BARRANQUILLA'!S199,"AAAAAFe/udg=")</f>
        <v>#VALUE!</v>
      </c>
      <c r="HJ165" t="e">
        <f>AND('SPR BARRANQUILLA'!T199,"AAAAAFe/udk=")</f>
        <v>#VALUE!</v>
      </c>
      <c r="HK165" t="e">
        <f>AND('SPR BARRANQUILLA'!U199,"AAAAAFe/udo=")</f>
        <v>#VALUE!</v>
      </c>
      <c r="HL165" t="e">
        <f>AND('SPR BARRANQUILLA'!V199,"AAAAAFe/uds=")</f>
        <v>#VALUE!</v>
      </c>
      <c r="HM165" t="e">
        <f>AND('SPR BARRANQUILLA'!W199,"AAAAAFe/udw=")</f>
        <v>#VALUE!</v>
      </c>
      <c r="HN165" t="e">
        <f>AND('SPR BARRANQUILLA'!X199,"AAAAAFe/ud0=")</f>
        <v>#VALUE!</v>
      </c>
      <c r="HO165" t="e">
        <f>AND('SPR BARRANQUILLA'!Y199,"AAAAAFe/ud4=")</f>
        <v>#VALUE!</v>
      </c>
      <c r="HP165" t="e">
        <f>AND('SPR BARRANQUILLA'!Z199,"AAAAAFe/ud8=")</f>
        <v>#VALUE!</v>
      </c>
      <c r="HQ165" t="e">
        <f>AND('SPR BARRANQUILLA'!AA199,"AAAAAFe/ueA=")</f>
        <v>#VALUE!</v>
      </c>
      <c r="HR165" t="e">
        <f>AND('SPR BARRANQUILLA'!AB199,"AAAAAFe/ueE=")</f>
        <v>#VALUE!</v>
      </c>
      <c r="HS165" t="e">
        <f>AND('SPR BARRANQUILLA'!AC199,"AAAAAFe/ueI=")</f>
        <v>#VALUE!</v>
      </c>
      <c r="HT165" t="e">
        <f>AND('SPR BARRANQUILLA'!AD199,"AAAAAFe/ueM=")</f>
        <v>#VALUE!</v>
      </c>
      <c r="HU165" t="e">
        <f>AND('SPR BARRANQUILLA'!AE199,"AAAAAFe/ueQ=")</f>
        <v>#VALUE!</v>
      </c>
      <c r="HV165" t="e">
        <f>AND('SPR BARRANQUILLA'!AF199,"AAAAAFe/ueU=")</f>
        <v>#VALUE!</v>
      </c>
      <c r="HW165" t="e">
        <f>AND('SPR BARRANQUILLA'!AG199,"AAAAAFe/ueY=")</f>
        <v>#VALUE!</v>
      </c>
      <c r="HX165" t="e">
        <f>AND('SPR BARRANQUILLA'!AH199,"AAAAAFe/uec=")</f>
        <v>#VALUE!</v>
      </c>
      <c r="HY165" t="e">
        <f>AND('SPR BARRANQUILLA'!AI199,"AAAAAFe/ueg=")</f>
        <v>#VALUE!</v>
      </c>
      <c r="HZ165" t="e">
        <f>AND('SPR BARRANQUILLA'!AJ199,"AAAAAFe/uek=")</f>
        <v>#VALUE!</v>
      </c>
      <c r="IA165" t="e">
        <f>AND('SPR BARRANQUILLA'!AK199,"AAAAAFe/ueo=")</f>
        <v>#VALUE!</v>
      </c>
      <c r="IB165" t="e">
        <f>AND('SPR BARRANQUILLA'!AL199,"AAAAAFe/ues=")</f>
        <v>#VALUE!</v>
      </c>
      <c r="IC165" t="e">
        <f>AND('SPR BARRANQUILLA'!AM199,"AAAAAFe/uew=")</f>
        <v>#VALUE!</v>
      </c>
      <c r="ID165" t="e">
        <f>AND('SPR BARRANQUILLA'!AN199,"AAAAAFe/ue0=")</f>
        <v>#VALUE!</v>
      </c>
      <c r="IE165" t="e">
        <f>AND('SPR BARRANQUILLA'!AO199,"AAAAAFe/ue4=")</f>
        <v>#VALUE!</v>
      </c>
      <c r="IF165" t="e">
        <f>AND('SPR BARRANQUILLA'!AP199,"AAAAAFe/ue8=")</f>
        <v>#VALUE!</v>
      </c>
      <c r="IG165" t="e">
        <f>AND('SPR BARRANQUILLA'!AQ199,"AAAAAFe/ufA=")</f>
        <v>#VALUE!</v>
      </c>
      <c r="IH165" t="e">
        <f>AND('SPR BARRANQUILLA'!AR199,"AAAAAFe/ufE=")</f>
        <v>#VALUE!</v>
      </c>
      <c r="II165" t="e">
        <f>AND('SPR BARRANQUILLA'!AS199,"AAAAAFe/ufI=")</f>
        <v>#VALUE!</v>
      </c>
      <c r="IJ165" t="e">
        <f>AND('SPR BARRANQUILLA'!AT199,"AAAAAFe/ufM=")</f>
        <v>#VALUE!</v>
      </c>
      <c r="IK165" t="e">
        <f>AND('SPR BARRANQUILLA'!AU199,"AAAAAFe/ufQ=")</f>
        <v>#VALUE!</v>
      </c>
      <c r="IL165" t="e">
        <f>AND('SPR BARRANQUILLA'!AV199,"AAAAAFe/ufU=")</f>
        <v>#VALUE!</v>
      </c>
      <c r="IM165" t="e">
        <f>AND('SPR BARRANQUILLA'!AW199,"AAAAAFe/ufY=")</f>
        <v>#VALUE!</v>
      </c>
      <c r="IN165" t="e">
        <f>AND('SPR BARRANQUILLA'!AX199,"AAAAAFe/ufc=")</f>
        <v>#VALUE!</v>
      </c>
      <c r="IO165" t="e">
        <f>AND('SPR BARRANQUILLA'!AY199,"AAAAAFe/ufg=")</f>
        <v>#VALUE!</v>
      </c>
      <c r="IP165" t="e">
        <f>AND('SPR BARRANQUILLA'!AZ199,"AAAAAFe/ufk=")</f>
        <v>#VALUE!</v>
      </c>
      <c r="IQ165" t="e">
        <f>AND('SPR BARRANQUILLA'!BA199,"AAAAAFe/ufo=")</f>
        <v>#VALUE!</v>
      </c>
      <c r="IR165" t="e">
        <f>AND('SPR BARRANQUILLA'!BB199,"AAAAAFe/ufs=")</f>
        <v>#VALUE!</v>
      </c>
      <c r="IS165" t="e">
        <f>AND('SPR BARRANQUILLA'!BC199,"AAAAAFe/ufw=")</f>
        <v>#VALUE!</v>
      </c>
      <c r="IT165" t="e">
        <f>AND('SPR BARRANQUILLA'!BD199,"AAAAAFe/uf0=")</f>
        <v>#VALUE!</v>
      </c>
      <c r="IU165" t="e">
        <f>AND('SPR BARRANQUILLA'!BE199,"AAAAAFe/uf4=")</f>
        <v>#VALUE!</v>
      </c>
      <c r="IV165" t="e">
        <f>AND('SPR BARRANQUILLA'!BF199,"AAAAAFe/uf8=")</f>
        <v>#VALUE!</v>
      </c>
    </row>
    <row r="166" spans="1:256">
      <c r="A166" t="e">
        <f>AND('SPR BARRANQUILLA'!BG199,"AAAAAHv+dQA=")</f>
        <v>#VALUE!</v>
      </c>
      <c r="B166" t="e">
        <f>AND('SPR BARRANQUILLA'!BH199,"AAAAAHv+dQE=")</f>
        <v>#VALUE!</v>
      </c>
      <c r="C166" t="e">
        <f>AND('SPR BARRANQUILLA'!BI199,"AAAAAHv+dQI=")</f>
        <v>#VALUE!</v>
      </c>
      <c r="D166" t="e">
        <f>AND('SPR BARRANQUILLA'!BJ199,"AAAAAHv+dQM=")</f>
        <v>#VALUE!</v>
      </c>
      <c r="E166" t="e">
        <f>AND('SPR BARRANQUILLA'!BK199,"AAAAAHv+dQQ=")</f>
        <v>#VALUE!</v>
      </c>
      <c r="F166" t="e">
        <f>AND('SPR BARRANQUILLA'!BL199,"AAAAAHv+dQU=")</f>
        <v>#VALUE!</v>
      </c>
      <c r="G166" t="e">
        <f>AND('SPR BARRANQUILLA'!BM199,"AAAAAHv+dQY=")</f>
        <v>#VALUE!</v>
      </c>
      <c r="H166" t="e">
        <f>AND('SPR BARRANQUILLA'!BN199,"AAAAAHv+dQc=")</f>
        <v>#VALUE!</v>
      </c>
      <c r="I166" t="e">
        <f>AND('SPR BARRANQUILLA'!BO199,"AAAAAHv+dQg=")</f>
        <v>#VALUE!</v>
      </c>
      <c r="J166" t="e">
        <f>AND('SPR BARRANQUILLA'!BP199,"AAAAAHv+dQk=")</f>
        <v>#VALUE!</v>
      </c>
      <c r="K166" t="e">
        <f>AND('SPR BARRANQUILLA'!BQ199,"AAAAAHv+dQo=")</f>
        <v>#VALUE!</v>
      </c>
      <c r="L166" t="e">
        <f>AND('SPR BARRANQUILLA'!BR199,"AAAAAHv+dQs=")</f>
        <v>#VALUE!</v>
      </c>
      <c r="M166" t="e">
        <f>AND('SPR BARRANQUILLA'!BS199,"AAAAAHv+dQw=")</f>
        <v>#VALUE!</v>
      </c>
      <c r="N166" t="e">
        <f>AND('SPR BARRANQUILLA'!BT199,"AAAAAHv+dQ0=")</f>
        <v>#VALUE!</v>
      </c>
      <c r="O166" t="e">
        <f>AND('SPR BARRANQUILLA'!BU199,"AAAAAHv+dQ4=")</f>
        <v>#VALUE!</v>
      </c>
      <c r="P166" t="e">
        <f>AND('SPR BARRANQUILLA'!BV199,"AAAAAHv+dQ8=")</f>
        <v>#VALUE!</v>
      </c>
      <c r="Q166" t="e">
        <f>AND('SPR BARRANQUILLA'!BW199,"AAAAAHv+dRA=")</f>
        <v>#VALUE!</v>
      </c>
      <c r="R166" t="e">
        <f>AND('SPR BARRANQUILLA'!BX199,"AAAAAHv+dRE=")</f>
        <v>#VALUE!</v>
      </c>
      <c r="S166" t="e">
        <f>AND('SPR BARRANQUILLA'!BY199,"AAAAAHv+dRI=")</f>
        <v>#VALUE!</v>
      </c>
      <c r="T166" t="e">
        <f>AND('SPR BARRANQUILLA'!BZ199,"AAAAAHv+dRM=")</f>
        <v>#VALUE!</v>
      </c>
      <c r="U166" t="e">
        <f>AND('SPR BARRANQUILLA'!CA199,"AAAAAHv+dRQ=")</f>
        <v>#VALUE!</v>
      </c>
      <c r="V166" t="e">
        <f>AND('SPR BARRANQUILLA'!CB199,"AAAAAHv+dRU=")</f>
        <v>#VALUE!</v>
      </c>
      <c r="W166" t="e">
        <f>AND('SPR BARRANQUILLA'!CC199,"AAAAAHv+dRY=")</f>
        <v>#VALUE!</v>
      </c>
      <c r="X166" t="e">
        <f>AND('SPR BARRANQUILLA'!CD199,"AAAAAHv+dRc=")</f>
        <v>#VALUE!</v>
      </c>
      <c r="Y166" t="e">
        <f>AND('SPR BARRANQUILLA'!CE199,"AAAAAHv+dRg=")</f>
        <v>#VALUE!</v>
      </c>
      <c r="Z166" t="e">
        <f>AND('SPR BARRANQUILLA'!CF199,"AAAAAHv+dRk=")</f>
        <v>#VALUE!</v>
      </c>
      <c r="AA166" t="e">
        <f>AND('SPR BARRANQUILLA'!CG199,"AAAAAHv+dRo=")</f>
        <v>#VALUE!</v>
      </c>
      <c r="AB166" t="e">
        <f>AND('SPR BARRANQUILLA'!CH199,"AAAAAHv+dRs=")</f>
        <v>#VALUE!</v>
      </c>
      <c r="AC166" t="e">
        <f>AND('SPR BARRANQUILLA'!CI199,"AAAAAHv+dRw=")</f>
        <v>#VALUE!</v>
      </c>
      <c r="AD166" t="e">
        <f>AND('SPR BARRANQUILLA'!CJ199,"AAAAAHv+dR0=")</f>
        <v>#VALUE!</v>
      </c>
      <c r="AE166" t="e">
        <f>AND('SPR BARRANQUILLA'!CK199,"AAAAAHv+dR4=")</f>
        <v>#VALUE!</v>
      </c>
      <c r="AF166" t="e">
        <f>AND('SPR BARRANQUILLA'!CL199,"AAAAAHv+dR8=")</f>
        <v>#VALUE!</v>
      </c>
      <c r="AG166" t="e">
        <f>AND('SPR BARRANQUILLA'!CM199,"AAAAAHv+dSA=")</f>
        <v>#VALUE!</v>
      </c>
      <c r="AH166" t="e">
        <f>AND('SPR BARRANQUILLA'!CN199,"AAAAAHv+dSE=")</f>
        <v>#VALUE!</v>
      </c>
      <c r="AI166" t="e">
        <f>AND('SPR BARRANQUILLA'!CO199,"AAAAAHv+dSI=")</f>
        <v>#VALUE!</v>
      </c>
      <c r="AJ166" t="e">
        <f>AND('SPR BARRANQUILLA'!CP199,"AAAAAHv+dSM=")</f>
        <v>#VALUE!</v>
      </c>
      <c r="AK166" t="e">
        <f>AND('SPR BARRANQUILLA'!CQ199,"AAAAAHv+dSQ=")</f>
        <v>#VALUE!</v>
      </c>
      <c r="AL166" t="e">
        <f>AND('SPR BARRANQUILLA'!CR199,"AAAAAHv+dSU=")</f>
        <v>#VALUE!</v>
      </c>
      <c r="AM166" t="e">
        <f>AND('SPR BARRANQUILLA'!CS199,"AAAAAHv+dSY=")</f>
        <v>#VALUE!</v>
      </c>
      <c r="AN166" t="e">
        <f>AND('SPR BARRANQUILLA'!CT199,"AAAAAHv+dSc=")</f>
        <v>#VALUE!</v>
      </c>
      <c r="AO166" t="e">
        <f>AND('SPR BARRANQUILLA'!CU199,"AAAAAHv+dSg=")</f>
        <v>#VALUE!</v>
      </c>
      <c r="AP166" t="e">
        <f>AND('SPR BARRANQUILLA'!CV199,"AAAAAHv+dSk=")</f>
        <v>#VALUE!</v>
      </c>
      <c r="AQ166" t="e">
        <f>AND('SPR BARRANQUILLA'!CW199,"AAAAAHv+dSo=")</f>
        <v>#VALUE!</v>
      </c>
      <c r="AR166" t="e">
        <f>AND('SPR BARRANQUILLA'!CX199,"AAAAAHv+dSs=")</f>
        <v>#VALUE!</v>
      </c>
      <c r="AS166" t="e">
        <f>AND('SPR BARRANQUILLA'!CY199,"AAAAAHv+dSw=")</f>
        <v>#VALUE!</v>
      </c>
      <c r="AT166" t="e">
        <f>AND('SPR BARRANQUILLA'!CZ199,"AAAAAHv+dS0=")</f>
        <v>#VALUE!</v>
      </c>
      <c r="AU166" t="e">
        <f>AND('SPR BARRANQUILLA'!DA199,"AAAAAHv+dS4=")</f>
        <v>#VALUE!</v>
      </c>
      <c r="AV166" t="e">
        <f>AND('SPR BARRANQUILLA'!DB199,"AAAAAHv+dS8=")</f>
        <v>#VALUE!</v>
      </c>
      <c r="AW166" t="e">
        <f>AND('SPR BARRANQUILLA'!DC199,"AAAAAHv+dTA=")</f>
        <v>#VALUE!</v>
      </c>
      <c r="AX166" t="e">
        <f>AND('SPR BARRANQUILLA'!DD199,"AAAAAHv+dTE=")</f>
        <v>#VALUE!</v>
      </c>
      <c r="AY166" t="e">
        <f>AND('SPR BARRANQUILLA'!DE199,"AAAAAHv+dTI=")</f>
        <v>#VALUE!</v>
      </c>
      <c r="AZ166" t="e">
        <f>AND('SPR BARRANQUILLA'!DF199,"AAAAAHv+dTM=")</f>
        <v>#VALUE!</v>
      </c>
      <c r="BA166" t="e">
        <f>AND('SPR BARRANQUILLA'!DG199,"AAAAAHv+dTQ=")</f>
        <v>#VALUE!</v>
      </c>
      <c r="BB166" t="e">
        <f>AND('SPR BARRANQUILLA'!DH199,"AAAAAHv+dTU=")</f>
        <v>#VALUE!</v>
      </c>
      <c r="BC166" t="e">
        <f>AND('SPR BARRANQUILLA'!DI199,"AAAAAHv+dTY=")</f>
        <v>#VALUE!</v>
      </c>
      <c r="BD166" t="e">
        <f>AND('SPR BARRANQUILLA'!DJ199,"AAAAAHv+dTc=")</f>
        <v>#VALUE!</v>
      </c>
      <c r="BE166" t="e">
        <f>AND('SPR BARRANQUILLA'!DK199,"AAAAAHv+dTg=")</f>
        <v>#VALUE!</v>
      </c>
      <c r="BF166" t="e">
        <f>AND('SPR BARRANQUILLA'!DL199,"AAAAAHv+dTk=")</f>
        <v>#VALUE!</v>
      </c>
      <c r="BG166" t="e">
        <f>AND('SPR BARRANQUILLA'!DM199,"AAAAAHv+dTo=")</f>
        <v>#VALUE!</v>
      </c>
      <c r="BH166" t="e">
        <f>AND('SPR BARRANQUILLA'!DN199,"AAAAAHv+dTs=")</f>
        <v>#VALUE!</v>
      </c>
      <c r="BI166" t="e">
        <f>AND('SPR BARRANQUILLA'!DO199,"AAAAAHv+dTw=")</f>
        <v>#VALUE!</v>
      </c>
      <c r="BJ166" t="e">
        <f>AND('SPR BARRANQUILLA'!DP199,"AAAAAHv+dT0=")</f>
        <v>#VALUE!</v>
      </c>
      <c r="BK166" t="e">
        <f>AND('SPR BARRANQUILLA'!DQ199,"AAAAAHv+dT4=")</f>
        <v>#VALUE!</v>
      </c>
      <c r="BL166" t="e">
        <f>AND('SPR BARRANQUILLA'!DR199,"AAAAAHv+dT8=")</f>
        <v>#VALUE!</v>
      </c>
      <c r="BM166" t="e">
        <f>AND('SPR BARRANQUILLA'!DS199,"AAAAAHv+dUA=")</f>
        <v>#VALUE!</v>
      </c>
      <c r="BN166" t="e">
        <f>AND('SPR BARRANQUILLA'!DT199,"AAAAAHv+dUE=")</f>
        <v>#VALUE!</v>
      </c>
      <c r="BO166" t="e">
        <f>AND('SPR BARRANQUILLA'!DU199,"AAAAAHv+dUI=")</f>
        <v>#VALUE!</v>
      </c>
      <c r="BP166" t="e">
        <f>AND('SPR BARRANQUILLA'!DV199,"AAAAAHv+dUM=")</f>
        <v>#VALUE!</v>
      </c>
      <c r="BQ166" t="e">
        <f>AND('SPR BARRANQUILLA'!DW199,"AAAAAHv+dUQ=")</f>
        <v>#VALUE!</v>
      </c>
      <c r="BR166" t="e">
        <f>AND('SPR BARRANQUILLA'!DX199,"AAAAAHv+dUU=")</f>
        <v>#VALUE!</v>
      </c>
      <c r="BS166" t="e">
        <f>AND('SPR BARRANQUILLA'!DY199,"AAAAAHv+dUY=")</f>
        <v>#VALUE!</v>
      </c>
      <c r="BT166" t="e">
        <f>AND('SPR BARRANQUILLA'!DZ199,"AAAAAHv+dUc=")</f>
        <v>#VALUE!</v>
      </c>
      <c r="BU166" t="e">
        <f>AND('SPR BARRANQUILLA'!EA199,"AAAAAHv+dUg=")</f>
        <v>#VALUE!</v>
      </c>
      <c r="BV166" t="e">
        <f>AND('SPR BARRANQUILLA'!EB199,"AAAAAHv+dUk=")</f>
        <v>#VALUE!</v>
      </c>
      <c r="BW166" t="e">
        <f>AND('SPR BARRANQUILLA'!EC199,"AAAAAHv+dUo=")</f>
        <v>#VALUE!</v>
      </c>
      <c r="BX166" t="e">
        <f>AND('SPR BARRANQUILLA'!ED199,"AAAAAHv+dUs=")</f>
        <v>#VALUE!</v>
      </c>
      <c r="BY166" t="e">
        <f>AND('SPR BARRANQUILLA'!EE199,"AAAAAHv+dUw=")</f>
        <v>#VALUE!</v>
      </c>
      <c r="BZ166" t="e">
        <f>AND('SPR BARRANQUILLA'!EF199,"AAAAAHv+dU0=")</f>
        <v>#VALUE!</v>
      </c>
      <c r="CA166" t="e">
        <f>AND('SPR BARRANQUILLA'!EG199,"AAAAAHv+dU4=")</f>
        <v>#VALUE!</v>
      </c>
      <c r="CB166" t="e">
        <f>AND('SPR BARRANQUILLA'!EH199,"AAAAAHv+dU8=")</f>
        <v>#VALUE!</v>
      </c>
      <c r="CC166" t="e">
        <f>AND('SPR BARRANQUILLA'!EI199,"AAAAAHv+dVA=")</f>
        <v>#VALUE!</v>
      </c>
      <c r="CD166" t="e">
        <f>AND('SPR BARRANQUILLA'!EJ199,"AAAAAHv+dVE=")</f>
        <v>#VALUE!</v>
      </c>
      <c r="CE166" t="e">
        <f>AND('SPR BARRANQUILLA'!EK199,"AAAAAHv+dVI=")</f>
        <v>#VALUE!</v>
      </c>
      <c r="CF166" t="e">
        <f>AND('SPR BARRANQUILLA'!EL199,"AAAAAHv+dVM=")</f>
        <v>#VALUE!</v>
      </c>
      <c r="CG166" t="e">
        <f>AND('SPR BARRANQUILLA'!EM199,"AAAAAHv+dVQ=")</f>
        <v>#VALUE!</v>
      </c>
      <c r="CH166" t="e">
        <f>AND('SPR BARRANQUILLA'!EN199,"AAAAAHv+dVU=")</f>
        <v>#VALUE!</v>
      </c>
      <c r="CI166" t="e">
        <f>AND('SPR BARRANQUILLA'!EO199,"AAAAAHv+dVY=")</f>
        <v>#VALUE!</v>
      </c>
      <c r="CJ166" t="e">
        <f>AND('SPR BARRANQUILLA'!EP199,"AAAAAHv+dVc=")</f>
        <v>#VALUE!</v>
      </c>
      <c r="CK166" t="e">
        <f>AND('SPR BARRANQUILLA'!EQ199,"AAAAAHv+dVg=")</f>
        <v>#VALUE!</v>
      </c>
      <c r="CL166" t="e">
        <f>AND('SPR BARRANQUILLA'!ER199,"AAAAAHv+dVk=")</f>
        <v>#VALUE!</v>
      </c>
      <c r="CM166" t="e">
        <f>AND('SPR BARRANQUILLA'!ES199,"AAAAAHv+dVo=")</f>
        <v>#VALUE!</v>
      </c>
      <c r="CN166" t="e">
        <f>AND('SPR BARRANQUILLA'!ET199,"AAAAAHv+dVs=")</f>
        <v>#VALUE!</v>
      </c>
      <c r="CO166" t="e">
        <f>AND('SPR BARRANQUILLA'!EU199,"AAAAAHv+dVw=")</f>
        <v>#VALUE!</v>
      </c>
      <c r="CP166" t="e">
        <f>AND('SPR BARRANQUILLA'!EV199,"AAAAAHv+dV0=")</f>
        <v>#VALUE!</v>
      </c>
      <c r="CQ166" t="e">
        <f>AND('SPR BARRANQUILLA'!EW199,"AAAAAHv+dV4=")</f>
        <v>#VALUE!</v>
      </c>
      <c r="CR166" t="e">
        <f>AND('SPR BARRANQUILLA'!EX199,"AAAAAHv+dV8=")</f>
        <v>#VALUE!</v>
      </c>
      <c r="CS166" t="e">
        <f>AND('SPR BARRANQUILLA'!EY199,"AAAAAHv+dWA=")</f>
        <v>#VALUE!</v>
      </c>
      <c r="CT166" t="e">
        <f>AND('SPR BARRANQUILLA'!EZ199,"AAAAAHv+dWE=")</f>
        <v>#VALUE!</v>
      </c>
      <c r="CU166" t="e">
        <f>AND('SPR BARRANQUILLA'!FA199,"AAAAAHv+dWI=")</f>
        <v>#VALUE!</v>
      </c>
      <c r="CV166" t="e">
        <f>AND('SPR BARRANQUILLA'!FB199,"AAAAAHv+dWM=")</f>
        <v>#VALUE!</v>
      </c>
      <c r="CW166" t="e">
        <f>AND('SPR BARRANQUILLA'!FC199,"AAAAAHv+dWQ=")</f>
        <v>#VALUE!</v>
      </c>
      <c r="CX166" t="e">
        <f>AND('SPR BARRANQUILLA'!FD199,"AAAAAHv+dWU=")</f>
        <v>#VALUE!</v>
      </c>
      <c r="CY166" t="e">
        <f>AND('SPR BARRANQUILLA'!FE199,"AAAAAHv+dWY=")</f>
        <v>#VALUE!</v>
      </c>
      <c r="CZ166" t="e">
        <f>AND('SPR BARRANQUILLA'!FF199,"AAAAAHv+dWc=")</f>
        <v>#VALUE!</v>
      </c>
      <c r="DA166" t="e">
        <f>AND('SPR BARRANQUILLA'!FG199,"AAAAAHv+dWg=")</f>
        <v>#VALUE!</v>
      </c>
      <c r="DB166" t="e">
        <f>AND('SPR BARRANQUILLA'!FH199,"AAAAAHv+dWk=")</f>
        <v>#VALUE!</v>
      </c>
      <c r="DC166" t="e">
        <f>AND('SPR BARRANQUILLA'!FI199,"AAAAAHv+dWo=")</f>
        <v>#VALUE!</v>
      </c>
      <c r="DD166" t="e">
        <f>AND('SPR BARRANQUILLA'!FJ199,"AAAAAHv+dWs=")</f>
        <v>#VALUE!</v>
      </c>
      <c r="DE166" t="e">
        <f>AND('SPR BARRANQUILLA'!FK199,"AAAAAHv+dWw=")</f>
        <v>#VALUE!</v>
      </c>
      <c r="DF166" t="e">
        <f>AND('SPR BARRANQUILLA'!FL199,"AAAAAHv+dW0=")</f>
        <v>#VALUE!</v>
      </c>
      <c r="DG166" t="e">
        <f>AND('SPR BARRANQUILLA'!FM199,"AAAAAHv+dW4=")</f>
        <v>#VALUE!</v>
      </c>
      <c r="DH166" t="e">
        <f>AND('SPR BARRANQUILLA'!FN199,"AAAAAHv+dW8=")</f>
        <v>#VALUE!</v>
      </c>
      <c r="DI166" t="e">
        <f>AND('SPR BARRANQUILLA'!FO199,"AAAAAHv+dXA=")</f>
        <v>#VALUE!</v>
      </c>
      <c r="DJ166" t="e">
        <f>AND('SPR BARRANQUILLA'!FP199,"AAAAAHv+dXE=")</f>
        <v>#VALUE!</v>
      </c>
      <c r="DK166" t="e">
        <f>AND('SPR BARRANQUILLA'!FQ199,"AAAAAHv+dXI=")</f>
        <v>#VALUE!</v>
      </c>
      <c r="DL166" t="e">
        <f>AND('SPR BARRANQUILLA'!FR199,"AAAAAHv+dXM=")</f>
        <v>#VALUE!</v>
      </c>
      <c r="DM166" t="e">
        <f>AND('SPR BARRANQUILLA'!FS199,"AAAAAHv+dXQ=")</f>
        <v>#VALUE!</v>
      </c>
      <c r="DN166" t="e">
        <f>AND('SPR BARRANQUILLA'!FT199,"AAAAAHv+dXU=")</f>
        <v>#VALUE!</v>
      </c>
      <c r="DO166" t="e">
        <f>AND('SPR BARRANQUILLA'!FU199,"AAAAAHv+dXY=")</f>
        <v>#VALUE!</v>
      </c>
      <c r="DP166" t="e">
        <f>AND('SPR BARRANQUILLA'!FV199,"AAAAAHv+dXc=")</f>
        <v>#VALUE!</v>
      </c>
      <c r="DQ166" t="e">
        <f>AND('SPR BARRANQUILLA'!FW199,"AAAAAHv+dXg=")</f>
        <v>#VALUE!</v>
      </c>
      <c r="DR166" t="e">
        <f>AND('SPR BARRANQUILLA'!FX199,"AAAAAHv+dXk=")</f>
        <v>#VALUE!</v>
      </c>
      <c r="DS166" t="e">
        <f>AND('SPR BARRANQUILLA'!FY199,"AAAAAHv+dXo=")</f>
        <v>#VALUE!</v>
      </c>
      <c r="DT166" t="e">
        <f>AND('SPR BARRANQUILLA'!FZ199,"AAAAAHv+dXs=")</f>
        <v>#VALUE!</v>
      </c>
      <c r="DU166" t="e">
        <f>AND('SPR BARRANQUILLA'!GA199,"AAAAAHv+dXw=")</f>
        <v>#VALUE!</v>
      </c>
      <c r="DV166" t="e">
        <f>AND('SPR BARRANQUILLA'!GB199,"AAAAAHv+dX0=")</f>
        <v>#VALUE!</v>
      </c>
      <c r="DW166" t="e">
        <f>AND('SPR BARRANQUILLA'!GC199,"AAAAAHv+dX4=")</f>
        <v>#VALUE!</v>
      </c>
      <c r="DX166" t="e">
        <f>AND('SPR BARRANQUILLA'!GD199,"AAAAAHv+dX8=")</f>
        <v>#VALUE!</v>
      </c>
      <c r="DY166" t="e">
        <f>AND('SPR BARRANQUILLA'!GE199,"AAAAAHv+dYA=")</f>
        <v>#VALUE!</v>
      </c>
      <c r="DZ166" t="e">
        <f>AND('SPR BARRANQUILLA'!GF199,"AAAAAHv+dYE=")</f>
        <v>#VALUE!</v>
      </c>
      <c r="EA166" t="e">
        <f>AND('SPR BARRANQUILLA'!GG199,"AAAAAHv+dYI=")</f>
        <v>#VALUE!</v>
      </c>
      <c r="EB166" t="e">
        <f>AND('SPR BARRANQUILLA'!GH199,"AAAAAHv+dYM=")</f>
        <v>#VALUE!</v>
      </c>
      <c r="EC166" t="e">
        <f>AND('SPR BARRANQUILLA'!GI199,"AAAAAHv+dYQ=")</f>
        <v>#VALUE!</v>
      </c>
      <c r="ED166" t="e">
        <f>AND('SPR BARRANQUILLA'!GJ199,"AAAAAHv+dYU=")</f>
        <v>#VALUE!</v>
      </c>
      <c r="EE166" t="e">
        <f>AND('SPR BARRANQUILLA'!GK199,"AAAAAHv+dYY=")</f>
        <v>#VALUE!</v>
      </c>
      <c r="EF166" t="e">
        <f>AND('SPR BARRANQUILLA'!GL199,"AAAAAHv+dYc=")</f>
        <v>#VALUE!</v>
      </c>
      <c r="EG166" t="e">
        <f>AND('SPR BARRANQUILLA'!GM199,"AAAAAHv+dYg=")</f>
        <v>#VALUE!</v>
      </c>
      <c r="EH166" t="e">
        <f>AND('SPR BARRANQUILLA'!GN199,"AAAAAHv+dYk=")</f>
        <v>#VALUE!</v>
      </c>
      <c r="EI166" t="e">
        <f>AND('SPR BARRANQUILLA'!GO199,"AAAAAHv+dYo=")</f>
        <v>#VALUE!</v>
      </c>
      <c r="EJ166" t="e">
        <f>AND('SPR BARRANQUILLA'!GP199,"AAAAAHv+dYs=")</f>
        <v>#VALUE!</v>
      </c>
      <c r="EK166" t="e">
        <f>AND('SPR BARRANQUILLA'!GQ199,"AAAAAHv+dYw=")</f>
        <v>#VALUE!</v>
      </c>
      <c r="EL166" t="e">
        <f>AND('SPR BARRANQUILLA'!GR199,"AAAAAHv+dY0=")</f>
        <v>#VALUE!</v>
      </c>
      <c r="EM166" t="e">
        <f>AND('SPR BARRANQUILLA'!GS199,"AAAAAHv+dY4=")</f>
        <v>#VALUE!</v>
      </c>
      <c r="EN166" t="e">
        <f>AND('SPR BARRANQUILLA'!GT199,"AAAAAHv+dY8=")</f>
        <v>#VALUE!</v>
      </c>
      <c r="EO166" t="e">
        <f>AND('SPR BARRANQUILLA'!GU199,"AAAAAHv+dZA=")</f>
        <v>#VALUE!</v>
      </c>
      <c r="EP166" t="e">
        <f>AND('SPR BARRANQUILLA'!GV199,"AAAAAHv+dZE=")</f>
        <v>#VALUE!</v>
      </c>
      <c r="EQ166" t="e">
        <f>AND('SPR BARRANQUILLA'!GW199,"AAAAAHv+dZI=")</f>
        <v>#VALUE!</v>
      </c>
      <c r="ER166" t="e">
        <f>AND('SPR BARRANQUILLA'!GX199,"AAAAAHv+dZM=")</f>
        <v>#VALUE!</v>
      </c>
      <c r="ES166" t="e">
        <f>AND('SPR BARRANQUILLA'!GY199,"AAAAAHv+dZQ=")</f>
        <v>#VALUE!</v>
      </c>
      <c r="ET166">
        <f>IF('SPR BARRANQUILLA'!200:200,"AAAAAHv+dZU=",0)</f>
        <v>0</v>
      </c>
      <c r="EU166" t="e">
        <f>AND('SPR BARRANQUILLA'!A200,"AAAAAHv+dZY=")</f>
        <v>#VALUE!</v>
      </c>
      <c r="EV166" t="e">
        <f>AND('SPR BARRANQUILLA'!B200,"AAAAAHv+dZc=")</f>
        <v>#VALUE!</v>
      </c>
      <c r="EW166" t="e">
        <f>AND('SPR BARRANQUILLA'!C200,"AAAAAHv+dZg=")</f>
        <v>#VALUE!</v>
      </c>
      <c r="EX166" t="e">
        <f>AND('SPR BARRANQUILLA'!D200,"AAAAAHv+dZk=")</f>
        <v>#VALUE!</v>
      </c>
      <c r="EY166" t="e">
        <f>AND('SPR BARRANQUILLA'!E200,"AAAAAHv+dZo=")</f>
        <v>#VALUE!</v>
      </c>
      <c r="EZ166" t="e">
        <f>AND('SPR BARRANQUILLA'!F200,"AAAAAHv+dZs=")</f>
        <v>#VALUE!</v>
      </c>
      <c r="FA166" t="e">
        <f>AND('SPR BARRANQUILLA'!G200,"AAAAAHv+dZw=")</f>
        <v>#VALUE!</v>
      </c>
      <c r="FB166" t="e">
        <f>AND('SPR BARRANQUILLA'!H200,"AAAAAHv+dZ0=")</f>
        <v>#VALUE!</v>
      </c>
      <c r="FC166" t="e">
        <f>AND('SPR BARRANQUILLA'!I200,"AAAAAHv+dZ4=")</f>
        <v>#VALUE!</v>
      </c>
      <c r="FD166" t="e">
        <f>AND('SPR BARRANQUILLA'!J200,"AAAAAHv+dZ8=")</f>
        <v>#VALUE!</v>
      </c>
      <c r="FE166" t="e">
        <f>AND('SPR BARRANQUILLA'!K200,"AAAAAHv+daA=")</f>
        <v>#VALUE!</v>
      </c>
      <c r="FF166" t="e">
        <f>AND('SPR BARRANQUILLA'!L200,"AAAAAHv+daE=")</f>
        <v>#VALUE!</v>
      </c>
      <c r="FG166" t="e">
        <f>AND('SPR BARRANQUILLA'!M200,"AAAAAHv+daI=")</f>
        <v>#VALUE!</v>
      </c>
      <c r="FH166" t="e">
        <f>AND('SPR BARRANQUILLA'!N200,"AAAAAHv+daM=")</f>
        <v>#VALUE!</v>
      </c>
      <c r="FI166" t="e">
        <f>AND('SPR BARRANQUILLA'!O200,"AAAAAHv+daQ=")</f>
        <v>#VALUE!</v>
      </c>
      <c r="FJ166" t="e">
        <f>AND('SPR BARRANQUILLA'!P200,"AAAAAHv+daU=")</f>
        <v>#VALUE!</v>
      </c>
      <c r="FK166" t="e">
        <f>AND('SPR BARRANQUILLA'!Q200,"AAAAAHv+daY=")</f>
        <v>#VALUE!</v>
      </c>
      <c r="FL166" t="e">
        <f>AND('SPR BARRANQUILLA'!R200,"AAAAAHv+dac=")</f>
        <v>#VALUE!</v>
      </c>
      <c r="FM166" t="e">
        <f>AND('SPR BARRANQUILLA'!S200,"AAAAAHv+dag=")</f>
        <v>#VALUE!</v>
      </c>
      <c r="FN166" t="e">
        <f>AND('SPR BARRANQUILLA'!T200,"AAAAAHv+dak=")</f>
        <v>#VALUE!</v>
      </c>
      <c r="FO166" t="e">
        <f>AND('SPR BARRANQUILLA'!U200,"AAAAAHv+dao=")</f>
        <v>#VALUE!</v>
      </c>
      <c r="FP166" t="e">
        <f>AND('SPR BARRANQUILLA'!V200,"AAAAAHv+das=")</f>
        <v>#VALUE!</v>
      </c>
      <c r="FQ166" t="e">
        <f>AND('SPR BARRANQUILLA'!W200,"AAAAAHv+daw=")</f>
        <v>#VALUE!</v>
      </c>
      <c r="FR166" t="e">
        <f>AND('SPR BARRANQUILLA'!X200,"AAAAAHv+da0=")</f>
        <v>#VALUE!</v>
      </c>
      <c r="FS166" t="e">
        <f>AND('SPR BARRANQUILLA'!Y200,"AAAAAHv+da4=")</f>
        <v>#VALUE!</v>
      </c>
      <c r="FT166" t="e">
        <f>AND('SPR BARRANQUILLA'!Z200,"AAAAAHv+da8=")</f>
        <v>#VALUE!</v>
      </c>
      <c r="FU166" t="e">
        <f>AND('SPR BARRANQUILLA'!AA200,"AAAAAHv+dbA=")</f>
        <v>#VALUE!</v>
      </c>
      <c r="FV166" t="e">
        <f>AND('SPR BARRANQUILLA'!AB200,"AAAAAHv+dbE=")</f>
        <v>#VALUE!</v>
      </c>
      <c r="FW166" t="e">
        <f>AND('SPR BARRANQUILLA'!AC200,"AAAAAHv+dbI=")</f>
        <v>#VALUE!</v>
      </c>
      <c r="FX166" t="e">
        <f>AND('SPR BARRANQUILLA'!AD200,"AAAAAHv+dbM=")</f>
        <v>#VALUE!</v>
      </c>
      <c r="FY166" t="e">
        <f>AND('SPR BARRANQUILLA'!AE200,"AAAAAHv+dbQ=")</f>
        <v>#VALUE!</v>
      </c>
      <c r="FZ166" t="e">
        <f>AND('SPR BARRANQUILLA'!AF200,"AAAAAHv+dbU=")</f>
        <v>#VALUE!</v>
      </c>
      <c r="GA166" t="e">
        <f>AND('SPR BARRANQUILLA'!AG200,"AAAAAHv+dbY=")</f>
        <v>#VALUE!</v>
      </c>
      <c r="GB166" t="e">
        <f>AND('SPR BARRANQUILLA'!AH200,"AAAAAHv+dbc=")</f>
        <v>#VALUE!</v>
      </c>
      <c r="GC166" t="e">
        <f>AND('SPR BARRANQUILLA'!AI200,"AAAAAHv+dbg=")</f>
        <v>#VALUE!</v>
      </c>
      <c r="GD166" t="e">
        <f>AND('SPR BARRANQUILLA'!AJ200,"AAAAAHv+dbk=")</f>
        <v>#VALUE!</v>
      </c>
      <c r="GE166" t="e">
        <f>AND('SPR BARRANQUILLA'!AK200,"AAAAAHv+dbo=")</f>
        <v>#VALUE!</v>
      </c>
      <c r="GF166" t="e">
        <f>AND('SPR BARRANQUILLA'!AL200,"AAAAAHv+dbs=")</f>
        <v>#VALUE!</v>
      </c>
      <c r="GG166" t="e">
        <f>AND('SPR BARRANQUILLA'!AM200,"AAAAAHv+dbw=")</f>
        <v>#VALUE!</v>
      </c>
      <c r="GH166" t="e">
        <f>AND('SPR BARRANQUILLA'!AN200,"AAAAAHv+db0=")</f>
        <v>#VALUE!</v>
      </c>
      <c r="GI166" t="e">
        <f>AND('SPR BARRANQUILLA'!AO200,"AAAAAHv+db4=")</f>
        <v>#VALUE!</v>
      </c>
      <c r="GJ166" t="e">
        <f>AND('SPR BARRANQUILLA'!AP200,"AAAAAHv+db8=")</f>
        <v>#VALUE!</v>
      </c>
      <c r="GK166" t="e">
        <f>AND('SPR BARRANQUILLA'!AQ200,"AAAAAHv+dcA=")</f>
        <v>#VALUE!</v>
      </c>
      <c r="GL166" t="e">
        <f>AND('SPR BARRANQUILLA'!AR200,"AAAAAHv+dcE=")</f>
        <v>#VALUE!</v>
      </c>
      <c r="GM166" t="e">
        <f>AND('SPR BARRANQUILLA'!AS200,"AAAAAHv+dcI=")</f>
        <v>#VALUE!</v>
      </c>
      <c r="GN166" t="e">
        <f>AND('SPR BARRANQUILLA'!AT200,"AAAAAHv+dcM=")</f>
        <v>#VALUE!</v>
      </c>
      <c r="GO166" t="e">
        <f>AND('SPR BARRANQUILLA'!AU200,"AAAAAHv+dcQ=")</f>
        <v>#VALUE!</v>
      </c>
      <c r="GP166" t="e">
        <f>AND('SPR BARRANQUILLA'!AV200,"AAAAAHv+dcU=")</f>
        <v>#VALUE!</v>
      </c>
      <c r="GQ166" t="e">
        <f>AND('SPR BARRANQUILLA'!AW200,"AAAAAHv+dcY=")</f>
        <v>#VALUE!</v>
      </c>
      <c r="GR166" t="e">
        <f>AND('SPR BARRANQUILLA'!AX200,"AAAAAHv+dcc=")</f>
        <v>#VALUE!</v>
      </c>
      <c r="GS166" t="e">
        <f>AND('SPR BARRANQUILLA'!AY200,"AAAAAHv+dcg=")</f>
        <v>#VALUE!</v>
      </c>
      <c r="GT166" t="e">
        <f>AND('SPR BARRANQUILLA'!AZ200,"AAAAAHv+dck=")</f>
        <v>#VALUE!</v>
      </c>
      <c r="GU166" t="e">
        <f>AND('SPR BARRANQUILLA'!BA200,"AAAAAHv+dco=")</f>
        <v>#VALUE!</v>
      </c>
      <c r="GV166" t="e">
        <f>AND('SPR BARRANQUILLA'!BB200,"AAAAAHv+dcs=")</f>
        <v>#VALUE!</v>
      </c>
      <c r="GW166" t="e">
        <f>AND('SPR BARRANQUILLA'!BC200,"AAAAAHv+dcw=")</f>
        <v>#VALUE!</v>
      </c>
      <c r="GX166" t="e">
        <f>AND('SPR BARRANQUILLA'!BD200,"AAAAAHv+dc0=")</f>
        <v>#VALUE!</v>
      </c>
      <c r="GY166" t="e">
        <f>AND('SPR BARRANQUILLA'!BE200,"AAAAAHv+dc4=")</f>
        <v>#VALUE!</v>
      </c>
      <c r="GZ166" t="e">
        <f>AND('SPR BARRANQUILLA'!BF200,"AAAAAHv+dc8=")</f>
        <v>#VALUE!</v>
      </c>
      <c r="HA166" t="e">
        <f>AND('SPR BARRANQUILLA'!BG200,"AAAAAHv+ddA=")</f>
        <v>#VALUE!</v>
      </c>
      <c r="HB166" t="e">
        <f>AND('SPR BARRANQUILLA'!BH200,"AAAAAHv+ddE=")</f>
        <v>#VALUE!</v>
      </c>
      <c r="HC166" t="e">
        <f>AND('SPR BARRANQUILLA'!BI200,"AAAAAHv+ddI=")</f>
        <v>#VALUE!</v>
      </c>
      <c r="HD166" t="e">
        <f>AND('SPR BARRANQUILLA'!BJ200,"AAAAAHv+ddM=")</f>
        <v>#VALUE!</v>
      </c>
      <c r="HE166" t="e">
        <f>AND('SPR BARRANQUILLA'!BK200,"AAAAAHv+ddQ=")</f>
        <v>#VALUE!</v>
      </c>
      <c r="HF166" t="e">
        <f>AND('SPR BARRANQUILLA'!BL200,"AAAAAHv+ddU=")</f>
        <v>#VALUE!</v>
      </c>
      <c r="HG166" t="e">
        <f>AND('SPR BARRANQUILLA'!BM200,"AAAAAHv+ddY=")</f>
        <v>#VALUE!</v>
      </c>
      <c r="HH166" t="e">
        <f>AND('SPR BARRANQUILLA'!BN200,"AAAAAHv+ddc=")</f>
        <v>#VALUE!</v>
      </c>
      <c r="HI166" t="e">
        <f>AND('SPR BARRANQUILLA'!BO200,"AAAAAHv+ddg=")</f>
        <v>#VALUE!</v>
      </c>
      <c r="HJ166" t="e">
        <f>AND('SPR BARRANQUILLA'!BP200,"AAAAAHv+ddk=")</f>
        <v>#VALUE!</v>
      </c>
      <c r="HK166" t="e">
        <f>AND('SPR BARRANQUILLA'!BQ200,"AAAAAHv+ddo=")</f>
        <v>#VALUE!</v>
      </c>
      <c r="HL166" t="e">
        <f>AND('SPR BARRANQUILLA'!BR200,"AAAAAHv+dds=")</f>
        <v>#VALUE!</v>
      </c>
      <c r="HM166" t="e">
        <f>AND('SPR BARRANQUILLA'!BS200,"AAAAAHv+ddw=")</f>
        <v>#VALUE!</v>
      </c>
      <c r="HN166" t="e">
        <f>AND('SPR BARRANQUILLA'!BT200,"AAAAAHv+dd0=")</f>
        <v>#VALUE!</v>
      </c>
      <c r="HO166" t="e">
        <f>AND('SPR BARRANQUILLA'!BU200,"AAAAAHv+dd4=")</f>
        <v>#VALUE!</v>
      </c>
      <c r="HP166" t="e">
        <f>AND('SPR BARRANQUILLA'!BV200,"AAAAAHv+dd8=")</f>
        <v>#VALUE!</v>
      </c>
      <c r="HQ166" t="e">
        <f>AND('SPR BARRANQUILLA'!BW200,"AAAAAHv+deA=")</f>
        <v>#VALUE!</v>
      </c>
      <c r="HR166" t="e">
        <f>AND('SPR BARRANQUILLA'!BX200,"AAAAAHv+deE=")</f>
        <v>#VALUE!</v>
      </c>
      <c r="HS166" t="e">
        <f>AND('SPR BARRANQUILLA'!BY200,"AAAAAHv+deI=")</f>
        <v>#VALUE!</v>
      </c>
      <c r="HT166" t="e">
        <f>AND('SPR BARRANQUILLA'!BZ200,"AAAAAHv+deM=")</f>
        <v>#VALUE!</v>
      </c>
      <c r="HU166" t="e">
        <f>AND('SPR BARRANQUILLA'!CA200,"AAAAAHv+deQ=")</f>
        <v>#VALUE!</v>
      </c>
      <c r="HV166" t="e">
        <f>AND('SPR BARRANQUILLA'!CB200,"AAAAAHv+deU=")</f>
        <v>#VALUE!</v>
      </c>
      <c r="HW166" t="e">
        <f>AND('SPR BARRANQUILLA'!CC200,"AAAAAHv+deY=")</f>
        <v>#VALUE!</v>
      </c>
      <c r="HX166" t="e">
        <f>AND('SPR BARRANQUILLA'!CD200,"AAAAAHv+dec=")</f>
        <v>#VALUE!</v>
      </c>
      <c r="HY166" t="e">
        <f>AND('SPR BARRANQUILLA'!CE200,"AAAAAHv+deg=")</f>
        <v>#VALUE!</v>
      </c>
      <c r="HZ166" t="e">
        <f>AND('SPR BARRANQUILLA'!CF200,"AAAAAHv+dek=")</f>
        <v>#VALUE!</v>
      </c>
      <c r="IA166" t="e">
        <f>AND('SPR BARRANQUILLA'!CG200,"AAAAAHv+deo=")</f>
        <v>#VALUE!</v>
      </c>
      <c r="IB166" t="e">
        <f>AND('SPR BARRANQUILLA'!CH200,"AAAAAHv+des=")</f>
        <v>#VALUE!</v>
      </c>
      <c r="IC166" t="e">
        <f>AND('SPR BARRANQUILLA'!CI200,"AAAAAHv+dew=")</f>
        <v>#VALUE!</v>
      </c>
      <c r="ID166" t="e">
        <f>AND('SPR BARRANQUILLA'!CJ200,"AAAAAHv+de0=")</f>
        <v>#VALUE!</v>
      </c>
      <c r="IE166" t="e">
        <f>AND('SPR BARRANQUILLA'!CK200,"AAAAAHv+de4=")</f>
        <v>#VALUE!</v>
      </c>
      <c r="IF166" t="e">
        <f>AND('SPR BARRANQUILLA'!CL200,"AAAAAHv+de8=")</f>
        <v>#VALUE!</v>
      </c>
      <c r="IG166" t="e">
        <f>AND('SPR BARRANQUILLA'!CM200,"AAAAAHv+dfA=")</f>
        <v>#VALUE!</v>
      </c>
      <c r="IH166" t="e">
        <f>AND('SPR BARRANQUILLA'!CN200,"AAAAAHv+dfE=")</f>
        <v>#VALUE!</v>
      </c>
      <c r="II166" t="e">
        <f>AND('SPR BARRANQUILLA'!CO200,"AAAAAHv+dfI=")</f>
        <v>#VALUE!</v>
      </c>
      <c r="IJ166" t="e">
        <f>AND('SPR BARRANQUILLA'!CP200,"AAAAAHv+dfM=")</f>
        <v>#VALUE!</v>
      </c>
      <c r="IK166" t="e">
        <f>AND('SPR BARRANQUILLA'!CQ200,"AAAAAHv+dfQ=")</f>
        <v>#VALUE!</v>
      </c>
      <c r="IL166" t="e">
        <f>AND('SPR BARRANQUILLA'!CR200,"AAAAAHv+dfU=")</f>
        <v>#VALUE!</v>
      </c>
      <c r="IM166" t="e">
        <f>AND('SPR BARRANQUILLA'!CS200,"AAAAAHv+dfY=")</f>
        <v>#VALUE!</v>
      </c>
      <c r="IN166" t="e">
        <f>AND('SPR BARRANQUILLA'!CT200,"AAAAAHv+dfc=")</f>
        <v>#VALUE!</v>
      </c>
      <c r="IO166" t="e">
        <f>AND('SPR BARRANQUILLA'!CU200,"AAAAAHv+dfg=")</f>
        <v>#VALUE!</v>
      </c>
      <c r="IP166" t="e">
        <f>AND('SPR BARRANQUILLA'!CV200,"AAAAAHv+dfk=")</f>
        <v>#VALUE!</v>
      </c>
      <c r="IQ166" t="e">
        <f>AND('SPR BARRANQUILLA'!CW200,"AAAAAHv+dfo=")</f>
        <v>#VALUE!</v>
      </c>
      <c r="IR166" t="e">
        <f>AND('SPR BARRANQUILLA'!CX200,"AAAAAHv+dfs=")</f>
        <v>#VALUE!</v>
      </c>
      <c r="IS166" t="e">
        <f>AND('SPR BARRANQUILLA'!CY200,"AAAAAHv+dfw=")</f>
        <v>#VALUE!</v>
      </c>
      <c r="IT166" t="e">
        <f>AND('SPR BARRANQUILLA'!CZ200,"AAAAAHv+df0=")</f>
        <v>#VALUE!</v>
      </c>
      <c r="IU166" t="e">
        <f>AND('SPR BARRANQUILLA'!DA200,"AAAAAHv+df4=")</f>
        <v>#VALUE!</v>
      </c>
      <c r="IV166" t="e">
        <f>AND('SPR BARRANQUILLA'!DB200,"AAAAAHv+df8=")</f>
        <v>#VALUE!</v>
      </c>
    </row>
    <row r="167" spans="1:256">
      <c r="A167" t="e">
        <f>AND('SPR BARRANQUILLA'!DC200,"AAAAAHH7LwA=")</f>
        <v>#VALUE!</v>
      </c>
      <c r="B167" t="e">
        <f>AND('SPR BARRANQUILLA'!DD200,"AAAAAHH7LwE=")</f>
        <v>#VALUE!</v>
      </c>
      <c r="C167" t="e">
        <f>AND('SPR BARRANQUILLA'!DE200,"AAAAAHH7LwI=")</f>
        <v>#VALUE!</v>
      </c>
      <c r="D167" t="e">
        <f>AND('SPR BARRANQUILLA'!DF200,"AAAAAHH7LwM=")</f>
        <v>#VALUE!</v>
      </c>
      <c r="E167" t="e">
        <f>AND('SPR BARRANQUILLA'!DG200,"AAAAAHH7LwQ=")</f>
        <v>#VALUE!</v>
      </c>
      <c r="F167" t="e">
        <f>AND('SPR BARRANQUILLA'!DH200,"AAAAAHH7LwU=")</f>
        <v>#VALUE!</v>
      </c>
      <c r="G167" t="e">
        <f>AND('SPR BARRANQUILLA'!DI200,"AAAAAHH7LwY=")</f>
        <v>#VALUE!</v>
      </c>
      <c r="H167" t="e">
        <f>AND('SPR BARRANQUILLA'!DJ200,"AAAAAHH7Lwc=")</f>
        <v>#VALUE!</v>
      </c>
      <c r="I167" t="e">
        <f>AND('SPR BARRANQUILLA'!DK200,"AAAAAHH7Lwg=")</f>
        <v>#VALUE!</v>
      </c>
      <c r="J167" t="e">
        <f>AND('SPR BARRANQUILLA'!DL200,"AAAAAHH7Lwk=")</f>
        <v>#VALUE!</v>
      </c>
      <c r="K167" t="e">
        <f>AND('SPR BARRANQUILLA'!DM200,"AAAAAHH7Lwo=")</f>
        <v>#VALUE!</v>
      </c>
      <c r="L167" t="e">
        <f>AND('SPR BARRANQUILLA'!DN200,"AAAAAHH7Lws=")</f>
        <v>#VALUE!</v>
      </c>
      <c r="M167" t="e">
        <f>AND('SPR BARRANQUILLA'!DO200,"AAAAAHH7Lww=")</f>
        <v>#VALUE!</v>
      </c>
      <c r="N167" t="e">
        <f>AND('SPR BARRANQUILLA'!DP200,"AAAAAHH7Lw0=")</f>
        <v>#VALUE!</v>
      </c>
      <c r="O167" t="e">
        <f>AND('SPR BARRANQUILLA'!DQ200,"AAAAAHH7Lw4=")</f>
        <v>#VALUE!</v>
      </c>
      <c r="P167" t="e">
        <f>AND('SPR BARRANQUILLA'!DR200,"AAAAAHH7Lw8=")</f>
        <v>#VALUE!</v>
      </c>
      <c r="Q167" t="e">
        <f>AND('SPR BARRANQUILLA'!DS200,"AAAAAHH7LxA=")</f>
        <v>#VALUE!</v>
      </c>
      <c r="R167" t="e">
        <f>AND('SPR BARRANQUILLA'!DT200,"AAAAAHH7LxE=")</f>
        <v>#VALUE!</v>
      </c>
      <c r="S167" t="e">
        <f>AND('SPR BARRANQUILLA'!DU200,"AAAAAHH7LxI=")</f>
        <v>#VALUE!</v>
      </c>
      <c r="T167" t="e">
        <f>AND('SPR BARRANQUILLA'!DV200,"AAAAAHH7LxM=")</f>
        <v>#VALUE!</v>
      </c>
      <c r="U167" t="e">
        <f>AND('SPR BARRANQUILLA'!DW200,"AAAAAHH7LxQ=")</f>
        <v>#VALUE!</v>
      </c>
      <c r="V167" t="e">
        <f>AND('SPR BARRANQUILLA'!DX200,"AAAAAHH7LxU=")</f>
        <v>#VALUE!</v>
      </c>
      <c r="W167" t="e">
        <f>AND('SPR BARRANQUILLA'!DY200,"AAAAAHH7LxY=")</f>
        <v>#VALUE!</v>
      </c>
      <c r="X167" t="e">
        <f>AND('SPR BARRANQUILLA'!DZ200,"AAAAAHH7Lxc=")</f>
        <v>#VALUE!</v>
      </c>
      <c r="Y167" t="e">
        <f>AND('SPR BARRANQUILLA'!EA200,"AAAAAHH7Lxg=")</f>
        <v>#VALUE!</v>
      </c>
      <c r="Z167" t="e">
        <f>AND('SPR BARRANQUILLA'!EB200,"AAAAAHH7Lxk=")</f>
        <v>#VALUE!</v>
      </c>
      <c r="AA167" t="e">
        <f>AND('SPR BARRANQUILLA'!EC200,"AAAAAHH7Lxo=")</f>
        <v>#VALUE!</v>
      </c>
      <c r="AB167" t="e">
        <f>AND('SPR BARRANQUILLA'!ED200,"AAAAAHH7Lxs=")</f>
        <v>#VALUE!</v>
      </c>
      <c r="AC167" t="e">
        <f>AND('SPR BARRANQUILLA'!EE200,"AAAAAHH7Lxw=")</f>
        <v>#VALUE!</v>
      </c>
      <c r="AD167" t="e">
        <f>AND('SPR BARRANQUILLA'!EF200,"AAAAAHH7Lx0=")</f>
        <v>#VALUE!</v>
      </c>
      <c r="AE167" t="e">
        <f>AND('SPR BARRANQUILLA'!EG200,"AAAAAHH7Lx4=")</f>
        <v>#VALUE!</v>
      </c>
      <c r="AF167" t="e">
        <f>AND('SPR BARRANQUILLA'!EH200,"AAAAAHH7Lx8=")</f>
        <v>#VALUE!</v>
      </c>
      <c r="AG167" t="e">
        <f>AND('SPR BARRANQUILLA'!EI200,"AAAAAHH7LyA=")</f>
        <v>#VALUE!</v>
      </c>
      <c r="AH167" t="e">
        <f>AND('SPR BARRANQUILLA'!EJ200,"AAAAAHH7LyE=")</f>
        <v>#VALUE!</v>
      </c>
      <c r="AI167" t="e">
        <f>AND('SPR BARRANQUILLA'!EK200,"AAAAAHH7LyI=")</f>
        <v>#VALUE!</v>
      </c>
      <c r="AJ167" t="e">
        <f>AND('SPR BARRANQUILLA'!EL200,"AAAAAHH7LyM=")</f>
        <v>#VALUE!</v>
      </c>
      <c r="AK167" t="e">
        <f>AND('SPR BARRANQUILLA'!EM200,"AAAAAHH7LyQ=")</f>
        <v>#VALUE!</v>
      </c>
      <c r="AL167" t="e">
        <f>AND('SPR BARRANQUILLA'!EN200,"AAAAAHH7LyU=")</f>
        <v>#VALUE!</v>
      </c>
      <c r="AM167" t="e">
        <f>AND('SPR BARRANQUILLA'!EO200,"AAAAAHH7LyY=")</f>
        <v>#VALUE!</v>
      </c>
      <c r="AN167" t="e">
        <f>AND('SPR BARRANQUILLA'!EP200,"AAAAAHH7Lyc=")</f>
        <v>#VALUE!</v>
      </c>
      <c r="AO167" t="e">
        <f>AND('SPR BARRANQUILLA'!EQ200,"AAAAAHH7Lyg=")</f>
        <v>#VALUE!</v>
      </c>
      <c r="AP167" t="e">
        <f>AND('SPR BARRANQUILLA'!ER200,"AAAAAHH7Lyk=")</f>
        <v>#VALUE!</v>
      </c>
      <c r="AQ167" t="e">
        <f>AND('SPR BARRANQUILLA'!ES200,"AAAAAHH7Lyo=")</f>
        <v>#VALUE!</v>
      </c>
      <c r="AR167" t="e">
        <f>AND('SPR BARRANQUILLA'!ET200,"AAAAAHH7Lys=")</f>
        <v>#VALUE!</v>
      </c>
      <c r="AS167" t="e">
        <f>AND('SPR BARRANQUILLA'!EU200,"AAAAAHH7Lyw=")</f>
        <v>#VALUE!</v>
      </c>
      <c r="AT167" t="e">
        <f>AND('SPR BARRANQUILLA'!EV200,"AAAAAHH7Ly0=")</f>
        <v>#VALUE!</v>
      </c>
      <c r="AU167" t="e">
        <f>AND('SPR BARRANQUILLA'!EW200,"AAAAAHH7Ly4=")</f>
        <v>#VALUE!</v>
      </c>
      <c r="AV167" t="e">
        <f>AND('SPR BARRANQUILLA'!EX200,"AAAAAHH7Ly8=")</f>
        <v>#VALUE!</v>
      </c>
      <c r="AW167" t="e">
        <f>AND('SPR BARRANQUILLA'!EY200,"AAAAAHH7LzA=")</f>
        <v>#VALUE!</v>
      </c>
      <c r="AX167" t="e">
        <f>AND('SPR BARRANQUILLA'!EZ200,"AAAAAHH7LzE=")</f>
        <v>#VALUE!</v>
      </c>
      <c r="AY167" t="e">
        <f>AND('SPR BARRANQUILLA'!FA200,"AAAAAHH7LzI=")</f>
        <v>#VALUE!</v>
      </c>
      <c r="AZ167" t="e">
        <f>AND('SPR BARRANQUILLA'!FB200,"AAAAAHH7LzM=")</f>
        <v>#VALUE!</v>
      </c>
      <c r="BA167" t="e">
        <f>AND('SPR BARRANQUILLA'!FC200,"AAAAAHH7LzQ=")</f>
        <v>#VALUE!</v>
      </c>
      <c r="BB167" t="e">
        <f>AND('SPR BARRANQUILLA'!FD200,"AAAAAHH7LzU=")</f>
        <v>#VALUE!</v>
      </c>
      <c r="BC167" t="e">
        <f>AND('SPR BARRANQUILLA'!FE200,"AAAAAHH7LzY=")</f>
        <v>#VALUE!</v>
      </c>
      <c r="BD167" t="e">
        <f>AND('SPR BARRANQUILLA'!FF200,"AAAAAHH7Lzc=")</f>
        <v>#VALUE!</v>
      </c>
      <c r="BE167" t="e">
        <f>AND('SPR BARRANQUILLA'!FG200,"AAAAAHH7Lzg=")</f>
        <v>#VALUE!</v>
      </c>
      <c r="BF167" t="e">
        <f>AND('SPR BARRANQUILLA'!FH200,"AAAAAHH7Lzk=")</f>
        <v>#VALUE!</v>
      </c>
      <c r="BG167" t="e">
        <f>AND('SPR BARRANQUILLA'!FI200,"AAAAAHH7Lzo=")</f>
        <v>#VALUE!</v>
      </c>
      <c r="BH167" t="e">
        <f>AND('SPR BARRANQUILLA'!FJ200,"AAAAAHH7Lzs=")</f>
        <v>#VALUE!</v>
      </c>
      <c r="BI167" t="e">
        <f>AND('SPR BARRANQUILLA'!FK200,"AAAAAHH7Lzw=")</f>
        <v>#VALUE!</v>
      </c>
      <c r="BJ167" t="e">
        <f>AND('SPR BARRANQUILLA'!FL200,"AAAAAHH7Lz0=")</f>
        <v>#VALUE!</v>
      </c>
      <c r="BK167" t="e">
        <f>AND('SPR BARRANQUILLA'!FM200,"AAAAAHH7Lz4=")</f>
        <v>#VALUE!</v>
      </c>
      <c r="BL167" t="e">
        <f>AND('SPR BARRANQUILLA'!FN200,"AAAAAHH7Lz8=")</f>
        <v>#VALUE!</v>
      </c>
      <c r="BM167" t="e">
        <f>AND('SPR BARRANQUILLA'!FO200,"AAAAAHH7L0A=")</f>
        <v>#VALUE!</v>
      </c>
      <c r="BN167" t="e">
        <f>AND('SPR BARRANQUILLA'!FP200,"AAAAAHH7L0E=")</f>
        <v>#VALUE!</v>
      </c>
      <c r="BO167" t="e">
        <f>AND('SPR BARRANQUILLA'!FQ200,"AAAAAHH7L0I=")</f>
        <v>#VALUE!</v>
      </c>
      <c r="BP167" t="e">
        <f>AND('SPR BARRANQUILLA'!FR200,"AAAAAHH7L0M=")</f>
        <v>#VALUE!</v>
      </c>
      <c r="BQ167" t="e">
        <f>AND('SPR BARRANQUILLA'!FS200,"AAAAAHH7L0Q=")</f>
        <v>#VALUE!</v>
      </c>
      <c r="BR167" t="e">
        <f>AND('SPR BARRANQUILLA'!FT200,"AAAAAHH7L0U=")</f>
        <v>#VALUE!</v>
      </c>
      <c r="BS167" t="e">
        <f>AND('SPR BARRANQUILLA'!FU200,"AAAAAHH7L0Y=")</f>
        <v>#VALUE!</v>
      </c>
      <c r="BT167" t="e">
        <f>AND('SPR BARRANQUILLA'!FV200,"AAAAAHH7L0c=")</f>
        <v>#VALUE!</v>
      </c>
      <c r="BU167" t="e">
        <f>AND('SPR BARRANQUILLA'!FW200,"AAAAAHH7L0g=")</f>
        <v>#VALUE!</v>
      </c>
      <c r="BV167" t="e">
        <f>AND('SPR BARRANQUILLA'!FX200,"AAAAAHH7L0k=")</f>
        <v>#VALUE!</v>
      </c>
      <c r="BW167" t="e">
        <f>AND('SPR BARRANQUILLA'!FY200,"AAAAAHH7L0o=")</f>
        <v>#VALUE!</v>
      </c>
      <c r="BX167" t="e">
        <f>AND('SPR BARRANQUILLA'!FZ200,"AAAAAHH7L0s=")</f>
        <v>#VALUE!</v>
      </c>
      <c r="BY167" t="e">
        <f>AND('SPR BARRANQUILLA'!GA200,"AAAAAHH7L0w=")</f>
        <v>#VALUE!</v>
      </c>
      <c r="BZ167" t="e">
        <f>AND('SPR BARRANQUILLA'!GB200,"AAAAAHH7L00=")</f>
        <v>#VALUE!</v>
      </c>
      <c r="CA167" t="e">
        <f>AND('SPR BARRANQUILLA'!GC200,"AAAAAHH7L04=")</f>
        <v>#VALUE!</v>
      </c>
      <c r="CB167" t="e">
        <f>AND('SPR BARRANQUILLA'!GD200,"AAAAAHH7L08=")</f>
        <v>#VALUE!</v>
      </c>
      <c r="CC167" t="e">
        <f>AND('SPR BARRANQUILLA'!GE200,"AAAAAHH7L1A=")</f>
        <v>#VALUE!</v>
      </c>
      <c r="CD167" t="e">
        <f>AND('SPR BARRANQUILLA'!GF200,"AAAAAHH7L1E=")</f>
        <v>#VALUE!</v>
      </c>
      <c r="CE167" t="e">
        <f>AND('SPR BARRANQUILLA'!GG200,"AAAAAHH7L1I=")</f>
        <v>#VALUE!</v>
      </c>
      <c r="CF167" t="e">
        <f>AND('SPR BARRANQUILLA'!GH200,"AAAAAHH7L1M=")</f>
        <v>#VALUE!</v>
      </c>
      <c r="CG167" t="e">
        <f>AND('SPR BARRANQUILLA'!GI200,"AAAAAHH7L1Q=")</f>
        <v>#VALUE!</v>
      </c>
      <c r="CH167" t="e">
        <f>AND('SPR BARRANQUILLA'!GJ200,"AAAAAHH7L1U=")</f>
        <v>#VALUE!</v>
      </c>
      <c r="CI167" t="e">
        <f>AND('SPR BARRANQUILLA'!GK200,"AAAAAHH7L1Y=")</f>
        <v>#VALUE!</v>
      </c>
      <c r="CJ167" t="e">
        <f>AND('SPR BARRANQUILLA'!GL200,"AAAAAHH7L1c=")</f>
        <v>#VALUE!</v>
      </c>
      <c r="CK167" t="e">
        <f>AND('SPR BARRANQUILLA'!GM200,"AAAAAHH7L1g=")</f>
        <v>#VALUE!</v>
      </c>
      <c r="CL167" t="e">
        <f>AND('SPR BARRANQUILLA'!GN200,"AAAAAHH7L1k=")</f>
        <v>#VALUE!</v>
      </c>
      <c r="CM167" t="e">
        <f>AND('SPR BARRANQUILLA'!GO200,"AAAAAHH7L1o=")</f>
        <v>#VALUE!</v>
      </c>
      <c r="CN167" t="e">
        <f>AND('SPR BARRANQUILLA'!GP200,"AAAAAHH7L1s=")</f>
        <v>#VALUE!</v>
      </c>
      <c r="CO167" t="e">
        <f>AND('SPR BARRANQUILLA'!GQ200,"AAAAAHH7L1w=")</f>
        <v>#VALUE!</v>
      </c>
      <c r="CP167" t="e">
        <f>AND('SPR BARRANQUILLA'!GR200,"AAAAAHH7L10=")</f>
        <v>#VALUE!</v>
      </c>
      <c r="CQ167" t="e">
        <f>AND('SPR BARRANQUILLA'!GS200,"AAAAAHH7L14=")</f>
        <v>#VALUE!</v>
      </c>
      <c r="CR167" t="e">
        <f>AND('SPR BARRANQUILLA'!GT200,"AAAAAHH7L18=")</f>
        <v>#VALUE!</v>
      </c>
      <c r="CS167" t="e">
        <f>AND('SPR BARRANQUILLA'!GU200,"AAAAAHH7L2A=")</f>
        <v>#VALUE!</v>
      </c>
      <c r="CT167" t="e">
        <f>AND('SPR BARRANQUILLA'!GV200,"AAAAAHH7L2E=")</f>
        <v>#VALUE!</v>
      </c>
      <c r="CU167" t="e">
        <f>AND('SPR BARRANQUILLA'!GW200,"AAAAAHH7L2I=")</f>
        <v>#VALUE!</v>
      </c>
      <c r="CV167" t="e">
        <f>AND('SPR BARRANQUILLA'!GX200,"AAAAAHH7L2M=")</f>
        <v>#VALUE!</v>
      </c>
      <c r="CW167" t="e">
        <f>AND('SPR BARRANQUILLA'!GY200,"AAAAAHH7L2Q=")</f>
        <v>#VALUE!</v>
      </c>
      <c r="CX167">
        <f>IF('SPR BARRANQUILLA'!201:201,"AAAAAHH7L2U=",0)</f>
        <v>0</v>
      </c>
      <c r="CY167" t="e">
        <f>AND('SPR BARRANQUILLA'!A201,"AAAAAHH7L2Y=")</f>
        <v>#VALUE!</v>
      </c>
      <c r="CZ167">
        <f>IF('SPR BARRANQUILLA'!A:A,"AAAAAHH7L2c=",0)</f>
        <v>0</v>
      </c>
      <c r="DA167">
        <f>IF('SPR BARRANQUILLA'!B:B,"AAAAAHH7L2g=",0)</f>
        <v>0</v>
      </c>
      <c r="DB167">
        <f>IF('SPR BARRANQUILLA'!C:C,"AAAAAHH7L2k=",0)</f>
        <v>0</v>
      </c>
      <c r="DC167">
        <f>IF('SPR BARRANQUILLA'!D:D,"AAAAAHH7L2o=",0)</f>
        <v>0</v>
      </c>
      <c r="DD167">
        <f>IF('SPR BARRANQUILLA'!E:E,"AAAAAHH7L2s=",0)</f>
        <v>0</v>
      </c>
      <c r="DE167">
        <f>IF('SPR BARRANQUILLA'!F:F,"AAAAAHH7L2w=",0)</f>
        <v>0</v>
      </c>
      <c r="DF167">
        <f>IF('SPR BARRANQUILLA'!G:G,"AAAAAHH7L20=",0)</f>
        <v>0</v>
      </c>
      <c r="DG167">
        <f>IF('SPR BARRANQUILLA'!H:H,"AAAAAHH7L24=",0)</f>
        <v>0</v>
      </c>
      <c r="DH167">
        <f>IF('SPR BARRANQUILLA'!I:I,"AAAAAHH7L28=",0)</f>
        <v>0</v>
      </c>
      <c r="DI167">
        <f>IF('SPR BARRANQUILLA'!J:J,"AAAAAHH7L3A=",0)</f>
        <v>0</v>
      </c>
      <c r="DJ167">
        <f>IF('SPR BARRANQUILLA'!K:K,"AAAAAHH7L3E=",0)</f>
        <v>0</v>
      </c>
      <c r="DK167">
        <f>IF('SPR BARRANQUILLA'!L:L,"AAAAAHH7L3I=",0)</f>
        <v>0</v>
      </c>
      <c r="DL167">
        <f>IF('SPR BARRANQUILLA'!M:M,"AAAAAHH7L3M=",0)</f>
        <v>0</v>
      </c>
      <c r="DM167">
        <f>IF('SPR BARRANQUILLA'!N:N,"AAAAAHH7L3Q=",0)</f>
        <v>0</v>
      </c>
      <c r="DN167">
        <f>IF('SPR BARRANQUILLA'!O:O,"AAAAAHH7L3U=",0)</f>
        <v>0</v>
      </c>
      <c r="DO167">
        <f>IF('SPR BARRANQUILLA'!P:P,"AAAAAHH7L3Y=",0)</f>
        <v>0</v>
      </c>
      <c r="DP167">
        <f>IF('SPR BARRANQUILLA'!Q:Q,"AAAAAHH7L3c=",0)</f>
        <v>0</v>
      </c>
      <c r="DQ167">
        <f>IF('SPR BARRANQUILLA'!R:R,"AAAAAHH7L3g=",0)</f>
        <v>0</v>
      </c>
      <c r="DR167">
        <f>IF('SPR BARRANQUILLA'!S:S,"AAAAAHH7L3k=",0)</f>
        <v>0</v>
      </c>
      <c r="DS167">
        <f>IF('SPR BARRANQUILLA'!T:T,"AAAAAHH7L3o=",0)</f>
        <v>0</v>
      </c>
      <c r="DT167">
        <f>IF('SPR BARRANQUILLA'!U:U,"AAAAAHH7L3s=",0)</f>
        <v>0</v>
      </c>
      <c r="DU167">
        <f>IF('SPR BARRANQUILLA'!V:V,"AAAAAHH7L3w=",0)</f>
        <v>0</v>
      </c>
      <c r="DV167">
        <f>IF('SPR BARRANQUILLA'!W:W,"AAAAAHH7L30=",0)</f>
        <v>0</v>
      </c>
      <c r="DW167">
        <f>IF('SPR BARRANQUILLA'!X:X,"AAAAAHH7L34=",0)</f>
        <v>0</v>
      </c>
      <c r="DX167">
        <f>IF('SPR BARRANQUILLA'!Y:Y,"AAAAAHH7L38=",0)</f>
        <v>0</v>
      </c>
      <c r="DY167">
        <f>IF('SPR BARRANQUILLA'!Z:Z,"AAAAAHH7L4A=",0)</f>
        <v>0</v>
      </c>
      <c r="DZ167">
        <f>IF('SPR BARRANQUILLA'!AA:AA,"AAAAAHH7L4E=",0)</f>
        <v>0</v>
      </c>
      <c r="EA167">
        <f>IF('SPR BARRANQUILLA'!AB:AB,"AAAAAHH7L4I=",0)</f>
        <v>0</v>
      </c>
      <c r="EB167">
        <f>IF('SPR BARRANQUILLA'!AC:AC,"AAAAAHH7L4M=",0)</f>
        <v>0</v>
      </c>
      <c r="EC167">
        <f>IF('SPR BARRANQUILLA'!AD:AD,"AAAAAHH7L4Q=",0)</f>
        <v>0</v>
      </c>
      <c r="ED167">
        <f>IF('SPR BARRANQUILLA'!AE:AE,"AAAAAHH7L4U=",0)</f>
        <v>0</v>
      </c>
      <c r="EE167">
        <f>IF('SPR BARRANQUILLA'!AF:AF,"AAAAAHH7L4Y=",0)</f>
        <v>0</v>
      </c>
      <c r="EF167">
        <f>IF('SPR BARRANQUILLA'!AG:AG,"AAAAAHH7L4c=",0)</f>
        <v>0</v>
      </c>
      <c r="EG167">
        <f>IF('SPR BARRANQUILLA'!AH:AH,"AAAAAHH7L4g=",0)</f>
        <v>0</v>
      </c>
      <c r="EH167">
        <f>IF('SPR BARRANQUILLA'!AI:AI,"AAAAAHH7L4k=",0)</f>
        <v>0</v>
      </c>
      <c r="EI167">
        <f>IF('SPR BARRANQUILLA'!AJ:AJ,"AAAAAHH7L4o=",0)</f>
        <v>0</v>
      </c>
      <c r="EJ167">
        <f>IF('SPR BARRANQUILLA'!AK:AK,"AAAAAHH7L4s=",0)</f>
        <v>0</v>
      </c>
      <c r="EK167">
        <f>IF('SPR BARRANQUILLA'!AL:AL,"AAAAAHH7L4w=",0)</f>
        <v>0</v>
      </c>
      <c r="EL167">
        <f>IF('SPR BARRANQUILLA'!AM:AM,"AAAAAHH7L40=",0)</f>
        <v>0</v>
      </c>
      <c r="EM167">
        <f>IF('SPR BARRANQUILLA'!AN:AN,"AAAAAHH7L44=",0)</f>
        <v>0</v>
      </c>
      <c r="EN167">
        <f>IF('SPR BARRANQUILLA'!AO:AO,"AAAAAHH7L48=",0)</f>
        <v>0</v>
      </c>
      <c r="EO167">
        <f>IF('SPR BARRANQUILLA'!AP:AP,"AAAAAHH7L5A=",0)</f>
        <v>0</v>
      </c>
      <c r="EP167">
        <f>IF('SPR BARRANQUILLA'!AQ:AQ,"AAAAAHH7L5E=",0)</f>
        <v>0</v>
      </c>
      <c r="EQ167">
        <f>IF('SPR BARRANQUILLA'!AR:AR,"AAAAAHH7L5I=",0)</f>
        <v>0</v>
      </c>
      <c r="ER167">
        <f>IF('SPR BARRANQUILLA'!AS:AS,"AAAAAHH7L5M=",0)</f>
        <v>0</v>
      </c>
      <c r="ES167">
        <f>IF('SPR BARRANQUILLA'!AT:AT,"AAAAAHH7L5Q=",0)</f>
        <v>0</v>
      </c>
      <c r="ET167">
        <f>IF('SPR BARRANQUILLA'!AU:AU,"AAAAAHH7L5U=",0)</f>
        <v>0</v>
      </c>
      <c r="EU167">
        <f>IF('SPR BARRANQUILLA'!AV:AV,"AAAAAHH7L5Y=",0)</f>
        <v>0</v>
      </c>
      <c r="EV167">
        <f>IF('SPR BARRANQUILLA'!AW:AW,"AAAAAHH7L5c=",0)</f>
        <v>0</v>
      </c>
      <c r="EW167">
        <f>IF('SPR BARRANQUILLA'!AX:AX,"AAAAAHH7L5g=",0)</f>
        <v>0</v>
      </c>
      <c r="EX167">
        <f>IF('SPR BARRANQUILLA'!AY:AY,"AAAAAHH7L5k=",0)</f>
        <v>0</v>
      </c>
      <c r="EY167">
        <f>IF('SPR BARRANQUILLA'!AZ:AZ,"AAAAAHH7L5o=",0)</f>
        <v>0</v>
      </c>
      <c r="EZ167">
        <f>IF('SPR BARRANQUILLA'!BA:BA,"AAAAAHH7L5s=",0)</f>
        <v>0</v>
      </c>
      <c r="FA167">
        <f>IF('SPR BARRANQUILLA'!BB:BB,"AAAAAHH7L5w=",0)</f>
        <v>0</v>
      </c>
      <c r="FB167">
        <f>IF('SPR BARRANQUILLA'!BC:BC,"AAAAAHH7L50=",0)</f>
        <v>0</v>
      </c>
      <c r="FC167">
        <f>IF('SPR BARRANQUILLA'!BD:BD,"AAAAAHH7L54=",0)</f>
        <v>0</v>
      </c>
      <c r="FD167">
        <f>IF('SPR BARRANQUILLA'!BE:BE,"AAAAAHH7L58=",0)</f>
        <v>0</v>
      </c>
      <c r="FE167">
        <f>IF('SPR BARRANQUILLA'!BF:BF,"AAAAAHH7L6A=",0)</f>
        <v>0</v>
      </c>
      <c r="FF167">
        <f>IF('SPR BARRANQUILLA'!BG:BG,"AAAAAHH7L6E=",0)</f>
        <v>0</v>
      </c>
      <c r="FG167">
        <f>IF('SPR BARRANQUILLA'!BH:BH,"AAAAAHH7L6I=",0)</f>
        <v>0</v>
      </c>
      <c r="FH167">
        <f>IF('SPR BARRANQUILLA'!BI:BI,"AAAAAHH7L6M=",0)</f>
        <v>0</v>
      </c>
      <c r="FI167">
        <f>IF('SPR BARRANQUILLA'!BJ:BJ,"AAAAAHH7L6Q=",0)</f>
        <v>0</v>
      </c>
      <c r="FJ167">
        <f>IF('SPR BARRANQUILLA'!BK:BK,"AAAAAHH7L6U=",0)</f>
        <v>0</v>
      </c>
      <c r="FK167">
        <f>IF('SPR BARRANQUILLA'!BL:BL,"AAAAAHH7L6Y=",0)</f>
        <v>0</v>
      </c>
      <c r="FL167">
        <f>IF('SPR BARRANQUILLA'!BM:BM,"AAAAAHH7L6c=",0)</f>
        <v>0</v>
      </c>
      <c r="FM167">
        <f>IF('SPR BARRANQUILLA'!BN:BN,"AAAAAHH7L6g=",0)</f>
        <v>0</v>
      </c>
      <c r="FN167">
        <f>IF('SPR BARRANQUILLA'!BO:BO,"AAAAAHH7L6k=",0)</f>
        <v>0</v>
      </c>
      <c r="FO167">
        <f>IF('SPR BARRANQUILLA'!BP:BP,"AAAAAHH7L6o=",0)</f>
        <v>0</v>
      </c>
      <c r="FP167">
        <f>IF('SPR BARRANQUILLA'!BQ:BQ,"AAAAAHH7L6s=",0)</f>
        <v>0</v>
      </c>
      <c r="FQ167">
        <f>IF('SPR BARRANQUILLA'!BR:BR,"AAAAAHH7L6w=",0)</f>
        <v>0</v>
      </c>
      <c r="FR167">
        <f>IF('SPR BARRANQUILLA'!BS:BS,"AAAAAHH7L60=",0)</f>
        <v>0</v>
      </c>
      <c r="FS167">
        <f>IF('SPR BARRANQUILLA'!BT:BT,"AAAAAHH7L64=",0)</f>
        <v>0</v>
      </c>
      <c r="FT167">
        <f>IF('SPR BARRANQUILLA'!BU:BU,"AAAAAHH7L68=",0)</f>
        <v>0</v>
      </c>
      <c r="FU167">
        <f>IF('SPR BARRANQUILLA'!BV:BV,"AAAAAHH7L7A=",0)</f>
        <v>0</v>
      </c>
      <c r="FV167">
        <f>IF('SPR BARRANQUILLA'!BW:BW,"AAAAAHH7L7E=",0)</f>
        <v>0</v>
      </c>
      <c r="FW167">
        <f>IF('SPR BARRANQUILLA'!BX:BX,"AAAAAHH7L7I=",0)</f>
        <v>0</v>
      </c>
      <c r="FX167">
        <f>IF('SPR BARRANQUILLA'!BY:BY,"AAAAAHH7L7M=",0)</f>
        <v>0</v>
      </c>
      <c r="FY167">
        <f>IF('SPR BARRANQUILLA'!BZ:BZ,"AAAAAHH7L7Q=",0)</f>
        <v>0</v>
      </c>
      <c r="FZ167">
        <f>IF('SPR BARRANQUILLA'!CA:CA,"AAAAAHH7L7U=",0)</f>
        <v>0</v>
      </c>
      <c r="GA167">
        <f>IF('SPR BARRANQUILLA'!CB:CB,"AAAAAHH7L7Y=",0)</f>
        <v>0</v>
      </c>
      <c r="GB167">
        <f>IF('SPR BARRANQUILLA'!CC:CC,"AAAAAHH7L7c=",0)</f>
        <v>0</v>
      </c>
      <c r="GC167">
        <f>IF('SPR BARRANQUILLA'!CD:CD,"AAAAAHH7L7g=",0)</f>
        <v>0</v>
      </c>
      <c r="GD167">
        <f>IF('SPR BARRANQUILLA'!CE:CE,"AAAAAHH7L7k=",0)</f>
        <v>0</v>
      </c>
      <c r="GE167">
        <f>IF('SPR BARRANQUILLA'!CF:CF,"AAAAAHH7L7o=",0)</f>
        <v>0</v>
      </c>
      <c r="GF167">
        <f>IF('SPR BARRANQUILLA'!CG:CG,"AAAAAHH7L7s=",0)</f>
        <v>0</v>
      </c>
      <c r="GG167">
        <f>IF('SPR BARRANQUILLA'!CH:CH,"AAAAAHH7L7w=",0)</f>
        <v>0</v>
      </c>
      <c r="GH167">
        <f>IF('SPR BARRANQUILLA'!CI:CI,"AAAAAHH7L70=",0)</f>
        <v>0</v>
      </c>
      <c r="GI167">
        <f>IF('SPR BARRANQUILLA'!CJ:CJ,"AAAAAHH7L74=",0)</f>
        <v>0</v>
      </c>
      <c r="GJ167">
        <f>IF('SPR BARRANQUILLA'!CK:CK,"AAAAAHH7L78=",0)</f>
        <v>0</v>
      </c>
      <c r="GK167">
        <f>IF('SPR BARRANQUILLA'!CL:CL,"AAAAAHH7L8A=",0)</f>
        <v>0</v>
      </c>
      <c r="GL167">
        <f>IF('SPR BARRANQUILLA'!CM:CM,"AAAAAHH7L8E=",0)</f>
        <v>0</v>
      </c>
      <c r="GM167">
        <f>IF('SPR BARRANQUILLA'!CN:CN,"AAAAAHH7L8I=",0)</f>
        <v>0</v>
      </c>
      <c r="GN167">
        <f>IF('SPR BARRANQUILLA'!CO:CO,"AAAAAHH7L8M=",0)</f>
        <v>0</v>
      </c>
      <c r="GO167">
        <f>IF('SPR BARRANQUILLA'!CP:CP,"AAAAAHH7L8Q=",0)</f>
        <v>0</v>
      </c>
      <c r="GP167">
        <f>IF('SPR BARRANQUILLA'!CQ:CQ,"AAAAAHH7L8U=",0)</f>
        <v>0</v>
      </c>
      <c r="GQ167">
        <f>IF('SPR BARRANQUILLA'!CR:CR,"AAAAAHH7L8Y=",0)</f>
        <v>0</v>
      </c>
      <c r="GR167">
        <f>IF('SPR BARRANQUILLA'!CS:CS,"AAAAAHH7L8c=",0)</f>
        <v>0</v>
      </c>
      <c r="GS167">
        <f>IF('SPR BARRANQUILLA'!CT:CT,"AAAAAHH7L8g=",0)</f>
        <v>0</v>
      </c>
      <c r="GT167">
        <f>IF('SPR BARRANQUILLA'!CU:CU,"AAAAAHH7L8k=",0)</f>
        <v>0</v>
      </c>
      <c r="GU167">
        <f>IF('SPR BARRANQUILLA'!CV:CV,"AAAAAHH7L8o=",0)</f>
        <v>0</v>
      </c>
      <c r="GV167">
        <f>IF('SPR BARRANQUILLA'!CW:CW,"AAAAAHH7L8s=",0)</f>
        <v>0</v>
      </c>
      <c r="GW167">
        <f>IF('SPR BARRANQUILLA'!CX:CX,"AAAAAHH7L8w=",0)</f>
        <v>0</v>
      </c>
      <c r="GX167">
        <f>IF('SPR BARRANQUILLA'!CY:CY,"AAAAAHH7L80=",0)</f>
        <v>0</v>
      </c>
      <c r="GY167">
        <f>IF('SPR BARRANQUILLA'!CZ:CZ,"AAAAAHH7L84=",0)</f>
        <v>0</v>
      </c>
      <c r="GZ167">
        <f>IF('SPR BARRANQUILLA'!DA:DA,"AAAAAHH7L88=",0)</f>
        <v>0</v>
      </c>
      <c r="HA167">
        <f>IF('SPR BARRANQUILLA'!DB:DB,"AAAAAHH7L9A=",0)</f>
        <v>0</v>
      </c>
      <c r="HB167">
        <f>IF('SPR BARRANQUILLA'!DC:DC,"AAAAAHH7L9E=",0)</f>
        <v>0</v>
      </c>
      <c r="HC167">
        <f>IF('SPR BARRANQUILLA'!DD:DD,"AAAAAHH7L9I=",0)</f>
        <v>0</v>
      </c>
      <c r="HD167">
        <f>IF('SPR BARRANQUILLA'!DE:DE,"AAAAAHH7L9M=",0)</f>
        <v>0</v>
      </c>
      <c r="HE167">
        <f>IF('SPR BARRANQUILLA'!DF:DF,"AAAAAHH7L9Q=",0)</f>
        <v>0</v>
      </c>
      <c r="HF167">
        <f>IF('SPR BARRANQUILLA'!DG:DG,"AAAAAHH7L9U=",0)</f>
        <v>0</v>
      </c>
      <c r="HG167">
        <f>IF('SPR BARRANQUILLA'!DH:DH,"AAAAAHH7L9Y=",0)</f>
        <v>0</v>
      </c>
      <c r="HH167">
        <f>IF('SPR BARRANQUILLA'!DI:DI,"AAAAAHH7L9c=",0)</f>
        <v>0</v>
      </c>
      <c r="HI167">
        <f>IF('SPR BARRANQUILLA'!DJ:DJ,"AAAAAHH7L9g=",0)</f>
        <v>0</v>
      </c>
      <c r="HJ167">
        <f>IF('SPR BARRANQUILLA'!DK:DK,"AAAAAHH7L9k=",0)</f>
        <v>0</v>
      </c>
      <c r="HK167">
        <f>IF('SPR BARRANQUILLA'!DL:DL,"AAAAAHH7L9o=",0)</f>
        <v>0</v>
      </c>
      <c r="HL167">
        <f>IF('SPR BARRANQUILLA'!DM:DM,"AAAAAHH7L9s=",0)</f>
        <v>0</v>
      </c>
      <c r="HM167">
        <f>IF('SPR BARRANQUILLA'!DN:DN,"AAAAAHH7L9w=",0)</f>
        <v>0</v>
      </c>
      <c r="HN167">
        <f>IF('SPR BARRANQUILLA'!DO:DO,"AAAAAHH7L90=",0)</f>
        <v>0</v>
      </c>
      <c r="HO167">
        <f>IF('SPR BARRANQUILLA'!DP:DP,"AAAAAHH7L94=",0)</f>
        <v>0</v>
      </c>
      <c r="HP167">
        <f>IF('SPR BARRANQUILLA'!DQ:DQ,"AAAAAHH7L98=",0)</f>
        <v>0</v>
      </c>
      <c r="HQ167">
        <f>IF('SPR BARRANQUILLA'!DR:DR,"AAAAAHH7L+A=",0)</f>
        <v>0</v>
      </c>
      <c r="HR167">
        <f>IF('SPR BARRANQUILLA'!DS:DS,"AAAAAHH7L+E=",0)</f>
        <v>0</v>
      </c>
      <c r="HS167">
        <f>IF('SPR BARRANQUILLA'!DT:DT,"AAAAAHH7L+I=",0)</f>
        <v>0</v>
      </c>
      <c r="HT167">
        <f>IF('SPR BARRANQUILLA'!DU:DU,"AAAAAHH7L+M=",0)</f>
        <v>0</v>
      </c>
      <c r="HU167">
        <f>IF('SPR BARRANQUILLA'!DV:DV,"AAAAAHH7L+Q=",0)</f>
        <v>0</v>
      </c>
      <c r="HV167">
        <f>IF('SPR BARRANQUILLA'!DW:DW,"AAAAAHH7L+U=",0)</f>
        <v>0</v>
      </c>
      <c r="HW167">
        <f>IF('SPR BARRANQUILLA'!DX:DX,"AAAAAHH7L+Y=",0)</f>
        <v>0</v>
      </c>
      <c r="HX167">
        <f>IF('SPR BARRANQUILLA'!DY:DY,"AAAAAHH7L+c=",0)</f>
        <v>0</v>
      </c>
      <c r="HY167">
        <f>IF('SPR BARRANQUILLA'!DZ:DZ,"AAAAAHH7L+g=",0)</f>
        <v>0</v>
      </c>
      <c r="HZ167">
        <f>IF('SPR BARRANQUILLA'!EA:EA,"AAAAAHH7L+k=",0)</f>
        <v>0</v>
      </c>
      <c r="IA167">
        <f>IF('SPR BARRANQUILLA'!EB:EB,"AAAAAHH7L+o=",0)</f>
        <v>0</v>
      </c>
      <c r="IB167">
        <f>IF('SPR BARRANQUILLA'!EC:EC,"AAAAAHH7L+s=",0)</f>
        <v>0</v>
      </c>
      <c r="IC167">
        <f>IF('SPR BARRANQUILLA'!ED:ED,"AAAAAHH7L+w=",0)</f>
        <v>0</v>
      </c>
      <c r="ID167">
        <f>IF('SPR BARRANQUILLA'!EE:EE,"AAAAAHH7L+0=",0)</f>
        <v>0</v>
      </c>
      <c r="IE167">
        <f>IF('SPR BARRANQUILLA'!EF:EF,"AAAAAHH7L+4=",0)</f>
        <v>0</v>
      </c>
      <c r="IF167">
        <f>IF('SPR BARRANQUILLA'!EG:EG,"AAAAAHH7L+8=",0)</f>
        <v>0</v>
      </c>
      <c r="IG167">
        <f>IF('SPR BARRANQUILLA'!EH:EH,"AAAAAHH7L/A=",0)</f>
        <v>0</v>
      </c>
      <c r="IH167">
        <f>IF('SPR BARRANQUILLA'!EI:EI,"AAAAAHH7L/E=",0)</f>
        <v>0</v>
      </c>
      <c r="II167">
        <f>IF('SPR BARRANQUILLA'!EJ:EJ,"AAAAAHH7L/I=",0)</f>
        <v>0</v>
      </c>
      <c r="IJ167">
        <f>IF('SPR BARRANQUILLA'!EK:EK,"AAAAAHH7L/M=",0)</f>
        <v>0</v>
      </c>
      <c r="IK167">
        <f>IF('SPR BARRANQUILLA'!EL:EL,"AAAAAHH7L/Q=",0)</f>
        <v>0</v>
      </c>
      <c r="IL167">
        <f>IF('SPR BARRANQUILLA'!EM:EM,"AAAAAHH7L/U=",0)</f>
        <v>0</v>
      </c>
      <c r="IM167">
        <f>IF('SPR BARRANQUILLA'!EN:EN,"AAAAAHH7L/Y=",0)</f>
        <v>0</v>
      </c>
      <c r="IN167">
        <f>IF('SPR BARRANQUILLA'!EO:EO,"AAAAAHH7L/c=",0)</f>
        <v>0</v>
      </c>
      <c r="IO167">
        <f>IF('SPR BARRANQUILLA'!EP:EP,"AAAAAHH7L/g=",0)</f>
        <v>0</v>
      </c>
      <c r="IP167">
        <f>IF('SPR BARRANQUILLA'!EQ:EQ,"AAAAAHH7L/k=",0)</f>
        <v>0</v>
      </c>
      <c r="IQ167">
        <f>IF('SPR BARRANQUILLA'!ER:ER,"AAAAAHH7L/o=",0)</f>
        <v>0</v>
      </c>
      <c r="IR167">
        <f>IF('SPR BARRANQUILLA'!ES:ES,"AAAAAHH7L/s=",0)</f>
        <v>0</v>
      </c>
      <c r="IS167">
        <f>IF('SPR BARRANQUILLA'!ET:ET,"AAAAAHH7L/w=",0)</f>
        <v>0</v>
      </c>
      <c r="IT167">
        <f>IF('SPR BARRANQUILLA'!EU:EU,"AAAAAHH7L/0=",0)</f>
        <v>0</v>
      </c>
      <c r="IU167">
        <f>IF('SPR BARRANQUILLA'!EV:EV,"AAAAAHH7L/4=",0)</f>
        <v>0</v>
      </c>
      <c r="IV167">
        <f>IF('SPR BARRANQUILLA'!EW:EW,"AAAAAHH7L/8=",0)</f>
        <v>0</v>
      </c>
    </row>
    <row r="168" spans="1:256">
      <c r="A168">
        <f>IF('SPR BARRANQUILLA'!EX:EX,"AAAAADX/vwA=",0)</f>
        <v>0</v>
      </c>
      <c r="B168">
        <f>IF('SPR BARRANQUILLA'!EY:EY,"AAAAADX/vwE=",0)</f>
        <v>0</v>
      </c>
      <c r="C168">
        <f>IF('SPR BARRANQUILLA'!EZ:EZ,"AAAAADX/vwI=",0)</f>
        <v>0</v>
      </c>
      <c r="D168">
        <f>IF('SPR BARRANQUILLA'!FA:FA,"AAAAADX/vwM=",0)</f>
        <v>0</v>
      </c>
      <c r="E168">
        <f>IF('SPR BARRANQUILLA'!FB:FB,"AAAAADX/vwQ=",0)</f>
        <v>0</v>
      </c>
      <c r="F168">
        <f>IF('SPR BARRANQUILLA'!FC:FC,"AAAAADX/vwU=",0)</f>
        <v>0</v>
      </c>
      <c r="G168">
        <f>IF('SPR BARRANQUILLA'!FD:FD,"AAAAADX/vwY=",0)</f>
        <v>0</v>
      </c>
      <c r="H168">
        <f>IF('SPR BARRANQUILLA'!FE:FE,"AAAAADX/vwc=",0)</f>
        <v>0</v>
      </c>
      <c r="I168">
        <f>IF('SPR BARRANQUILLA'!FF:FF,"AAAAADX/vwg=",0)</f>
        <v>0</v>
      </c>
      <c r="J168">
        <f>IF('SPR BARRANQUILLA'!FG:FG,"AAAAADX/vwk=",0)</f>
        <v>0</v>
      </c>
      <c r="K168">
        <f>IF('SPR BARRANQUILLA'!FH:FH,"AAAAADX/vwo=",0)</f>
        <v>0</v>
      </c>
      <c r="L168">
        <f>IF('SPR BARRANQUILLA'!FI:FI,"AAAAADX/vws=",0)</f>
        <v>0</v>
      </c>
      <c r="M168">
        <f>IF('SPR BARRANQUILLA'!FJ:FJ,"AAAAADX/vww=",0)</f>
        <v>0</v>
      </c>
      <c r="N168">
        <f>IF('SPR BARRANQUILLA'!FK:FK,"AAAAADX/vw0=",0)</f>
        <v>0</v>
      </c>
      <c r="O168">
        <f>IF('SPR BARRANQUILLA'!FL:FL,"AAAAADX/vw4=",0)</f>
        <v>0</v>
      </c>
      <c r="P168">
        <f>IF('SPR BARRANQUILLA'!FM:FM,"AAAAADX/vw8=",0)</f>
        <v>0</v>
      </c>
      <c r="Q168">
        <f>IF('SPR BARRANQUILLA'!FN:FN,"AAAAADX/vxA=",0)</f>
        <v>0</v>
      </c>
      <c r="R168">
        <f>IF('SPR BARRANQUILLA'!FO:FO,"AAAAADX/vxE=",0)</f>
        <v>0</v>
      </c>
      <c r="S168">
        <f>IF('SPR BARRANQUILLA'!FP:FP,"AAAAADX/vxI=",0)</f>
        <v>0</v>
      </c>
      <c r="T168">
        <f>IF('SPR BARRANQUILLA'!FQ:FQ,"AAAAADX/vxM=",0)</f>
        <v>0</v>
      </c>
      <c r="U168">
        <f>IF('SPR BARRANQUILLA'!FR:FR,"AAAAADX/vxQ=",0)</f>
        <v>0</v>
      </c>
      <c r="V168">
        <f>IF('SPR BARRANQUILLA'!FS:FS,"AAAAADX/vxU=",0)</f>
        <v>0</v>
      </c>
      <c r="W168">
        <f>IF('SPR BARRANQUILLA'!FT:FT,"AAAAADX/vxY=",0)</f>
        <v>0</v>
      </c>
      <c r="X168">
        <f>IF('SPR BARRANQUILLA'!FU:FU,"AAAAADX/vxc=",0)</f>
        <v>0</v>
      </c>
      <c r="Y168">
        <f>IF('SPR BARRANQUILLA'!FV:FV,"AAAAADX/vxg=",0)</f>
        <v>0</v>
      </c>
      <c r="Z168">
        <f>IF('SPR BARRANQUILLA'!FW:FW,"AAAAADX/vxk=",0)</f>
        <v>0</v>
      </c>
      <c r="AA168">
        <f>IF('SPR BARRANQUILLA'!FX:FX,"AAAAADX/vxo=",0)</f>
        <v>0</v>
      </c>
      <c r="AB168">
        <f>IF('SPR BARRANQUILLA'!FY:FY,"AAAAADX/vxs=",0)</f>
        <v>0</v>
      </c>
      <c r="AC168">
        <f>IF('SPR BARRANQUILLA'!FZ:FZ,"AAAAADX/vxw=",0)</f>
        <v>0</v>
      </c>
      <c r="AD168">
        <f>IF('SPR BARRANQUILLA'!GA:GA,"AAAAADX/vx0=",0)</f>
        <v>0</v>
      </c>
      <c r="AE168">
        <f>IF('SPR BARRANQUILLA'!GB:GB,"AAAAADX/vx4=",0)</f>
        <v>0</v>
      </c>
      <c r="AF168">
        <f>IF('SPR BARRANQUILLA'!GC:GC,"AAAAADX/vx8=",0)</f>
        <v>0</v>
      </c>
      <c r="AG168">
        <f>IF('SPR BARRANQUILLA'!GD:GD,"AAAAADX/vyA=",0)</f>
        <v>0</v>
      </c>
      <c r="AH168">
        <f>IF('SPR BARRANQUILLA'!GE:GE,"AAAAADX/vyE=",0)</f>
        <v>0</v>
      </c>
      <c r="AI168">
        <f>IF('SPR BARRANQUILLA'!GF:GF,"AAAAADX/vyI=",0)</f>
        <v>0</v>
      </c>
      <c r="AJ168">
        <f>IF('SPR BARRANQUILLA'!GG:GG,"AAAAADX/vyM=",0)</f>
        <v>0</v>
      </c>
      <c r="AK168">
        <f>IF('SPR BARRANQUILLA'!GH:GH,"AAAAADX/vyQ=",0)</f>
        <v>0</v>
      </c>
      <c r="AL168">
        <f>IF('SPR BARRANQUILLA'!GI:GI,"AAAAADX/vyU=",0)</f>
        <v>0</v>
      </c>
      <c r="AM168">
        <f>IF('SPR BARRANQUILLA'!GJ:GJ,"AAAAADX/vyY=",0)</f>
        <v>0</v>
      </c>
      <c r="AN168">
        <f>IF('SPR BARRANQUILLA'!GK:GK,"AAAAADX/vyc=",0)</f>
        <v>0</v>
      </c>
      <c r="AO168">
        <f>IF('SPR BARRANQUILLA'!GL:GL,"AAAAADX/vyg=",0)</f>
        <v>0</v>
      </c>
      <c r="AP168">
        <f>IF('SPR BARRANQUILLA'!GM:GM,"AAAAADX/vyk=",0)</f>
        <v>0</v>
      </c>
      <c r="AQ168">
        <f>IF('SPR BARRANQUILLA'!GN:GN,"AAAAADX/vyo=",0)</f>
        <v>0</v>
      </c>
      <c r="AR168">
        <f>IF('SPR BARRANQUILLA'!GO:GO,"AAAAADX/vys=",0)</f>
        <v>0</v>
      </c>
      <c r="AS168">
        <f>IF('SPR BARRANQUILLA'!GP:GP,"AAAAADX/vyw=",0)</f>
        <v>0</v>
      </c>
      <c r="AT168">
        <f>IF('SPR BARRANQUILLA'!GQ:GQ,"AAAAADX/vy0=",0)</f>
        <v>0</v>
      </c>
      <c r="AU168">
        <f>IF('SPR BARRANQUILLA'!GR:GR,"AAAAADX/vy4=",0)</f>
        <v>0</v>
      </c>
      <c r="AV168">
        <f>IF('SPR BARRANQUILLA'!GS:GS,"AAAAADX/vy8=",0)</f>
        <v>0</v>
      </c>
      <c r="AW168">
        <f>IF('SPR BARRANQUILLA'!GT:GT,"AAAAADX/vzA=",0)</f>
        <v>0</v>
      </c>
      <c r="AX168">
        <f>IF('SPR BARRANQUILLA'!GU:GU,"AAAAADX/vzE=",0)</f>
        <v>0</v>
      </c>
      <c r="AY168">
        <f>IF('SPR BARRANQUILLA'!GV:GV,"AAAAADX/vzI=",0)</f>
        <v>0</v>
      </c>
      <c r="AZ168">
        <f>IF('SPR BARRANQUILLA'!GW:GW,"AAAAADX/vzM=",0)</f>
        <v>0</v>
      </c>
      <c r="BA168">
        <f>IF('SPR BARRANQUILLA'!GX:GX,"AAAAADX/vzQ=",0)</f>
        <v>0</v>
      </c>
      <c r="BB168">
        <f>IF('SPR BARRANQUILLA'!GY:GY,"AAAAADX/vzU=",0)</f>
        <v>0</v>
      </c>
      <c r="BC168" t="e">
        <f>IF(#REF!,"AAAAADX/vzY=",0)</f>
        <v>#REF!</v>
      </c>
      <c r="BD168" t="e">
        <f>AND(#REF!,"AAAAADX/vzc=")</f>
        <v>#REF!</v>
      </c>
      <c r="BE168" t="e">
        <f>AND(#REF!,"AAAAADX/vzg=")</f>
        <v>#REF!</v>
      </c>
      <c r="BF168" t="e">
        <f>AND(#REF!,"AAAAADX/vzk=")</f>
        <v>#REF!</v>
      </c>
      <c r="BG168" t="e">
        <f>AND(#REF!,"AAAAADX/vzo=")</f>
        <v>#REF!</v>
      </c>
      <c r="BH168" t="e">
        <f>AND(#REF!,"AAAAADX/vzs=")</f>
        <v>#REF!</v>
      </c>
      <c r="BI168" t="e">
        <f>AND(#REF!,"AAAAADX/vzw=")</f>
        <v>#REF!</v>
      </c>
      <c r="BJ168" t="e">
        <f>AND(#REF!,"AAAAADX/vz0=")</f>
        <v>#REF!</v>
      </c>
      <c r="BK168" t="e">
        <f>AND(#REF!,"AAAAADX/vz4=")</f>
        <v>#REF!</v>
      </c>
      <c r="BL168" t="e">
        <f>AND(#REF!,"AAAAADX/vz8=")</f>
        <v>#REF!</v>
      </c>
      <c r="BM168" t="e">
        <f>AND(#REF!,"AAAAADX/v0A=")</f>
        <v>#REF!</v>
      </c>
      <c r="BN168" t="e">
        <f>AND(#REF!,"AAAAADX/v0E=")</f>
        <v>#REF!</v>
      </c>
      <c r="BO168" t="e">
        <f>AND(#REF!,"AAAAADX/v0I=")</f>
        <v>#REF!</v>
      </c>
      <c r="BP168" t="e">
        <f>AND(#REF!,"AAAAADX/v0M=")</f>
        <v>#REF!</v>
      </c>
      <c r="BQ168" t="e">
        <f>AND(#REF!,"AAAAADX/v0Q=")</f>
        <v>#REF!</v>
      </c>
      <c r="BR168" t="e">
        <f>AND(#REF!,"AAAAADX/v0U=")</f>
        <v>#REF!</v>
      </c>
      <c r="BS168" t="e">
        <f>AND(#REF!,"AAAAADX/v0Y=")</f>
        <v>#REF!</v>
      </c>
      <c r="BT168" t="e">
        <f>AND(#REF!,"AAAAADX/v0c=")</f>
        <v>#REF!</v>
      </c>
      <c r="BU168" t="e">
        <f>AND(#REF!,"AAAAADX/v0g=")</f>
        <v>#REF!</v>
      </c>
      <c r="BV168" t="e">
        <f>AND(#REF!,"AAAAADX/v0k=")</f>
        <v>#REF!</v>
      </c>
      <c r="BW168" t="e">
        <f>AND(#REF!,"AAAAADX/v0o=")</f>
        <v>#REF!</v>
      </c>
      <c r="BX168" t="e">
        <f>AND(#REF!,"AAAAADX/v0s=")</f>
        <v>#REF!</v>
      </c>
      <c r="BY168" t="e">
        <f>AND(#REF!,"AAAAADX/v0w=")</f>
        <v>#REF!</v>
      </c>
      <c r="BZ168" t="e">
        <f>AND(#REF!,"AAAAADX/v00=")</f>
        <v>#REF!</v>
      </c>
      <c r="CA168" t="e">
        <f>AND(#REF!,"AAAAADX/v04=")</f>
        <v>#REF!</v>
      </c>
      <c r="CB168" t="e">
        <f>AND(#REF!,"AAAAADX/v08=")</f>
        <v>#REF!</v>
      </c>
      <c r="CC168" t="e">
        <f>AND(#REF!,"AAAAADX/v1A=")</f>
        <v>#REF!</v>
      </c>
      <c r="CD168" t="e">
        <f>AND(#REF!,"AAAAADX/v1E=")</f>
        <v>#REF!</v>
      </c>
      <c r="CE168" t="e">
        <f>AND(#REF!,"AAAAADX/v1I=")</f>
        <v>#REF!</v>
      </c>
      <c r="CF168" t="e">
        <f>AND(#REF!,"AAAAADX/v1M=")</f>
        <v>#REF!</v>
      </c>
      <c r="CG168" t="e">
        <f>AND(#REF!,"AAAAADX/v1Q=")</f>
        <v>#REF!</v>
      </c>
      <c r="CH168" t="e">
        <f>AND(#REF!,"AAAAADX/v1U=")</f>
        <v>#REF!</v>
      </c>
      <c r="CI168" t="e">
        <f>AND(#REF!,"AAAAADX/v1Y=")</f>
        <v>#REF!</v>
      </c>
      <c r="CJ168" t="e">
        <f>AND(#REF!,"AAAAADX/v1c=")</f>
        <v>#REF!</v>
      </c>
      <c r="CK168" t="e">
        <f>AND(#REF!,"AAAAADX/v1g=")</f>
        <v>#REF!</v>
      </c>
      <c r="CL168" t="e">
        <f>AND(#REF!,"AAAAADX/v1k=")</f>
        <v>#REF!</v>
      </c>
      <c r="CM168" t="e">
        <f>AND(#REF!,"AAAAADX/v1o=")</f>
        <v>#REF!</v>
      </c>
      <c r="CN168" t="e">
        <f>AND(#REF!,"AAAAADX/v1s=")</f>
        <v>#REF!</v>
      </c>
      <c r="CO168" t="e">
        <f>AND(#REF!,"AAAAADX/v1w=")</f>
        <v>#REF!</v>
      </c>
      <c r="CP168" t="e">
        <f>AND(#REF!,"AAAAADX/v10=")</f>
        <v>#REF!</v>
      </c>
      <c r="CQ168" t="e">
        <f>AND(#REF!,"AAAAADX/v14=")</f>
        <v>#REF!</v>
      </c>
      <c r="CR168" t="e">
        <f>AND(#REF!,"AAAAADX/v18=")</f>
        <v>#REF!</v>
      </c>
      <c r="CS168" t="e">
        <f>AND(#REF!,"AAAAADX/v2A=")</f>
        <v>#REF!</v>
      </c>
      <c r="CT168" t="e">
        <f>AND(#REF!,"AAAAADX/v2E=")</f>
        <v>#REF!</v>
      </c>
      <c r="CU168" t="e">
        <f>AND(#REF!,"AAAAADX/v2I=")</f>
        <v>#REF!</v>
      </c>
      <c r="CV168" t="e">
        <f>AND(#REF!,"AAAAADX/v2M=")</f>
        <v>#REF!</v>
      </c>
      <c r="CW168" t="e">
        <f>AND(#REF!,"AAAAADX/v2Q=")</f>
        <v>#REF!</v>
      </c>
      <c r="CX168" t="e">
        <f>AND(#REF!,"AAAAADX/v2U=")</f>
        <v>#REF!</v>
      </c>
      <c r="CY168" t="e">
        <f>AND(#REF!,"AAAAADX/v2Y=")</f>
        <v>#REF!</v>
      </c>
      <c r="CZ168" t="e">
        <f>AND(#REF!,"AAAAADX/v2c=")</f>
        <v>#REF!</v>
      </c>
      <c r="DA168" t="e">
        <f>AND(#REF!,"AAAAADX/v2g=")</f>
        <v>#REF!</v>
      </c>
      <c r="DB168" t="e">
        <f>AND(#REF!,"AAAAADX/v2k=")</f>
        <v>#REF!</v>
      </c>
      <c r="DC168" t="e">
        <f>AND(#REF!,"AAAAADX/v2o=")</f>
        <v>#REF!</v>
      </c>
      <c r="DD168" t="e">
        <f>AND(#REF!,"AAAAADX/v2s=")</f>
        <v>#REF!</v>
      </c>
      <c r="DE168" t="e">
        <f>AND(#REF!,"AAAAADX/v2w=")</f>
        <v>#REF!</v>
      </c>
      <c r="DF168" t="e">
        <f>AND(#REF!,"AAAAADX/v20=")</f>
        <v>#REF!</v>
      </c>
      <c r="DG168" t="e">
        <f>AND(#REF!,"AAAAADX/v24=")</f>
        <v>#REF!</v>
      </c>
      <c r="DH168" t="e">
        <f>AND(#REF!,"AAAAADX/v28=")</f>
        <v>#REF!</v>
      </c>
      <c r="DI168" t="e">
        <f>AND(#REF!,"AAAAADX/v3A=")</f>
        <v>#REF!</v>
      </c>
      <c r="DJ168" t="e">
        <f>AND(#REF!,"AAAAADX/v3E=")</f>
        <v>#REF!</v>
      </c>
      <c r="DK168" t="e">
        <f>AND(#REF!,"AAAAADX/v3I=")</f>
        <v>#REF!</v>
      </c>
      <c r="DL168" t="e">
        <f>AND(#REF!,"AAAAADX/v3M=")</f>
        <v>#REF!</v>
      </c>
      <c r="DM168" t="e">
        <f>AND(#REF!,"AAAAADX/v3Q=")</f>
        <v>#REF!</v>
      </c>
      <c r="DN168" t="e">
        <f>AND(#REF!,"AAAAADX/v3U=")</f>
        <v>#REF!</v>
      </c>
      <c r="DO168" t="e">
        <f>AND(#REF!,"AAAAADX/v3Y=")</f>
        <v>#REF!</v>
      </c>
      <c r="DP168" t="e">
        <f>AND(#REF!,"AAAAADX/v3c=")</f>
        <v>#REF!</v>
      </c>
      <c r="DQ168" t="e">
        <f>AND(#REF!,"AAAAADX/v3g=")</f>
        <v>#REF!</v>
      </c>
      <c r="DR168" t="e">
        <f>AND(#REF!,"AAAAADX/v3k=")</f>
        <v>#REF!</v>
      </c>
      <c r="DS168" t="e">
        <f>AND(#REF!,"AAAAADX/v3o=")</f>
        <v>#REF!</v>
      </c>
      <c r="DT168" t="e">
        <f>AND(#REF!,"AAAAADX/v3s=")</f>
        <v>#REF!</v>
      </c>
      <c r="DU168" t="e">
        <f>AND(#REF!,"AAAAADX/v3w=")</f>
        <v>#REF!</v>
      </c>
      <c r="DV168" t="e">
        <f>AND(#REF!,"AAAAADX/v30=")</f>
        <v>#REF!</v>
      </c>
      <c r="DW168" t="e">
        <f>AND(#REF!,"AAAAADX/v34=")</f>
        <v>#REF!</v>
      </c>
      <c r="DX168" t="e">
        <f>AND(#REF!,"AAAAADX/v38=")</f>
        <v>#REF!</v>
      </c>
      <c r="DY168" t="e">
        <f>AND(#REF!,"AAAAADX/v4A=")</f>
        <v>#REF!</v>
      </c>
      <c r="DZ168" t="e">
        <f>AND(#REF!,"AAAAADX/v4E=")</f>
        <v>#REF!</v>
      </c>
      <c r="EA168" t="e">
        <f>AND(#REF!,"AAAAADX/v4I=")</f>
        <v>#REF!</v>
      </c>
      <c r="EB168" t="e">
        <f>AND(#REF!,"AAAAADX/v4M=")</f>
        <v>#REF!</v>
      </c>
      <c r="EC168" t="e">
        <f>AND(#REF!,"AAAAADX/v4Q=")</f>
        <v>#REF!</v>
      </c>
      <c r="ED168" t="e">
        <f>AND(#REF!,"AAAAADX/v4U=")</f>
        <v>#REF!</v>
      </c>
      <c r="EE168" t="e">
        <f>AND(#REF!,"AAAAADX/v4Y=")</f>
        <v>#REF!</v>
      </c>
      <c r="EF168" t="e">
        <f>AND(#REF!,"AAAAADX/v4c=")</f>
        <v>#REF!</v>
      </c>
      <c r="EG168" t="e">
        <f>AND(#REF!,"AAAAADX/v4g=")</f>
        <v>#REF!</v>
      </c>
      <c r="EH168" t="e">
        <f>AND(#REF!,"AAAAADX/v4k=")</f>
        <v>#REF!</v>
      </c>
      <c r="EI168" t="e">
        <f>AND(#REF!,"AAAAADX/v4o=")</f>
        <v>#REF!</v>
      </c>
      <c r="EJ168" t="e">
        <f>AND(#REF!,"AAAAADX/v4s=")</f>
        <v>#REF!</v>
      </c>
      <c r="EK168" t="e">
        <f>AND(#REF!,"AAAAADX/v4w=")</f>
        <v>#REF!</v>
      </c>
      <c r="EL168" t="e">
        <f>AND(#REF!,"AAAAADX/v40=")</f>
        <v>#REF!</v>
      </c>
      <c r="EM168" t="e">
        <f>AND(#REF!,"AAAAADX/v44=")</f>
        <v>#REF!</v>
      </c>
      <c r="EN168" t="e">
        <f>AND(#REF!,"AAAAADX/v48=")</f>
        <v>#REF!</v>
      </c>
      <c r="EO168" t="e">
        <f>AND(#REF!,"AAAAADX/v5A=")</f>
        <v>#REF!</v>
      </c>
      <c r="EP168" t="e">
        <f>AND(#REF!,"AAAAADX/v5E=")</f>
        <v>#REF!</v>
      </c>
      <c r="EQ168" t="e">
        <f>AND(#REF!,"AAAAADX/v5I=")</f>
        <v>#REF!</v>
      </c>
      <c r="ER168" t="e">
        <f>AND(#REF!,"AAAAADX/v5M=")</f>
        <v>#REF!</v>
      </c>
      <c r="ES168" t="e">
        <f>AND(#REF!,"AAAAADX/v5Q=")</f>
        <v>#REF!</v>
      </c>
      <c r="ET168" t="e">
        <f>AND(#REF!,"AAAAADX/v5U=")</f>
        <v>#REF!</v>
      </c>
      <c r="EU168" t="e">
        <f>AND(#REF!,"AAAAADX/v5Y=")</f>
        <v>#REF!</v>
      </c>
      <c r="EV168" t="e">
        <f>AND(#REF!,"AAAAADX/v5c=")</f>
        <v>#REF!</v>
      </c>
      <c r="EW168" t="e">
        <f>AND(#REF!,"AAAAADX/v5g=")</f>
        <v>#REF!</v>
      </c>
      <c r="EX168" t="e">
        <f>AND(#REF!,"AAAAADX/v5k=")</f>
        <v>#REF!</v>
      </c>
      <c r="EY168" t="e">
        <f>AND(#REF!,"AAAAADX/v5o=")</f>
        <v>#REF!</v>
      </c>
      <c r="EZ168" t="e">
        <f>AND(#REF!,"AAAAADX/v5s=")</f>
        <v>#REF!</v>
      </c>
      <c r="FA168" t="e">
        <f>AND(#REF!,"AAAAADX/v5w=")</f>
        <v>#REF!</v>
      </c>
      <c r="FB168" t="e">
        <f>AND(#REF!,"AAAAADX/v50=")</f>
        <v>#REF!</v>
      </c>
      <c r="FC168" t="e">
        <f>AND(#REF!,"AAAAADX/v54=")</f>
        <v>#REF!</v>
      </c>
      <c r="FD168" t="e">
        <f>AND(#REF!,"AAAAADX/v58=")</f>
        <v>#REF!</v>
      </c>
      <c r="FE168" t="e">
        <f>AND(#REF!,"AAAAADX/v6A=")</f>
        <v>#REF!</v>
      </c>
      <c r="FF168" t="e">
        <f>AND(#REF!,"AAAAADX/v6E=")</f>
        <v>#REF!</v>
      </c>
      <c r="FG168" t="e">
        <f>AND(#REF!,"AAAAADX/v6I=")</f>
        <v>#REF!</v>
      </c>
      <c r="FH168" t="e">
        <f>AND(#REF!,"AAAAADX/v6M=")</f>
        <v>#REF!</v>
      </c>
      <c r="FI168" t="e">
        <f>AND(#REF!,"AAAAADX/v6Q=")</f>
        <v>#REF!</v>
      </c>
      <c r="FJ168" t="e">
        <f>AND(#REF!,"AAAAADX/v6U=")</f>
        <v>#REF!</v>
      </c>
      <c r="FK168" t="e">
        <f>AND(#REF!,"AAAAADX/v6Y=")</f>
        <v>#REF!</v>
      </c>
      <c r="FL168" t="e">
        <f>AND(#REF!,"AAAAADX/v6c=")</f>
        <v>#REF!</v>
      </c>
      <c r="FM168" t="e">
        <f>AND(#REF!,"AAAAADX/v6g=")</f>
        <v>#REF!</v>
      </c>
      <c r="FN168" t="e">
        <f>AND(#REF!,"AAAAADX/v6k=")</f>
        <v>#REF!</v>
      </c>
      <c r="FO168" t="e">
        <f>AND(#REF!,"AAAAADX/v6o=")</f>
        <v>#REF!</v>
      </c>
      <c r="FP168" t="e">
        <f>AND(#REF!,"AAAAADX/v6s=")</f>
        <v>#REF!</v>
      </c>
      <c r="FQ168" t="e">
        <f>AND(#REF!,"AAAAADX/v6w=")</f>
        <v>#REF!</v>
      </c>
      <c r="FR168" t="e">
        <f>AND(#REF!,"AAAAADX/v60=")</f>
        <v>#REF!</v>
      </c>
      <c r="FS168" t="e">
        <f>AND(#REF!,"AAAAADX/v64=")</f>
        <v>#REF!</v>
      </c>
      <c r="FT168" t="e">
        <f>AND(#REF!,"AAAAADX/v68=")</f>
        <v>#REF!</v>
      </c>
      <c r="FU168" t="e">
        <f>AND(#REF!,"AAAAADX/v7A=")</f>
        <v>#REF!</v>
      </c>
      <c r="FV168" t="e">
        <f>AND(#REF!,"AAAAADX/v7E=")</f>
        <v>#REF!</v>
      </c>
      <c r="FW168" t="e">
        <f>AND(#REF!,"AAAAADX/v7I=")</f>
        <v>#REF!</v>
      </c>
      <c r="FX168" t="e">
        <f>AND(#REF!,"AAAAADX/v7M=")</f>
        <v>#REF!</v>
      </c>
      <c r="FY168" t="e">
        <f>AND(#REF!,"AAAAADX/v7Q=")</f>
        <v>#REF!</v>
      </c>
      <c r="FZ168" t="e">
        <f>AND(#REF!,"AAAAADX/v7U=")</f>
        <v>#REF!</v>
      </c>
      <c r="GA168" t="e">
        <f>AND(#REF!,"AAAAADX/v7Y=")</f>
        <v>#REF!</v>
      </c>
      <c r="GB168" t="e">
        <f>AND(#REF!,"AAAAADX/v7c=")</f>
        <v>#REF!</v>
      </c>
      <c r="GC168" t="e">
        <f>AND(#REF!,"AAAAADX/v7g=")</f>
        <v>#REF!</v>
      </c>
      <c r="GD168" t="e">
        <f>AND(#REF!,"AAAAADX/v7k=")</f>
        <v>#REF!</v>
      </c>
      <c r="GE168" t="e">
        <f>AND(#REF!,"AAAAADX/v7o=")</f>
        <v>#REF!</v>
      </c>
      <c r="GF168" t="e">
        <f>AND(#REF!,"AAAAADX/v7s=")</f>
        <v>#REF!</v>
      </c>
      <c r="GG168" t="e">
        <f>AND(#REF!,"AAAAADX/v7w=")</f>
        <v>#REF!</v>
      </c>
      <c r="GH168" t="e">
        <f>AND(#REF!,"AAAAADX/v70=")</f>
        <v>#REF!</v>
      </c>
      <c r="GI168" t="e">
        <f>AND(#REF!,"AAAAADX/v74=")</f>
        <v>#REF!</v>
      </c>
      <c r="GJ168" t="e">
        <f>AND(#REF!,"AAAAADX/v78=")</f>
        <v>#REF!</v>
      </c>
      <c r="GK168" t="e">
        <f>AND(#REF!,"AAAAADX/v8A=")</f>
        <v>#REF!</v>
      </c>
      <c r="GL168" t="e">
        <f>AND(#REF!,"AAAAADX/v8E=")</f>
        <v>#REF!</v>
      </c>
      <c r="GM168" t="e">
        <f>AND(#REF!,"AAAAADX/v8I=")</f>
        <v>#REF!</v>
      </c>
      <c r="GN168" t="e">
        <f>AND(#REF!,"AAAAADX/v8M=")</f>
        <v>#REF!</v>
      </c>
      <c r="GO168" t="e">
        <f>AND(#REF!,"AAAAADX/v8Q=")</f>
        <v>#REF!</v>
      </c>
      <c r="GP168" t="e">
        <f>AND(#REF!,"AAAAADX/v8U=")</f>
        <v>#REF!</v>
      </c>
      <c r="GQ168" t="e">
        <f>AND(#REF!,"AAAAADX/v8Y=")</f>
        <v>#REF!</v>
      </c>
      <c r="GR168" t="e">
        <f>AND(#REF!,"AAAAADX/v8c=")</f>
        <v>#REF!</v>
      </c>
      <c r="GS168" t="e">
        <f>AND(#REF!,"AAAAADX/v8g=")</f>
        <v>#REF!</v>
      </c>
      <c r="GT168" t="e">
        <f>AND(#REF!,"AAAAADX/v8k=")</f>
        <v>#REF!</v>
      </c>
      <c r="GU168" t="e">
        <f>AND(#REF!,"AAAAADX/v8o=")</f>
        <v>#REF!</v>
      </c>
      <c r="GV168" t="e">
        <f>AND(#REF!,"AAAAADX/v8s=")</f>
        <v>#REF!</v>
      </c>
      <c r="GW168" t="e">
        <f>AND(#REF!,"AAAAADX/v8w=")</f>
        <v>#REF!</v>
      </c>
      <c r="GX168" t="e">
        <f>AND(#REF!,"AAAAADX/v80=")</f>
        <v>#REF!</v>
      </c>
      <c r="GY168" t="e">
        <f>AND(#REF!,"AAAAADX/v84=")</f>
        <v>#REF!</v>
      </c>
      <c r="GZ168" t="e">
        <f>AND(#REF!,"AAAAADX/v88=")</f>
        <v>#REF!</v>
      </c>
      <c r="HA168" t="e">
        <f>AND(#REF!,"AAAAADX/v9A=")</f>
        <v>#REF!</v>
      </c>
      <c r="HB168" t="e">
        <f>AND(#REF!,"AAAAADX/v9E=")</f>
        <v>#REF!</v>
      </c>
      <c r="HC168" t="e">
        <f>AND(#REF!,"AAAAADX/v9I=")</f>
        <v>#REF!</v>
      </c>
      <c r="HD168" t="e">
        <f>AND(#REF!,"AAAAADX/v9M=")</f>
        <v>#REF!</v>
      </c>
      <c r="HE168" t="e">
        <f>AND(#REF!,"AAAAADX/v9Q=")</f>
        <v>#REF!</v>
      </c>
      <c r="HF168" t="e">
        <f>AND(#REF!,"AAAAADX/v9U=")</f>
        <v>#REF!</v>
      </c>
      <c r="HG168" t="e">
        <f>AND(#REF!,"AAAAADX/v9Y=")</f>
        <v>#REF!</v>
      </c>
      <c r="HH168" t="e">
        <f>AND(#REF!,"AAAAADX/v9c=")</f>
        <v>#REF!</v>
      </c>
      <c r="HI168" t="e">
        <f>AND(#REF!,"AAAAADX/v9g=")</f>
        <v>#REF!</v>
      </c>
      <c r="HJ168" t="e">
        <f>AND(#REF!,"AAAAADX/v9k=")</f>
        <v>#REF!</v>
      </c>
      <c r="HK168" t="e">
        <f>AND(#REF!,"AAAAADX/v9o=")</f>
        <v>#REF!</v>
      </c>
      <c r="HL168" t="e">
        <f>AND(#REF!,"AAAAADX/v9s=")</f>
        <v>#REF!</v>
      </c>
      <c r="HM168" t="e">
        <f>AND(#REF!,"AAAAADX/v9w=")</f>
        <v>#REF!</v>
      </c>
      <c r="HN168" t="e">
        <f>AND(#REF!,"AAAAADX/v90=")</f>
        <v>#REF!</v>
      </c>
      <c r="HO168" t="e">
        <f>AND(#REF!,"AAAAADX/v94=")</f>
        <v>#REF!</v>
      </c>
      <c r="HP168" t="e">
        <f>AND(#REF!,"AAAAADX/v98=")</f>
        <v>#REF!</v>
      </c>
      <c r="HQ168" t="e">
        <f>AND(#REF!,"AAAAADX/v+A=")</f>
        <v>#REF!</v>
      </c>
      <c r="HR168" t="e">
        <f>AND(#REF!,"AAAAADX/v+E=")</f>
        <v>#REF!</v>
      </c>
      <c r="HS168" t="e">
        <f>AND(#REF!,"AAAAADX/v+I=")</f>
        <v>#REF!</v>
      </c>
      <c r="HT168" t="e">
        <f>AND(#REF!,"AAAAADX/v+M=")</f>
        <v>#REF!</v>
      </c>
      <c r="HU168" t="e">
        <f>AND(#REF!,"AAAAADX/v+Q=")</f>
        <v>#REF!</v>
      </c>
      <c r="HV168" t="e">
        <f>AND(#REF!,"AAAAADX/v+U=")</f>
        <v>#REF!</v>
      </c>
      <c r="HW168" t="e">
        <f>AND(#REF!,"AAAAADX/v+Y=")</f>
        <v>#REF!</v>
      </c>
      <c r="HX168" t="e">
        <f>AND(#REF!,"AAAAADX/v+c=")</f>
        <v>#REF!</v>
      </c>
      <c r="HY168" t="e">
        <f>AND(#REF!,"AAAAADX/v+g=")</f>
        <v>#REF!</v>
      </c>
      <c r="HZ168" t="e">
        <f>AND(#REF!,"AAAAADX/v+k=")</f>
        <v>#REF!</v>
      </c>
      <c r="IA168" t="e">
        <f>AND(#REF!,"AAAAADX/v+o=")</f>
        <v>#REF!</v>
      </c>
      <c r="IB168" t="e">
        <f>AND(#REF!,"AAAAADX/v+s=")</f>
        <v>#REF!</v>
      </c>
      <c r="IC168" t="e">
        <f>AND(#REF!,"AAAAADX/v+w=")</f>
        <v>#REF!</v>
      </c>
      <c r="ID168" t="e">
        <f>AND(#REF!,"AAAAADX/v+0=")</f>
        <v>#REF!</v>
      </c>
      <c r="IE168" t="e">
        <f>AND(#REF!,"AAAAADX/v+4=")</f>
        <v>#REF!</v>
      </c>
      <c r="IF168" t="e">
        <f>AND(#REF!,"AAAAADX/v+8=")</f>
        <v>#REF!</v>
      </c>
      <c r="IG168" t="e">
        <f>AND(#REF!,"AAAAADX/v/A=")</f>
        <v>#REF!</v>
      </c>
      <c r="IH168" t="e">
        <f>AND(#REF!,"AAAAADX/v/E=")</f>
        <v>#REF!</v>
      </c>
      <c r="II168" t="e">
        <f>AND(#REF!,"AAAAADX/v/I=")</f>
        <v>#REF!</v>
      </c>
      <c r="IJ168" t="e">
        <f>AND(#REF!,"AAAAADX/v/M=")</f>
        <v>#REF!</v>
      </c>
      <c r="IK168" t="e">
        <f>AND(#REF!,"AAAAADX/v/Q=")</f>
        <v>#REF!</v>
      </c>
      <c r="IL168" t="e">
        <f>AND(#REF!,"AAAAADX/v/U=")</f>
        <v>#REF!</v>
      </c>
      <c r="IM168" t="e">
        <f>AND(#REF!,"AAAAADX/v/Y=")</f>
        <v>#REF!</v>
      </c>
      <c r="IN168" t="e">
        <f>AND(#REF!,"AAAAADX/v/c=")</f>
        <v>#REF!</v>
      </c>
      <c r="IO168" t="e">
        <f>AND(#REF!,"AAAAADX/v/g=")</f>
        <v>#REF!</v>
      </c>
      <c r="IP168" t="e">
        <f>AND(#REF!,"AAAAADX/v/k=")</f>
        <v>#REF!</v>
      </c>
      <c r="IQ168" t="e">
        <f>AND(#REF!,"AAAAADX/v/o=")</f>
        <v>#REF!</v>
      </c>
      <c r="IR168" t="e">
        <f>AND(#REF!,"AAAAADX/v/s=")</f>
        <v>#REF!</v>
      </c>
      <c r="IS168" t="e">
        <f>AND(#REF!,"AAAAADX/v/w=")</f>
        <v>#REF!</v>
      </c>
      <c r="IT168" t="e">
        <f>AND(#REF!,"AAAAADX/v/0=")</f>
        <v>#REF!</v>
      </c>
      <c r="IU168" t="e">
        <f>AND(#REF!,"AAAAADX/v/4=")</f>
        <v>#REF!</v>
      </c>
      <c r="IV168" t="e">
        <f>AND(#REF!,"AAAAADX/v/8=")</f>
        <v>#REF!</v>
      </c>
    </row>
    <row r="169" spans="1:256">
      <c r="A169" t="e">
        <f>AND(#REF!,"AAAAAD/3/wA=")</f>
        <v>#REF!</v>
      </c>
      <c r="B169" t="e">
        <f>AND(#REF!,"AAAAAD/3/wE=")</f>
        <v>#REF!</v>
      </c>
      <c r="C169" t="e">
        <f>AND(#REF!,"AAAAAD/3/wI=")</f>
        <v>#REF!</v>
      </c>
      <c r="D169" t="e">
        <f>AND(#REF!,"AAAAAD/3/wM=")</f>
        <v>#REF!</v>
      </c>
      <c r="E169" t="e">
        <f>AND(#REF!,"AAAAAD/3/wQ=")</f>
        <v>#REF!</v>
      </c>
      <c r="F169" t="e">
        <f>AND(#REF!,"AAAAAD/3/wU=")</f>
        <v>#REF!</v>
      </c>
      <c r="G169" t="e">
        <f>AND(#REF!,"AAAAAD/3/wY=")</f>
        <v>#REF!</v>
      </c>
      <c r="H169" t="e">
        <f>AND(#REF!,"AAAAAD/3/wc=")</f>
        <v>#REF!</v>
      </c>
      <c r="I169" t="e">
        <f>AND(#REF!,"AAAAAD/3/wg=")</f>
        <v>#REF!</v>
      </c>
      <c r="J169" t="e">
        <f>AND(#REF!,"AAAAAD/3/wk=")</f>
        <v>#REF!</v>
      </c>
      <c r="K169" t="e">
        <f>AND(#REF!,"AAAAAD/3/wo=")</f>
        <v>#REF!</v>
      </c>
      <c r="L169" t="e">
        <f>AND(#REF!,"AAAAAD/3/ws=")</f>
        <v>#REF!</v>
      </c>
      <c r="M169" t="e">
        <f>AND(#REF!,"AAAAAD/3/ww=")</f>
        <v>#REF!</v>
      </c>
      <c r="N169" t="e">
        <f>AND(#REF!,"AAAAAD/3/w0=")</f>
        <v>#REF!</v>
      </c>
      <c r="O169" t="e">
        <f>AND(#REF!,"AAAAAD/3/w4=")</f>
        <v>#REF!</v>
      </c>
      <c r="P169" t="e">
        <f>AND(#REF!,"AAAAAD/3/w8=")</f>
        <v>#REF!</v>
      </c>
      <c r="Q169" t="e">
        <f>AND(#REF!,"AAAAAD/3/xA=")</f>
        <v>#REF!</v>
      </c>
      <c r="R169" t="e">
        <f>AND(#REF!,"AAAAAD/3/xE=")</f>
        <v>#REF!</v>
      </c>
      <c r="S169" t="e">
        <f>AND(#REF!,"AAAAAD/3/xI=")</f>
        <v>#REF!</v>
      </c>
      <c r="T169" t="e">
        <f>AND(#REF!,"AAAAAD/3/xM=")</f>
        <v>#REF!</v>
      </c>
      <c r="U169" t="e">
        <f>AND(#REF!,"AAAAAD/3/xQ=")</f>
        <v>#REF!</v>
      </c>
      <c r="V169" t="e">
        <f>AND(#REF!,"AAAAAD/3/xU=")</f>
        <v>#REF!</v>
      </c>
      <c r="W169" t="e">
        <f>AND(#REF!,"AAAAAD/3/xY=")</f>
        <v>#REF!</v>
      </c>
      <c r="X169" t="e">
        <f>AND(#REF!,"AAAAAD/3/xc=")</f>
        <v>#REF!</v>
      </c>
      <c r="Y169" t="e">
        <f>AND(#REF!,"AAAAAD/3/xg=")</f>
        <v>#REF!</v>
      </c>
      <c r="Z169" t="e">
        <f>AND(#REF!,"AAAAAD/3/xk=")</f>
        <v>#REF!</v>
      </c>
      <c r="AA169" t="e">
        <f>IF(#REF!,"AAAAAD/3/xo=",0)</f>
        <v>#REF!</v>
      </c>
      <c r="AB169" t="e">
        <f>AND(#REF!,"AAAAAD/3/xs=")</f>
        <v>#REF!</v>
      </c>
      <c r="AC169" t="e">
        <f>AND(#REF!,"AAAAAD/3/xw=")</f>
        <v>#REF!</v>
      </c>
      <c r="AD169" t="e">
        <f>AND(#REF!,"AAAAAD/3/x0=")</f>
        <v>#REF!</v>
      </c>
      <c r="AE169" t="e">
        <f>AND(#REF!,"AAAAAD/3/x4=")</f>
        <v>#REF!</v>
      </c>
      <c r="AF169" t="e">
        <f>AND(#REF!,"AAAAAD/3/x8=")</f>
        <v>#REF!</v>
      </c>
      <c r="AG169" t="e">
        <f>AND(#REF!,"AAAAAD/3/yA=")</f>
        <v>#REF!</v>
      </c>
      <c r="AH169" t="e">
        <f>AND(#REF!,"AAAAAD/3/yE=")</f>
        <v>#REF!</v>
      </c>
      <c r="AI169" t="e">
        <f>AND(#REF!,"AAAAAD/3/yI=")</f>
        <v>#REF!</v>
      </c>
      <c r="AJ169" t="e">
        <f>AND(#REF!,"AAAAAD/3/yM=")</f>
        <v>#REF!</v>
      </c>
      <c r="AK169" t="e">
        <f>AND(#REF!,"AAAAAD/3/yQ=")</f>
        <v>#REF!</v>
      </c>
      <c r="AL169" t="e">
        <f>AND(#REF!,"AAAAAD/3/yU=")</f>
        <v>#REF!</v>
      </c>
      <c r="AM169" t="e">
        <f>AND(#REF!,"AAAAAD/3/yY=")</f>
        <v>#REF!</v>
      </c>
      <c r="AN169" t="e">
        <f>AND(#REF!,"AAAAAD/3/yc=")</f>
        <v>#REF!</v>
      </c>
      <c r="AO169" t="e">
        <f>AND(#REF!,"AAAAAD/3/yg=")</f>
        <v>#REF!</v>
      </c>
      <c r="AP169" t="e">
        <f>AND(#REF!,"AAAAAD/3/yk=")</f>
        <v>#REF!</v>
      </c>
      <c r="AQ169" t="e">
        <f>AND(#REF!,"AAAAAD/3/yo=")</f>
        <v>#REF!</v>
      </c>
      <c r="AR169" t="e">
        <f>AND(#REF!,"AAAAAD/3/ys=")</f>
        <v>#REF!</v>
      </c>
      <c r="AS169" t="e">
        <f>AND(#REF!,"AAAAAD/3/yw=")</f>
        <v>#REF!</v>
      </c>
      <c r="AT169" t="e">
        <f>AND(#REF!,"AAAAAD/3/y0=")</f>
        <v>#REF!</v>
      </c>
      <c r="AU169" t="e">
        <f>AND(#REF!,"AAAAAD/3/y4=")</f>
        <v>#REF!</v>
      </c>
      <c r="AV169" t="e">
        <f>AND(#REF!,"AAAAAD/3/y8=")</f>
        <v>#REF!</v>
      </c>
      <c r="AW169" t="e">
        <f>AND(#REF!,"AAAAAD/3/zA=")</f>
        <v>#REF!</v>
      </c>
      <c r="AX169" t="e">
        <f>AND(#REF!,"AAAAAD/3/zE=")</f>
        <v>#REF!</v>
      </c>
      <c r="AY169" t="e">
        <f>AND(#REF!,"AAAAAD/3/zI=")</f>
        <v>#REF!</v>
      </c>
      <c r="AZ169" t="e">
        <f>AND(#REF!,"AAAAAD/3/zM=")</f>
        <v>#REF!</v>
      </c>
      <c r="BA169" t="e">
        <f>AND(#REF!,"AAAAAD/3/zQ=")</f>
        <v>#REF!</v>
      </c>
      <c r="BB169" t="e">
        <f>AND(#REF!,"AAAAAD/3/zU=")</f>
        <v>#REF!</v>
      </c>
      <c r="BC169" t="e">
        <f>AND(#REF!,"AAAAAD/3/zY=")</f>
        <v>#REF!</v>
      </c>
      <c r="BD169" t="e">
        <f>AND(#REF!,"AAAAAD/3/zc=")</f>
        <v>#REF!</v>
      </c>
      <c r="BE169" t="e">
        <f>AND(#REF!,"AAAAAD/3/zg=")</f>
        <v>#REF!</v>
      </c>
      <c r="BF169" t="e">
        <f>AND(#REF!,"AAAAAD/3/zk=")</f>
        <v>#REF!</v>
      </c>
      <c r="BG169" t="e">
        <f>AND(#REF!,"AAAAAD/3/zo=")</f>
        <v>#REF!</v>
      </c>
      <c r="BH169" t="e">
        <f>AND(#REF!,"AAAAAD/3/zs=")</f>
        <v>#REF!</v>
      </c>
      <c r="BI169" t="e">
        <f>AND(#REF!,"AAAAAD/3/zw=")</f>
        <v>#REF!</v>
      </c>
      <c r="BJ169" t="e">
        <f>AND(#REF!,"AAAAAD/3/z0=")</f>
        <v>#REF!</v>
      </c>
      <c r="BK169" t="e">
        <f>AND(#REF!,"AAAAAD/3/z4=")</f>
        <v>#REF!</v>
      </c>
      <c r="BL169" t="e">
        <f>AND(#REF!,"AAAAAD/3/z8=")</f>
        <v>#REF!</v>
      </c>
      <c r="BM169" t="e">
        <f>AND(#REF!,"AAAAAD/3/0A=")</f>
        <v>#REF!</v>
      </c>
      <c r="BN169" t="e">
        <f>AND(#REF!,"AAAAAD/3/0E=")</f>
        <v>#REF!</v>
      </c>
      <c r="BO169" t="e">
        <f>AND(#REF!,"AAAAAD/3/0I=")</f>
        <v>#REF!</v>
      </c>
      <c r="BP169" t="e">
        <f>AND(#REF!,"AAAAAD/3/0M=")</f>
        <v>#REF!</v>
      </c>
      <c r="BQ169" t="e">
        <f>AND(#REF!,"AAAAAD/3/0Q=")</f>
        <v>#REF!</v>
      </c>
      <c r="BR169" t="e">
        <f>AND(#REF!,"AAAAAD/3/0U=")</f>
        <v>#REF!</v>
      </c>
      <c r="BS169" t="e">
        <f>AND(#REF!,"AAAAAD/3/0Y=")</f>
        <v>#REF!</v>
      </c>
      <c r="BT169" t="e">
        <f>AND(#REF!,"AAAAAD/3/0c=")</f>
        <v>#REF!</v>
      </c>
      <c r="BU169" t="e">
        <f>AND(#REF!,"AAAAAD/3/0g=")</f>
        <v>#REF!</v>
      </c>
      <c r="BV169" t="e">
        <f>AND(#REF!,"AAAAAD/3/0k=")</f>
        <v>#REF!</v>
      </c>
      <c r="BW169" t="e">
        <f>AND(#REF!,"AAAAAD/3/0o=")</f>
        <v>#REF!</v>
      </c>
      <c r="BX169" t="e">
        <f>AND(#REF!,"AAAAAD/3/0s=")</f>
        <v>#REF!</v>
      </c>
      <c r="BY169" t="e">
        <f>AND(#REF!,"AAAAAD/3/0w=")</f>
        <v>#REF!</v>
      </c>
      <c r="BZ169" t="e">
        <f>AND(#REF!,"AAAAAD/3/00=")</f>
        <v>#REF!</v>
      </c>
      <c r="CA169" t="e">
        <f>AND(#REF!,"AAAAAD/3/04=")</f>
        <v>#REF!</v>
      </c>
      <c r="CB169" t="e">
        <f>AND(#REF!,"AAAAAD/3/08=")</f>
        <v>#REF!</v>
      </c>
      <c r="CC169" t="e">
        <f>AND(#REF!,"AAAAAD/3/1A=")</f>
        <v>#REF!</v>
      </c>
      <c r="CD169" t="e">
        <f>AND(#REF!,"AAAAAD/3/1E=")</f>
        <v>#REF!</v>
      </c>
      <c r="CE169" t="e">
        <f>AND(#REF!,"AAAAAD/3/1I=")</f>
        <v>#REF!</v>
      </c>
      <c r="CF169" t="e">
        <f>AND(#REF!,"AAAAAD/3/1M=")</f>
        <v>#REF!</v>
      </c>
      <c r="CG169" t="e">
        <f>AND(#REF!,"AAAAAD/3/1Q=")</f>
        <v>#REF!</v>
      </c>
      <c r="CH169" t="e">
        <f>AND(#REF!,"AAAAAD/3/1U=")</f>
        <v>#REF!</v>
      </c>
      <c r="CI169" t="e">
        <f>AND(#REF!,"AAAAAD/3/1Y=")</f>
        <v>#REF!</v>
      </c>
      <c r="CJ169" t="e">
        <f>AND(#REF!,"AAAAAD/3/1c=")</f>
        <v>#REF!</v>
      </c>
      <c r="CK169" t="e">
        <f>AND(#REF!,"AAAAAD/3/1g=")</f>
        <v>#REF!</v>
      </c>
      <c r="CL169" t="e">
        <f>AND(#REF!,"AAAAAD/3/1k=")</f>
        <v>#REF!</v>
      </c>
      <c r="CM169" t="e">
        <f>AND(#REF!,"AAAAAD/3/1o=")</f>
        <v>#REF!</v>
      </c>
      <c r="CN169" t="e">
        <f>AND(#REF!,"AAAAAD/3/1s=")</f>
        <v>#REF!</v>
      </c>
      <c r="CO169" t="e">
        <f>AND(#REF!,"AAAAAD/3/1w=")</f>
        <v>#REF!</v>
      </c>
      <c r="CP169" t="e">
        <f>AND(#REF!,"AAAAAD/3/10=")</f>
        <v>#REF!</v>
      </c>
      <c r="CQ169" t="e">
        <f>AND(#REF!,"AAAAAD/3/14=")</f>
        <v>#REF!</v>
      </c>
      <c r="CR169" t="e">
        <f>AND(#REF!,"AAAAAD/3/18=")</f>
        <v>#REF!</v>
      </c>
      <c r="CS169" t="e">
        <f>AND(#REF!,"AAAAAD/3/2A=")</f>
        <v>#REF!</v>
      </c>
      <c r="CT169" t="e">
        <f>AND(#REF!,"AAAAAD/3/2E=")</f>
        <v>#REF!</v>
      </c>
      <c r="CU169" t="e">
        <f>AND(#REF!,"AAAAAD/3/2I=")</f>
        <v>#REF!</v>
      </c>
      <c r="CV169" t="e">
        <f>AND(#REF!,"AAAAAD/3/2M=")</f>
        <v>#REF!</v>
      </c>
      <c r="CW169" t="e">
        <f>AND(#REF!,"AAAAAD/3/2Q=")</f>
        <v>#REF!</v>
      </c>
      <c r="CX169" t="e">
        <f>AND(#REF!,"AAAAAD/3/2U=")</f>
        <v>#REF!</v>
      </c>
      <c r="CY169" t="e">
        <f>AND(#REF!,"AAAAAD/3/2Y=")</f>
        <v>#REF!</v>
      </c>
      <c r="CZ169" t="e">
        <f>AND(#REF!,"AAAAAD/3/2c=")</f>
        <v>#REF!</v>
      </c>
      <c r="DA169" t="e">
        <f>AND(#REF!,"AAAAAD/3/2g=")</f>
        <v>#REF!</v>
      </c>
      <c r="DB169" t="e">
        <f>AND(#REF!,"AAAAAD/3/2k=")</f>
        <v>#REF!</v>
      </c>
      <c r="DC169" t="e">
        <f>AND(#REF!,"AAAAAD/3/2o=")</f>
        <v>#REF!</v>
      </c>
      <c r="DD169" t="e">
        <f>AND(#REF!,"AAAAAD/3/2s=")</f>
        <v>#REF!</v>
      </c>
      <c r="DE169" t="e">
        <f>AND(#REF!,"AAAAAD/3/2w=")</f>
        <v>#REF!</v>
      </c>
      <c r="DF169" t="e">
        <f>AND(#REF!,"AAAAAD/3/20=")</f>
        <v>#REF!</v>
      </c>
      <c r="DG169" t="e">
        <f>AND(#REF!,"AAAAAD/3/24=")</f>
        <v>#REF!</v>
      </c>
      <c r="DH169" t="e">
        <f>AND(#REF!,"AAAAAD/3/28=")</f>
        <v>#REF!</v>
      </c>
      <c r="DI169" t="e">
        <f>AND(#REF!,"AAAAAD/3/3A=")</f>
        <v>#REF!</v>
      </c>
      <c r="DJ169" t="e">
        <f>AND(#REF!,"AAAAAD/3/3E=")</f>
        <v>#REF!</v>
      </c>
      <c r="DK169" t="e">
        <f>AND(#REF!,"AAAAAD/3/3I=")</f>
        <v>#REF!</v>
      </c>
      <c r="DL169" t="e">
        <f>AND(#REF!,"AAAAAD/3/3M=")</f>
        <v>#REF!</v>
      </c>
      <c r="DM169" t="e">
        <f>AND(#REF!,"AAAAAD/3/3Q=")</f>
        <v>#REF!</v>
      </c>
      <c r="DN169" t="e">
        <f>AND(#REF!,"AAAAAD/3/3U=")</f>
        <v>#REF!</v>
      </c>
      <c r="DO169" t="e">
        <f>AND(#REF!,"AAAAAD/3/3Y=")</f>
        <v>#REF!</v>
      </c>
      <c r="DP169" t="e">
        <f>AND(#REF!,"AAAAAD/3/3c=")</f>
        <v>#REF!</v>
      </c>
      <c r="DQ169" t="e">
        <f>AND(#REF!,"AAAAAD/3/3g=")</f>
        <v>#REF!</v>
      </c>
      <c r="DR169" t="e">
        <f>AND(#REF!,"AAAAAD/3/3k=")</f>
        <v>#REF!</v>
      </c>
      <c r="DS169" t="e">
        <f>AND(#REF!,"AAAAAD/3/3o=")</f>
        <v>#REF!</v>
      </c>
      <c r="DT169" t="e">
        <f>AND(#REF!,"AAAAAD/3/3s=")</f>
        <v>#REF!</v>
      </c>
      <c r="DU169" t="e">
        <f>AND(#REF!,"AAAAAD/3/3w=")</f>
        <v>#REF!</v>
      </c>
      <c r="DV169" t="e">
        <f>AND(#REF!,"AAAAAD/3/30=")</f>
        <v>#REF!</v>
      </c>
      <c r="DW169" t="e">
        <f>AND(#REF!,"AAAAAD/3/34=")</f>
        <v>#REF!</v>
      </c>
      <c r="DX169" t="e">
        <f>AND(#REF!,"AAAAAD/3/38=")</f>
        <v>#REF!</v>
      </c>
      <c r="DY169" t="e">
        <f>AND(#REF!,"AAAAAD/3/4A=")</f>
        <v>#REF!</v>
      </c>
      <c r="DZ169" t="e">
        <f>AND(#REF!,"AAAAAD/3/4E=")</f>
        <v>#REF!</v>
      </c>
      <c r="EA169" t="e">
        <f>AND(#REF!,"AAAAAD/3/4I=")</f>
        <v>#REF!</v>
      </c>
      <c r="EB169" t="e">
        <f>AND(#REF!,"AAAAAD/3/4M=")</f>
        <v>#REF!</v>
      </c>
      <c r="EC169" t="e">
        <f>AND(#REF!,"AAAAAD/3/4Q=")</f>
        <v>#REF!</v>
      </c>
      <c r="ED169" t="e">
        <f>AND(#REF!,"AAAAAD/3/4U=")</f>
        <v>#REF!</v>
      </c>
      <c r="EE169" t="e">
        <f>AND(#REF!,"AAAAAD/3/4Y=")</f>
        <v>#REF!</v>
      </c>
      <c r="EF169" t="e">
        <f>AND(#REF!,"AAAAAD/3/4c=")</f>
        <v>#REF!</v>
      </c>
      <c r="EG169" t="e">
        <f>AND(#REF!,"AAAAAD/3/4g=")</f>
        <v>#REF!</v>
      </c>
      <c r="EH169" t="e">
        <f>AND(#REF!,"AAAAAD/3/4k=")</f>
        <v>#REF!</v>
      </c>
      <c r="EI169" t="e">
        <f>AND(#REF!,"AAAAAD/3/4o=")</f>
        <v>#REF!</v>
      </c>
      <c r="EJ169" t="e">
        <f>AND(#REF!,"AAAAAD/3/4s=")</f>
        <v>#REF!</v>
      </c>
      <c r="EK169" t="e">
        <f>AND(#REF!,"AAAAAD/3/4w=")</f>
        <v>#REF!</v>
      </c>
      <c r="EL169" t="e">
        <f>AND(#REF!,"AAAAAD/3/40=")</f>
        <v>#REF!</v>
      </c>
      <c r="EM169" t="e">
        <f>AND(#REF!,"AAAAAD/3/44=")</f>
        <v>#REF!</v>
      </c>
      <c r="EN169" t="e">
        <f>AND(#REF!,"AAAAAD/3/48=")</f>
        <v>#REF!</v>
      </c>
      <c r="EO169" t="e">
        <f>AND(#REF!,"AAAAAD/3/5A=")</f>
        <v>#REF!</v>
      </c>
      <c r="EP169" t="e">
        <f>AND(#REF!,"AAAAAD/3/5E=")</f>
        <v>#REF!</v>
      </c>
      <c r="EQ169" t="e">
        <f>AND(#REF!,"AAAAAD/3/5I=")</f>
        <v>#REF!</v>
      </c>
      <c r="ER169" t="e">
        <f>AND(#REF!,"AAAAAD/3/5M=")</f>
        <v>#REF!</v>
      </c>
      <c r="ES169" t="e">
        <f>AND(#REF!,"AAAAAD/3/5Q=")</f>
        <v>#REF!</v>
      </c>
      <c r="ET169" t="e">
        <f>AND(#REF!,"AAAAAD/3/5U=")</f>
        <v>#REF!</v>
      </c>
      <c r="EU169" t="e">
        <f>AND(#REF!,"AAAAAD/3/5Y=")</f>
        <v>#REF!</v>
      </c>
      <c r="EV169" t="e">
        <f>AND(#REF!,"AAAAAD/3/5c=")</f>
        <v>#REF!</v>
      </c>
      <c r="EW169" t="e">
        <f>AND(#REF!,"AAAAAD/3/5g=")</f>
        <v>#REF!</v>
      </c>
      <c r="EX169" t="e">
        <f>AND(#REF!,"AAAAAD/3/5k=")</f>
        <v>#REF!</v>
      </c>
      <c r="EY169" t="e">
        <f>AND(#REF!,"AAAAAD/3/5o=")</f>
        <v>#REF!</v>
      </c>
      <c r="EZ169" t="e">
        <f>AND(#REF!,"AAAAAD/3/5s=")</f>
        <v>#REF!</v>
      </c>
      <c r="FA169" t="e">
        <f>AND(#REF!,"AAAAAD/3/5w=")</f>
        <v>#REF!</v>
      </c>
      <c r="FB169" t="e">
        <f>AND(#REF!,"AAAAAD/3/50=")</f>
        <v>#REF!</v>
      </c>
      <c r="FC169" t="e">
        <f>AND(#REF!,"AAAAAD/3/54=")</f>
        <v>#REF!</v>
      </c>
      <c r="FD169" t="e">
        <f>AND(#REF!,"AAAAAD/3/58=")</f>
        <v>#REF!</v>
      </c>
      <c r="FE169" t="e">
        <f>AND(#REF!,"AAAAAD/3/6A=")</f>
        <v>#REF!</v>
      </c>
      <c r="FF169" t="e">
        <f>AND(#REF!,"AAAAAD/3/6E=")</f>
        <v>#REF!</v>
      </c>
      <c r="FG169" t="e">
        <f>AND(#REF!,"AAAAAD/3/6I=")</f>
        <v>#REF!</v>
      </c>
      <c r="FH169" t="e">
        <f>AND(#REF!,"AAAAAD/3/6M=")</f>
        <v>#REF!</v>
      </c>
      <c r="FI169" t="e">
        <f>AND(#REF!,"AAAAAD/3/6Q=")</f>
        <v>#REF!</v>
      </c>
      <c r="FJ169" t="e">
        <f>AND(#REF!,"AAAAAD/3/6U=")</f>
        <v>#REF!</v>
      </c>
      <c r="FK169" t="e">
        <f>AND(#REF!,"AAAAAD/3/6Y=")</f>
        <v>#REF!</v>
      </c>
      <c r="FL169" t="e">
        <f>AND(#REF!,"AAAAAD/3/6c=")</f>
        <v>#REF!</v>
      </c>
      <c r="FM169" t="e">
        <f>AND(#REF!,"AAAAAD/3/6g=")</f>
        <v>#REF!</v>
      </c>
      <c r="FN169" t="e">
        <f>AND(#REF!,"AAAAAD/3/6k=")</f>
        <v>#REF!</v>
      </c>
      <c r="FO169" t="e">
        <f>AND(#REF!,"AAAAAD/3/6o=")</f>
        <v>#REF!</v>
      </c>
      <c r="FP169" t="e">
        <f>AND(#REF!,"AAAAAD/3/6s=")</f>
        <v>#REF!</v>
      </c>
      <c r="FQ169" t="e">
        <f>AND(#REF!,"AAAAAD/3/6w=")</f>
        <v>#REF!</v>
      </c>
      <c r="FR169" t="e">
        <f>AND(#REF!,"AAAAAD/3/60=")</f>
        <v>#REF!</v>
      </c>
      <c r="FS169" t="e">
        <f>AND(#REF!,"AAAAAD/3/64=")</f>
        <v>#REF!</v>
      </c>
      <c r="FT169" t="e">
        <f>AND(#REF!,"AAAAAD/3/68=")</f>
        <v>#REF!</v>
      </c>
      <c r="FU169" t="e">
        <f>AND(#REF!,"AAAAAD/3/7A=")</f>
        <v>#REF!</v>
      </c>
      <c r="FV169" t="e">
        <f>AND(#REF!,"AAAAAD/3/7E=")</f>
        <v>#REF!</v>
      </c>
      <c r="FW169" t="e">
        <f>AND(#REF!,"AAAAAD/3/7I=")</f>
        <v>#REF!</v>
      </c>
      <c r="FX169" t="e">
        <f>AND(#REF!,"AAAAAD/3/7M=")</f>
        <v>#REF!</v>
      </c>
      <c r="FY169" t="e">
        <f>AND(#REF!,"AAAAAD/3/7Q=")</f>
        <v>#REF!</v>
      </c>
      <c r="FZ169" t="e">
        <f>AND(#REF!,"AAAAAD/3/7U=")</f>
        <v>#REF!</v>
      </c>
      <c r="GA169" t="e">
        <f>AND(#REF!,"AAAAAD/3/7Y=")</f>
        <v>#REF!</v>
      </c>
      <c r="GB169" t="e">
        <f>AND(#REF!,"AAAAAD/3/7c=")</f>
        <v>#REF!</v>
      </c>
      <c r="GC169" t="e">
        <f>AND(#REF!,"AAAAAD/3/7g=")</f>
        <v>#REF!</v>
      </c>
      <c r="GD169" t="e">
        <f>AND(#REF!,"AAAAAD/3/7k=")</f>
        <v>#REF!</v>
      </c>
      <c r="GE169" t="e">
        <f>AND(#REF!,"AAAAAD/3/7o=")</f>
        <v>#REF!</v>
      </c>
      <c r="GF169" t="e">
        <f>AND(#REF!,"AAAAAD/3/7s=")</f>
        <v>#REF!</v>
      </c>
      <c r="GG169" t="e">
        <f>AND(#REF!,"AAAAAD/3/7w=")</f>
        <v>#REF!</v>
      </c>
      <c r="GH169" t="e">
        <f>AND(#REF!,"AAAAAD/3/70=")</f>
        <v>#REF!</v>
      </c>
      <c r="GI169" t="e">
        <f>AND(#REF!,"AAAAAD/3/74=")</f>
        <v>#REF!</v>
      </c>
      <c r="GJ169" t="e">
        <f>AND(#REF!,"AAAAAD/3/78=")</f>
        <v>#REF!</v>
      </c>
      <c r="GK169" t="e">
        <f>AND(#REF!,"AAAAAD/3/8A=")</f>
        <v>#REF!</v>
      </c>
      <c r="GL169" t="e">
        <f>AND(#REF!,"AAAAAD/3/8E=")</f>
        <v>#REF!</v>
      </c>
      <c r="GM169" t="e">
        <f>AND(#REF!,"AAAAAD/3/8I=")</f>
        <v>#REF!</v>
      </c>
      <c r="GN169" t="e">
        <f>AND(#REF!,"AAAAAD/3/8M=")</f>
        <v>#REF!</v>
      </c>
      <c r="GO169" t="e">
        <f>AND(#REF!,"AAAAAD/3/8Q=")</f>
        <v>#REF!</v>
      </c>
      <c r="GP169" t="e">
        <f>AND(#REF!,"AAAAAD/3/8U=")</f>
        <v>#REF!</v>
      </c>
      <c r="GQ169" t="e">
        <f>AND(#REF!,"AAAAAD/3/8Y=")</f>
        <v>#REF!</v>
      </c>
      <c r="GR169" t="e">
        <f>AND(#REF!,"AAAAAD/3/8c=")</f>
        <v>#REF!</v>
      </c>
      <c r="GS169" t="e">
        <f>AND(#REF!,"AAAAAD/3/8g=")</f>
        <v>#REF!</v>
      </c>
      <c r="GT169" t="e">
        <f>AND(#REF!,"AAAAAD/3/8k=")</f>
        <v>#REF!</v>
      </c>
      <c r="GU169" t="e">
        <f>AND(#REF!,"AAAAAD/3/8o=")</f>
        <v>#REF!</v>
      </c>
      <c r="GV169" t="e">
        <f>AND(#REF!,"AAAAAD/3/8s=")</f>
        <v>#REF!</v>
      </c>
      <c r="GW169" t="e">
        <f>AND(#REF!,"AAAAAD/3/8w=")</f>
        <v>#REF!</v>
      </c>
      <c r="GX169" t="e">
        <f>AND(#REF!,"AAAAAD/3/80=")</f>
        <v>#REF!</v>
      </c>
      <c r="GY169" t="e">
        <f>AND(#REF!,"AAAAAD/3/84=")</f>
        <v>#REF!</v>
      </c>
      <c r="GZ169" t="e">
        <f>AND(#REF!,"AAAAAD/3/88=")</f>
        <v>#REF!</v>
      </c>
      <c r="HA169" t="e">
        <f>AND(#REF!,"AAAAAD/3/9A=")</f>
        <v>#REF!</v>
      </c>
      <c r="HB169" t="e">
        <f>AND(#REF!,"AAAAAD/3/9E=")</f>
        <v>#REF!</v>
      </c>
      <c r="HC169" t="e">
        <f>AND(#REF!,"AAAAAD/3/9I=")</f>
        <v>#REF!</v>
      </c>
      <c r="HD169" t="e">
        <f>AND(#REF!,"AAAAAD/3/9M=")</f>
        <v>#REF!</v>
      </c>
      <c r="HE169" t="e">
        <f>AND(#REF!,"AAAAAD/3/9Q=")</f>
        <v>#REF!</v>
      </c>
      <c r="HF169" t="e">
        <f>AND(#REF!,"AAAAAD/3/9U=")</f>
        <v>#REF!</v>
      </c>
      <c r="HG169" t="e">
        <f>AND(#REF!,"AAAAAD/3/9Y=")</f>
        <v>#REF!</v>
      </c>
      <c r="HH169" t="e">
        <f>AND(#REF!,"AAAAAD/3/9c=")</f>
        <v>#REF!</v>
      </c>
      <c r="HI169" t="e">
        <f>AND(#REF!,"AAAAAD/3/9g=")</f>
        <v>#REF!</v>
      </c>
      <c r="HJ169" t="e">
        <f>AND(#REF!,"AAAAAD/3/9k=")</f>
        <v>#REF!</v>
      </c>
      <c r="HK169" t="e">
        <f>AND(#REF!,"AAAAAD/3/9o=")</f>
        <v>#REF!</v>
      </c>
      <c r="HL169" t="e">
        <f>AND(#REF!,"AAAAAD/3/9s=")</f>
        <v>#REF!</v>
      </c>
      <c r="HM169" t="e">
        <f>AND(#REF!,"AAAAAD/3/9w=")</f>
        <v>#REF!</v>
      </c>
      <c r="HN169" t="e">
        <f>AND(#REF!,"AAAAAD/3/90=")</f>
        <v>#REF!</v>
      </c>
      <c r="HO169" t="e">
        <f>AND(#REF!,"AAAAAD/3/94=")</f>
        <v>#REF!</v>
      </c>
      <c r="HP169" t="e">
        <f>AND(#REF!,"AAAAAD/3/98=")</f>
        <v>#REF!</v>
      </c>
      <c r="HQ169" t="e">
        <f>AND(#REF!,"AAAAAD/3/+A=")</f>
        <v>#REF!</v>
      </c>
      <c r="HR169" t="e">
        <f>AND(#REF!,"AAAAAD/3/+E=")</f>
        <v>#REF!</v>
      </c>
      <c r="HS169" t="e">
        <f>AND(#REF!,"AAAAAD/3/+I=")</f>
        <v>#REF!</v>
      </c>
      <c r="HT169" t="e">
        <f>AND(#REF!,"AAAAAD/3/+M=")</f>
        <v>#REF!</v>
      </c>
      <c r="HU169" t="e">
        <f>AND(#REF!,"AAAAAD/3/+Q=")</f>
        <v>#REF!</v>
      </c>
      <c r="HV169" t="e">
        <f>AND(#REF!,"AAAAAD/3/+U=")</f>
        <v>#REF!</v>
      </c>
      <c r="HW169" t="e">
        <f>AND(#REF!,"AAAAAD/3/+Y=")</f>
        <v>#REF!</v>
      </c>
      <c r="HX169" t="e">
        <f>AND(#REF!,"AAAAAD/3/+c=")</f>
        <v>#REF!</v>
      </c>
      <c r="HY169" t="e">
        <f>AND(#REF!,"AAAAAD/3/+g=")</f>
        <v>#REF!</v>
      </c>
      <c r="HZ169" t="e">
        <f>AND(#REF!,"AAAAAD/3/+k=")</f>
        <v>#REF!</v>
      </c>
      <c r="IA169" t="e">
        <f>AND(#REF!,"AAAAAD/3/+o=")</f>
        <v>#REF!</v>
      </c>
      <c r="IB169" t="e">
        <f>AND(#REF!,"AAAAAD/3/+s=")</f>
        <v>#REF!</v>
      </c>
      <c r="IC169" t="e">
        <f>AND(#REF!,"AAAAAD/3/+w=")</f>
        <v>#REF!</v>
      </c>
      <c r="ID169" t="e">
        <f>AND(#REF!,"AAAAAD/3/+0=")</f>
        <v>#REF!</v>
      </c>
      <c r="IE169" t="e">
        <f>AND(#REF!,"AAAAAD/3/+4=")</f>
        <v>#REF!</v>
      </c>
      <c r="IF169" t="e">
        <f>AND(#REF!,"AAAAAD/3/+8=")</f>
        <v>#REF!</v>
      </c>
      <c r="IG169" t="e">
        <f>AND(#REF!,"AAAAAD/3//A=")</f>
        <v>#REF!</v>
      </c>
      <c r="IH169" t="e">
        <f>AND(#REF!,"AAAAAD/3//E=")</f>
        <v>#REF!</v>
      </c>
      <c r="II169" t="e">
        <f>AND(#REF!,"AAAAAD/3//I=")</f>
        <v>#REF!</v>
      </c>
      <c r="IJ169" t="e">
        <f>AND(#REF!,"AAAAAD/3//M=")</f>
        <v>#REF!</v>
      </c>
      <c r="IK169" t="e">
        <f>AND(#REF!,"AAAAAD/3//Q=")</f>
        <v>#REF!</v>
      </c>
      <c r="IL169" t="e">
        <f>AND(#REF!,"AAAAAD/3//U=")</f>
        <v>#REF!</v>
      </c>
      <c r="IM169" t="e">
        <f>AND(#REF!,"AAAAAD/3//Y=")</f>
        <v>#REF!</v>
      </c>
      <c r="IN169" t="e">
        <f>AND(#REF!,"AAAAAD/3//c=")</f>
        <v>#REF!</v>
      </c>
      <c r="IO169" t="e">
        <f>AND(#REF!,"AAAAAD/3//g=")</f>
        <v>#REF!</v>
      </c>
      <c r="IP169" t="e">
        <f>AND(#REF!,"AAAAAD/3//k=")</f>
        <v>#REF!</v>
      </c>
      <c r="IQ169" t="e">
        <f>AND(#REF!,"AAAAAD/3//o=")</f>
        <v>#REF!</v>
      </c>
      <c r="IR169" t="e">
        <f>AND(#REF!,"AAAAAD/3//s=")</f>
        <v>#REF!</v>
      </c>
      <c r="IS169" t="e">
        <f>AND(#REF!,"AAAAAD/3//w=")</f>
        <v>#REF!</v>
      </c>
      <c r="IT169" t="e">
        <f>AND(#REF!,"AAAAAD/3//0=")</f>
        <v>#REF!</v>
      </c>
      <c r="IU169" t="e">
        <f>IF(#REF!,"AAAAAD/3//4=",0)</f>
        <v>#REF!</v>
      </c>
      <c r="IV169" t="e">
        <f>AND(#REF!,"AAAAAD/3//8=")</f>
        <v>#REF!</v>
      </c>
    </row>
    <row r="170" spans="1:256">
      <c r="A170" t="e">
        <f>AND(#REF!,"AAAAAH/t2wA=")</f>
        <v>#REF!</v>
      </c>
      <c r="B170" t="e">
        <f>AND(#REF!,"AAAAAH/t2wE=")</f>
        <v>#REF!</v>
      </c>
      <c r="C170" t="e">
        <f>AND(#REF!,"AAAAAH/t2wI=")</f>
        <v>#REF!</v>
      </c>
      <c r="D170" t="e">
        <f>AND(#REF!,"AAAAAH/t2wM=")</f>
        <v>#REF!</v>
      </c>
      <c r="E170" t="e">
        <f>AND(#REF!,"AAAAAH/t2wQ=")</f>
        <v>#REF!</v>
      </c>
      <c r="F170" t="e">
        <f>AND(#REF!,"AAAAAH/t2wU=")</f>
        <v>#REF!</v>
      </c>
      <c r="G170" t="e">
        <f>AND(#REF!,"AAAAAH/t2wY=")</f>
        <v>#REF!</v>
      </c>
      <c r="H170" t="e">
        <f>AND(#REF!,"AAAAAH/t2wc=")</f>
        <v>#REF!</v>
      </c>
      <c r="I170" t="e">
        <f>AND(#REF!,"AAAAAH/t2wg=")</f>
        <v>#REF!</v>
      </c>
      <c r="J170" t="e">
        <f>AND(#REF!,"AAAAAH/t2wk=")</f>
        <v>#REF!</v>
      </c>
      <c r="K170" t="e">
        <f>AND(#REF!,"AAAAAH/t2wo=")</f>
        <v>#REF!</v>
      </c>
      <c r="L170" t="e">
        <f>AND(#REF!,"AAAAAH/t2ws=")</f>
        <v>#REF!</v>
      </c>
      <c r="M170" t="e">
        <f>AND(#REF!,"AAAAAH/t2ww=")</f>
        <v>#REF!</v>
      </c>
      <c r="N170" t="e">
        <f>AND(#REF!,"AAAAAH/t2w0=")</f>
        <v>#REF!</v>
      </c>
      <c r="O170" t="e">
        <f>AND(#REF!,"AAAAAH/t2w4=")</f>
        <v>#REF!</v>
      </c>
      <c r="P170" t="e">
        <f>AND(#REF!,"AAAAAH/t2w8=")</f>
        <v>#REF!</v>
      </c>
      <c r="Q170" t="e">
        <f>AND(#REF!,"AAAAAH/t2xA=")</f>
        <v>#REF!</v>
      </c>
      <c r="R170" t="e">
        <f>AND(#REF!,"AAAAAH/t2xE=")</f>
        <v>#REF!</v>
      </c>
      <c r="S170" t="e">
        <f>AND(#REF!,"AAAAAH/t2xI=")</f>
        <v>#REF!</v>
      </c>
      <c r="T170" t="e">
        <f>AND(#REF!,"AAAAAH/t2xM=")</f>
        <v>#REF!</v>
      </c>
      <c r="U170" t="e">
        <f>AND(#REF!,"AAAAAH/t2xQ=")</f>
        <v>#REF!</v>
      </c>
      <c r="V170" t="e">
        <f>AND(#REF!,"AAAAAH/t2xU=")</f>
        <v>#REF!</v>
      </c>
      <c r="W170" t="e">
        <f>AND(#REF!,"AAAAAH/t2xY=")</f>
        <v>#REF!</v>
      </c>
      <c r="X170" t="e">
        <f>AND(#REF!,"AAAAAH/t2xc=")</f>
        <v>#REF!</v>
      </c>
      <c r="Y170" t="e">
        <f>AND(#REF!,"AAAAAH/t2xg=")</f>
        <v>#REF!</v>
      </c>
      <c r="Z170" t="e">
        <f>AND(#REF!,"AAAAAH/t2xk=")</f>
        <v>#REF!</v>
      </c>
      <c r="AA170" t="e">
        <f>AND(#REF!,"AAAAAH/t2xo=")</f>
        <v>#REF!</v>
      </c>
      <c r="AB170" t="e">
        <f>AND(#REF!,"AAAAAH/t2xs=")</f>
        <v>#REF!</v>
      </c>
      <c r="AC170" t="e">
        <f>AND(#REF!,"AAAAAH/t2xw=")</f>
        <v>#REF!</v>
      </c>
      <c r="AD170" t="e">
        <f>AND(#REF!,"AAAAAH/t2x0=")</f>
        <v>#REF!</v>
      </c>
      <c r="AE170" t="e">
        <f>AND(#REF!,"AAAAAH/t2x4=")</f>
        <v>#REF!</v>
      </c>
      <c r="AF170" t="e">
        <f>AND(#REF!,"AAAAAH/t2x8=")</f>
        <v>#REF!</v>
      </c>
      <c r="AG170" t="e">
        <f>AND(#REF!,"AAAAAH/t2yA=")</f>
        <v>#REF!</v>
      </c>
      <c r="AH170" t="e">
        <f>AND(#REF!,"AAAAAH/t2yE=")</f>
        <v>#REF!</v>
      </c>
      <c r="AI170" t="e">
        <f>AND(#REF!,"AAAAAH/t2yI=")</f>
        <v>#REF!</v>
      </c>
      <c r="AJ170" t="e">
        <f>AND(#REF!,"AAAAAH/t2yM=")</f>
        <v>#REF!</v>
      </c>
      <c r="AK170" t="e">
        <f>AND(#REF!,"AAAAAH/t2yQ=")</f>
        <v>#REF!</v>
      </c>
      <c r="AL170" t="e">
        <f>AND(#REF!,"AAAAAH/t2yU=")</f>
        <v>#REF!</v>
      </c>
      <c r="AM170" t="e">
        <f>AND(#REF!,"AAAAAH/t2yY=")</f>
        <v>#REF!</v>
      </c>
      <c r="AN170" t="e">
        <f>AND(#REF!,"AAAAAH/t2yc=")</f>
        <v>#REF!</v>
      </c>
      <c r="AO170" t="e">
        <f>AND(#REF!,"AAAAAH/t2yg=")</f>
        <v>#REF!</v>
      </c>
      <c r="AP170" t="e">
        <f>AND(#REF!,"AAAAAH/t2yk=")</f>
        <v>#REF!</v>
      </c>
      <c r="AQ170" t="e">
        <f>AND(#REF!,"AAAAAH/t2yo=")</f>
        <v>#REF!</v>
      </c>
      <c r="AR170" t="e">
        <f>AND(#REF!,"AAAAAH/t2ys=")</f>
        <v>#REF!</v>
      </c>
      <c r="AS170" t="e">
        <f>AND(#REF!,"AAAAAH/t2yw=")</f>
        <v>#REF!</v>
      </c>
      <c r="AT170" t="e">
        <f>AND(#REF!,"AAAAAH/t2y0=")</f>
        <v>#REF!</v>
      </c>
      <c r="AU170" t="e">
        <f>AND(#REF!,"AAAAAH/t2y4=")</f>
        <v>#REF!</v>
      </c>
      <c r="AV170" t="e">
        <f>AND(#REF!,"AAAAAH/t2y8=")</f>
        <v>#REF!</v>
      </c>
      <c r="AW170" t="e">
        <f>AND(#REF!,"AAAAAH/t2zA=")</f>
        <v>#REF!</v>
      </c>
      <c r="AX170" t="e">
        <f>AND(#REF!,"AAAAAH/t2zE=")</f>
        <v>#REF!</v>
      </c>
      <c r="AY170" t="e">
        <f>AND(#REF!,"AAAAAH/t2zI=")</f>
        <v>#REF!</v>
      </c>
      <c r="AZ170" t="e">
        <f>AND(#REF!,"AAAAAH/t2zM=")</f>
        <v>#REF!</v>
      </c>
      <c r="BA170" t="e">
        <f>AND(#REF!,"AAAAAH/t2zQ=")</f>
        <v>#REF!</v>
      </c>
      <c r="BB170" t="e">
        <f>AND(#REF!,"AAAAAH/t2zU=")</f>
        <v>#REF!</v>
      </c>
      <c r="BC170" t="e">
        <f>AND(#REF!,"AAAAAH/t2zY=")</f>
        <v>#REF!</v>
      </c>
      <c r="BD170" t="e">
        <f>AND(#REF!,"AAAAAH/t2zc=")</f>
        <v>#REF!</v>
      </c>
      <c r="BE170" t="e">
        <f>AND(#REF!,"AAAAAH/t2zg=")</f>
        <v>#REF!</v>
      </c>
      <c r="BF170" t="e">
        <f>AND(#REF!,"AAAAAH/t2zk=")</f>
        <v>#REF!</v>
      </c>
      <c r="BG170" t="e">
        <f>AND(#REF!,"AAAAAH/t2zo=")</f>
        <v>#REF!</v>
      </c>
      <c r="BH170" t="e">
        <f>AND(#REF!,"AAAAAH/t2zs=")</f>
        <v>#REF!</v>
      </c>
      <c r="BI170" t="e">
        <f>AND(#REF!,"AAAAAH/t2zw=")</f>
        <v>#REF!</v>
      </c>
      <c r="BJ170" t="e">
        <f>AND(#REF!,"AAAAAH/t2z0=")</f>
        <v>#REF!</v>
      </c>
      <c r="BK170" t="e">
        <f>AND(#REF!,"AAAAAH/t2z4=")</f>
        <v>#REF!</v>
      </c>
      <c r="BL170" t="e">
        <f>AND(#REF!,"AAAAAH/t2z8=")</f>
        <v>#REF!</v>
      </c>
      <c r="BM170" t="e">
        <f>AND(#REF!,"AAAAAH/t20A=")</f>
        <v>#REF!</v>
      </c>
      <c r="BN170" t="e">
        <f>AND(#REF!,"AAAAAH/t20E=")</f>
        <v>#REF!</v>
      </c>
      <c r="BO170" t="e">
        <f>AND(#REF!,"AAAAAH/t20I=")</f>
        <v>#REF!</v>
      </c>
      <c r="BP170" t="e">
        <f>AND(#REF!,"AAAAAH/t20M=")</f>
        <v>#REF!</v>
      </c>
      <c r="BQ170" t="e">
        <f>AND(#REF!,"AAAAAH/t20Q=")</f>
        <v>#REF!</v>
      </c>
      <c r="BR170" t="e">
        <f>AND(#REF!,"AAAAAH/t20U=")</f>
        <v>#REF!</v>
      </c>
      <c r="BS170" t="e">
        <f>AND(#REF!,"AAAAAH/t20Y=")</f>
        <v>#REF!</v>
      </c>
      <c r="BT170" t="e">
        <f>AND(#REF!,"AAAAAH/t20c=")</f>
        <v>#REF!</v>
      </c>
      <c r="BU170" t="e">
        <f>AND(#REF!,"AAAAAH/t20g=")</f>
        <v>#REF!</v>
      </c>
      <c r="BV170" t="e">
        <f>AND(#REF!,"AAAAAH/t20k=")</f>
        <v>#REF!</v>
      </c>
      <c r="BW170" t="e">
        <f>AND(#REF!,"AAAAAH/t20o=")</f>
        <v>#REF!</v>
      </c>
      <c r="BX170" t="e">
        <f>AND(#REF!,"AAAAAH/t20s=")</f>
        <v>#REF!</v>
      </c>
      <c r="BY170" t="e">
        <f>AND(#REF!,"AAAAAH/t20w=")</f>
        <v>#REF!</v>
      </c>
      <c r="BZ170" t="e">
        <f>AND(#REF!,"AAAAAH/t200=")</f>
        <v>#REF!</v>
      </c>
      <c r="CA170" t="e">
        <f>AND(#REF!,"AAAAAH/t204=")</f>
        <v>#REF!</v>
      </c>
      <c r="CB170" t="e">
        <f>AND(#REF!,"AAAAAH/t208=")</f>
        <v>#REF!</v>
      </c>
      <c r="CC170" t="e">
        <f>AND(#REF!,"AAAAAH/t21A=")</f>
        <v>#REF!</v>
      </c>
      <c r="CD170" t="e">
        <f>AND(#REF!,"AAAAAH/t21E=")</f>
        <v>#REF!</v>
      </c>
      <c r="CE170" t="e">
        <f>AND(#REF!,"AAAAAH/t21I=")</f>
        <v>#REF!</v>
      </c>
      <c r="CF170" t="e">
        <f>AND(#REF!,"AAAAAH/t21M=")</f>
        <v>#REF!</v>
      </c>
      <c r="CG170" t="e">
        <f>AND(#REF!,"AAAAAH/t21Q=")</f>
        <v>#REF!</v>
      </c>
      <c r="CH170" t="e">
        <f>AND(#REF!,"AAAAAH/t21U=")</f>
        <v>#REF!</v>
      </c>
      <c r="CI170" t="e">
        <f>AND(#REF!,"AAAAAH/t21Y=")</f>
        <v>#REF!</v>
      </c>
      <c r="CJ170" t="e">
        <f>AND(#REF!,"AAAAAH/t21c=")</f>
        <v>#REF!</v>
      </c>
      <c r="CK170" t="e">
        <f>AND(#REF!,"AAAAAH/t21g=")</f>
        <v>#REF!</v>
      </c>
      <c r="CL170" t="e">
        <f>AND(#REF!,"AAAAAH/t21k=")</f>
        <v>#REF!</v>
      </c>
      <c r="CM170" t="e">
        <f>AND(#REF!,"AAAAAH/t21o=")</f>
        <v>#REF!</v>
      </c>
      <c r="CN170" t="e">
        <f>AND(#REF!,"AAAAAH/t21s=")</f>
        <v>#REF!</v>
      </c>
      <c r="CO170" t="e">
        <f>AND(#REF!,"AAAAAH/t21w=")</f>
        <v>#REF!</v>
      </c>
      <c r="CP170" t="e">
        <f>AND(#REF!,"AAAAAH/t210=")</f>
        <v>#REF!</v>
      </c>
      <c r="CQ170" t="e">
        <f>AND(#REF!,"AAAAAH/t214=")</f>
        <v>#REF!</v>
      </c>
      <c r="CR170" t="e">
        <f>AND(#REF!,"AAAAAH/t218=")</f>
        <v>#REF!</v>
      </c>
      <c r="CS170" t="e">
        <f>AND(#REF!,"AAAAAH/t22A=")</f>
        <v>#REF!</v>
      </c>
      <c r="CT170" t="e">
        <f>AND(#REF!,"AAAAAH/t22E=")</f>
        <v>#REF!</v>
      </c>
      <c r="CU170" t="e">
        <f>AND(#REF!,"AAAAAH/t22I=")</f>
        <v>#REF!</v>
      </c>
      <c r="CV170" t="e">
        <f>AND(#REF!,"AAAAAH/t22M=")</f>
        <v>#REF!</v>
      </c>
      <c r="CW170" t="e">
        <f>AND(#REF!,"AAAAAH/t22Q=")</f>
        <v>#REF!</v>
      </c>
      <c r="CX170" t="e">
        <f>AND(#REF!,"AAAAAH/t22U=")</f>
        <v>#REF!</v>
      </c>
      <c r="CY170" t="e">
        <f>AND(#REF!,"AAAAAH/t22Y=")</f>
        <v>#REF!</v>
      </c>
      <c r="CZ170" t="e">
        <f>AND(#REF!,"AAAAAH/t22c=")</f>
        <v>#REF!</v>
      </c>
      <c r="DA170" t="e">
        <f>AND(#REF!,"AAAAAH/t22g=")</f>
        <v>#REF!</v>
      </c>
      <c r="DB170" t="e">
        <f>AND(#REF!,"AAAAAH/t22k=")</f>
        <v>#REF!</v>
      </c>
      <c r="DC170" t="e">
        <f>AND(#REF!,"AAAAAH/t22o=")</f>
        <v>#REF!</v>
      </c>
      <c r="DD170" t="e">
        <f>AND(#REF!,"AAAAAH/t22s=")</f>
        <v>#REF!</v>
      </c>
      <c r="DE170" t="e">
        <f>AND(#REF!,"AAAAAH/t22w=")</f>
        <v>#REF!</v>
      </c>
      <c r="DF170" t="e">
        <f>AND(#REF!,"AAAAAH/t220=")</f>
        <v>#REF!</v>
      </c>
      <c r="DG170" t="e">
        <f>AND(#REF!,"AAAAAH/t224=")</f>
        <v>#REF!</v>
      </c>
      <c r="DH170" t="e">
        <f>AND(#REF!,"AAAAAH/t228=")</f>
        <v>#REF!</v>
      </c>
      <c r="DI170" t="e">
        <f>AND(#REF!,"AAAAAH/t23A=")</f>
        <v>#REF!</v>
      </c>
      <c r="DJ170" t="e">
        <f>AND(#REF!,"AAAAAH/t23E=")</f>
        <v>#REF!</v>
      </c>
      <c r="DK170" t="e">
        <f>AND(#REF!,"AAAAAH/t23I=")</f>
        <v>#REF!</v>
      </c>
      <c r="DL170" t="e">
        <f>AND(#REF!,"AAAAAH/t23M=")</f>
        <v>#REF!</v>
      </c>
      <c r="DM170" t="e">
        <f>AND(#REF!,"AAAAAH/t23Q=")</f>
        <v>#REF!</v>
      </c>
      <c r="DN170" t="e">
        <f>AND(#REF!,"AAAAAH/t23U=")</f>
        <v>#REF!</v>
      </c>
      <c r="DO170" t="e">
        <f>AND(#REF!,"AAAAAH/t23Y=")</f>
        <v>#REF!</v>
      </c>
      <c r="DP170" t="e">
        <f>AND(#REF!,"AAAAAH/t23c=")</f>
        <v>#REF!</v>
      </c>
      <c r="DQ170" t="e">
        <f>AND(#REF!,"AAAAAH/t23g=")</f>
        <v>#REF!</v>
      </c>
      <c r="DR170" t="e">
        <f>AND(#REF!,"AAAAAH/t23k=")</f>
        <v>#REF!</v>
      </c>
      <c r="DS170" t="e">
        <f>AND(#REF!,"AAAAAH/t23o=")</f>
        <v>#REF!</v>
      </c>
      <c r="DT170" t="e">
        <f>AND(#REF!,"AAAAAH/t23s=")</f>
        <v>#REF!</v>
      </c>
      <c r="DU170" t="e">
        <f>AND(#REF!,"AAAAAH/t23w=")</f>
        <v>#REF!</v>
      </c>
      <c r="DV170" t="e">
        <f>AND(#REF!,"AAAAAH/t230=")</f>
        <v>#REF!</v>
      </c>
      <c r="DW170" t="e">
        <f>AND(#REF!,"AAAAAH/t234=")</f>
        <v>#REF!</v>
      </c>
      <c r="DX170" t="e">
        <f>AND(#REF!,"AAAAAH/t238=")</f>
        <v>#REF!</v>
      </c>
      <c r="DY170" t="e">
        <f>AND(#REF!,"AAAAAH/t24A=")</f>
        <v>#REF!</v>
      </c>
      <c r="DZ170" t="e">
        <f>AND(#REF!,"AAAAAH/t24E=")</f>
        <v>#REF!</v>
      </c>
      <c r="EA170" t="e">
        <f>AND(#REF!,"AAAAAH/t24I=")</f>
        <v>#REF!</v>
      </c>
      <c r="EB170" t="e">
        <f>AND(#REF!,"AAAAAH/t24M=")</f>
        <v>#REF!</v>
      </c>
      <c r="EC170" t="e">
        <f>AND(#REF!,"AAAAAH/t24Q=")</f>
        <v>#REF!</v>
      </c>
      <c r="ED170" t="e">
        <f>AND(#REF!,"AAAAAH/t24U=")</f>
        <v>#REF!</v>
      </c>
      <c r="EE170" t="e">
        <f>AND(#REF!,"AAAAAH/t24Y=")</f>
        <v>#REF!</v>
      </c>
      <c r="EF170" t="e">
        <f>AND(#REF!,"AAAAAH/t24c=")</f>
        <v>#REF!</v>
      </c>
      <c r="EG170" t="e">
        <f>AND(#REF!,"AAAAAH/t24g=")</f>
        <v>#REF!</v>
      </c>
      <c r="EH170" t="e">
        <f>AND(#REF!,"AAAAAH/t24k=")</f>
        <v>#REF!</v>
      </c>
      <c r="EI170" t="e">
        <f>AND(#REF!,"AAAAAH/t24o=")</f>
        <v>#REF!</v>
      </c>
      <c r="EJ170" t="e">
        <f>AND(#REF!,"AAAAAH/t24s=")</f>
        <v>#REF!</v>
      </c>
      <c r="EK170" t="e">
        <f>AND(#REF!,"AAAAAH/t24w=")</f>
        <v>#REF!</v>
      </c>
      <c r="EL170" t="e">
        <f>AND(#REF!,"AAAAAH/t240=")</f>
        <v>#REF!</v>
      </c>
      <c r="EM170" t="e">
        <f>AND(#REF!,"AAAAAH/t244=")</f>
        <v>#REF!</v>
      </c>
      <c r="EN170" t="e">
        <f>AND(#REF!,"AAAAAH/t248=")</f>
        <v>#REF!</v>
      </c>
      <c r="EO170" t="e">
        <f>AND(#REF!,"AAAAAH/t25A=")</f>
        <v>#REF!</v>
      </c>
      <c r="EP170" t="e">
        <f>AND(#REF!,"AAAAAH/t25E=")</f>
        <v>#REF!</v>
      </c>
      <c r="EQ170" t="e">
        <f>AND(#REF!,"AAAAAH/t25I=")</f>
        <v>#REF!</v>
      </c>
      <c r="ER170" t="e">
        <f>AND(#REF!,"AAAAAH/t25M=")</f>
        <v>#REF!</v>
      </c>
      <c r="ES170" t="e">
        <f>AND(#REF!,"AAAAAH/t25Q=")</f>
        <v>#REF!</v>
      </c>
      <c r="ET170" t="e">
        <f>AND(#REF!,"AAAAAH/t25U=")</f>
        <v>#REF!</v>
      </c>
      <c r="EU170" t="e">
        <f>AND(#REF!,"AAAAAH/t25Y=")</f>
        <v>#REF!</v>
      </c>
      <c r="EV170" t="e">
        <f>AND(#REF!,"AAAAAH/t25c=")</f>
        <v>#REF!</v>
      </c>
      <c r="EW170" t="e">
        <f>AND(#REF!,"AAAAAH/t25g=")</f>
        <v>#REF!</v>
      </c>
      <c r="EX170" t="e">
        <f>AND(#REF!,"AAAAAH/t25k=")</f>
        <v>#REF!</v>
      </c>
      <c r="EY170" t="e">
        <f>AND(#REF!,"AAAAAH/t25o=")</f>
        <v>#REF!</v>
      </c>
      <c r="EZ170" t="e">
        <f>AND(#REF!,"AAAAAH/t25s=")</f>
        <v>#REF!</v>
      </c>
      <c r="FA170" t="e">
        <f>AND(#REF!,"AAAAAH/t25w=")</f>
        <v>#REF!</v>
      </c>
      <c r="FB170" t="e">
        <f>AND(#REF!,"AAAAAH/t250=")</f>
        <v>#REF!</v>
      </c>
      <c r="FC170" t="e">
        <f>AND(#REF!,"AAAAAH/t254=")</f>
        <v>#REF!</v>
      </c>
      <c r="FD170" t="e">
        <f>AND(#REF!,"AAAAAH/t258=")</f>
        <v>#REF!</v>
      </c>
      <c r="FE170" t="e">
        <f>AND(#REF!,"AAAAAH/t26A=")</f>
        <v>#REF!</v>
      </c>
      <c r="FF170" t="e">
        <f>AND(#REF!,"AAAAAH/t26E=")</f>
        <v>#REF!</v>
      </c>
      <c r="FG170" t="e">
        <f>AND(#REF!,"AAAAAH/t26I=")</f>
        <v>#REF!</v>
      </c>
      <c r="FH170" t="e">
        <f>AND(#REF!,"AAAAAH/t26M=")</f>
        <v>#REF!</v>
      </c>
      <c r="FI170" t="e">
        <f>AND(#REF!,"AAAAAH/t26Q=")</f>
        <v>#REF!</v>
      </c>
      <c r="FJ170" t="e">
        <f>AND(#REF!,"AAAAAH/t26U=")</f>
        <v>#REF!</v>
      </c>
      <c r="FK170" t="e">
        <f>AND(#REF!,"AAAAAH/t26Y=")</f>
        <v>#REF!</v>
      </c>
      <c r="FL170" t="e">
        <f>AND(#REF!,"AAAAAH/t26c=")</f>
        <v>#REF!</v>
      </c>
      <c r="FM170" t="e">
        <f>AND(#REF!,"AAAAAH/t26g=")</f>
        <v>#REF!</v>
      </c>
      <c r="FN170" t="e">
        <f>AND(#REF!,"AAAAAH/t26k=")</f>
        <v>#REF!</v>
      </c>
      <c r="FO170" t="e">
        <f>AND(#REF!,"AAAAAH/t26o=")</f>
        <v>#REF!</v>
      </c>
      <c r="FP170" t="e">
        <f>AND(#REF!,"AAAAAH/t26s=")</f>
        <v>#REF!</v>
      </c>
      <c r="FQ170" t="e">
        <f>AND(#REF!,"AAAAAH/t26w=")</f>
        <v>#REF!</v>
      </c>
      <c r="FR170" t="e">
        <f>AND(#REF!,"AAAAAH/t260=")</f>
        <v>#REF!</v>
      </c>
      <c r="FS170" t="e">
        <f>AND(#REF!,"AAAAAH/t264=")</f>
        <v>#REF!</v>
      </c>
      <c r="FT170" t="e">
        <f>AND(#REF!,"AAAAAH/t268=")</f>
        <v>#REF!</v>
      </c>
      <c r="FU170" t="e">
        <f>AND(#REF!,"AAAAAH/t27A=")</f>
        <v>#REF!</v>
      </c>
      <c r="FV170" t="e">
        <f>AND(#REF!,"AAAAAH/t27E=")</f>
        <v>#REF!</v>
      </c>
      <c r="FW170" t="e">
        <f>AND(#REF!,"AAAAAH/t27I=")</f>
        <v>#REF!</v>
      </c>
      <c r="FX170" t="e">
        <f>AND(#REF!,"AAAAAH/t27M=")</f>
        <v>#REF!</v>
      </c>
      <c r="FY170" t="e">
        <f>AND(#REF!,"AAAAAH/t27Q=")</f>
        <v>#REF!</v>
      </c>
      <c r="FZ170" t="e">
        <f>AND(#REF!,"AAAAAH/t27U=")</f>
        <v>#REF!</v>
      </c>
      <c r="GA170" t="e">
        <f>AND(#REF!,"AAAAAH/t27Y=")</f>
        <v>#REF!</v>
      </c>
      <c r="GB170" t="e">
        <f>AND(#REF!,"AAAAAH/t27c=")</f>
        <v>#REF!</v>
      </c>
      <c r="GC170" t="e">
        <f>AND(#REF!,"AAAAAH/t27g=")</f>
        <v>#REF!</v>
      </c>
      <c r="GD170" t="e">
        <f>AND(#REF!,"AAAAAH/t27k=")</f>
        <v>#REF!</v>
      </c>
      <c r="GE170" t="e">
        <f>AND(#REF!,"AAAAAH/t27o=")</f>
        <v>#REF!</v>
      </c>
      <c r="GF170" t="e">
        <f>AND(#REF!,"AAAAAH/t27s=")</f>
        <v>#REF!</v>
      </c>
      <c r="GG170" t="e">
        <f>AND(#REF!,"AAAAAH/t27w=")</f>
        <v>#REF!</v>
      </c>
      <c r="GH170" t="e">
        <f>AND(#REF!,"AAAAAH/t270=")</f>
        <v>#REF!</v>
      </c>
      <c r="GI170" t="e">
        <f>AND(#REF!,"AAAAAH/t274=")</f>
        <v>#REF!</v>
      </c>
      <c r="GJ170" t="e">
        <f>AND(#REF!,"AAAAAH/t278=")</f>
        <v>#REF!</v>
      </c>
      <c r="GK170" t="e">
        <f>AND(#REF!,"AAAAAH/t28A=")</f>
        <v>#REF!</v>
      </c>
      <c r="GL170" t="e">
        <f>AND(#REF!,"AAAAAH/t28E=")</f>
        <v>#REF!</v>
      </c>
      <c r="GM170" t="e">
        <f>AND(#REF!,"AAAAAH/t28I=")</f>
        <v>#REF!</v>
      </c>
      <c r="GN170" t="e">
        <f>AND(#REF!,"AAAAAH/t28M=")</f>
        <v>#REF!</v>
      </c>
      <c r="GO170" t="e">
        <f>AND(#REF!,"AAAAAH/t28Q=")</f>
        <v>#REF!</v>
      </c>
      <c r="GP170" t="e">
        <f>AND(#REF!,"AAAAAH/t28U=")</f>
        <v>#REF!</v>
      </c>
      <c r="GQ170" t="e">
        <f>AND(#REF!,"AAAAAH/t28Y=")</f>
        <v>#REF!</v>
      </c>
      <c r="GR170" t="e">
        <f>AND(#REF!,"AAAAAH/t28c=")</f>
        <v>#REF!</v>
      </c>
      <c r="GS170" t="e">
        <f>AND(#REF!,"AAAAAH/t28g=")</f>
        <v>#REF!</v>
      </c>
      <c r="GT170" t="e">
        <f>AND(#REF!,"AAAAAH/t28k=")</f>
        <v>#REF!</v>
      </c>
      <c r="GU170" t="e">
        <f>AND(#REF!,"AAAAAH/t28o=")</f>
        <v>#REF!</v>
      </c>
      <c r="GV170" t="e">
        <f>AND(#REF!,"AAAAAH/t28s=")</f>
        <v>#REF!</v>
      </c>
      <c r="GW170" t="e">
        <f>AND(#REF!,"AAAAAH/t28w=")</f>
        <v>#REF!</v>
      </c>
      <c r="GX170" t="e">
        <f>AND(#REF!,"AAAAAH/t280=")</f>
        <v>#REF!</v>
      </c>
      <c r="GY170" t="e">
        <f>AND(#REF!,"AAAAAH/t284=")</f>
        <v>#REF!</v>
      </c>
      <c r="GZ170" t="e">
        <f>AND(#REF!,"AAAAAH/t288=")</f>
        <v>#REF!</v>
      </c>
      <c r="HA170" t="e">
        <f>AND(#REF!,"AAAAAH/t29A=")</f>
        <v>#REF!</v>
      </c>
      <c r="HB170" t="e">
        <f>AND(#REF!,"AAAAAH/t29E=")</f>
        <v>#REF!</v>
      </c>
      <c r="HC170" t="e">
        <f>AND(#REF!,"AAAAAH/t29I=")</f>
        <v>#REF!</v>
      </c>
      <c r="HD170" t="e">
        <f>AND(#REF!,"AAAAAH/t29M=")</f>
        <v>#REF!</v>
      </c>
      <c r="HE170" t="e">
        <f>AND(#REF!,"AAAAAH/t29Q=")</f>
        <v>#REF!</v>
      </c>
      <c r="HF170" t="e">
        <f>AND(#REF!,"AAAAAH/t29U=")</f>
        <v>#REF!</v>
      </c>
      <c r="HG170" t="e">
        <f>AND(#REF!,"AAAAAH/t29Y=")</f>
        <v>#REF!</v>
      </c>
      <c r="HH170" t="e">
        <f>AND(#REF!,"AAAAAH/t29c=")</f>
        <v>#REF!</v>
      </c>
      <c r="HI170" t="e">
        <f>AND(#REF!,"AAAAAH/t29g=")</f>
        <v>#REF!</v>
      </c>
      <c r="HJ170" t="e">
        <f>AND(#REF!,"AAAAAH/t29k=")</f>
        <v>#REF!</v>
      </c>
      <c r="HK170" t="e">
        <f>AND(#REF!,"AAAAAH/t29o=")</f>
        <v>#REF!</v>
      </c>
      <c r="HL170" t="e">
        <f>AND(#REF!,"AAAAAH/t29s=")</f>
        <v>#REF!</v>
      </c>
      <c r="HM170" t="e">
        <f>AND(#REF!,"AAAAAH/t29w=")</f>
        <v>#REF!</v>
      </c>
      <c r="HN170" t="e">
        <f>AND(#REF!,"AAAAAH/t290=")</f>
        <v>#REF!</v>
      </c>
      <c r="HO170" t="e">
        <f>AND(#REF!,"AAAAAH/t294=")</f>
        <v>#REF!</v>
      </c>
      <c r="HP170" t="e">
        <f>AND(#REF!,"AAAAAH/t298=")</f>
        <v>#REF!</v>
      </c>
      <c r="HQ170" t="e">
        <f>AND(#REF!,"AAAAAH/t2+A=")</f>
        <v>#REF!</v>
      </c>
      <c r="HR170" t="e">
        <f>AND(#REF!,"AAAAAH/t2+E=")</f>
        <v>#REF!</v>
      </c>
      <c r="HS170" t="e">
        <f>IF(#REF!,"AAAAAH/t2+I=",0)</f>
        <v>#REF!</v>
      </c>
      <c r="HT170" t="e">
        <f>AND(#REF!,"AAAAAH/t2+M=")</f>
        <v>#REF!</v>
      </c>
      <c r="HU170" t="e">
        <f>AND(#REF!,"AAAAAH/t2+Q=")</f>
        <v>#REF!</v>
      </c>
      <c r="HV170" t="e">
        <f>AND(#REF!,"AAAAAH/t2+U=")</f>
        <v>#REF!</v>
      </c>
      <c r="HW170" t="e">
        <f>AND(#REF!,"AAAAAH/t2+Y=")</f>
        <v>#REF!</v>
      </c>
      <c r="HX170" t="e">
        <f>AND(#REF!,"AAAAAH/t2+c=")</f>
        <v>#REF!</v>
      </c>
      <c r="HY170" t="e">
        <f>AND(#REF!,"AAAAAH/t2+g=")</f>
        <v>#REF!</v>
      </c>
      <c r="HZ170" t="e">
        <f>AND(#REF!,"AAAAAH/t2+k=")</f>
        <v>#REF!</v>
      </c>
      <c r="IA170" t="e">
        <f>AND(#REF!,"AAAAAH/t2+o=")</f>
        <v>#REF!</v>
      </c>
      <c r="IB170" t="e">
        <f>AND(#REF!,"AAAAAH/t2+s=")</f>
        <v>#REF!</v>
      </c>
      <c r="IC170" t="e">
        <f>AND(#REF!,"AAAAAH/t2+w=")</f>
        <v>#REF!</v>
      </c>
      <c r="ID170" t="e">
        <f>AND(#REF!,"AAAAAH/t2+0=")</f>
        <v>#REF!</v>
      </c>
      <c r="IE170" t="e">
        <f>AND(#REF!,"AAAAAH/t2+4=")</f>
        <v>#REF!</v>
      </c>
      <c r="IF170" t="e">
        <f>AND(#REF!,"AAAAAH/t2+8=")</f>
        <v>#REF!</v>
      </c>
      <c r="IG170" t="e">
        <f>AND(#REF!,"AAAAAH/t2/A=")</f>
        <v>#REF!</v>
      </c>
      <c r="IH170" t="e">
        <f>AND(#REF!,"AAAAAH/t2/E=")</f>
        <v>#REF!</v>
      </c>
      <c r="II170" t="e">
        <f>AND(#REF!,"AAAAAH/t2/I=")</f>
        <v>#REF!</v>
      </c>
      <c r="IJ170" t="e">
        <f>AND(#REF!,"AAAAAH/t2/M=")</f>
        <v>#REF!</v>
      </c>
      <c r="IK170" t="e">
        <f>AND(#REF!,"AAAAAH/t2/Q=")</f>
        <v>#REF!</v>
      </c>
      <c r="IL170" t="e">
        <f>AND(#REF!,"AAAAAH/t2/U=")</f>
        <v>#REF!</v>
      </c>
      <c r="IM170" t="e">
        <f>AND(#REF!,"AAAAAH/t2/Y=")</f>
        <v>#REF!</v>
      </c>
      <c r="IN170" t="e">
        <f>AND(#REF!,"AAAAAH/t2/c=")</f>
        <v>#REF!</v>
      </c>
      <c r="IO170" t="e">
        <f>AND(#REF!,"AAAAAH/t2/g=")</f>
        <v>#REF!</v>
      </c>
      <c r="IP170" t="e">
        <f>AND(#REF!,"AAAAAH/t2/k=")</f>
        <v>#REF!</v>
      </c>
      <c r="IQ170" t="e">
        <f>AND(#REF!,"AAAAAH/t2/o=")</f>
        <v>#REF!</v>
      </c>
      <c r="IR170" t="e">
        <f>AND(#REF!,"AAAAAH/t2/s=")</f>
        <v>#REF!</v>
      </c>
      <c r="IS170" t="e">
        <f>AND(#REF!,"AAAAAH/t2/w=")</f>
        <v>#REF!</v>
      </c>
      <c r="IT170" t="e">
        <f>AND(#REF!,"AAAAAH/t2/0=")</f>
        <v>#REF!</v>
      </c>
      <c r="IU170" t="e">
        <f>AND(#REF!,"AAAAAH/t2/4=")</f>
        <v>#REF!</v>
      </c>
      <c r="IV170" t="e">
        <f>AND(#REF!,"AAAAAH/t2/8=")</f>
        <v>#REF!</v>
      </c>
    </row>
    <row r="171" spans="1:256">
      <c r="A171" t="e">
        <f>AND(#REF!,"AAAAAE/N1QA=")</f>
        <v>#REF!</v>
      </c>
      <c r="B171" t="e">
        <f>AND(#REF!,"AAAAAE/N1QE=")</f>
        <v>#REF!</v>
      </c>
      <c r="C171" t="e">
        <f>AND(#REF!,"AAAAAE/N1QI=")</f>
        <v>#REF!</v>
      </c>
      <c r="D171" t="e">
        <f>AND(#REF!,"AAAAAE/N1QM=")</f>
        <v>#REF!</v>
      </c>
      <c r="E171" t="e">
        <f>AND(#REF!,"AAAAAE/N1QQ=")</f>
        <v>#REF!</v>
      </c>
      <c r="F171" t="e">
        <f>AND(#REF!,"AAAAAE/N1QU=")</f>
        <v>#REF!</v>
      </c>
      <c r="G171" t="e">
        <f>AND(#REF!,"AAAAAE/N1QY=")</f>
        <v>#REF!</v>
      </c>
      <c r="H171" t="e">
        <f>AND(#REF!,"AAAAAE/N1Qc=")</f>
        <v>#REF!</v>
      </c>
      <c r="I171" t="e">
        <f>AND(#REF!,"AAAAAE/N1Qg=")</f>
        <v>#REF!</v>
      </c>
      <c r="J171" t="e">
        <f>AND(#REF!,"AAAAAE/N1Qk=")</f>
        <v>#REF!</v>
      </c>
      <c r="K171" t="e">
        <f>AND(#REF!,"AAAAAE/N1Qo=")</f>
        <v>#REF!</v>
      </c>
      <c r="L171" t="e">
        <f>AND(#REF!,"AAAAAE/N1Qs=")</f>
        <v>#REF!</v>
      </c>
      <c r="M171" t="e">
        <f>AND(#REF!,"AAAAAE/N1Qw=")</f>
        <v>#REF!</v>
      </c>
      <c r="N171" t="e">
        <f>AND(#REF!,"AAAAAE/N1Q0=")</f>
        <v>#REF!</v>
      </c>
      <c r="O171" t="e">
        <f>AND(#REF!,"AAAAAE/N1Q4=")</f>
        <v>#REF!</v>
      </c>
      <c r="P171" t="e">
        <f>AND(#REF!,"AAAAAE/N1Q8=")</f>
        <v>#REF!</v>
      </c>
      <c r="Q171" t="e">
        <f>AND(#REF!,"AAAAAE/N1RA=")</f>
        <v>#REF!</v>
      </c>
      <c r="R171" t="e">
        <f>AND(#REF!,"AAAAAE/N1RE=")</f>
        <v>#REF!</v>
      </c>
      <c r="S171" t="e">
        <f>AND(#REF!,"AAAAAE/N1RI=")</f>
        <v>#REF!</v>
      </c>
      <c r="T171" t="e">
        <f>AND(#REF!,"AAAAAE/N1RM=")</f>
        <v>#REF!</v>
      </c>
      <c r="U171" t="e">
        <f>AND(#REF!,"AAAAAE/N1RQ=")</f>
        <v>#REF!</v>
      </c>
      <c r="V171" t="e">
        <f>AND(#REF!,"AAAAAE/N1RU=")</f>
        <v>#REF!</v>
      </c>
      <c r="W171" t="e">
        <f>AND(#REF!,"AAAAAE/N1RY=")</f>
        <v>#REF!</v>
      </c>
      <c r="X171" t="e">
        <f>AND(#REF!,"AAAAAE/N1Rc=")</f>
        <v>#REF!</v>
      </c>
      <c r="Y171" t="e">
        <f>AND(#REF!,"AAAAAE/N1Rg=")</f>
        <v>#REF!</v>
      </c>
      <c r="Z171" t="e">
        <f>AND(#REF!,"AAAAAE/N1Rk=")</f>
        <v>#REF!</v>
      </c>
      <c r="AA171" t="e">
        <f>AND(#REF!,"AAAAAE/N1Ro=")</f>
        <v>#REF!</v>
      </c>
      <c r="AB171" t="e">
        <f>AND(#REF!,"AAAAAE/N1Rs=")</f>
        <v>#REF!</v>
      </c>
      <c r="AC171" t="e">
        <f>AND(#REF!,"AAAAAE/N1Rw=")</f>
        <v>#REF!</v>
      </c>
      <c r="AD171" t="e">
        <f>AND(#REF!,"AAAAAE/N1R0=")</f>
        <v>#REF!</v>
      </c>
      <c r="AE171" t="e">
        <f>AND(#REF!,"AAAAAE/N1R4=")</f>
        <v>#REF!</v>
      </c>
      <c r="AF171" t="e">
        <f>AND(#REF!,"AAAAAE/N1R8=")</f>
        <v>#REF!</v>
      </c>
      <c r="AG171" t="e">
        <f>AND(#REF!,"AAAAAE/N1SA=")</f>
        <v>#REF!</v>
      </c>
      <c r="AH171" t="e">
        <f>AND(#REF!,"AAAAAE/N1SE=")</f>
        <v>#REF!</v>
      </c>
      <c r="AI171" t="e">
        <f>AND(#REF!,"AAAAAE/N1SI=")</f>
        <v>#REF!</v>
      </c>
      <c r="AJ171" t="e">
        <f>AND(#REF!,"AAAAAE/N1SM=")</f>
        <v>#REF!</v>
      </c>
      <c r="AK171" t="e">
        <f>AND(#REF!,"AAAAAE/N1SQ=")</f>
        <v>#REF!</v>
      </c>
      <c r="AL171" t="e">
        <f>AND(#REF!,"AAAAAE/N1SU=")</f>
        <v>#REF!</v>
      </c>
      <c r="AM171" t="e">
        <f>AND(#REF!,"AAAAAE/N1SY=")</f>
        <v>#REF!</v>
      </c>
      <c r="AN171" t="e">
        <f>AND(#REF!,"AAAAAE/N1Sc=")</f>
        <v>#REF!</v>
      </c>
      <c r="AO171" t="e">
        <f>AND(#REF!,"AAAAAE/N1Sg=")</f>
        <v>#REF!</v>
      </c>
      <c r="AP171" t="e">
        <f>AND(#REF!,"AAAAAE/N1Sk=")</f>
        <v>#REF!</v>
      </c>
      <c r="AQ171" t="e">
        <f>AND(#REF!,"AAAAAE/N1So=")</f>
        <v>#REF!</v>
      </c>
      <c r="AR171" t="e">
        <f>AND(#REF!,"AAAAAE/N1Ss=")</f>
        <v>#REF!</v>
      </c>
      <c r="AS171" t="e">
        <f>AND(#REF!,"AAAAAE/N1Sw=")</f>
        <v>#REF!</v>
      </c>
      <c r="AT171" t="e">
        <f>AND(#REF!,"AAAAAE/N1S0=")</f>
        <v>#REF!</v>
      </c>
      <c r="AU171" t="e">
        <f>AND(#REF!,"AAAAAE/N1S4=")</f>
        <v>#REF!</v>
      </c>
      <c r="AV171" t="e">
        <f>AND(#REF!,"AAAAAE/N1S8=")</f>
        <v>#REF!</v>
      </c>
      <c r="AW171" t="e">
        <f>AND(#REF!,"AAAAAE/N1TA=")</f>
        <v>#REF!</v>
      </c>
      <c r="AX171" t="e">
        <f>AND(#REF!,"AAAAAE/N1TE=")</f>
        <v>#REF!</v>
      </c>
      <c r="AY171" t="e">
        <f>AND(#REF!,"AAAAAE/N1TI=")</f>
        <v>#REF!</v>
      </c>
      <c r="AZ171" t="e">
        <f>AND(#REF!,"AAAAAE/N1TM=")</f>
        <v>#REF!</v>
      </c>
      <c r="BA171" t="e">
        <f>AND(#REF!,"AAAAAE/N1TQ=")</f>
        <v>#REF!</v>
      </c>
      <c r="BB171" t="e">
        <f>AND(#REF!,"AAAAAE/N1TU=")</f>
        <v>#REF!</v>
      </c>
      <c r="BC171" t="e">
        <f>AND(#REF!,"AAAAAE/N1TY=")</f>
        <v>#REF!</v>
      </c>
      <c r="BD171" t="e">
        <f>AND(#REF!,"AAAAAE/N1Tc=")</f>
        <v>#REF!</v>
      </c>
      <c r="BE171" t="e">
        <f>AND(#REF!,"AAAAAE/N1Tg=")</f>
        <v>#REF!</v>
      </c>
      <c r="BF171" t="e">
        <f>AND(#REF!,"AAAAAE/N1Tk=")</f>
        <v>#REF!</v>
      </c>
      <c r="BG171" t="e">
        <f>AND(#REF!,"AAAAAE/N1To=")</f>
        <v>#REF!</v>
      </c>
      <c r="BH171" t="e">
        <f>AND(#REF!,"AAAAAE/N1Ts=")</f>
        <v>#REF!</v>
      </c>
      <c r="BI171" t="e">
        <f>AND(#REF!,"AAAAAE/N1Tw=")</f>
        <v>#REF!</v>
      </c>
      <c r="BJ171" t="e">
        <f>AND(#REF!,"AAAAAE/N1T0=")</f>
        <v>#REF!</v>
      </c>
      <c r="BK171" t="e">
        <f>AND(#REF!,"AAAAAE/N1T4=")</f>
        <v>#REF!</v>
      </c>
      <c r="BL171" t="e">
        <f>AND(#REF!,"AAAAAE/N1T8=")</f>
        <v>#REF!</v>
      </c>
      <c r="BM171" t="e">
        <f>AND(#REF!,"AAAAAE/N1UA=")</f>
        <v>#REF!</v>
      </c>
      <c r="BN171" t="e">
        <f>AND(#REF!,"AAAAAE/N1UE=")</f>
        <v>#REF!</v>
      </c>
      <c r="BO171" t="e">
        <f>AND(#REF!,"AAAAAE/N1UI=")</f>
        <v>#REF!</v>
      </c>
      <c r="BP171" t="e">
        <f>AND(#REF!,"AAAAAE/N1UM=")</f>
        <v>#REF!</v>
      </c>
      <c r="BQ171" t="e">
        <f>AND(#REF!,"AAAAAE/N1UQ=")</f>
        <v>#REF!</v>
      </c>
      <c r="BR171" t="e">
        <f>AND(#REF!,"AAAAAE/N1UU=")</f>
        <v>#REF!</v>
      </c>
      <c r="BS171" t="e">
        <f>AND(#REF!,"AAAAAE/N1UY=")</f>
        <v>#REF!</v>
      </c>
      <c r="BT171" t="e">
        <f>AND(#REF!,"AAAAAE/N1Uc=")</f>
        <v>#REF!</v>
      </c>
      <c r="BU171" t="e">
        <f>AND(#REF!,"AAAAAE/N1Ug=")</f>
        <v>#REF!</v>
      </c>
      <c r="BV171" t="e">
        <f>AND(#REF!,"AAAAAE/N1Uk=")</f>
        <v>#REF!</v>
      </c>
      <c r="BW171" t="e">
        <f>AND(#REF!,"AAAAAE/N1Uo=")</f>
        <v>#REF!</v>
      </c>
      <c r="BX171" t="e">
        <f>AND(#REF!,"AAAAAE/N1Us=")</f>
        <v>#REF!</v>
      </c>
      <c r="BY171" t="e">
        <f>AND(#REF!,"AAAAAE/N1Uw=")</f>
        <v>#REF!</v>
      </c>
      <c r="BZ171" t="e">
        <f>AND(#REF!,"AAAAAE/N1U0=")</f>
        <v>#REF!</v>
      </c>
      <c r="CA171" t="e">
        <f>AND(#REF!,"AAAAAE/N1U4=")</f>
        <v>#REF!</v>
      </c>
      <c r="CB171" t="e">
        <f>AND(#REF!,"AAAAAE/N1U8=")</f>
        <v>#REF!</v>
      </c>
      <c r="CC171" t="e">
        <f>AND(#REF!,"AAAAAE/N1VA=")</f>
        <v>#REF!</v>
      </c>
      <c r="CD171" t="e">
        <f>AND(#REF!,"AAAAAE/N1VE=")</f>
        <v>#REF!</v>
      </c>
      <c r="CE171" t="e">
        <f>AND(#REF!,"AAAAAE/N1VI=")</f>
        <v>#REF!</v>
      </c>
      <c r="CF171" t="e">
        <f>AND(#REF!,"AAAAAE/N1VM=")</f>
        <v>#REF!</v>
      </c>
      <c r="CG171" t="e">
        <f>AND(#REF!,"AAAAAE/N1VQ=")</f>
        <v>#REF!</v>
      </c>
      <c r="CH171" t="e">
        <f>AND(#REF!,"AAAAAE/N1VU=")</f>
        <v>#REF!</v>
      </c>
      <c r="CI171" t="e">
        <f>AND(#REF!,"AAAAAE/N1VY=")</f>
        <v>#REF!</v>
      </c>
      <c r="CJ171" t="e">
        <f>AND(#REF!,"AAAAAE/N1Vc=")</f>
        <v>#REF!</v>
      </c>
      <c r="CK171" t="e">
        <f>AND(#REF!,"AAAAAE/N1Vg=")</f>
        <v>#REF!</v>
      </c>
      <c r="CL171" t="e">
        <f>AND(#REF!,"AAAAAE/N1Vk=")</f>
        <v>#REF!</v>
      </c>
      <c r="CM171" t="e">
        <f>AND(#REF!,"AAAAAE/N1Vo=")</f>
        <v>#REF!</v>
      </c>
      <c r="CN171" t="e">
        <f>AND(#REF!,"AAAAAE/N1Vs=")</f>
        <v>#REF!</v>
      </c>
      <c r="CO171" t="e">
        <f>AND(#REF!,"AAAAAE/N1Vw=")</f>
        <v>#REF!</v>
      </c>
      <c r="CP171" t="e">
        <f>AND(#REF!,"AAAAAE/N1V0=")</f>
        <v>#REF!</v>
      </c>
      <c r="CQ171" t="e">
        <f>AND(#REF!,"AAAAAE/N1V4=")</f>
        <v>#REF!</v>
      </c>
      <c r="CR171" t="e">
        <f>AND(#REF!,"AAAAAE/N1V8=")</f>
        <v>#REF!</v>
      </c>
      <c r="CS171" t="e">
        <f>AND(#REF!,"AAAAAE/N1WA=")</f>
        <v>#REF!</v>
      </c>
      <c r="CT171" t="e">
        <f>AND(#REF!,"AAAAAE/N1WE=")</f>
        <v>#REF!</v>
      </c>
      <c r="CU171" t="e">
        <f>AND(#REF!,"AAAAAE/N1WI=")</f>
        <v>#REF!</v>
      </c>
      <c r="CV171" t="e">
        <f>AND(#REF!,"AAAAAE/N1WM=")</f>
        <v>#REF!</v>
      </c>
      <c r="CW171" t="e">
        <f>AND(#REF!,"AAAAAE/N1WQ=")</f>
        <v>#REF!</v>
      </c>
      <c r="CX171" t="e">
        <f>AND(#REF!,"AAAAAE/N1WU=")</f>
        <v>#REF!</v>
      </c>
      <c r="CY171" t="e">
        <f>AND(#REF!,"AAAAAE/N1WY=")</f>
        <v>#REF!</v>
      </c>
      <c r="CZ171" t="e">
        <f>AND(#REF!,"AAAAAE/N1Wc=")</f>
        <v>#REF!</v>
      </c>
      <c r="DA171" t="e">
        <f>AND(#REF!,"AAAAAE/N1Wg=")</f>
        <v>#REF!</v>
      </c>
      <c r="DB171" t="e">
        <f>AND(#REF!,"AAAAAE/N1Wk=")</f>
        <v>#REF!</v>
      </c>
      <c r="DC171" t="e">
        <f>AND(#REF!,"AAAAAE/N1Wo=")</f>
        <v>#REF!</v>
      </c>
      <c r="DD171" t="e">
        <f>AND(#REF!,"AAAAAE/N1Ws=")</f>
        <v>#REF!</v>
      </c>
      <c r="DE171" t="e">
        <f>AND(#REF!,"AAAAAE/N1Ww=")</f>
        <v>#REF!</v>
      </c>
      <c r="DF171" t="e">
        <f>AND(#REF!,"AAAAAE/N1W0=")</f>
        <v>#REF!</v>
      </c>
      <c r="DG171" t="e">
        <f>AND(#REF!,"AAAAAE/N1W4=")</f>
        <v>#REF!</v>
      </c>
      <c r="DH171" t="e">
        <f>AND(#REF!,"AAAAAE/N1W8=")</f>
        <v>#REF!</v>
      </c>
      <c r="DI171" t="e">
        <f>AND(#REF!,"AAAAAE/N1XA=")</f>
        <v>#REF!</v>
      </c>
      <c r="DJ171" t="e">
        <f>AND(#REF!,"AAAAAE/N1XE=")</f>
        <v>#REF!</v>
      </c>
      <c r="DK171" t="e">
        <f>AND(#REF!,"AAAAAE/N1XI=")</f>
        <v>#REF!</v>
      </c>
      <c r="DL171" t="e">
        <f>AND(#REF!,"AAAAAE/N1XM=")</f>
        <v>#REF!</v>
      </c>
      <c r="DM171" t="e">
        <f>AND(#REF!,"AAAAAE/N1XQ=")</f>
        <v>#REF!</v>
      </c>
      <c r="DN171" t="e">
        <f>AND(#REF!,"AAAAAE/N1XU=")</f>
        <v>#REF!</v>
      </c>
      <c r="DO171" t="e">
        <f>AND(#REF!,"AAAAAE/N1XY=")</f>
        <v>#REF!</v>
      </c>
      <c r="DP171" t="e">
        <f>AND(#REF!,"AAAAAE/N1Xc=")</f>
        <v>#REF!</v>
      </c>
      <c r="DQ171" t="e">
        <f>AND(#REF!,"AAAAAE/N1Xg=")</f>
        <v>#REF!</v>
      </c>
      <c r="DR171" t="e">
        <f>AND(#REF!,"AAAAAE/N1Xk=")</f>
        <v>#REF!</v>
      </c>
      <c r="DS171" t="e">
        <f>AND(#REF!,"AAAAAE/N1Xo=")</f>
        <v>#REF!</v>
      </c>
      <c r="DT171" t="e">
        <f>AND(#REF!,"AAAAAE/N1Xs=")</f>
        <v>#REF!</v>
      </c>
      <c r="DU171" t="e">
        <f>AND(#REF!,"AAAAAE/N1Xw=")</f>
        <v>#REF!</v>
      </c>
      <c r="DV171" t="e">
        <f>AND(#REF!,"AAAAAE/N1X0=")</f>
        <v>#REF!</v>
      </c>
      <c r="DW171" t="e">
        <f>AND(#REF!,"AAAAAE/N1X4=")</f>
        <v>#REF!</v>
      </c>
      <c r="DX171" t="e">
        <f>AND(#REF!,"AAAAAE/N1X8=")</f>
        <v>#REF!</v>
      </c>
      <c r="DY171" t="e">
        <f>AND(#REF!,"AAAAAE/N1YA=")</f>
        <v>#REF!</v>
      </c>
      <c r="DZ171" t="e">
        <f>AND(#REF!,"AAAAAE/N1YE=")</f>
        <v>#REF!</v>
      </c>
      <c r="EA171" t="e">
        <f>AND(#REF!,"AAAAAE/N1YI=")</f>
        <v>#REF!</v>
      </c>
      <c r="EB171" t="e">
        <f>AND(#REF!,"AAAAAE/N1YM=")</f>
        <v>#REF!</v>
      </c>
      <c r="EC171" t="e">
        <f>AND(#REF!,"AAAAAE/N1YQ=")</f>
        <v>#REF!</v>
      </c>
      <c r="ED171" t="e">
        <f>AND(#REF!,"AAAAAE/N1YU=")</f>
        <v>#REF!</v>
      </c>
      <c r="EE171" t="e">
        <f>AND(#REF!,"AAAAAE/N1YY=")</f>
        <v>#REF!</v>
      </c>
      <c r="EF171" t="e">
        <f>AND(#REF!,"AAAAAE/N1Yc=")</f>
        <v>#REF!</v>
      </c>
      <c r="EG171" t="e">
        <f>AND(#REF!,"AAAAAE/N1Yg=")</f>
        <v>#REF!</v>
      </c>
      <c r="EH171" t="e">
        <f>AND(#REF!,"AAAAAE/N1Yk=")</f>
        <v>#REF!</v>
      </c>
      <c r="EI171" t="e">
        <f>AND(#REF!,"AAAAAE/N1Yo=")</f>
        <v>#REF!</v>
      </c>
      <c r="EJ171" t="e">
        <f>AND(#REF!,"AAAAAE/N1Ys=")</f>
        <v>#REF!</v>
      </c>
      <c r="EK171" t="e">
        <f>AND(#REF!,"AAAAAE/N1Yw=")</f>
        <v>#REF!</v>
      </c>
      <c r="EL171" t="e">
        <f>AND(#REF!,"AAAAAE/N1Y0=")</f>
        <v>#REF!</v>
      </c>
      <c r="EM171" t="e">
        <f>AND(#REF!,"AAAAAE/N1Y4=")</f>
        <v>#REF!</v>
      </c>
      <c r="EN171" t="e">
        <f>AND(#REF!,"AAAAAE/N1Y8=")</f>
        <v>#REF!</v>
      </c>
      <c r="EO171" t="e">
        <f>AND(#REF!,"AAAAAE/N1ZA=")</f>
        <v>#REF!</v>
      </c>
      <c r="EP171" t="e">
        <f>AND(#REF!,"AAAAAE/N1ZE=")</f>
        <v>#REF!</v>
      </c>
      <c r="EQ171" t="e">
        <f>AND(#REF!,"AAAAAE/N1ZI=")</f>
        <v>#REF!</v>
      </c>
      <c r="ER171" t="e">
        <f>AND(#REF!,"AAAAAE/N1ZM=")</f>
        <v>#REF!</v>
      </c>
      <c r="ES171" t="e">
        <f>AND(#REF!,"AAAAAE/N1ZQ=")</f>
        <v>#REF!</v>
      </c>
      <c r="ET171" t="e">
        <f>AND(#REF!,"AAAAAE/N1ZU=")</f>
        <v>#REF!</v>
      </c>
      <c r="EU171" t="e">
        <f>AND(#REF!,"AAAAAE/N1ZY=")</f>
        <v>#REF!</v>
      </c>
      <c r="EV171" t="e">
        <f>AND(#REF!,"AAAAAE/N1Zc=")</f>
        <v>#REF!</v>
      </c>
      <c r="EW171" t="e">
        <f>AND(#REF!,"AAAAAE/N1Zg=")</f>
        <v>#REF!</v>
      </c>
      <c r="EX171" t="e">
        <f>AND(#REF!,"AAAAAE/N1Zk=")</f>
        <v>#REF!</v>
      </c>
      <c r="EY171" t="e">
        <f>AND(#REF!,"AAAAAE/N1Zo=")</f>
        <v>#REF!</v>
      </c>
      <c r="EZ171" t="e">
        <f>AND(#REF!,"AAAAAE/N1Zs=")</f>
        <v>#REF!</v>
      </c>
      <c r="FA171" t="e">
        <f>AND(#REF!,"AAAAAE/N1Zw=")</f>
        <v>#REF!</v>
      </c>
      <c r="FB171" t="e">
        <f>AND(#REF!,"AAAAAE/N1Z0=")</f>
        <v>#REF!</v>
      </c>
      <c r="FC171" t="e">
        <f>AND(#REF!,"AAAAAE/N1Z4=")</f>
        <v>#REF!</v>
      </c>
      <c r="FD171" t="e">
        <f>AND(#REF!,"AAAAAE/N1Z8=")</f>
        <v>#REF!</v>
      </c>
      <c r="FE171" t="e">
        <f>AND(#REF!,"AAAAAE/N1aA=")</f>
        <v>#REF!</v>
      </c>
      <c r="FF171" t="e">
        <f>AND(#REF!,"AAAAAE/N1aE=")</f>
        <v>#REF!</v>
      </c>
      <c r="FG171" t="e">
        <f>AND(#REF!,"AAAAAE/N1aI=")</f>
        <v>#REF!</v>
      </c>
      <c r="FH171" t="e">
        <f>AND(#REF!,"AAAAAE/N1aM=")</f>
        <v>#REF!</v>
      </c>
      <c r="FI171" t="e">
        <f>AND(#REF!,"AAAAAE/N1aQ=")</f>
        <v>#REF!</v>
      </c>
      <c r="FJ171" t="e">
        <f>AND(#REF!,"AAAAAE/N1aU=")</f>
        <v>#REF!</v>
      </c>
      <c r="FK171" t="e">
        <f>AND(#REF!,"AAAAAE/N1aY=")</f>
        <v>#REF!</v>
      </c>
      <c r="FL171" t="e">
        <f>AND(#REF!,"AAAAAE/N1ac=")</f>
        <v>#REF!</v>
      </c>
      <c r="FM171" t="e">
        <f>AND(#REF!,"AAAAAE/N1ag=")</f>
        <v>#REF!</v>
      </c>
      <c r="FN171" t="e">
        <f>AND(#REF!,"AAAAAE/N1ak=")</f>
        <v>#REF!</v>
      </c>
      <c r="FO171" t="e">
        <f>AND(#REF!,"AAAAAE/N1ao=")</f>
        <v>#REF!</v>
      </c>
      <c r="FP171" t="e">
        <f>AND(#REF!,"AAAAAE/N1as=")</f>
        <v>#REF!</v>
      </c>
      <c r="FQ171" t="e">
        <f>AND(#REF!,"AAAAAE/N1aw=")</f>
        <v>#REF!</v>
      </c>
      <c r="FR171" t="e">
        <f>AND(#REF!,"AAAAAE/N1a0=")</f>
        <v>#REF!</v>
      </c>
      <c r="FS171" t="e">
        <f>AND(#REF!,"AAAAAE/N1a4=")</f>
        <v>#REF!</v>
      </c>
      <c r="FT171" t="e">
        <f>AND(#REF!,"AAAAAE/N1a8=")</f>
        <v>#REF!</v>
      </c>
      <c r="FU171" t="e">
        <f>AND(#REF!,"AAAAAE/N1bA=")</f>
        <v>#REF!</v>
      </c>
      <c r="FV171" t="e">
        <f>AND(#REF!,"AAAAAE/N1bE=")</f>
        <v>#REF!</v>
      </c>
      <c r="FW171" t="e">
        <f>AND(#REF!,"AAAAAE/N1bI=")</f>
        <v>#REF!</v>
      </c>
      <c r="FX171" t="e">
        <f>AND(#REF!,"AAAAAE/N1bM=")</f>
        <v>#REF!</v>
      </c>
      <c r="FY171" t="e">
        <f>AND(#REF!,"AAAAAE/N1bQ=")</f>
        <v>#REF!</v>
      </c>
      <c r="FZ171" t="e">
        <f>AND(#REF!,"AAAAAE/N1bU=")</f>
        <v>#REF!</v>
      </c>
      <c r="GA171" t="e">
        <f>AND(#REF!,"AAAAAE/N1bY=")</f>
        <v>#REF!</v>
      </c>
      <c r="GB171" t="e">
        <f>AND(#REF!,"AAAAAE/N1bc=")</f>
        <v>#REF!</v>
      </c>
      <c r="GC171" t="e">
        <f>AND(#REF!,"AAAAAE/N1bg=")</f>
        <v>#REF!</v>
      </c>
      <c r="GD171" t="e">
        <f>AND(#REF!,"AAAAAE/N1bk=")</f>
        <v>#REF!</v>
      </c>
      <c r="GE171" t="e">
        <f>AND(#REF!,"AAAAAE/N1bo=")</f>
        <v>#REF!</v>
      </c>
      <c r="GF171" t="e">
        <f>AND(#REF!,"AAAAAE/N1bs=")</f>
        <v>#REF!</v>
      </c>
      <c r="GG171" t="e">
        <f>AND(#REF!,"AAAAAE/N1bw=")</f>
        <v>#REF!</v>
      </c>
      <c r="GH171" t="e">
        <f>AND(#REF!,"AAAAAE/N1b0=")</f>
        <v>#REF!</v>
      </c>
      <c r="GI171" t="e">
        <f>AND(#REF!,"AAAAAE/N1b4=")</f>
        <v>#REF!</v>
      </c>
      <c r="GJ171" t="e">
        <f>AND(#REF!,"AAAAAE/N1b8=")</f>
        <v>#REF!</v>
      </c>
      <c r="GK171" t="e">
        <f>AND(#REF!,"AAAAAE/N1cA=")</f>
        <v>#REF!</v>
      </c>
      <c r="GL171" t="e">
        <f>AND(#REF!,"AAAAAE/N1cE=")</f>
        <v>#REF!</v>
      </c>
      <c r="GM171" t="e">
        <f>AND(#REF!,"AAAAAE/N1cI=")</f>
        <v>#REF!</v>
      </c>
      <c r="GN171" t="e">
        <f>AND(#REF!,"AAAAAE/N1cM=")</f>
        <v>#REF!</v>
      </c>
      <c r="GO171" t="e">
        <f>AND(#REF!,"AAAAAE/N1cQ=")</f>
        <v>#REF!</v>
      </c>
      <c r="GP171" t="e">
        <f>AND(#REF!,"AAAAAE/N1cU=")</f>
        <v>#REF!</v>
      </c>
      <c r="GQ171" t="e">
        <f>IF(#REF!,"AAAAAE/N1cY=",0)</f>
        <v>#REF!</v>
      </c>
      <c r="GR171" t="e">
        <f>AND(#REF!,"AAAAAE/N1cc=")</f>
        <v>#REF!</v>
      </c>
      <c r="GS171" t="e">
        <f>AND(#REF!,"AAAAAE/N1cg=")</f>
        <v>#REF!</v>
      </c>
      <c r="GT171" t="e">
        <f>AND(#REF!,"AAAAAE/N1ck=")</f>
        <v>#REF!</v>
      </c>
      <c r="GU171" t="e">
        <f>AND(#REF!,"AAAAAE/N1co=")</f>
        <v>#REF!</v>
      </c>
      <c r="GV171" t="e">
        <f>AND(#REF!,"AAAAAE/N1cs=")</f>
        <v>#REF!</v>
      </c>
      <c r="GW171" t="e">
        <f>AND(#REF!,"AAAAAE/N1cw=")</f>
        <v>#REF!</v>
      </c>
      <c r="GX171" t="e">
        <f>AND(#REF!,"AAAAAE/N1c0=")</f>
        <v>#REF!</v>
      </c>
      <c r="GY171" t="e">
        <f>AND(#REF!,"AAAAAE/N1c4=")</f>
        <v>#REF!</v>
      </c>
      <c r="GZ171" t="e">
        <f>AND(#REF!,"AAAAAE/N1c8=")</f>
        <v>#REF!</v>
      </c>
      <c r="HA171" t="e">
        <f>AND(#REF!,"AAAAAE/N1dA=")</f>
        <v>#REF!</v>
      </c>
      <c r="HB171" t="e">
        <f>AND(#REF!,"AAAAAE/N1dE=")</f>
        <v>#REF!</v>
      </c>
      <c r="HC171" t="e">
        <f>AND(#REF!,"AAAAAE/N1dI=")</f>
        <v>#REF!</v>
      </c>
      <c r="HD171" t="e">
        <f>AND(#REF!,"AAAAAE/N1dM=")</f>
        <v>#REF!</v>
      </c>
      <c r="HE171" t="e">
        <f>AND(#REF!,"AAAAAE/N1dQ=")</f>
        <v>#REF!</v>
      </c>
      <c r="HF171" t="e">
        <f>AND(#REF!,"AAAAAE/N1dU=")</f>
        <v>#REF!</v>
      </c>
      <c r="HG171" t="e">
        <f>AND(#REF!,"AAAAAE/N1dY=")</f>
        <v>#REF!</v>
      </c>
      <c r="HH171" t="e">
        <f>AND(#REF!,"AAAAAE/N1dc=")</f>
        <v>#REF!</v>
      </c>
      <c r="HI171" t="e">
        <f>AND(#REF!,"AAAAAE/N1dg=")</f>
        <v>#REF!</v>
      </c>
      <c r="HJ171" t="e">
        <f>AND(#REF!,"AAAAAE/N1dk=")</f>
        <v>#REF!</v>
      </c>
      <c r="HK171" t="e">
        <f>AND(#REF!,"AAAAAE/N1do=")</f>
        <v>#REF!</v>
      </c>
      <c r="HL171" t="e">
        <f>AND(#REF!,"AAAAAE/N1ds=")</f>
        <v>#REF!</v>
      </c>
      <c r="HM171" t="e">
        <f>AND(#REF!,"AAAAAE/N1dw=")</f>
        <v>#REF!</v>
      </c>
      <c r="HN171" t="e">
        <f>AND(#REF!,"AAAAAE/N1d0=")</f>
        <v>#REF!</v>
      </c>
      <c r="HO171" t="e">
        <f>AND(#REF!,"AAAAAE/N1d4=")</f>
        <v>#REF!</v>
      </c>
      <c r="HP171" t="e">
        <f>AND(#REF!,"AAAAAE/N1d8=")</f>
        <v>#REF!</v>
      </c>
      <c r="HQ171" t="e">
        <f>AND(#REF!,"AAAAAE/N1eA=")</f>
        <v>#REF!</v>
      </c>
      <c r="HR171" t="e">
        <f>AND(#REF!,"AAAAAE/N1eE=")</f>
        <v>#REF!</v>
      </c>
      <c r="HS171" t="e">
        <f>AND(#REF!,"AAAAAE/N1eI=")</f>
        <v>#REF!</v>
      </c>
      <c r="HT171" t="e">
        <f>AND(#REF!,"AAAAAE/N1eM=")</f>
        <v>#REF!</v>
      </c>
      <c r="HU171" t="e">
        <f>AND(#REF!,"AAAAAE/N1eQ=")</f>
        <v>#REF!</v>
      </c>
      <c r="HV171" t="e">
        <f>AND(#REF!,"AAAAAE/N1eU=")</f>
        <v>#REF!</v>
      </c>
      <c r="HW171" t="e">
        <f>AND(#REF!,"AAAAAE/N1eY=")</f>
        <v>#REF!</v>
      </c>
      <c r="HX171" t="e">
        <f>AND(#REF!,"AAAAAE/N1ec=")</f>
        <v>#REF!</v>
      </c>
      <c r="HY171" t="e">
        <f>AND(#REF!,"AAAAAE/N1eg=")</f>
        <v>#REF!</v>
      </c>
      <c r="HZ171" t="e">
        <f>AND(#REF!,"AAAAAE/N1ek=")</f>
        <v>#REF!</v>
      </c>
      <c r="IA171" t="e">
        <f>AND(#REF!,"AAAAAE/N1eo=")</f>
        <v>#REF!</v>
      </c>
      <c r="IB171" t="e">
        <f>AND(#REF!,"AAAAAE/N1es=")</f>
        <v>#REF!</v>
      </c>
      <c r="IC171" t="e">
        <f>AND(#REF!,"AAAAAE/N1ew=")</f>
        <v>#REF!</v>
      </c>
      <c r="ID171" t="e">
        <f>AND(#REF!,"AAAAAE/N1e0=")</f>
        <v>#REF!</v>
      </c>
      <c r="IE171" t="e">
        <f>AND(#REF!,"AAAAAE/N1e4=")</f>
        <v>#REF!</v>
      </c>
      <c r="IF171" t="e">
        <f>AND(#REF!,"AAAAAE/N1e8=")</f>
        <v>#REF!</v>
      </c>
      <c r="IG171" t="e">
        <f>AND(#REF!,"AAAAAE/N1fA=")</f>
        <v>#REF!</v>
      </c>
      <c r="IH171" t="e">
        <f>AND(#REF!,"AAAAAE/N1fE=")</f>
        <v>#REF!</v>
      </c>
      <c r="II171" t="e">
        <f>AND(#REF!,"AAAAAE/N1fI=")</f>
        <v>#REF!</v>
      </c>
      <c r="IJ171" t="e">
        <f>AND(#REF!,"AAAAAE/N1fM=")</f>
        <v>#REF!</v>
      </c>
      <c r="IK171" t="e">
        <f>AND(#REF!,"AAAAAE/N1fQ=")</f>
        <v>#REF!</v>
      </c>
      <c r="IL171" t="e">
        <f>AND(#REF!,"AAAAAE/N1fU=")</f>
        <v>#REF!</v>
      </c>
      <c r="IM171" t="e">
        <f>AND(#REF!,"AAAAAE/N1fY=")</f>
        <v>#REF!</v>
      </c>
      <c r="IN171" t="e">
        <f>AND(#REF!,"AAAAAE/N1fc=")</f>
        <v>#REF!</v>
      </c>
      <c r="IO171" t="e">
        <f>AND(#REF!,"AAAAAE/N1fg=")</f>
        <v>#REF!</v>
      </c>
      <c r="IP171" t="e">
        <f>AND(#REF!,"AAAAAE/N1fk=")</f>
        <v>#REF!</v>
      </c>
      <c r="IQ171" t="e">
        <f>AND(#REF!,"AAAAAE/N1fo=")</f>
        <v>#REF!</v>
      </c>
      <c r="IR171" t="e">
        <f>AND(#REF!,"AAAAAE/N1fs=")</f>
        <v>#REF!</v>
      </c>
      <c r="IS171" t="e">
        <f>AND(#REF!,"AAAAAE/N1fw=")</f>
        <v>#REF!</v>
      </c>
      <c r="IT171" t="e">
        <f>AND(#REF!,"AAAAAE/N1f0=")</f>
        <v>#REF!</v>
      </c>
      <c r="IU171" t="e">
        <f>AND(#REF!,"AAAAAE/N1f4=")</f>
        <v>#REF!</v>
      </c>
      <c r="IV171" t="e">
        <f>AND(#REF!,"AAAAAE/N1f8=")</f>
        <v>#REF!</v>
      </c>
    </row>
    <row r="172" spans="1:256">
      <c r="A172" t="e">
        <f>AND(#REF!,"AAAAAHfd9wA=")</f>
        <v>#REF!</v>
      </c>
      <c r="B172" t="e">
        <f>AND(#REF!,"AAAAAHfd9wE=")</f>
        <v>#REF!</v>
      </c>
      <c r="C172" t="e">
        <f>AND(#REF!,"AAAAAHfd9wI=")</f>
        <v>#REF!</v>
      </c>
      <c r="D172" t="e">
        <f>AND(#REF!,"AAAAAHfd9wM=")</f>
        <v>#REF!</v>
      </c>
      <c r="E172" t="e">
        <f>AND(#REF!,"AAAAAHfd9wQ=")</f>
        <v>#REF!</v>
      </c>
      <c r="F172" t="e">
        <f>AND(#REF!,"AAAAAHfd9wU=")</f>
        <v>#REF!</v>
      </c>
      <c r="G172" t="e">
        <f>AND(#REF!,"AAAAAHfd9wY=")</f>
        <v>#REF!</v>
      </c>
      <c r="H172" t="e">
        <f>AND(#REF!,"AAAAAHfd9wc=")</f>
        <v>#REF!</v>
      </c>
      <c r="I172" t="e">
        <f>AND(#REF!,"AAAAAHfd9wg=")</f>
        <v>#REF!</v>
      </c>
      <c r="J172" t="e">
        <f>AND(#REF!,"AAAAAHfd9wk=")</f>
        <v>#REF!</v>
      </c>
      <c r="K172" t="e">
        <f>AND(#REF!,"AAAAAHfd9wo=")</f>
        <v>#REF!</v>
      </c>
      <c r="L172" t="e">
        <f>AND(#REF!,"AAAAAHfd9ws=")</f>
        <v>#REF!</v>
      </c>
      <c r="M172" t="e">
        <f>AND(#REF!,"AAAAAHfd9ww=")</f>
        <v>#REF!</v>
      </c>
      <c r="N172" t="e">
        <f>AND(#REF!,"AAAAAHfd9w0=")</f>
        <v>#REF!</v>
      </c>
      <c r="O172" t="e">
        <f>AND(#REF!,"AAAAAHfd9w4=")</f>
        <v>#REF!</v>
      </c>
      <c r="P172" t="e">
        <f>AND(#REF!,"AAAAAHfd9w8=")</f>
        <v>#REF!</v>
      </c>
      <c r="Q172" t="e">
        <f>AND(#REF!,"AAAAAHfd9xA=")</f>
        <v>#REF!</v>
      </c>
      <c r="R172" t="e">
        <f>AND(#REF!,"AAAAAHfd9xE=")</f>
        <v>#REF!</v>
      </c>
      <c r="S172" t="e">
        <f>AND(#REF!,"AAAAAHfd9xI=")</f>
        <v>#REF!</v>
      </c>
      <c r="T172" t="e">
        <f>AND(#REF!,"AAAAAHfd9xM=")</f>
        <v>#REF!</v>
      </c>
      <c r="U172" t="e">
        <f>AND(#REF!,"AAAAAHfd9xQ=")</f>
        <v>#REF!</v>
      </c>
      <c r="V172" t="e">
        <f>AND(#REF!,"AAAAAHfd9xU=")</f>
        <v>#REF!</v>
      </c>
      <c r="W172" t="e">
        <f>AND(#REF!,"AAAAAHfd9xY=")</f>
        <v>#REF!</v>
      </c>
      <c r="X172" t="e">
        <f>AND(#REF!,"AAAAAHfd9xc=")</f>
        <v>#REF!</v>
      </c>
      <c r="Y172" t="e">
        <f>AND(#REF!,"AAAAAHfd9xg=")</f>
        <v>#REF!</v>
      </c>
      <c r="Z172" t="e">
        <f>AND(#REF!,"AAAAAHfd9xk=")</f>
        <v>#REF!</v>
      </c>
      <c r="AA172" t="e">
        <f>AND(#REF!,"AAAAAHfd9xo=")</f>
        <v>#REF!</v>
      </c>
      <c r="AB172" t="e">
        <f>AND(#REF!,"AAAAAHfd9xs=")</f>
        <v>#REF!</v>
      </c>
      <c r="AC172" t="e">
        <f>AND(#REF!,"AAAAAHfd9xw=")</f>
        <v>#REF!</v>
      </c>
      <c r="AD172" t="e">
        <f>AND(#REF!,"AAAAAHfd9x0=")</f>
        <v>#REF!</v>
      </c>
      <c r="AE172" t="e">
        <f>AND(#REF!,"AAAAAHfd9x4=")</f>
        <v>#REF!</v>
      </c>
      <c r="AF172" t="e">
        <f>AND(#REF!,"AAAAAHfd9x8=")</f>
        <v>#REF!</v>
      </c>
      <c r="AG172" t="e">
        <f>AND(#REF!,"AAAAAHfd9yA=")</f>
        <v>#REF!</v>
      </c>
      <c r="AH172" t="e">
        <f>AND(#REF!,"AAAAAHfd9yE=")</f>
        <v>#REF!</v>
      </c>
      <c r="AI172" t="e">
        <f>AND(#REF!,"AAAAAHfd9yI=")</f>
        <v>#REF!</v>
      </c>
      <c r="AJ172" t="e">
        <f>AND(#REF!,"AAAAAHfd9yM=")</f>
        <v>#REF!</v>
      </c>
      <c r="AK172" t="e">
        <f>AND(#REF!,"AAAAAHfd9yQ=")</f>
        <v>#REF!</v>
      </c>
      <c r="AL172" t="e">
        <f>AND(#REF!,"AAAAAHfd9yU=")</f>
        <v>#REF!</v>
      </c>
      <c r="AM172" t="e">
        <f>AND(#REF!,"AAAAAHfd9yY=")</f>
        <v>#REF!</v>
      </c>
      <c r="AN172" t="e">
        <f>AND(#REF!,"AAAAAHfd9yc=")</f>
        <v>#REF!</v>
      </c>
      <c r="AO172" t="e">
        <f>AND(#REF!,"AAAAAHfd9yg=")</f>
        <v>#REF!</v>
      </c>
      <c r="AP172" t="e">
        <f>AND(#REF!,"AAAAAHfd9yk=")</f>
        <v>#REF!</v>
      </c>
      <c r="AQ172" t="e">
        <f>AND(#REF!,"AAAAAHfd9yo=")</f>
        <v>#REF!</v>
      </c>
      <c r="AR172" t="e">
        <f>AND(#REF!,"AAAAAHfd9ys=")</f>
        <v>#REF!</v>
      </c>
      <c r="AS172" t="e">
        <f>AND(#REF!,"AAAAAHfd9yw=")</f>
        <v>#REF!</v>
      </c>
      <c r="AT172" t="e">
        <f>AND(#REF!,"AAAAAHfd9y0=")</f>
        <v>#REF!</v>
      </c>
      <c r="AU172" t="e">
        <f>AND(#REF!,"AAAAAHfd9y4=")</f>
        <v>#REF!</v>
      </c>
      <c r="AV172" t="e">
        <f>AND(#REF!,"AAAAAHfd9y8=")</f>
        <v>#REF!</v>
      </c>
      <c r="AW172" t="e">
        <f>AND(#REF!,"AAAAAHfd9zA=")</f>
        <v>#REF!</v>
      </c>
      <c r="AX172" t="e">
        <f>AND(#REF!,"AAAAAHfd9zE=")</f>
        <v>#REF!</v>
      </c>
      <c r="AY172" t="e">
        <f>AND(#REF!,"AAAAAHfd9zI=")</f>
        <v>#REF!</v>
      </c>
      <c r="AZ172" t="e">
        <f>AND(#REF!,"AAAAAHfd9zM=")</f>
        <v>#REF!</v>
      </c>
      <c r="BA172" t="e">
        <f>AND(#REF!,"AAAAAHfd9zQ=")</f>
        <v>#REF!</v>
      </c>
      <c r="BB172" t="e">
        <f>AND(#REF!,"AAAAAHfd9zU=")</f>
        <v>#REF!</v>
      </c>
      <c r="BC172" t="e">
        <f>AND(#REF!,"AAAAAHfd9zY=")</f>
        <v>#REF!</v>
      </c>
      <c r="BD172" t="e">
        <f>AND(#REF!,"AAAAAHfd9zc=")</f>
        <v>#REF!</v>
      </c>
      <c r="BE172" t="e">
        <f>AND(#REF!,"AAAAAHfd9zg=")</f>
        <v>#REF!</v>
      </c>
      <c r="BF172" t="e">
        <f>AND(#REF!,"AAAAAHfd9zk=")</f>
        <v>#REF!</v>
      </c>
      <c r="BG172" t="e">
        <f>AND(#REF!,"AAAAAHfd9zo=")</f>
        <v>#REF!</v>
      </c>
      <c r="BH172" t="e">
        <f>AND(#REF!,"AAAAAHfd9zs=")</f>
        <v>#REF!</v>
      </c>
      <c r="BI172" t="e">
        <f>AND(#REF!,"AAAAAHfd9zw=")</f>
        <v>#REF!</v>
      </c>
      <c r="BJ172" t="e">
        <f>AND(#REF!,"AAAAAHfd9z0=")</f>
        <v>#REF!</v>
      </c>
      <c r="BK172" t="e">
        <f>AND(#REF!,"AAAAAHfd9z4=")</f>
        <v>#REF!</v>
      </c>
      <c r="BL172" t="e">
        <f>AND(#REF!,"AAAAAHfd9z8=")</f>
        <v>#REF!</v>
      </c>
      <c r="BM172" t="e">
        <f>AND(#REF!,"AAAAAHfd90A=")</f>
        <v>#REF!</v>
      </c>
      <c r="BN172" t="e">
        <f>AND(#REF!,"AAAAAHfd90E=")</f>
        <v>#REF!</v>
      </c>
      <c r="BO172" t="e">
        <f>AND(#REF!,"AAAAAHfd90I=")</f>
        <v>#REF!</v>
      </c>
      <c r="BP172" t="e">
        <f>AND(#REF!,"AAAAAHfd90M=")</f>
        <v>#REF!</v>
      </c>
      <c r="BQ172" t="e">
        <f>AND(#REF!,"AAAAAHfd90Q=")</f>
        <v>#REF!</v>
      </c>
      <c r="BR172" t="e">
        <f>AND(#REF!,"AAAAAHfd90U=")</f>
        <v>#REF!</v>
      </c>
      <c r="BS172" t="e">
        <f>AND(#REF!,"AAAAAHfd90Y=")</f>
        <v>#REF!</v>
      </c>
      <c r="BT172" t="e">
        <f>AND(#REF!,"AAAAAHfd90c=")</f>
        <v>#REF!</v>
      </c>
      <c r="BU172" t="e">
        <f>AND(#REF!,"AAAAAHfd90g=")</f>
        <v>#REF!</v>
      </c>
      <c r="BV172" t="e">
        <f>AND(#REF!,"AAAAAHfd90k=")</f>
        <v>#REF!</v>
      </c>
      <c r="BW172" t="e">
        <f>AND(#REF!,"AAAAAHfd90o=")</f>
        <v>#REF!</v>
      </c>
      <c r="BX172" t="e">
        <f>AND(#REF!,"AAAAAHfd90s=")</f>
        <v>#REF!</v>
      </c>
      <c r="BY172" t="e">
        <f>AND(#REF!,"AAAAAHfd90w=")</f>
        <v>#REF!</v>
      </c>
      <c r="BZ172" t="e">
        <f>AND(#REF!,"AAAAAHfd900=")</f>
        <v>#REF!</v>
      </c>
      <c r="CA172" t="e">
        <f>AND(#REF!,"AAAAAHfd904=")</f>
        <v>#REF!</v>
      </c>
      <c r="CB172" t="e">
        <f>AND(#REF!,"AAAAAHfd908=")</f>
        <v>#REF!</v>
      </c>
      <c r="CC172" t="e">
        <f>AND(#REF!,"AAAAAHfd91A=")</f>
        <v>#REF!</v>
      </c>
      <c r="CD172" t="e">
        <f>AND(#REF!,"AAAAAHfd91E=")</f>
        <v>#REF!</v>
      </c>
      <c r="CE172" t="e">
        <f>AND(#REF!,"AAAAAHfd91I=")</f>
        <v>#REF!</v>
      </c>
      <c r="CF172" t="e">
        <f>AND(#REF!,"AAAAAHfd91M=")</f>
        <v>#REF!</v>
      </c>
      <c r="CG172" t="e">
        <f>AND(#REF!,"AAAAAHfd91Q=")</f>
        <v>#REF!</v>
      </c>
      <c r="CH172" t="e">
        <f>AND(#REF!,"AAAAAHfd91U=")</f>
        <v>#REF!</v>
      </c>
      <c r="CI172" t="e">
        <f>AND(#REF!,"AAAAAHfd91Y=")</f>
        <v>#REF!</v>
      </c>
      <c r="CJ172" t="e">
        <f>AND(#REF!,"AAAAAHfd91c=")</f>
        <v>#REF!</v>
      </c>
      <c r="CK172" t="e">
        <f>AND(#REF!,"AAAAAHfd91g=")</f>
        <v>#REF!</v>
      </c>
      <c r="CL172" t="e">
        <f>AND(#REF!,"AAAAAHfd91k=")</f>
        <v>#REF!</v>
      </c>
      <c r="CM172" t="e">
        <f>AND(#REF!,"AAAAAHfd91o=")</f>
        <v>#REF!</v>
      </c>
      <c r="CN172" t="e">
        <f>AND(#REF!,"AAAAAHfd91s=")</f>
        <v>#REF!</v>
      </c>
      <c r="CO172" t="e">
        <f>AND(#REF!,"AAAAAHfd91w=")</f>
        <v>#REF!</v>
      </c>
      <c r="CP172" t="e">
        <f>AND(#REF!,"AAAAAHfd910=")</f>
        <v>#REF!</v>
      </c>
      <c r="CQ172" t="e">
        <f>AND(#REF!,"AAAAAHfd914=")</f>
        <v>#REF!</v>
      </c>
      <c r="CR172" t="e">
        <f>AND(#REF!,"AAAAAHfd918=")</f>
        <v>#REF!</v>
      </c>
      <c r="CS172" t="e">
        <f>AND(#REF!,"AAAAAHfd92A=")</f>
        <v>#REF!</v>
      </c>
      <c r="CT172" t="e">
        <f>AND(#REF!,"AAAAAHfd92E=")</f>
        <v>#REF!</v>
      </c>
      <c r="CU172" t="e">
        <f>AND(#REF!,"AAAAAHfd92I=")</f>
        <v>#REF!</v>
      </c>
      <c r="CV172" t="e">
        <f>AND(#REF!,"AAAAAHfd92M=")</f>
        <v>#REF!</v>
      </c>
      <c r="CW172" t="e">
        <f>AND(#REF!,"AAAAAHfd92Q=")</f>
        <v>#REF!</v>
      </c>
      <c r="CX172" t="e">
        <f>AND(#REF!,"AAAAAHfd92U=")</f>
        <v>#REF!</v>
      </c>
      <c r="CY172" t="e">
        <f>AND(#REF!,"AAAAAHfd92Y=")</f>
        <v>#REF!</v>
      </c>
      <c r="CZ172" t="e">
        <f>AND(#REF!,"AAAAAHfd92c=")</f>
        <v>#REF!</v>
      </c>
      <c r="DA172" t="e">
        <f>AND(#REF!,"AAAAAHfd92g=")</f>
        <v>#REF!</v>
      </c>
      <c r="DB172" t="e">
        <f>AND(#REF!,"AAAAAHfd92k=")</f>
        <v>#REF!</v>
      </c>
      <c r="DC172" t="e">
        <f>AND(#REF!,"AAAAAHfd92o=")</f>
        <v>#REF!</v>
      </c>
      <c r="DD172" t="e">
        <f>AND(#REF!,"AAAAAHfd92s=")</f>
        <v>#REF!</v>
      </c>
      <c r="DE172" t="e">
        <f>AND(#REF!,"AAAAAHfd92w=")</f>
        <v>#REF!</v>
      </c>
      <c r="DF172" t="e">
        <f>AND(#REF!,"AAAAAHfd920=")</f>
        <v>#REF!</v>
      </c>
      <c r="DG172" t="e">
        <f>AND(#REF!,"AAAAAHfd924=")</f>
        <v>#REF!</v>
      </c>
      <c r="DH172" t="e">
        <f>AND(#REF!,"AAAAAHfd928=")</f>
        <v>#REF!</v>
      </c>
      <c r="DI172" t="e">
        <f>AND(#REF!,"AAAAAHfd93A=")</f>
        <v>#REF!</v>
      </c>
      <c r="DJ172" t="e">
        <f>AND(#REF!,"AAAAAHfd93E=")</f>
        <v>#REF!</v>
      </c>
      <c r="DK172" t="e">
        <f>AND(#REF!,"AAAAAHfd93I=")</f>
        <v>#REF!</v>
      </c>
      <c r="DL172" t="e">
        <f>AND(#REF!,"AAAAAHfd93M=")</f>
        <v>#REF!</v>
      </c>
      <c r="DM172" t="e">
        <f>AND(#REF!,"AAAAAHfd93Q=")</f>
        <v>#REF!</v>
      </c>
      <c r="DN172" t="e">
        <f>AND(#REF!,"AAAAAHfd93U=")</f>
        <v>#REF!</v>
      </c>
      <c r="DO172" t="e">
        <f>AND(#REF!,"AAAAAHfd93Y=")</f>
        <v>#REF!</v>
      </c>
      <c r="DP172" t="e">
        <f>AND(#REF!,"AAAAAHfd93c=")</f>
        <v>#REF!</v>
      </c>
      <c r="DQ172" t="e">
        <f>AND(#REF!,"AAAAAHfd93g=")</f>
        <v>#REF!</v>
      </c>
      <c r="DR172" t="e">
        <f>AND(#REF!,"AAAAAHfd93k=")</f>
        <v>#REF!</v>
      </c>
      <c r="DS172" t="e">
        <f>AND(#REF!,"AAAAAHfd93o=")</f>
        <v>#REF!</v>
      </c>
      <c r="DT172" t="e">
        <f>AND(#REF!,"AAAAAHfd93s=")</f>
        <v>#REF!</v>
      </c>
      <c r="DU172" t="e">
        <f>AND(#REF!,"AAAAAHfd93w=")</f>
        <v>#REF!</v>
      </c>
      <c r="DV172" t="e">
        <f>AND(#REF!,"AAAAAHfd930=")</f>
        <v>#REF!</v>
      </c>
      <c r="DW172" t="e">
        <f>AND(#REF!,"AAAAAHfd934=")</f>
        <v>#REF!</v>
      </c>
      <c r="DX172" t="e">
        <f>AND(#REF!,"AAAAAHfd938=")</f>
        <v>#REF!</v>
      </c>
      <c r="DY172" t="e">
        <f>AND(#REF!,"AAAAAHfd94A=")</f>
        <v>#REF!</v>
      </c>
      <c r="DZ172" t="e">
        <f>AND(#REF!,"AAAAAHfd94E=")</f>
        <v>#REF!</v>
      </c>
      <c r="EA172" t="e">
        <f>AND(#REF!,"AAAAAHfd94I=")</f>
        <v>#REF!</v>
      </c>
      <c r="EB172" t="e">
        <f>AND(#REF!,"AAAAAHfd94M=")</f>
        <v>#REF!</v>
      </c>
      <c r="EC172" t="e">
        <f>AND(#REF!,"AAAAAHfd94Q=")</f>
        <v>#REF!</v>
      </c>
      <c r="ED172" t="e">
        <f>AND(#REF!,"AAAAAHfd94U=")</f>
        <v>#REF!</v>
      </c>
      <c r="EE172" t="e">
        <f>AND(#REF!,"AAAAAHfd94Y=")</f>
        <v>#REF!</v>
      </c>
      <c r="EF172" t="e">
        <f>AND(#REF!,"AAAAAHfd94c=")</f>
        <v>#REF!</v>
      </c>
      <c r="EG172" t="e">
        <f>AND(#REF!,"AAAAAHfd94g=")</f>
        <v>#REF!</v>
      </c>
      <c r="EH172" t="e">
        <f>AND(#REF!,"AAAAAHfd94k=")</f>
        <v>#REF!</v>
      </c>
      <c r="EI172" t="e">
        <f>AND(#REF!,"AAAAAHfd94o=")</f>
        <v>#REF!</v>
      </c>
      <c r="EJ172" t="e">
        <f>AND(#REF!,"AAAAAHfd94s=")</f>
        <v>#REF!</v>
      </c>
      <c r="EK172" t="e">
        <f>AND(#REF!,"AAAAAHfd94w=")</f>
        <v>#REF!</v>
      </c>
      <c r="EL172" t="e">
        <f>AND(#REF!,"AAAAAHfd940=")</f>
        <v>#REF!</v>
      </c>
      <c r="EM172" t="e">
        <f>AND(#REF!,"AAAAAHfd944=")</f>
        <v>#REF!</v>
      </c>
      <c r="EN172" t="e">
        <f>AND(#REF!,"AAAAAHfd948=")</f>
        <v>#REF!</v>
      </c>
      <c r="EO172" t="e">
        <f>AND(#REF!,"AAAAAHfd95A=")</f>
        <v>#REF!</v>
      </c>
      <c r="EP172" t="e">
        <f>AND(#REF!,"AAAAAHfd95E=")</f>
        <v>#REF!</v>
      </c>
      <c r="EQ172" t="e">
        <f>AND(#REF!,"AAAAAHfd95I=")</f>
        <v>#REF!</v>
      </c>
      <c r="ER172" t="e">
        <f>AND(#REF!,"AAAAAHfd95M=")</f>
        <v>#REF!</v>
      </c>
      <c r="ES172" t="e">
        <f>AND(#REF!,"AAAAAHfd95Q=")</f>
        <v>#REF!</v>
      </c>
      <c r="ET172" t="e">
        <f>AND(#REF!,"AAAAAHfd95U=")</f>
        <v>#REF!</v>
      </c>
      <c r="EU172" t="e">
        <f>AND(#REF!,"AAAAAHfd95Y=")</f>
        <v>#REF!</v>
      </c>
      <c r="EV172" t="e">
        <f>AND(#REF!,"AAAAAHfd95c=")</f>
        <v>#REF!</v>
      </c>
      <c r="EW172" t="e">
        <f>AND(#REF!,"AAAAAHfd95g=")</f>
        <v>#REF!</v>
      </c>
      <c r="EX172" t="e">
        <f>AND(#REF!,"AAAAAHfd95k=")</f>
        <v>#REF!</v>
      </c>
      <c r="EY172" t="e">
        <f>AND(#REF!,"AAAAAHfd95o=")</f>
        <v>#REF!</v>
      </c>
      <c r="EZ172" t="e">
        <f>AND(#REF!,"AAAAAHfd95s=")</f>
        <v>#REF!</v>
      </c>
      <c r="FA172" t="e">
        <f>AND(#REF!,"AAAAAHfd95w=")</f>
        <v>#REF!</v>
      </c>
      <c r="FB172" t="e">
        <f>AND(#REF!,"AAAAAHfd950=")</f>
        <v>#REF!</v>
      </c>
      <c r="FC172" t="e">
        <f>AND(#REF!,"AAAAAHfd954=")</f>
        <v>#REF!</v>
      </c>
      <c r="FD172" t="e">
        <f>AND(#REF!,"AAAAAHfd958=")</f>
        <v>#REF!</v>
      </c>
      <c r="FE172" t="e">
        <f>AND(#REF!,"AAAAAHfd96A=")</f>
        <v>#REF!</v>
      </c>
      <c r="FF172" t="e">
        <f>AND(#REF!,"AAAAAHfd96E=")</f>
        <v>#REF!</v>
      </c>
      <c r="FG172" t="e">
        <f>AND(#REF!,"AAAAAHfd96I=")</f>
        <v>#REF!</v>
      </c>
      <c r="FH172" t="e">
        <f>AND(#REF!,"AAAAAHfd96M=")</f>
        <v>#REF!</v>
      </c>
      <c r="FI172" t="e">
        <f>AND(#REF!,"AAAAAHfd96Q=")</f>
        <v>#REF!</v>
      </c>
      <c r="FJ172" t="e">
        <f>AND(#REF!,"AAAAAHfd96U=")</f>
        <v>#REF!</v>
      </c>
      <c r="FK172" t="e">
        <f>AND(#REF!,"AAAAAHfd96Y=")</f>
        <v>#REF!</v>
      </c>
      <c r="FL172" t="e">
        <f>AND(#REF!,"AAAAAHfd96c=")</f>
        <v>#REF!</v>
      </c>
      <c r="FM172" t="e">
        <f>AND(#REF!,"AAAAAHfd96g=")</f>
        <v>#REF!</v>
      </c>
      <c r="FN172" t="e">
        <f>AND(#REF!,"AAAAAHfd96k=")</f>
        <v>#REF!</v>
      </c>
      <c r="FO172" t="e">
        <f>IF(#REF!,"AAAAAHfd96o=",0)</f>
        <v>#REF!</v>
      </c>
      <c r="FP172" t="e">
        <f>AND(#REF!,"AAAAAHfd96s=")</f>
        <v>#REF!</v>
      </c>
      <c r="FQ172" t="e">
        <f>AND(#REF!,"AAAAAHfd96w=")</f>
        <v>#REF!</v>
      </c>
      <c r="FR172" t="e">
        <f>AND(#REF!,"AAAAAHfd960=")</f>
        <v>#REF!</v>
      </c>
      <c r="FS172" t="e">
        <f>AND(#REF!,"AAAAAHfd964=")</f>
        <v>#REF!</v>
      </c>
      <c r="FT172" t="e">
        <f>AND(#REF!,"AAAAAHfd968=")</f>
        <v>#REF!</v>
      </c>
      <c r="FU172" t="e">
        <f>AND(#REF!,"AAAAAHfd97A=")</f>
        <v>#REF!</v>
      </c>
      <c r="FV172" t="e">
        <f>AND(#REF!,"AAAAAHfd97E=")</f>
        <v>#REF!</v>
      </c>
      <c r="FW172" t="e">
        <f>AND(#REF!,"AAAAAHfd97I=")</f>
        <v>#REF!</v>
      </c>
      <c r="FX172" t="e">
        <f>AND(#REF!,"AAAAAHfd97M=")</f>
        <v>#REF!</v>
      </c>
      <c r="FY172" t="e">
        <f>AND(#REF!,"AAAAAHfd97Q=")</f>
        <v>#REF!</v>
      </c>
      <c r="FZ172" t="e">
        <f>AND(#REF!,"AAAAAHfd97U=")</f>
        <v>#REF!</v>
      </c>
      <c r="GA172" t="e">
        <f>AND(#REF!,"AAAAAHfd97Y=")</f>
        <v>#REF!</v>
      </c>
      <c r="GB172" t="e">
        <f>AND(#REF!,"AAAAAHfd97c=")</f>
        <v>#REF!</v>
      </c>
      <c r="GC172" t="e">
        <f>AND(#REF!,"AAAAAHfd97g=")</f>
        <v>#REF!</v>
      </c>
      <c r="GD172" t="e">
        <f>AND(#REF!,"AAAAAHfd97k=")</f>
        <v>#REF!</v>
      </c>
      <c r="GE172" t="e">
        <f>AND(#REF!,"AAAAAHfd97o=")</f>
        <v>#REF!</v>
      </c>
      <c r="GF172" t="e">
        <f>AND(#REF!,"AAAAAHfd97s=")</f>
        <v>#REF!</v>
      </c>
      <c r="GG172" t="e">
        <f>AND(#REF!,"AAAAAHfd97w=")</f>
        <v>#REF!</v>
      </c>
      <c r="GH172" t="e">
        <f>AND(#REF!,"AAAAAHfd970=")</f>
        <v>#REF!</v>
      </c>
      <c r="GI172" t="e">
        <f>AND(#REF!,"AAAAAHfd974=")</f>
        <v>#REF!</v>
      </c>
      <c r="GJ172" t="e">
        <f>AND(#REF!,"AAAAAHfd978=")</f>
        <v>#REF!</v>
      </c>
      <c r="GK172" t="e">
        <f>AND(#REF!,"AAAAAHfd98A=")</f>
        <v>#REF!</v>
      </c>
      <c r="GL172" t="e">
        <f>AND(#REF!,"AAAAAHfd98E=")</f>
        <v>#REF!</v>
      </c>
      <c r="GM172" t="e">
        <f>AND(#REF!,"AAAAAHfd98I=")</f>
        <v>#REF!</v>
      </c>
      <c r="GN172" t="e">
        <f>AND(#REF!,"AAAAAHfd98M=")</f>
        <v>#REF!</v>
      </c>
      <c r="GO172" t="e">
        <f>AND(#REF!,"AAAAAHfd98Q=")</f>
        <v>#REF!</v>
      </c>
      <c r="GP172" t="e">
        <f>AND(#REF!,"AAAAAHfd98U=")</f>
        <v>#REF!</v>
      </c>
      <c r="GQ172" t="e">
        <f>AND(#REF!,"AAAAAHfd98Y=")</f>
        <v>#REF!</v>
      </c>
      <c r="GR172" t="e">
        <f>AND(#REF!,"AAAAAHfd98c=")</f>
        <v>#REF!</v>
      </c>
      <c r="GS172" t="e">
        <f>AND(#REF!,"AAAAAHfd98g=")</f>
        <v>#REF!</v>
      </c>
      <c r="GT172" t="e">
        <f>AND(#REF!,"AAAAAHfd98k=")</f>
        <v>#REF!</v>
      </c>
      <c r="GU172" t="e">
        <f>AND(#REF!,"AAAAAHfd98o=")</f>
        <v>#REF!</v>
      </c>
      <c r="GV172" t="e">
        <f>AND(#REF!,"AAAAAHfd98s=")</f>
        <v>#REF!</v>
      </c>
      <c r="GW172" t="e">
        <f>AND(#REF!,"AAAAAHfd98w=")</f>
        <v>#REF!</v>
      </c>
      <c r="GX172" t="e">
        <f>AND(#REF!,"AAAAAHfd980=")</f>
        <v>#REF!</v>
      </c>
      <c r="GY172" t="e">
        <f>AND(#REF!,"AAAAAHfd984=")</f>
        <v>#REF!</v>
      </c>
      <c r="GZ172" t="e">
        <f>AND(#REF!,"AAAAAHfd988=")</f>
        <v>#REF!</v>
      </c>
      <c r="HA172" t="e">
        <f>AND(#REF!,"AAAAAHfd99A=")</f>
        <v>#REF!</v>
      </c>
      <c r="HB172" t="e">
        <f>AND(#REF!,"AAAAAHfd99E=")</f>
        <v>#REF!</v>
      </c>
      <c r="HC172" t="e">
        <f>AND(#REF!,"AAAAAHfd99I=")</f>
        <v>#REF!</v>
      </c>
      <c r="HD172" t="e">
        <f>AND(#REF!,"AAAAAHfd99M=")</f>
        <v>#REF!</v>
      </c>
      <c r="HE172" t="e">
        <f>AND(#REF!,"AAAAAHfd99Q=")</f>
        <v>#REF!</v>
      </c>
      <c r="HF172" t="e">
        <f>AND(#REF!,"AAAAAHfd99U=")</f>
        <v>#REF!</v>
      </c>
      <c r="HG172" t="e">
        <f>AND(#REF!,"AAAAAHfd99Y=")</f>
        <v>#REF!</v>
      </c>
      <c r="HH172" t="e">
        <f>AND(#REF!,"AAAAAHfd99c=")</f>
        <v>#REF!</v>
      </c>
      <c r="HI172" t="e">
        <f>AND(#REF!,"AAAAAHfd99g=")</f>
        <v>#REF!</v>
      </c>
      <c r="HJ172" t="e">
        <f>AND(#REF!,"AAAAAHfd99k=")</f>
        <v>#REF!</v>
      </c>
      <c r="HK172" t="e">
        <f>AND(#REF!,"AAAAAHfd99o=")</f>
        <v>#REF!</v>
      </c>
      <c r="HL172" t="e">
        <f>AND(#REF!,"AAAAAHfd99s=")</f>
        <v>#REF!</v>
      </c>
      <c r="HM172" t="e">
        <f>AND(#REF!,"AAAAAHfd99w=")</f>
        <v>#REF!</v>
      </c>
      <c r="HN172" t="e">
        <f>AND(#REF!,"AAAAAHfd990=")</f>
        <v>#REF!</v>
      </c>
      <c r="HO172" t="e">
        <f>AND(#REF!,"AAAAAHfd994=")</f>
        <v>#REF!</v>
      </c>
      <c r="HP172" t="e">
        <f>AND(#REF!,"AAAAAHfd998=")</f>
        <v>#REF!</v>
      </c>
      <c r="HQ172" t="e">
        <f>AND(#REF!,"AAAAAHfd9+A=")</f>
        <v>#REF!</v>
      </c>
      <c r="HR172" t="e">
        <f>AND(#REF!,"AAAAAHfd9+E=")</f>
        <v>#REF!</v>
      </c>
      <c r="HS172" t="e">
        <f>AND(#REF!,"AAAAAHfd9+I=")</f>
        <v>#REF!</v>
      </c>
      <c r="HT172" t="e">
        <f>AND(#REF!,"AAAAAHfd9+M=")</f>
        <v>#REF!</v>
      </c>
      <c r="HU172" t="e">
        <f>AND(#REF!,"AAAAAHfd9+Q=")</f>
        <v>#REF!</v>
      </c>
      <c r="HV172" t="e">
        <f>AND(#REF!,"AAAAAHfd9+U=")</f>
        <v>#REF!</v>
      </c>
      <c r="HW172" t="e">
        <f>AND(#REF!,"AAAAAHfd9+Y=")</f>
        <v>#REF!</v>
      </c>
      <c r="HX172" t="e">
        <f>AND(#REF!,"AAAAAHfd9+c=")</f>
        <v>#REF!</v>
      </c>
      <c r="HY172" t="e">
        <f>AND(#REF!,"AAAAAHfd9+g=")</f>
        <v>#REF!</v>
      </c>
      <c r="HZ172" t="e">
        <f>AND(#REF!,"AAAAAHfd9+k=")</f>
        <v>#REF!</v>
      </c>
      <c r="IA172" t="e">
        <f>AND(#REF!,"AAAAAHfd9+o=")</f>
        <v>#REF!</v>
      </c>
      <c r="IB172" t="e">
        <f>AND(#REF!,"AAAAAHfd9+s=")</f>
        <v>#REF!</v>
      </c>
      <c r="IC172" t="e">
        <f>AND(#REF!,"AAAAAHfd9+w=")</f>
        <v>#REF!</v>
      </c>
      <c r="ID172" t="e">
        <f>AND(#REF!,"AAAAAHfd9+0=")</f>
        <v>#REF!</v>
      </c>
      <c r="IE172" t="e">
        <f>AND(#REF!,"AAAAAHfd9+4=")</f>
        <v>#REF!</v>
      </c>
      <c r="IF172" t="e">
        <f>AND(#REF!,"AAAAAHfd9+8=")</f>
        <v>#REF!</v>
      </c>
      <c r="IG172" t="e">
        <f>AND(#REF!,"AAAAAHfd9/A=")</f>
        <v>#REF!</v>
      </c>
      <c r="IH172" t="e">
        <f>AND(#REF!,"AAAAAHfd9/E=")</f>
        <v>#REF!</v>
      </c>
      <c r="II172" t="e">
        <f>AND(#REF!,"AAAAAHfd9/I=")</f>
        <v>#REF!</v>
      </c>
      <c r="IJ172" t="e">
        <f>AND(#REF!,"AAAAAHfd9/M=")</f>
        <v>#REF!</v>
      </c>
      <c r="IK172" t="e">
        <f>AND(#REF!,"AAAAAHfd9/Q=")</f>
        <v>#REF!</v>
      </c>
      <c r="IL172" t="e">
        <f>AND(#REF!,"AAAAAHfd9/U=")</f>
        <v>#REF!</v>
      </c>
      <c r="IM172" t="e">
        <f>AND(#REF!,"AAAAAHfd9/Y=")</f>
        <v>#REF!</v>
      </c>
      <c r="IN172" t="e">
        <f>AND(#REF!,"AAAAAHfd9/c=")</f>
        <v>#REF!</v>
      </c>
      <c r="IO172" t="e">
        <f>AND(#REF!,"AAAAAHfd9/g=")</f>
        <v>#REF!</v>
      </c>
      <c r="IP172" t="e">
        <f>AND(#REF!,"AAAAAHfd9/k=")</f>
        <v>#REF!</v>
      </c>
      <c r="IQ172" t="e">
        <f>AND(#REF!,"AAAAAHfd9/o=")</f>
        <v>#REF!</v>
      </c>
      <c r="IR172" t="e">
        <f>AND(#REF!,"AAAAAHfd9/s=")</f>
        <v>#REF!</v>
      </c>
      <c r="IS172" t="e">
        <f>AND(#REF!,"AAAAAHfd9/w=")</f>
        <v>#REF!</v>
      </c>
      <c r="IT172" t="e">
        <f>AND(#REF!,"AAAAAHfd9/0=")</f>
        <v>#REF!</v>
      </c>
      <c r="IU172" t="e">
        <f>AND(#REF!,"AAAAAHfd9/4=")</f>
        <v>#REF!</v>
      </c>
      <c r="IV172" t="e">
        <f>AND(#REF!,"AAAAAHfd9/8=")</f>
        <v>#REF!</v>
      </c>
    </row>
    <row r="173" spans="1:256">
      <c r="A173" t="e">
        <f>AND(#REF!,"AAAAACm/vgA=")</f>
        <v>#REF!</v>
      </c>
      <c r="B173" t="e">
        <f>AND(#REF!,"AAAAACm/vgE=")</f>
        <v>#REF!</v>
      </c>
      <c r="C173" t="e">
        <f>AND(#REF!,"AAAAACm/vgI=")</f>
        <v>#REF!</v>
      </c>
      <c r="D173" t="e">
        <f>AND(#REF!,"AAAAACm/vgM=")</f>
        <v>#REF!</v>
      </c>
      <c r="E173" t="e">
        <f>AND(#REF!,"AAAAACm/vgQ=")</f>
        <v>#REF!</v>
      </c>
      <c r="F173" t="e">
        <f>AND(#REF!,"AAAAACm/vgU=")</f>
        <v>#REF!</v>
      </c>
      <c r="G173" t="e">
        <f>AND(#REF!,"AAAAACm/vgY=")</f>
        <v>#REF!</v>
      </c>
      <c r="H173" t="e">
        <f>AND(#REF!,"AAAAACm/vgc=")</f>
        <v>#REF!</v>
      </c>
      <c r="I173" t="e">
        <f>AND(#REF!,"AAAAACm/vgg=")</f>
        <v>#REF!</v>
      </c>
      <c r="J173" t="e">
        <f>AND(#REF!,"AAAAACm/vgk=")</f>
        <v>#REF!</v>
      </c>
      <c r="K173" t="e">
        <f>AND(#REF!,"AAAAACm/vgo=")</f>
        <v>#REF!</v>
      </c>
      <c r="L173" t="e">
        <f>AND(#REF!,"AAAAACm/vgs=")</f>
        <v>#REF!</v>
      </c>
      <c r="M173" t="e">
        <f>AND(#REF!,"AAAAACm/vgw=")</f>
        <v>#REF!</v>
      </c>
      <c r="N173" t="e">
        <f>AND(#REF!,"AAAAACm/vg0=")</f>
        <v>#REF!</v>
      </c>
      <c r="O173" t="e">
        <f>AND(#REF!,"AAAAACm/vg4=")</f>
        <v>#REF!</v>
      </c>
      <c r="P173" t="e">
        <f>AND(#REF!,"AAAAACm/vg8=")</f>
        <v>#REF!</v>
      </c>
      <c r="Q173" t="e">
        <f>AND(#REF!,"AAAAACm/vhA=")</f>
        <v>#REF!</v>
      </c>
      <c r="R173" t="e">
        <f>AND(#REF!,"AAAAACm/vhE=")</f>
        <v>#REF!</v>
      </c>
      <c r="S173" t="e">
        <f>AND(#REF!,"AAAAACm/vhI=")</f>
        <v>#REF!</v>
      </c>
      <c r="T173" t="e">
        <f>AND(#REF!,"AAAAACm/vhM=")</f>
        <v>#REF!</v>
      </c>
      <c r="U173" t="e">
        <f>AND(#REF!,"AAAAACm/vhQ=")</f>
        <v>#REF!</v>
      </c>
      <c r="V173" t="e">
        <f>AND(#REF!,"AAAAACm/vhU=")</f>
        <v>#REF!</v>
      </c>
      <c r="W173" t="e">
        <f>AND(#REF!,"AAAAACm/vhY=")</f>
        <v>#REF!</v>
      </c>
      <c r="X173" t="e">
        <f>AND(#REF!,"AAAAACm/vhc=")</f>
        <v>#REF!</v>
      </c>
      <c r="Y173" t="e">
        <f>AND(#REF!,"AAAAACm/vhg=")</f>
        <v>#REF!</v>
      </c>
      <c r="Z173" t="e">
        <f>AND(#REF!,"AAAAACm/vhk=")</f>
        <v>#REF!</v>
      </c>
      <c r="AA173" t="e">
        <f>AND(#REF!,"AAAAACm/vho=")</f>
        <v>#REF!</v>
      </c>
      <c r="AB173" t="e">
        <f>AND(#REF!,"AAAAACm/vhs=")</f>
        <v>#REF!</v>
      </c>
      <c r="AC173" t="e">
        <f>AND(#REF!,"AAAAACm/vhw=")</f>
        <v>#REF!</v>
      </c>
      <c r="AD173" t="e">
        <f>AND(#REF!,"AAAAACm/vh0=")</f>
        <v>#REF!</v>
      </c>
      <c r="AE173" t="e">
        <f>AND(#REF!,"AAAAACm/vh4=")</f>
        <v>#REF!</v>
      </c>
      <c r="AF173" t="e">
        <f>AND(#REF!,"AAAAACm/vh8=")</f>
        <v>#REF!</v>
      </c>
      <c r="AG173" t="e">
        <f>AND(#REF!,"AAAAACm/viA=")</f>
        <v>#REF!</v>
      </c>
      <c r="AH173" t="e">
        <f>AND(#REF!,"AAAAACm/viE=")</f>
        <v>#REF!</v>
      </c>
      <c r="AI173" t="e">
        <f>AND(#REF!,"AAAAACm/viI=")</f>
        <v>#REF!</v>
      </c>
      <c r="AJ173" t="e">
        <f>AND(#REF!,"AAAAACm/viM=")</f>
        <v>#REF!</v>
      </c>
      <c r="AK173" t="e">
        <f>AND(#REF!,"AAAAACm/viQ=")</f>
        <v>#REF!</v>
      </c>
      <c r="AL173" t="e">
        <f>AND(#REF!,"AAAAACm/viU=")</f>
        <v>#REF!</v>
      </c>
      <c r="AM173" t="e">
        <f>AND(#REF!,"AAAAACm/viY=")</f>
        <v>#REF!</v>
      </c>
      <c r="AN173" t="e">
        <f>AND(#REF!,"AAAAACm/vic=")</f>
        <v>#REF!</v>
      </c>
      <c r="AO173" t="e">
        <f>AND(#REF!,"AAAAACm/vig=")</f>
        <v>#REF!</v>
      </c>
      <c r="AP173" t="e">
        <f>AND(#REF!,"AAAAACm/vik=")</f>
        <v>#REF!</v>
      </c>
      <c r="AQ173" t="e">
        <f>AND(#REF!,"AAAAACm/vio=")</f>
        <v>#REF!</v>
      </c>
      <c r="AR173" t="e">
        <f>AND(#REF!,"AAAAACm/vis=")</f>
        <v>#REF!</v>
      </c>
      <c r="AS173" t="e">
        <f>AND(#REF!,"AAAAACm/viw=")</f>
        <v>#REF!</v>
      </c>
      <c r="AT173" t="e">
        <f>AND(#REF!,"AAAAACm/vi0=")</f>
        <v>#REF!</v>
      </c>
      <c r="AU173" t="e">
        <f>AND(#REF!,"AAAAACm/vi4=")</f>
        <v>#REF!</v>
      </c>
      <c r="AV173" t="e">
        <f>AND(#REF!,"AAAAACm/vi8=")</f>
        <v>#REF!</v>
      </c>
      <c r="AW173" t="e">
        <f>AND(#REF!,"AAAAACm/vjA=")</f>
        <v>#REF!</v>
      </c>
      <c r="AX173" t="e">
        <f>AND(#REF!,"AAAAACm/vjE=")</f>
        <v>#REF!</v>
      </c>
      <c r="AY173" t="e">
        <f>AND(#REF!,"AAAAACm/vjI=")</f>
        <v>#REF!</v>
      </c>
      <c r="AZ173" t="e">
        <f>AND(#REF!,"AAAAACm/vjM=")</f>
        <v>#REF!</v>
      </c>
      <c r="BA173" t="e">
        <f>AND(#REF!,"AAAAACm/vjQ=")</f>
        <v>#REF!</v>
      </c>
      <c r="BB173" t="e">
        <f>AND(#REF!,"AAAAACm/vjU=")</f>
        <v>#REF!</v>
      </c>
      <c r="BC173" t="e">
        <f>AND(#REF!,"AAAAACm/vjY=")</f>
        <v>#REF!</v>
      </c>
      <c r="BD173" t="e">
        <f>AND(#REF!,"AAAAACm/vjc=")</f>
        <v>#REF!</v>
      </c>
      <c r="BE173" t="e">
        <f>AND(#REF!,"AAAAACm/vjg=")</f>
        <v>#REF!</v>
      </c>
      <c r="BF173" t="e">
        <f>AND(#REF!,"AAAAACm/vjk=")</f>
        <v>#REF!</v>
      </c>
      <c r="BG173" t="e">
        <f>AND(#REF!,"AAAAACm/vjo=")</f>
        <v>#REF!</v>
      </c>
      <c r="BH173" t="e">
        <f>AND(#REF!,"AAAAACm/vjs=")</f>
        <v>#REF!</v>
      </c>
      <c r="BI173" t="e">
        <f>AND(#REF!,"AAAAACm/vjw=")</f>
        <v>#REF!</v>
      </c>
      <c r="BJ173" t="e">
        <f>AND(#REF!,"AAAAACm/vj0=")</f>
        <v>#REF!</v>
      </c>
      <c r="BK173" t="e">
        <f>AND(#REF!,"AAAAACm/vj4=")</f>
        <v>#REF!</v>
      </c>
      <c r="BL173" t="e">
        <f>AND(#REF!,"AAAAACm/vj8=")</f>
        <v>#REF!</v>
      </c>
      <c r="BM173" t="e">
        <f>AND(#REF!,"AAAAACm/vkA=")</f>
        <v>#REF!</v>
      </c>
      <c r="BN173" t="e">
        <f>AND(#REF!,"AAAAACm/vkE=")</f>
        <v>#REF!</v>
      </c>
      <c r="BO173" t="e">
        <f>AND(#REF!,"AAAAACm/vkI=")</f>
        <v>#REF!</v>
      </c>
      <c r="BP173" t="e">
        <f>AND(#REF!,"AAAAACm/vkM=")</f>
        <v>#REF!</v>
      </c>
      <c r="BQ173" t="e">
        <f>AND(#REF!,"AAAAACm/vkQ=")</f>
        <v>#REF!</v>
      </c>
      <c r="BR173" t="e">
        <f>AND(#REF!,"AAAAACm/vkU=")</f>
        <v>#REF!</v>
      </c>
      <c r="BS173" t="e">
        <f>AND(#REF!,"AAAAACm/vkY=")</f>
        <v>#REF!</v>
      </c>
      <c r="BT173" t="e">
        <f>AND(#REF!,"AAAAACm/vkc=")</f>
        <v>#REF!</v>
      </c>
      <c r="BU173" t="e">
        <f>AND(#REF!,"AAAAACm/vkg=")</f>
        <v>#REF!</v>
      </c>
      <c r="BV173" t="e">
        <f>AND(#REF!,"AAAAACm/vkk=")</f>
        <v>#REF!</v>
      </c>
      <c r="BW173" t="e">
        <f>AND(#REF!,"AAAAACm/vko=")</f>
        <v>#REF!</v>
      </c>
      <c r="BX173" t="e">
        <f>AND(#REF!,"AAAAACm/vks=")</f>
        <v>#REF!</v>
      </c>
      <c r="BY173" t="e">
        <f>AND(#REF!,"AAAAACm/vkw=")</f>
        <v>#REF!</v>
      </c>
      <c r="BZ173" t="e">
        <f>AND(#REF!,"AAAAACm/vk0=")</f>
        <v>#REF!</v>
      </c>
      <c r="CA173" t="e">
        <f>AND(#REF!,"AAAAACm/vk4=")</f>
        <v>#REF!</v>
      </c>
      <c r="CB173" t="e">
        <f>AND(#REF!,"AAAAACm/vk8=")</f>
        <v>#REF!</v>
      </c>
      <c r="CC173" t="e">
        <f>AND(#REF!,"AAAAACm/vlA=")</f>
        <v>#REF!</v>
      </c>
      <c r="CD173" t="e">
        <f>AND(#REF!,"AAAAACm/vlE=")</f>
        <v>#REF!</v>
      </c>
      <c r="CE173" t="e">
        <f>AND(#REF!,"AAAAACm/vlI=")</f>
        <v>#REF!</v>
      </c>
      <c r="CF173" t="e">
        <f>AND(#REF!,"AAAAACm/vlM=")</f>
        <v>#REF!</v>
      </c>
      <c r="CG173" t="e">
        <f>AND(#REF!,"AAAAACm/vlQ=")</f>
        <v>#REF!</v>
      </c>
      <c r="CH173" t="e">
        <f>AND(#REF!,"AAAAACm/vlU=")</f>
        <v>#REF!</v>
      </c>
      <c r="CI173" t="e">
        <f>AND(#REF!,"AAAAACm/vlY=")</f>
        <v>#REF!</v>
      </c>
      <c r="CJ173" t="e">
        <f>AND(#REF!,"AAAAACm/vlc=")</f>
        <v>#REF!</v>
      </c>
      <c r="CK173" t="e">
        <f>AND(#REF!,"AAAAACm/vlg=")</f>
        <v>#REF!</v>
      </c>
      <c r="CL173" t="e">
        <f>AND(#REF!,"AAAAACm/vlk=")</f>
        <v>#REF!</v>
      </c>
      <c r="CM173" t="e">
        <f>AND(#REF!,"AAAAACm/vlo=")</f>
        <v>#REF!</v>
      </c>
      <c r="CN173" t="e">
        <f>AND(#REF!,"AAAAACm/vls=")</f>
        <v>#REF!</v>
      </c>
      <c r="CO173" t="e">
        <f>AND(#REF!,"AAAAACm/vlw=")</f>
        <v>#REF!</v>
      </c>
      <c r="CP173" t="e">
        <f>AND(#REF!,"AAAAACm/vl0=")</f>
        <v>#REF!</v>
      </c>
      <c r="CQ173" t="e">
        <f>AND(#REF!,"AAAAACm/vl4=")</f>
        <v>#REF!</v>
      </c>
      <c r="CR173" t="e">
        <f>AND(#REF!,"AAAAACm/vl8=")</f>
        <v>#REF!</v>
      </c>
      <c r="CS173" t="e">
        <f>AND(#REF!,"AAAAACm/vmA=")</f>
        <v>#REF!</v>
      </c>
      <c r="CT173" t="e">
        <f>AND(#REF!,"AAAAACm/vmE=")</f>
        <v>#REF!</v>
      </c>
      <c r="CU173" t="e">
        <f>AND(#REF!,"AAAAACm/vmI=")</f>
        <v>#REF!</v>
      </c>
      <c r="CV173" t="e">
        <f>AND(#REF!,"AAAAACm/vmM=")</f>
        <v>#REF!</v>
      </c>
      <c r="CW173" t="e">
        <f>AND(#REF!,"AAAAACm/vmQ=")</f>
        <v>#REF!</v>
      </c>
      <c r="CX173" t="e">
        <f>AND(#REF!,"AAAAACm/vmU=")</f>
        <v>#REF!</v>
      </c>
      <c r="CY173" t="e">
        <f>AND(#REF!,"AAAAACm/vmY=")</f>
        <v>#REF!</v>
      </c>
      <c r="CZ173" t="e">
        <f>AND(#REF!,"AAAAACm/vmc=")</f>
        <v>#REF!</v>
      </c>
      <c r="DA173" t="e">
        <f>AND(#REF!,"AAAAACm/vmg=")</f>
        <v>#REF!</v>
      </c>
      <c r="DB173" t="e">
        <f>AND(#REF!,"AAAAACm/vmk=")</f>
        <v>#REF!</v>
      </c>
      <c r="DC173" t="e">
        <f>AND(#REF!,"AAAAACm/vmo=")</f>
        <v>#REF!</v>
      </c>
      <c r="DD173" t="e">
        <f>AND(#REF!,"AAAAACm/vms=")</f>
        <v>#REF!</v>
      </c>
      <c r="DE173" t="e">
        <f>AND(#REF!,"AAAAACm/vmw=")</f>
        <v>#REF!</v>
      </c>
      <c r="DF173" t="e">
        <f>AND(#REF!,"AAAAACm/vm0=")</f>
        <v>#REF!</v>
      </c>
      <c r="DG173" t="e">
        <f>AND(#REF!,"AAAAACm/vm4=")</f>
        <v>#REF!</v>
      </c>
      <c r="DH173" t="e">
        <f>AND(#REF!,"AAAAACm/vm8=")</f>
        <v>#REF!</v>
      </c>
      <c r="DI173" t="e">
        <f>AND(#REF!,"AAAAACm/vnA=")</f>
        <v>#REF!</v>
      </c>
      <c r="DJ173" t="e">
        <f>AND(#REF!,"AAAAACm/vnE=")</f>
        <v>#REF!</v>
      </c>
      <c r="DK173" t="e">
        <f>AND(#REF!,"AAAAACm/vnI=")</f>
        <v>#REF!</v>
      </c>
      <c r="DL173" t="e">
        <f>AND(#REF!,"AAAAACm/vnM=")</f>
        <v>#REF!</v>
      </c>
      <c r="DM173" t="e">
        <f>AND(#REF!,"AAAAACm/vnQ=")</f>
        <v>#REF!</v>
      </c>
      <c r="DN173" t="e">
        <f>AND(#REF!,"AAAAACm/vnU=")</f>
        <v>#REF!</v>
      </c>
      <c r="DO173" t="e">
        <f>AND(#REF!,"AAAAACm/vnY=")</f>
        <v>#REF!</v>
      </c>
      <c r="DP173" t="e">
        <f>AND(#REF!,"AAAAACm/vnc=")</f>
        <v>#REF!</v>
      </c>
      <c r="DQ173" t="e">
        <f>AND(#REF!,"AAAAACm/vng=")</f>
        <v>#REF!</v>
      </c>
      <c r="DR173" t="e">
        <f>AND(#REF!,"AAAAACm/vnk=")</f>
        <v>#REF!</v>
      </c>
      <c r="DS173" t="e">
        <f>AND(#REF!,"AAAAACm/vno=")</f>
        <v>#REF!</v>
      </c>
      <c r="DT173" t="e">
        <f>AND(#REF!,"AAAAACm/vns=")</f>
        <v>#REF!</v>
      </c>
      <c r="DU173" t="e">
        <f>AND(#REF!,"AAAAACm/vnw=")</f>
        <v>#REF!</v>
      </c>
      <c r="DV173" t="e">
        <f>AND(#REF!,"AAAAACm/vn0=")</f>
        <v>#REF!</v>
      </c>
      <c r="DW173" t="e">
        <f>AND(#REF!,"AAAAACm/vn4=")</f>
        <v>#REF!</v>
      </c>
      <c r="DX173" t="e">
        <f>AND(#REF!,"AAAAACm/vn8=")</f>
        <v>#REF!</v>
      </c>
      <c r="DY173" t="e">
        <f>AND(#REF!,"AAAAACm/voA=")</f>
        <v>#REF!</v>
      </c>
      <c r="DZ173" t="e">
        <f>AND(#REF!,"AAAAACm/voE=")</f>
        <v>#REF!</v>
      </c>
      <c r="EA173" t="e">
        <f>AND(#REF!,"AAAAACm/voI=")</f>
        <v>#REF!</v>
      </c>
      <c r="EB173" t="e">
        <f>AND(#REF!,"AAAAACm/voM=")</f>
        <v>#REF!</v>
      </c>
      <c r="EC173" t="e">
        <f>AND(#REF!,"AAAAACm/voQ=")</f>
        <v>#REF!</v>
      </c>
      <c r="ED173" t="e">
        <f>AND(#REF!,"AAAAACm/voU=")</f>
        <v>#REF!</v>
      </c>
      <c r="EE173" t="e">
        <f>AND(#REF!,"AAAAACm/voY=")</f>
        <v>#REF!</v>
      </c>
      <c r="EF173" t="e">
        <f>AND(#REF!,"AAAAACm/voc=")</f>
        <v>#REF!</v>
      </c>
      <c r="EG173" t="e">
        <f>AND(#REF!,"AAAAACm/vog=")</f>
        <v>#REF!</v>
      </c>
      <c r="EH173" t="e">
        <f>AND(#REF!,"AAAAACm/vok=")</f>
        <v>#REF!</v>
      </c>
      <c r="EI173" t="e">
        <f>AND(#REF!,"AAAAACm/voo=")</f>
        <v>#REF!</v>
      </c>
      <c r="EJ173" t="e">
        <f>AND(#REF!,"AAAAACm/vos=")</f>
        <v>#REF!</v>
      </c>
      <c r="EK173" t="e">
        <f>AND(#REF!,"AAAAACm/vow=")</f>
        <v>#REF!</v>
      </c>
      <c r="EL173" t="e">
        <f>AND(#REF!,"AAAAACm/vo0=")</f>
        <v>#REF!</v>
      </c>
      <c r="EM173" t="e">
        <f>IF(#REF!,"AAAAACm/vo4=",0)</f>
        <v>#REF!</v>
      </c>
      <c r="EN173" t="e">
        <f>AND(#REF!,"AAAAACm/vo8=")</f>
        <v>#REF!</v>
      </c>
      <c r="EO173" t="e">
        <f>AND(#REF!,"AAAAACm/vpA=")</f>
        <v>#REF!</v>
      </c>
      <c r="EP173" t="e">
        <f>AND(#REF!,"AAAAACm/vpE=")</f>
        <v>#REF!</v>
      </c>
      <c r="EQ173" t="e">
        <f>AND(#REF!,"AAAAACm/vpI=")</f>
        <v>#REF!</v>
      </c>
      <c r="ER173" t="e">
        <f>AND(#REF!,"AAAAACm/vpM=")</f>
        <v>#REF!</v>
      </c>
      <c r="ES173" t="e">
        <f>AND(#REF!,"AAAAACm/vpQ=")</f>
        <v>#REF!</v>
      </c>
      <c r="ET173" t="e">
        <f>AND(#REF!,"AAAAACm/vpU=")</f>
        <v>#REF!</v>
      </c>
      <c r="EU173" t="e">
        <f>AND(#REF!,"AAAAACm/vpY=")</f>
        <v>#REF!</v>
      </c>
      <c r="EV173" t="e">
        <f>AND(#REF!,"AAAAACm/vpc=")</f>
        <v>#REF!</v>
      </c>
      <c r="EW173" t="e">
        <f>AND(#REF!,"AAAAACm/vpg=")</f>
        <v>#REF!</v>
      </c>
      <c r="EX173" t="e">
        <f>AND(#REF!,"AAAAACm/vpk=")</f>
        <v>#REF!</v>
      </c>
      <c r="EY173" t="e">
        <f>AND(#REF!,"AAAAACm/vpo=")</f>
        <v>#REF!</v>
      </c>
      <c r="EZ173" t="e">
        <f>AND(#REF!,"AAAAACm/vps=")</f>
        <v>#REF!</v>
      </c>
      <c r="FA173" t="e">
        <f>AND(#REF!,"AAAAACm/vpw=")</f>
        <v>#REF!</v>
      </c>
      <c r="FB173" t="e">
        <f>AND(#REF!,"AAAAACm/vp0=")</f>
        <v>#REF!</v>
      </c>
      <c r="FC173" t="e">
        <f>AND(#REF!,"AAAAACm/vp4=")</f>
        <v>#REF!</v>
      </c>
      <c r="FD173" t="e">
        <f>AND(#REF!,"AAAAACm/vp8=")</f>
        <v>#REF!</v>
      </c>
      <c r="FE173" t="e">
        <f>AND(#REF!,"AAAAACm/vqA=")</f>
        <v>#REF!</v>
      </c>
      <c r="FF173" t="e">
        <f>AND(#REF!,"AAAAACm/vqE=")</f>
        <v>#REF!</v>
      </c>
      <c r="FG173" t="e">
        <f>AND(#REF!,"AAAAACm/vqI=")</f>
        <v>#REF!</v>
      </c>
      <c r="FH173" t="e">
        <f>AND(#REF!,"AAAAACm/vqM=")</f>
        <v>#REF!</v>
      </c>
      <c r="FI173" t="e">
        <f>AND(#REF!,"AAAAACm/vqQ=")</f>
        <v>#REF!</v>
      </c>
      <c r="FJ173" t="e">
        <f>AND(#REF!,"AAAAACm/vqU=")</f>
        <v>#REF!</v>
      </c>
      <c r="FK173" t="e">
        <f>AND(#REF!,"AAAAACm/vqY=")</f>
        <v>#REF!</v>
      </c>
      <c r="FL173" t="e">
        <f>AND(#REF!,"AAAAACm/vqc=")</f>
        <v>#REF!</v>
      </c>
      <c r="FM173" t="e">
        <f>AND(#REF!,"AAAAACm/vqg=")</f>
        <v>#REF!</v>
      </c>
      <c r="FN173" t="e">
        <f>AND(#REF!,"AAAAACm/vqk=")</f>
        <v>#REF!</v>
      </c>
      <c r="FO173" t="e">
        <f>AND(#REF!,"AAAAACm/vqo=")</f>
        <v>#REF!</v>
      </c>
      <c r="FP173" t="e">
        <f>AND(#REF!,"AAAAACm/vqs=")</f>
        <v>#REF!</v>
      </c>
      <c r="FQ173" t="e">
        <f>AND(#REF!,"AAAAACm/vqw=")</f>
        <v>#REF!</v>
      </c>
      <c r="FR173" t="e">
        <f>AND(#REF!,"AAAAACm/vq0=")</f>
        <v>#REF!</v>
      </c>
      <c r="FS173" t="e">
        <f>AND(#REF!,"AAAAACm/vq4=")</f>
        <v>#REF!</v>
      </c>
      <c r="FT173" t="e">
        <f>AND(#REF!,"AAAAACm/vq8=")</f>
        <v>#REF!</v>
      </c>
      <c r="FU173" t="e">
        <f>AND(#REF!,"AAAAACm/vrA=")</f>
        <v>#REF!</v>
      </c>
      <c r="FV173" t="e">
        <f>AND(#REF!,"AAAAACm/vrE=")</f>
        <v>#REF!</v>
      </c>
      <c r="FW173" t="e">
        <f>AND(#REF!,"AAAAACm/vrI=")</f>
        <v>#REF!</v>
      </c>
      <c r="FX173" t="e">
        <f>AND(#REF!,"AAAAACm/vrM=")</f>
        <v>#REF!</v>
      </c>
      <c r="FY173" t="e">
        <f>AND(#REF!,"AAAAACm/vrQ=")</f>
        <v>#REF!</v>
      </c>
      <c r="FZ173" t="e">
        <f>AND(#REF!,"AAAAACm/vrU=")</f>
        <v>#REF!</v>
      </c>
      <c r="GA173" t="e">
        <f>AND(#REF!,"AAAAACm/vrY=")</f>
        <v>#REF!</v>
      </c>
      <c r="GB173" t="e">
        <f>AND(#REF!,"AAAAACm/vrc=")</f>
        <v>#REF!</v>
      </c>
      <c r="GC173" t="e">
        <f>AND(#REF!,"AAAAACm/vrg=")</f>
        <v>#REF!</v>
      </c>
      <c r="GD173" t="e">
        <f>AND(#REF!,"AAAAACm/vrk=")</f>
        <v>#REF!</v>
      </c>
      <c r="GE173" t="e">
        <f>AND(#REF!,"AAAAACm/vro=")</f>
        <v>#REF!</v>
      </c>
      <c r="GF173" t="e">
        <f>AND(#REF!,"AAAAACm/vrs=")</f>
        <v>#REF!</v>
      </c>
      <c r="GG173" t="e">
        <f>AND(#REF!,"AAAAACm/vrw=")</f>
        <v>#REF!</v>
      </c>
      <c r="GH173" t="e">
        <f>AND(#REF!,"AAAAACm/vr0=")</f>
        <v>#REF!</v>
      </c>
      <c r="GI173" t="e">
        <f>AND(#REF!,"AAAAACm/vr4=")</f>
        <v>#REF!</v>
      </c>
      <c r="GJ173" t="e">
        <f>AND(#REF!,"AAAAACm/vr8=")</f>
        <v>#REF!</v>
      </c>
      <c r="GK173" t="e">
        <f>AND(#REF!,"AAAAACm/vsA=")</f>
        <v>#REF!</v>
      </c>
      <c r="GL173" t="e">
        <f>AND(#REF!,"AAAAACm/vsE=")</f>
        <v>#REF!</v>
      </c>
      <c r="GM173" t="e">
        <f>AND(#REF!,"AAAAACm/vsI=")</f>
        <v>#REF!</v>
      </c>
      <c r="GN173" t="e">
        <f>AND(#REF!,"AAAAACm/vsM=")</f>
        <v>#REF!</v>
      </c>
      <c r="GO173" t="e">
        <f>AND(#REF!,"AAAAACm/vsQ=")</f>
        <v>#REF!</v>
      </c>
      <c r="GP173" t="e">
        <f>AND(#REF!,"AAAAACm/vsU=")</f>
        <v>#REF!</v>
      </c>
      <c r="GQ173" t="e">
        <f>AND(#REF!,"AAAAACm/vsY=")</f>
        <v>#REF!</v>
      </c>
      <c r="GR173" t="e">
        <f>AND(#REF!,"AAAAACm/vsc=")</f>
        <v>#REF!</v>
      </c>
      <c r="GS173" t="e">
        <f>AND(#REF!,"AAAAACm/vsg=")</f>
        <v>#REF!</v>
      </c>
      <c r="GT173" t="e">
        <f>AND(#REF!,"AAAAACm/vsk=")</f>
        <v>#REF!</v>
      </c>
      <c r="GU173" t="e">
        <f>AND(#REF!,"AAAAACm/vso=")</f>
        <v>#REF!</v>
      </c>
      <c r="GV173" t="e">
        <f>AND(#REF!,"AAAAACm/vss=")</f>
        <v>#REF!</v>
      </c>
      <c r="GW173" t="e">
        <f>AND(#REF!,"AAAAACm/vsw=")</f>
        <v>#REF!</v>
      </c>
      <c r="GX173" t="e">
        <f>AND(#REF!,"AAAAACm/vs0=")</f>
        <v>#REF!</v>
      </c>
      <c r="GY173" t="e">
        <f>AND(#REF!,"AAAAACm/vs4=")</f>
        <v>#REF!</v>
      </c>
      <c r="GZ173" t="e">
        <f>AND(#REF!,"AAAAACm/vs8=")</f>
        <v>#REF!</v>
      </c>
      <c r="HA173" t="e">
        <f>AND(#REF!,"AAAAACm/vtA=")</f>
        <v>#REF!</v>
      </c>
      <c r="HB173" t="e">
        <f>AND(#REF!,"AAAAACm/vtE=")</f>
        <v>#REF!</v>
      </c>
      <c r="HC173" t="e">
        <f>AND(#REF!,"AAAAACm/vtI=")</f>
        <v>#REF!</v>
      </c>
      <c r="HD173" t="e">
        <f>AND(#REF!,"AAAAACm/vtM=")</f>
        <v>#REF!</v>
      </c>
      <c r="HE173" t="e">
        <f>AND(#REF!,"AAAAACm/vtQ=")</f>
        <v>#REF!</v>
      </c>
      <c r="HF173" t="e">
        <f>AND(#REF!,"AAAAACm/vtU=")</f>
        <v>#REF!</v>
      </c>
      <c r="HG173" t="e">
        <f>AND(#REF!,"AAAAACm/vtY=")</f>
        <v>#REF!</v>
      </c>
      <c r="HH173" t="e">
        <f>AND(#REF!,"AAAAACm/vtc=")</f>
        <v>#REF!</v>
      </c>
      <c r="HI173" t="e">
        <f>AND(#REF!,"AAAAACm/vtg=")</f>
        <v>#REF!</v>
      </c>
      <c r="HJ173" t="e">
        <f>AND(#REF!,"AAAAACm/vtk=")</f>
        <v>#REF!</v>
      </c>
      <c r="HK173" t="e">
        <f>AND(#REF!,"AAAAACm/vto=")</f>
        <v>#REF!</v>
      </c>
      <c r="HL173" t="e">
        <f>AND(#REF!,"AAAAACm/vts=")</f>
        <v>#REF!</v>
      </c>
      <c r="HM173" t="e">
        <f>AND(#REF!,"AAAAACm/vtw=")</f>
        <v>#REF!</v>
      </c>
      <c r="HN173" t="e">
        <f>AND(#REF!,"AAAAACm/vt0=")</f>
        <v>#REF!</v>
      </c>
      <c r="HO173" t="e">
        <f>AND(#REF!,"AAAAACm/vt4=")</f>
        <v>#REF!</v>
      </c>
      <c r="HP173" t="e">
        <f>AND(#REF!,"AAAAACm/vt8=")</f>
        <v>#REF!</v>
      </c>
      <c r="HQ173" t="e">
        <f>AND(#REF!,"AAAAACm/vuA=")</f>
        <v>#REF!</v>
      </c>
      <c r="HR173" t="e">
        <f>AND(#REF!,"AAAAACm/vuE=")</f>
        <v>#REF!</v>
      </c>
      <c r="HS173" t="e">
        <f>AND(#REF!,"AAAAACm/vuI=")</f>
        <v>#REF!</v>
      </c>
      <c r="HT173" t="e">
        <f>AND(#REF!,"AAAAACm/vuM=")</f>
        <v>#REF!</v>
      </c>
      <c r="HU173" t="e">
        <f>AND(#REF!,"AAAAACm/vuQ=")</f>
        <v>#REF!</v>
      </c>
      <c r="HV173" t="e">
        <f>AND(#REF!,"AAAAACm/vuU=")</f>
        <v>#REF!</v>
      </c>
      <c r="HW173" t="e">
        <f>AND(#REF!,"AAAAACm/vuY=")</f>
        <v>#REF!</v>
      </c>
      <c r="HX173" t="e">
        <f>AND(#REF!,"AAAAACm/vuc=")</f>
        <v>#REF!</v>
      </c>
      <c r="HY173" t="e">
        <f>AND(#REF!,"AAAAACm/vug=")</f>
        <v>#REF!</v>
      </c>
      <c r="HZ173" t="e">
        <f>AND(#REF!,"AAAAACm/vuk=")</f>
        <v>#REF!</v>
      </c>
      <c r="IA173" t="e">
        <f>AND(#REF!,"AAAAACm/vuo=")</f>
        <v>#REF!</v>
      </c>
      <c r="IB173" t="e">
        <f>AND(#REF!,"AAAAACm/vus=")</f>
        <v>#REF!</v>
      </c>
      <c r="IC173" t="e">
        <f>AND(#REF!,"AAAAACm/vuw=")</f>
        <v>#REF!</v>
      </c>
      <c r="ID173" t="e">
        <f>AND(#REF!,"AAAAACm/vu0=")</f>
        <v>#REF!</v>
      </c>
      <c r="IE173" t="e">
        <f>AND(#REF!,"AAAAACm/vu4=")</f>
        <v>#REF!</v>
      </c>
      <c r="IF173" t="e">
        <f>AND(#REF!,"AAAAACm/vu8=")</f>
        <v>#REF!</v>
      </c>
      <c r="IG173" t="e">
        <f>AND(#REF!,"AAAAACm/vvA=")</f>
        <v>#REF!</v>
      </c>
      <c r="IH173" t="e">
        <f>AND(#REF!,"AAAAACm/vvE=")</f>
        <v>#REF!</v>
      </c>
      <c r="II173" t="e">
        <f>AND(#REF!,"AAAAACm/vvI=")</f>
        <v>#REF!</v>
      </c>
      <c r="IJ173" t="e">
        <f>AND(#REF!,"AAAAACm/vvM=")</f>
        <v>#REF!</v>
      </c>
      <c r="IK173" t="e">
        <f>AND(#REF!,"AAAAACm/vvQ=")</f>
        <v>#REF!</v>
      </c>
      <c r="IL173" t="e">
        <f>AND(#REF!,"AAAAACm/vvU=")</f>
        <v>#REF!</v>
      </c>
      <c r="IM173" t="e">
        <f>AND(#REF!,"AAAAACm/vvY=")</f>
        <v>#REF!</v>
      </c>
      <c r="IN173" t="e">
        <f>AND(#REF!,"AAAAACm/vvc=")</f>
        <v>#REF!</v>
      </c>
      <c r="IO173" t="e">
        <f>AND(#REF!,"AAAAACm/vvg=")</f>
        <v>#REF!</v>
      </c>
      <c r="IP173" t="e">
        <f>AND(#REF!,"AAAAACm/vvk=")</f>
        <v>#REF!</v>
      </c>
      <c r="IQ173" t="e">
        <f>AND(#REF!,"AAAAACm/vvo=")</f>
        <v>#REF!</v>
      </c>
      <c r="IR173" t="e">
        <f>AND(#REF!,"AAAAACm/vvs=")</f>
        <v>#REF!</v>
      </c>
      <c r="IS173" t="e">
        <f>AND(#REF!,"AAAAACm/vvw=")</f>
        <v>#REF!</v>
      </c>
      <c r="IT173" t="e">
        <f>AND(#REF!,"AAAAACm/vv0=")</f>
        <v>#REF!</v>
      </c>
      <c r="IU173" t="e">
        <f>AND(#REF!,"AAAAACm/vv4=")</f>
        <v>#REF!</v>
      </c>
      <c r="IV173" t="e">
        <f>AND(#REF!,"AAAAACm/vv8=")</f>
        <v>#REF!</v>
      </c>
    </row>
    <row r="174" spans="1:256">
      <c r="A174" t="e">
        <f>AND(#REF!,"AAAAAF6+PQA=")</f>
        <v>#REF!</v>
      </c>
      <c r="B174" t="e">
        <f>AND(#REF!,"AAAAAF6+PQE=")</f>
        <v>#REF!</v>
      </c>
      <c r="C174" t="e">
        <f>AND(#REF!,"AAAAAF6+PQI=")</f>
        <v>#REF!</v>
      </c>
      <c r="D174" t="e">
        <f>AND(#REF!,"AAAAAF6+PQM=")</f>
        <v>#REF!</v>
      </c>
      <c r="E174" t="e">
        <f>AND(#REF!,"AAAAAF6+PQQ=")</f>
        <v>#REF!</v>
      </c>
      <c r="F174" t="e">
        <f>AND(#REF!,"AAAAAF6+PQU=")</f>
        <v>#REF!</v>
      </c>
      <c r="G174" t="e">
        <f>AND(#REF!,"AAAAAF6+PQY=")</f>
        <v>#REF!</v>
      </c>
      <c r="H174" t="e">
        <f>AND(#REF!,"AAAAAF6+PQc=")</f>
        <v>#REF!</v>
      </c>
      <c r="I174" t="e">
        <f>AND(#REF!,"AAAAAF6+PQg=")</f>
        <v>#REF!</v>
      </c>
      <c r="J174" t="e">
        <f>AND(#REF!,"AAAAAF6+PQk=")</f>
        <v>#REF!</v>
      </c>
      <c r="K174" t="e">
        <f>AND(#REF!,"AAAAAF6+PQo=")</f>
        <v>#REF!</v>
      </c>
      <c r="L174" t="e">
        <f>AND(#REF!,"AAAAAF6+PQs=")</f>
        <v>#REF!</v>
      </c>
      <c r="M174" t="e">
        <f>AND(#REF!,"AAAAAF6+PQw=")</f>
        <v>#REF!</v>
      </c>
      <c r="N174" t="e">
        <f>AND(#REF!,"AAAAAF6+PQ0=")</f>
        <v>#REF!</v>
      </c>
      <c r="O174" t="e">
        <f>AND(#REF!,"AAAAAF6+PQ4=")</f>
        <v>#REF!</v>
      </c>
      <c r="P174" t="e">
        <f>AND(#REF!,"AAAAAF6+PQ8=")</f>
        <v>#REF!</v>
      </c>
      <c r="Q174" t="e">
        <f>AND(#REF!,"AAAAAF6+PRA=")</f>
        <v>#REF!</v>
      </c>
      <c r="R174" t="e">
        <f>AND(#REF!,"AAAAAF6+PRE=")</f>
        <v>#REF!</v>
      </c>
      <c r="S174" t="e">
        <f>AND(#REF!,"AAAAAF6+PRI=")</f>
        <v>#REF!</v>
      </c>
      <c r="T174" t="e">
        <f>AND(#REF!,"AAAAAF6+PRM=")</f>
        <v>#REF!</v>
      </c>
      <c r="U174" t="e">
        <f>AND(#REF!,"AAAAAF6+PRQ=")</f>
        <v>#REF!</v>
      </c>
      <c r="V174" t="e">
        <f>AND(#REF!,"AAAAAF6+PRU=")</f>
        <v>#REF!</v>
      </c>
      <c r="W174" t="e">
        <f>AND(#REF!,"AAAAAF6+PRY=")</f>
        <v>#REF!</v>
      </c>
      <c r="X174" t="e">
        <f>AND(#REF!,"AAAAAF6+PRc=")</f>
        <v>#REF!</v>
      </c>
      <c r="Y174" t="e">
        <f>AND(#REF!,"AAAAAF6+PRg=")</f>
        <v>#REF!</v>
      </c>
      <c r="Z174" t="e">
        <f>AND(#REF!,"AAAAAF6+PRk=")</f>
        <v>#REF!</v>
      </c>
      <c r="AA174" t="e">
        <f>AND(#REF!,"AAAAAF6+PRo=")</f>
        <v>#REF!</v>
      </c>
      <c r="AB174" t="e">
        <f>AND(#REF!,"AAAAAF6+PRs=")</f>
        <v>#REF!</v>
      </c>
      <c r="AC174" t="e">
        <f>AND(#REF!,"AAAAAF6+PRw=")</f>
        <v>#REF!</v>
      </c>
      <c r="AD174" t="e">
        <f>AND(#REF!,"AAAAAF6+PR0=")</f>
        <v>#REF!</v>
      </c>
      <c r="AE174" t="e">
        <f>AND(#REF!,"AAAAAF6+PR4=")</f>
        <v>#REF!</v>
      </c>
      <c r="AF174" t="e">
        <f>AND(#REF!,"AAAAAF6+PR8=")</f>
        <v>#REF!</v>
      </c>
      <c r="AG174" t="e">
        <f>AND(#REF!,"AAAAAF6+PSA=")</f>
        <v>#REF!</v>
      </c>
      <c r="AH174" t="e">
        <f>AND(#REF!,"AAAAAF6+PSE=")</f>
        <v>#REF!</v>
      </c>
      <c r="AI174" t="e">
        <f>AND(#REF!,"AAAAAF6+PSI=")</f>
        <v>#REF!</v>
      </c>
      <c r="AJ174" t="e">
        <f>AND(#REF!,"AAAAAF6+PSM=")</f>
        <v>#REF!</v>
      </c>
      <c r="AK174" t="e">
        <f>AND(#REF!,"AAAAAF6+PSQ=")</f>
        <v>#REF!</v>
      </c>
      <c r="AL174" t="e">
        <f>AND(#REF!,"AAAAAF6+PSU=")</f>
        <v>#REF!</v>
      </c>
      <c r="AM174" t="e">
        <f>AND(#REF!,"AAAAAF6+PSY=")</f>
        <v>#REF!</v>
      </c>
      <c r="AN174" t="e">
        <f>AND(#REF!,"AAAAAF6+PSc=")</f>
        <v>#REF!</v>
      </c>
      <c r="AO174" t="e">
        <f>AND(#REF!,"AAAAAF6+PSg=")</f>
        <v>#REF!</v>
      </c>
      <c r="AP174" t="e">
        <f>AND(#REF!,"AAAAAF6+PSk=")</f>
        <v>#REF!</v>
      </c>
      <c r="AQ174" t="e">
        <f>AND(#REF!,"AAAAAF6+PSo=")</f>
        <v>#REF!</v>
      </c>
      <c r="AR174" t="e">
        <f>AND(#REF!,"AAAAAF6+PSs=")</f>
        <v>#REF!</v>
      </c>
      <c r="AS174" t="e">
        <f>AND(#REF!,"AAAAAF6+PSw=")</f>
        <v>#REF!</v>
      </c>
      <c r="AT174" t="e">
        <f>AND(#REF!,"AAAAAF6+PS0=")</f>
        <v>#REF!</v>
      </c>
      <c r="AU174" t="e">
        <f>AND(#REF!,"AAAAAF6+PS4=")</f>
        <v>#REF!</v>
      </c>
      <c r="AV174" t="e">
        <f>AND(#REF!,"AAAAAF6+PS8=")</f>
        <v>#REF!</v>
      </c>
      <c r="AW174" t="e">
        <f>AND(#REF!,"AAAAAF6+PTA=")</f>
        <v>#REF!</v>
      </c>
      <c r="AX174" t="e">
        <f>AND(#REF!,"AAAAAF6+PTE=")</f>
        <v>#REF!</v>
      </c>
      <c r="AY174" t="e">
        <f>AND(#REF!,"AAAAAF6+PTI=")</f>
        <v>#REF!</v>
      </c>
      <c r="AZ174" t="e">
        <f>AND(#REF!,"AAAAAF6+PTM=")</f>
        <v>#REF!</v>
      </c>
      <c r="BA174" t="e">
        <f>AND(#REF!,"AAAAAF6+PTQ=")</f>
        <v>#REF!</v>
      </c>
      <c r="BB174" t="e">
        <f>AND(#REF!,"AAAAAF6+PTU=")</f>
        <v>#REF!</v>
      </c>
      <c r="BC174" t="e">
        <f>AND(#REF!,"AAAAAF6+PTY=")</f>
        <v>#REF!</v>
      </c>
      <c r="BD174" t="e">
        <f>AND(#REF!,"AAAAAF6+PTc=")</f>
        <v>#REF!</v>
      </c>
      <c r="BE174" t="e">
        <f>AND(#REF!,"AAAAAF6+PTg=")</f>
        <v>#REF!</v>
      </c>
      <c r="BF174" t="e">
        <f>AND(#REF!,"AAAAAF6+PTk=")</f>
        <v>#REF!</v>
      </c>
      <c r="BG174" t="e">
        <f>AND(#REF!,"AAAAAF6+PTo=")</f>
        <v>#REF!</v>
      </c>
      <c r="BH174" t="e">
        <f>AND(#REF!,"AAAAAF6+PTs=")</f>
        <v>#REF!</v>
      </c>
      <c r="BI174" t="e">
        <f>AND(#REF!,"AAAAAF6+PTw=")</f>
        <v>#REF!</v>
      </c>
      <c r="BJ174" t="e">
        <f>AND(#REF!,"AAAAAF6+PT0=")</f>
        <v>#REF!</v>
      </c>
      <c r="BK174" t="e">
        <f>AND(#REF!,"AAAAAF6+PT4=")</f>
        <v>#REF!</v>
      </c>
      <c r="BL174" t="e">
        <f>AND(#REF!,"AAAAAF6+PT8=")</f>
        <v>#REF!</v>
      </c>
      <c r="BM174" t="e">
        <f>AND(#REF!,"AAAAAF6+PUA=")</f>
        <v>#REF!</v>
      </c>
      <c r="BN174" t="e">
        <f>AND(#REF!,"AAAAAF6+PUE=")</f>
        <v>#REF!</v>
      </c>
      <c r="BO174" t="e">
        <f>AND(#REF!,"AAAAAF6+PUI=")</f>
        <v>#REF!</v>
      </c>
      <c r="BP174" t="e">
        <f>AND(#REF!,"AAAAAF6+PUM=")</f>
        <v>#REF!</v>
      </c>
      <c r="BQ174" t="e">
        <f>AND(#REF!,"AAAAAF6+PUQ=")</f>
        <v>#REF!</v>
      </c>
      <c r="BR174" t="e">
        <f>AND(#REF!,"AAAAAF6+PUU=")</f>
        <v>#REF!</v>
      </c>
      <c r="BS174" t="e">
        <f>AND(#REF!,"AAAAAF6+PUY=")</f>
        <v>#REF!</v>
      </c>
      <c r="BT174" t="e">
        <f>AND(#REF!,"AAAAAF6+PUc=")</f>
        <v>#REF!</v>
      </c>
      <c r="BU174" t="e">
        <f>AND(#REF!,"AAAAAF6+PUg=")</f>
        <v>#REF!</v>
      </c>
      <c r="BV174" t="e">
        <f>AND(#REF!,"AAAAAF6+PUk=")</f>
        <v>#REF!</v>
      </c>
      <c r="BW174" t="e">
        <f>AND(#REF!,"AAAAAF6+PUo=")</f>
        <v>#REF!</v>
      </c>
      <c r="BX174" t="e">
        <f>AND(#REF!,"AAAAAF6+PUs=")</f>
        <v>#REF!</v>
      </c>
      <c r="BY174" t="e">
        <f>AND(#REF!,"AAAAAF6+PUw=")</f>
        <v>#REF!</v>
      </c>
      <c r="BZ174" t="e">
        <f>AND(#REF!,"AAAAAF6+PU0=")</f>
        <v>#REF!</v>
      </c>
      <c r="CA174" t="e">
        <f>AND(#REF!,"AAAAAF6+PU4=")</f>
        <v>#REF!</v>
      </c>
      <c r="CB174" t="e">
        <f>AND(#REF!,"AAAAAF6+PU8=")</f>
        <v>#REF!</v>
      </c>
      <c r="CC174" t="e">
        <f>AND(#REF!,"AAAAAF6+PVA=")</f>
        <v>#REF!</v>
      </c>
      <c r="CD174" t="e">
        <f>AND(#REF!,"AAAAAF6+PVE=")</f>
        <v>#REF!</v>
      </c>
      <c r="CE174" t="e">
        <f>AND(#REF!,"AAAAAF6+PVI=")</f>
        <v>#REF!</v>
      </c>
      <c r="CF174" t="e">
        <f>AND(#REF!,"AAAAAF6+PVM=")</f>
        <v>#REF!</v>
      </c>
      <c r="CG174" t="e">
        <f>AND(#REF!,"AAAAAF6+PVQ=")</f>
        <v>#REF!</v>
      </c>
      <c r="CH174" t="e">
        <f>AND(#REF!,"AAAAAF6+PVU=")</f>
        <v>#REF!</v>
      </c>
      <c r="CI174" t="e">
        <f>AND(#REF!,"AAAAAF6+PVY=")</f>
        <v>#REF!</v>
      </c>
      <c r="CJ174" t="e">
        <f>AND(#REF!,"AAAAAF6+PVc=")</f>
        <v>#REF!</v>
      </c>
      <c r="CK174" t="e">
        <f>AND(#REF!,"AAAAAF6+PVg=")</f>
        <v>#REF!</v>
      </c>
      <c r="CL174" t="e">
        <f>AND(#REF!,"AAAAAF6+PVk=")</f>
        <v>#REF!</v>
      </c>
      <c r="CM174" t="e">
        <f>AND(#REF!,"AAAAAF6+PVo=")</f>
        <v>#REF!</v>
      </c>
      <c r="CN174" t="e">
        <f>AND(#REF!,"AAAAAF6+PVs=")</f>
        <v>#REF!</v>
      </c>
      <c r="CO174" t="e">
        <f>AND(#REF!,"AAAAAF6+PVw=")</f>
        <v>#REF!</v>
      </c>
      <c r="CP174" t="e">
        <f>AND(#REF!,"AAAAAF6+PV0=")</f>
        <v>#REF!</v>
      </c>
      <c r="CQ174" t="e">
        <f>AND(#REF!,"AAAAAF6+PV4=")</f>
        <v>#REF!</v>
      </c>
      <c r="CR174" t="e">
        <f>AND(#REF!,"AAAAAF6+PV8=")</f>
        <v>#REF!</v>
      </c>
      <c r="CS174" t="e">
        <f>AND(#REF!,"AAAAAF6+PWA=")</f>
        <v>#REF!</v>
      </c>
      <c r="CT174" t="e">
        <f>AND(#REF!,"AAAAAF6+PWE=")</f>
        <v>#REF!</v>
      </c>
      <c r="CU174" t="e">
        <f>AND(#REF!,"AAAAAF6+PWI=")</f>
        <v>#REF!</v>
      </c>
      <c r="CV174" t="e">
        <f>AND(#REF!,"AAAAAF6+PWM=")</f>
        <v>#REF!</v>
      </c>
      <c r="CW174" t="e">
        <f>AND(#REF!,"AAAAAF6+PWQ=")</f>
        <v>#REF!</v>
      </c>
      <c r="CX174" t="e">
        <f>AND(#REF!,"AAAAAF6+PWU=")</f>
        <v>#REF!</v>
      </c>
      <c r="CY174" t="e">
        <f>AND(#REF!,"AAAAAF6+PWY=")</f>
        <v>#REF!</v>
      </c>
      <c r="CZ174" t="e">
        <f>AND(#REF!,"AAAAAF6+PWc=")</f>
        <v>#REF!</v>
      </c>
      <c r="DA174" t="e">
        <f>AND(#REF!,"AAAAAF6+PWg=")</f>
        <v>#REF!</v>
      </c>
      <c r="DB174" t="e">
        <f>AND(#REF!,"AAAAAF6+PWk=")</f>
        <v>#REF!</v>
      </c>
      <c r="DC174" t="e">
        <f>AND(#REF!,"AAAAAF6+PWo=")</f>
        <v>#REF!</v>
      </c>
      <c r="DD174" t="e">
        <f>AND(#REF!,"AAAAAF6+PWs=")</f>
        <v>#REF!</v>
      </c>
      <c r="DE174" t="e">
        <f>AND(#REF!,"AAAAAF6+PWw=")</f>
        <v>#REF!</v>
      </c>
      <c r="DF174" t="e">
        <f>AND(#REF!,"AAAAAF6+PW0=")</f>
        <v>#REF!</v>
      </c>
      <c r="DG174" t="e">
        <f>AND(#REF!,"AAAAAF6+PW4=")</f>
        <v>#REF!</v>
      </c>
      <c r="DH174" t="e">
        <f>AND(#REF!,"AAAAAF6+PW8=")</f>
        <v>#REF!</v>
      </c>
      <c r="DI174" t="e">
        <f>AND(#REF!,"AAAAAF6+PXA=")</f>
        <v>#REF!</v>
      </c>
      <c r="DJ174" t="e">
        <f>AND(#REF!,"AAAAAF6+PXE=")</f>
        <v>#REF!</v>
      </c>
      <c r="DK174" t="e">
        <f>IF(#REF!,"AAAAAF6+PXI=",0)</f>
        <v>#REF!</v>
      </c>
      <c r="DL174" t="e">
        <f>AND(#REF!,"AAAAAF6+PXM=")</f>
        <v>#REF!</v>
      </c>
      <c r="DM174" t="e">
        <f>AND(#REF!,"AAAAAF6+PXQ=")</f>
        <v>#REF!</v>
      </c>
      <c r="DN174" t="e">
        <f>AND(#REF!,"AAAAAF6+PXU=")</f>
        <v>#REF!</v>
      </c>
      <c r="DO174" t="e">
        <f>AND(#REF!,"AAAAAF6+PXY=")</f>
        <v>#REF!</v>
      </c>
      <c r="DP174" t="e">
        <f>AND(#REF!,"AAAAAF6+PXc=")</f>
        <v>#REF!</v>
      </c>
      <c r="DQ174" t="e">
        <f>AND(#REF!,"AAAAAF6+PXg=")</f>
        <v>#REF!</v>
      </c>
      <c r="DR174" t="e">
        <f>AND(#REF!,"AAAAAF6+PXk=")</f>
        <v>#REF!</v>
      </c>
      <c r="DS174" t="e">
        <f>AND(#REF!,"AAAAAF6+PXo=")</f>
        <v>#REF!</v>
      </c>
      <c r="DT174" t="e">
        <f>AND(#REF!,"AAAAAF6+PXs=")</f>
        <v>#REF!</v>
      </c>
      <c r="DU174" t="e">
        <f>AND(#REF!,"AAAAAF6+PXw=")</f>
        <v>#REF!</v>
      </c>
      <c r="DV174" t="e">
        <f>AND(#REF!,"AAAAAF6+PX0=")</f>
        <v>#REF!</v>
      </c>
      <c r="DW174" t="e">
        <f>AND(#REF!,"AAAAAF6+PX4=")</f>
        <v>#REF!</v>
      </c>
      <c r="DX174" t="e">
        <f>AND(#REF!,"AAAAAF6+PX8=")</f>
        <v>#REF!</v>
      </c>
      <c r="DY174" t="e">
        <f>AND(#REF!,"AAAAAF6+PYA=")</f>
        <v>#REF!</v>
      </c>
      <c r="DZ174" t="e">
        <f>AND(#REF!,"AAAAAF6+PYE=")</f>
        <v>#REF!</v>
      </c>
      <c r="EA174" t="e">
        <f>AND(#REF!,"AAAAAF6+PYI=")</f>
        <v>#REF!</v>
      </c>
      <c r="EB174" t="e">
        <f>AND(#REF!,"AAAAAF6+PYM=")</f>
        <v>#REF!</v>
      </c>
      <c r="EC174" t="e">
        <f>AND(#REF!,"AAAAAF6+PYQ=")</f>
        <v>#REF!</v>
      </c>
      <c r="ED174" t="e">
        <f>AND(#REF!,"AAAAAF6+PYU=")</f>
        <v>#REF!</v>
      </c>
      <c r="EE174" t="e">
        <f>AND(#REF!,"AAAAAF6+PYY=")</f>
        <v>#REF!</v>
      </c>
      <c r="EF174" t="e">
        <f>AND(#REF!,"AAAAAF6+PYc=")</f>
        <v>#REF!</v>
      </c>
      <c r="EG174" t="e">
        <f>AND(#REF!,"AAAAAF6+PYg=")</f>
        <v>#REF!</v>
      </c>
      <c r="EH174" t="e">
        <f>AND(#REF!,"AAAAAF6+PYk=")</f>
        <v>#REF!</v>
      </c>
      <c r="EI174" t="e">
        <f>AND(#REF!,"AAAAAF6+PYo=")</f>
        <v>#REF!</v>
      </c>
      <c r="EJ174" t="e">
        <f>AND(#REF!,"AAAAAF6+PYs=")</f>
        <v>#REF!</v>
      </c>
      <c r="EK174" t="e">
        <f>AND(#REF!,"AAAAAF6+PYw=")</f>
        <v>#REF!</v>
      </c>
      <c r="EL174" t="e">
        <f>AND(#REF!,"AAAAAF6+PY0=")</f>
        <v>#REF!</v>
      </c>
      <c r="EM174" t="e">
        <f>AND(#REF!,"AAAAAF6+PY4=")</f>
        <v>#REF!</v>
      </c>
      <c r="EN174" t="e">
        <f>AND(#REF!,"AAAAAF6+PY8=")</f>
        <v>#REF!</v>
      </c>
      <c r="EO174" t="e">
        <f>AND(#REF!,"AAAAAF6+PZA=")</f>
        <v>#REF!</v>
      </c>
      <c r="EP174" t="e">
        <f>AND(#REF!,"AAAAAF6+PZE=")</f>
        <v>#REF!</v>
      </c>
      <c r="EQ174" t="e">
        <f>AND(#REF!,"AAAAAF6+PZI=")</f>
        <v>#REF!</v>
      </c>
      <c r="ER174" t="e">
        <f>AND(#REF!,"AAAAAF6+PZM=")</f>
        <v>#REF!</v>
      </c>
      <c r="ES174" t="e">
        <f>AND(#REF!,"AAAAAF6+PZQ=")</f>
        <v>#REF!</v>
      </c>
      <c r="ET174" t="e">
        <f>AND(#REF!,"AAAAAF6+PZU=")</f>
        <v>#REF!</v>
      </c>
      <c r="EU174" t="e">
        <f>AND(#REF!,"AAAAAF6+PZY=")</f>
        <v>#REF!</v>
      </c>
      <c r="EV174" t="e">
        <f>AND(#REF!,"AAAAAF6+PZc=")</f>
        <v>#REF!</v>
      </c>
      <c r="EW174" t="e">
        <f>AND(#REF!,"AAAAAF6+PZg=")</f>
        <v>#REF!</v>
      </c>
      <c r="EX174" t="e">
        <f>AND(#REF!,"AAAAAF6+PZk=")</f>
        <v>#REF!</v>
      </c>
      <c r="EY174" t="e">
        <f>AND(#REF!,"AAAAAF6+PZo=")</f>
        <v>#REF!</v>
      </c>
      <c r="EZ174" t="e">
        <f>AND(#REF!,"AAAAAF6+PZs=")</f>
        <v>#REF!</v>
      </c>
      <c r="FA174" t="e">
        <f>AND(#REF!,"AAAAAF6+PZw=")</f>
        <v>#REF!</v>
      </c>
      <c r="FB174" t="e">
        <f>AND(#REF!,"AAAAAF6+PZ0=")</f>
        <v>#REF!</v>
      </c>
      <c r="FC174" t="e">
        <f>AND(#REF!,"AAAAAF6+PZ4=")</f>
        <v>#REF!</v>
      </c>
      <c r="FD174" t="e">
        <f>AND(#REF!,"AAAAAF6+PZ8=")</f>
        <v>#REF!</v>
      </c>
      <c r="FE174" t="e">
        <f>AND(#REF!,"AAAAAF6+PaA=")</f>
        <v>#REF!</v>
      </c>
      <c r="FF174" t="e">
        <f>AND(#REF!,"AAAAAF6+PaE=")</f>
        <v>#REF!</v>
      </c>
      <c r="FG174" t="e">
        <f>AND(#REF!,"AAAAAF6+PaI=")</f>
        <v>#REF!</v>
      </c>
      <c r="FH174" t="e">
        <f>AND(#REF!,"AAAAAF6+PaM=")</f>
        <v>#REF!</v>
      </c>
      <c r="FI174" t="e">
        <f>AND(#REF!,"AAAAAF6+PaQ=")</f>
        <v>#REF!</v>
      </c>
      <c r="FJ174" t="e">
        <f>AND(#REF!,"AAAAAF6+PaU=")</f>
        <v>#REF!</v>
      </c>
      <c r="FK174" t="e">
        <f>AND(#REF!,"AAAAAF6+PaY=")</f>
        <v>#REF!</v>
      </c>
      <c r="FL174" t="e">
        <f>AND(#REF!,"AAAAAF6+Pac=")</f>
        <v>#REF!</v>
      </c>
      <c r="FM174" t="e">
        <f>AND(#REF!,"AAAAAF6+Pag=")</f>
        <v>#REF!</v>
      </c>
      <c r="FN174" t="e">
        <f>AND(#REF!,"AAAAAF6+Pak=")</f>
        <v>#REF!</v>
      </c>
      <c r="FO174" t="e">
        <f>AND(#REF!,"AAAAAF6+Pao=")</f>
        <v>#REF!</v>
      </c>
      <c r="FP174" t="e">
        <f>AND(#REF!,"AAAAAF6+Pas=")</f>
        <v>#REF!</v>
      </c>
      <c r="FQ174" t="e">
        <f>AND(#REF!,"AAAAAF6+Paw=")</f>
        <v>#REF!</v>
      </c>
      <c r="FR174" t="e">
        <f>AND(#REF!,"AAAAAF6+Pa0=")</f>
        <v>#REF!</v>
      </c>
      <c r="FS174" t="e">
        <f>AND(#REF!,"AAAAAF6+Pa4=")</f>
        <v>#REF!</v>
      </c>
      <c r="FT174" t="e">
        <f>AND(#REF!,"AAAAAF6+Pa8=")</f>
        <v>#REF!</v>
      </c>
      <c r="FU174" t="e">
        <f>AND(#REF!,"AAAAAF6+PbA=")</f>
        <v>#REF!</v>
      </c>
      <c r="FV174" t="e">
        <f>AND(#REF!,"AAAAAF6+PbE=")</f>
        <v>#REF!</v>
      </c>
      <c r="FW174" t="e">
        <f>AND(#REF!,"AAAAAF6+PbI=")</f>
        <v>#REF!</v>
      </c>
      <c r="FX174" t="e">
        <f>AND(#REF!,"AAAAAF6+PbM=")</f>
        <v>#REF!</v>
      </c>
      <c r="FY174" t="e">
        <f>AND(#REF!,"AAAAAF6+PbQ=")</f>
        <v>#REF!</v>
      </c>
      <c r="FZ174" t="e">
        <f>AND(#REF!,"AAAAAF6+PbU=")</f>
        <v>#REF!</v>
      </c>
      <c r="GA174" t="e">
        <f>AND(#REF!,"AAAAAF6+PbY=")</f>
        <v>#REF!</v>
      </c>
      <c r="GB174" t="e">
        <f>AND(#REF!,"AAAAAF6+Pbc=")</f>
        <v>#REF!</v>
      </c>
      <c r="GC174" t="e">
        <f>AND(#REF!,"AAAAAF6+Pbg=")</f>
        <v>#REF!</v>
      </c>
      <c r="GD174" t="e">
        <f>AND(#REF!,"AAAAAF6+Pbk=")</f>
        <v>#REF!</v>
      </c>
      <c r="GE174" t="e">
        <f>AND(#REF!,"AAAAAF6+Pbo=")</f>
        <v>#REF!</v>
      </c>
      <c r="GF174" t="e">
        <f>AND(#REF!,"AAAAAF6+Pbs=")</f>
        <v>#REF!</v>
      </c>
      <c r="GG174" t="e">
        <f>AND(#REF!,"AAAAAF6+Pbw=")</f>
        <v>#REF!</v>
      </c>
      <c r="GH174" t="e">
        <f>AND(#REF!,"AAAAAF6+Pb0=")</f>
        <v>#REF!</v>
      </c>
      <c r="GI174" t="e">
        <f>AND(#REF!,"AAAAAF6+Pb4=")</f>
        <v>#REF!</v>
      </c>
      <c r="GJ174" t="e">
        <f>AND(#REF!,"AAAAAF6+Pb8=")</f>
        <v>#REF!</v>
      </c>
      <c r="GK174" t="e">
        <f>AND(#REF!,"AAAAAF6+PcA=")</f>
        <v>#REF!</v>
      </c>
      <c r="GL174" t="e">
        <f>AND(#REF!,"AAAAAF6+PcE=")</f>
        <v>#REF!</v>
      </c>
      <c r="GM174" t="e">
        <f>AND(#REF!,"AAAAAF6+PcI=")</f>
        <v>#REF!</v>
      </c>
      <c r="GN174" t="e">
        <f>AND(#REF!,"AAAAAF6+PcM=")</f>
        <v>#REF!</v>
      </c>
      <c r="GO174" t="e">
        <f>AND(#REF!,"AAAAAF6+PcQ=")</f>
        <v>#REF!</v>
      </c>
      <c r="GP174" t="e">
        <f>AND(#REF!,"AAAAAF6+PcU=")</f>
        <v>#REF!</v>
      </c>
      <c r="GQ174" t="e">
        <f>AND(#REF!,"AAAAAF6+PcY=")</f>
        <v>#REF!</v>
      </c>
      <c r="GR174" t="e">
        <f>AND(#REF!,"AAAAAF6+Pcc=")</f>
        <v>#REF!</v>
      </c>
      <c r="GS174" t="e">
        <f>AND(#REF!,"AAAAAF6+Pcg=")</f>
        <v>#REF!</v>
      </c>
      <c r="GT174" t="e">
        <f>AND(#REF!,"AAAAAF6+Pck=")</f>
        <v>#REF!</v>
      </c>
      <c r="GU174" t="e">
        <f>AND(#REF!,"AAAAAF6+Pco=")</f>
        <v>#REF!</v>
      </c>
      <c r="GV174" t="e">
        <f>AND(#REF!,"AAAAAF6+Pcs=")</f>
        <v>#REF!</v>
      </c>
      <c r="GW174" t="e">
        <f>AND(#REF!,"AAAAAF6+Pcw=")</f>
        <v>#REF!</v>
      </c>
      <c r="GX174" t="e">
        <f>AND(#REF!,"AAAAAF6+Pc0=")</f>
        <v>#REF!</v>
      </c>
      <c r="GY174" t="e">
        <f>AND(#REF!,"AAAAAF6+Pc4=")</f>
        <v>#REF!</v>
      </c>
      <c r="GZ174" t="e">
        <f>AND(#REF!,"AAAAAF6+Pc8=")</f>
        <v>#REF!</v>
      </c>
      <c r="HA174" t="e">
        <f>AND(#REF!,"AAAAAF6+PdA=")</f>
        <v>#REF!</v>
      </c>
      <c r="HB174" t="e">
        <f>AND(#REF!,"AAAAAF6+PdE=")</f>
        <v>#REF!</v>
      </c>
      <c r="HC174" t="e">
        <f>AND(#REF!,"AAAAAF6+PdI=")</f>
        <v>#REF!</v>
      </c>
      <c r="HD174" t="e">
        <f>AND(#REF!,"AAAAAF6+PdM=")</f>
        <v>#REF!</v>
      </c>
      <c r="HE174" t="e">
        <f>AND(#REF!,"AAAAAF6+PdQ=")</f>
        <v>#REF!</v>
      </c>
      <c r="HF174" t="e">
        <f>AND(#REF!,"AAAAAF6+PdU=")</f>
        <v>#REF!</v>
      </c>
      <c r="HG174" t="e">
        <f>AND(#REF!,"AAAAAF6+PdY=")</f>
        <v>#REF!</v>
      </c>
      <c r="HH174" t="e">
        <f>AND(#REF!,"AAAAAF6+Pdc=")</f>
        <v>#REF!</v>
      </c>
      <c r="HI174" t="e">
        <f>AND(#REF!,"AAAAAF6+Pdg=")</f>
        <v>#REF!</v>
      </c>
      <c r="HJ174" t="e">
        <f>AND(#REF!,"AAAAAF6+Pdk=")</f>
        <v>#REF!</v>
      </c>
      <c r="HK174" t="e">
        <f>AND(#REF!,"AAAAAF6+Pdo=")</f>
        <v>#REF!</v>
      </c>
      <c r="HL174" t="e">
        <f>AND(#REF!,"AAAAAF6+Pds=")</f>
        <v>#REF!</v>
      </c>
      <c r="HM174" t="e">
        <f>AND(#REF!,"AAAAAF6+Pdw=")</f>
        <v>#REF!</v>
      </c>
      <c r="HN174" t="e">
        <f>AND(#REF!,"AAAAAF6+Pd0=")</f>
        <v>#REF!</v>
      </c>
      <c r="HO174" t="e">
        <f>AND(#REF!,"AAAAAF6+Pd4=")</f>
        <v>#REF!</v>
      </c>
      <c r="HP174" t="e">
        <f>AND(#REF!,"AAAAAF6+Pd8=")</f>
        <v>#REF!</v>
      </c>
      <c r="HQ174" t="e">
        <f>AND(#REF!,"AAAAAF6+PeA=")</f>
        <v>#REF!</v>
      </c>
      <c r="HR174" t="e">
        <f>AND(#REF!,"AAAAAF6+PeE=")</f>
        <v>#REF!</v>
      </c>
      <c r="HS174" t="e">
        <f>AND(#REF!,"AAAAAF6+PeI=")</f>
        <v>#REF!</v>
      </c>
      <c r="HT174" t="e">
        <f>AND(#REF!,"AAAAAF6+PeM=")</f>
        <v>#REF!</v>
      </c>
      <c r="HU174" t="e">
        <f>AND(#REF!,"AAAAAF6+PeQ=")</f>
        <v>#REF!</v>
      </c>
      <c r="HV174" t="e">
        <f>AND(#REF!,"AAAAAF6+PeU=")</f>
        <v>#REF!</v>
      </c>
      <c r="HW174" t="e">
        <f>AND(#REF!,"AAAAAF6+PeY=")</f>
        <v>#REF!</v>
      </c>
      <c r="HX174" t="e">
        <f>AND(#REF!,"AAAAAF6+Pec=")</f>
        <v>#REF!</v>
      </c>
      <c r="HY174" t="e">
        <f>AND(#REF!,"AAAAAF6+Peg=")</f>
        <v>#REF!</v>
      </c>
      <c r="HZ174" t="e">
        <f>AND(#REF!,"AAAAAF6+Pek=")</f>
        <v>#REF!</v>
      </c>
      <c r="IA174" t="e">
        <f>AND(#REF!,"AAAAAF6+Peo=")</f>
        <v>#REF!</v>
      </c>
      <c r="IB174" t="e">
        <f>AND(#REF!,"AAAAAF6+Pes=")</f>
        <v>#REF!</v>
      </c>
      <c r="IC174" t="e">
        <f>AND(#REF!,"AAAAAF6+Pew=")</f>
        <v>#REF!</v>
      </c>
      <c r="ID174" t="e">
        <f>AND(#REF!,"AAAAAF6+Pe0=")</f>
        <v>#REF!</v>
      </c>
      <c r="IE174" t="e">
        <f>AND(#REF!,"AAAAAF6+Pe4=")</f>
        <v>#REF!</v>
      </c>
      <c r="IF174" t="e">
        <f>AND(#REF!,"AAAAAF6+Pe8=")</f>
        <v>#REF!</v>
      </c>
      <c r="IG174" t="e">
        <f>AND(#REF!,"AAAAAF6+PfA=")</f>
        <v>#REF!</v>
      </c>
      <c r="IH174" t="e">
        <f>AND(#REF!,"AAAAAF6+PfE=")</f>
        <v>#REF!</v>
      </c>
      <c r="II174" t="e">
        <f>AND(#REF!,"AAAAAF6+PfI=")</f>
        <v>#REF!</v>
      </c>
      <c r="IJ174" t="e">
        <f>AND(#REF!,"AAAAAF6+PfM=")</f>
        <v>#REF!</v>
      </c>
      <c r="IK174" t="e">
        <f>AND(#REF!,"AAAAAF6+PfQ=")</f>
        <v>#REF!</v>
      </c>
      <c r="IL174" t="e">
        <f>AND(#REF!,"AAAAAF6+PfU=")</f>
        <v>#REF!</v>
      </c>
      <c r="IM174" t="e">
        <f>AND(#REF!,"AAAAAF6+PfY=")</f>
        <v>#REF!</v>
      </c>
      <c r="IN174" t="e">
        <f>AND(#REF!,"AAAAAF6+Pfc=")</f>
        <v>#REF!</v>
      </c>
      <c r="IO174" t="e">
        <f>AND(#REF!,"AAAAAF6+Pfg=")</f>
        <v>#REF!</v>
      </c>
      <c r="IP174" t="e">
        <f>AND(#REF!,"AAAAAF6+Pfk=")</f>
        <v>#REF!</v>
      </c>
      <c r="IQ174" t="e">
        <f>AND(#REF!,"AAAAAF6+Pfo=")</f>
        <v>#REF!</v>
      </c>
      <c r="IR174" t="e">
        <f>AND(#REF!,"AAAAAF6+Pfs=")</f>
        <v>#REF!</v>
      </c>
      <c r="IS174" t="e">
        <f>AND(#REF!,"AAAAAF6+Pfw=")</f>
        <v>#REF!</v>
      </c>
      <c r="IT174" t="e">
        <f>AND(#REF!,"AAAAAF6+Pf0=")</f>
        <v>#REF!</v>
      </c>
      <c r="IU174" t="e">
        <f>AND(#REF!,"AAAAAF6+Pf4=")</f>
        <v>#REF!</v>
      </c>
      <c r="IV174" t="e">
        <f>AND(#REF!,"AAAAAF6+Pf8=")</f>
        <v>#REF!</v>
      </c>
    </row>
    <row r="175" spans="1:256">
      <c r="A175" t="e">
        <f>AND(#REF!,"AAAAAF9//wA=")</f>
        <v>#REF!</v>
      </c>
      <c r="B175" t="e">
        <f>AND(#REF!,"AAAAAF9//wE=")</f>
        <v>#REF!</v>
      </c>
      <c r="C175" t="e">
        <f>AND(#REF!,"AAAAAF9//wI=")</f>
        <v>#REF!</v>
      </c>
      <c r="D175" t="e">
        <f>AND(#REF!,"AAAAAF9//wM=")</f>
        <v>#REF!</v>
      </c>
      <c r="E175" t="e">
        <f>AND(#REF!,"AAAAAF9//wQ=")</f>
        <v>#REF!</v>
      </c>
      <c r="F175" t="e">
        <f>AND(#REF!,"AAAAAF9//wU=")</f>
        <v>#REF!</v>
      </c>
      <c r="G175" t="e">
        <f>AND(#REF!,"AAAAAF9//wY=")</f>
        <v>#REF!</v>
      </c>
      <c r="H175" t="e">
        <f>AND(#REF!,"AAAAAF9//wc=")</f>
        <v>#REF!</v>
      </c>
      <c r="I175" t="e">
        <f>AND(#REF!,"AAAAAF9//wg=")</f>
        <v>#REF!</v>
      </c>
      <c r="J175" t="e">
        <f>AND(#REF!,"AAAAAF9//wk=")</f>
        <v>#REF!</v>
      </c>
      <c r="K175" t="e">
        <f>AND(#REF!,"AAAAAF9//wo=")</f>
        <v>#REF!</v>
      </c>
      <c r="L175" t="e">
        <f>AND(#REF!,"AAAAAF9//ws=")</f>
        <v>#REF!</v>
      </c>
      <c r="M175" t="e">
        <f>AND(#REF!,"AAAAAF9//ww=")</f>
        <v>#REF!</v>
      </c>
      <c r="N175" t="e">
        <f>AND(#REF!,"AAAAAF9//w0=")</f>
        <v>#REF!</v>
      </c>
      <c r="O175" t="e">
        <f>AND(#REF!,"AAAAAF9//w4=")</f>
        <v>#REF!</v>
      </c>
      <c r="P175" t="e">
        <f>AND(#REF!,"AAAAAF9//w8=")</f>
        <v>#REF!</v>
      </c>
      <c r="Q175" t="e">
        <f>AND(#REF!,"AAAAAF9//xA=")</f>
        <v>#REF!</v>
      </c>
      <c r="R175" t="e">
        <f>AND(#REF!,"AAAAAF9//xE=")</f>
        <v>#REF!</v>
      </c>
      <c r="S175" t="e">
        <f>AND(#REF!,"AAAAAF9//xI=")</f>
        <v>#REF!</v>
      </c>
      <c r="T175" t="e">
        <f>AND(#REF!,"AAAAAF9//xM=")</f>
        <v>#REF!</v>
      </c>
      <c r="U175" t="e">
        <f>AND(#REF!,"AAAAAF9//xQ=")</f>
        <v>#REF!</v>
      </c>
      <c r="V175" t="e">
        <f>AND(#REF!,"AAAAAF9//xU=")</f>
        <v>#REF!</v>
      </c>
      <c r="W175" t="e">
        <f>AND(#REF!,"AAAAAF9//xY=")</f>
        <v>#REF!</v>
      </c>
      <c r="X175" t="e">
        <f>AND(#REF!,"AAAAAF9//xc=")</f>
        <v>#REF!</v>
      </c>
      <c r="Y175" t="e">
        <f>AND(#REF!,"AAAAAF9//xg=")</f>
        <v>#REF!</v>
      </c>
      <c r="Z175" t="e">
        <f>AND(#REF!,"AAAAAF9//xk=")</f>
        <v>#REF!</v>
      </c>
      <c r="AA175" t="e">
        <f>AND(#REF!,"AAAAAF9//xo=")</f>
        <v>#REF!</v>
      </c>
      <c r="AB175" t="e">
        <f>AND(#REF!,"AAAAAF9//xs=")</f>
        <v>#REF!</v>
      </c>
      <c r="AC175" t="e">
        <f>AND(#REF!,"AAAAAF9//xw=")</f>
        <v>#REF!</v>
      </c>
      <c r="AD175" t="e">
        <f>AND(#REF!,"AAAAAF9//x0=")</f>
        <v>#REF!</v>
      </c>
      <c r="AE175" t="e">
        <f>AND(#REF!,"AAAAAF9//x4=")</f>
        <v>#REF!</v>
      </c>
      <c r="AF175" t="e">
        <f>AND(#REF!,"AAAAAF9//x8=")</f>
        <v>#REF!</v>
      </c>
      <c r="AG175" t="e">
        <f>AND(#REF!,"AAAAAF9//yA=")</f>
        <v>#REF!</v>
      </c>
      <c r="AH175" t="e">
        <f>AND(#REF!,"AAAAAF9//yE=")</f>
        <v>#REF!</v>
      </c>
      <c r="AI175" t="e">
        <f>AND(#REF!,"AAAAAF9//yI=")</f>
        <v>#REF!</v>
      </c>
      <c r="AJ175" t="e">
        <f>AND(#REF!,"AAAAAF9//yM=")</f>
        <v>#REF!</v>
      </c>
      <c r="AK175" t="e">
        <f>AND(#REF!,"AAAAAF9//yQ=")</f>
        <v>#REF!</v>
      </c>
      <c r="AL175" t="e">
        <f>AND(#REF!,"AAAAAF9//yU=")</f>
        <v>#REF!</v>
      </c>
      <c r="AM175" t="e">
        <f>AND(#REF!,"AAAAAF9//yY=")</f>
        <v>#REF!</v>
      </c>
      <c r="AN175" t="e">
        <f>AND(#REF!,"AAAAAF9//yc=")</f>
        <v>#REF!</v>
      </c>
      <c r="AO175" t="e">
        <f>AND(#REF!,"AAAAAF9//yg=")</f>
        <v>#REF!</v>
      </c>
      <c r="AP175" t="e">
        <f>AND(#REF!,"AAAAAF9//yk=")</f>
        <v>#REF!</v>
      </c>
      <c r="AQ175" t="e">
        <f>AND(#REF!,"AAAAAF9//yo=")</f>
        <v>#REF!</v>
      </c>
      <c r="AR175" t="e">
        <f>AND(#REF!,"AAAAAF9//ys=")</f>
        <v>#REF!</v>
      </c>
      <c r="AS175" t="e">
        <f>AND(#REF!,"AAAAAF9//yw=")</f>
        <v>#REF!</v>
      </c>
      <c r="AT175" t="e">
        <f>AND(#REF!,"AAAAAF9//y0=")</f>
        <v>#REF!</v>
      </c>
      <c r="AU175" t="e">
        <f>AND(#REF!,"AAAAAF9//y4=")</f>
        <v>#REF!</v>
      </c>
      <c r="AV175" t="e">
        <f>AND(#REF!,"AAAAAF9//y8=")</f>
        <v>#REF!</v>
      </c>
      <c r="AW175" t="e">
        <f>AND(#REF!,"AAAAAF9//zA=")</f>
        <v>#REF!</v>
      </c>
      <c r="AX175" t="e">
        <f>AND(#REF!,"AAAAAF9//zE=")</f>
        <v>#REF!</v>
      </c>
      <c r="AY175" t="e">
        <f>AND(#REF!,"AAAAAF9//zI=")</f>
        <v>#REF!</v>
      </c>
      <c r="AZ175" t="e">
        <f>AND(#REF!,"AAAAAF9//zM=")</f>
        <v>#REF!</v>
      </c>
      <c r="BA175" t="e">
        <f>AND(#REF!,"AAAAAF9//zQ=")</f>
        <v>#REF!</v>
      </c>
      <c r="BB175" t="e">
        <f>AND(#REF!,"AAAAAF9//zU=")</f>
        <v>#REF!</v>
      </c>
      <c r="BC175" t="e">
        <f>AND(#REF!,"AAAAAF9//zY=")</f>
        <v>#REF!</v>
      </c>
      <c r="BD175" t="e">
        <f>AND(#REF!,"AAAAAF9//zc=")</f>
        <v>#REF!</v>
      </c>
      <c r="BE175" t="e">
        <f>AND(#REF!,"AAAAAF9//zg=")</f>
        <v>#REF!</v>
      </c>
      <c r="BF175" t="e">
        <f>AND(#REF!,"AAAAAF9//zk=")</f>
        <v>#REF!</v>
      </c>
      <c r="BG175" t="e">
        <f>AND(#REF!,"AAAAAF9//zo=")</f>
        <v>#REF!</v>
      </c>
      <c r="BH175" t="e">
        <f>AND(#REF!,"AAAAAF9//zs=")</f>
        <v>#REF!</v>
      </c>
      <c r="BI175" t="e">
        <f>AND(#REF!,"AAAAAF9//zw=")</f>
        <v>#REF!</v>
      </c>
      <c r="BJ175" t="e">
        <f>AND(#REF!,"AAAAAF9//z0=")</f>
        <v>#REF!</v>
      </c>
      <c r="BK175" t="e">
        <f>AND(#REF!,"AAAAAF9//z4=")</f>
        <v>#REF!</v>
      </c>
      <c r="BL175" t="e">
        <f>AND(#REF!,"AAAAAF9//z8=")</f>
        <v>#REF!</v>
      </c>
      <c r="BM175" t="e">
        <f>AND(#REF!,"AAAAAF9//0A=")</f>
        <v>#REF!</v>
      </c>
      <c r="BN175" t="e">
        <f>AND(#REF!,"AAAAAF9//0E=")</f>
        <v>#REF!</v>
      </c>
      <c r="BO175" t="e">
        <f>AND(#REF!,"AAAAAF9//0I=")</f>
        <v>#REF!</v>
      </c>
      <c r="BP175" t="e">
        <f>AND(#REF!,"AAAAAF9//0M=")</f>
        <v>#REF!</v>
      </c>
      <c r="BQ175" t="e">
        <f>AND(#REF!,"AAAAAF9//0Q=")</f>
        <v>#REF!</v>
      </c>
      <c r="BR175" t="e">
        <f>AND(#REF!,"AAAAAF9//0U=")</f>
        <v>#REF!</v>
      </c>
      <c r="BS175" t="e">
        <f>AND(#REF!,"AAAAAF9//0Y=")</f>
        <v>#REF!</v>
      </c>
      <c r="BT175" t="e">
        <f>AND(#REF!,"AAAAAF9//0c=")</f>
        <v>#REF!</v>
      </c>
      <c r="BU175" t="e">
        <f>AND(#REF!,"AAAAAF9//0g=")</f>
        <v>#REF!</v>
      </c>
      <c r="BV175" t="e">
        <f>AND(#REF!,"AAAAAF9//0k=")</f>
        <v>#REF!</v>
      </c>
      <c r="BW175" t="e">
        <f>AND(#REF!,"AAAAAF9//0o=")</f>
        <v>#REF!</v>
      </c>
      <c r="BX175" t="e">
        <f>AND(#REF!,"AAAAAF9//0s=")</f>
        <v>#REF!</v>
      </c>
      <c r="BY175" t="e">
        <f>AND(#REF!,"AAAAAF9//0w=")</f>
        <v>#REF!</v>
      </c>
      <c r="BZ175" t="e">
        <f>AND(#REF!,"AAAAAF9//00=")</f>
        <v>#REF!</v>
      </c>
      <c r="CA175" t="e">
        <f>AND(#REF!,"AAAAAF9//04=")</f>
        <v>#REF!</v>
      </c>
      <c r="CB175" t="e">
        <f>AND(#REF!,"AAAAAF9//08=")</f>
        <v>#REF!</v>
      </c>
      <c r="CC175" t="e">
        <f>AND(#REF!,"AAAAAF9//1A=")</f>
        <v>#REF!</v>
      </c>
      <c r="CD175" t="e">
        <f>AND(#REF!,"AAAAAF9//1E=")</f>
        <v>#REF!</v>
      </c>
      <c r="CE175" t="e">
        <f>AND(#REF!,"AAAAAF9//1I=")</f>
        <v>#REF!</v>
      </c>
      <c r="CF175" t="e">
        <f>AND(#REF!,"AAAAAF9//1M=")</f>
        <v>#REF!</v>
      </c>
      <c r="CG175" t="e">
        <f>AND(#REF!,"AAAAAF9//1Q=")</f>
        <v>#REF!</v>
      </c>
      <c r="CH175" t="e">
        <f>AND(#REF!,"AAAAAF9//1U=")</f>
        <v>#REF!</v>
      </c>
      <c r="CI175" t="e">
        <f>IF(#REF!,"AAAAAF9//1Y=",0)</f>
        <v>#REF!</v>
      </c>
      <c r="CJ175" t="e">
        <f>AND(#REF!,"AAAAAF9//1c=")</f>
        <v>#REF!</v>
      </c>
      <c r="CK175" t="e">
        <f>AND(#REF!,"AAAAAF9//1g=")</f>
        <v>#REF!</v>
      </c>
      <c r="CL175" t="e">
        <f>AND(#REF!,"AAAAAF9//1k=")</f>
        <v>#REF!</v>
      </c>
      <c r="CM175" t="e">
        <f>AND(#REF!,"AAAAAF9//1o=")</f>
        <v>#REF!</v>
      </c>
      <c r="CN175" t="e">
        <f>AND(#REF!,"AAAAAF9//1s=")</f>
        <v>#REF!</v>
      </c>
      <c r="CO175" t="e">
        <f>AND(#REF!,"AAAAAF9//1w=")</f>
        <v>#REF!</v>
      </c>
      <c r="CP175" t="e">
        <f>AND(#REF!,"AAAAAF9//10=")</f>
        <v>#REF!</v>
      </c>
      <c r="CQ175" t="e">
        <f>AND(#REF!,"AAAAAF9//14=")</f>
        <v>#REF!</v>
      </c>
      <c r="CR175" t="e">
        <f>AND(#REF!,"AAAAAF9//18=")</f>
        <v>#REF!</v>
      </c>
      <c r="CS175" t="e">
        <f>AND(#REF!,"AAAAAF9//2A=")</f>
        <v>#REF!</v>
      </c>
      <c r="CT175" t="e">
        <f>AND(#REF!,"AAAAAF9//2E=")</f>
        <v>#REF!</v>
      </c>
      <c r="CU175" t="e">
        <f>AND(#REF!,"AAAAAF9//2I=")</f>
        <v>#REF!</v>
      </c>
      <c r="CV175" t="e">
        <f>AND(#REF!,"AAAAAF9//2M=")</f>
        <v>#REF!</v>
      </c>
      <c r="CW175" t="e">
        <f>AND(#REF!,"AAAAAF9//2Q=")</f>
        <v>#REF!</v>
      </c>
      <c r="CX175" t="e">
        <f>AND(#REF!,"AAAAAF9//2U=")</f>
        <v>#REF!</v>
      </c>
      <c r="CY175" t="e">
        <f>AND(#REF!,"AAAAAF9//2Y=")</f>
        <v>#REF!</v>
      </c>
      <c r="CZ175" t="e">
        <f>AND(#REF!,"AAAAAF9//2c=")</f>
        <v>#REF!</v>
      </c>
      <c r="DA175" t="e">
        <f>AND(#REF!,"AAAAAF9//2g=")</f>
        <v>#REF!</v>
      </c>
      <c r="DB175" t="e">
        <f>AND(#REF!,"AAAAAF9//2k=")</f>
        <v>#REF!</v>
      </c>
      <c r="DC175" t="e">
        <f>AND(#REF!,"AAAAAF9//2o=")</f>
        <v>#REF!</v>
      </c>
      <c r="DD175" t="e">
        <f>AND(#REF!,"AAAAAF9//2s=")</f>
        <v>#REF!</v>
      </c>
      <c r="DE175" t="e">
        <f>AND(#REF!,"AAAAAF9//2w=")</f>
        <v>#REF!</v>
      </c>
      <c r="DF175" t="e">
        <f>AND(#REF!,"AAAAAF9//20=")</f>
        <v>#REF!</v>
      </c>
      <c r="DG175" t="e">
        <f>AND(#REF!,"AAAAAF9//24=")</f>
        <v>#REF!</v>
      </c>
      <c r="DH175" t="e">
        <f>AND(#REF!,"AAAAAF9//28=")</f>
        <v>#REF!</v>
      </c>
      <c r="DI175" t="e">
        <f>AND(#REF!,"AAAAAF9//3A=")</f>
        <v>#REF!</v>
      </c>
      <c r="DJ175" t="e">
        <f>AND(#REF!,"AAAAAF9//3E=")</f>
        <v>#REF!</v>
      </c>
      <c r="DK175" t="e">
        <f>AND(#REF!,"AAAAAF9//3I=")</f>
        <v>#REF!</v>
      </c>
      <c r="DL175" t="e">
        <f>AND(#REF!,"AAAAAF9//3M=")</f>
        <v>#REF!</v>
      </c>
      <c r="DM175" t="e">
        <f>AND(#REF!,"AAAAAF9//3Q=")</f>
        <v>#REF!</v>
      </c>
      <c r="DN175" t="e">
        <f>AND(#REF!,"AAAAAF9//3U=")</f>
        <v>#REF!</v>
      </c>
      <c r="DO175" t="e">
        <f>AND(#REF!,"AAAAAF9//3Y=")</f>
        <v>#REF!</v>
      </c>
      <c r="DP175" t="e">
        <f>AND(#REF!,"AAAAAF9//3c=")</f>
        <v>#REF!</v>
      </c>
      <c r="DQ175" t="e">
        <f>AND(#REF!,"AAAAAF9//3g=")</f>
        <v>#REF!</v>
      </c>
      <c r="DR175" t="e">
        <f>AND(#REF!,"AAAAAF9//3k=")</f>
        <v>#REF!</v>
      </c>
      <c r="DS175" t="e">
        <f>AND(#REF!,"AAAAAF9//3o=")</f>
        <v>#REF!</v>
      </c>
      <c r="DT175" t="e">
        <f>AND(#REF!,"AAAAAF9//3s=")</f>
        <v>#REF!</v>
      </c>
      <c r="DU175" t="e">
        <f>AND(#REF!,"AAAAAF9//3w=")</f>
        <v>#REF!</v>
      </c>
      <c r="DV175" t="e">
        <f>AND(#REF!,"AAAAAF9//30=")</f>
        <v>#REF!</v>
      </c>
      <c r="DW175" t="e">
        <f>AND(#REF!,"AAAAAF9//34=")</f>
        <v>#REF!</v>
      </c>
      <c r="DX175" t="e">
        <f>AND(#REF!,"AAAAAF9//38=")</f>
        <v>#REF!</v>
      </c>
      <c r="DY175" t="e">
        <f>AND(#REF!,"AAAAAF9//4A=")</f>
        <v>#REF!</v>
      </c>
      <c r="DZ175" t="e">
        <f>AND(#REF!,"AAAAAF9//4E=")</f>
        <v>#REF!</v>
      </c>
      <c r="EA175" t="e">
        <f>AND(#REF!,"AAAAAF9//4I=")</f>
        <v>#REF!</v>
      </c>
      <c r="EB175" t="e">
        <f>AND(#REF!,"AAAAAF9//4M=")</f>
        <v>#REF!</v>
      </c>
      <c r="EC175" t="e">
        <f>AND(#REF!,"AAAAAF9//4Q=")</f>
        <v>#REF!</v>
      </c>
      <c r="ED175" t="e">
        <f>AND(#REF!,"AAAAAF9//4U=")</f>
        <v>#REF!</v>
      </c>
      <c r="EE175" t="e">
        <f>AND(#REF!,"AAAAAF9//4Y=")</f>
        <v>#REF!</v>
      </c>
      <c r="EF175" t="e">
        <f>AND(#REF!,"AAAAAF9//4c=")</f>
        <v>#REF!</v>
      </c>
      <c r="EG175" t="e">
        <f>AND(#REF!,"AAAAAF9//4g=")</f>
        <v>#REF!</v>
      </c>
      <c r="EH175" t="e">
        <f>AND(#REF!,"AAAAAF9//4k=")</f>
        <v>#REF!</v>
      </c>
      <c r="EI175" t="e">
        <f>AND(#REF!,"AAAAAF9//4o=")</f>
        <v>#REF!</v>
      </c>
      <c r="EJ175" t="e">
        <f>AND(#REF!,"AAAAAF9//4s=")</f>
        <v>#REF!</v>
      </c>
      <c r="EK175" t="e">
        <f>AND(#REF!,"AAAAAF9//4w=")</f>
        <v>#REF!</v>
      </c>
      <c r="EL175" t="e">
        <f>AND(#REF!,"AAAAAF9//40=")</f>
        <v>#REF!</v>
      </c>
      <c r="EM175" t="e">
        <f>AND(#REF!,"AAAAAF9//44=")</f>
        <v>#REF!</v>
      </c>
      <c r="EN175" t="e">
        <f>AND(#REF!,"AAAAAF9//48=")</f>
        <v>#REF!</v>
      </c>
      <c r="EO175" t="e">
        <f>AND(#REF!,"AAAAAF9//5A=")</f>
        <v>#REF!</v>
      </c>
      <c r="EP175" t="e">
        <f>AND(#REF!,"AAAAAF9//5E=")</f>
        <v>#REF!</v>
      </c>
      <c r="EQ175" t="e">
        <f>AND(#REF!,"AAAAAF9//5I=")</f>
        <v>#REF!</v>
      </c>
      <c r="ER175" t="e">
        <f>AND(#REF!,"AAAAAF9//5M=")</f>
        <v>#REF!</v>
      </c>
      <c r="ES175" t="e">
        <f>AND(#REF!,"AAAAAF9//5Q=")</f>
        <v>#REF!</v>
      </c>
      <c r="ET175" t="e">
        <f>AND(#REF!,"AAAAAF9//5U=")</f>
        <v>#REF!</v>
      </c>
      <c r="EU175" t="e">
        <f>AND(#REF!,"AAAAAF9//5Y=")</f>
        <v>#REF!</v>
      </c>
      <c r="EV175" t="e">
        <f>AND(#REF!,"AAAAAF9//5c=")</f>
        <v>#REF!</v>
      </c>
      <c r="EW175" t="e">
        <f>AND(#REF!,"AAAAAF9//5g=")</f>
        <v>#REF!</v>
      </c>
      <c r="EX175" t="e">
        <f>AND(#REF!,"AAAAAF9//5k=")</f>
        <v>#REF!</v>
      </c>
      <c r="EY175" t="e">
        <f>AND(#REF!,"AAAAAF9//5o=")</f>
        <v>#REF!</v>
      </c>
      <c r="EZ175" t="e">
        <f>AND(#REF!,"AAAAAF9//5s=")</f>
        <v>#REF!</v>
      </c>
      <c r="FA175" t="e">
        <f>AND(#REF!,"AAAAAF9//5w=")</f>
        <v>#REF!</v>
      </c>
      <c r="FB175" t="e">
        <f>AND(#REF!,"AAAAAF9//50=")</f>
        <v>#REF!</v>
      </c>
      <c r="FC175" t="e">
        <f>AND(#REF!,"AAAAAF9//54=")</f>
        <v>#REF!</v>
      </c>
      <c r="FD175" t="e">
        <f>AND(#REF!,"AAAAAF9//58=")</f>
        <v>#REF!</v>
      </c>
      <c r="FE175" t="e">
        <f>AND(#REF!,"AAAAAF9//6A=")</f>
        <v>#REF!</v>
      </c>
      <c r="FF175" t="e">
        <f>AND(#REF!,"AAAAAF9//6E=")</f>
        <v>#REF!</v>
      </c>
      <c r="FG175" t="e">
        <f>AND(#REF!,"AAAAAF9//6I=")</f>
        <v>#REF!</v>
      </c>
      <c r="FH175" t="e">
        <f>AND(#REF!,"AAAAAF9//6M=")</f>
        <v>#REF!</v>
      </c>
      <c r="FI175" t="e">
        <f>AND(#REF!,"AAAAAF9//6Q=")</f>
        <v>#REF!</v>
      </c>
      <c r="FJ175" t="e">
        <f>AND(#REF!,"AAAAAF9//6U=")</f>
        <v>#REF!</v>
      </c>
      <c r="FK175" t="e">
        <f>AND(#REF!,"AAAAAF9//6Y=")</f>
        <v>#REF!</v>
      </c>
      <c r="FL175" t="e">
        <f>AND(#REF!,"AAAAAF9//6c=")</f>
        <v>#REF!</v>
      </c>
      <c r="FM175" t="e">
        <f>AND(#REF!,"AAAAAF9//6g=")</f>
        <v>#REF!</v>
      </c>
      <c r="FN175" t="e">
        <f>AND(#REF!,"AAAAAF9//6k=")</f>
        <v>#REF!</v>
      </c>
      <c r="FO175" t="e">
        <f>AND(#REF!,"AAAAAF9//6o=")</f>
        <v>#REF!</v>
      </c>
      <c r="FP175" t="e">
        <f>AND(#REF!,"AAAAAF9//6s=")</f>
        <v>#REF!</v>
      </c>
      <c r="FQ175" t="e">
        <f>AND(#REF!,"AAAAAF9//6w=")</f>
        <v>#REF!</v>
      </c>
      <c r="FR175" t="e">
        <f>AND(#REF!,"AAAAAF9//60=")</f>
        <v>#REF!</v>
      </c>
      <c r="FS175" t="e">
        <f>AND(#REF!,"AAAAAF9//64=")</f>
        <v>#REF!</v>
      </c>
      <c r="FT175" t="e">
        <f>AND(#REF!,"AAAAAF9//68=")</f>
        <v>#REF!</v>
      </c>
      <c r="FU175" t="e">
        <f>AND(#REF!,"AAAAAF9//7A=")</f>
        <v>#REF!</v>
      </c>
      <c r="FV175" t="e">
        <f>AND(#REF!,"AAAAAF9//7E=")</f>
        <v>#REF!</v>
      </c>
      <c r="FW175" t="e">
        <f>AND(#REF!,"AAAAAF9//7I=")</f>
        <v>#REF!</v>
      </c>
      <c r="FX175" t="e">
        <f>AND(#REF!,"AAAAAF9//7M=")</f>
        <v>#REF!</v>
      </c>
      <c r="FY175" t="e">
        <f>AND(#REF!,"AAAAAF9//7Q=")</f>
        <v>#REF!</v>
      </c>
      <c r="FZ175" t="e">
        <f>AND(#REF!,"AAAAAF9//7U=")</f>
        <v>#REF!</v>
      </c>
      <c r="GA175" t="e">
        <f>AND(#REF!,"AAAAAF9//7Y=")</f>
        <v>#REF!</v>
      </c>
      <c r="GB175" t="e">
        <f>AND(#REF!,"AAAAAF9//7c=")</f>
        <v>#REF!</v>
      </c>
      <c r="GC175" t="e">
        <f>AND(#REF!,"AAAAAF9//7g=")</f>
        <v>#REF!</v>
      </c>
      <c r="GD175" t="e">
        <f>AND(#REF!,"AAAAAF9//7k=")</f>
        <v>#REF!</v>
      </c>
      <c r="GE175" t="e">
        <f>AND(#REF!,"AAAAAF9//7o=")</f>
        <v>#REF!</v>
      </c>
      <c r="GF175" t="e">
        <f>AND(#REF!,"AAAAAF9//7s=")</f>
        <v>#REF!</v>
      </c>
      <c r="GG175" t="e">
        <f>AND(#REF!,"AAAAAF9//7w=")</f>
        <v>#REF!</v>
      </c>
      <c r="GH175" t="e">
        <f>AND(#REF!,"AAAAAF9//70=")</f>
        <v>#REF!</v>
      </c>
      <c r="GI175" t="e">
        <f>AND(#REF!,"AAAAAF9//74=")</f>
        <v>#REF!</v>
      </c>
      <c r="GJ175" t="e">
        <f>AND(#REF!,"AAAAAF9//78=")</f>
        <v>#REF!</v>
      </c>
      <c r="GK175" t="e">
        <f>AND(#REF!,"AAAAAF9//8A=")</f>
        <v>#REF!</v>
      </c>
      <c r="GL175" t="e">
        <f>AND(#REF!,"AAAAAF9//8E=")</f>
        <v>#REF!</v>
      </c>
      <c r="GM175" t="e">
        <f>AND(#REF!,"AAAAAF9//8I=")</f>
        <v>#REF!</v>
      </c>
      <c r="GN175" t="e">
        <f>AND(#REF!,"AAAAAF9//8M=")</f>
        <v>#REF!</v>
      </c>
      <c r="GO175" t="e">
        <f>AND(#REF!,"AAAAAF9//8Q=")</f>
        <v>#REF!</v>
      </c>
      <c r="GP175" t="e">
        <f>AND(#REF!,"AAAAAF9//8U=")</f>
        <v>#REF!</v>
      </c>
      <c r="GQ175" t="e">
        <f>AND(#REF!,"AAAAAF9//8Y=")</f>
        <v>#REF!</v>
      </c>
      <c r="GR175" t="e">
        <f>AND(#REF!,"AAAAAF9//8c=")</f>
        <v>#REF!</v>
      </c>
      <c r="GS175" t="e">
        <f>AND(#REF!,"AAAAAF9//8g=")</f>
        <v>#REF!</v>
      </c>
      <c r="GT175" t="e">
        <f>AND(#REF!,"AAAAAF9//8k=")</f>
        <v>#REF!</v>
      </c>
      <c r="GU175" t="e">
        <f>AND(#REF!,"AAAAAF9//8o=")</f>
        <v>#REF!</v>
      </c>
      <c r="GV175" t="e">
        <f>AND(#REF!,"AAAAAF9//8s=")</f>
        <v>#REF!</v>
      </c>
      <c r="GW175" t="e">
        <f>AND(#REF!,"AAAAAF9//8w=")</f>
        <v>#REF!</v>
      </c>
      <c r="GX175" t="e">
        <f>AND(#REF!,"AAAAAF9//80=")</f>
        <v>#REF!</v>
      </c>
      <c r="GY175" t="e">
        <f>AND(#REF!,"AAAAAF9//84=")</f>
        <v>#REF!</v>
      </c>
      <c r="GZ175" t="e">
        <f>AND(#REF!,"AAAAAF9//88=")</f>
        <v>#REF!</v>
      </c>
      <c r="HA175" t="e">
        <f>AND(#REF!,"AAAAAF9//9A=")</f>
        <v>#REF!</v>
      </c>
      <c r="HB175" t="e">
        <f>AND(#REF!,"AAAAAF9//9E=")</f>
        <v>#REF!</v>
      </c>
      <c r="HC175" t="e">
        <f>AND(#REF!,"AAAAAF9//9I=")</f>
        <v>#REF!</v>
      </c>
      <c r="HD175" t="e">
        <f>AND(#REF!,"AAAAAF9//9M=")</f>
        <v>#REF!</v>
      </c>
      <c r="HE175" t="e">
        <f>AND(#REF!,"AAAAAF9//9Q=")</f>
        <v>#REF!</v>
      </c>
      <c r="HF175" t="e">
        <f>AND(#REF!,"AAAAAF9//9U=")</f>
        <v>#REF!</v>
      </c>
      <c r="HG175" t="e">
        <f>AND(#REF!,"AAAAAF9//9Y=")</f>
        <v>#REF!</v>
      </c>
      <c r="HH175" t="e">
        <f>AND(#REF!,"AAAAAF9//9c=")</f>
        <v>#REF!</v>
      </c>
      <c r="HI175" t="e">
        <f>AND(#REF!,"AAAAAF9//9g=")</f>
        <v>#REF!</v>
      </c>
      <c r="HJ175" t="e">
        <f>AND(#REF!,"AAAAAF9//9k=")</f>
        <v>#REF!</v>
      </c>
      <c r="HK175" t="e">
        <f>AND(#REF!,"AAAAAF9//9o=")</f>
        <v>#REF!</v>
      </c>
      <c r="HL175" t="e">
        <f>AND(#REF!,"AAAAAF9//9s=")</f>
        <v>#REF!</v>
      </c>
      <c r="HM175" t="e">
        <f>AND(#REF!,"AAAAAF9//9w=")</f>
        <v>#REF!</v>
      </c>
      <c r="HN175" t="e">
        <f>AND(#REF!,"AAAAAF9//90=")</f>
        <v>#REF!</v>
      </c>
      <c r="HO175" t="e">
        <f>AND(#REF!,"AAAAAF9//94=")</f>
        <v>#REF!</v>
      </c>
      <c r="HP175" t="e">
        <f>AND(#REF!,"AAAAAF9//98=")</f>
        <v>#REF!</v>
      </c>
      <c r="HQ175" t="e">
        <f>AND(#REF!,"AAAAAF9//+A=")</f>
        <v>#REF!</v>
      </c>
      <c r="HR175" t="e">
        <f>AND(#REF!,"AAAAAF9//+E=")</f>
        <v>#REF!</v>
      </c>
      <c r="HS175" t="e">
        <f>AND(#REF!,"AAAAAF9//+I=")</f>
        <v>#REF!</v>
      </c>
      <c r="HT175" t="e">
        <f>AND(#REF!,"AAAAAF9//+M=")</f>
        <v>#REF!</v>
      </c>
      <c r="HU175" t="e">
        <f>AND(#REF!,"AAAAAF9//+Q=")</f>
        <v>#REF!</v>
      </c>
      <c r="HV175" t="e">
        <f>AND(#REF!,"AAAAAF9//+U=")</f>
        <v>#REF!</v>
      </c>
      <c r="HW175" t="e">
        <f>AND(#REF!,"AAAAAF9//+Y=")</f>
        <v>#REF!</v>
      </c>
      <c r="HX175" t="e">
        <f>AND(#REF!,"AAAAAF9//+c=")</f>
        <v>#REF!</v>
      </c>
      <c r="HY175" t="e">
        <f>AND(#REF!,"AAAAAF9//+g=")</f>
        <v>#REF!</v>
      </c>
      <c r="HZ175" t="e">
        <f>AND(#REF!,"AAAAAF9//+k=")</f>
        <v>#REF!</v>
      </c>
      <c r="IA175" t="e">
        <f>AND(#REF!,"AAAAAF9//+o=")</f>
        <v>#REF!</v>
      </c>
      <c r="IB175" t="e">
        <f>AND(#REF!,"AAAAAF9//+s=")</f>
        <v>#REF!</v>
      </c>
      <c r="IC175" t="e">
        <f>AND(#REF!,"AAAAAF9//+w=")</f>
        <v>#REF!</v>
      </c>
      <c r="ID175" t="e">
        <f>AND(#REF!,"AAAAAF9//+0=")</f>
        <v>#REF!</v>
      </c>
      <c r="IE175" t="e">
        <f>AND(#REF!,"AAAAAF9//+4=")</f>
        <v>#REF!</v>
      </c>
      <c r="IF175" t="e">
        <f>AND(#REF!,"AAAAAF9//+8=")</f>
        <v>#REF!</v>
      </c>
      <c r="IG175" t="e">
        <f>AND(#REF!,"AAAAAF9///A=")</f>
        <v>#REF!</v>
      </c>
      <c r="IH175" t="e">
        <f>AND(#REF!,"AAAAAF9///E=")</f>
        <v>#REF!</v>
      </c>
      <c r="II175" t="e">
        <f>AND(#REF!,"AAAAAF9///I=")</f>
        <v>#REF!</v>
      </c>
      <c r="IJ175" t="e">
        <f>AND(#REF!,"AAAAAF9///M=")</f>
        <v>#REF!</v>
      </c>
      <c r="IK175" t="e">
        <f>AND(#REF!,"AAAAAF9///Q=")</f>
        <v>#REF!</v>
      </c>
      <c r="IL175" t="e">
        <f>AND(#REF!,"AAAAAF9///U=")</f>
        <v>#REF!</v>
      </c>
      <c r="IM175" t="e">
        <f>AND(#REF!,"AAAAAF9///Y=")</f>
        <v>#REF!</v>
      </c>
      <c r="IN175" t="e">
        <f>AND(#REF!,"AAAAAF9///c=")</f>
        <v>#REF!</v>
      </c>
      <c r="IO175" t="e">
        <f>AND(#REF!,"AAAAAF9///g=")</f>
        <v>#REF!</v>
      </c>
      <c r="IP175" t="e">
        <f>AND(#REF!,"AAAAAF9///k=")</f>
        <v>#REF!</v>
      </c>
      <c r="IQ175" t="e">
        <f>AND(#REF!,"AAAAAF9///o=")</f>
        <v>#REF!</v>
      </c>
      <c r="IR175" t="e">
        <f>AND(#REF!,"AAAAAF9///s=")</f>
        <v>#REF!</v>
      </c>
      <c r="IS175" t="e">
        <f>AND(#REF!,"AAAAAF9///w=")</f>
        <v>#REF!</v>
      </c>
      <c r="IT175" t="e">
        <f>AND(#REF!,"AAAAAF9///0=")</f>
        <v>#REF!</v>
      </c>
      <c r="IU175" t="e">
        <f>AND(#REF!,"AAAAAF9///4=")</f>
        <v>#REF!</v>
      </c>
      <c r="IV175" t="e">
        <f>AND(#REF!,"AAAAAF9///8=")</f>
        <v>#REF!</v>
      </c>
    </row>
    <row r="176" spans="1:256">
      <c r="A176" t="e">
        <f>AND(#REF!,"AAAAAH7/YwA=")</f>
        <v>#REF!</v>
      </c>
      <c r="B176" t="e">
        <f>AND(#REF!,"AAAAAH7/YwE=")</f>
        <v>#REF!</v>
      </c>
      <c r="C176" t="e">
        <f>AND(#REF!,"AAAAAH7/YwI=")</f>
        <v>#REF!</v>
      </c>
      <c r="D176" t="e">
        <f>AND(#REF!,"AAAAAH7/YwM=")</f>
        <v>#REF!</v>
      </c>
      <c r="E176" t="e">
        <f>AND(#REF!,"AAAAAH7/YwQ=")</f>
        <v>#REF!</v>
      </c>
      <c r="F176" t="e">
        <f>AND(#REF!,"AAAAAH7/YwU=")</f>
        <v>#REF!</v>
      </c>
      <c r="G176" t="e">
        <f>AND(#REF!,"AAAAAH7/YwY=")</f>
        <v>#REF!</v>
      </c>
      <c r="H176" t="e">
        <f>AND(#REF!,"AAAAAH7/Ywc=")</f>
        <v>#REF!</v>
      </c>
      <c r="I176" t="e">
        <f>AND(#REF!,"AAAAAH7/Ywg=")</f>
        <v>#REF!</v>
      </c>
      <c r="J176" t="e">
        <f>AND(#REF!,"AAAAAH7/Ywk=")</f>
        <v>#REF!</v>
      </c>
      <c r="K176" t="e">
        <f>AND(#REF!,"AAAAAH7/Ywo=")</f>
        <v>#REF!</v>
      </c>
      <c r="L176" t="e">
        <f>AND(#REF!,"AAAAAH7/Yws=")</f>
        <v>#REF!</v>
      </c>
      <c r="M176" t="e">
        <f>AND(#REF!,"AAAAAH7/Yww=")</f>
        <v>#REF!</v>
      </c>
      <c r="N176" t="e">
        <f>AND(#REF!,"AAAAAH7/Yw0=")</f>
        <v>#REF!</v>
      </c>
      <c r="O176" t="e">
        <f>AND(#REF!,"AAAAAH7/Yw4=")</f>
        <v>#REF!</v>
      </c>
      <c r="P176" t="e">
        <f>AND(#REF!,"AAAAAH7/Yw8=")</f>
        <v>#REF!</v>
      </c>
      <c r="Q176" t="e">
        <f>AND(#REF!,"AAAAAH7/YxA=")</f>
        <v>#REF!</v>
      </c>
      <c r="R176" t="e">
        <f>AND(#REF!,"AAAAAH7/YxE=")</f>
        <v>#REF!</v>
      </c>
      <c r="S176" t="e">
        <f>AND(#REF!,"AAAAAH7/YxI=")</f>
        <v>#REF!</v>
      </c>
      <c r="T176" t="e">
        <f>AND(#REF!,"AAAAAH7/YxM=")</f>
        <v>#REF!</v>
      </c>
      <c r="U176" t="e">
        <f>AND(#REF!,"AAAAAH7/YxQ=")</f>
        <v>#REF!</v>
      </c>
      <c r="V176" t="e">
        <f>AND(#REF!,"AAAAAH7/YxU=")</f>
        <v>#REF!</v>
      </c>
      <c r="W176" t="e">
        <f>AND(#REF!,"AAAAAH7/YxY=")</f>
        <v>#REF!</v>
      </c>
      <c r="X176" t="e">
        <f>AND(#REF!,"AAAAAH7/Yxc=")</f>
        <v>#REF!</v>
      </c>
      <c r="Y176" t="e">
        <f>AND(#REF!,"AAAAAH7/Yxg=")</f>
        <v>#REF!</v>
      </c>
      <c r="Z176" t="e">
        <f>AND(#REF!,"AAAAAH7/Yxk=")</f>
        <v>#REF!</v>
      </c>
      <c r="AA176" t="e">
        <f>AND(#REF!,"AAAAAH7/Yxo=")</f>
        <v>#REF!</v>
      </c>
      <c r="AB176" t="e">
        <f>AND(#REF!,"AAAAAH7/Yxs=")</f>
        <v>#REF!</v>
      </c>
      <c r="AC176" t="e">
        <f>AND(#REF!,"AAAAAH7/Yxw=")</f>
        <v>#REF!</v>
      </c>
      <c r="AD176" t="e">
        <f>AND(#REF!,"AAAAAH7/Yx0=")</f>
        <v>#REF!</v>
      </c>
      <c r="AE176" t="e">
        <f>AND(#REF!,"AAAAAH7/Yx4=")</f>
        <v>#REF!</v>
      </c>
      <c r="AF176" t="e">
        <f>AND(#REF!,"AAAAAH7/Yx8=")</f>
        <v>#REF!</v>
      </c>
      <c r="AG176" t="e">
        <f>AND(#REF!,"AAAAAH7/YyA=")</f>
        <v>#REF!</v>
      </c>
      <c r="AH176" t="e">
        <f>AND(#REF!,"AAAAAH7/YyE=")</f>
        <v>#REF!</v>
      </c>
      <c r="AI176" t="e">
        <f>AND(#REF!,"AAAAAH7/YyI=")</f>
        <v>#REF!</v>
      </c>
      <c r="AJ176" t="e">
        <f>AND(#REF!,"AAAAAH7/YyM=")</f>
        <v>#REF!</v>
      </c>
      <c r="AK176" t="e">
        <f>AND(#REF!,"AAAAAH7/YyQ=")</f>
        <v>#REF!</v>
      </c>
      <c r="AL176" t="e">
        <f>AND(#REF!,"AAAAAH7/YyU=")</f>
        <v>#REF!</v>
      </c>
      <c r="AM176" t="e">
        <f>AND(#REF!,"AAAAAH7/YyY=")</f>
        <v>#REF!</v>
      </c>
      <c r="AN176" t="e">
        <f>AND(#REF!,"AAAAAH7/Yyc=")</f>
        <v>#REF!</v>
      </c>
      <c r="AO176" t="e">
        <f>AND(#REF!,"AAAAAH7/Yyg=")</f>
        <v>#REF!</v>
      </c>
      <c r="AP176" t="e">
        <f>AND(#REF!,"AAAAAH7/Yyk=")</f>
        <v>#REF!</v>
      </c>
      <c r="AQ176" t="e">
        <f>AND(#REF!,"AAAAAH7/Yyo=")</f>
        <v>#REF!</v>
      </c>
      <c r="AR176" t="e">
        <f>AND(#REF!,"AAAAAH7/Yys=")</f>
        <v>#REF!</v>
      </c>
      <c r="AS176" t="e">
        <f>AND(#REF!,"AAAAAH7/Yyw=")</f>
        <v>#REF!</v>
      </c>
      <c r="AT176" t="e">
        <f>AND(#REF!,"AAAAAH7/Yy0=")</f>
        <v>#REF!</v>
      </c>
      <c r="AU176" t="e">
        <f>AND(#REF!,"AAAAAH7/Yy4=")</f>
        <v>#REF!</v>
      </c>
      <c r="AV176" t="e">
        <f>AND(#REF!,"AAAAAH7/Yy8=")</f>
        <v>#REF!</v>
      </c>
      <c r="AW176" t="e">
        <f>AND(#REF!,"AAAAAH7/YzA=")</f>
        <v>#REF!</v>
      </c>
      <c r="AX176" t="e">
        <f>AND(#REF!,"AAAAAH7/YzE=")</f>
        <v>#REF!</v>
      </c>
      <c r="AY176" t="e">
        <f>AND(#REF!,"AAAAAH7/YzI=")</f>
        <v>#REF!</v>
      </c>
      <c r="AZ176" t="e">
        <f>AND(#REF!,"AAAAAH7/YzM=")</f>
        <v>#REF!</v>
      </c>
      <c r="BA176" t="e">
        <f>AND(#REF!,"AAAAAH7/YzQ=")</f>
        <v>#REF!</v>
      </c>
      <c r="BB176" t="e">
        <f>AND(#REF!,"AAAAAH7/YzU=")</f>
        <v>#REF!</v>
      </c>
      <c r="BC176" t="e">
        <f>AND(#REF!,"AAAAAH7/YzY=")</f>
        <v>#REF!</v>
      </c>
      <c r="BD176" t="e">
        <f>AND(#REF!,"AAAAAH7/Yzc=")</f>
        <v>#REF!</v>
      </c>
      <c r="BE176" t="e">
        <f>AND(#REF!,"AAAAAH7/Yzg=")</f>
        <v>#REF!</v>
      </c>
      <c r="BF176" t="e">
        <f>AND(#REF!,"AAAAAH7/Yzk=")</f>
        <v>#REF!</v>
      </c>
      <c r="BG176" t="e">
        <f>IF(#REF!,"AAAAAH7/Yzo=",0)</f>
        <v>#REF!</v>
      </c>
      <c r="BH176" t="e">
        <f>AND(#REF!,"AAAAAH7/Yzs=")</f>
        <v>#REF!</v>
      </c>
      <c r="BI176" t="e">
        <f>AND(#REF!,"AAAAAH7/Yzw=")</f>
        <v>#REF!</v>
      </c>
      <c r="BJ176" t="e">
        <f>AND(#REF!,"AAAAAH7/Yz0=")</f>
        <v>#REF!</v>
      </c>
      <c r="BK176" t="e">
        <f>AND(#REF!,"AAAAAH7/Yz4=")</f>
        <v>#REF!</v>
      </c>
      <c r="BL176" t="e">
        <f>AND(#REF!,"AAAAAH7/Yz8=")</f>
        <v>#REF!</v>
      </c>
      <c r="BM176" t="e">
        <f>AND(#REF!,"AAAAAH7/Y0A=")</f>
        <v>#REF!</v>
      </c>
      <c r="BN176" t="e">
        <f>AND(#REF!,"AAAAAH7/Y0E=")</f>
        <v>#REF!</v>
      </c>
      <c r="BO176" t="e">
        <f>AND(#REF!,"AAAAAH7/Y0I=")</f>
        <v>#REF!</v>
      </c>
      <c r="BP176" t="e">
        <f>AND(#REF!,"AAAAAH7/Y0M=")</f>
        <v>#REF!</v>
      </c>
      <c r="BQ176" t="e">
        <f>AND(#REF!,"AAAAAH7/Y0Q=")</f>
        <v>#REF!</v>
      </c>
      <c r="BR176" t="e">
        <f>AND(#REF!,"AAAAAH7/Y0U=")</f>
        <v>#REF!</v>
      </c>
      <c r="BS176" t="e">
        <f>AND(#REF!,"AAAAAH7/Y0Y=")</f>
        <v>#REF!</v>
      </c>
      <c r="BT176" t="e">
        <f>AND(#REF!,"AAAAAH7/Y0c=")</f>
        <v>#REF!</v>
      </c>
      <c r="BU176" t="e">
        <f>AND(#REF!,"AAAAAH7/Y0g=")</f>
        <v>#REF!</v>
      </c>
      <c r="BV176" t="e">
        <f>AND(#REF!,"AAAAAH7/Y0k=")</f>
        <v>#REF!</v>
      </c>
      <c r="BW176" t="e">
        <f>AND(#REF!,"AAAAAH7/Y0o=")</f>
        <v>#REF!</v>
      </c>
      <c r="BX176" t="e">
        <f>AND(#REF!,"AAAAAH7/Y0s=")</f>
        <v>#REF!</v>
      </c>
      <c r="BY176" t="e">
        <f>AND(#REF!,"AAAAAH7/Y0w=")</f>
        <v>#REF!</v>
      </c>
      <c r="BZ176" t="e">
        <f>AND(#REF!,"AAAAAH7/Y00=")</f>
        <v>#REF!</v>
      </c>
      <c r="CA176" t="e">
        <f>AND(#REF!,"AAAAAH7/Y04=")</f>
        <v>#REF!</v>
      </c>
      <c r="CB176" t="e">
        <f>AND(#REF!,"AAAAAH7/Y08=")</f>
        <v>#REF!</v>
      </c>
      <c r="CC176" t="e">
        <f>AND(#REF!,"AAAAAH7/Y1A=")</f>
        <v>#REF!</v>
      </c>
      <c r="CD176" t="e">
        <f>AND(#REF!,"AAAAAH7/Y1E=")</f>
        <v>#REF!</v>
      </c>
      <c r="CE176" t="e">
        <f>AND(#REF!,"AAAAAH7/Y1I=")</f>
        <v>#REF!</v>
      </c>
      <c r="CF176" t="e">
        <f>AND(#REF!,"AAAAAH7/Y1M=")</f>
        <v>#REF!</v>
      </c>
      <c r="CG176" t="e">
        <f>AND(#REF!,"AAAAAH7/Y1Q=")</f>
        <v>#REF!</v>
      </c>
      <c r="CH176" t="e">
        <f>AND(#REF!,"AAAAAH7/Y1U=")</f>
        <v>#REF!</v>
      </c>
      <c r="CI176" t="e">
        <f>AND(#REF!,"AAAAAH7/Y1Y=")</f>
        <v>#REF!</v>
      </c>
      <c r="CJ176" t="e">
        <f>AND(#REF!,"AAAAAH7/Y1c=")</f>
        <v>#REF!</v>
      </c>
      <c r="CK176" t="e">
        <f>AND(#REF!,"AAAAAH7/Y1g=")</f>
        <v>#REF!</v>
      </c>
      <c r="CL176" t="e">
        <f>AND(#REF!,"AAAAAH7/Y1k=")</f>
        <v>#REF!</v>
      </c>
      <c r="CM176" t="e">
        <f>AND(#REF!,"AAAAAH7/Y1o=")</f>
        <v>#REF!</v>
      </c>
      <c r="CN176" t="e">
        <f>AND(#REF!,"AAAAAH7/Y1s=")</f>
        <v>#REF!</v>
      </c>
      <c r="CO176" t="e">
        <f>AND(#REF!,"AAAAAH7/Y1w=")</f>
        <v>#REF!</v>
      </c>
      <c r="CP176" t="e">
        <f>AND(#REF!,"AAAAAH7/Y10=")</f>
        <v>#REF!</v>
      </c>
      <c r="CQ176" t="e">
        <f>AND(#REF!,"AAAAAH7/Y14=")</f>
        <v>#REF!</v>
      </c>
      <c r="CR176" t="e">
        <f>AND(#REF!,"AAAAAH7/Y18=")</f>
        <v>#REF!</v>
      </c>
      <c r="CS176" t="e">
        <f>AND(#REF!,"AAAAAH7/Y2A=")</f>
        <v>#REF!</v>
      </c>
      <c r="CT176" t="e">
        <f>AND(#REF!,"AAAAAH7/Y2E=")</f>
        <v>#REF!</v>
      </c>
      <c r="CU176" t="e">
        <f>AND(#REF!,"AAAAAH7/Y2I=")</f>
        <v>#REF!</v>
      </c>
      <c r="CV176" t="e">
        <f>AND(#REF!,"AAAAAH7/Y2M=")</f>
        <v>#REF!</v>
      </c>
      <c r="CW176" t="e">
        <f>AND(#REF!,"AAAAAH7/Y2Q=")</f>
        <v>#REF!</v>
      </c>
      <c r="CX176" t="e">
        <f>AND(#REF!,"AAAAAH7/Y2U=")</f>
        <v>#REF!</v>
      </c>
      <c r="CY176" t="e">
        <f>AND(#REF!,"AAAAAH7/Y2Y=")</f>
        <v>#REF!</v>
      </c>
      <c r="CZ176" t="e">
        <f>AND(#REF!,"AAAAAH7/Y2c=")</f>
        <v>#REF!</v>
      </c>
      <c r="DA176" t="e">
        <f>AND(#REF!,"AAAAAH7/Y2g=")</f>
        <v>#REF!</v>
      </c>
      <c r="DB176" t="e">
        <f>AND(#REF!,"AAAAAH7/Y2k=")</f>
        <v>#REF!</v>
      </c>
      <c r="DC176" t="e">
        <f>AND(#REF!,"AAAAAH7/Y2o=")</f>
        <v>#REF!</v>
      </c>
      <c r="DD176" t="e">
        <f>AND(#REF!,"AAAAAH7/Y2s=")</f>
        <v>#REF!</v>
      </c>
      <c r="DE176" t="e">
        <f>AND(#REF!,"AAAAAH7/Y2w=")</f>
        <v>#REF!</v>
      </c>
      <c r="DF176" t="e">
        <f>AND(#REF!,"AAAAAH7/Y20=")</f>
        <v>#REF!</v>
      </c>
      <c r="DG176" t="e">
        <f>AND(#REF!,"AAAAAH7/Y24=")</f>
        <v>#REF!</v>
      </c>
      <c r="DH176" t="e">
        <f>AND(#REF!,"AAAAAH7/Y28=")</f>
        <v>#REF!</v>
      </c>
      <c r="DI176" t="e">
        <f>AND(#REF!,"AAAAAH7/Y3A=")</f>
        <v>#REF!</v>
      </c>
      <c r="DJ176" t="e">
        <f>AND(#REF!,"AAAAAH7/Y3E=")</f>
        <v>#REF!</v>
      </c>
      <c r="DK176" t="e">
        <f>AND(#REF!,"AAAAAH7/Y3I=")</f>
        <v>#REF!</v>
      </c>
      <c r="DL176" t="e">
        <f>AND(#REF!,"AAAAAH7/Y3M=")</f>
        <v>#REF!</v>
      </c>
      <c r="DM176" t="e">
        <f>AND(#REF!,"AAAAAH7/Y3Q=")</f>
        <v>#REF!</v>
      </c>
      <c r="DN176" t="e">
        <f>AND(#REF!,"AAAAAH7/Y3U=")</f>
        <v>#REF!</v>
      </c>
      <c r="DO176" t="e">
        <f>AND(#REF!,"AAAAAH7/Y3Y=")</f>
        <v>#REF!</v>
      </c>
      <c r="DP176" t="e">
        <f>AND(#REF!,"AAAAAH7/Y3c=")</f>
        <v>#REF!</v>
      </c>
      <c r="DQ176" t="e">
        <f>AND(#REF!,"AAAAAH7/Y3g=")</f>
        <v>#REF!</v>
      </c>
      <c r="DR176" t="e">
        <f>AND(#REF!,"AAAAAH7/Y3k=")</f>
        <v>#REF!</v>
      </c>
      <c r="DS176" t="e">
        <f>AND(#REF!,"AAAAAH7/Y3o=")</f>
        <v>#REF!</v>
      </c>
      <c r="DT176" t="e">
        <f>AND(#REF!,"AAAAAH7/Y3s=")</f>
        <v>#REF!</v>
      </c>
      <c r="DU176" t="e">
        <f>AND(#REF!,"AAAAAH7/Y3w=")</f>
        <v>#REF!</v>
      </c>
      <c r="DV176" t="e">
        <f>AND(#REF!,"AAAAAH7/Y30=")</f>
        <v>#REF!</v>
      </c>
      <c r="DW176" t="e">
        <f>AND(#REF!,"AAAAAH7/Y34=")</f>
        <v>#REF!</v>
      </c>
      <c r="DX176" t="e">
        <f>AND(#REF!,"AAAAAH7/Y38=")</f>
        <v>#REF!</v>
      </c>
      <c r="DY176" t="e">
        <f>AND(#REF!,"AAAAAH7/Y4A=")</f>
        <v>#REF!</v>
      </c>
      <c r="DZ176" t="e">
        <f>AND(#REF!,"AAAAAH7/Y4E=")</f>
        <v>#REF!</v>
      </c>
      <c r="EA176" t="e">
        <f>AND(#REF!,"AAAAAH7/Y4I=")</f>
        <v>#REF!</v>
      </c>
      <c r="EB176" t="e">
        <f>AND(#REF!,"AAAAAH7/Y4M=")</f>
        <v>#REF!</v>
      </c>
      <c r="EC176" t="e">
        <f>AND(#REF!,"AAAAAH7/Y4Q=")</f>
        <v>#REF!</v>
      </c>
      <c r="ED176" t="e">
        <f>AND(#REF!,"AAAAAH7/Y4U=")</f>
        <v>#REF!</v>
      </c>
      <c r="EE176" t="e">
        <f>AND(#REF!,"AAAAAH7/Y4Y=")</f>
        <v>#REF!</v>
      </c>
      <c r="EF176" t="e">
        <f>AND(#REF!,"AAAAAH7/Y4c=")</f>
        <v>#REF!</v>
      </c>
      <c r="EG176" t="e">
        <f>AND(#REF!,"AAAAAH7/Y4g=")</f>
        <v>#REF!</v>
      </c>
      <c r="EH176" t="e">
        <f>AND(#REF!,"AAAAAH7/Y4k=")</f>
        <v>#REF!</v>
      </c>
      <c r="EI176" t="e">
        <f>AND(#REF!,"AAAAAH7/Y4o=")</f>
        <v>#REF!</v>
      </c>
      <c r="EJ176" t="e">
        <f>AND(#REF!,"AAAAAH7/Y4s=")</f>
        <v>#REF!</v>
      </c>
      <c r="EK176" t="e">
        <f>AND(#REF!,"AAAAAH7/Y4w=")</f>
        <v>#REF!</v>
      </c>
      <c r="EL176" t="e">
        <f>AND(#REF!,"AAAAAH7/Y40=")</f>
        <v>#REF!</v>
      </c>
      <c r="EM176" t="e">
        <f>AND(#REF!,"AAAAAH7/Y44=")</f>
        <v>#REF!</v>
      </c>
      <c r="EN176" t="e">
        <f>AND(#REF!,"AAAAAH7/Y48=")</f>
        <v>#REF!</v>
      </c>
      <c r="EO176" t="e">
        <f>AND(#REF!,"AAAAAH7/Y5A=")</f>
        <v>#REF!</v>
      </c>
      <c r="EP176" t="e">
        <f>AND(#REF!,"AAAAAH7/Y5E=")</f>
        <v>#REF!</v>
      </c>
      <c r="EQ176" t="e">
        <f>AND(#REF!,"AAAAAH7/Y5I=")</f>
        <v>#REF!</v>
      </c>
      <c r="ER176" t="e">
        <f>AND(#REF!,"AAAAAH7/Y5M=")</f>
        <v>#REF!</v>
      </c>
      <c r="ES176" t="e">
        <f>AND(#REF!,"AAAAAH7/Y5Q=")</f>
        <v>#REF!</v>
      </c>
      <c r="ET176" t="e">
        <f>AND(#REF!,"AAAAAH7/Y5U=")</f>
        <v>#REF!</v>
      </c>
      <c r="EU176" t="e">
        <f>AND(#REF!,"AAAAAH7/Y5Y=")</f>
        <v>#REF!</v>
      </c>
      <c r="EV176" t="e">
        <f>AND(#REF!,"AAAAAH7/Y5c=")</f>
        <v>#REF!</v>
      </c>
      <c r="EW176" t="e">
        <f>AND(#REF!,"AAAAAH7/Y5g=")</f>
        <v>#REF!</v>
      </c>
      <c r="EX176" t="e">
        <f>AND(#REF!,"AAAAAH7/Y5k=")</f>
        <v>#REF!</v>
      </c>
      <c r="EY176" t="e">
        <f>AND(#REF!,"AAAAAH7/Y5o=")</f>
        <v>#REF!</v>
      </c>
      <c r="EZ176" t="e">
        <f>AND(#REF!,"AAAAAH7/Y5s=")</f>
        <v>#REF!</v>
      </c>
      <c r="FA176" t="e">
        <f>AND(#REF!,"AAAAAH7/Y5w=")</f>
        <v>#REF!</v>
      </c>
      <c r="FB176" t="e">
        <f>AND(#REF!,"AAAAAH7/Y50=")</f>
        <v>#REF!</v>
      </c>
      <c r="FC176" t="e">
        <f>AND(#REF!,"AAAAAH7/Y54=")</f>
        <v>#REF!</v>
      </c>
      <c r="FD176" t="e">
        <f>AND(#REF!,"AAAAAH7/Y58=")</f>
        <v>#REF!</v>
      </c>
      <c r="FE176" t="e">
        <f>AND(#REF!,"AAAAAH7/Y6A=")</f>
        <v>#REF!</v>
      </c>
      <c r="FF176" t="e">
        <f>AND(#REF!,"AAAAAH7/Y6E=")</f>
        <v>#REF!</v>
      </c>
      <c r="FG176" t="e">
        <f>AND(#REF!,"AAAAAH7/Y6I=")</f>
        <v>#REF!</v>
      </c>
      <c r="FH176" t="e">
        <f>AND(#REF!,"AAAAAH7/Y6M=")</f>
        <v>#REF!</v>
      </c>
      <c r="FI176" t="e">
        <f>AND(#REF!,"AAAAAH7/Y6Q=")</f>
        <v>#REF!</v>
      </c>
      <c r="FJ176" t="e">
        <f>AND(#REF!,"AAAAAH7/Y6U=")</f>
        <v>#REF!</v>
      </c>
      <c r="FK176" t="e">
        <f>AND(#REF!,"AAAAAH7/Y6Y=")</f>
        <v>#REF!</v>
      </c>
      <c r="FL176" t="e">
        <f>AND(#REF!,"AAAAAH7/Y6c=")</f>
        <v>#REF!</v>
      </c>
      <c r="FM176" t="e">
        <f>AND(#REF!,"AAAAAH7/Y6g=")</f>
        <v>#REF!</v>
      </c>
      <c r="FN176" t="e">
        <f>AND(#REF!,"AAAAAH7/Y6k=")</f>
        <v>#REF!</v>
      </c>
      <c r="FO176" t="e">
        <f>AND(#REF!,"AAAAAH7/Y6o=")</f>
        <v>#REF!</v>
      </c>
      <c r="FP176" t="e">
        <f>AND(#REF!,"AAAAAH7/Y6s=")</f>
        <v>#REF!</v>
      </c>
      <c r="FQ176" t="e">
        <f>AND(#REF!,"AAAAAH7/Y6w=")</f>
        <v>#REF!</v>
      </c>
      <c r="FR176" t="e">
        <f>AND(#REF!,"AAAAAH7/Y60=")</f>
        <v>#REF!</v>
      </c>
      <c r="FS176" t="e">
        <f>AND(#REF!,"AAAAAH7/Y64=")</f>
        <v>#REF!</v>
      </c>
      <c r="FT176" t="e">
        <f>AND(#REF!,"AAAAAH7/Y68=")</f>
        <v>#REF!</v>
      </c>
      <c r="FU176" t="e">
        <f>AND(#REF!,"AAAAAH7/Y7A=")</f>
        <v>#REF!</v>
      </c>
      <c r="FV176" t="e">
        <f>AND(#REF!,"AAAAAH7/Y7E=")</f>
        <v>#REF!</v>
      </c>
      <c r="FW176" t="e">
        <f>AND(#REF!,"AAAAAH7/Y7I=")</f>
        <v>#REF!</v>
      </c>
      <c r="FX176" t="e">
        <f>AND(#REF!,"AAAAAH7/Y7M=")</f>
        <v>#REF!</v>
      </c>
      <c r="FY176" t="e">
        <f>AND(#REF!,"AAAAAH7/Y7Q=")</f>
        <v>#REF!</v>
      </c>
      <c r="FZ176" t="e">
        <f>AND(#REF!,"AAAAAH7/Y7U=")</f>
        <v>#REF!</v>
      </c>
      <c r="GA176" t="e">
        <f>AND(#REF!,"AAAAAH7/Y7Y=")</f>
        <v>#REF!</v>
      </c>
      <c r="GB176" t="e">
        <f>AND(#REF!,"AAAAAH7/Y7c=")</f>
        <v>#REF!</v>
      </c>
      <c r="GC176" t="e">
        <f>AND(#REF!,"AAAAAH7/Y7g=")</f>
        <v>#REF!</v>
      </c>
      <c r="GD176" t="e">
        <f>AND(#REF!,"AAAAAH7/Y7k=")</f>
        <v>#REF!</v>
      </c>
      <c r="GE176" t="e">
        <f>AND(#REF!,"AAAAAH7/Y7o=")</f>
        <v>#REF!</v>
      </c>
      <c r="GF176" t="e">
        <f>AND(#REF!,"AAAAAH7/Y7s=")</f>
        <v>#REF!</v>
      </c>
      <c r="GG176" t="e">
        <f>AND(#REF!,"AAAAAH7/Y7w=")</f>
        <v>#REF!</v>
      </c>
      <c r="GH176" t="e">
        <f>AND(#REF!,"AAAAAH7/Y70=")</f>
        <v>#REF!</v>
      </c>
      <c r="GI176" t="e">
        <f>AND(#REF!,"AAAAAH7/Y74=")</f>
        <v>#REF!</v>
      </c>
      <c r="GJ176" t="e">
        <f>AND(#REF!,"AAAAAH7/Y78=")</f>
        <v>#REF!</v>
      </c>
      <c r="GK176" t="e">
        <f>AND(#REF!,"AAAAAH7/Y8A=")</f>
        <v>#REF!</v>
      </c>
      <c r="GL176" t="e">
        <f>AND(#REF!,"AAAAAH7/Y8E=")</f>
        <v>#REF!</v>
      </c>
      <c r="GM176" t="e">
        <f>AND(#REF!,"AAAAAH7/Y8I=")</f>
        <v>#REF!</v>
      </c>
      <c r="GN176" t="e">
        <f>AND(#REF!,"AAAAAH7/Y8M=")</f>
        <v>#REF!</v>
      </c>
      <c r="GO176" t="e">
        <f>AND(#REF!,"AAAAAH7/Y8Q=")</f>
        <v>#REF!</v>
      </c>
      <c r="GP176" t="e">
        <f>AND(#REF!,"AAAAAH7/Y8U=")</f>
        <v>#REF!</v>
      </c>
      <c r="GQ176" t="e">
        <f>AND(#REF!,"AAAAAH7/Y8Y=")</f>
        <v>#REF!</v>
      </c>
      <c r="GR176" t="e">
        <f>AND(#REF!,"AAAAAH7/Y8c=")</f>
        <v>#REF!</v>
      </c>
      <c r="GS176" t="e">
        <f>AND(#REF!,"AAAAAH7/Y8g=")</f>
        <v>#REF!</v>
      </c>
      <c r="GT176" t="e">
        <f>AND(#REF!,"AAAAAH7/Y8k=")</f>
        <v>#REF!</v>
      </c>
      <c r="GU176" t="e">
        <f>AND(#REF!,"AAAAAH7/Y8o=")</f>
        <v>#REF!</v>
      </c>
      <c r="GV176" t="e">
        <f>AND(#REF!,"AAAAAH7/Y8s=")</f>
        <v>#REF!</v>
      </c>
      <c r="GW176" t="e">
        <f>AND(#REF!,"AAAAAH7/Y8w=")</f>
        <v>#REF!</v>
      </c>
      <c r="GX176" t="e">
        <f>AND(#REF!,"AAAAAH7/Y80=")</f>
        <v>#REF!</v>
      </c>
      <c r="GY176" t="e">
        <f>AND(#REF!,"AAAAAH7/Y84=")</f>
        <v>#REF!</v>
      </c>
      <c r="GZ176" t="e">
        <f>AND(#REF!,"AAAAAH7/Y88=")</f>
        <v>#REF!</v>
      </c>
      <c r="HA176" t="e">
        <f>AND(#REF!,"AAAAAH7/Y9A=")</f>
        <v>#REF!</v>
      </c>
      <c r="HB176" t="e">
        <f>AND(#REF!,"AAAAAH7/Y9E=")</f>
        <v>#REF!</v>
      </c>
      <c r="HC176" t="e">
        <f>AND(#REF!,"AAAAAH7/Y9I=")</f>
        <v>#REF!</v>
      </c>
      <c r="HD176" t="e">
        <f>AND(#REF!,"AAAAAH7/Y9M=")</f>
        <v>#REF!</v>
      </c>
      <c r="HE176" t="e">
        <f>AND(#REF!,"AAAAAH7/Y9Q=")</f>
        <v>#REF!</v>
      </c>
      <c r="HF176" t="e">
        <f>AND(#REF!,"AAAAAH7/Y9U=")</f>
        <v>#REF!</v>
      </c>
      <c r="HG176" t="e">
        <f>AND(#REF!,"AAAAAH7/Y9Y=")</f>
        <v>#REF!</v>
      </c>
      <c r="HH176" t="e">
        <f>AND(#REF!,"AAAAAH7/Y9c=")</f>
        <v>#REF!</v>
      </c>
      <c r="HI176" t="e">
        <f>AND(#REF!,"AAAAAH7/Y9g=")</f>
        <v>#REF!</v>
      </c>
      <c r="HJ176" t="e">
        <f>AND(#REF!,"AAAAAH7/Y9k=")</f>
        <v>#REF!</v>
      </c>
      <c r="HK176" t="e">
        <f>AND(#REF!,"AAAAAH7/Y9o=")</f>
        <v>#REF!</v>
      </c>
      <c r="HL176" t="e">
        <f>AND(#REF!,"AAAAAH7/Y9s=")</f>
        <v>#REF!</v>
      </c>
      <c r="HM176" t="e">
        <f>AND(#REF!,"AAAAAH7/Y9w=")</f>
        <v>#REF!</v>
      </c>
      <c r="HN176" t="e">
        <f>AND(#REF!,"AAAAAH7/Y90=")</f>
        <v>#REF!</v>
      </c>
      <c r="HO176" t="e">
        <f>AND(#REF!,"AAAAAH7/Y94=")</f>
        <v>#REF!</v>
      </c>
      <c r="HP176" t="e">
        <f>AND(#REF!,"AAAAAH7/Y98=")</f>
        <v>#REF!</v>
      </c>
      <c r="HQ176" t="e">
        <f>AND(#REF!,"AAAAAH7/Y+A=")</f>
        <v>#REF!</v>
      </c>
      <c r="HR176" t="e">
        <f>AND(#REF!,"AAAAAH7/Y+E=")</f>
        <v>#REF!</v>
      </c>
      <c r="HS176" t="e">
        <f>AND(#REF!,"AAAAAH7/Y+I=")</f>
        <v>#REF!</v>
      </c>
      <c r="HT176" t="e">
        <f>AND(#REF!,"AAAAAH7/Y+M=")</f>
        <v>#REF!</v>
      </c>
      <c r="HU176" t="e">
        <f>AND(#REF!,"AAAAAH7/Y+Q=")</f>
        <v>#REF!</v>
      </c>
      <c r="HV176" t="e">
        <f>AND(#REF!,"AAAAAH7/Y+U=")</f>
        <v>#REF!</v>
      </c>
      <c r="HW176" t="e">
        <f>AND(#REF!,"AAAAAH7/Y+Y=")</f>
        <v>#REF!</v>
      </c>
      <c r="HX176" t="e">
        <f>AND(#REF!,"AAAAAH7/Y+c=")</f>
        <v>#REF!</v>
      </c>
      <c r="HY176" t="e">
        <f>AND(#REF!,"AAAAAH7/Y+g=")</f>
        <v>#REF!</v>
      </c>
      <c r="HZ176" t="e">
        <f>AND(#REF!,"AAAAAH7/Y+k=")</f>
        <v>#REF!</v>
      </c>
      <c r="IA176" t="e">
        <f>AND(#REF!,"AAAAAH7/Y+o=")</f>
        <v>#REF!</v>
      </c>
      <c r="IB176" t="e">
        <f>AND(#REF!,"AAAAAH7/Y+s=")</f>
        <v>#REF!</v>
      </c>
      <c r="IC176" t="e">
        <f>AND(#REF!,"AAAAAH7/Y+w=")</f>
        <v>#REF!</v>
      </c>
      <c r="ID176" t="e">
        <f>AND(#REF!,"AAAAAH7/Y+0=")</f>
        <v>#REF!</v>
      </c>
      <c r="IE176" t="e">
        <f>AND(#REF!,"AAAAAH7/Y+4=")</f>
        <v>#REF!</v>
      </c>
      <c r="IF176" t="e">
        <f>AND(#REF!,"AAAAAH7/Y+8=")</f>
        <v>#REF!</v>
      </c>
      <c r="IG176" t="e">
        <f>AND(#REF!,"AAAAAH7/Y/A=")</f>
        <v>#REF!</v>
      </c>
      <c r="IH176" t="e">
        <f>AND(#REF!,"AAAAAH7/Y/E=")</f>
        <v>#REF!</v>
      </c>
      <c r="II176" t="e">
        <f>AND(#REF!,"AAAAAH7/Y/I=")</f>
        <v>#REF!</v>
      </c>
      <c r="IJ176" t="e">
        <f>AND(#REF!,"AAAAAH7/Y/M=")</f>
        <v>#REF!</v>
      </c>
      <c r="IK176" t="e">
        <f>AND(#REF!,"AAAAAH7/Y/Q=")</f>
        <v>#REF!</v>
      </c>
      <c r="IL176" t="e">
        <f>AND(#REF!,"AAAAAH7/Y/U=")</f>
        <v>#REF!</v>
      </c>
      <c r="IM176" t="e">
        <f>AND(#REF!,"AAAAAH7/Y/Y=")</f>
        <v>#REF!</v>
      </c>
      <c r="IN176" t="e">
        <f>AND(#REF!,"AAAAAH7/Y/c=")</f>
        <v>#REF!</v>
      </c>
      <c r="IO176" t="e">
        <f>AND(#REF!,"AAAAAH7/Y/g=")</f>
        <v>#REF!</v>
      </c>
      <c r="IP176" t="e">
        <f>AND(#REF!,"AAAAAH7/Y/k=")</f>
        <v>#REF!</v>
      </c>
      <c r="IQ176" t="e">
        <f>AND(#REF!,"AAAAAH7/Y/o=")</f>
        <v>#REF!</v>
      </c>
      <c r="IR176" t="e">
        <f>AND(#REF!,"AAAAAH7/Y/s=")</f>
        <v>#REF!</v>
      </c>
      <c r="IS176" t="e">
        <f>AND(#REF!,"AAAAAH7/Y/w=")</f>
        <v>#REF!</v>
      </c>
      <c r="IT176" t="e">
        <f>AND(#REF!,"AAAAAH7/Y/0=")</f>
        <v>#REF!</v>
      </c>
      <c r="IU176" t="e">
        <f>AND(#REF!,"AAAAAH7/Y/4=")</f>
        <v>#REF!</v>
      </c>
      <c r="IV176" t="e">
        <f>AND(#REF!,"AAAAAH7/Y/8=")</f>
        <v>#REF!</v>
      </c>
    </row>
    <row r="177" spans="1:256">
      <c r="A177" t="e">
        <f>AND(#REF!,"AAAAAHP0/wA=")</f>
        <v>#REF!</v>
      </c>
      <c r="B177" t="e">
        <f>AND(#REF!,"AAAAAHP0/wE=")</f>
        <v>#REF!</v>
      </c>
      <c r="C177" t="e">
        <f>AND(#REF!,"AAAAAHP0/wI=")</f>
        <v>#REF!</v>
      </c>
      <c r="D177" t="e">
        <f>AND(#REF!,"AAAAAHP0/wM=")</f>
        <v>#REF!</v>
      </c>
      <c r="E177" t="e">
        <f>AND(#REF!,"AAAAAHP0/wQ=")</f>
        <v>#REF!</v>
      </c>
      <c r="F177" t="e">
        <f>AND(#REF!,"AAAAAHP0/wU=")</f>
        <v>#REF!</v>
      </c>
      <c r="G177" t="e">
        <f>AND(#REF!,"AAAAAHP0/wY=")</f>
        <v>#REF!</v>
      </c>
      <c r="H177" t="e">
        <f>AND(#REF!,"AAAAAHP0/wc=")</f>
        <v>#REF!</v>
      </c>
      <c r="I177" t="e">
        <f>AND(#REF!,"AAAAAHP0/wg=")</f>
        <v>#REF!</v>
      </c>
      <c r="J177" t="e">
        <f>AND(#REF!,"AAAAAHP0/wk=")</f>
        <v>#REF!</v>
      </c>
      <c r="K177" t="e">
        <f>AND(#REF!,"AAAAAHP0/wo=")</f>
        <v>#REF!</v>
      </c>
      <c r="L177" t="e">
        <f>AND(#REF!,"AAAAAHP0/ws=")</f>
        <v>#REF!</v>
      </c>
      <c r="M177" t="e">
        <f>AND(#REF!,"AAAAAHP0/ww=")</f>
        <v>#REF!</v>
      </c>
      <c r="N177" t="e">
        <f>AND(#REF!,"AAAAAHP0/w0=")</f>
        <v>#REF!</v>
      </c>
      <c r="O177" t="e">
        <f>AND(#REF!,"AAAAAHP0/w4=")</f>
        <v>#REF!</v>
      </c>
      <c r="P177" t="e">
        <f>AND(#REF!,"AAAAAHP0/w8=")</f>
        <v>#REF!</v>
      </c>
      <c r="Q177" t="e">
        <f>AND(#REF!,"AAAAAHP0/xA=")</f>
        <v>#REF!</v>
      </c>
      <c r="R177" t="e">
        <f>AND(#REF!,"AAAAAHP0/xE=")</f>
        <v>#REF!</v>
      </c>
      <c r="S177" t="e">
        <f>AND(#REF!,"AAAAAHP0/xI=")</f>
        <v>#REF!</v>
      </c>
      <c r="T177" t="e">
        <f>AND(#REF!,"AAAAAHP0/xM=")</f>
        <v>#REF!</v>
      </c>
      <c r="U177" t="e">
        <f>AND(#REF!,"AAAAAHP0/xQ=")</f>
        <v>#REF!</v>
      </c>
      <c r="V177" t="e">
        <f>AND(#REF!,"AAAAAHP0/xU=")</f>
        <v>#REF!</v>
      </c>
      <c r="W177" t="e">
        <f>AND(#REF!,"AAAAAHP0/xY=")</f>
        <v>#REF!</v>
      </c>
      <c r="X177" t="e">
        <f>AND(#REF!,"AAAAAHP0/xc=")</f>
        <v>#REF!</v>
      </c>
      <c r="Y177" t="e">
        <f>AND(#REF!,"AAAAAHP0/xg=")</f>
        <v>#REF!</v>
      </c>
      <c r="Z177" t="e">
        <f>AND(#REF!,"AAAAAHP0/xk=")</f>
        <v>#REF!</v>
      </c>
      <c r="AA177" t="e">
        <f>AND(#REF!,"AAAAAHP0/xo=")</f>
        <v>#REF!</v>
      </c>
      <c r="AB177" t="e">
        <f>AND(#REF!,"AAAAAHP0/xs=")</f>
        <v>#REF!</v>
      </c>
      <c r="AC177" t="e">
        <f>AND(#REF!,"AAAAAHP0/xw=")</f>
        <v>#REF!</v>
      </c>
      <c r="AD177" t="e">
        <f>AND(#REF!,"AAAAAHP0/x0=")</f>
        <v>#REF!</v>
      </c>
      <c r="AE177" t="e">
        <f>IF(#REF!,"AAAAAHP0/x4=",0)</f>
        <v>#REF!</v>
      </c>
      <c r="AF177" t="e">
        <f>AND(#REF!,"AAAAAHP0/x8=")</f>
        <v>#REF!</v>
      </c>
      <c r="AG177" t="e">
        <f>AND(#REF!,"AAAAAHP0/yA=")</f>
        <v>#REF!</v>
      </c>
      <c r="AH177" t="e">
        <f>AND(#REF!,"AAAAAHP0/yE=")</f>
        <v>#REF!</v>
      </c>
      <c r="AI177" t="e">
        <f>AND(#REF!,"AAAAAHP0/yI=")</f>
        <v>#REF!</v>
      </c>
      <c r="AJ177" t="e">
        <f>AND(#REF!,"AAAAAHP0/yM=")</f>
        <v>#REF!</v>
      </c>
      <c r="AK177" t="e">
        <f>AND(#REF!,"AAAAAHP0/yQ=")</f>
        <v>#REF!</v>
      </c>
      <c r="AL177" t="e">
        <f>AND(#REF!,"AAAAAHP0/yU=")</f>
        <v>#REF!</v>
      </c>
      <c r="AM177" t="e">
        <f>AND(#REF!,"AAAAAHP0/yY=")</f>
        <v>#REF!</v>
      </c>
      <c r="AN177" t="e">
        <f>AND(#REF!,"AAAAAHP0/yc=")</f>
        <v>#REF!</v>
      </c>
      <c r="AO177" t="e">
        <f>AND(#REF!,"AAAAAHP0/yg=")</f>
        <v>#REF!</v>
      </c>
      <c r="AP177" t="e">
        <f>AND(#REF!,"AAAAAHP0/yk=")</f>
        <v>#REF!</v>
      </c>
      <c r="AQ177" t="e">
        <f>AND(#REF!,"AAAAAHP0/yo=")</f>
        <v>#REF!</v>
      </c>
      <c r="AR177" t="e">
        <f>AND(#REF!,"AAAAAHP0/ys=")</f>
        <v>#REF!</v>
      </c>
      <c r="AS177" t="e">
        <f>AND(#REF!,"AAAAAHP0/yw=")</f>
        <v>#REF!</v>
      </c>
      <c r="AT177" t="e">
        <f>AND(#REF!,"AAAAAHP0/y0=")</f>
        <v>#REF!</v>
      </c>
      <c r="AU177" t="e">
        <f>AND(#REF!,"AAAAAHP0/y4=")</f>
        <v>#REF!</v>
      </c>
      <c r="AV177" t="e">
        <f>AND(#REF!,"AAAAAHP0/y8=")</f>
        <v>#REF!</v>
      </c>
      <c r="AW177" t="e">
        <f>AND(#REF!,"AAAAAHP0/zA=")</f>
        <v>#REF!</v>
      </c>
      <c r="AX177" t="e">
        <f>AND(#REF!,"AAAAAHP0/zE=")</f>
        <v>#REF!</v>
      </c>
      <c r="AY177" t="e">
        <f>AND(#REF!,"AAAAAHP0/zI=")</f>
        <v>#REF!</v>
      </c>
      <c r="AZ177" t="e">
        <f>AND(#REF!,"AAAAAHP0/zM=")</f>
        <v>#REF!</v>
      </c>
      <c r="BA177" t="e">
        <f>AND(#REF!,"AAAAAHP0/zQ=")</f>
        <v>#REF!</v>
      </c>
      <c r="BB177" t="e">
        <f>AND(#REF!,"AAAAAHP0/zU=")</f>
        <v>#REF!</v>
      </c>
      <c r="BC177" t="e">
        <f>AND(#REF!,"AAAAAHP0/zY=")</f>
        <v>#REF!</v>
      </c>
      <c r="BD177" t="e">
        <f>AND(#REF!,"AAAAAHP0/zc=")</f>
        <v>#REF!</v>
      </c>
      <c r="BE177" t="e">
        <f>AND(#REF!,"AAAAAHP0/zg=")</f>
        <v>#REF!</v>
      </c>
      <c r="BF177" t="e">
        <f>AND(#REF!,"AAAAAHP0/zk=")</f>
        <v>#REF!</v>
      </c>
      <c r="BG177" t="e">
        <f>AND(#REF!,"AAAAAHP0/zo=")</f>
        <v>#REF!</v>
      </c>
      <c r="BH177" t="e">
        <f>AND(#REF!,"AAAAAHP0/zs=")</f>
        <v>#REF!</v>
      </c>
      <c r="BI177" t="e">
        <f>AND(#REF!,"AAAAAHP0/zw=")</f>
        <v>#REF!</v>
      </c>
      <c r="BJ177" t="e">
        <f>AND(#REF!,"AAAAAHP0/z0=")</f>
        <v>#REF!</v>
      </c>
      <c r="BK177" t="e">
        <f>AND(#REF!,"AAAAAHP0/z4=")</f>
        <v>#REF!</v>
      </c>
      <c r="BL177" t="e">
        <f>AND(#REF!,"AAAAAHP0/z8=")</f>
        <v>#REF!</v>
      </c>
      <c r="BM177" t="e">
        <f>AND(#REF!,"AAAAAHP0/0A=")</f>
        <v>#REF!</v>
      </c>
      <c r="BN177" t="e">
        <f>AND(#REF!,"AAAAAHP0/0E=")</f>
        <v>#REF!</v>
      </c>
      <c r="BO177" t="e">
        <f>AND(#REF!,"AAAAAHP0/0I=")</f>
        <v>#REF!</v>
      </c>
      <c r="BP177" t="e">
        <f>AND(#REF!,"AAAAAHP0/0M=")</f>
        <v>#REF!</v>
      </c>
      <c r="BQ177" t="e">
        <f>AND(#REF!,"AAAAAHP0/0Q=")</f>
        <v>#REF!</v>
      </c>
      <c r="BR177" t="e">
        <f>AND(#REF!,"AAAAAHP0/0U=")</f>
        <v>#REF!</v>
      </c>
      <c r="BS177" t="e">
        <f>AND(#REF!,"AAAAAHP0/0Y=")</f>
        <v>#REF!</v>
      </c>
      <c r="BT177" t="e">
        <f>AND(#REF!,"AAAAAHP0/0c=")</f>
        <v>#REF!</v>
      </c>
      <c r="BU177" t="e">
        <f>AND(#REF!,"AAAAAHP0/0g=")</f>
        <v>#REF!</v>
      </c>
      <c r="BV177" t="e">
        <f>AND(#REF!,"AAAAAHP0/0k=")</f>
        <v>#REF!</v>
      </c>
      <c r="BW177" t="e">
        <f>AND(#REF!,"AAAAAHP0/0o=")</f>
        <v>#REF!</v>
      </c>
      <c r="BX177" t="e">
        <f>AND(#REF!,"AAAAAHP0/0s=")</f>
        <v>#REF!</v>
      </c>
      <c r="BY177" t="e">
        <f>AND(#REF!,"AAAAAHP0/0w=")</f>
        <v>#REF!</v>
      </c>
      <c r="BZ177" t="e">
        <f>AND(#REF!,"AAAAAHP0/00=")</f>
        <v>#REF!</v>
      </c>
      <c r="CA177" t="e">
        <f>AND(#REF!,"AAAAAHP0/04=")</f>
        <v>#REF!</v>
      </c>
      <c r="CB177" t="e">
        <f>AND(#REF!,"AAAAAHP0/08=")</f>
        <v>#REF!</v>
      </c>
      <c r="CC177" t="e">
        <f>AND(#REF!,"AAAAAHP0/1A=")</f>
        <v>#REF!</v>
      </c>
      <c r="CD177" t="e">
        <f>AND(#REF!,"AAAAAHP0/1E=")</f>
        <v>#REF!</v>
      </c>
      <c r="CE177" t="e">
        <f>AND(#REF!,"AAAAAHP0/1I=")</f>
        <v>#REF!</v>
      </c>
      <c r="CF177" t="e">
        <f>AND(#REF!,"AAAAAHP0/1M=")</f>
        <v>#REF!</v>
      </c>
      <c r="CG177" t="e">
        <f>AND(#REF!,"AAAAAHP0/1Q=")</f>
        <v>#REF!</v>
      </c>
      <c r="CH177" t="e">
        <f>AND(#REF!,"AAAAAHP0/1U=")</f>
        <v>#REF!</v>
      </c>
      <c r="CI177" t="e">
        <f>AND(#REF!,"AAAAAHP0/1Y=")</f>
        <v>#REF!</v>
      </c>
      <c r="CJ177" t="e">
        <f>AND(#REF!,"AAAAAHP0/1c=")</f>
        <v>#REF!</v>
      </c>
      <c r="CK177" t="e">
        <f>AND(#REF!,"AAAAAHP0/1g=")</f>
        <v>#REF!</v>
      </c>
      <c r="CL177" t="e">
        <f>AND(#REF!,"AAAAAHP0/1k=")</f>
        <v>#REF!</v>
      </c>
      <c r="CM177" t="e">
        <f>AND(#REF!,"AAAAAHP0/1o=")</f>
        <v>#REF!</v>
      </c>
      <c r="CN177" t="e">
        <f>AND(#REF!,"AAAAAHP0/1s=")</f>
        <v>#REF!</v>
      </c>
      <c r="CO177" t="e">
        <f>AND(#REF!,"AAAAAHP0/1w=")</f>
        <v>#REF!</v>
      </c>
      <c r="CP177" t="e">
        <f>AND(#REF!,"AAAAAHP0/10=")</f>
        <v>#REF!</v>
      </c>
      <c r="CQ177" t="e">
        <f>AND(#REF!,"AAAAAHP0/14=")</f>
        <v>#REF!</v>
      </c>
      <c r="CR177" t="e">
        <f>AND(#REF!,"AAAAAHP0/18=")</f>
        <v>#REF!</v>
      </c>
      <c r="CS177" t="e">
        <f>AND(#REF!,"AAAAAHP0/2A=")</f>
        <v>#REF!</v>
      </c>
      <c r="CT177" t="e">
        <f>AND(#REF!,"AAAAAHP0/2E=")</f>
        <v>#REF!</v>
      </c>
      <c r="CU177" t="e">
        <f>AND(#REF!,"AAAAAHP0/2I=")</f>
        <v>#REF!</v>
      </c>
      <c r="CV177" t="e">
        <f>AND(#REF!,"AAAAAHP0/2M=")</f>
        <v>#REF!</v>
      </c>
      <c r="CW177" t="e">
        <f>AND(#REF!,"AAAAAHP0/2Q=")</f>
        <v>#REF!</v>
      </c>
      <c r="CX177" t="e">
        <f>AND(#REF!,"AAAAAHP0/2U=")</f>
        <v>#REF!</v>
      </c>
      <c r="CY177" t="e">
        <f>AND(#REF!,"AAAAAHP0/2Y=")</f>
        <v>#REF!</v>
      </c>
      <c r="CZ177" t="e">
        <f>AND(#REF!,"AAAAAHP0/2c=")</f>
        <v>#REF!</v>
      </c>
      <c r="DA177" t="e">
        <f>AND(#REF!,"AAAAAHP0/2g=")</f>
        <v>#REF!</v>
      </c>
      <c r="DB177" t="e">
        <f>AND(#REF!,"AAAAAHP0/2k=")</f>
        <v>#REF!</v>
      </c>
      <c r="DC177" t="e">
        <f>AND(#REF!,"AAAAAHP0/2o=")</f>
        <v>#REF!</v>
      </c>
      <c r="DD177" t="e">
        <f>AND(#REF!,"AAAAAHP0/2s=")</f>
        <v>#REF!</v>
      </c>
      <c r="DE177" t="e">
        <f>AND(#REF!,"AAAAAHP0/2w=")</f>
        <v>#REF!</v>
      </c>
      <c r="DF177" t="e">
        <f>AND(#REF!,"AAAAAHP0/20=")</f>
        <v>#REF!</v>
      </c>
      <c r="DG177" t="e">
        <f>AND(#REF!,"AAAAAHP0/24=")</f>
        <v>#REF!</v>
      </c>
      <c r="DH177" t="e">
        <f>AND(#REF!,"AAAAAHP0/28=")</f>
        <v>#REF!</v>
      </c>
      <c r="DI177" t="e">
        <f>AND(#REF!,"AAAAAHP0/3A=")</f>
        <v>#REF!</v>
      </c>
      <c r="DJ177" t="e">
        <f>AND(#REF!,"AAAAAHP0/3E=")</f>
        <v>#REF!</v>
      </c>
      <c r="DK177" t="e">
        <f>AND(#REF!,"AAAAAHP0/3I=")</f>
        <v>#REF!</v>
      </c>
      <c r="DL177" t="e">
        <f>AND(#REF!,"AAAAAHP0/3M=")</f>
        <v>#REF!</v>
      </c>
      <c r="DM177" t="e">
        <f>AND(#REF!,"AAAAAHP0/3Q=")</f>
        <v>#REF!</v>
      </c>
      <c r="DN177" t="e">
        <f>AND(#REF!,"AAAAAHP0/3U=")</f>
        <v>#REF!</v>
      </c>
      <c r="DO177" t="e">
        <f>AND(#REF!,"AAAAAHP0/3Y=")</f>
        <v>#REF!</v>
      </c>
      <c r="DP177" t="e">
        <f>AND(#REF!,"AAAAAHP0/3c=")</f>
        <v>#REF!</v>
      </c>
      <c r="DQ177" t="e">
        <f>AND(#REF!,"AAAAAHP0/3g=")</f>
        <v>#REF!</v>
      </c>
      <c r="DR177" t="e">
        <f>AND(#REF!,"AAAAAHP0/3k=")</f>
        <v>#REF!</v>
      </c>
      <c r="DS177" t="e">
        <f>AND(#REF!,"AAAAAHP0/3o=")</f>
        <v>#REF!</v>
      </c>
      <c r="DT177" t="e">
        <f>AND(#REF!,"AAAAAHP0/3s=")</f>
        <v>#REF!</v>
      </c>
      <c r="DU177" t="e">
        <f>AND(#REF!,"AAAAAHP0/3w=")</f>
        <v>#REF!</v>
      </c>
      <c r="DV177" t="e">
        <f>AND(#REF!,"AAAAAHP0/30=")</f>
        <v>#REF!</v>
      </c>
      <c r="DW177" t="e">
        <f>AND(#REF!,"AAAAAHP0/34=")</f>
        <v>#REF!</v>
      </c>
      <c r="DX177" t="e">
        <f>AND(#REF!,"AAAAAHP0/38=")</f>
        <v>#REF!</v>
      </c>
      <c r="DY177" t="e">
        <f>AND(#REF!,"AAAAAHP0/4A=")</f>
        <v>#REF!</v>
      </c>
      <c r="DZ177" t="e">
        <f>AND(#REF!,"AAAAAHP0/4E=")</f>
        <v>#REF!</v>
      </c>
      <c r="EA177" t="e">
        <f>AND(#REF!,"AAAAAHP0/4I=")</f>
        <v>#REF!</v>
      </c>
      <c r="EB177" t="e">
        <f>AND(#REF!,"AAAAAHP0/4M=")</f>
        <v>#REF!</v>
      </c>
      <c r="EC177" t="e">
        <f>AND(#REF!,"AAAAAHP0/4Q=")</f>
        <v>#REF!</v>
      </c>
      <c r="ED177" t="e">
        <f>AND(#REF!,"AAAAAHP0/4U=")</f>
        <v>#REF!</v>
      </c>
      <c r="EE177" t="e">
        <f>AND(#REF!,"AAAAAHP0/4Y=")</f>
        <v>#REF!</v>
      </c>
      <c r="EF177" t="e">
        <f>AND(#REF!,"AAAAAHP0/4c=")</f>
        <v>#REF!</v>
      </c>
      <c r="EG177" t="e">
        <f>AND(#REF!,"AAAAAHP0/4g=")</f>
        <v>#REF!</v>
      </c>
      <c r="EH177" t="e">
        <f>AND(#REF!,"AAAAAHP0/4k=")</f>
        <v>#REF!</v>
      </c>
      <c r="EI177" t="e">
        <f>AND(#REF!,"AAAAAHP0/4o=")</f>
        <v>#REF!</v>
      </c>
      <c r="EJ177" t="e">
        <f>AND(#REF!,"AAAAAHP0/4s=")</f>
        <v>#REF!</v>
      </c>
      <c r="EK177" t="e">
        <f>AND(#REF!,"AAAAAHP0/4w=")</f>
        <v>#REF!</v>
      </c>
      <c r="EL177" t="e">
        <f>AND(#REF!,"AAAAAHP0/40=")</f>
        <v>#REF!</v>
      </c>
      <c r="EM177" t="e">
        <f>AND(#REF!,"AAAAAHP0/44=")</f>
        <v>#REF!</v>
      </c>
      <c r="EN177" t="e">
        <f>AND(#REF!,"AAAAAHP0/48=")</f>
        <v>#REF!</v>
      </c>
      <c r="EO177" t="e">
        <f>AND(#REF!,"AAAAAHP0/5A=")</f>
        <v>#REF!</v>
      </c>
      <c r="EP177" t="e">
        <f>AND(#REF!,"AAAAAHP0/5E=")</f>
        <v>#REF!</v>
      </c>
      <c r="EQ177" t="e">
        <f>AND(#REF!,"AAAAAHP0/5I=")</f>
        <v>#REF!</v>
      </c>
      <c r="ER177" t="e">
        <f>AND(#REF!,"AAAAAHP0/5M=")</f>
        <v>#REF!</v>
      </c>
      <c r="ES177" t="e">
        <f>AND(#REF!,"AAAAAHP0/5Q=")</f>
        <v>#REF!</v>
      </c>
      <c r="ET177" t="e">
        <f>AND(#REF!,"AAAAAHP0/5U=")</f>
        <v>#REF!</v>
      </c>
      <c r="EU177" t="e">
        <f>AND(#REF!,"AAAAAHP0/5Y=")</f>
        <v>#REF!</v>
      </c>
      <c r="EV177" t="e">
        <f>AND(#REF!,"AAAAAHP0/5c=")</f>
        <v>#REF!</v>
      </c>
      <c r="EW177" t="e">
        <f>AND(#REF!,"AAAAAHP0/5g=")</f>
        <v>#REF!</v>
      </c>
      <c r="EX177" t="e">
        <f>AND(#REF!,"AAAAAHP0/5k=")</f>
        <v>#REF!</v>
      </c>
      <c r="EY177" t="e">
        <f>AND(#REF!,"AAAAAHP0/5o=")</f>
        <v>#REF!</v>
      </c>
      <c r="EZ177" t="e">
        <f>AND(#REF!,"AAAAAHP0/5s=")</f>
        <v>#REF!</v>
      </c>
      <c r="FA177" t="e">
        <f>AND(#REF!,"AAAAAHP0/5w=")</f>
        <v>#REF!</v>
      </c>
      <c r="FB177" t="e">
        <f>AND(#REF!,"AAAAAHP0/50=")</f>
        <v>#REF!</v>
      </c>
      <c r="FC177" t="e">
        <f>AND(#REF!,"AAAAAHP0/54=")</f>
        <v>#REF!</v>
      </c>
      <c r="FD177" t="e">
        <f>AND(#REF!,"AAAAAHP0/58=")</f>
        <v>#REF!</v>
      </c>
      <c r="FE177" t="e">
        <f>AND(#REF!,"AAAAAHP0/6A=")</f>
        <v>#REF!</v>
      </c>
      <c r="FF177" t="e">
        <f>AND(#REF!,"AAAAAHP0/6E=")</f>
        <v>#REF!</v>
      </c>
      <c r="FG177" t="e">
        <f>AND(#REF!,"AAAAAHP0/6I=")</f>
        <v>#REF!</v>
      </c>
      <c r="FH177" t="e">
        <f>AND(#REF!,"AAAAAHP0/6M=")</f>
        <v>#REF!</v>
      </c>
      <c r="FI177" t="e">
        <f>AND(#REF!,"AAAAAHP0/6Q=")</f>
        <v>#REF!</v>
      </c>
      <c r="FJ177" t="e">
        <f>AND(#REF!,"AAAAAHP0/6U=")</f>
        <v>#REF!</v>
      </c>
      <c r="FK177" t="e">
        <f>AND(#REF!,"AAAAAHP0/6Y=")</f>
        <v>#REF!</v>
      </c>
      <c r="FL177" t="e">
        <f>AND(#REF!,"AAAAAHP0/6c=")</f>
        <v>#REF!</v>
      </c>
      <c r="FM177" t="e">
        <f>AND(#REF!,"AAAAAHP0/6g=")</f>
        <v>#REF!</v>
      </c>
      <c r="FN177" t="e">
        <f>AND(#REF!,"AAAAAHP0/6k=")</f>
        <v>#REF!</v>
      </c>
      <c r="FO177" t="e">
        <f>AND(#REF!,"AAAAAHP0/6o=")</f>
        <v>#REF!</v>
      </c>
      <c r="FP177" t="e">
        <f>AND(#REF!,"AAAAAHP0/6s=")</f>
        <v>#REF!</v>
      </c>
      <c r="FQ177" t="e">
        <f>AND(#REF!,"AAAAAHP0/6w=")</f>
        <v>#REF!</v>
      </c>
      <c r="FR177" t="e">
        <f>AND(#REF!,"AAAAAHP0/60=")</f>
        <v>#REF!</v>
      </c>
      <c r="FS177" t="e">
        <f>AND(#REF!,"AAAAAHP0/64=")</f>
        <v>#REF!</v>
      </c>
      <c r="FT177" t="e">
        <f>AND(#REF!,"AAAAAHP0/68=")</f>
        <v>#REF!</v>
      </c>
      <c r="FU177" t="e">
        <f>AND(#REF!,"AAAAAHP0/7A=")</f>
        <v>#REF!</v>
      </c>
      <c r="FV177" t="e">
        <f>AND(#REF!,"AAAAAHP0/7E=")</f>
        <v>#REF!</v>
      </c>
      <c r="FW177" t="e">
        <f>AND(#REF!,"AAAAAHP0/7I=")</f>
        <v>#REF!</v>
      </c>
      <c r="FX177" t="e">
        <f>AND(#REF!,"AAAAAHP0/7M=")</f>
        <v>#REF!</v>
      </c>
      <c r="FY177" t="e">
        <f>AND(#REF!,"AAAAAHP0/7Q=")</f>
        <v>#REF!</v>
      </c>
      <c r="FZ177" t="e">
        <f>AND(#REF!,"AAAAAHP0/7U=")</f>
        <v>#REF!</v>
      </c>
      <c r="GA177" t="e">
        <f>AND(#REF!,"AAAAAHP0/7Y=")</f>
        <v>#REF!</v>
      </c>
      <c r="GB177" t="e">
        <f>AND(#REF!,"AAAAAHP0/7c=")</f>
        <v>#REF!</v>
      </c>
      <c r="GC177" t="e">
        <f>AND(#REF!,"AAAAAHP0/7g=")</f>
        <v>#REF!</v>
      </c>
      <c r="GD177" t="e">
        <f>AND(#REF!,"AAAAAHP0/7k=")</f>
        <v>#REF!</v>
      </c>
      <c r="GE177" t="e">
        <f>AND(#REF!,"AAAAAHP0/7o=")</f>
        <v>#REF!</v>
      </c>
      <c r="GF177" t="e">
        <f>AND(#REF!,"AAAAAHP0/7s=")</f>
        <v>#REF!</v>
      </c>
      <c r="GG177" t="e">
        <f>AND(#REF!,"AAAAAHP0/7w=")</f>
        <v>#REF!</v>
      </c>
      <c r="GH177" t="e">
        <f>AND(#REF!,"AAAAAHP0/70=")</f>
        <v>#REF!</v>
      </c>
      <c r="GI177" t="e">
        <f>AND(#REF!,"AAAAAHP0/74=")</f>
        <v>#REF!</v>
      </c>
      <c r="GJ177" t="e">
        <f>AND(#REF!,"AAAAAHP0/78=")</f>
        <v>#REF!</v>
      </c>
      <c r="GK177" t="e">
        <f>AND(#REF!,"AAAAAHP0/8A=")</f>
        <v>#REF!</v>
      </c>
      <c r="GL177" t="e">
        <f>AND(#REF!,"AAAAAHP0/8E=")</f>
        <v>#REF!</v>
      </c>
      <c r="GM177" t="e">
        <f>AND(#REF!,"AAAAAHP0/8I=")</f>
        <v>#REF!</v>
      </c>
      <c r="GN177" t="e">
        <f>AND(#REF!,"AAAAAHP0/8M=")</f>
        <v>#REF!</v>
      </c>
      <c r="GO177" t="e">
        <f>AND(#REF!,"AAAAAHP0/8Q=")</f>
        <v>#REF!</v>
      </c>
      <c r="GP177" t="e">
        <f>AND(#REF!,"AAAAAHP0/8U=")</f>
        <v>#REF!</v>
      </c>
      <c r="GQ177" t="e">
        <f>AND(#REF!,"AAAAAHP0/8Y=")</f>
        <v>#REF!</v>
      </c>
      <c r="GR177" t="e">
        <f>AND(#REF!,"AAAAAHP0/8c=")</f>
        <v>#REF!</v>
      </c>
      <c r="GS177" t="e">
        <f>AND(#REF!,"AAAAAHP0/8g=")</f>
        <v>#REF!</v>
      </c>
      <c r="GT177" t="e">
        <f>AND(#REF!,"AAAAAHP0/8k=")</f>
        <v>#REF!</v>
      </c>
      <c r="GU177" t="e">
        <f>AND(#REF!,"AAAAAHP0/8o=")</f>
        <v>#REF!</v>
      </c>
      <c r="GV177" t="e">
        <f>AND(#REF!,"AAAAAHP0/8s=")</f>
        <v>#REF!</v>
      </c>
      <c r="GW177" t="e">
        <f>AND(#REF!,"AAAAAHP0/8w=")</f>
        <v>#REF!</v>
      </c>
      <c r="GX177" t="e">
        <f>AND(#REF!,"AAAAAHP0/80=")</f>
        <v>#REF!</v>
      </c>
      <c r="GY177" t="e">
        <f>AND(#REF!,"AAAAAHP0/84=")</f>
        <v>#REF!</v>
      </c>
      <c r="GZ177" t="e">
        <f>AND(#REF!,"AAAAAHP0/88=")</f>
        <v>#REF!</v>
      </c>
      <c r="HA177" t="e">
        <f>AND(#REF!,"AAAAAHP0/9A=")</f>
        <v>#REF!</v>
      </c>
      <c r="HB177" t="e">
        <f>AND(#REF!,"AAAAAHP0/9E=")</f>
        <v>#REF!</v>
      </c>
      <c r="HC177" t="e">
        <f>AND(#REF!,"AAAAAHP0/9I=")</f>
        <v>#REF!</v>
      </c>
      <c r="HD177" t="e">
        <f>AND(#REF!,"AAAAAHP0/9M=")</f>
        <v>#REF!</v>
      </c>
      <c r="HE177" t="e">
        <f>AND(#REF!,"AAAAAHP0/9Q=")</f>
        <v>#REF!</v>
      </c>
      <c r="HF177" t="e">
        <f>AND(#REF!,"AAAAAHP0/9U=")</f>
        <v>#REF!</v>
      </c>
      <c r="HG177" t="e">
        <f>AND(#REF!,"AAAAAHP0/9Y=")</f>
        <v>#REF!</v>
      </c>
      <c r="HH177" t="e">
        <f>AND(#REF!,"AAAAAHP0/9c=")</f>
        <v>#REF!</v>
      </c>
      <c r="HI177" t="e">
        <f>AND(#REF!,"AAAAAHP0/9g=")</f>
        <v>#REF!</v>
      </c>
      <c r="HJ177" t="e">
        <f>AND(#REF!,"AAAAAHP0/9k=")</f>
        <v>#REF!</v>
      </c>
      <c r="HK177" t="e">
        <f>AND(#REF!,"AAAAAHP0/9o=")</f>
        <v>#REF!</v>
      </c>
      <c r="HL177" t="e">
        <f>AND(#REF!,"AAAAAHP0/9s=")</f>
        <v>#REF!</v>
      </c>
      <c r="HM177" t="e">
        <f>AND(#REF!,"AAAAAHP0/9w=")</f>
        <v>#REF!</v>
      </c>
      <c r="HN177" t="e">
        <f>AND(#REF!,"AAAAAHP0/90=")</f>
        <v>#REF!</v>
      </c>
      <c r="HO177" t="e">
        <f>AND(#REF!,"AAAAAHP0/94=")</f>
        <v>#REF!</v>
      </c>
      <c r="HP177" t="e">
        <f>AND(#REF!,"AAAAAHP0/98=")</f>
        <v>#REF!</v>
      </c>
      <c r="HQ177" t="e">
        <f>AND(#REF!,"AAAAAHP0/+A=")</f>
        <v>#REF!</v>
      </c>
      <c r="HR177" t="e">
        <f>AND(#REF!,"AAAAAHP0/+E=")</f>
        <v>#REF!</v>
      </c>
      <c r="HS177" t="e">
        <f>AND(#REF!,"AAAAAHP0/+I=")</f>
        <v>#REF!</v>
      </c>
      <c r="HT177" t="e">
        <f>AND(#REF!,"AAAAAHP0/+M=")</f>
        <v>#REF!</v>
      </c>
      <c r="HU177" t="e">
        <f>AND(#REF!,"AAAAAHP0/+Q=")</f>
        <v>#REF!</v>
      </c>
      <c r="HV177" t="e">
        <f>AND(#REF!,"AAAAAHP0/+U=")</f>
        <v>#REF!</v>
      </c>
      <c r="HW177" t="e">
        <f>AND(#REF!,"AAAAAHP0/+Y=")</f>
        <v>#REF!</v>
      </c>
      <c r="HX177" t="e">
        <f>AND(#REF!,"AAAAAHP0/+c=")</f>
        <v>#REF!</v>
      </c>
      <c r="HY177" t="e">
        <f>AND(#REF!,"AAAAAHP0/+g=")</f>
        <v>#REF!</v>
      </c>
      <c r="HZ177" t="e">
        <f>AND(#REF!,"AAAAAHP0/+k=")</f>
        <v>#REF!</v>
      </c>
      <c r="IA177" t="e">
        <f>AND(#REF!,"AAAAAHP0/+o=")</f>
        <v>#REF!</v>
      </c>
      <c r="IB177" t="e">
        <f>AND(#REF!,"AAAAAHP0/+s=")</f>
        <v>#REF!</v>
      </c>
      <c r="IC177" t="e">
        <f>AND(#REF!,"AAAAAHP0/+w=")</f>
        <v>#REF!</v>
      </c>
      <c r="ID177" t="e">
        <f>AND(#REF!,"AAAAAHP0/+0=")</f>
        <v>#REF!</v>
      </c>
      <c r="IE177" t="e">
        <f>AND(#REF!,"AAAAAHP0/+4=")</f>
        <v>#REF!</v>
      </c>
      <c r="IF177" t="e">
        <f>AND(#REF!,"AAAAAHP0/+8=")</f>
        <v>#REF!</v>
      </c>
      <c r="IG177" t="e">
        <f>AND(#REF!,"AAAAAHP0//A=")</f>
        <v>#REF!</v>
      </c>
      <c r="IH177" t="e">
        <f>AND(#REF!,"AAAAAHP0//E=")</f>
        <v>#REF!</v>
      </c>
      <c r="II177" t="e">
        <f>AND(#REF!,"AAAAAHP0//I=")</f>
        <v>#REF!</v>
      </c>
      <c r="IJ177" t="e">
        <f>AND(#REF!,"AAAAAHP0//M=")</f>
        <v>#REF!</v>
      </c>
      <c r="IK177" t="e">
        <f>AND(#REF!,"AAAAAHP0//Q=")</f>
        <v>#REF!</v>
      </c>
      <c r="IL177" t="e">
        <f>AND(#REF!,"AAAAAHP0//U=")</f>
        <v>#REF!</v>
      </c>
      <c r="IM177" t="e">
        <f>AND(#REF!,"AAAAAHP0//Y=")</f>
        <v>#REF!</v>
      </c>
      <c r="IN177" t="e">
        <f>AND(#REF!,"AAAAAHP0//c=")</f>
        <v>#REF!</v>
      </c>
      <c r="IO177" t="e">
        <f>AND(#REF!,"AAAAAHP0//g=")</f>
        <v>#REF!</v>
      </c>
      <c r="IP177" t="e">
        <f>AND(#REF!,"AAAAAHP0//k=")</f>
        <v>#REF!</v>
      </c>
      <c r="IQ177" t="e">
        <f>AND(#REF!,"AAAAAHP0//o=")</f>
        <v>#REF!</v>
      </c>
      <c r="IR177" t="e">
        <f>AND(#REF!,"AAAAAHP0//s=")</f>
        <v>#REF!</v>
      </c>
      <c r="IS177" t="e">
        <f>AND(#REF!,"AAAAAHP0//w=")</f>
        <v>#REF!</v>
      </c>
      <c r="IT177" t="e">
        <f>AND(#REF!,"AAAAAHP0//0=")</f>
        <v>#REF!</v>
      </c>
      <c r="IU177" t="e">
        <f>AND(#REF!,"AAAAAHP0//4=")</f>
        <v>#REF!</v>
      </c>
      <c r="IV177" t="e">
        <f>AND(#REF!,"AAAAAHP0//8=")</f>
        <v>#REF!</v>
      </c>
    </row>
    <row r="178" spans="1:256">
      <c r="A178" t="e">
        <f>AND(#REF!,"AAAAAAr/8QA=")</f>
        <v>#REF!</v>
      </c>
      <c r="B178" t="e">
        <f>AND(#REF!,"AAAAAAr/8QE=")</f>
        <v>#REF!</v>
      </c>
      <c r="C178" t="e">
        <f>IF(#REF!,"AAAAAAr/8QI=",0)</f>
        <v>#REF!</v>
      </c>
      <c r="D178" t="e">
        <f>AND(#REF!,"AAAAAAr/8QM=")</f>
        <v>#REF!</v>
      </c>
      <c r="E178" t="e">
        <f>AND(#REF!,"AAAAAAr/8QQ=")</f>
        <v>#REF!</v>
      </c>
      <c r="F178" t="e">
        <f>AND(#REF!,"AAAAAAr/8QU=")</f>
        <v>#REF!</v>
      </c>
      <c r="G178" t="e">
        <f>AND(#REF!,"AAAAAAr/8QY=")</f>
        <v>#REF!</v>
      </c>
      <c r="H178" t="e">
        <f>AND(#REF!,"AAAAAAr/8Qc=")</f>
        <v>#REF!</v>
      </c>
      <c r="I178" t="e">
        <f>AND(#REF!,"AAAAAAr/8Qg=")</f>
        <v>#REF!</v>
      </c>
      <c r="J178" t="e">
        <f>AND(#REF!,"AAAAAAr/8Qk=")</f>
        <v>#REF!</v>
      </c>
      <c r="K178" t="e">
        <f>AND(#REF!,"AAAAAAr/8Qo=")</f>
        <v>#REF!</v>
      </c>
      <c r="L178" t="e">
        <f>AND(#REF!,"AAAAAAr/8Qs=")</f>
        <v>#REF!</v>
      </c>
      <c r="M178" t="e">
        <f>AND(#REF!,"AAAAAAr/8Qw=")</f>
        <v>#REF!</v>
      </c>
      <c r="N178" t="e">
        <f>AND(#REF!,"AAAAAAr/8Q0=")</f>
        <v>#REF!</v>
      </c>
      <c r="O178" t="e">
        <f>AND(#REF!,"AAAAAAr/8Q4=")</f>
        <v>#REF!</v>
      </c>
      <c r="P178" t="e">
        <f>AND(#REF!,"AAAAAAr/8Q8=")</f>
        <v>#REF!</v>
      </c>
      <c r="Q178" t="e">
        <f>AND(#REF!,"AAAAAAr/8RA=")</f>
        <v>#REF!</v>
      </c>
      <c r="R178" t="e">
        <f>AND(#REF!,"AAAAAAr/8RE=")</f>
        <v>#REF!</v>
      </c>
      <c r="S178" t="e">
        <f>AND(#REF!,"AAAAAAr/8RI=")</f>
        <v>#REF!</v>
      </c>
      <c r="T178" t="e">
        <f>AND(#REF!,"AAAAAAr/8RM=")</f>
        <v>#REF!</v>
      </c>
      <c r="U178" t="e">
        <f>AND(#REF!,"AAAAAAr/8RQ=")</f>
        <v>#REF!</v>
      </c>
      <c r="V178" t="e">
        <f>AND(#REF!,"AAAAAAr/8RU=")</f>
        <v>#REF!</v>
      </c>
      <c r="W178" t="e">
        <f>AND(#REF!,"AAAAAAr/8RY=")</f>
        <v>#REF!</v>
      </c>
      <c r="X178" t="e">
        <f>AND(#REF!,"AAAAAAr/8Rc=")</f>
        <v>#REF!</v>
      </c>
      <c r="Y178" t="e">
        <f>AND(#REF!,"AAAAAAr/8Rg=")</f>
        <v>#REF!</v>
      </c>
      <c r="Z178" t="e">
        <f>AND(#REF!,"AAAAAAr/8Rk=")</f>
        <v>#REF!</v>
      </c>
      <c r="AA178" t="e">
        <f>AND(#REF!,"AAAAAAr/8Ro=")</f>
        <v>#REF!</v>
      </c>
      <c r="AB178" t="e">
        <f>AND(#REF!,"AAAAAAr/8Rs=")</f>
        <v>#REF!</v>
      </c>
      <c r="AC178" t="e">
        <f>AND(#REF!,"AAAAAAr/8Rw=")</f>
        <v>#REF!</v>
      </c>
      <c r="AD178" t="e">
        <f>AND(#REF!,"AAAAAAr/8R0=")</f>
        <v>#REF!</v>
      </c>
      <c r="AE178" t="e">
        <f>AND(#REF!,"AAAAAAr/8R4=")</f>
        <v>#REF!</v>
      </c>
      <c r="AF178" t="e">
        <f>AND(#REF!,"AAAAAAr/8R8=")</f>
        <v>#REF!</v>
      </c>
      <c r="AG178" t="e">
        <f>AND(#REF!,"AAAAAAr/8SA=")</f>
        <v>#REF!</v>
      </c>
      <c r="AH178" t="e">
        <f>AND(#REF!,"AAAAAAr/8SE=")</f>
        <v>#REF!</v>
      </c>
      <c r="AI178" t="e">
        <f>AND(#REF!,"AAAAAAr/8SI=")</f>
        <v>#REF!</v>
      </c>
      <c r="AJ178" t="e">
        <f>AND(#REF!,"AAAAAAr/8SM=")</f>
        <v>#REF!</v>
      </c>
      <c r="AK178" t="e">
        <f>AND(#REF!,"AAAAAAr/8SQ=")</f>
        <v>#REF!</v>
      </c>
      <c r="AL178" t="e">
        <f>AND(#REF!,"AAAAAAr/8SU=")</f>
        <v>#REF!</v>
      </c>
      <c r="AM178" t="e">
        <f>AND(#REF!,"AAAAAAr/8SY=")</f>
        <v>#REF!</v>
      </c>
      <c r="AN178" t="e">
        <f>AND(#REF!,"AAAAAAr/8Sc=")</f>
        <v>#REF!</v>
      </c>
      <c r="AO178" t="e">
        <f>AND(#REF!,"AAAAAAr/8Sg=")</f>
        <v>#REF!</v>
      </c>
      <c r="AP178" t="e">
        <f>AND(#REF!,"AAAAAAr/8Sk=")</f>
        <v>#REF!</v>
      </c>
      <c r="AQ178" t="e">
        <f>AND(#REF!,"AAAAAAr/8So=")</f>
        <v>#REF!</v>
      </c>
      <c r="AR178" t="e">
        <f>AND(#REF!,"AAAAAAr/8Ss=")</f>
        <v>#REF!</v>
      </c>
      <c r="AS178" t="e">
        <f>AND(#REF!,"AAAAAAr/8Sw=")</f>
        <v>#REF!</v>
      </c>
      <c r="AT178" t="e">
        <f>AND(#REF!,"AAAAAAr/8S0=")</f>
        <v>#REF!</v>
      </c>
      <c r="AU178" t="e">
        <f>AND(#REF!,"AAAAAAr/8S4=")</f>
        <v>#REF!</v>
      </c>
      <c r="AV178" t="e">
        <f>AND(#REF!,"AAAAAAr/8S8=")</f>
        <v>#REF!</v>
      </c>
      <c r="AW178" t="e">
        <f>AND(#REF!,"AAAAAAr/8TA=")</f>
        <v>#REF!</v>
      </c>
      <c r="AX178" t="e">
        <f>AND(#REF!,"AAAAAAr/8TE=")</f>
        <v>#REF!</v>
      </c>
      <c r="AY178" t="e">
        <f>AND(#REF!,"AAAAAAr/8TI=")</f>
        <v>#REF!</v>
      </c>
      <c r="AZ178" t="e">
        <f>AND(#REF!,"AAAAAAr/8TM=")</f>
        <v>#REF!</v>
      </c>
      <c r="BA178" t="e">
        <f>AND(#REF!,"AAAAAAr/8TQ=")</f>
        <v>#REF!</v>
      </c>
      <c r="BB178" t="e">
        <f>AND(#REF!,"AAAAAAr/8TU=")</f>
        <v>#REF!</v>
      </c>
      <c r="BC178" t="e">
        <f>AND(#REF!,"AAAAAAr/8TY=")</f>
        <v>#REF!</v>
      </c>
      <c r="BD178" t="e">
        <f>AND(#REF!,"AAAAAAr/8Tc=")</f>
        <v>#REF!</v>
      </c>
      <c r="BE178" t="e">
        <f>AND(#REF!,"AAAAAAr/8Tg=")</f>
        <v>#REF!</v>
      </c>
      <c r="BF178" t="e">
        <f>AND(#REF!,"AAAAAAr/8Tk=")</f>
        <v>#REF!</v>
      </c>
      <c r="BG178" t="e">
        <f>AND(#REF!,"AAAAAAr/8To=")</f>
        <v>#REF!</v>
      </c>
      <c r="BH178" t="e">
        <f>AND(#REF!,"AAAAAAr/8Ts=")</f>
        <v>#REF!</v>
      </c>
      <c r="BI178" t="e">
        <f>AND(#REF!,"AAAAAAr/8Tw=")</f>
        <v>#REF!</v>
      </c>
      <c r="BJ178" t="e">
        <f>AND(#REF!,"AAAAAAr/8T0=")</f>
        <v>#REF!</v>
      </c>
      <c r="BK178" t="e">
        <f>AND(#REF!,"AAAAAAr/8T4=")</f>
        <v>#REF!</v>
      </c>
      <c r="BL178" t="e">
        <f>AND(#REF!,"AAAAAAr/8T8=")</f>
        <v>#REF!</v>
      </c>
      <c r="BM178" t="e">
        <f>AND(#REF!,"AAAAAAr/8UA=")</f>
        <v>#REF!</v>
      </c>
      <c r="BN178" t="e">
        <f>AND(#REF!,"AAAAAAr/8UE=")</f>
        <v>#REF!</v>
      </c>
      <c r="BO178" t="e">
        <f>AND(#REF!,"AAAAAAr/8UI=")</f>
        <v>#REF!</v>
      </c>
      <c r="BP178" t="e">
        <f>AND(#REF!,"AAAAAAr/8UM=")</f>
        <v>#REF!</v>
      </c>
      <c r="BQ178" t="e">
        <f>AND(#REF!,"AAAAAAr/8UQ=")</f>
        <v>#REF!</v>
      </c>
      <c r="BR178" t="e">
        <f>AND(#REF!,"AAAAAAr/8UU=")</f>
        <v>#REF!</v>
      </c>
      <c r="BS178" t="e">
        <f>AND(#REF!,"AAAAAAr/8UY=")</f>
        <v>#REF!</v>
      </c>
      <c r="BT178" t="e">
        <f>AND(#REF!,"AAAAAAr/8Uc=")</f>
        <v>#REF!</v>
      </c>
      <c r="BU178" t="e">
        <f>AND(#REF!,"AAAAAAr/8Ug=")</f>
        <v>#REF!</v>
      </c>
      <c r="BV178" t="e">
        <f>AND(#REF!,"AAAAAAr/8Uk=")</f>
        <v>#REF!</v>
      </c>
      <c r="BW178" t="e">
        <f>AND(#REF!,"AAAAAAr/8Uo=")</f>
        <v>#REF!</v>
      </c>
      <c r="BX178" t="e">
        <f>AND(#REF!,"AAAAAAr/8Us=")</f>
        <v>#REF!</v>
      </c>
      <c r="BY178" t="e">
        <f>AND(#REF!,"AAAAAAr/8Uw=")</f>
        <v>#REF!</v>
      </c>
      <c r="BZ178" t="e">
        <f>AND(#REF!,"AAAAAAr/8U0=")</f>
        <v>#REF!</v>
      </c>
      <c r="CA178" t="e">
        <f>AND(#REF!,"AAAAAAr/8U4=")</f>
        <v>#REF!</v>
      </c>
      <c r="CB178" t="e">
        <f>AND(#REF!,"AAAAAAr/8U8=")</f>
        <v>#REF!</v>
      </c>
      <c r="CC178" t="e">
        <f>AND(#REF!,"AAAAAAr/8VA=")</f>
        <v>#REF!</v>
      </c>
      <c r="CD178" t="e">
        <f>AND(#REF!,"AAAAAAr/8VE=")</f>
        <v>#REF!</v>
      </c>
      <c r="CE178" t="e">
        <f>AND(#REF!,"AAAAAAr/8VI=")</f>
        <v>#REF!</v>
      </c>
      <c r="CF178" t="e">
        <f>AND(#REF!,"AAAAAAr/8VM=")</f>
        <v>#REF!</v>
      </c>
      <c r="CG178" t="e">
        <f>AND(#REF!,"AAAAAAr/8VQ=")</f>
        <v>#REF!</v>
      </c>
      <c r="CH178" t="e">
        <f>AND(#REF!,"AAAAAAr/8VU=")</f>
        <v>#REF!</v>
      </c>
      <c r="CI178" t="e">
        <f>AND(#REF!,"AAAAAAr/8VY=")</f>
        <v>#REF!</v>
      </c>
      <c r="CJ178" t="e">
        <f>AND(#REF!,"AAAAAAr/8Vc=")</f>
        <v>#REF!</v>
      </c>
      <c r="CK178" t="e">
        <f>AND(#REF!,"AAAAAAr/8Vg=")</f>
        <v>#REF!</v>
      </c>
      <c r="CL178" t="e">
        <f>AND(#REF!,"AAAAAAr/8Vk=")</f>
        <v>#REF!</v>
      </c>
      <c r="CM178" t="e">
        <f>AND(#REF!,"AAAAAAr/8Vo=")</f>
        <v>#REF!</v>
      </c>
      <c r="CN178" t="e">
        <f>AND(#REF!,"AAAAAAr/8Vs=")</f>
        <v>#REF!</v>
      </c>
      <c r="CO178" t="e">
        <f>AND(#REF!,"AAAAAAr/8Vw=")</f>
        <v>#REF!</v>
      </c>
      <c r="CP178" t="e">
        <f>AND(#REF!,"AAAAAAr/8V0=")</f>
        <v>#REF!</v>
      </c>
      <c r="CQ178" t="e">
        <f>AND(#REF!,"AAAAAAr/8V4=")</f>
        <v>#REF!</v>
      </c>
      <c r="CR178" t="e">
        <f>AND(#REF!,"AAAAAAr/8V8=")</f>
        <v>#REF!</v>
      </c>
      <c r="CS178" t="e">
        <f>AND(#REF!,"AAAAAAr/8WA=")</f>
        <v>#REF!</v>
      </c>
      <c r="CT178" t="e">
        <f>AND(#REF!,"AAAAAAr/8WE=")</f>
        <v>#REF!</v>
      </c>
      <c r="CU178" t="e">
        <f>AND(#REF!,"AAAAAAr/8WI=")</f>
        <v>#REF!</v>
      </c>
      <c r="CV178" t="e">
        <f>AND(#REF!,"AAAAAAr/8WM=")</f>
        <v>#REF!</v>
      </c>
      <c r="CW178" t="e">
        <f>AND(#REF!,"AAAAAAr/8WQ=")</f>
        <v>#REF!</v>
      </c>
      <c r="CX178" t="e">
        <f>AND(#REF!,"AAAAAAr/8WU=")</f>
        <v>#REF!</v>
      </c>
      <c r="CY178" t="e">
        <f>AND(#REF!,"AAAAAAr/8WY=")</f>
        <v>#REF!</v>
      </c>
      <c r="CZ178" t="e">
        <f>AND(#REF!,"AAAAAAr/8Wc=")</f>
        <v>#REF!</v>
      </c>
      <c r="DA178" t="e">
        <f>AND(#REF!,"AAAAAAr/8Wg=")</f>
        <v>#REF!</v>
      </c>
      <c r="DB178" t="e">
        <f>AND(#REF!,"AAAAAAr/8Wk=")</f>
        <v>#REF!</v>
      </c>
      <c r="DC178" t="e">
        <f>AND(#REF!,"AAAAAAr/8Wo=")</f>
        <v>#REF!</v>
      </c>
      <c r="DD178" t="e">
        <f>AND(#REF!,"AAAAAAr/8Ws=")</f>
        <v>#REF!</v>
      </c>
      <c r="DE178" t="e">
        <f>AND(#REF!,"AAAAAAr/8Ww=")</f>
        <v>#REF!</v>
      </c>
      <c r="DF178" t="e">
        <f>AND(#REF!,"AAAAAAr/8W0=")</f>
        <v>#REF!</v>
      </c>
      <c r="DG178" t="e">
        <f>AND(#REF!,"AAAAAAr/8W4=")</f>
        <v>#REF!</v>
      </c>
      <c r="DH178" t="e">
        <f>AND(#REF!,"AAAAAAr/8W8=")</f>
        <v>#REF!</v>
      </c>
      <c r="DI178" t="e">
        <f>AND(#REF!,"AAAAAAr/8XA=")</f>
        <v>#REF!</v>
      </c>
      <c r="DJ178" t="e">
        <f>AND(#REF!,"AAAAAAr/8XE=")</f>
        <v>#REF!</v>
      </c>
      <c r="DK178" t="e">
        <f>AND(#REF!,"AAAAAAr/8XI=")</f>
        <v>#REF!</v>
      </c>
      <c r="DL178" t="e">
        <f>AND(#REF!,"AAAAAAr/8XM=")</f>
        <v>#REF!</v>
      </c>
      <c r="DM178" t="e">
        <f>AND(#REF!,"AAAAAAr/8XQ=")</f>
        <v>#REF!</v>
      </c>
      <c r="DN178" t="e">
        <f>AND(#REF!,"AAAAAAr/8XU=")</f>
        <v>#REF!</v>
      </c>
      <c r="DO178" t="e">
        <f>AND(#REF!,"AAAAAAr/8XY=")</f>
        <v>#REF!</v>
      </c>
      <c r="DP178" t="e">
        <f>AND(#REF!,"AAAAAAr/8Xc=")</f>
        <v>#REF!</v>
      </c>
      <c r="DQ178" t="e">
        <f>AND(#REF!,"AAAAAAr/8Xg=")</f>
        <v>#REF!</v>
      </c>
      <c r="DR178" t="e">
        <f>AND(#REF!,"AAAAAAr/8Xk=")</f>
        <v>#REF!</v>
      </c>
      <c r="DS178" t="e">
        <f>AND(#REF!,"AAAAAAr/8Xo=")</f>
        <v>#REF!</v>
      </c>
      <c r="DT178" t="e">
        <f>AND(#REF!,"AAAAAAr/8Xs=")</f>
        <v>#REF!</v>
      </c>
      <c r="DU178" t="e">
        <f>AND(#REF!,"AAAAAAr/8Xw=")</f>
        <v>#REF!</v>
      </c>
      <c r="DV178" t="e">
        <f>AND(#REF!,"AAAAAAr/8X0=")</f>
        <v>#REF!</v>
      </c>
      <c r="DW178" t="e">
        <f>AND(#REF!,"AAAAAAr/8X4=")</f>
        <v>#REF!</v>
      </c>
      <c r="DX178" t="e">
        <f>AND(#REF!,"AAAAAAr/8X8=")</f>
        <v>#REF!</v>
      </c>
      <c r="DY178" t="e">
        <f>AND(#REF!,"AAAAAAr/8YA=")</f>
        <v>#REF!</v>
      </c>
      <c r="DZ178" t="e">
        <f>AND(#REF!,"AAAAAAr/8YE=")</f>
        <v>#REF!</v>
      </c>
      <c r="EA178" t="e">
        <f>AND(#REF!,"AAAAAAr/8YI=")</f>
        <v>#REF!</v>
      </c>
      <c r="EB178" t="e">
        <f>AND(#REF!,"AAAAAAr/8YM=")</f>
        <v>#REF!</v>
      </c>
      <c r="EC178" t="e">
        <f>AND(#REF!,"AAAAAAr/8YQ=")</f>
        <v>#REF!</v>
      </c>
      <c r="ED178" t="e">
        <f>AND(#REF!,"AAAAAAr/8YU=")</f>
        <v>#REF!</v>
      </c>
      <c r="EE178" t="e">
        <f>AND(#REF!,"AAAAAAr/8YY=")</f>
        <v>#REF!</v>
      </c>
      <c r="EF178" t="e">
        <f>AND(#REF!,"AAAAAAr/8Yc=")</f>
        <v>#REF!</v>
      </c>
      <c r="EG178" t="e">
        <f>AND(#REF!,"AAAAAAr/8Yg=")</f>
        <v>#REF!</v>
      </c>
      <c r="EH178" t="e">
        <f>AND(#REF!,"AAAAAAr/8Yk=")</f>
        <v>#REF!</v>
      </c>
      <c r="EI178" t="e">
        <f>AND(#REF!,"AAAAAAr/8Yo=")</f>
        <v>#REF!</v>
      </c>
      <c r="EJ178" t="e">
        <f>AND(#REF!,"AAAAAAr/8Ys=")</f>
        <v>#REF!</v>
      </c>
      <c r="EK178" t="e">
        <f>AND(#REF!,"AAAAAAr/8Yw=")</f>
        <v>#REF!</v>
      </c>
      <c r="EL178" t="e">
        <f>AND(#REF!,"AAAAAAr/8Y0=")</f>
        <v>#REF!</v>
      </c>
      <c r="EM178" t="e">
        <f>AND(#REF!,"AAAAAAr/8Y4=")</f>
        <v>#REF!</v>
      </c>
      <c r="EN178" t="e">
        <f>AND(#REF!,"AAAAAAr/8Y8=")</f>
        <v>#REF!</v>
      </c>
      <c r="EO178" t="e">
        <f>AND(#REF!,"AAAAAAr/8ZA=")</f>
        <v>#REF!</v>
      </c>
      <c r="EP178" t="e">
        <f>AND(#REF!,"AAAAAAr/8ZE=")</f>
        <v>#REF!</v>
      </c>
      <c r="EQ178" t="e">
        <f>AND(#REF!,"AAAAAAr/8ZI=")</f>
        <v>#REF!</v>
      </c>
      <c r="ER178" t="e">
        <f>AND(#REF!,"AAAAAAr/8ZM=")</f>
        <v>#REF!</v>
      </c>
      <c r="ES178" t="e">
        <f>AND(#REF!,"AAAAAAr/8ZQ=")</f>
        <v>#REF!</v>
      </c>
      <c r="ET178" t="e">
        <f>AND(#REF!,"AAAAAAr/8ZU=")</f>
        <v>#REF!</v>
      </c>
      <c r="EU178" t="e">
        <f>AND(#REF!,"AAAAAAr/8ZY=")</f>
        <v>#REF!</v>
      </c>
      <c r="EV178" t="e">
        <f>AND(#REF!,"AAAAAAr/8Zc=")</f>
        <v>#REF!</v>
      </c>
      <c r="EW178" t="e">
        <f>AND(#REF!,"AAAAAAr/8Zg=")</f>
        <v>#REF!</v>
      </c>
      <c r="EX178" t="e">
        <f>AND(#REF!,"AAAAAAr/8Zk=")</f>
        <v>#REF!</v>
      </c>
      <c r="EY178" t="e">
        <f>AND(#REF!,"AAAAAAr/8Zo=")</f>
        <v>#REF!</v>
      </c>
      <c r="EZ178" t="e">
        <f>AND(#REF!,"AAAAAAr/8Zs=")</f>
        <v>#REF!</v>
      </c>
      <c r="FA178" t="e">
        <f>AND(#REF!,"AAAAAAr/8Zw=")</f>
        <v>#REF!</v>
      </c>
      <c r="FB178" t="e">
        <f>AND(#REF!,"AAAAAAr/8Z0=")</f>
        <v>#REF!</v>
      </c>
      <c r="FC178" t="e">
        <f>AND(#REF!,"AAAAAAr/8Z4=")</f>
        <v>#REF!</v>
      </c>
      <c r="FD178" t="e">
        <f>AND(#REF!,"AAAAAAr/8Z8=")</f>
        <v>#REF!</v>
      </c>
      <c r="FE178" t="e">
        <f>AND(#REF!,"AAAAAAr/8aA=")</f>
        <v>#REF!</v>
      </c>
      <c r="FF178" t="e">
        <f>AND(#REF!,"AAAAAAr/8aE=")</f>
        <v>#REF!</v>
      </c>
      <c r="FG178" t="e">
        <f>AND(#REF!,"AAAAAAr/8aI=")</f>
        <v>#REF!</v>
      </c>
      <c r="FH178" t="e">
        <f>AND(#REF!,"AAAAAAr/8aM=")</f>
        <v>#REF!</v>
      </c>
      <c r="FI178" t="e">
        <f>AND(#REF!,"AAAAAAr/8aQ=")</f>
        <v>#REF!</v>
      </c>
      <c r="FJ178" t="e">
        <f>AND(#REF!,"AAAAAAr/8aU=")</f>
        <v>#REF!</v>
      </c>
      <c r="FK178" t="e">
        <f>AND(#REF!,"AAAAAAr/8aY=")</f>
        <v>#REF!</v>
      </c>
      <c r="FL178" t="e">
        <f>AND(#REF!,"AAAAAAr/8ac=")</f>
        <v>#REF!</v>
      </c>
      <c r="FM178" t="e">
        <f>AND(#REF!,"AAAAAAr/8ag=")</f>
        <v>#REF!</v>
      </c>
      <c r="FN178" t="e">
        <f>AND(#REF!,"AAAAAAr/8ak=")</f>
        <v>#REF!</v>
      </c>
      <c r="FO178" t="e">
        <f>AND(#REF!,"AAAAAAr/8ao=")</f>
        <v>#REF!</v>
      </c>
      <c r="FP178" t="e">
        <f>AND(#REF!,"AAAAAAr/8as=")</f>
        <v>#REF!</v>
      </c>
      <c r="FQ178" t="e">
        <f>AND(#REF!,"AAAAAAr/8aw=")</f>
        <v>#REF!</v>
      </c>
      <c r="FR178" t="e">
        <f>AND(#REF!,"AAAAAAr/8a0=")</f>
        <v>#REF!</v>
      </c>
      <c r="FS178" t="e">
        <f>AND(#REF!,"AAAAAAr/8a4=")</f>
        <v>#REF!</v>
      </c>
      <c r="FT178" t="e">
        <f>AND(#REF!,"AAAAAAr/8a8=")</f>
        <v>#REF!</v>
      </c>
      <c r="FU178" t="e">
        <f>AND(#REF!,"AAAAAAr/8bA=")</f>
        <v>#REF!</v>
      </c>
      <c r="FV178" t="e">
        <f>AND(#REF!,"AAAAAAr/8bE=")</f>
        <v>#REF!</v>
      </c>
      <c r="FW178" t="e">
        <f>AND(#REF!,"AAAAAAr/8bI=")</f>
        <v>#REF!</v>
      </c>
      <c r="FX178" t="e">
        <f>AND(#REF!,"AAAAAAr/8bM=")</f>
        <v>#REF!</v>
      </c>
      <c r="FY178" t="e">
        <f>AND(#REF!,"AAAAAAr/8bQ=")</f>
        <v>#REF!</v>
      </c>
      <c r="FZ178" t="e">
        <f>AND(#REF!,"AAAAAAr/8bU=")</f>
        <v>#REF!</v>
      </c>
      <c r="GA178" t="e">
        <f>AND(#REF!,"AAAAAAr/8bY=")</f>
        <v>#REF!</v>
      </c>
      <c r="GB178" t="e">
        <f>AND(#REF!,"AAAAAAr/8bc=")</f>
        <v>#REF!</v>
      </c>
      <c r="GC178" t="e">
        <f>AND(#REF!,"AAAAAAr/8bg=")</f>
        <v>#REF!</v>
      </c>
      <c r="GD178" t="e">
        <f>AND(#REF!,"AAAAAAr/8bk=")</f>
        <v>#REF!</v>
      </c>
      <c r="GE178" t="e">
        <f>AND(#REF!,"AAAAAAr/8bo=")</f>
        <v>#REF!</v>
      </c>
      <c r="GF178" t="e">
        <f>AND(#REF!,"AAAAAAr/8bs=")</f>
        <v>#REF!</v>
      </c>
      <c r="GG178" t="e">
        <f>AND(#REF!,"AAAAAAr/8bw=")</f>
        <v>#REF!</v>
      </c>
      <c r="GH178" t="e">
        <f>AND(#REF!,"AAAAAAr/8b0=")</f>
        <v>#REF!</v>
      </c>
      <c r="GI178" t="e">
        <f>AND(#REF!,"AAAAAAr/8b4=")</f>
        <v>#REF!</v>
      </c>
      <c r="GJ178" t="e">
        <f>AND(#REF!,"AAAAAAr/8b8=")</f>
        <v>#REF!</v>
      </c>
      <c r="GK178" t="e">
        <f>AND(#REF!,"AAAAAAr/8cA=")</f>
        <v>#REF!</v>
      </c>
      <c r="GL178" t="e">
        <f>AND(#REF!,"AAAAAAr/8cE=")</f>
        <v>#REF!</v>
      </c>
      <c r="GM178" t="e">
        <f>AND(#REF!,"AAAAAAr/8cI=")</f>
        <v>#REF!</v>
      </c>
      <c r="GN178" t="e">
        <f>AND(#REF!,"AAAAAAr/8cM=")</f>
        <v>#REF!</v>
      </c>
      <c r="GO178" t="e">
        <f>AND(#REF!,"AAAAAAr/8cQ=")</f>
        <v>#REF!</v>
      </c>
      <c r="GP178" t="e">
        <f>AND(#REF!,"AAAAAAr/8cU=")</f>
        <v>#REF!</v>
      </c>
      <c r="GQ178" t="e">
        <f>AND(#REF!,"AAAAAAr/8cY=")</f>
        <v>#REF!</v>
      </c>
      <c r="GR178" t="e">
        <f>AND(#REF!,"AAAAAAr/8cc=")</f>
        <v>#REF!</v>
      </c>
      <c r="GS178" t="e">
        <f>AND(#REF!,"AAAAAAr/8cg=")</f>
        <v>#REF!</v>
      </c>
      <c r="GT178" t="e">
        <f>AND(#REF!,"AAAAAAr/8ck=")</f>
        <v>#REF!</v>
      </c>
      <c r="GU178" t="e">
        <f>AND(#REF!,"AAAAAAr/8co=")</f>
        <v>#REF!</v>
      </c>
      <c r="GV178" t="e">
        <f>AND(#REF!,"AAAAAAr/8cs=")</f>
        <v>#REF!</v>
      </c>
      <c r="GW178" t="e">
        <f>AND(#REF!,"AAAAAAr/8cw=")</f>
        <v>#REF!</v>
      </c>
      <c r="GX178" t="e">
        <f>AND(#REF!,"AAAAAAr/8c0=")</f>
        <v>#REF!</v>
      </c>
      <c r="GY178" t="e">
        <f>AND(#REF!,"AAAAAAr/8c4=")</f>
        <v>#REF!</v>
      </c>
      <c r="GZ178" t="e">
        <f>AND(#REF!,"AAAAAAr/8c8=")</f>
        <v>#REF!</v>
      </c>
      <c r="HA178" t="e">
        <f>AND(#REF!,"AAAAAAr/8dA=")</f>
        <v>#REF!</v>
      </c>
      <c r="HB178" t="e">
        <f>AND(#REF!,"AAAAAAr/8dE=")</f>
        <v>#REF!</v>
      </c>
      <c r="HC178" t="e">
        <f>AND(#REF!,"AAAAAAr/8dI=")</f>
        <v>#REF!</v>
      </c>
      <c r="HD178" t="e">
        <f>AND(#REF!,"AAAAAAr/8dM=")</f>
        <v>#REF!</v>
      </c>
      <c r="HE178" t="e">
        <f>AND(#REF!,"AAAAAAr/8dQ=")</f>
        <v>#REF!</v>
      </c>
      <c r="HF178" t="e">
        <f>AND(#REF!,"AAAAAAr/8dU=")</f>
        <v>#REF!</v>
      </c>
      <c r="HG178" t="e">
        <f>AND(#REF!,"AAAAAAr/8dY=")</f>
        <v>#REF!</v>
      </c>
      <c r="HH178" t="e">
        <f>AND(#REF!,"AAAAAAr/8dc=")</f>
        <v>#REF!</v>
      </c>
      <c r="HI178" t="e">
        <f>AND(#REF!,"AAAAAAr/8dg=")</f>
        <v>#REF!</v>
      </c>
      <c r="HJ178" t="e">
        <f>AND(#REF!,"AAAAAAr/8dk=")</f>
        <v>#REF!</v>
      </c>
      <c r="HK178" t="e">
        <f>AND(#REF!,"AAAAAAr/8do=")</f>
        <v>#REF!</v>
      </c>
      <c r="HL178" t="e">
        <f>AND(#REF!,"AAAAAAr/8ds=")</f>
        <v>#REF!</v>
      </c>
      <c r="HM178" t="e">
        <f>AND(#REF!,"AAAAAAr/8dw=")</f>
        <v>#REF!</v>
      </c>
      <c r="HN178" t="e">
        <f>AND(#REF!,"AAAAAAr/8d0=")</f>
        <v>#REF!</v>
      </c>
      <c r="HO178" t="e">
        <f>AND(#REF!,"AAAAAAr/8d4=")</f>
        <v>#REF!</v>
      </c>
      <c r="HP178" t="e">
        <f>AND(#REF!,"AAAAAAr/8d8=")</f>
        <v>#REF!</v>
      </c>
      <c r="HQ178" t="e">
        <f>AND(#REF!,"AAAAAAr/8eA=")</f>
        <v>#REF!</v>
      </c>
      <c r="HR178" t="e">
        <f>AND(#REF!,"AAAAAAr/8eE=")</f>
        <v>#REF!</v>
      </c>
      <c r="HS178" t="e">
        <f>AND(#REF!,"AAAAAAr/8eI=")</f>
        <v>#REF!</v>
      </c>
      <c r="HT178" t="e">
        <f>AND(#REF!,"AAAAAAr/8eM=")</f>
        <v>#REF!</v>
      </c>
      <c r="HU178" t="e">
        <f>AND(#REF!,"AAAAAAr/8eQ=")</f>
        <v>#REF!</v>
      </c>
      <c r="HV178" t="e">
        <f>AND(#REF!,"AAAAAAr/8eU=")</f>
        <v>#REF!</v>
      </c>
      <c r="HW178" t="e">
        <f>IF(#REF!,"AAAAAAr/8eY=",0)</f>
        <v>#REF!</v>
      </c>
      <c r="HX178" t="e">
        <f>AND(#REF!,"AAAAAAr/8ec=")</f>
        <v>#REF!</v>
      </c>
      <c r="HY178" t="e">
        <f>AND(#REF!,"AAAAAAr/8eg=")</f>
        <v>#REF!</v>
      </c>
      <c r="HZ178" t="e">
        <f>AND(#REF!,"AAAAAAr/8ek=")</f>
        <v>#REF!</v>
      </c>
      <c r="IA178" t="e">
        <f>AND(#REF!,"AAAAAAr/8eo=")</f>
        <v>#REF!</v>
      </c>
      <c r="IB178" t="e">
        <f>AND(#REF!,"AAAAAAr/8es=")</f>
        <v>#REF!</v>
      </c>
      <c r="IC178" t="e">
        <f>AND(#REF!,"AAAAAAr/8ew=")</f>
        <v>#REF!</v>
      </c>
      <c r="ID178" t="e">
        <f>AND(#REF!,"AAAAAAr/8e0=")</f>
        <v>#REF!</v>
      </c>
      <c r="IE178" t="e">
        <f>AND(#REF!,"AAAAAAr/8e4=")</f>
        <v>#REF!</v>
      </c>
      <c r="IF178" t="e">
        <f>AND(#REF!,"AAAAAAr/8e8=")</f>
        <v>#REF!</v>
      </c>
      <c r="IG178" t="e">
        <f>AND(#REF!,"AAAAAAr/8fA=")</f>
        <v>#REF!</v>
      </c>
      <c r="IH178" t="e">
        <f>AND(#REF!,"AAAAAAr/8fE=")</f>
        <v>#REF!</v>
      </c>
      <c r="II178" t="e">
        <f>AND(#REF!,"AAAAAAr/8fI=")</f>
        <v>#REF!</v>
      </c>
      <c r="IJ178" t="e">
        <f>AND(#REF!,"AAAAAAr/8fM=")</f>
        <v>#REF!</v>
      </c>
      <c r="IK178" t="e">
        <f>AND(#REF!,"AAAAAAr/8fQ=")</f>
        <v>#REF!</v>
      </c>
      <c r="IL178" t="e">
        <f>AND(#REF!,"AAAAAAr/8fU=")</f>
        <v>#REF!</v>
      </c>
      <c r="IM178" t="e">
        <f>AND(#REF!,"AAAAAAr/8fY=")</f>
        <v>#REF!</v>
      </c>
      <c r="IN178" t="e">
        <f>AND(#REF!,"AAAAAAr/8fc=")</f>
        <v>#REF!</v>
      </c>
      <c r="IO178" t="e">
        <f>AND(#REF!,"AAAAAAr/8fg=")</f>
        <v>#REF!</v>
      </c>
      <c r="IP178" t="e">
        <f>AND(#REF!,"AAAAAAr/8fk=")</f>
        <v>#REF!</v>
      </c>
      <c r="IQ178" t="e">
        <f>AND(#REF!,"AAAAAAr/8fo=")</f>
        <v>#REF!</v>
      </c>
      <c r="IR178" t="e">
        <f>AND(#REF!,"AAAAAAr/8fs=")</f>
        <v>#REF!</v>
      </c>
      <c r="IS178" t="e">
        <f>AND(#REF!,"AAAAAAr/8fw=")</f>
        <v>#REF!</v>
      </c>
      <c r="IT178" t="e">
        <f>AND(#REF!,"AAAAAAr/8f0=")</f>
        <v>#REF!</v>
      </c>
      <c r="IU178" t="e">
        <f>AND(#REF!,"AAAAAAr/8f4=")</f>
        <v>#REF!</v>
      </c>
      <c r="IV178" t="e">
        <f>AND(#REF!,"AAAAAAr/8f8=")</f>
        <v>#REF!</v>
      </c>
    </row>
    <row r="179" spans="1:256">
      <c r="A179" t="e">
        <f>AND(#REF!,"AAAAAH61/wA=")</f>
        <v>#REF!</v>
      </c>
      <c r="B179" t="e">
        <f>AND(#REF!,"AAAAAH61/wE=")</f>
        <v>#REF!</v>
      </c>
      <c r="C179" t="e">
        <f>AND(#REF!,"AAAAAH61/wI=")</f>
        <v>#REF!</v>
      </c>
      <c r="D179" t="e">
        <f>AND(#REF!,"AAAAAH61/wM=")</f>
        <v>#REF!</v>
      </c>
      <c r="E179" t="e">
        <f>AND(#REF!,"AAAAAH61/wQ=")</f>
        <v>#REF!</v>
      </c>
      <c r="F179" t="e">
        <f>AND(#REF!,"AAAAAH61/wU=")</f>
        <v>#REF!</v>
      </c>
      <c r="G179" t="e">
        <f>AND(#REF!,"AAAAAH61/wY=")</f>
        <v>#REF!</v>
      </c>
      <c r="H179" t="e">
        <f>AND(#REF!,"AAAAAH61/wc=")</f>
        <v>#REF!</v>
      </c>
      <c r="I179" t="e">
        <f>AND(#REF!,"AAAAAH61/wg=")</f>
        <v>#REF!</v>
      </c>
      <c r="J179" t="e">
        <f>AND(#REF!,"AAAAAH61/wk=")</f>
        <v>#REF!</v>
      </c>
      <c r="K179" t="e">
        <f>AND(#REF!,"AAAAAH61/wo=")</f>
        <v>#REF!</v>
      </c>
      <c r="L179" t="e">
        <f>AND(#REF!,"AAAAAH61/ws=")</f>
        <v>#REF!</v>
      </c>
      <c r="M179" t="e">
        <f>AND(#REF!,"AAAAAH61/ww=")</f>
        <v>#REF!</v>
      </c>
      <c r="N179" t="e">
        <f>AND(#REF!,"AAAAAH61/w0=")</f>
        <v>#REF!</v>
      </c>
      <c r="O179" t="e">
        <f>AND(#REF!,"AAAAAH61/w4=")</f>
        <v>#REF!</v>
      </c>
      <c r="P179" t="e">
        <f>AND(#REF!,"AAAAAH61/w8=")</f>
        <v>#REF!</v>
      </c>
      <c r="Q179" t="e">
        <f>AND(#REF!,"AAAAAH61/xA=")</f>
        <v>#REF!</v>
      </c>
      <c r="R179" t="e">
        <f>AND(#REF!,"AAAAAH61/xE=")</f>
        <v>#REF!</v>
      </c>
      <c r="S179" t="e">
        <f>AND(#REF!,"AAAAAH61/xI=")</f>
        <v>#REF!</v>
      </c>
      <c r="T179" t="e">
        <f>AND(#REF!,"AAAAAH61/xM=")</f>
        <v>#REF!</v>
      </c>
      <c r="U179" t="e">
        <f>AND(#REF!,"AAAAAH61/xQ=")</f>
        <v>#REF!</v>
      </c>
      <c r="V179" t="e">
        <f>AND(#REF!,"AAAAAH61/xU=")</f>
        <v>#REF!</v>
      </c>
      <c r="W179" t="e">
        <f>AND(#REF!,"AAAAAH61/xY=")</f>
        <v>#REF!</v>
      </c>
      <c r="X179" t="e">
        <f>AND(#REF!,"AAAAAH61/xc=")</f>
        <v>#REF!</v>
      </c>
      <c r="Y179" t="e">
        <f>AND(#REF!,"AAAAAH61/xg=")</f>
        <v>#REF!</v>
      </c>
      <c r="Z179" t="e">
        <f>AND(#REF!,"AAAAAH61/xk=")</f>
        <v>#REF!</v>
      </c>
      <c r="AA179" t="e">
        <f>AND(#REF!,"AAAAAH61/xo=")</f>
        <v>#REF!</v>
      </c>
      <c r="AB179" t="e">
        <f>AND(#REF!,"AAAAAH61/xs=")</f>
        <v>#REF!</v>
      </c>
      <c r="AC179" t="e">
        <f>AND(#REF!,"AAAAAH61/xw=")</f>
        <v>#REF!</v>
      </c>
      <c r="AD179" t="e">
        <f>AND(#REF!,"AAAAAH61/x0=")</f>
        <v>#REF!</v>
      </c>
      <c r="AE179" t="e">
        <f>AND(#REF!,"AAAAAH61/x4=")</f>
        <v>#REF!</v>
      </c>
      <c r="AF179" t="e">
        <f>AND(#REF!,"AAAAAH61/x8=")</f>
        <v>#REF!</v>
      </c>
      <c r="AG179" t="e">
        <f>AND(#REF!,"AAAAAH61/yA=")</f>
        <v>#REF!</v>
      </c>
      <c r="AH179" t="e">
        <f>AND(#REF!,"AAAAAH61/yE=")</f>
        <v>#REF!</v>
      </c>
      <c r="AI179" t="e">
        <f>AND(#REF!,"AAAAAH61/yI=")</f>
        <v>#REF!</v>
      </c>
      <c r="AJ179" t="e">
        <f>AND(#REF!,"AAAAAH61/yM=")</f>
        <v>#REF!</v>
      </c>
      <c r="AK179" t="e">
        <f>AND(#REF!,"AAAAAH61/yQ=")</f>
        <v>#REF!</v>
      </c>
      <c r="AL179" t="e">
        <f>AND(#REF!,"AAAAAH61/yU=")</f>
        <v>#REF!</v>
      </c>
      <c r="AM179" t="e">
        <f>AND(#REF!,"AAAAAH61/yY=")</f>
        <v>#REF!</v>
      </c>
      <c r="AN179" t="e">
        <f>AND(#REF!,"AAAAAH61/yc=")</f>
        <v>#REF!</v>
      </c>
      <c r="AO179" t="e">
        <f>AND(#REF!,"AAAAAH61/yg=")</f>
        <v>#REF!</v>
      </c>
      <c r="AP179" t="e">
        <f>AND(#REF!,"AAAAAH61/yk=")</f>
        <v>#REF!</v>
      </c>
      <c r="AQ179" t="e">
        <f>AND(#REF!,"AAAAAH61/yo=")</f>
        <v>#REF!</v>
      </c>
      <c r="AR179" t="e">
        <f>AND(#REF!,"AAAAAH61/ys=")</f>
        <v>#REF!</v>
      </c>
      <c r="AS179" t="e">
        <f>AND(#REF!,"AAAAAH61/yw=")</f>
        <v>#REF!</v>
      </c>
      <c r="AT179" t="e">
        <f>AND(#REF!,"AAAAAH61/y0=")</f>
        <v>#REF!</v>
      </c>
      <c r="AU179" t="e">
        <f>AND(#REF!,"AAAAAH61/y4=")</f>
        <v>#REF!</v>
      </c>
      <c r="AV179" t="e">
        <f>AND(#REF!,"AAAAAH61/y8=")</f>
        <v>#REF!</v>
      </c>
      <c r="AW179" t="e">
        <f>AND(#REF!,"AAAAAH61/zA=")</f>
        <v>#REF!</v>
      </c>
      <c r="AX179" t="e">
        <f>AND(#REF!,"AAAAAH61/zE=")</f>
        <v>#REF!</v>
      </c>
      <c r="AY179" t="e">
        <f>AND(#REF!,"AAAAAH61/zI=")</f>
        <v>#REF!</v>
      </c>
      <c r="AZ179" t="e">
        <f>AND(#REF!,"AAAAAH61/zM=")</f>
        <v>#REF!</v>
      </c>
      <c r="BA179" t="e">
        <f>AND(#REF!,"AAAAAH61/zQ=")</f>
        <v>#REF!</v>
      </c>
      <c r="BB179" t="e">
        <f>AND(#REF!,"AAAAAH61/zU=")</f>
        <v>#REF!</v>
      </c>
      <c r="BC179" t="e">
        <f>AND(#REF!,"AAAAAH61/zY=")</f>
        <v>#REF!</v>
      </c>
      <c r="BD179" t="e">
        <f>AND(#REF!,"AAAAAH61/zc=")</f>
        <v>#REF!</v>
      </c>
      <c r="BE179" t="e">
        <f>AND(#REF!,"AAAAAH61/zg=")</f>
        <v>#REF!</v>
      </c>
      <c r="BF179" t="e">
        <f>AND(#REF!,"AAAAAH61/zk=")</f>
        <v>#REF!</v>
      </c>
      <c r="BG179" t="e">
        <f>AND(#REF!,"AAAAAH61/zo=")</f>
        <v>#REF!</v>
      </c>
      <c r="BH179" t="e">
        <f>AND(#REF!,"AAAAAH61/zs=")</f>
        <v>#REF!</v>
      </c>
      <c r="BI179" t="e">
        <f>AND(#REF!,"AAAAAH61/zw=")</f>
        <v>#REF!</v>
      </c>
      <c r="BJ179" t="e">
        <f>AND(#REF!,"AAAAAH61/z0=")</f>
        <v>#REF!</v>
      </c>
      <c r="BK179" t="e">
        <f>AND(#REF!,"AAAAAH61/z4=")</f>
        <v>#REF!</v>
      </c>
      <c r="BL179" t="e">
        <f>AND(#REF!,"AAAAAH61/z8=")</f>
        <v>#REF!</v>
      </c>
      <c r="BM179" t="e">
        <f>AND(#REF!,"AAAAAH61/0A=")</f>
        <v>#REF!</v>
      </c>
      <c r="BN179" t="e">
        <f>AND(#REF!,"AAAAAH61/0E=")</f>
        <v>#REF!</v>
      </c>
      <c r="BO179" t="e">
        <f>AND(#REF!,"AAAAAH61/0I=")</f>
        <v>#REF!</v>
      </c>
      <c r="BP179" t="e">
        <f>AND(#REF!,"AAAAAH61/0M=")</f>
        <v>#REF!</v>
      </c>
      <c r="BQ179" t="e">
        <f>AND(#REF!,"AAAAAH61/0Q=")</f>
        <v>#REF!</v>
      </c>
      <c r="BR179" t="e">
        <f>AND(#REF!,"AAAAAH61/0U=")</f>
        <v>#REF!</v>
      </c>
      <c r="BS179" t="e">
        <f>AND(#REF!,"AAAAAH61/0Y=")</f>
        <v>#REF!</v>
      </c>
      <c r="BT179" t="e">
        <f>AND(#REF!,"AAAAAH61/0c=")</f>
        <v>#REF!</v>
      </c>
      <c r="BU179" t="e">
        <f>AND(#REF!,"AAAAAH61/0g=")</f>
        <v>#REF!</v>
      </c>
      <c r="BV179" t="e">
        <f>AND(#REF!,"AAAAAH61/0k=")</f>
        <v>#REF!</v>
      </c>
      <c r="BW179" t="e">
        <f>AND(#REF!,"AAAAAH61/0o=")</f>
        <v>#REF!</v>
      </c>
      <c r="BX179" t="e">
        <f>AND(#REF!,"AAAAAH61/0s=")</f>
        <v>#REF!</v>
      </c>
      <c r="BY179" t="e">
        <f>AND(#REF!,"AAAAAH61/0w=")</f>
        <v>#REF!</v>
      </c>
      <c r="BZ179" t="e">
        <f>AND(#REF!,"AAAAAH61/00=")</f>
        <v>#REF!</v>
      </c>
      <c r="CA179" t="e">
        <f>AND(#REF!,"AAAAAH61/04=")</f>
        <v>#REF!</v>
      </c>
      <c r="CB179" t="e">
        <f>AND(#REF!,"AAAAAH61/08=")</f>
        <v>#REF!</v>
      </c>
      <c r="CC179" t="e">
        <f>AND(#REF!,"AAAAAH61/1A=")</f>
        <v>#REF!</v>
      </c>
      <c r="CD179" t="e">
        <f>AND(#REF!,"AAAAAH61/1E=")</f>
        <v>#REF!</v>
      </c>
      <c r="CE179" t="e">
        <f>AND(#REF!,"AAAAAH61/1I=")</f>
        <v>#REF!</v>
      </c>
      <c r="CF179" t="e">
        <f>AND(#REF!,"AAAAAH61/1M=")</f>
        <v>#REF!</v>
      </c>
      <c r="CG179" t="e">
        <f>AND(#REF!,"AAAAAH61/1Q=")</f>
        <v>#REF!</v>
      </c>
      <c r="CH179" t="e">
        <f>AND(#REF!,"AAAAAH61/1U=")</f>
        <v>#REF!</v>
      </c>
      <c r="CI179" t="e">
        <f>AND(#REF!,"AAAAAH61/1Y=")</f>
        <v>#REF!</v>
      </c>
      <c r="CJ179" t="e">
        <f>AND(#REF!,"AAAAAH61/1c=")</f>
        <v>#REF!</v>
      </c>
      <c r="CK179" t="e">
        <f>AND(#REF!,"AAAAAH61/1g=")</f>
        <v>#REF!</v>
      </c>
      <c r="CL179" t="e">
        <f>AND(#REF!,"AAAAAH61/1k=")</f>
        <v>#REF!</v>
      </c>
      <c r="CM179" t="e">
        <f>AND(#REF!,"AAAAAH61/1o=")</f>
        <v>#REF!</v>
      </c>
      <c r="CN179" t="e">
        <f>AND(#REF!,"AAAAAH61/1s=")</f>
        <v>#REF!</v>
      </c>
      <c r="CO179" t="e">
        <f>AND(#REF!,"AAAAAH61/1w=")</f>
        <v>#REF!</v>
      </c>
      <c r="CP179" t="e">
        <f>AND(#REF!,"AAAAAH61/10=")</f>
        <v>#REF!</v>
      </c>
      <c r="CQ179" t="e">
        <f>AND(#REF!,"AAAAAH61/14=")</f>
        <v>#REF!</v>
      </c>
      <c r="CR179" t="e">
        <f>AND(#REF!,"AAAAAH61/18=")</f>
        <v>#REF!</v>
      </c>
      <c r="CS179" t="e">
        <f>AND(#REF!,"AAAAAH61/2A=")</f>
        <v>#REF!</v>
      </c>
      <c r="CT179" t="e">
        <f>AND(#REF!,"AAAAAH61/2E=")</f>
        <v>#REF!</v>
      </c>
      <c r="CU179" t="e">
        <f>AND(#REF!,"AAAAAH61/2I=")</f>
        <v>#REF!</v>
      </c>
      <c r="CV179" t="e">
        <f>AND(#REF!,"AAAAAH61/2M=")</f>
        <v>#REF!</v>
      </c>
      <c r="CW179" t="e">
        <f>AND(#REF!,"AAAAAH61/2Q=")</f>
        <v>#REF!</v>
      </c>
      <c r="CX179" t="e">
        <f>AND(#REF!,"AAAAAH61/2U=")</f>
        <v>#REF!</v>
      </c>
      <c r="CY179" t="e">
        <f>AND(#REF!,"AAAAAH61/2Y=")</f>
        <v>#REF!</v>
      </c>
      <c r="CZ179" t="e">
        <f>AND(#REF!,"AAAAAH61/2c=")</f>
        <v>#REF!</v>
      </c>
      <c r="DA179" t="e">
        <f>AND(#REF!,"AAAAAH61/2g=")</f>
        <v>#REF!</v>
      </c>
      <c r="DB179" t="e">
        <f>AND(#REF!,"AAAAAH61/2k=")</f>
        <v>#REF!</v>
      </c>
      <c r="DC179" t="e">
        <f>AND(#REF!,"AAAAAH61/2o=")</f>
        <v>#REF!</v>
      </c>
      <c r="DD179" t="e">
        <f>AND(#REF!,"AAAAAH61/2s=")</f>
        <v>#REF!</v>
      </c>
      <c r="DE179" t="e">
        <f>AND(#REF!,"AAAAAH61/2w=")</f>
        <v>#REF!</v>
      </c>
      <c r="DF179" t="e">
        <f>AND(#REF!,"AAAAAH61/20=")</f>
        <v>#REF!</v>
      </c>
      <c r="DG179" t="e">
        <f>AND(#REF!,"AAAAAH61/24=")</f>
        <v>#REF!</v>
      </c>
      <c r="DH179" t="e">
        <f>AND(#REF!,"AAAAAH61/28=")</f>
        <v>#REF!</v>
      </c>
      <c r="DI179" t="e">
        <f>AND(#REF!,"AAAAAH61/3A=")</f>
        <v>#REF!</v>
      </c>
      <c r="DJ179" t="e">
        <f>AND(#REF!,"AAAAAH61/3E=")</f>
        <v>#REF!</v>
      </c>
      <c r="DK179" t="e">
        <f>AND(#REF!,"AAAAAH61/3I=")</f>
        <v>#REF!</v>
      </c>
      <c r="DL179" t="e">
        <f>AND(#REF!,"AAAAAH61/3M=")</f>
        <v>#REF!</v>
      </c>
      <c r="DM179" t="e">
        <f>AND(#REF!,"AAAAAH61/3Q=")</f>
        <v>#REF!</v>
      </c>
      <c r="DN179" t="e">
        <f>AND(#REF!,"AAAAAH61/3U=")</f>
        <v>#REF!</v>
      </c>
      <c r="DO179" t="e">
        <f>AND(#REF!,"AAAAAH61/3Y=")</f>
        <v>#REF!</v>
      </c>
      <c r="DP179" t="e">
        <f>AND(#REF!,"AAAAAH61/3c=")</f>
        <v>#REF!</v>
      </c>
      <c r="DQ179" t="e">
        <f>AND(#REF!,"AAAAAH61/3g=")</f>
        <v>#REF!</v>
      </c>
      <c r="DR179" t="e">
        <f>AND(#REF!,"AAAAAH61/3k=")</f>
        <v>#REF!</v>
      </c>
      <c r="DS179" t="e">
        <f>AND(#REF!,"AAAAAH61/3o=")</f>
        <v>#REF!</v>
      </c>
      <c r="DT179" t="e">
        <f>AND(#REF!,"AAAAAH61/3s=")</f>
        <v>#REF!</v>
      </c>
      <c r="DU179" t="e">
        <f>AND(#REF!,"AAAAAH61/3w=")</f>
        <v>#REF!</v>
      </c>
      <c r="DV179" t="e">
        <f>AND(#REF!,"AAAAAH61/30=")</f>
        <v>#REF!</v>
      </c>
      <c r="DW179" t="e">
        <f>AND(#REF!,"AAAAAH61/34=")</f>
        <v>#REF!</v>
      </c>
      <c r="DX179" t="e">
        <f>AND(#REF!,"AAAAAH61/38=")</f>
        <v>#REF!</v>
      </c>
      <c r="DY179" t="e">
        <f>AND(#REF!,"AAAAAH61/4A=")</f>
        <v>#REF!</v>
      </c>
      <c r="DZ179" t="e">
        <f>AND(#REF!,"AAAAAH61/4E=")</f>
        <v>#REF!</v>
      </c>
      <c r="EA179" t="e">
        <f>AND(#REF!,"AAAAAH61/4I=")</f>
        <v>#REF!</v>
      </c>
      <c r="EB179" t="e">
        <f>AND(#REF!,"AAAAAH61/4M=")</f>
        <v>#REF!</v>
      </c>
      <c r="EC179" t="e">
        <f>AND(#REF!,"AAAAAH61/4Q=")</f>
        <v>#REF!</v>
      </c>
      <c r="ED179" t="e">
        <f>AND(#REF!,"AAAAAH61/4U=")</f>
        <v>#REF!</v>
      </c>
      <c r="EE179" t="e">
        <f>AND(#REF!,"AAAAAH61/4Y=")</f>
        <v>#REF!</v>
      </c>
      <c r="EF179" t="e">
        <f>AND(#REF!,"AAAAAH61/4c=")</f>
        <v>#REF!</v>
      </c>
      <c r="EG179" t="e">
        <f>AND(#REF!,"AAAAAH61/4g=")</f>
        <v>#REF!</v>
      </c>
      <c r="EH179" t="e">
        <f>AND(#REF!,"AAAAAH61/4k=")</f>
        <v>#REF!</v>
      </c>
      <c r="EI179" t="e">
        <f>AND(#REF!,"AAAAAH61/4o=")</f>
        <v>#REF!</v>
      </c>
      <c r="EJ179" t="e">
        <f>AND(#REF!,"AAAAAH61/4s=")</f>
        <v>#REF!</v>
      </c>
      <c r="EK179" t="e">
        <f>AND(#REF!,"AAAAAH61/4w=")</f>
        <v>#REF!</v>
      </c>
      <c r="EL179" t="e">
        <f>AND(#REF!,"AAAAAH61/40=")</f>
        <v>#REF!</v>
      </c>
      <c r="EM179" t="e">
        <f>AND(#REF!,"AAAAAH61/44=")</f>
        <v>#REF!</v>
      </c>
      <c r="EN179" t="e">
        <f>AND(#REF!,"AAAAAH61/48=")</f>
        <v>#REF!</v>
      </c>
      <c r="EO179" t="e">
        <f>AND(#REF!,"AAAAAH61/5A=")</f>
        <v>#REF!</v>
      </c>
      <c r="EP179" t="e">
        <f>AND(#REF!,"AAAAAH61/5E=")</f>
        <v>#REF!</v>
      </c>
      <c r="EQ179" t="e">
        <f>AND(#REF!,"AAAAAH61/5I=")</f>
        <v>#REF!</v>
      </c>
      <c r="ER179" t="e">
        <f>AND(#REF!,"AAAAAH61/5M=")</f>
        <v>#REF!</v>
      </c>
      <c r="ES179" t="e">
        <f>AND(#REF!,"AAAAAH61/5Q=")</f>
        <v>#REF!</v>
      </c>
      <c r="ET179" t="e">
        <f>AND(#REF!,"AAAAAH61/5U=")</f>
        <v>#REF!</v>
      </c>
      <c r="EU179" t="e">
        <f>AND(#REF!,"AAAAAH61/5Y=")</f>
        <v>#REF!</v>
      </c>
      <c r="EV179" t="e">
        <f>AND(#REF!,"AAAAAH61/5c=")</f>
        <v>#REF!</v>
      </c>
      <c r="EW179" t="e">
        <f>AND(#REF!,"AAAAAH61/5g=")</f>
        <v>#REF!</v>
      </c>
      <c r="EX179" t="e">
        <f>AND(#REF!,"AAAAAH61/5k=")</f>
        <v>#REF!</v>
      </c>
      <c r="EY179" t="e">
        <f>AND(#REF!,"AAAAAH61/5o=")</f>
        <v>#REF!</v>
      </c>
      <c r="EZ179" t="e">
        <f>AND(#REF!,"AAAAAH61/5s=")</f>
        <v>#REF!</v>
      </c>
      <c r="FA179" t="e">
        <f>AND(#REF!,"AAAAAH61/5w=")</f>
        <v>#REF!</v>
      </c>
      <c r="FB179" t="e">
        <f>AND(#REF!,"AAAAAH61/50=")</f>
        <v>#REF!</v>
      </c>
      <c r="FC179" t="e">
        <f>AND(#REF!,"AAAAAH61/54=")</f>
        <v>#REF!</v>
      </c>
      <c r="FD179" t="e">
        <f>AND(#REF!,"AAAAAH61/58=")</f>
        <v>#REF!</v>
      </c>
      <c r="FE179" t="e">
        <f>AND(#REF!,"AAAAAH61/6A=")</f>
        <v>#REF!</v>
      </c>
      <c r="FF179" t="e">
        <f>AND(#REF!,"AAAAAH61/6E=")</f>
        <v>#REF!</v>
      </c>
      <c r="FG179" t="e">
        <f>AND(#REF!,"AAAAAH61/6I=")</f>
        <v>#REF!</v>
      </c>
      <c r="FH179" t="e">
        <f>AND(#REF!,"AAAAAH61/6M=")</f>
        <v>#REF!</v>
      </c>
      <c r="FI179" t="e">
        <f>AND(#REF!,"AAAAAH61/6Q=")</f>
        <v>#REF!</v>
      </c>
      <c r="FJ179" t="e">
        <f>AND(#REF!,"AAAAAH61/6U=")</f>
        <v>#REF!</v>
      </c>
      <c r="FK179" t="e">
        <f>AND(#REF!,"AAAAAH61/6Y=")</f>
        <v>#REF!</v>
      </c>
      <c r="FL179" t="e">
        <f>AND(#REF!,"AAAAAH61/6c=")</f>
        <v>#REF!</v>
      </c>
      <c r="FM179" t="e">
        <f>AND(#REF!,"AAAAAH61/6g=")</f>
        <v>#REF!</v>
      </c>
      <c r="FN179" t="e">
        <f>AND(#REF!,"AAAAAH61/6k=")</f>
        <v>#REF!</v>
      </c>
      <c r="FO179" t="e">
        <f>AND(#REF!,"AAAAAH61/6o=")</f>
        <v>#REF!</v>
      </c>
      <c r="FP179" t="e">
        <f>AND(#REF!,"AAAAAH61/6s=")</f>
        <v>#REF!</v>
      </c>
      <c r="FQ179" t="e">
        <f>AND(#REF!,"AAAAAH61/6w=")</f>
        <v>#REF!</v>
      </c>
      <c r="FR179" t="e">
        <f>AND(#REF!,"AAAAAH61/60=")</f>
        <v>#REF!</v>
      </c>
      <c r="FS179" t="e">
        <f>AND(#REF!,"AAAAAH61/64=")</f>
        <v>#REF!</v>
      </c>
      <c r="FT179" t="e">
        <f>AND(#REF!,"AAAAAH61/68=")</f>
        <v>#REF!</v>
      </c>
      <c r="FU179" t="e">
        <f>AND(#REF!,"AAAAAH61/7A=")</f>
        <v>#REF!</v>
      </c>
      <c r="FV179" t="e">
        <f>AND(#REF!,"AAAAAH61/7E=")</f>
        <v>#REF!</v>
      </c>
      <c r="FW179" t="e">
        <f>AND(#REF!,"AAAAAH61/7I=")</f>
        <v>#REF!</v>
      </c>
      <c r="FX179" t="e">
        <f>AND(#REF!,"AAAAAH61/7M=")</f>
        <v>#REF!</v>
      </c>
      <c r="FY179" t="e">
        <f>AND(#REF!,"AAAAAH61/7Q=")</f>
        <v>#REF!</v>
      </c>
      <c r="FZ179" t="e">
        <f>AND(#REF!,"AAAAAH61/7U=")</f>
        <v>#REF!</v>
      </c>
      <c r="GA179" t="e">
        <f>AND(#REF!,"AAAAAH61/7Y=")</f>
        <v>#REF!</v>
      </c>
      <c r="GB179" t="e">
        <f>AND(#REF!,"AAAAAH61/7c=")</f>
        <v>#REF!</v>
      </c>
      <c r="GC179" t="e">
        <f>AND(#REF!,"AAAAAH61/7g=")</f>
        <v>#REF!</v>
      </c>
      <c r="GD179" t="e">
        <f>AND(#REF!,"AAAAAH61/7k=")</f>
        <v>#REF!</v>
      </c>
      <c r="GE179" t="e">
        <f>AND(#REF!,"AAAAAH61/7o=")</f>
        <v>#REF!</v>
      </c>
      <c r="GF179" t="e">
        <f>AND(#REF!,"AAAAAH61/7s=")</f>
        <v>#REF!</v>
      </c>
      <c r="GG179" t="e">
        <f>AND(#REF!,"AAAAAH61/7w=")</f>
        <v>#REF!</v>
      </c>
      <c r="GH179" t="e">
        <f>AND(#REF!,"AAAAAH61/70=")</f>
        <v>#REF!</v>
      </c>
      <c r="GI179" t="e">
        <f>AND(#REF!,"AAAAAH61/74=")</f>
        <v>#REF!</v>
      </c>
      <c r="GJ179" t="e">
        <f>AND(#REF!,"AAAAAH61/78=")</f>
        <v>#REF!</v>
      </c>
      <c r="GK179" t="e">
        <f>AND(#REF!,"AAAAAH61/8A=")</f>
        <v>#REF!</v>
      </c>
      <c r="GL179" t="e">
        <f>AND(#REF!,"AAAAAH61/8E=")</f>
        <v>#REF!</v>
      </c>
      <c r="GM179" t="e">
        <f>AND(#REF!,"AAAAAH61/8I=")</f>
        <v>#REF!</v>
      </c>
      <c r="GN179" t="e">
        <f>AND(#REF!,"AAAAAH61/8M=")</f>
        <v>#REF!</v>
      </c>
      <c r="GO179" t="e">
        <f>AND(#REF!,"AAAAAH61/8Q=")</f>
        <v>#REF!</v>
      </c>
      <c r="GP179" t="e">
        <f>AND(#REF!,"AAAAAH61/8U=")</f>
        <v>#REF!</v>
      </c>
      <c r="GQ179" t="e">
        <f>AND(#REF!,"AAAAAH61/8Y=")</f>
        <v>#REF!</v>
      </c>
      <c r="GR179" t="e">
        <f>AND(#REF!,"AAAAAH61/8c=")</f>
        <v>#REF!</v>
      </c>
      <c r="GS179" t="e">
        <f>AND(#REF!,"AAAAAH61/8g=")</f>
        <v>#REF!</v>
      </c>
      <c r="GT179" t="e">
        <f>AND(#REF!,"AAAAAH61/8k=")</f>
        <v>#REF!</v>
      </c>
      <c r="GU179" t="e">
        <f>IF(#REF!,"AAAAAH61/8o=",0)</f>
        <v>#REF!</v>
      </c>
      <c r="GV179" t="e">
        <f>AND(#REF!,"AAAAAH61/8s=")</f>
        <v>#REF!</v>
      </c>
      <c r="GW179" t="e">
        <f>AND(#REF!,"AAAAAH61/8w=")</f>
        <v>#REF!</v>
      </c>
      <c r="GX179" t="e">
        <f>AND(#REF!,"AAAAAH61/80=")</f>
        <v>#REF!</v>
      </c>
      <c r="GY179" t="e">
        <f>AND(#REF!,"AAAAAH61/84=")</f>
        <v>#REF!</v>
      </c>
      <c r="GZ179" t="e">
        <f>AND(#REF!,"AAAAAH61/88=")</f>
        <v>#REF!</v>
      </c>
      <c r="HA179" t="e">
        <f>AND(#REF!,"AAAAAH61/9A=")</f>
        <v>#REF!</v>
      </c>
      <c r="HB179" t="e">
        <f>AND(#REF!,"AAAAAH61/9E=")</f>
        <v>#REF!</v>
      </c>
      <c r="HC179" t="e">
        <f>AND(#REF!,"AAAAAH61/9I=")</f>
        <v>#REF!</v>
      </c>
      <c r="HD179" t="e">
        <f>AND(#REF!,"AAAAAH61/9M=")</f>
        <v>#REF!</v>
      </c>
      <c r="HE179" t="e">
        <f>AND(#REF!,"AAAAAH61/9Q=")</f>
        <v>#REF!</v>
      </c>
      <c r="HF179" t="e">
        <f>AND(#REF!,"AAAAAH61/9U=")</f>
        <v>#REF!</v>
      </c>
      <c r="HG179" t="e">
        <f>AND(#REF!,"AAAAAH61/9Y=")</f>
        <v>#REF!</v>
      </c>
      <c r="HH179" t="e">
        <f>AND(#REF!,"AAAAAH61/9c=")</f>
        <v>#REF!</v>
      </c>
      <c r="HI179" t="e">
        <f>AND(#REF!,"AAAAAH61/9g=")</f>
        <v>#REF!</v>
      </c>
      <c r="HJ179" t="e">
        <f>AND(#REF!,"AAAAAH61/9k=")</f>
        <v>#REF!</v>
      </c>
      <c r="HK179" t="e">
        <f>AND(#REF!,"AAAAAH61/9o=")</f>
        <v>#REF!</v>
      </c>
      <c r="HL179" t="e">
        <f>AND(#REF!,"AAAAAH61/9s=")</f>
        <v>#REF!</v>
      </c>
      <c r="HM179" t="e">
        <f>AND(#REF!,"AAAAAH61/9w=")</f>
        <v>#REF!</v>
      </c>
      <c r="HN179" t="e">
        <f>AND(#REF!,"AAAAAH61/90=")</f>
        <v>#REF!</v>
      </c>
      <c r="HO179" t="e">
        <f>AND(#REF!,"AAAAAH61/94=")</f>
        <v>#REF!</v>
      </c>
      <c r="HP179" t="e">
        <f>AND(#REF!,"AAAAAH61/98=")</f>
        <v>#REF!</v>
      </c>
      <c r="HQ179" t="e">
        <f>AND(#REF!,"AAAAAH61/+A=")</f>
        <v>#REF!</v>
      </c>
      <c r="HR179" t="e">
        <f>AND(#REF!,"AAAAAH61/+E=")</f>
        <v>#REF!</v>
      </c>
      <c r="HS179" t="e">
        <f>AND(#REF!,"AAAAAH61/+I=")</f>
        <v>#REF!</v>
      </c>
      <c r="HT179" t="e">
        <f>AND(#REF!,"AAAAAH61/+M=")</f>
        <v>#REF!</v>
      </c>
      <c r="HU179" t="e">
        <f>AND(#REF!,"AAAAAH61/+Q=")</f>
        <v>#REF!</v>
      </c>
      <c r="HV179" t="e">
        <f>AND(#REF!,"AAAAAH61/+U=")</f>
        <v>#REF!</v>
      </c>
      <c r="HW179" t="e">
        <f>AND(#REF!,"AAAAAH61/+Y=")</f>
        <v>#REF!</v>
      </c>
      <c r="HX179" t="e">
        <f>AND(#REF!,"AAAAAH61/+c=")</f>
        <v>#REF!</v>
      </c>
      <c r="HY179" t="e">
        <f>AND(#REF!,"AAAAAH61/+g=")</f>
        <v>#REF!</v>
      </c>
      <c r="HZ179" t="e">
        <f>AND(#REF!,"AAAAAH61/+k=")</f>
        <v>#REF!</v>
      </c>
      <c r="IA179" t="e">
        <f>AND(#REF!,"AAAAAH61/+o=")</f>
        <v>#REF!</v>
      </c>
      <c r="IB179" t="e">
        <f>AND(#REF!,"AAAAAH61/+s=")</f>
        <v>#REF!</v>
      </c>
      <c r="IC179" t="e">
        <f>AND(#REF!,"AAAAAH61/+w=")</f>
        <v>#REF!</v>
      </c>
      <c r="ID179" t="e">
        <f>AND(#REF!,"AAAAAH61/+0=")</f>
        <v>#REF!</v>
      </c>
      <c r="IE179" t="e">
        <f>AND(#REF!,"AAAAAH61/+4=")</f>
        <v>#REF!</v>
      </c>
      <c r="IF179" t="e">
        <f>AND(#REF!,"AAAAAH61/+8=")</f>
        <v>#REF!</v>
      </c>
      <c r="IG179" t="e">
        <f>AND(#REF!,"AAAAAH61//A=")</f>
        <v>#REF!</v>
      </c>
      <c r="IH179" t="e">
        <f>AND(#REF!,"AAAAAH61//E=")</f>
        <v>#REF!</v>
      </c>
      <c r="II179" t="e">
        <f>AND(#REF!,"AAAAAH61//I=")</f>
        <v>#REF!</v>
      </c>
      <c r="IJ179" t="e">
        <f>AND(#REF!,"AAAAAH61//M=")</f>
        <v>#REF!</v>
      </c>
      <c r="IK179" t="e">
        <f>AND(#REF!,"AAAAAH61//Q=")</f>
        <v>#REF!</v>
      </c>
      <c r="IL179" t="e">
        <f>AND(#REF!,"AAAAAH61//U=")</f>
        <v>#REF!</v>
      </c>
      <c r="IM179" t="e">
        <f>AND(#REF!,"AAAAAH61//Y=")</f>
        <v>#REF!</v>
      </c>
      <c r="IN179" t="e">
        <f>AND(#REF!,"AAAAAH61//c=")</f>
        <v>#REF!</v>
      </c>
      <c r="IO179" t="e">
        <f>AND(#REF!,"AAAAAH61//g=")</f>
        <v>#REF!</v>
      </c>
      <c r="IP179" t="e">
        <f>AND(#REF!,"AAAAAH61//k=")</f>
        <v>#REF!</v>
      </c>
      <c r="IQ179" t="e">
        <f>AND(#REF!,"AAAAAH61//o=")</f>
        <v>#REF!</v>
      </c>
      <c r="IR179" t="e">
        <f>AND(#REF!,"AAAAAH61//s=")</f>
        <v>#REF!</v>
      </c>
      <c r="IS179" t="e">
        <f>AND(#REF!,"AAAAAH61//w=")</f>
        <v>#REF!</v>
      </c>
      <c r="IT179" t="e">
        <f>AND(#REF!,"AAAAAH61//0=")</f>
        <v>#REF!</v>
      </c>
      <c r="IU179" t="e">
        <f>AND(#REF!,"AAAAAH61//4=")</f>
        <v>#REF!</v>
      </c>
      <c r="IV179" t="e">
        <f>AND(#REF!,"AAAAAH61//8=")</f>
        <v>#REF!</v>
      </c>
    </row>
    <row r="180" spans="1:256">
      <c r="A180" t="e">
        <f>AND(#REF!,"AAAAAG3z/gA=")</f>
        <v>#REF!</v>
      </c>
      <c r="B180" t="e">
        <f>AND(#REF!,"AAAAAG3z/gE=")</f>
        <v>#REF!</v>
      </c>
      <c r="C180" t="e">
        <f>AND(#REF!,"AAAAAG3z/gI=")</f>
        <v>#REF!</v>
      </c>
      <c r="D180" t="e">
        <f>AND(#REF!,"AAAAAG3z/gM=")</f>
        <v>#REF!</v>
      </c>
      <c r="E180" t="e">
        <f>AND(#REF!,"AAAAAG3z/gQ=")</f>
        <v>#REF!</v>
      </c>
      <c r="F180" t="e">
        <f>AND(#REF!,"AAAAAG3z/gU=")</f>
        <v>#REF!</v>
      </c>
      <c r="G180" t="e">
        <f>AND(#REF!,"AAAAAG3z/gY=")</f>
        <v>#REF!</v>
      </c>
      <c r="H180" t="e">
        <f>AND(#REF!,"AAAAAG3z/gc=")</f>
        <v>#REF!</v>
      </c>
      <c r="I180" t="e">
        <f>AND(#REF!,"AAAAAG3z/gg=")</f>
        <v>#REF!</v>
      </c>
      <c r="J180" t="e">
        <f>AND(#REF!,"AAAAAG3z/gk=")</f>
        <v>#REF!</v>
      </c>
      <c r="K180" t="e">
        <f>AND(#REF!,"AAAAAG3z/go=")</f>
        <v>#REF!</v>
      </c>
      <c r="L180" t="e">
        <f>AND(#REF!,"AAAAAG3z/gs=")</f>
        <v>#REF!</v>
      </c>
      <c r="M180" t="e">
        <f>AND(#REF!,"AAAAAG3z/gw=")</f>
        <v>#REF!</v>
      </c>
      <c r="N180" t="e">
        <f>AND(#REF!,"AAAAAG3z/g0=")</f>
        <v>#REF!</v>
      </c>
      <c r="O180" t="e">
        <f>AND(#REF!,"AAAAAG3z/g4=")</f>
        <v>#REF!</v>
      </c>
      <c r="P180" t="e">
        <f>AND(#REF!,"AAAAAG3z/g8=")</f>
        <v>#REF!</v>
      </c>
      <c r="Q180" t="e">
        <f>AND(#REF!,"AAAAAG3z/hA=")</f>
        <v>#REF!</v>
      </c>
      <c r="R180" t="e">
        <f>AND(#REF!,"AAAAAG3z/hE=")</f>
        <v>#REF!</v>
      </c>
      <c r="S180" t="e">
        <f>AND(#REF!,"AAAAAG3z/hI=")</f>
        <v>#REF!</v>
      </c>
      <c r="T180" t="e">
        <f>AND(#REF!,"AAAAAG3z/hM=")</f>
        <v>#REF!</v>
      </c>
      <c r="U180" t="e">
        <f>AND(#REF!,"AAAAAG3z/hQ=")</f>
        <v>#REF!</v>
      </c>
      <c r="V180" t="e">
        <f>AND(#REF!,"AAAAAG3z/hU=")</f>
        <v>#REF!</v>
      </c>
      <c r="W180" t="e">
        <f>AND(#REF!,"AAAAAG3z/hY=")</f>
        <v>#REF!</v>
      </c>
      <c r="X180" t="e">
        <f>AND(#REF!,"AAAAAG3z/hc=")</f>
        <v>#REF!</v>
      </c>
      <c r="Y180" t="e">
        <f>AND(#REF!,"AAAAAG3z/hg=")</f>
        <v>#REF!</v>
      </c>
      <c r="Z180" t="e">
        <f>AND(#REF!,"AAAAAG3z/hk=")</f>
        <v>#REF!</v>
      </c>
      <c r="AA180" t="e">
        <f>AND(#REF!,"AAAAAG3z/ho=")</f>
        <v>#REF!</v>
      </c>
      <c r="AB180" t="e">
        <f>AND(#REF!,"AAAAAG3z/hs=")</f>
        <v>#REF!</v>
      </c>
      <c r="AC180" t="e">
        <f>AND(#REF!,"AAAAAG3z/hw=")</f>
        <v>#REF!</v>
      </c>
      <c r="AD180" t="e">
        <f>AND(#REF!,"AAAAAG3z/h0=")</f>
        <v>#REF!</v>
      </c>
      <c r="AE180" t="e">
        <f>AND(#REF!,"AAAAAG3z/h4=")</f>
        <v>#REF!</v>
      </c>
      <c r="AF180" t="e">
        <f>AND(#REF!,"AAAAAG3z/h8=")</f>
        <v>#REF!</v>
      </c>
      <c r="AG180" t="e">
        <f>AND(#REF!,"AAAAAG3z/iA=")</f>
        <v>#REF!</v>
      </c>
      <c r="AH180" t="e">
        <f>AND(#REF!,"AAAAAG3z/iE=")</f>
        <v>#REF!</v>
      </c>
      <c r="AI180" t="e">
        <f>AND(#REF!,"AAAAAG3z/iI=")</f>
        <v>#REF!</v>
      </c>
      <c r="AJ180" t="e">
        <f>AND(#REF!,"AAAAAG3z/iM=")</f>
        <v>#REF!</v>
      </c>
      <c r="AK180" t="e">
        <f>AND(#REF!,"AAAAAG3z/iQ=")</f>
        <v>#REF!</v>
      </c>
      <c r="AL180" t="e">
        <f>AND(#REF!,"AAAAAG3z/iU=")</f>
        <v>#REF!</v>
      </c>
      <c r="AM180" t="e">
        <f>AND(#REF!,"AAAAAG3z/iY=")</f>
        <v>#REF!</v>
      </c>
      <c r="AN180" t="e">
        <f>AND(#REF!,"AAAAAG3z/ic=")</f>
        <v>#REF!</v>
      </c>
      <c r="AO180" t="e">
        <f>AND(#REF!,"AAAAAG3z/ig=")</f>
        <v>#REF!</v>
      </c>
      <c r="AP180" t="e">
        <f>AND(#REF!,"AAAAAG3z/ik=")</f>
        <v>#REF!</v>
      </c>
      <c r="AQ180" t="e">
        <f>AND(#REF!,"AAAAAG3z/io=")</f>
        <v>#REF!</v>
      </c>
      <c r="AR180" t="e">
        <f>AND(#REF!,"AAAAAG3z/is=")</f>
        <v>#REF!</v>
      </c>
      <c r="AS180" t="e">
        <f>AND(#REF!,"AAAAAG3z/iw=")</f>
        <v>#REF!</v>
      </c>
      <c r="AT180" t="e">
        <f>AND(#REF!,"AAAAAG3z/i0=")</f>
        <v>#REF!</v>
      </c>
      <c r="AU180" t="e">
        <f>AND(#REF!,"AAAAAG3z/i4=")</f>
        <v>#REF!</v>
      </c>
      <c r="AV180" t="e">
        <f>AND(#REF!,"AAAAAG3z/i8=")</f>
        <v>#REF!</v>
      </c>
      <c r="AW180" t="e">
        <f>AND(#REF!,"AAAAAG3z/jA=")</f>
        <v>#REF!</v>
      </c>
      <c r="AX180" t="e">
        <f>AND(#REF!,"AAAAAG3z/jE=")</f>
        <v>#REF!</v>
      </c>
      <c r="AY180" t="e">
        <f>AND(#REF!,"AAAAAG3z/jI=")</f>
        <v>#REF!</v>
      </c>
      <c r="AZ180" t="e">
        <f>AND(#REF!,"AAAAAG3z/jM=")</f>
        <v>#REF!</v>
      </c>
      <c r="BA180" t="e">
        <f>AND(#REF!,"AAAAAG3z/jQ=")</f>
        <v>#REF!</v>
      </c>
      <c r="BB180" t="e">
        <f>AND(#REF!,"AAAAAG3z/jU=")</f>
        <v>#REF!</v>
      </c>
      <c r="BC180" t="e">
        <f>AND(#REF!,"AAAAAG3z/jY=")</f>
        <v>#REF!</v>
      </c>
      <c r="BD180" t="e">
        <f>AND(#REF!,"AAAAAG3z/jc=")</f>
        <v>#REF!</v>
      </c>
      <c r="BE180" t="e">
        <f>AND(#REF!,"AAAAAG3z/jg=")</f>
        <v>#REF!</v>
      </c>
      <c r="BF180" t="e">
        <f>AND(#REF!,"AAAAAG3z/jk=")</f>
        <v>#REF!</v>
      </c>
      <c r="BG180" t="e">
        <f>AND(#REF!,"AAAAAG3z/jo=")</f>
        <v>#REF!</v>
      </c>
      <c r="BH180" t="e">
        <f>AND(#REF!,"AAAAAG3z/js=")</f>
        <v>#REF!</v>
      </c>
      <c r="BI180" t="e">
        <f>AND(#REF!,"AAAAAG3z/jw=")</f>
        <v>#REF!</v>
      </c>
      <c r="BJ180" t="e">
        <f>AND(#REF!,"AAAAAG3z/j0=")</f>
        <v>#REF!</v>
      </c>
      <c r="BK180" t="e">
        <f>AND(#REF!,"AAAAAG3z/j4=")</f>
        <v>#REF!</v>
      </c>
      <c r="BL180" t="e">
        <f>AND(#REF!,"AAAAAG3z/j8=")</f>
        <v>#REF!</v>
      </c>
      <c r="BM180" t="e">
        <f>AND(#REF!,"AAAAAG3z/kA=")</f>
        <v>#REF!</v>
      </c>
      <c r="BN180" t="e">
        <f>AND(#REF!,"AAAAAG3z/kE=")</f>
        <v>#REF!</v>
      </c>
      <c r="BO180" t="e">
        <f>AND(#REF!,"AAAAAG3z/kI=")</f>
        <v>#REF!</v>
      </c>
      <c r="BP180" t="e">
        <f>AND(#REF!,"AAAAAG3z/kM=")</f>
        <v>#REF!</v>
      </c>
      <c r="BQ180" t="e">
        <f>AND(#REF!,"AAAAAG3z/kQ=")</f>
        <v>#REF!</v>
      </c>
      <c r="BR180" t="e">
        <f>AND(#REF!,"AAAAAG3z/kU=")</f>
        <v>#REF!</v>
      </c>
      <c r="BS180" t="e">
        <f>AND(#REF!,"AAAAAG3z/kY=")</f>
        <v>#REF!</v>
      </c>
      <c r="BT180" t="e">
        <f>AND(#REF!,"AAAAAG3z/kc=")</f>
        <v>#REF!</v>
      </c>
      <c r="BU180" t="e">
        <f>AND(#REF!,"AAAAAG3z/kg=")</f>
        <v>#REF!</v>
      </c>
      <c r="BV180" t="e">
        <f>AND(#REF!,"AAAAAG3z/kk=")</f>
        <v>#REF!</v>
      </c>
      <c r="BW180" t="e">
        <f>AND(#REF!,"AAAAAG3z/ko=")</f>
        <v>#REF!</v>
      </c>
      <c r="BX180" t="e">
        <f>AND(#REF!,"AAAAAG3z/ks=")</f>
        <v>#REF!</v>
      </c>
      <c r="BY180" t="e">
        <f>AND(#REF!,"AAAAAG3z/kw=")</f>
        <v>#REF!</v>
      </c>
      <c r="BZ180" t="e">
        <f>AND(#REF!,"AAAAAG3z/k0=")</f>
        <v>#REF!</v>
      </c>
      <c r="CA180" t="e">
        <f>AND(#REF!,"AAAAAG3z/k4=")</f>
        <v>#REF!</v>
      </c>
      <c r="CB180" t="e">
        <f>AND(#REF!,"AAAAAG3z/k8=")</f>
        <v>#REF!</v>
      </c>
      <c r="CC180" t="e">
        <f>AND(#REF!,"AAAAAG3z/lA=")</f>
        <v>#REF!</v>
      </c>
      <c r="CD180" t="e">
        <f>AND(#REF!,"AAAAAG3z/lE=")</f>
        <v>#REF!</v>
      </c>
      <c r="CE180" t="e">
        <f>AND(#REF!,"AAAAAG3z/lI=")</f>
        <v>#REF!</v>
      </c>
      <c r="CF180" t="e">
        <f>AND(#REF!,"AAAAAG3z/lM=")</f>
        <v>#REF!</v>
      </c>
      <c r="CG180" t="e">
        <f>AND(#REF!,"AAAAAG3z/lQ=")</f>
        <v>#REF!</v>
      </c>
      <c r="CH180" t="e">
        <f>AND(#REF!,"AAAAAG3z/lU=")</f>
        <v>#REF!</v>
      </c>
      <c r="CI180" t="e">
        <f>AND(#REF!,"AAAAAG3z/lY=")</f>
        <v>#REF!</v>
      </c>
      <c r="CJ180" t="e">
        <f>AND(#REF!,"AAAAAG3z/lc=")</f>
        <v>#REF!</v>
      </c>
      <c r="CK180" t="e">
        <f>AND(#REF!,"AAAAAG3z/lg=")</f>
        <v>#REF!</v>
      </c>
      <c r="CL180" t="e">
        <f>AND(#REF!,"AAAAAG3z/lk=")</f>
        <v>#REF!</v>
      </c>
      <c r="CM180" t="e">
        <f>AND(#REF!,"AAAAAG3z/lo=")</f>
        <v>#REF!</v>
      </c>
      <c r="CN180" t="e">
        <f>AND(#REF!,"AAAAAG3z/ls=")</f>
        <v>#REF!</v>
      </c>
      <c r="CO180" t="e">
        <f>AND(#REF!,"AAAAAG3z/lw=")</f>
        <v>#REF!</v>
      </c>
      <c r="CP180" t="e">
        <f>AND(#REF!,"AAAAAG3z/l0=")</f>
        <v>#REF!</v>
      </c>
      <c r="CQ180" t="e">
        <f>AND(#REF!,"AAAAAG3z/l4=")</f>
        <v>#REF!</v>
      </c>
      <c r="CR180" t="e">
        <f>AND(#REF!,"AAAAAG3z/l8=")</f>
        <v>#REF!</v>
      </c>
      <c r="CS180" t="e">
        <f>AND(#REF!,"AAAAAG3z/mA=")</f>
        <v>#REF!</v>
      </c>
      <c r="CT180" t="e">
        <f>AND(#REF!,"AAAAAG3z/mE=")</f>
        <v>#REF!</v>
      </c>
      <c r="CU180" t="e">
        <f>AND(#REF!,"AAAAAG3z/mI=")</f>
        <v>#REF!</v>
      </c>
      <c r="CV180" t="e">
        <f>AND(#REF!,"AAAAAG3z/mM=")</f>
        <v>#REF!</v>
      </c>
      <c r="CW180" t="e">
        <f>AND(#REF!,"AAAAAG3z/mQ=")</f>
        <v>#REF!</v>
      </c>
      <c r="CX180" t="e">
        <f>AND(#REF!,"AAAAAG3z/mU=")</f>
        <v>#REF!</v>
      </c>
      <c r="CY180" t="e">
        <f>AND(#REF!,"AAAAAG3z/mY=")</f>
        <v>#REF!</v>
      </c>
      <c r="CZ180" t="e">
        <f>AND(#REF!,"AAAAAG3z/mc=")</f>
        <v>#REF!</v>
      </c>
      <c r="DA180" t="e">
        <f>AND(#REF!,"AAAAAG3z/mg=")</f>
        <v>#REF!</v>
      </c>
      <c r="DB180" t="e">
        <f>AND(#REF!,"AAAAAG3z/mk=")</f>
        <v>#REF!</v>
      </c>
      <c r="DC180" t="e">
        <f>AND(#REF!,"AAAAAG3z/mo=")</f>
        <v>#REF!</v>
      </c>
      <c r="DD180" t="e">
        <f>AND(#REF!,"AAAAAG3z/ms=")</f>
        <v>#REF!</v>
      </c>
      <c r="DE180" t="e">
        <f>AND(#REF!,"AAAAAG3z/mw=")</f>
        <v>#REF!</v>
      </c>
      <c r="DF180" t="e">
        <f>AND(#REF!,"AAAAAG3z/m0=")</f>
        <v>#REF!</v>
      </c>
      <c r="DG180" t="e">
        <f>AND(#REF!,"AAAAAG3z/m4=")</f>
        <v>#REF!</v>
      </c>
      <c r="DH180" t="e">
        <f>AND(#REF!,"AAAAAG3z/m8=")</f>
        <v>#REF!</v>
      </c>
      <c r="DI180" t="e">
        <f>AND(#REF!,"AAAAAG3z/nA=")</f>
        <v>#REF!</v>
      </c>
      <c r="DJ180" t="e">
        <f>AND(#REF!,"AAAAAG3z/nE=")</f>
        <v>#REF!</v>
      </c>
      <c r="DK180" t="e">
        <f>AND(#REF!,"AAAAAG3z/nI=")</f>
        <v>#REF!</v>
      </c>
      <c r="DL180" t="e">
        <f>AND(#REF!,"AAAAAG3z/nM=")</f>
        <v>#REF!</v>
      </c>
      <c r="DM180" t="e">
        <f>AND(#REF!,"AAAAAG3z/nQ=")</f>
        <v>#REF!</v>
      </c>
      <c r="DN180" t="e">
        <f>AND(#REF!,"AAAAAG3z/nU=")</f>
        <v>#REF!</v>
      </c>
      <c r="DO180" t="e">
        <f>AND(#REF!,"AAAAAG3z/nY=")</f>
        <v>#REF!</v>
      </c>
      <c r="DP180" t="e">
        <f>AND(#REF!,"AAAAAG3z/nc=")</f>
        <v>#REF!</v>
      </c>
      <c r="DQ180" t="e">
        <f>AND(#REF!,"AAAAAG3z/ng=")</f>
        <v>#REF!</v>
      </c>
      <c r="DR180" t="e">
        <f>AND(#REF!,"AAAAAG3z/nk=")</f>
        <v>#REF!</v>
      </c>
      <c r="DS180" t="e">
        <f>AND(#REF!,"AAAAAG3z/no=")</f>
        <v>#REF!</v>
      </c>
      <c r="DT180" t="e">
        <f>AND(#REF!,"AAAAAG3z/ns=")</f>
        <v>#REF!</v>
      </c>
      <c r="DU180" t="e">
        <f>AND(#REF!,"AAAAAG3z/nw=")</f>
        <v>#REF!</v>
      </c>
      <c r="DV180" t="e">
        <f>AND(#REF!,"AAAAAG3z/n0=")</f>
        <v>#REF!</v>
      </c>
      <c r="DW180" t="e">
        <f>AND(#REF!,"AAAAAG3z/n4=")</f>
        <v>#REF!</v>
      </c>
      <c r="DX180" t="e">
        <f>AND(#REF!,"AAAAAG3z/n8=")</f>
        <v>#REF!</v>
      </c>
      <c r="DY180" t="e">
        <f>AND(#REF!,"AAAAAG3z/oA=")</f>
        <v>#REF!</v>
      </c>
      <c r="DZ180" t="e">
        <f>AND(#REF!,"AAAAAG3z/oE=")</f>
        <v>#REF!</v>
      </c>
      <c r="EA180" t="e">
        <f>AND(#REF!,"AAAAAG3z/oI=")</f>
        <v>#REF!</v>
      </c>
      <c r="EB180" t="e">
        <f>AND(#REF!,"AAAAAG3z/oM=")</f>
        <v>#REF!</v>
      </c>
      <c r="EC180" t="e">
        <f>AND(#REF!,"AAAAAG3z/oQ=")</f>
        <v>#REF!</v>
      </c>
      <c r="ED180" t="e">
        <f>AND(#REF!,"AAAAAG3z/oU=")</f>
        <v>#REF!</v>
      </c>
      <c r="EE180" t="e">
        <f>AND(#REF!,"AAAAAG3z/oY=")</f>
        <v>#REF!</v>
      </c>
      <c r="EF180" t="e">
        <f>AND(#REF!,"AAAAAG3z/oc=")</f>
        <v>#REF!</v>
      </c>
      <c r="EG180" t="e">
        <f>AND(#REF!,"AAAAAG3z/og=")</f>
        <v>#REF!</v>
      </c>
      <c r="EH180" t="e">
        <f>AND(#REF!,"AAAAAG3z/ok=")</f>
        <v>#REF!</v>
      </c>
      <c r="EI180" t="e">
        <f>AND(#REF!,"AAAAAG3z/oo=")</f>
        <v>#REF!</v>
      </c>
      <c r="EJ180" t="e">
        <f>AND(#REF!,"AAAAAG3z/os=")</f>
        <v>#REF!</v>
      </c>
      <c r="EK180" t="e">
        <f>AND(#REF!,"AAAAAG3z/ow=")</f>
        <v>#REF!</v>
      </c>
      <c r="EL180" t="e">
        <f>AND(#REF!,"AAAAAG3z/o0=")</f>
        <v>#REF!</v>
      </c>
      <c r="EM180" t="e">
        <f>AND(#REF!,"AAAAAG3z/o4=")</f>
        <v>#REF!</v>
      </c>
      <c r="EN180" t="e">
        <f>AND(#REF!,"AAAAAG3z/o8=")</f>
        <v>#REF!</v>
      </c>
      <c r="EO180" t="e">
        <f>AND(#REF!,"AAAAAG3z/pA=")</f>
        <v>#REF!</v>
      </c>
      <c r="EP180" t="e">
        <f>AND(#REF!,"AAAAAG3z/pE=")</f>
        <v>#REF!</v>
      </c>
      <c r="EQ180" t="e">
        <f>AND(#REF!,"AAAAAG3z/pI=")</f>
        <v>#REF!</v>
      </c>
      <c r="ER180" t="e">
        <f>AND(#REF!,"AAAAAG3z/pM=")</f>
        <v>#REF!</v>
      </c>
      <c r="ES180" t="e">
        <f>AND(#REF!,"AAAAAG3z/pQ=")</f>
        <v>#REF!</v>
      </c>
      <c r="ET180" t="e">
        <f>AND(#REF!,"AAAAAG3z/pU=")</f>
        <v>#REF!</v>
      </c>
      <c r="EU180" t="e">
        <f>AND(#REF!,"AAAAAG3z/pY=")</f>
        <v>#REF!</v>
      </c>
      <c r="EV180" t="e">
        <f>AND(#REF!,"AAAAAG3z/pc=")</f>
        <v>#REF!</v>
      </c>
      <c r="EW180" t="e">
        <f>AND(#REF!,"AAAAAG3z/pg=")</f>
        <v>#REF!</v>
      </c>
      <c r="EX180" t="e">
        <f>AND(#REF!,"AAAAAG3z/pk=")</f>
        <v>#REF!</v>
      </c>
      <c r="EY180" t="e">
        <f>AND(#REF!,"AAAAAG3z/po=")</f>
        <v>#REF!</v>
      </c>
      <c r="EZ180" t="e">
        <f>AND(#REF!,"AAAAAG3z/ps=")</f>
        <v>#REF!</v>
      </c>
      <c r="FA180" t="e">
        <f>AND(#REF!,"AAAAAG3z/pw=")</f>
        <v>#REF!</v>
      </c>
      <c r="FB180" t="e">
        <f>AND(#REF!,"AAAAAG3z/p0=")</f>
        <v>#REF!</v>
      </c>
      <c r="FC180" t="e">
        <f>AND(#REF!,"AAAAAG3z/p4=")</f>
        <v>#REF!</v>
      </c>
      <c r="FD180" t="e">
        <f>AND(#REF!,"AAAAAG3z/p8=")</f>
        <v>#REF!</v>
      </c>
      <c r="FE180" t="e">
        <f>AND(#REF!,"AAAAAG3z/qA=")</f>
        <v>#REF!</v>
      </c>
      <c r="FF180" t="e">
        <f>AND(#REF!,"AAAAAG3z/qE=")</f>
        <v>#REF!</v>
      </c>
      <c r="FG180" t="e">
        <f>AND(#REF!,"AAAAAG3z/qI=")</f>
        <v>#REF!</v>
      </c>
      <c r="FH180" t="e">
        <f>AND(#REF!,"AAAAAG3z/qM=")</f>
        <v>#REF!</v>
      </c>
      <c r="FI180" t="e">
        <f>AND(#REF!,"AAAAAG3z/qQ=")</f>
        <v>#REF!</v>
      </c>
      <c r="FJ180" t="e">
        <f>AND(#REF!,"AAAAAG3z/qU=")</f>
        <v>#REF!</v>
      </c>
      <c r="FK180" t="e">
        <f>AND(#REF!,"AAAAAG3z/qY=")</f>
        <v>#REF!</v>
      </c>
      <c r="FL180" t="e">
        <f>AND(#REF!,"AAAAAG3z/qc=")</f>
        <v>#REF!</v>
      </c>
      <c r="FM180" t="e">
        <f>AND(#REF!,"AAAAAG3z/qg=")</f>
        <v>#REF!</v>
      </c>
      <c r="FN180" t="e">
        <f>AND(#REF!,"AAAAAG3z/qk=")</f>
        <v>#REF!</v>
      </c>
      <c r="FO180" t="e">
        <f>AND(#REF!,"AAAAAG3z/qo=")</f>
        <v>#REF!</v>
      </c>
      <c r="FP180" t="e">
        <f>AND(#REF!,"AAAAAG3z/qs=")</f>
        <v>#REF!</v>
      </c>
      <c r="FQ180" t="e">
        <f>AND(#REF!,"AAAAAG3z/qw=")</f>
        <v>#REF!</v>
      </c>
      <c r="FR180" t="e">
        <f>AND(#REF!,"AAAAAG3z/q0=")</f>
        <v>#REF!</v>
      </c>
      <c r="FS180" t="e">
        <f>IF(#REF!,"AAAAAG3z/q4=",0)</f>
        <v>#REF!</v>
      </c>
      <c r="FT180" t="e">
        <f>AND(#REF!,"AAAAAG3z/q8=")</f>
        <v>#REF!</v>
      </c>
      <c r="FU180" t="e">
        <f>AND(#REF!,"AAAAAG3z/rA=")</f>
        <v>#REF!</v>
      </c>
      <c r="FV180" t="e">
        <f>AND(#REF!,"AAAAAG3z/rE=")</f>
        <v>#REF!</v>
      </c>
      <c r="FW180" t="e">
        <f>AND(#REF!,"AAAAAG3z/rI=")</f>
        <v>#REF!</v>
      </c>
      <c r="FX180" t="e">
        <f>AND(#REF!,"AAAAAG3z/rM=")</f>
        <v>#REF!</v>
      </c>
      <c r="FY180" t="e">
        <f>AND(#REF!,"AAAAAG3z/rQ=")</f>
        <v>#REF!</v>
      </c>
      <c r="FZ180" t="e">
        <f>AND(#REF!,"AAAAAG3z/rU=")</f>
        <v>#REF!</v>
      </c>
      <c r="GA180" t="e">
        <f>AND(#REF!,"AAAAAG3z/rY=")</f>
        <v>#REF!</v>
      </c>
      <c r="GB180" t="e">
        <f>AND(#REF!,"AAAAAG3z/rc=")</f>
        <v>#REF!</v>
      </c>
      <c r="GC180" t="e">
        <f>AND(#REF!,"AAAAAG3z/rg=")</f>
        <v>#REF!</v>
      </c>
      <c r="GD180" t="e">
        <f>AND(#REF!,"AAAAAG3z/rk=")</f>
        <v>#REF!</v>
      </c>
      <c r="GE180" t="e">
        <f>AND(#REF!,"AAAAAG3z/ro=")</f>
        <v>#REF!</v>
      </c>
      <c r="GF180" t="e">
        <f>AND(#REF!,"AAAAAG3z/rs=")</f>
        <v>#REF!</v>
      </c>
      <c r="GG180" t="e">
        <f>AND(#REF!,"AAAAAG3z/rw=")</f>
        <v>#REF!</v>
      </c>
      <c r="GH180" t="e">
        <f>AND(#REF!,"AAAAAG3z/r0=")</f>
        <v>#REF!</v>
      </c>
      <c r="GI180" t="e">
        <f>AND(#REF!,"AAAAAG3z/r4=")</f>
        <v>#REF!</v>
      </c>
      <c r="GJ180" t="e">
        <f>AND(#REF!,"AAAAAG3z/r8=")</f>
        <v>#REF!</v>
      </c>
      <c r="GK180" t="e">
        <f>AND(#REF!,"AAAAAG3z/sA=")</f>
        <v>#REF!</v>
      </c>
      <c r="GL180" t="e">
        <f>AND(#REF!,"AAAAAG3z/sE=")</f>
        <v>#REF!</v>
      </c>
      <c r="GM180" t="e">
        <f>AND(#REF!,"AAAAAG3z/sI=")</f>
        <v>#REF!</v>
      </c>
      <c r="GN180" t="e">
        <f>AND(#REF!,"AAAAAG3z/sM=")</f>
        <v>#REF!</v>
      </c>
      <c r="GO180" t="e">
        <f>AND(#REF!,"AAAAAG3z/sQ=")</f>
        <v>#REF!</v>
      </c>
      <c r="GP180" t="e">
        <f>AND(#REF!,"AAAAAG3z/sU=")</f>
        <v>#REF!</v>
      </c>
      <c r="GQ180" t="e">
        <f>AND(#REF!,"AAAAAG3z/sY=")</f>
        <v>#REF!</v>
      </c>
      <c r="GR180" t="e">
        <f>AND(#REF!,"AAAAAG3z/sc=")</f>
        <v>#REF!</v>
      </c>
      <c r="GS180" t="e">
        <f>AND(#REF!,"AAAAAG3z/sg=")</f>
        <v>#REF!</v>
      </c>
      <c r="GT180" t="e">
        <f>AND(#REF!,"AAAAAG3z/sk=")</f>
        <v>#REF!</v>
      </c>
      <c r="GU180" t="e">
        <f>AND(#REF!,"AAAAAG3z/so=")</f>
        <v>#REF!</v>
      </c>
      <c r="GV180" t="e">
        <f>AND(#REF!,"AAAAAG3z/ss=")</f>
        <v>#REF!</v>
      </c>
      <c r="GW180" t="e">
        <f>AND(#REF!,"AAAAAG3z/sw=")</f>
        <v>#REF!</v>
      </c>
      <c r="GX180" t="e">
        <f>AND(#REF!,"AAAAAG3z/s0=")</f>
        <v>#REF!</v>
      </c>
      <c r="GY180" t="e">
        <f>AND(#REF!,"AAAAAG3z/s4=")</f>
        <v>#REF!</v>
      </c>
      <c r="GZ180" t="e">
        <f>AND(#REF!,"AAAAAG3z/s8=")</f>
        <v>#REF!</v>
      </c>
      <c r="HA180" t="e">
        <f>AND(#REF!,"AAAAAG3z/tA=")</f>
        <v>#REF!</v>
      </c>
      <c r="HB180" t="e">
        <f>AND(#REF!,"AAAAAG3z/tE=")</f>
        <v>#REF!</v>
      </c>
      <c r="HC180" t="e">
        <f>AND(#REF!,"AAAAAG3z/tI=")</f>
        <v>#REF!</v>
      </c>
      <c r="HD180" t="e">
        <f>AND(#REF!,"AAAAAG3z/tM=")</f>
        <v>#REF!</v>
      </c>
      <c r="HE180" t="e">
        <f>AND(#REF!,"AAAAAG3z/tQ=")</f>
        <v>#REF!</v>
      </c>
      <c r="HF180" t="e">
        <f>AND(#REF!,"AAAAAG3z/tU=")</f>
        <v>#REF!</v>
      </c>
      <c r="HG180" t="e">
        <f>AND(#REF!,"AAAAAG3z/tY=")</f>
        <v>#REF!</v>
      </c>
      <c r="HH180" t="e">
        <f>AND(#REF!,"AAAAAG3z/tc=")</f>
        <v>#REF!</v>
      </c>
      <c r="HI180" t="e">
        <f>AND(#REF!,"AAAAAG3z/tg=")</f>
        <v>#REF!</v>
      </c>
      <c r="HJ180" t="e">
        <f>AND(#REF!,"AAAAAG3z/tk=")</f>
        <v>#REF!</v>
      </c>
      <c r="HK180" t="e">
        <f>AND(#REF!,"AAAAAG3z/to=")</f>
        <v>#REF!</v>
      </c>
      <c r="HL180" t="e">
        <f>AND(#REF!,"AAAAAG3z/ts=")</f>
        <v>#REF!</v>
      </c>
      <c r="HM180" t="e">
        <f>AND(#REF!,"AAAAAG3z/tw=")</f>
        <v>#REF!</v>
      </c>
      <c r="HN180" t="e">
        <f>AND(#REF!,"AAAAAG3z/t0=")</f>
        <v>#REF!</v>
      </c>
      <c r="HO180" t="e">
        <f>AND(#REF!,"AAAAAG3z/t4=")</f>
        <v>#REF!</v>
      </c>
      <c r="HP180" t="e">
        <f>AND(#REF!,"AAAAAG3z/t8=")</f>
        <v>#REF!</v>
      </c>
      <c r="HQ180" t="e">
        <f>AND(#REF!,"AAAAAG3z/uA=")</f>
        <v>#REF!</v>
      </c>
      <c r="HR180" t="e">
        <f>AND(#REF!,"AAAAAG3z/uE=")</f>
        <v>#REF!</v>
      </c>
      <c r="HS180" t="e">
        <f>AND(#REF!,"AAAAAG3z/uI=")</f>
        <v>#REF!</v>
      </c>
      <c r="HT180" t="e">
        <f>AND(#REF!,"AAAAAG3z/uM=")</f>
        <v>#REF!</v>
      </c>
      <c r="HU180" t="e">
        <f>AND(#REF!,"AAAAAG3z/uQ=")</f>
        <v>#REF!</v>
      </c>
      <c r="HV180" t="e">
        <f>AND(#REF!,"AAAAAG3z/uU=")</f>
        <v>#REF!</v>
      </c>
      <c r="HW180" t="e">
        <f>AND(#REF!,"AAAAAG3z/uY=")</f>
        <v>#REF!</v>
      </c>
      <c r="HX180" t="e">
        <f>AND(#REF!,"AAAAAG3z/uc=")</f>
        <v>#REF!</v>
      </c>
      <c r="HY180" t="e">
        <f>AND(#REF!,"AAAAAG3z/ug=")</f>
        <v>#REF!</v>
      </c>
      <c r="HZ180" t="e">
        <f>AND(#REF!,"AAAAAG3z/uk=")</f>
        <v>#REF!</v>
      </c>
      <c r="IA180" t="e">
        <f>AND(#REF!,"AAAAAG3z/uo=")</f>
        <v>#REF!</v>
      </c>
      <c r="IB180" t="e">
        <f>AND(#REF!,"AAAAAG3z/us=")</f>
        <v>#REF!</v>
      </c>
      <c r="IC180" t="e">
        <f>AND(#REF!,"AAAAAG3z/uw=")</f>
        <v>#REF!</v>
      </c>
      <c r="ID180" t="e">
        <f>AND(#REF!,"AAAAAG3z/u0=")</f>
        <v>#REF!</v>
      </c>
      <c r="IE180" t="e">
        <f>AND(#REF!,"AAAAAG3z/u4=")</f>
        <v>#REF!</v>
      </c>
      <c r="IF180" t="e">
        <f>AND(#REF!,"AAAAAG3z/u8=")</f>
        <v>#REF!</v>
      </c>
      <c r="IG180" t="e">
        <f>AND(#REF!,"AAAAAG3z/vA=")</f>
        <v>#REF!</v>
      </c>
      <c r="IH180" t="e">
        <f>AND(#REF!,"AAAAAG3z/vE=")</f>
        <v>#REF!</v>
      </c>
      <c r="II180" t="e">
        <f>AND(#REF!,"AAAAAG3z/vI=")</f>
        <v>#REF!</v>
      </c>
      <c r="IJ180" t="e">
        <f>AND(#REF!,"AAAAAG3z/vM=")</f>
        <v>#REF!</v>
      </c>
      <c r="IK180" t="e">
        <f>AND(#REF!,"AAAAAG3z/vQ=")</f>
        <v>#REF!</v>
      </c>
      <c r="IL180" t="e">
        <f>AND(#REF!,"AAAAAG3z/vU=")</f>
        <v>#REF!</v>
      </c>
      <c r="IM180" t="e">
        <f>AND(#REF!,"AAAAAG3z/vY=")</f>
        <v>#REF!</v>
      </c>
      <c r="IN180" t="e">
        <f>AND(#REF!,"AAAAAG3z/vc=")</f>
        <v>#REF!</v>
      </c>
      <c r="IO180" t="e">
        <f>AND(#REF!,"AAAAAG3z/vg=")</f>
        <v>#REF!</v>
      </c>
      <c r="IP180" t="e">
        <f>AND(#REF!,"AAAAAG3z/vk=")</f>
        <v>#REF!</v>
      </c>
      <c r="IQ180" t="e">
        <f>AND(#REF!,"AAAAAG3z/vo=")</f>
        <v>#REF!</v>
      </c>
      <c r="IR180" t="e">
        <f>AND(#REF!,"AAAAAG3z/vs=")</f>
        <v>#REF!</v>
      </c>
      <c r="IS180" t="e">
        <f>AND(#REF!,"AAAAAG3z/vw=")</f>
        <v>#REF!</v>
      </c>
      <c r="IT180" t="e">
        <f>AND(#REF!,"AAAAAG3z/v0=")</f>
        <v>#REF!</v>
      </c>
      <c r="IU180" t="e">
        <f>AND(#REF!,"AAAAAG3z/v4=")</f>
        <v>#REF!</v>
      </c>
      <c r="IV180" t="e">
        <f>AND(#REF!,"AAAAAG3z/v8=")</f>
        <v>#REF!</v>
      </c>
    </row>
    <row r="181" spans="1:256">
      <c r="A181" t="e">
        <f>AND(#REF!,"AAAAAFf6/wA=")</f>
        <v>#REF!</v>
      </c>
      <c r="B181" t="e">
        <f>AND(#REF!,"AAAAAFf6/wE=")</f>
        <v>#REF!</v>
      </c>
      <c r="C181" t="e">
        <f>AND(#REF!,"AAAAAFf6/wI=")</f>
        <v>#REF!</v>
      </c>
      <c r="D181" t="e">
        <f>AND(#REF!,"AAAAAFf6/wM=")</f>
        <v>#REF!</v>
      </c>
      <c r="E181" t="e">
        <f>AND(#REF!,"AAAAAFf6/wQ=")</f>
        <v>#REF!</v>
      </c>
      <c r="F181" t="e">
        <f>AND(#REF!,"AAAAAFf6/wU=")</f>
        <v>#REF!</v>
      </c>
      <c r="G181" t="e">
        <f>AND(#REF!,"AAAAAFf6/wY=")</f>
        <v>#REF!</v>
      </c>
      <c r="H181" t="e">
        <f>AND(#REF!,"AAAAAFf6/wc=")</f>
        <v>#REF!</v>
      </c>
      <c r="I181" t="e">
        <f>AND(#REF!,"AAAAAFf6/wg=")</f>
        <v>#REF!</v>
      </c>
      <c r="J181" t="e">
        <f>AND(#REF!,"AAAAAFf6/wk=")</f>
        <v>#REF!</v>
      </c>
      <c r="K181" t="e">
        <f>AND(#REF!,"AAAAAFf6/wo=")</f>
        <v>#REF!</v>
      </c>
      <c r="L181" t="e">
        <f>AND(#REF!,"AAAAAFf6/ws=")</f>
        <v>#REF!</v>
      </c>
      <c r="M181" t="e">
        <f>AND(#REF!,"AAAAAFf6/ww=")</f>
        <v>#REF!</v>
      </c>
      <c r="N181" t="e">
        <f>AND(#REF!,"AAAAAFf6/w0=")</f>
        <v>#REF!</v>
      </c>
      <c r="O181" t="e">
        <f>AND(#REF!,"AAAAAFf6/w4=")</f>
        <v>#REF!</v>
      </c>
      <c r="P181" t="e">
        <f>AND(#REF!,"AAAAAFf6/w8=")</f>
        <v>#REF!</v>
      </c>
      <c r="Q181" t="e">
        <f>AND(#REF!,"AAAAAFf6/xA=")</f>
        <v>#REF!</v>
      </c>
      <c r="R181" t="e">
        <f>AND(#REF!,"AAAAAFf6/xE=")</f>
        <v>#REF!</v>
      </c>
      <c r="S181" t="e">
        <f>AND(#REF!,"AAAAAFf6/xI=")</f>
        <v>#REF!</v>
      </c>
      <c r="T181" t="e">
        <f>AND(#REF!,"AAAAAFf6/xM=")</f>
        <v>#REF!</v>
      </c>
      <c r="U181" t="e">
        <f>AND(#REF!,"AAAAAFf6/xQ=")</f>
        <v>#REF!</v>
      </c>
      <c r="V181" t="e">
        <f>AND(#REF!,"AAAAAFf6/xU=")</f>
        <v>#REF!</v>
      </c>
      <c r="W181" t="e">
        <f>AND(#REF!,"AAAAAFf6/xY=")</f>
        <v>#REF!</v>
      </c>
      <c r="X181" t="e">
        <f>AND(#REF!,"AAAAAFf6/xc=")</f>
        <v>#REF!</v>
      </c>
      <c r="Y181" t="e">
        <f>AND(#REF!,"AAAAAFf6/xg=")</f>
        <v>#REF!</v>
      </c>
      <c r="Z181" t="e">
        <f>AND(#REF!,"AAAAAFf6/xk=")</f>
        <v>#REF!</v>
      </c>
      <c r="AA181" t="e">
        <f>AND(#REF!,"AAAAAFf6/xo=")</f>
        <v>#REF!</v>
      </c>
      <c r="AB181" t="e">
        <f>AND(#REF!,"AAAAAFf6/xs=")</f>
        <v>#REF!</v>
      </c>
      <c r="AC181" t="e">
        <f>AND(#REF!,"AAAAAFf6/xw=")</f>
        <v>#REF!</v>
      </c>
      <c r="AD181" t="e">
        <f>AND(#REF!,"AAAAAFf6/x0=")</f>
        <v>#REF!</v>
      </c>
      <c r="AE181" t="e">
        <f>AND(#REF!,"AAAAAFf6/x4=")</f>
        <v>#REF!</v>
      </c>
      <c r="AF181" t="e">
        <f>AND(#REF!,"AAAAAFf6/x8=")</f>
        <v>#REF!</v>
      </c>
      <c r="AG181" t="e">
        <f>AND(#REF!,"AAAAAFf6/yA=")</f>
        <v>#REF!</v>
      </c>
      <c r="AH181" t="e">
        <f>AND(#REF!,"AAAAAFf6/yE=")</f>
        <v>#REF!</v>
      </c>
      <c r="AI181" t="e">
        <f>AND(#REF!,"AAAAAFf6/yI=")</f>
        <v>#REF!</v>
      </c>
      <c r="AJ181" t="e">
        <f>AND(#REF!,"AAAAAFf6/yM=")</f>
        <v>#REF!</v>
      </c>
      <c r="AK181" t="e">
        <f>AND(#REF!,"AAAAAFf6/yQ=")</f>
        <v>#REF!</v>
      </c>
      <c r="AL181" t="e">
        <f>AND(#REF!,"AAAAAFf6/yU=")</f>
        <v>#REF!</v>
      </c>
      <c r="AM181" t="e">
        <f>AND(#REF!,"AAAAAFf6/yY=")</f>
        <v>#REF!</v>
      </c>
      <c r="AN181" t="e">
        <f>AND(#REF!,"AAAAAFf6/yc=")</f>
        <v>#REF!</v>
      </c>
      <c r="AO181" t="e">
        <f>AND(#REF!,"AAAAAFf6/yg=")</f>
        <v>#REF!</v>
      </c>
      <c r="AP181" t="e">
        <f>AND(#REF!,"AAAAAFf6/yk=")</f>
        <v>#REF!</v>
      </c>
      <c r="AQ181" t="e">
        <f>AND(#REF!,"AAAAAFf6/yo=")</f>
        <v>#REF!</v>
      </c>
      <c r="AR181" t="e">
        <f>AND(#REF!,"AAAAAFf6/ys=")</f>
        <v>#REF!</v>
      </c>
      <c r="AS181" t="e">
        <f>AND(#REF!,"AAAAAFf6/yw=")</f>
        <v>#REF!</v>
      </c>
      <c r="AT181" t="e">
        <f>AND(#REF!,"AAAAAFf6/y0=")</f>
        <v>#REF!</v>
      </c>
      <c r="AU181" t="e">
        <f>AND(#REF!,"AAAAAFf6/y4=")</f>
        <v>#REF!</v>
      </c>
      <c r="AV181" t="e">
        <f>AND(#REF!,"AAAAAFf6/y8=")</f>
        <v>#REF!</v>
      </c>
      <c r="AW181" t="e">
        <f>AND(#REF!,"AAAAAFf6/zA=")</f>
        <v>#REF!</v>
      </c>
      <c r="AX181" t="e">
        <f>AND(#REF!,"AAAAAFf6/zE=")</f>
        <v>#REF!</v>
      </c>
      <c r="AY181" t="e">
        <f>AND(#REF!,"AAAAAFf6/zI=")</f>
        <v>#REF!</v>
      </c>
      <c r="AZ181" t="e">
        <f>AND(#REF!,"AAAAAFf6/zM=")</f>
        <v>#REF!</v>
      </c>
      <c r="BA181" t="e">
        <f>AND(#REF!,"AAAAAFf6/zQ=")</f>
        <v>#REF!</v>
      </c>
      <c r="BB181" t="e">
        <f>AND(#REF!,"AAAAAFf6/zU=")</f>
        <v>#REF!</v>
      </c>
      <c r="BC181" t="e">
        <f>AND(#REF!,"AAAAAFf6/zY=")</f>
        <v>#REF!</v>
      </c>
      <c r="BD181" t="e">
        <f>AND(#REF!,"AAAAAFf6/zc=")</f>
        <v>#REF!</v>
      </c>
      <c r="BE181" t="e">
        <f>AND(#REF!,"AAAAAFf6/zg=")</f>
        <v>#REF!</v>
      </c>
      <c r="BF181" t="e">
        <f>AND(#REF!,"AAAAAFf6/zk=")</f>
        <v>#REF!</v>
      </c>
      <c r="BG181" t="e">
        <f>AND(#REF!,"AAAAAFf6/zo=")</f>
        <v>#REF!</v>
      </c>
      <c r="BH181" t="e">
        <f>AND(#REF!,"AAAAAFf6/zs=")</f>
        <v>#REF!</v>
      </c>
      <c r="BI181" t="e">
        <f>AND(#REF!,"AAAAAFf6/zw=")</f>
        <v>#REF!</v>
      </c>
      <c r="BJ181" t="e">
        <f>AND(#REF!,"AAAAAFf6/z0=")</f>
        <v>#REF!</v>
      </c>
      <c r="BK181" t="e">
        <f>AND(#REF!,"AAAAAFf6/z4=")</f>
        <v>#REF!</v>
      </c>
      <c r="BL181" t="e">
        <f>AND(#REF!,"AAAAAFf6/z8=")</f>
        <v>#REF!</v>
      </c>
      <c r="BM181" t="e">
        <f>AND(#REF!,"AAAAAFf6/0A=")</f>
        <v>#REF!</v>
      </c>
      <c r="BN181" t="e">
        <f>AND(#REF!,"AAAAAFf6/0E=")</f>
        <v>#REF!</v>
      </c>
      <c r="BO181" t="e">
        <f>AND(#REF!,"AAAAAFf6/0I=")</f>
        <v>#REF!</v>
      </c>
      <c r="BP181" t="e">
        <f>AND(#REF!,"AAAAAFf6/0M=")</f>
        <v>#REF!</v>
      </c>
      <c r="BQ181" t="e">
        <f>AND(#REF!,"AAAAAFf6/0Q=")</f>
        <v>#REF!</v>
      </c>
      <c r="BR181" t="e">
        <f>AND(#REF!,"AAAAAFf6/0U=")</f>
        <v>#REF!</v>
      </c>
      <c r="BS181" t="e">
        <f>AND(#REF!,"AAAAAFf6/0Y=")</f>
        <v>#REF!</v>
      </c>
      <c r="BT181" t="e">
        <f>AND(#REF!,"AAAAAFf6/0c=")</f>
        <v>#REF!</v>
      </c>
      <c r="BU181" t="e">
        <f>AND(#REF!,"AAAAAFf6/0g=")</f>
        <v>#REF!</v>
      </c>
      <c r="BV181" t="e">
        <f>AND(#REF!,"AAAAAFf6/0k=")</f>
        <v>#REF!</v>
      </c>
      <c r="BW181" t="e">
        <f>AND(#REF!,"AAAAAFf6/0o=")</f>
        <v>#REF!</v>
      </c>
      <c r="BX181" t="e">
        <f>AND(#REF!,"AAAAAFf6/0s=")</f>
        <v>#REF!</v>
      </c>
      <c r="BY181" t="e">
        <f>AND(#REF!,"AAAAAFf6/0w=")</f>
        <v>#REF!</v>
      </c>
      <c r="BZ181" t="e">
        <f>AND(#REF!,"AAAAAFf6/00=")</f>
        <v>#REF!</v>
      </c>
      <c r="CA181" t="e">
        <f>AND(#REF!,"AAAAAFf6/04=")</f>
        <v>#REF!</v>
      </c>
      <c r="CB181" t="e">
        <f>AND(#REF!,"AAAAAFf6/08=")</f>
        <v>#REF!</v>
      </c>
      <c r="CC181" t="e">
        <f>AND(#REF!,"AAAAAFf6/1A=")</f>
        <v>#REF!</v>
      </c>
      <c r="CD181" t="e">
        <f>AND(#REF!,"AAAAAFf6/1E=")</f>
        <v>#REF!</v>
      </c>
      <c r="CE181" t="e">
        <f>AND(#REF!,"AAAAAFf6/1I=")</f>
        <v>#REF!</v>
      </c>
      <c r="CF181" t="e">
        <f>AND(#REF!,"AAAAAFf6/1M=")</f>
        <v>#REF!</v>
      </c>
      <c r="CG181" t="e">
        <f>AND(#REF!,"AAAAAFf6/1Q=")</f>
        <v>#REF!</v>
      </c>
      <c r="CH181" t="e">
        <f>AND(#REF!,"AAAAAFf6/1U=")</f>
        <v>#REF!</v>
      </c>
      <c r="CI181" t="e">
        <f>AND(#REF!,"AAAAAFf6/1Y=")</f>
        <v>#REF!</v>
      </c>
      <c r="CJ181" t="e">
        <f>AND(#REF!,"AAAAAFf6/1c=")</f>
        <v>#REF!</v>
      </c>
      <c r="CK181" t="e">
        <f>AND(#REF!,"AAAAAFf6/1g=")</f>
        <v>#REF!</v>
      </c>
      <c r="CL181" t="e">
        <f>AND(#REF!,"AAAAAFf6/1k=")</f>
        <v>#REF!</v>
      </c>
      <c r="CM181" t="e">
        <f>AND(#REF!,"AAAAAFf6/1o=")</f>
        <v>#REF!</v>
      </c>
      <c r="CN181" t="e">
        <f>AND(#REF!,"AAAAAFf6/1s=")</f>
        <v>#REF!</v>
      </c>
      <c r="CO181" t="e">
        <f>AND(#REF!,"AAAAAFf6/1w=")</f>
        <v>#REF!</v>
      </c>
      <c r="CP181" t="e">
        <f>AND(#REF!,"AAAAAFf6/10=")</f>
        <v>#REF!</v>
      </c>
      <c r="CQ181" t="e">
        <f>AND(#REF!,"AAAAAFf6/14=")</f>
        <v>#REF!</v>
      </c>
      <c r="CR181" t="e">
        <f>AND(#REF!,"AAAAAFf6/18=")</f>
        <v>#REF!</v>
      </c>
      <c r="CS181" t="e">
        <f>AND(#REF!,"AAAAAFf6/2A=")</f>
        <v>#REF!</v>
      </c>
      <c r="CT181" t="e">
        <f>AND(#REF!,"AAAAAFf6/2E=")</f>
        <v>#REF!</v>
      </c>
      <c r="CU181" t="e">
        <f>AND(#REF!,"AAAAAFf6/2I=")</f>
        <v>#REF!</v>
      </c>
      <c r="CV181" t="e">
        <f>AND(#REF!,"AAAAAFf6/2M=")</f>
        <v>#REF!</v>
      </c>
      <c r="CW181" t="e">
        <f>AND(#REF!,"AAAAAFf6/2Q=")</f>
        <v>#REF!</v>
      </c>
      <c r="CX181" t="e">
        <f>AND(#REF!,"AAAAAFf6/2U=")</f>
        <v>#REF!</v>
      </c>
      <c r="CY181" t="e">
        <f>AND(#REF!,"AAAAAFf6/2Y=")</f>
        <v>#REF!</v>
      </c>
      <c r="CZ181" t="e">
        <f>AND(#REF!,"AAAAAFf6/2c=")</f>
        <v>#REF!</v>
      </c>
      <c r="DA181" t="e">
        <f>AND(#REF!,"AAAAAFf6/2g=")</f>
        <v>#REF!</v>
      </c>
      <c r="DB181" t="e">
        <f>AND(#REF!,"AAAAAFf6/2k=")</f>
        <v>#REF!</v>
      </c>
      <c r="DC181" t="e">
        <f>AND(#REF!,"AAAAAFf6/2o=")</f>
        <v>#REF!</v>
      </c>
      <c r="DD181" t="e">
        <f>AND(#REF!,"AAAAAFf6/2s=")</f>
        <v>#REF!</v>
      </c>
      <c r="DE181" t="e">
        <f>AND(#REF!,"AAAAAFf6/2w=")</f>
        <v>#REF!</v>
      </c>
      <c r="DF181" t="e">
        <f>AND(#REF!,"AAAAAFf6/20=")</f>
        <v>#REF!</v>
      </c>
      <c r="DG181" t="e">
        <f>AND(#REF!,"AAAAAFf6/24=")</f>
        <v>#REF!</v>
      </c>
      <c r="DH181" t="e">
        <f>AND(#REF!,"AAAAAFf6/28=")</f>
        <v>#REF!</v>
      </c>
      <c r="DI181" t="e">
        <f>AND(#REF!,"AAAAAFf6/3A=")</f>
        <v>#REF!</v>
      </c>
      <c r="DJ181" t="e">
        <f>AND(#REF!,"AAAAAFf6/3E=")</f>
        <v>#REF!</v>
      </c>
      <c r="DK181" t="e">
        <f>AND(#REF!,"AAAAAFf6/3I=")</f>
        <v>#REF!</v>
      </c>
      <c r="DL181" t="e">
        <f>AND(#REF!,"AAAAAFf6/3M=")</f>
        <v>#REF!</v>
      </c>
      <c r="DM181" t="e">
        <f>AND(#REF!,"AAAAAFf6/3Q=")</f>
        <v>#REF!</v>
      </c>
      <c r="DN181" t="e">
        <f>AND(#REF!,"AAAAAFf6/3U=")</f>
        <v>#REF!</v>
      </c>
      <c r="DO181" t="e">
        <f>AND(#REF!,"AAAAAFf6/3Y=")</f>
        <v>#REF!</v>
      </c>
      <c r="DP181" t="e">
        <f>AND(#REF!,"AAAAAFf6/3c=")</f>
        <v>#REF!</v>
      </c>
      <c r="DQ181" t="e">
        <f>AND(#REF!,"AAAAAFf6/3g=")</f>
        <v>#REF!</v>
      </c>
      <c r="DR181" t="e">
        <f>AND(#REF!,"AAAAAFf6/3k=")</f>
        <v>#REF!</v>
      </c>
      <c r="DS181" t="e">
        <f>AND(#REF!,"AAAAAFf6/3o=")</f>
        <v>#REF!</v>
      </c>
      <c r="DT181" t="e">
        <f>AND(#REF!,"AAAAAFf6/3s=")</f>
        <v>#REF!</v>
      </c>
      <c r="DU181" t="e">
        <f>AND(#REF!,"AAAAAFf6/3w=")</f>
        <v>#REF!</v>
      </c>
      <c r="DV181" t="e">
        <f>AND(#REF!,"AAAAAFf6/30=")</f>
        <v>#REF!</v>
      </c>
      <c r="DW181" t="e">
        <f>AND(#REF!,"AAAAAFf6/34=")</f>
        <v>#REF!</v>
      </c>
      <c r="DX181" t="e">
        <f>AND(#REF!,"AAAAAFf6/38=")</f>
        <v>#REF!</v>
      </c>
      <c r="DY181" t="e">
        <f>AND(#REF!,"AAAAAFf6/4A=")</f>
        <v>#REF!</v>
      </c>
      <c r="DZ181" t="e">
        <f>AND(#REF!,"AAAAAFf6/4E=")</f>
        <v>#REF!</v>
      </c>
      <c r="EA181" t="e">
        <f>AND(#REF!,"AAAAAFf6/4I=")</f>
        <v>#REF!</v>
      </c>
      <c r="EB181" t="e">
        <f>AND(#REF!,"AAAAAFf6/4M=")</f>
        <v>#REF!</v>
      </c>
      <c r="EC181" t="e">
        <f>AND(#REF!,"AAAAAFf6/4Q=")</f>
        <v>#REF!</v>
      </c>
      <c r="ED181" t="e">
        <f>AND(#REF!,"AAAAAFf6/4U=")</f>
        <v>#REF!</v>
      </c>
      <c r="EE181" t="e">
        <f>AND(#REF!,"AAAAAFf6/4Y=")</f>
        <v>#REF!</v>
      </c>
      <c r="EF181" t="e">
        <f>AND(#REF!,"AAAAAFf6/4c=")</f>
        <v>#REF!</v>
      </c>
      <c r="EG181" t="e">
        <f>AND(#REF!,"AAAAAFf6/4g=")</f>
        <v>#REF!</v>
      </c>
      <c r="EH181" t="e">
        <f>AND(#REF!,"AAAAAFf6/4k=")</f>
        <v>#REF!</v>
      </c>
      <c r="EI181" t="e">
        <f>AND(#REF!,"AAAAAFf6/4o=")</f>
        <v>#REF!</v>
      </c>
      <c r="EJ181" t="e">
        <f>AND(#REF!,"AAAAAFf6/4s=")</f>
        <v>#REF!</v>
      </c>
      <c r="EK181" t="e">
        <f>AND(#REF!,"AAAAAFf6/4w=")</f>
        <v>#REF!</v>
      </c>
      <c r="EL181" t="e">
        <f>AND(#REF!,"AAAAAFf6/40=")</f>
        <v>#REF!</v>
      </c>
      <c r="EM181" t="e">
        <f>AND(#REF!,"AAAAAFf6/44=")</f>
        <v>#REF!</v>
      </c>
      <c r="EN181" t="e">
        <f>AND(#REF!,"AAAAAFf6/48=")</f>
        <v>#REF!</v>
      </c>
      <c r="EO181" t="e">
        <f>AND(#REF!,"AAAAAFf6/5A=")</f>
        <v>#REF!</v>
      </c>
      <c r="EP181" t="e">
        <f>AND(#REF!,"AAAAAFf6/5E=")</f>
        <v>#REF!</v>
      </c>
      <c r="EQ181" t="e">
        <f>IF(#REF!,"AAAAAFf6/5I=",0)</f>
        <v>#REF!</v>
      </c>
      <c r="ER181" t="e">
        <f>AND(#REF!,"AAAAAFf6/5M=")</f>
        <v>#REF!</v>
      </c>
      <c r="ES181" t="e">
        <f>AND(#REF!,"AAAAAFf6/5Q=")</f>
        <v>#REF!</v>
      </c>
      <c r="ET181" t="e">
        <f>AND(#REF!,"AAAAAFf6/5U=")</f>
        <v>#REF!</v>
      </c>
      <c r="EU181" t="e">
        <f>AND(#REF!,"AAAAAFf6/5Y=")</f>
        <v>#REF!</v>
      </c>
      <c r="EV181" t="e">
        <f>AND(#REF!,"AAAAAFf6/5c=")</f>
        <v>#REF!</v>
      </c>
      <c r="EW181" t="e">
        <f>AND(#REF!,"AAAAAFf6/5g=")</f>
        <v>#REF!</v>
      </c>
      <c r="EX181" t="e">
        <f>AND(#REF!,"AAAAAFf6/5k=")</f>
        <v>#REF!</v>
      </c>
      <c r="EY181" t="e">
        <f>AND(#REF!,"AAAAAFf6/5o=")</f>
        <v>#REF!</v>
      </c>
      <c r="EZ181" t="e">
        <f>AND(#REF!,"AAAAAFf6/5s=")</f>
        <v>#REF!</v>
      </c>
      <c r="FA181" t="e">
        <f>AND(#REF!,"AAAAAFf6/5w=")</f>
        <v>#REF!</v>
      </c>
      <c r="FB181" t="e">
        <f>AND(#REF!,"AAAAAFf6/50=")</f>
        <v>#REF!</v>
      </c>
      <c r="FC181" t="e">
        <f>AND(#REF!,"AAAAAFf6/54=")</f>
        <v>#REF!</v>
      </c>
      <c r="FD181" t="e">
        <f>AND(#REF!,"AAAAAFf6/58=")</f>
        <v>#REF!</v>
      </c>
      <c r="FE181" t="e">
        <f>AND(#REF!,"AAAAAFf6/6A=")</f>
        <v>#REF!</v>
      </c>
      <c r="FF181" t="e">
        <f>AND(#REF!,"AAAAAFf6/6E=")</f>
        <v>#REF!</v>
      </c>
      <c r="FG181" t="e">
        <f>AND(#REF!,"AAAAAFf6/6I=")</f>
        <v>#REF!</v>
      </c>
      <c r="FH181" t="e">
        <f>AND(#REF!,"AAAAAFf6/6M=")</f>
        <v>#REF!</v>
      </c>
      <c r="FI181" t="e">
        <f>AND(#REF!,"AAAAAFf6/6Q=")</f>
        <v>#REF!</v>
      </c>
      <c r="FJ181" t="e">
        <f>AND(#REF!,"AAAAAFf6/6U=")</f>
        <v>#REF!</v>
      </c>
      <c r="FK181" t="e">
        <f>AND(#REF!,"AAAAAFf6/6Y=")</f>
        <v>#REF!</v>
      </c>
      <c r="FL181" t="e">
        <f>AND(#REF!,"AAAAAFf6/6c=")</f>
        <v>#REF!</v>
      </c>
      <c r="FM181" t="e">
        <f>AND(#REF!,"AAAAAFf6/6g=")</f>
        <v>#REF!</v>
      </c>
      <c r="FN181" t="e">
        <f>AND(#REF!,"AAAAAFf6/6k=")</f>
        <v>#REF!</v>
      </c>
      <c r="FO181" t="e">
        <f>AND(#REF!,"AAAAAFf6/6o=")</f>
        <v>#REF!</v>
      </c>
      <c r="FP181" t="e">
        <f>AND(#REF!,"AAAAAFf6/6s=")</f>
        <v>#REF!</v>
      </c>
      <c r="FQ181" t="e">
        <f>AND(#REF!,"AAAAAFf6/6w=")</f>
        <v>#REF!</v>
      </c>
      <c r="FR181" t="e">
        <f>AND(#REF!,"AAAAAFf6/60=")</f>
        <v>#REF!</v>
      </c>
      <c r="FS181" t="e">
        <f>AND(#REF!,"AAAAAFf6/64=")</f>
        <v>#REF!</v>
      </c>
      <c r="FT181" t="e">
        <f>AND(#REF!,"AAAAAFf6/68=")</f>
        <v>#REF!</v>
      </c>
      <c r="FU181" t="e">
        <f>AND(#REF!,"AAAAAFf6/7A=")</f>
        <v>#REF!</v>
      </c>
      <c r="FV181" t="e">
        <f>AND(#REF!,"AAAAAFf6/7E=")</f>
        <v>#REF!</v>
      </c>
      <c r="FW181" t="e">
        <f>AND(#REF!,"AAAAAFf6/7I=")</f>
        <v>#REF!</v>
      </c>
      <c r="FX181" t="e">
        <f>AND(#REF!,"AAAAAFf6/7M=")</f>
        <v>#REF!</v>
      </c>
      <c r="FY181" t="e">
        <f>AND(#REF!,"AAAAAFf6/7Q=")</f>
        <v>#REF!</v>
      </c>
      <c r="FZ181" t="e">
        <f>AND(#REF!,"AAAAAFf6/7U=")</f>
        <v>#REF!</v>
      </c>
      <c r="GA181" t="e">
        <f>AND(#REF!,"AAAAAFf6/7Y=")</f>
        <v>#REF!</v>
      </c>
      <c r="GB181" t="e">
        <f>AND(#REF!,"AAAAAFf6/7c=")</f>
        <v>#REF!</v>
      </c>
      <c r="GC181" t="e">
        <f>AND(#REF!,"AAAAAFf6/7g=")</f>
        <v>#REF!</v>
      </c>
      <c r="GD181" t="e">
        <f>AND(#REF!,"AAAAAFf6/7k=")</f>
        <v>#REF!</v>
      </c>
      <c r="GE181" t="e">
        <f>AND(#REF!,"AAAAAFf6/7o=")</f>
        <v>#REF!</v>
      </c>
      <c r="GF181" t="e">
        <f>AND(#REF!,"AAAAAFf6/7s=")</f>
        <v>#REF!</v>
      </c>
      <c r="GG181" t="e">
        <f>AND(#REF!,"AAAAAFf6/7w=")</f>
        <v>#REF!</v>
      </c>
      <c r="GH181" t="e">
        <f>AND(#REF!,"AAAAAFf6/70=")</f>
        <v>#REF!</v>
      </c>
      <c r="GI181" t="e">
        <f>AND(#REF!,"AAAAAFf6/74=")</f>
        <v>#REF!</v>
      </c>
      <c r="GJ181" t="e">
        <f>AND(#REF!,"AAAAAFf6/78=")</f>
        <v>#REF!</v>
      </c>
      <c r="GK181" t="e">
        <f>AND(#REF!,"AAAAAFf6/8A=")</f>
        <v>#REF!</v>
      </c>
      <c r="GL181" t="e">
        <f>AND(#REF!,"AAAAAFf6/8E=")</f>
        <v>#REF!</v>
      </c>
      <c r="GM181" t="e">
        <f>AND(#REF!,"AAAAAFf6/8I=")</f>
        <v>#REF!</v>
      </c>
      <c r="GN181" t="e">
        <f>AND(#REF!,"AAAAAFf6/8M=")</f>
        <v>#REF!</v>
      </c>
      <c r="GO181" t="e">
        <f>AND(#REF!,"AAAAAFf6/8Q=")</f>
        <v>#REF!</v>
      </c>
      <c r="GP181" t="e">
        <f>AND(#REF!,"AAAAAFf6/8U=")</f>
        <v>#REF!</v>
      </c>
      <c r="GQ181" t="e">
        <f>AND(#REF!,"AAAAAFf6/8Y=")</f>
        <v>#REF!</v>
      </c>
      <c r="GR181" t="e">
        <f>AND(#REF!,"AAAAAFf6/8c=")</f>
        <v>#REF!</v>
      </c>
      <c r="GS181" t="e">
        <f>AND(#REF!,"AAAAAFf6/8g=")</f>
        <v>#REF!</v>
      </c>
      <c r="GT181" t="e">
        <f>AND(#REF!,"AAAAAFf6/8k=")</f>
        <v>#REF!</v>
      </c>
      <c r="GU181" t="e">
        <f>AND(#REF!,"AAAAAFf6/8o=")</f>
        <v>#REF!</v>
      </c>
      <c r="GV181" t="e">
        <f>AND(#REF!,"AAAAAFf6/8s=")</f>
        <v>#REF!</v>
      </c>
      <c r="GW181" t="e">
        <f>AND(#REF!,"AAAAAFf6/8w=")</f>
        <v>#REF!</v>
      </c>
      <c r="GX181" t="e">
        <f>AND(#REF!,"AAAAAFf6/80=")</f>
        <v>#REF!</v>
      </c>
      <c r="GY181" t="e">
        <f>AND(#REF!,"AAAAAFf6/84=")</f>
        <v>#REF!</v>
      </c>
      <c r="GZ181" t="e">
        <f>AND(#REF!,"AAAAAFf6/88=")</f>
        <v>#REF!</v>
      </c>
      <c r="HA181" t="e">
        <f>AND(#REF!,"AAAAAFf6/9A=")</f>
        <v>#REF!</v>
      </c>
      <c r="HB181" t="e">
        <f>AND(#REF!,"AAAAAFf6/9E=")</f>
        <v>#REF!</v>
      </c>
      <c r="HC181" t="e">
        <f>AND(#REF!,"AAAAAFf6/9I=")</f>
        <v>#REF!</v>
      </c>
      <c r="HD181" t="e">
        <f>AND(#REF!,"AAAAAFf6/9M=")</f>
        <v>#REF!</v>
      </c>
      <c r="HE181" t="e">
        <f>AND(#REF!,"AAAAAFf6/9Q=")</f>
        <v>#REF!</v>
      </c>
      <c r="HF181" t="e">
        <f>AND(#REF!,"AAAAAFf6/9U=")</f>
        <v>#REF!</v>
      </c>
      <c r="HG181" t="e">
        <f>AND(#REF!,"AAAAAFf6/9Y=")</f>
        <v>#REF!</v>
      </c>
      <c r="HH181" t="e">
        <f>AND(#REF!,"AAAAAFf6/9c=")</f>
        <v>#REF!</v>
      </c>
      <c r="HI181" t="e">
        <f>AND(#REF!,"AAAAAFf6/9g=")</f>
        <v>#REF!</v>
      </c>
      <c r="HJ181" t="e">
        <f>AND(#REF!,"AAAAAFf6/9k=")</f>
        <v>#REF!</v>
      </c>
      <c r="HK181" t="e">
        <f>AND(#REF!,"AAAAAFf6/9o=")</f>
        <v>#REF!</v>
      </c>
      <c r="HL181" t="e">
        <f>AND(#REF!,"AAAAAFf6/9s=")</f>
        <v>#REF!</v>
      </c>
      <c r="HM181" t="e">
        <f>AND(#REF!,"AAAAAFf6/9w=")</f>
        <v>#REF!</v>
      </c>
      <c r="HN181" t="e">
        <f>AND(#REF!,"AAAAAFf6/90=")</f>
        <v>#REF!</v>
      </c>
      <c r="HO181" t="e">
        <f>AND(#REF!,"AAAAAFf6/94=")</f>
        <v>#REF!</v>
      </c>
      <c r="HP181" t="e">
        <f>AND(#REF!,"AAAAAFf6/98=")</f>
        <v>#REF!</v>
      </c>
      <c r="HQ181" t="e">
        <f>AND(#REF!,"AAAAAFf6/+A=")</f>
        <v>#REF!</v>
      </c>
      <c r="HR181" t="e">
        <f>AND(#REF!,"AAAAAFf6/+E=")</f>
        <v>#REF!</v>
      </c>
      <c r="HS181" t="e">
        <f>AND(#REF!,"AAAAAFf6/+I=")</f>
        <v>#REF!</v>
      </c>
      <c r="HT181" t="e">
        <f>AND(#REF!,"AAAAAFf6/+M=")</f>
        <v>#REF!</v>
      </c>
      <c r="HU181" t="e">
        <f>AND(#REF!,"AAAAAFf6/+Q=")</f>
        <v>#REF!</v>
      </c>
      <c r="HV181" t="e">
        <f>AND(#REF!,"AAAAAFf6/+U=")</f>
        <v>#REF!</v>
      </c>
      <c r="HW181" t="e">
        <f>AND(#REF!,"AAAAAFf6/+Y=")</f>
        <v>#REF!</v>
      </c>
      <c r="HX181" t="e">
        <f>AND(#REF!,"AAAAAFf6/+c=")</f>
        <v>#REF!</v>
      </c>
      <c r="HY181" t="e">
        <f>AND(#REF!,"AAAAAFf6/+g=")</f>
        <v>#REF!</v>
      </c>
      <c r="HZ181" t="e">
        <f>AND(#REF!,"AAAAAFf6/+k=")</f>
        <v>#REF!</v>
      </c>
      <c r="IA181" t="e">
        <f>AND(#REF!,"AAAAAFf6/+o=")</f>
        <v>#REF!</v>
      </c>
      <c r="IB181" t="e">
        <f>AND(#REF!,"AAAAAFf6/+s=")</f>
        <v>#REF!</v>
      </c>
      <c r="IC181" t="e">
        <f>AND(#REF!,"AAAAAFf6/+w=")</f>
        <v>#REF!</v>
      </c>
      <c r="ID181" t="e">
        <f>AND(#REF!,"AAAAAFf6/+0=")</f>
        <v>#REF!</v>
      </c>
      <c r="IE181" t="e">
        <f>AND(#REF!,"AAAAAFf6/+4=")</f>
        <v>#REF!</v>
      </c>
      <c r="IF181" t="e">
        <f>AND(#REF!,"AAAAAFf6/+8=")</f>
        <v>#REF!</v>
      </c>
      <c r="IG181" t="e">
        <f>AND(#REF!,"AAAAAFf6//A=")</f>
        <v>#REF!</v>
      </c>
      <c r="IH181" t="e">
        <f>AND(#REF!,"AAAAAFf6//E=")</f>
        <v>#REF!</v>
      </c>
      <c r="II181" t="e">
        <f>AND(#REF!,"AAAAAFf6//I=")</f>
        <v>#REF!</v>
      </c>
      <c r="IJ181" t="e">
        <f>AND(#REF!,"AAAAAFf6//M=")</f>
        <v>#REF!</v>
      </c>
      <c r="IK181" t="e">
        <f>AND(#REF!,"AAAAAFf6//Q=")</f>
        <v>#REF!</v>
      </c>
      <c r="IL181" t="e">
        <f>AND(#REF!,"AAAAAFf6//U=")</f>
        <v>#REF!</v>
      </c>
      <c r="IM181" t="e">
        <f>AND(#REF!,"AAAAAFf6//Y=")</f>
        <v>#REF!</v>
      </c>
      <c r="IN181" t="e">
        <f>AND(#REF!,"AAAAAFf6//c=")</f>
        <v>#REF!</v>
      </c>
      <c r="IO181" t="e">
        <f>AND(#REF!,"AAAAAFf6//g=")</f>
        <v>#REF!</v>
      </c>
      <c r="IP181" t="e">
        <f>AND(#REF!,"AAAAAFf6//k=")</f>
        <v>#REF!</v>
      </c>
      <c r="IQ181" t="e">
        <f>AND(#REF!,"AAAAAFf6//o=")</f>
        <v>#REF!</v>
      </c>
      <c r="IR181" t="e">
        <f>AND(#REF!,"AAAAAFf6//s=")</f>
        <v>#REF!</v>
      </c>
      <c r="IS181" t="e">
        <f>AND(#REF!,"AAAAAFf6//w=")</f>
        <v>#REF!</v>
      </c>
      <c r="IT181" t="e">
        <f>AND(#REF!,"AAAAAFf6//0=")</f>
        <v>#REF!</v>
      </c>
      <c r="IU181" t="e">
        <f>AND(#REF!,"AAAAAFf6//4=")</f>
        <v>#REF!</v>
      </c>
      <c r="IV181" t="e">
        <f>AND(#REF!,"AAAAAFf6//8=")</f>
        <v>#REF!</v>
      </c>
    </row>
    <row r="182" spans="1:256">
      <c r="A182" t="e">
        <f>AND(#REF!,"AAAAADuv+QA=")</f>
        <v>#REF!</v>
      </c>
      <c r="B182" t="e">
        <f>AND(#REF!,"AAAAADuv+QE=")</f>
        <v>#REF!</v>
      </c>
      <c r="C182" t="e">
        <f>AND(#REF!,"AAAAADuv+QI=")</f>
        <v>#REF!</v>
      </c>
      <c r="D182" t="e">
        <f>AND(#REF!,"AAAAADuv+QM=")</f>
        <v>#REF!</v>
      </c>
      <c r="E182" t="e">
        <f>AND(#REF!,"AAAAADuv+QQ=")</f>
        <v>#REF!</v>
      </c>
      <c r="F182" t="e">
        <f>AND(#REF!,"AAAAADuv+QU=")</f>
        <v>#REF!</v>
      </c>
      <c r="G182" t="e">
        <f>AND(#REF!,"AAAAADuv+QY=")</f>
        <v>#REF!</v>
      </c>
      <c r="H182" t="e">
        <f>AND(#REF!,"AAAAADuv+Qc=")</f>
        <v>#REF!</v>
      </c>
      <c r="I182" t="e">
        <f>AND(#REF!,"AAAAADuv+Qg=")</f>
        <v>#REF!</v>
      </c>
      <c r="J182" t="e">
        <f>AND(#REF!,"AAAAADuv+Qk=")</f>
        <v>#REF!</v>
      </c>
      <c r="K182" t="e">
        <f>AND(#REF!,"AAAAADuv+Qo=")</f>
        <v>#REF!</v>
      </c>
      <c r="L182" t="e">
        <f>AND(#REF!,"AAAAADuv+Qs=")</f>
        <v>#REF!</v>
      </c>
      <c r="M182" t="e">
        <f>AND(#REF!,"AAAAADuv+Qw=")</f>
        <v>#REF!</v>
      </c>
      <c r="N182" t="e">
        <f>AND(#REF!,"AAAAADuv+Q0=")</f>
        <v>#REF!</v>
      </c>
      <c r="O182" t="e">
        <f>AND(#REF!,"AAAAADuv+Q4=")</f>
        <v>#REF!</v>
      </c>
      <c r="P182" t="e">
        <f>AND(#REF!,"AAAAADuv+Q8=")</f>
        <v>#REF!</v>
      </c>
      <c r="Q182" t="e">
        <f>AND(#REF!,"AAAAADuv+RA=")</f>
        <v>#REF!</v>
      </c>
      <c r="R182" t="e">
        <f>AND(#REF!,"AAAAADuv+RE=")</f>
        <v>#REF!</v>
      </c>
      <c r="S182" t="e">
        <f>AND(#REF!,"AAAAADuv+RI=")</f>
        <v>#REF!</v>
      </c>
      <c r="T182" t="e">
        <f>AND(#REF!,"AAAAADuv+RM=")</f>
        <v>#REF!</v>
      </c>
      <c r="U182" t="e">
        <f>AND(#REF!,"AAAAADuv+RQ=")</f>
        <v>#REF!</v>
      </c>
      <c r="V182" t="e">
        <f>AND(#REF!,"AAAAADuv+RU=")</f>
        <v>#REF!</v>
      </c>
      <c r="W182" t="e">
        <f>AND(#REF!,"AAAAADuv+RY=")</f>
        <v>#REF!</v>
      </c>
      <c r="X182" t="e">
        <f>AND(#REF!,"AAAAADuv+Rc=")</f>
        <v>#REF!</v>
      </c>
      <c r="Y182" t="e">
        <f>AND(#REF!,"AAAAADuv+Rg=")</f>
        <v>#REF!</v>
      </c>
      <c r="Z182" t="e">
        <f>AND(#REF!,"AAAAADuv+Rk=")</f>
        <v>#REF!</v>
      </c>
      <c r="AA182" t="e">
        <f>AND(#REF!,"AAAAADuv+Ro=")</f>
        <v>#REF!</v>
      </c>
      <c r="AB182" t="e">
        <f>AND(#REF!,"AAAAADuv+Rs=")</f>
        <v>#REF!</v>
      </c>
      <c r="AC182" t="e">
        <f>AND(#REF!,"AAAAADuv+Rw=")</f>
        <v>#REF!</v>
      </c>
      <c r="AD182" t="e">
        <f>AND(#REF!,"AAAAADuv+R0=")</f>
        <v>#REF!</v>
      </c>
      <c r="AE182" t="e">
        <f>AND(#REF!,"AAAAADuv+R4=")</f>
        <v>#REF!</v>
      </c>
      <c r="AF182" t="e">
        <f>AND(#REF!,"AAAAADuv+R8=")</f>
        <v>#REF!</v>
      </c>
      <c r="AG182" t="e">
        <f>AND(#REF!,"AAAAADuv+SA=")</f>
        <v>#REF!</v>
      </c>
      <c r="AH182" t="e">
        <f>AND(#REF!,"AAAAADuv+SE=")</f>
        <v>#REF!</v>
      </c>
      <c r="AI182" t="e">
        <f>AND(#REF!,"AAAAADuv+SI=")</f>
        <v>#REF!</v>
      </c>
      <c r="AJ182" t="e">
        <f>AND(#REF!,"AAAAADuv+SM=")</f>
        <v>#REF!</v>
      </c>
      <c r="AK182" t="e">
        <f>AND(#REF!,"AAAAADuv+SQ=")</f>
        <v>#REF!</v>
      </c>
      <c r="AL182" t="e">
        <f>AND(#REF!,"AAAAADuv+SU=")</f>
        <v>#REF!</v>
      </c>
      <c r="AM182" t="e">
        <f>AND(#REF!,"AAAAADuv+SY=")</f>
        <v>#REF!</v>
      </c>
      <c r="AN182" t="e">
        <f>AND(#REF!,"AAAAADuv+Sc=")</f>
        <v>#REF!</v>
      </c>
      <c r="AO182" t="e">
        <f>AND(#REF!,"AAAAADuv+Sg=")</f>
        <v>#REF!</v>
      </c>
      <c r="AP182" t="e">
        <f>AND(#REF!,"AAAAADuv+Sk=")</f>
        <v>#REF!</v>
      </c>
      <c r="AQ182" t="e">
        <f>AND(#REF!,"AAAAADuv+So=")</f>
        <v>#REF!</v>
      </c>
      <c r="AR182" t="e">
        <f>AND(#REF!,"AAAAADuv+Ss=")</f>
        <v>#REF!</v>
      </c>
      <c r="AS182" t="e">
        <f>AND(#REF!,"AAAAADuv+Sw=")</f>
        <v>#REF!</v>
      </c>
      <c r="AT182" t="e">
        <f>AND(#REF!,"AAAAADuv+S0=")</f>
        <v>#REF!</v>
      </c>
      <c r="AU182" t="e">
        <f>AND(#REF!,"AAAAADuv+S4=")</f>
        <v>#REF!</v>
      </c>
      <c r="AV182" t="e">
        <f>AND(#REF!,"AAAAADuv+S8=")</f>
        <v>#REF!</v>
      </c>
      <c r="AW182" t="e">
        <f>AND(#REF!,"AAAAADuv+TA=")</f>
        <v>#REF!</v>
      </c>
      <c r="AX182" t="e">
        <f>AND(#REF!,"AAAAADuv+TE=")</f>
        <v>#REF!</v>
      </c>
      <c r="AY182" t="e">
        <f>AND(#REF!,"AAAAADuv+TI=")</f>
        <v>#REF!</v>
      </c>
      <c r="AZ182" t="e">
        <f>AND(#REF!,"AAAAADuv+TM=")</f>
        <v>#REF!</v>
      </c>
      <c r="BA182" t="e">
        <f>AND(#REF!,"AAAAADuv+TQ=")</f>
        <v>#REF!</v>
      </c>
      <c r="BB182" t="e">
        <f>AND(#REF!,"AAAAADuv+TU=")</f>
        <v>#REF!</v>
      </c>
      <c r="BC182" t="e">
        <f>AND(#REF!,"AAAAADuv+TY=")</f>
        <v>#REF!</v>
      </c>
      <c r="BD182" t="e">
        <f>AND(#REF!,"AAAAADuv+Tc=")</f>
        <v>#REF!</v>
      </c>
      <c r="BE182" t="e">
        <f>AND(#REF!,"AAAAADuv+Tg=")</f>
        <v>#REF!</v>
      </c>
      <c r="BF182" t="e">
        <f>AND(#REF!,"AAAAADuv+Tk=")</f>
        <v>#REF!</v>
      </c>
      <c r="BG182" t="e">
        <f>AND(#REF!,"AAAAADuv+To=")</f>
        <v>#REF!</v>
      </c>
      <c r="BH182" t="e">
        <f>AND(#REF!,"AAAAADuv+Ts=")</f>
        <v>#REF!</v>
      </c>
      <c r="BI182" t="e">
        <f>AND(#REF!,"AAAAADuv+Tw=")</f>
        <v>#REF!</v>
      </c>
      <c r="BJ182" t="e">
        <f>AND(#REF!,"AAAAADuv+T0=")</f>
        <v>#REF!</v>
      </c>
      <c r="BK182" t="e">
        <f>AND(#REF!,"AAAAADuv+T4=")</f>
        <v>#REF!</v>
      </c>
      <c r="BL182" t="e">
        <f>AND(#REF!,"AAAAADuv+T8=")</f>
        <v>#REF!</v>
      </c>
      <c r="BM182" t="e">
        <f>AND(#REF!,"AAAAADuv+UA=")</f>
        <v>#REF!</v>
      </c>
      <c r="BN182" t="e">
        <f>AND(#REF!,"AAAAADuv+UE=")</f>
        <v>#REF!</v>
      </c>
      <c r="BO182" t="e">
        <f>AND(#REF!,"AAAAADuv+UI=")</f>
        <v>#REF!</v>
      </c>
      <c r="BP182" t="e">
        <f>AND(#REF!,"AAAAADuv+UM=")</f>
        <v>#REF!</v>
      </c>
      <c r="BQ182" t="e">
        <f>AND(#REF!,"AAAAADuv+UQ=")</f>
        <v>#REF!</v>
      </c>
      <c r="BR182" t="e">
        <f>AND(#REF!,"AAAAADuv+UU=")</f>
        <v>#REF!</v>
      </c>
      <c r="BS182" t="e">
        <f>AND(#REF!,"AAAAADuv+UY=")</f>
        <v>#REF!</v>
      </c>
      <c r="BT182" t="e">
        <f>AND(#REF!,"AAAAADuv+Uc=")</f>
        <v>#REF!</v>
      </c>
      <c r="BU182" t="e">
        <f>AND(#REF!,"AAAAADuv+Ug=")</f>
        <v>#REF!</v>
      </c>
      <c r="BV182" t="e">
        <f>AND(#REF!,"AAAAADuv+Uk=")</f>
        <v>#REF!</v>
      </c>
      <c r="BW182" t="e">
        <f>AND(#REF!,"AAAAADuv+Uo=")</f>
        <v>#REF!</v>
      </c>
      <c r="BX182" t="e">
        <f>AND(#REF!,"AAAAADuv+Us=")</f>
        <v>#REF!</v>
      </c>
      <c r="BY182" t="e">
        <f>AND(#REF!,"AAAAADuv+Uw=")</f>
        <v>#REF!</v>
      </c>
      <c r="BZ182" t="e">
        <f>AND(#REF!,"AAAAADuv+U0=")</f>
        <v>#REF!</v>
      </c>
      <c r="CA182" t="e">
        <f>AND(#REF!,"AAAAADuv+U4=")</f>
        <v>#REF!</v>
      </c>
      <c r="CB182" t="e">
        <f>AND(#REF!,"AAAAADuv+U8=")</f>
        <v>#REF!</v>
      </c>
      <c r="CC182" t="e">
        <f>AND(#REF!,"AAAAADuv+VA=")</f>
        <v>#REF!</v>
      </c>
      <c r="CD182" t="e">
        <f>AND(#REF!,"AAAAADuv+VE=")</f>
        <v>#REF!</v>
      </c>
      <c r="CE182" t="e">
        <f>AND(#REF!,"AAAAADuv+VI=")</f>
        <v>#REF!</v>
      </c>
      <c r="CF182" t="e">
        <f>AND(#REF!,"AAAAADuv+VM=")</f>
        <v>#REF!</v>
      </c>
      <c r="CG182" t="e">
        <f>AND(#REF!,"AAAAADuv+VQ=")</f>
        <v>#REF!</v>
      </c>
      <c r="CH182" t="e">
        <f>AND(#REF!,"AAAAADuv+VU=")</f>
        <v>#REF!</v>
      </c>
      <c r="CI182" t="e">
        <f>AND(#REF!,"AAAAADuv+VY=")</f>
        <v>#REF!</v>
      </c>
      <c r="CJ182" t="e">
        <f>AND(#REF!,"AAAAADuv+Vc=")</f>
        <v>#REF!</v>
      </c>
      <c r="CK182" t="e">
        <f>AND(#REF!,"AAAAADuv+Vg=")</f>
        <v>#REF!</v>
      </c>
      <c r="CL182" t="e">
        <f>AND(#REF!,"AAAAADuv+Vk=")</f>
        <v>#REF!</v>
      </c>
      <c r="CM182" t="e">
        <f>AND(#REF!,"AAAAADuv+Vo=")</f>
        <v>#REF!</v>
      </c>
      <c r="CN182" t="e">
        <f>AND(#REF!,"AAAAADuv+Vs=")</f>
        <v>#REF!</v>
      </c>
      <c r="CO182" t="e">
        <f>AND(#REF!,"AAAAADuv+Vw=")</f>
        <v>#REF!</v>
      </c>
      <c r="CP182" t="e">
        <f>AND(#REF!,"AAAAADuv+V0=")</f>
        <v>#REF!</v>
      </c>
      <c r="CQ182" t="e">
        <f>AND(#REF!,"AAAAADuv+V4=")</f>
        <v>#REF!</v>
      </c>
      <c r="CR182" t="e">
        <f>AND(#REF!,"AAAAADuv+V8=")</f>
        <v>#REF!</v>
      </c>
      <c r="CS182" t="e">
        <f>AND(#REF!,"AAAAADuv+WA=")</f>
        <v>#REF!</v>
      </c>
      <c r="CT182" t="e">
        <f>AND(#REF!,"AAAAADuv+WE=")</f>
        <v>#REF!</v>
      </c>
      <c r="CU182" t="e">
        <f>AND(#REF!,"AAAAADuv+WI=")</f>
        <v>#REF!</v>
      </c>
      <c r="CV182" t="e">
        <f>AND(#REF!,"AAAAADuv+WM=")</f>
        <v>#REF!</v>
      </c>
      <c r="CW182" t="e">
        <f>AND(#REF!,"AAAAADuv+WQ=")</f>
        <v>#REF!</v>
      </c>
      <c r="CX182" t="e">
        <f>AND(#REF!,"AAAAADuv+WU=")</f>
        <v>#REF!</v>
      </c>
      <c r="CY182" t="e">
        <f>AND(#REF!,"AAAAADuv+WY=")</f>
        <v>#REF!</v>
      </c>
      <c r="CZ182" t="e">
        <f>AND(#REF!,"AAAAADuv+Wc=")</f>
        <v>#REF!</v>
      </c>
      <c r="DA182" t="e">
        <f>AND(#REF!,"AAAAADuv+Wg=")</f>
        <v>#REF!</v>
      </c>
      <c r="DB182" t="e">
        <f>AND(#REF!,"AAAAADuv+Wk=")</f>
        <v>#REF!</v>
      </c>
      <c r="DC182" t="e">
        <f>AND(#REF!,"AAAAADuv+Wo=")</f>
        <v>#REF!</v>
      </c>
      <c r="DD182" t="e">
        <f>AND(#REF!,"AAAAADuv+Ws=")</f>
        <v>#REF!</v>
      </c>
      <c r="DE182" t="e">
        <f>AND(#REF!,"AAAAADuv+Ww=")</f>
        <v>#REF!</v>
      </c>
      <c r="DF182" t="e">
        <f>AND(#REF!,"AAAAADuv+W0=")</f>
        <v>#REF!</v>
      </c>
      <c r="DG182" t="e">
        <f>AND(#REF!,"AAAAADuv+W4=")</f>
        <v>#REF!</v>
      </c>
      <c r="DH182" t="e">
        <f>AND(#REF!,"AAAAADuv+W8=")</f>
        <v>#REF!</v>
      </c>
      <c r="DI182" t="e">
        <f>AND(#REF!,"AAAAADuv+XA=")</f>
        <v>#REF!</v>
      </c>
      <c r="DJ182" t="e">
        <f>AND(#REF!,"AAAAADuv+XE=")</f>
        <v>#REF!</v>
      </c>
      <c r="DK182" t="e">
        <f>AND(#REF!,"AAAAADuv+XI=")</f>
        <v>#REF!</v>
      </c>
      <c r="DL182" t="e">
        <f>AND(#REF!,"AAAAADuv+XM=")</f>
        <v>#REF!</v>
      </c>
      <c r="DM182" t="e">
        <f>AND(#REF!,"AAAAADuv+XQ=")</f>
        <v>#REF!</v>
      </c>
      <c r="DN182" t="e">
        <f>AND(#REF!,"AAAAADuv+XU=")</f>
        <v>#REF!</v>
      </c>
      <c r="DO182" t="e">
        <f>IF(#REF!,"AAAAADuv+XY=",0)</f>
        <v>#REF!</v>
      </c>
      <c r="DP182" t="e">
        <f>AND(#REF!,"AAAAADuv+Xc=")</f>
        <v>#REF!</v>
      </c>
      <c r="DQ182" t="e">
        <f>AND(#REF!,"AAAAADuv+Xg=")</f>
        <v>#REF!</v>
      </c>
      <c r="DR182" t="e">
        <f>AND(#REF!,"AAAAADuv+Xk=")</f>
        <v>#REF!</v>
      </c>
      <c r="DS182" t="e">
        <f>AND(#REF!,"AAAAADuv+Xo=")</f>
        <v>#REF!</v>
      </c>
      <c r="DT182" t="e">
        <f>AND(#REF!,"AAAAADuv+Xs=")</f>
        <v>#REF!</v>
      </c>
      <c r="DU182" t="e">
        <f>AND(#REF!,"AAAAADuv+Xw=")</f>
        <v>#REF!</v>
      </c>
      <c r="DV182" t="e">
        <f>AND(#REF!,"AAAAADuv+X0=")</f>
        <v>#REF!</v>
      </c>
      <c r="DW182" t="e">
        <f>AND(#REF!,"AAAAADuv+X4=")</f>
        <v>#REF!</v>
      </c>
      <c r="DX182" t="e">
        <f>AND(#REF!,"AAAAADuv+X8=")</f>
        <v>#REF!</v>
      </c>
      <c r="DY182" t="e">
        <f>AND(#REF!,"AAAAADuv+YA=")</f>
        <v>#REF!</v>
      </c>
      <c r="DZ182" t="e">
        <f>AND(#REF!,"AAAAADuv+YE=")</f>
        <v>#REF!</v>
      </c>
      <c r="EA182" t="e">
        <f>AND(#REF!,"AAAAADuv+YI=")</f>
        <v>#REF!</v>
      </c>
      <c r="EB182" t="e">
        <f>AND(#REF!,"AAAAADuv+YM=")</f>
        <v>#REF!</v>
      </c>
      <c r="EC182" t="e">
        <f>AND(#REF!,"AAAAADuv+YQ=")</f>
        <v>#REF!</v>
      </c>
      <c r="ED182" t="e">
        <f>AND(#REF!,"AAAAADuv+YU=")</f>
        <v>#REF!</v>
      </c>
      <c r="EE182" t="e">
        <f>AND(#REF!,"AAAAADuv+YY=")</f>
        <v>#REF!</v>
      </c>
      <c r="EF182" t="e">
        <f>AND(#REF!,"AAAAADuv+Yc=")</f>
        <v>#REF!</v>
      </c>
      <c r="EG182" t="e">
        <f>AND(#REF!,"AAAAADuv+Yg=")</f>
        <v>#REF!</v>
      </c>
      <c r="EH182" t="e">
        <f>AND(#REF!,"AAAAADuv+Yk=")</f>
        <v>#REF!</v>
      </c>
      <c r="EI182" t="e">
        <f>AND(#REF!,"AAAAADuv+Yo=")</f>
        <v>#REF!</v>
      </c>
      <c r="EJ182" t="e">
        <f>AND(#REF!,"AAAAADuv+Ys=")</f>
        <v>#REF!</v>
      </c>
      <c r="EK182" t="e">
        <f>AND(#REF!,"AAAAADuv+Yw=")</f>
        <v>#REF!</v>
      </c>
      <c r="EL182" t="e">
        <f>AND(#REF!,"AAAAADuv+Y0=")</f>
        <v>#REF!</v>
      </c>
      <c r="EM182" t="e">
        <f>AND(#REF!,"AAAAADuv+Y4=")</f>
        <v>#REF!</v>
      </c>
      <c r="EN182" t="e">
        <f>AND(#REF!,"AAAAADuv+Y8=")</f>
        <v>#REF!</v>
      </c>
      <c r="EO182" t="e">
        <f>AND(#REF!,"AAAAADuv+ZA=")</f>
        <v>#REF!</v>
      </c>
      <c r="EP182" t="e">
        <f>AND(#REF!,"AAAAADuv+ZE=")</f>
        <v>#REF!</v>
      </c>
      <c r="EQ182" t="e">
        <f>AND(#REF!,"AAAAADuv+ZI=")</f>
        <v>#REF!</v>
      </c>
      <c r="ER182" t="e">
        <f>AND(#REF!,"AAAAADuv+ZM=")</f>
        <v>#REF!</v>
      </c>
      <c r="ES182" t="e">
        <f>AND(#REF!,"AAAAADuv+ZQ=")</f>
        <v>#REF!</v>
      </c>
      <c r="ET182" t="e">
        <f>AND(#REF!,"AAAAADuv+ZU=")</f>
        <v>#REF!</v>
      </c>
      <c r="EU182" t="e">
        <f>AND(#REF!,"AAAAADuv+ZY=")</f>
        <v>#REF!</v>
      </c>
      <c r="EV182" t="e">
        <f>AND(#REF!,"AAAAADuv+Zc=")</f>
        <v>#REF!</v>
      </c>
      <c r="EW182" t="e">
        <f>AND(#REF!,"AAAAADuv+Zg=")</f>
        <v>#REF!</v>
      </c>
      <c r="EX182" t="e">
        <f>AND(#REF!,"AAAAADuv+Zk=")</f>
        <v>#REF!</v>
      </c>
      <c r="EY182" t="e">
        <f>AND(#REF!,"AAAAADuv+Zo=")</f>
        <v>#REF!</v>
      </c>
      <c r="EZ182" t="e">
        <f>AND(#REF!,"AAAAADuv+Zs=")</f>
        <v>#REF!</v>
      </c>
      <c r="FA182" t="e">
        <f>AND(#REF!,"AAAAADuv+Zw=")</f>
        <v>#REF!</v>
      </c>
      <c r="FB182" t="e">
        <f>AND(#REF!,"AAAAADuv+Z0=")</f>
        <v>#REF!</v>
      </c>
      <c r="FC182" t="e">
        <f>AND(#REF!,"AAAAADuv+Z4=")</f>
        <v>#REF!</v>
      </c>
      <c r="FD182" t="e">
        <f>AND(#REF!,"AAAAADuv+Z8=")</f>
        <v>#REF!</v>
      </c>
      <c r="FE182" t="e">
        <f>AND(#REF!,"AAAAADuv+aA=")</f>
        <v>#REF!</v>
      </c>
      <c r="FF182" t="e">
        <f>AND(#REF!,"AAAAADuv+aE=")</f>
        <v>#REF!</v>
      </c>
      <c r="FG182" t="e">
        <f>AND(#REF!,"AAAAADuv+aI=")</f>
        <v>#REF!</v>
      </c>
      <c r="FH182" t="e">
        <f>AND(#REF!,"AAAAADuv+aM=")</f>
        <v>#REF!</v>
      </c>
      <c r="FI182" t="e">
        <f>AND(#REF!,"AAAAADuv+aQ=")</f>
        <v>#REF!</v>
      </c>
      <c r="FJ182" t="e">
        <f>AND(#REF!,"AAAAADuv+aU=")</f>
        <v>#REF!</v>
      </c>
      <c r="FK182" t="e">
        <f>AND(#REF!,"AAAAADuv+aY=")</f>
        <v>#REF!</v>
      </c>
      <c r="FL182" t="e">
        <f>AND(#REF!,"AAAAADuv+ac=")</f>
        <v>#REF!</v>
      </c>
      <c r="FM182" t="e">
        <f>AND(#REF!,"AAAAADuv+ag=")</f>
        <v>#REF!</v>
      </c>
      <c r="FN182" t="e">
        <f>AND(#REF!,"AAAAADuv+ak=")</f>
        <v>#REF!</v>
      </c>
      <c r="FO182" t="e">
        <f>AND(#REF!,"AAAAADuv+ao=")</f>
        <v>#REF!</v>
      </c>
      <c r="FP182" t="e">
        <f>AND(#REF!,"AAAAADuv+as=")</f>
        <v>#REF!</v>
      </c>
      <c r="FQ182" t="e">
        <f>AND(#REF!,"AAAAADuv+aw=")</f>
        <v>#REF!</v>
      </c>
      <c r="FR182" t="e">
        <f>AND(#REF!,"AAAAADuv+a0=")</f>
        <v>#REF!</v>
      </c>
      <c r="FS182" t="e">
        <f>AND(#REF!,"AAAAADuv+a4=")</f>
        <v>#REF!</v>
      </c>
      <c r="FT182" t="e">
        <f>AND(#REF!,"AAAAADuv+a8=")</f>
        <v>#REF!</v>
      </c>
      <c r="FU182" t="e">
        <f>AND(#REF!,"AAAAADuv+bA=")</f>
        <v>#REF!</v>
      </c>
      <c r="FV182" t="e">
        <f>AND(#REF!,"AAAAADuv+bE=")</f>
        <v>#REF!</v>
      </c>
      <c r="FW182" t="e">
        <f>AND(#REF!,"AAAAADuv+bI=")</f>
        <v>#REF!</v>
      </c>
      <c r="FX182" t="e">
        <f>AND(#REF!,"AAAAADuv+bM=")</f>
        <v>#REF!</v>
      </c>
      <c r="FY182" t="e">
        <f>AND(#REF!,"AAAAADuv+bQ=")</f>
        <v>#REF!</v>
      </c>
      <c r="FZ182" t="e">
        <f>AND(#REF!,"AAAAADuv+bU=")</f>
        <v>#REF!</v>
      </c>
      <c r="GA182" t="e">
        <f>AND(#REF!,"AAAAADuv+bY=")</f>
        <v>#REF!</v>
      </c>
      <c r="GB182" t="e">
        <f>AND(#REF!,"AAAAADuv+bc=")</f>
        <v>#REF!</v>
      </c>
      <c r="GC182" t="e">
        <f>AND(#REF!,"AAAAADuv+bg=")</f>
        <v>#REF!</v>
      </c>
      <c r="GD182" t="e">
        <f>AND(#REF!,"AAAAADuv+bk=")</f>
        <v>#REF!</v>
      </c>
      <c r="GE182" t="e">
        <f>AND(#REF!,"AAAAADuv+bo=")</f>
        <v>#REF!</v>
      </c>
      <c r="GF182" t="e">
        <f>AND(#REF!,"AAAAADuv+bs=")</f>
        <v>#REF!</v>
      </c>
      <c r="GG182" t="e">
        <f>AND(#REF!,"AAAAADuv+bw=")</f>
        <v>#REF!</v>
      </c>
      <c r="GH182" t="e">
        <f>AND(#REF!,"AAAAADuv+b0=")</f>
        <v>#REF!</v>
      </c>
      <c r="GI182" t="e">
        <f>AND(#REF!,"AAAAADuv+b4=")</f>
        <v>#REF!</v>
      </c>
      <c r="GJ182" t="e">
        <f>AND(#REF!,"AAAAADuv+b8=")</f>
        <v>#REF!</v>
      </c>
      <c r="GK182" t="e">
        <f>AND(#REF!,"AAAAADuv+cA=")</f>
        <v>#REF!</v>
      </c>
      <c r="GL182" t="e">
        <f>AND(#REF!,"AAAAADuv+cE=")</f>
        <v>#REF!</v>
      </c>
      <c r="GM182" t="e">
        <f>AND(#REF!,"AAAAADuv+cI=")</f>
        <v>#REF!</v>
      </c>
      <c r="GN182" t="e">
        <f>AND(#REF!,"AAAAADuv+cM=")</f>
        <v>#REF!</v>
      </c>
      <c r="GO182" t="e">
        <f>AND(#REF!,"AAAAADuv+cQ=")</f>
        <v>#REF!</v>
      </c>
      <c r="GP182" t="e">
        <f>AND(#REF!,"AAAAADuv+cU=")</f>
        <v>#REF!</v>
      </c>
      <c r="GQ182" t="e">
        <f>AND(#REF!,"AAAAADuv+cY=")</f>
        <v>#REF!</v>
      </c>
      <c r="GR182" t="e">
        <f>AND(#REF!,"AAAAADuv+cc=")</f>
        <v>#REF!</v>
      </c>
      <c r="GS182" t="e">
        <f>AND(#REF!,"AAAAADuv+cg=")</f>
        <v>#REF!</v>
      </c>
      <c r="GT182" t="e">
        <f>AND(#REF!,"AAAAADuv+ck=")</f>
        <v>#REF!</v>
      </c>
      <c r="GU182" t="e">
        <f>AND(#REF!,"AAAAADuv+co=")</f>
        <v>#REF!</v>
      </c>
      <c r="GV182" t="e">
        <f>AND(#REF!,"AAAAADuv+cs=")</f>
        <v>#REF!</v>
      </c>
      <c r="GW182" t="e">
        <f>AND(#REF!,"AAAAADuv+cw=")</f>
        <v>#REF!</v>
      </c>
      <c r="GX182" t="e">
        <f>AND(#REF!,"AAAAADuv+c0=")</f>
        <v>#REF!</v>
      </c>
      <c r="GY182" t="e">
        <f>AND(#REF!,"AAAAADuv+c4=")</f>
        <v>#REF!</v>
      </c>
      <c r="GZ182" t="e">
        <f>AND(#REF!,"AAAAADuv+c8=")</f>
        <v>#REF!</v>
      </c>
      <c r="HA182" t="e">
        <f>AND(#REF!,"AAAAADuv+dA=")</f>
        <v>#REF!</v>
      </c>
      <c r="HB182" t="e">
        <f>AND(#REF!,"AAAAADuv+dE=")</f>
        <v>#REF!</v>
      </c>
      <c r="HC182" t="e">
        <f>AND(#REF!,"AAAAADuv+dI=")</f>
        <v>#REF!</v>
      </c>
      <c r="HD182" t="e">
        <f>AND(#REF!,"AAAAADuv+dM=")</f>
        <v>#REF!</v>
      </c>
      <c r="HE182" t="e">
        <f>AND(#REF!,"AAAAADuv+dQ=")</f>
        <v>#REF!</v>
      </c>
      <c r="HF182" t="e">
        <f>AND(#REF!,"AAAAADuv+dU=")</f>
        <v>#REF!</v>
      </c>
      <c r="HG182" t="e">
        <f>AND(#REF!,"AAAAADuv+dY=")</f>
        <v>#REF!</v>
      </c>
      <c r="HH182" t="e">
        <f>AND(#REF!,"AAAAADuv+dc=")</f>
        <v>#REF!</v>
      </c>
      <c r="HI182" t="e">
        <f>AND(#REF!,"AAAAADuv+dg=")</f>
        <v>#REF!</v>
      </c>
      <c r="HJ182" t="e">
        <f>AND(#REF!,"AAAAADuv+dk=")</f>
        <v>#REF!</v>
      </c>
      <c r="HK182" t="e">
        <f>AND(#REF!,"AAAAADuv+do=")</f>
        <v>#REF!</v>
      </c>
      <c r="HL182" t="e">
        <f>AND(#REF!,"AAAAADuv+ds=")</f>
        <v>#REF!</v>
      </c>
      <c r="HM182" t="e">
        <f>AND(#REF!,"AAAAADuv+dw=")</f>
        <v>#REF!</v>
      </c>
      <c r="HN182" t="e">
        <f>AND(#REF!,"AAAAADuv+d0=")</f>
        <v>#REF!</v>
      </c>
      <c r="HO182" t="e">
        <f>AND(#REF!,"AAAAADuv+d4=")</f>
        <v>#REF!</v>
      </c>
      <c r="HP182" t="e">
        <f>AND(#REF!,"AAAAADuv+d8=")</f>
        <v>#REF!</v>
      </c>
      <c r="HQ182" t="e">
        <f>AND(#REF!,"AAAAADuv+eA=")</f>
        <v>#REF!</v>
      </c>
      <c r="HR182" t="e">
        <f>AND(#REF!,"AAAAADuv+eE=")</f>
        <v>#REF!</v>
      </c>
      <c r="HS182" t="e">
        <f>AND(#REF!,"AAAAADuv+eI=")</f>
        <v>#REF!</v>
      </c>
      <c r="HT182" t="e">
        <f>AND(#REF!,"AAAAADuv+eM=")</f>
        <v>#REF!</v>
      </c>
      <c r="HU182" t="e">
        <f>AND(#REF!,"AAAAADuv+eQ=")</f>
        <v>#REF!</v>
      </c>
      <c r="HV182" t="e">
        <f>AND(#REF!,"AAAAADuv+eU=")</f>
        <v>#REF!</v>
      </c>
      <c r="HW182" t="e">
        <f>AND(#REF!,"AAAAADuv+eY=")</f>
        <v>#REF!</v>
      </c>
      <c r="HX182" t="e">
        <f>AND(#REF!,"AAAAADuv+ec=")</f>
        <v>#REF!</v>
      </c>
      <c r="HY182" t="e">
        <f>AND(#REF!,"AAAAADuv+eg=")</f>
        <v>#REF!</v>
      </c>
      <c r="HZ182" t="e">
        <f>AND(#REF!,"AAAAADuv+ek=")</f>
        <v>#REF!</v>
      </c>
      <c r="IA182" t="e">
        <f>AND(#REF!,"AAAAADuv+eo=")</f>
        <v>#REF!</v>
      </c>
      <c r="IB182" t="e">
        <f>AND(#REF!,"AAAAADuv+es=")</f>
        <v>#REF!</v>
      </c>
      <c r="IC182" t="e">
        <f>AND(#REF!,"AAAAADuv+ew=")</f>
        <v>#REF!</v>
      </c>
      <c r="ID182" t="e">
        <f>AND(#REF!,"AAAAADuv+e0=")</f>
        <v>#REF!</v>
      </c>
      <c r="IE182" t="e">
        <f>AND(#REF!,"AAAAADuv+e4=")</f>
        <v>#REF!</v>
      </c>
      <c r="IF182" t="e">
        <f>AND(#REF!,"AAAAADuv+e8=")</f>
        <v>#REF!</v>
      </c>
      <c r="IG182" t="e">
        <f>AND(#REF!,"AAAAADuv+fA=")</f>
        <v>#REF!</v>
      </c>
      <c r="IH182" t="e">
        <f>AND(#REF!,"AAAAADuv+fE=")</f>
        <v>#REF!</v>
      </c>
      <c r="II182" t="e">
        <f>AND(#REF!,"AAAAADuv+fI=")</f>
        <v>#REF!</v>
      </c>
      <c r="IJ182" t="e">
        <f>AND(#REF!,"AAAAADuv+fM=")</f>
        <v>#REF!</v>
      </c>
      <c r="IK182" t="e">
        <f>AND(#REF!,"AAAAADuv+fQ=")</f>
        <v>#REF!</v>
      </c>
      <c r="IL182" t="e">
        <f>AND(#REF!,"AAAAADuv+fU=")</f>
        <v>#REF!</v>
      </c>
      <c r="IM182" t="e">
        <f>AND(#REF!,"AAAAADuv+fY=")</f>
        <v>#REF!</v>
      </c>
      <c r="IN182" t="e">
        <f>AND(#REF!,"AAAAADuv+fc=")</f>
        <v>#REF!</v>
      </c>
      <c r="IO182" t="e">
        <f>AND(#REF!,"AAAAADuv+fg=")</f>
        <v>#REF!</v>
      </c>
      <c r="IP182" t="e">
        <f>AND(#REF!,"AAAAADuv+fk=")</f>
        <v>#REF!</v>
      </c>
      <c r="IQ182" t="e">
        <f>AND(#REF!,"AAAAADuv+fo=")</f>
        <v>#REF!</v>
      </c>
      <c r="IR182" t="e">
        <f>AND(#REF!,"AAAAADuv+fs=")</f>
        <v>#REF!</v>
      </c>
      <c r="IS182" t="e">
        <f>AND(#REF!,"AAAAADuv+fw=")</f>
        <v>#REF!</v>
      </c>
      <c r="IT182" t="e">
        <f>AND(#REF!,"AAAAADuv+f0=")</f>
        <v>#REF!</v>
      </c>
      <c r="IU182" t="e">
        <f>AND(#REF!,"AAAAADuv+f4=")</f>
        <v>#REF!</v>
      </c>
      <c r="IV182" t="e">
        <f>AND(#REF!,"AAAAADuv+f8=")</f>
        <v>#REF!</v>
      </c>
    </row>
    <row r="183" spans="1:256">
      <c r="A183" t="e">
        <f>AND(#REF!,"AAAAAH+3ZQA=")</f>
        <v>#REF!</v>
      </c>
      <c r="B183" t="e">
        <f>AND(#REF!,"AAAAAH+3ZQE=")</f>
        <v>#REF!</v>
      </c>
      <c r="C183" t="e">
        <f>AND(#REF!,"AAAAAH+3ZQI=")</f>
        <v>#REF!</v>
      </c>
      <c r="D183" t="e">
        <f>AND(#REF!,"AAAAAH+3ZQM=")</f>
        <v>#REF!</v>
      </c>
      <c r="E183" t="e">
        <f>AND(#REF!,"AAAAAH+3ZQQ=")</f>
        <v>#REF!</v>
      </c>
      <c r="F183" t="e">
        <f>AND(#REF!,"AAAAAH+3ZQU=")</f>
        <v>#REF!</v>
      </c>
      <c r="G183" t="e">
        <f>AND(#REF!,"AAAAAH+3ZQY=")</f>
        <v>#REF!</v>
      </c>
      <c r="H183" t="e">
        <f>AND(#REF!,"AAAAAH+3ZQc=")</f>
        <v>#REF!</v>
      </c>
      <c r="I183" t="e">
        <f>AND(#REF!,"AAAAAH+3ZQg=")</f>
        <v>#REF!</v>
      </c>
      <c r="J183" t="e">
        <f>AND(#REF!,"AAAAAH+3ZQk=")</f>
        <v>#REF!</v>
      </c>
      <c r="K183" t="e">
        <f>AND(#REF!,"AAAAAH+3ZQo=")</f>
        <v>#REF!</v>
      </c>
      <c r="L183" t="e">
        <f>AND(#REF!,"AAAAAH+3ZQs=")</f>
        <v>#REF!</v>
      </c>
      <c r="M183" t="e">
        <f>AND(#REF!,"AAAAAH+3ZQw=")</f>
        <v>#REF!</v>
      </c>
      <c r="N183" t="e">
        <f>AND(#REF!,"AAAAAH+3ZQ0=")</f>
        <v>#REF!</v>
      </c>
      <c r="O183" t="e">
        <f>AND(#REF!,"AAAAAH+3ZQ4=")</f>
        <v>#REF!</v>
      </c>
      <c r="P183" t="e">
        <f>AND(#REF!,"AAAAAH+3ZQ8=")</f>
        <v>#REF!</v>
      </c>
      <c r="Q183" t="e">
        <f>AND(#REF!,"AAAAAH+3ZRA=")</f>
        <v>#REF!</v>
      </c>
      <c r="R183" t="e">
        <f>AND(#REF!,"AAAAAH+3ZRE=")</f>
        <v>#REF!</v>
      </c>
      <c r="S183" t="e">
        <f>AND(#REF!,"AAAAAH+3ZRI=")</f>
        <v>#REF!</v>
      </c>
      <c r="T183" t="e">
        <f>AND(#REF!,"AAAAAH+3ZRM=")</f>
        <v>#REF!</v>
      </c>
      <c r="U183" t="e">
        <f>AND(#REF!,"AAAAAH+3ZRQ=")</f>
        <v>#REF!</v>
      </c>
      <c r="V183" t="e">
        <f>AND(#REF!,"AAAAAH+3ZRU=")</f>
        <v>#REF!</v>
      </c>
      <c r="W183" t="e">
        <f>AND(#REF!,"AAAAAH+3ZRY=")</f>
        <v>#REF!</v>
      </c>
      <c r="X183" t="e">
        <f>AND(#REF!,"AAAAAH+3ZRc=")</f>
        <v>#REF!</v>
      </c>
      <c r="Y183" t="e">
        <f>AND(#REF!,"AAAAAH+3ZRg=")</f>
        <v>#REF!</v>
      </c>
      <c r="Z183" t="e">
        <f>AND(#REF!,"AAAAAH+3ZRk=")</f>
        <v>#REF!</v>
      </c>
      <c r="AA183" t="e">
        <f>AND(#REF!,"AAAAAH+3ZRo=")</f>
        <v>#REF!</v>
      </c>
      <c r="AB183" t="e">
        <f>AND(#REF!,"AAAAAH+3ZRs=")</f>
        <v>#REF!</v>
      </c>
      <c r="AC183" t="e">
        <f>AND(#REF!,"AAAAAH+3ZRw=")</f>
        <v>#REF!</v>
      </c>
      <c r="AD183" t="e">
        <f>AND(#REF!,"AAAAAH+3ZR0=")</f>
        <v>#REF!</v>
      </c>
      <c r="AE183" t="e">
        <f>AND(#REF!,"AAAAAH+3ZR4=")</f>
        <v>#REF!</v>
      </c>
      <c r="AF183" t="e">
        <f>AND(#REF!,"AAAAAH+3ZR8=")</f>
        <v>#REF!</v>
      </c>
      <c r="AG183" t="e">
        <f>AND(#REF!,"AAAAAH+3ZSA=")</f>
        <v>#REF!</v>
      </c>
      <c r="AH183" t="e">
        <f>AND(#REF!,"AAAAAH+3ZSE=")</f>
        <v>#REF!</v>
      </c>
      <c r="AI183" t="e">
        <f>AND(#REF!,"AAAAAH+3ZSI=")</f>
        <v>#REF!</v>
      </c>
      <c r="AJ183" t="e">
        <f>AND(#REF!,"AAAAAH+3ZSM=")</f>
        <v>#REF!</v>
      </c>
      <c r="AK183" t="e">
        <f>AND(#REF!,"AAAAAH+3ZSQ=")</f>
        <v>#REF!</v>
      </c>
      <c r="AL183" t="e">
        <f>AND(#REF!,"AAAAAH+3ZSU=")</f>
        <v>#REF!</v>
      </c>
      <c r="AM183" t="e">
        <f>AND(#REF!,"AAAAAH+3ZSY=")</f>
        <v>#REF!</v>
      </c>
      <c r="AN183" t="e">
        <f>AND(#REF!,"AAAAAH+3ZSc=")</f>
        <v>#REF!</v>
      </c>
      <c r="AO183" t="e">
        <f>AND(#REF!,"AAAAAH+3ZSg=")</f>
        <v>#REF!</v>
      </c>
      <c r="AP183" t="e">
        <f>AND(#REF!,"AAAAAH+3ZSk=")</f>
        <v>#REF!</v>
      </c>
      <c r="AQ183" t="e">
        <f>AND(#REF!,"AAAAAH+3ZSo=")</f>
        <v>#REF!</v>
      </c>
      <c r="AR183" t="e">
        <f>AND(#REF!,"AAAAAH+3ZSs=")</f>
        <v>#REF!</v>
      </c>
      <c r="AS183" t="e">
        <f>AND(#REF!,"AAAAAH+3ZSw=")</f>
        <v>#REF!</v>
      </c>
      <c r="AT183" t="e">
        <f>AND(#REF!,"AAAAAH+3ZS0=")</f>
        <v>#REF!</v>
      </c>
      <c r="AU183" t="e">
        <f>AND(#REF!,"AAAAAH+3ZS4=")</f>
        <v>#REF!</v>
      </c>
      <c r="AV183" t="e">
        <f>AND(#REF!,"AAAAAH+3ZS8=")</f>
        <v>#REF!</v>
      </c>
      <c r="AW183" t="e">
        <f>AND(#REF!,"AAAAAH+3ZTA=")</f>
        <v>#REF!</v>
      </c>
      <c r="AX183" t="e">
        <f>AND(#REF!,"AAAAAH+3ZTE=")</f>
        <v>#REF!</v>
      </c>
      <c r="AY183" t="e">
        <f>AND(#REF!,"AAAAAH+3ZTI=")</f>
        <v>#REF!</v>
      </c>
      <c r="AZ183" t="e">
        <f>AND(#REF!,"AAAAAH+3ZTM=")</f>
        <v>#REF!</v>
      </c>
      <c r="BA183" t="e">
        <f>AND(#REF!,"AAAAAH+3ZTQ=")</f>
        <v>#REF!</v>
      </c>
      <c r="BB183" t="e">
        <f>AND(#REF!,"AAAAAH+3ZTU=")</f>
        <v>#REF!</v>
      </c>
      <c r="BC183" t="e">
        <f>AND(#REF!,"AAAAAH+3ZTY=")</f>
        <v>#REF!</v>
      </c>
      <c r="BD183" t="e">
        <f>AND(#REF!,"AAAAAH+3ZTc=")</f>
        <v>#REF!</v>
      </c>
      <c r="BE183" t="e">
        <f>AND(#REF!,"AAAAAH+3ZTg=")</f>
        <v>#REF!</v>
      </c>
      <c r="BF183" t="e">
        <f>AND(#REF!,"AAAAAH+3ZTk=")</f>
        <v>#REF!</v>
      </c>
      <c r="BG183" t="e">
        <f>AND(#REF!,"AAAAAH+3ZTo=")</f>
        <v>#REF!</v>
      </c>
      <c r="BH183" t="e">
        <f>AND(#REF!,"AAAAAH+3ZTs=")</f>
        <v>#REF!</v>
      </c>
      <c r="BI183" t="e">
        <f>AND(#REF!,"AAAAAH+3ZTw=")</f>
        <v>#REF!</v>
      </c>
      <c r="BJ183" t="e">
        <f>AND(#REF!,"AAAAAH+3ZT0=")</f>
        <v>#REF!</v>
      </c>
      <c r="BK183" t="e">
        <f>AND(#REF!,"AAAAAH+3ZT4=")</f>
        <v>#REF!</v>
      </c>
      <c r="BL183" t="e">
        <f>AND(#REF!,"AAAAAH+3ZT8=")</f>
        <v>#REF!</v>
      </c>
      <c r="BM183" t="e">
        <f>AND(#REF!,"AAAAAH+3ZUA=")</f>
        <v>#REF!</v>
      </c>
      <c r="BN183" t="e">
        <f>AND(#REF!,"AAAAAH+3ZUE=")</f>
        <v>#REF!</v>
      </c>
      <c r="BO183" t="e">
        <f>AND(#REF!,"AAAAAH+3ZUI=")</f>
        <v>#REF!</v>
      </c>
      <c r="BP183" t="e">
        <f>AND(#REF!,"AAAAAH+3ZUM=")</f>
        <v>#REF!</v>
      </c>
      <c r="BQ183" t="e">
        <f>AND(#REF!,"AAAAAH+3ZUQ=")</f>
        <v>#REF!</v>
      </c>
      <c r="BR183" t="e">
        <f>AND(#REF!,"AAAAAH+3ZUU=")</f>
        <v>#REF!</v>
      </c>
      <c r="BS183" t="e">
        <f>AND(#REF!,"AAAAAH+3ZUY=")</f>
        <v>#REF!</v>
      </c>
      <c r="BT183" t="e">
        <f>AND(#REF!,"AAAAAH+3ZUc=")</f>
        <v>#REF!</v>
      </c>
      <c r="BU183" t="e">
        <f>AND(#REF!,"AAAAAH+3ZUg=")</f>
        <v>#REF!</v>
      </c>
      <c r="BV183" t="e">
        <f>AND(#REF!,"AAAAAH+3ZUk=")</f>
        <v>#REF!</v>
      </c>
      <c r="BW183" t="e">
        <f>AND(#REF!,"AAAAAH+3ZUo=")</f>
        <v>#REF!</v>
      </c>
      <c r="BX183" t="e">
        <f>AND(#REF!,"AAAAAH+3ZUs=")</f>
        <v>#REF!</v>
      </c>
      <c r="BY183" t="e">
        <f>AND(#REF!,"AAAAAH+3ZUw=")</f>
        <v>#REF!</v>
      </c>
      <c r="BZ183" t="e">
        <f>AND(#REF!,"AAAAAH+3ZU0=")</f>
        <v>#REF!</v>
      </c>
      <c r="CA183" t="e">
        <f>AND(#REF!,"AAAAAH+3ZU4=")</f>
        <v>#REF!</v>
      </c>
      <c r="CB183" t="e">
        <f>AND(#REF!,"AAAAAH+3ZU8=")</f>
        <v>#REF!</v>
      </c>
      <c r="CC183" t="e">
        <f>AND(#REF!,"AAAAAH+3ZVA=")</f>
        <v>#REF!</v>
      </c>
      <c r="CD183" t="e">
        <f>AND(#REF!,"AAAAAH+3ZVE=")</f>
        <v>#REF!</v>
      </c>
      <c r="CE183" t="e">
        <f>AND(#REF!,"AAAAAH+3ZVI=")</f>
        <v>#REF!</v>
      </c>
      <c r="CF183" t="e">
        <f>AND(#REF!,"AAAAAH+3ZVM=")</f>
        <v>#REF!</v>
      </c>
      <c r="CG183" t="e">
        <f>AND(#REF!,"AAAAAH+3ZVQ=")</f>
        <v>#REF!</v>
      </c>
      <c r="CH183" t="e">
        <f>AND(#REF!,"AAAAAH+3ZVU=")</f>
        <v>#REF!</v>
      </c>
      <c r="CI183" t="e">
        <f>AND(#REF!,"AAAAAH+3ZVY=")</f>
        <v>#REF!</v>
      </c>
      <c r="CJ183" t="e">
        <f>AND(#REF!,"AAAAAH+3ZVc=")</f>
        <v>#REF!</v>
      </c>
      <c r="CK183" t="e">
        <f>AND(#REF!,"AAAAAH+3ZVg=")</f>
        <v>#REF!</v>
      </c>
      <c r="CL183" t="e">
        <f>AND(#REF!,"AAAAAH+3ZVk=")</f>
        <v>#REF!</v>
      </c>
      <c r="CM183" t="e">
        <f>IF(#REF!,"AAAAAH+3ZVo=",0)</f>
        <v>#REF!</v>
      </c>
      <c r="CN183" t="e">
        <f>AND(#REF!,"AAAAAH+3ZVs=")</f>
        <v>#REF!</v>
      </c>
      <c r="CO183" t="e">
        <f>AND(#REF!,"AAAAAH+3ZVw=")</f>
        <v>#REF!</v>
      </c>
      <c r="CP183" t="e">
        <f>AND(#REF!,"AAAAAH+3ZV0=")</f>
        <v>#REF!</v>
      </c>
      <c r="CQ183" t="e">
        <f>AND(#REF!,"AAAAAH+3ZV4=")</f>
        <v>#REF!</v>
      </c>
      <c r="CR183" t="e">
        <f>AND(#REF!,"AAAAAH+3ZV8=")</f>
        <v>#REF!</v>
      </c>
      <c r="CS183" t="e">
        <f>AND(#REF!,"AAAAAH+3ZWA=")</f>
        <v>#REF!</v>
      </c>
      <c r="CT183" t="e">
        <f>AND(#REF!,"AAAAAH+3ZWE=")</f>
        <v>#REF!</v>
      </c>
      <c r="CU183" t="e">
        <f>AND(#REF!,"AAAAAH+3ZWI=")</f>
        <v>#REF!</v>
      </c>
      <c r="CV183" t="e">
        <f>AND(#REF!,"AAAAAH+3ZWM=")</f>
        <v>#REF!</v>
      </c>
      <c r="CW183" t="e">
        <f>AND(#REF!,"AAAAAH+3ZWQ=")</f>
        <v>#REF!</v>
      </c>
      <c r="CX183" t="e">
        <f>AND(#REF!,"AAAAAH+3ZWU=")</f>
        <v>#REF!</v>
      </c>
      <c r="CY183" t="e">
        <f>AND(#REF!,"AAAAAH+3ZWY=")</f>
        <v>#REF!</v>
      </c>
      <c r="CZ183" t="e">
        <f>AND(#REF!,"AAAAAH+3ZWc=")</f>
        <v>#REF!</v>
      </c>
      <c r="DA183" t="e">
        <f>AND(#REF!,"AAAAAH+3ZWg=")</f>
        <v>#REF!</v>
      </c>
      <c r="DB183" t="e">
        <f>AND(#REF!,"AAAAAH+3ZWk=")</f>
        <v>#REF!</v>
      </c>
      <c r="DC183" t="e">
        <f>AND(#REF!,"AAAAAH+3ZWo=")</f>
        <v>#REF!</v>
      </c>
      <c r="DD183" t="e">
        <f>AND(#REF!,"AAAAAH+3ZWs=")</f>
        <v>#REF!</v>
      </c>
      <c r="DE183" t="e">
        <f>AND(#REF!,"AAAAAH+3ZWw=")</f>
        <v>#REF!</v>
      </c>
      <c r="DF183" t="e">
        <f>AND(#REF!,"AAAAAH+3ZW0=")</f>
        <v>#REF!</v>
      </c>
      <c r="DG183" t="e">
        <f>AND(#REF!,"AAAAAH+3ZW4=")</f>
        <v>#REF!</v>
      </c>
      <c r="DH183" t="e">
        <f>AND(#REF!,"AAAAAH+3ZW8=")</f>
        <v>#REF!</v>
      </c>
      <c r="DI183" t="e">
        <f>AND(#REF!,"AAAAAH+3ZXA=")</f>
        <v>#REF!</v>
      </c>
      <c r="DJ183" t="e">
        <f>AND(#REF!,"AAAAAH+3ZXE=")</f>
        <v>#REF!</v>
      </c>
      <c r="DK183" t="e">
        <f>AND(#REF!,"AAAAAH+3ZXI=")</f>
        <v>#REF!</v>
      </c>
      <c r="DL183" t="e">
        <f>AND(#REF!,"AAAAAH+3ZXM=")</f>
        <v>#REF!</v>
      </c>
      <c r="DM183" t="e">
        <f>AND(#REF!,"AAAAAH+3ZXQ=")</f>
        <v>#REF!</v>
      </c>
      <c r="DN183" t="e">
        <f>AND(#REF!,"AAAAAH+3ZXU=")</f>
        <v>#REF!</v>
      </c>
      <c r="DO183" t="e">
        <f>AND(#REF!,"AAAAAH+3ZXY=")</f>
        <v>#REF!</v>
      </c>
      <c r="DP183" t="e">
        <f>AND(#REF!,"AAAAAH+3ZXc=")</f>
        <v>#REF!</v>
      </c>
      <c r="DQ183" t="e">
        <f>AND(#REF!,"AAAAAH+3ZXg=")</f>
        <v>#REF!</v>
      </c>
      <c r="DR183" t="e">
        <f>AND(#REF!,"AAAAAH+3ZXk=")</f>
        <v>#REF!</v>
      </c>
      <c r="DS183" t="e">
        <f>AND(#REF!,"AAAAAH+3ZXo=")</f>
        <v>#REF!</v>
      </c>
      <c r="DT183" t="e">
        <f>AND(#REF!,"AAAAAH+3ZXs=")</f>
        <v>#REF!</v>
      </c>
      <c r="DU183" t="e">
        <f>AND(#REF!,"AAAAAH+3ZXw=")</f>
        <v>#REF!</v>
      </c>
      <c r="DV183" t="e">
        <f>AND(#REF!,"AAAAAH+3ZX0=")</f>
        <v>#REF!</v>
      </c>
      <c r="DW183" t="e">
        <f>AND(#REF!,"AAAAAH+3ZX4=")</f>
        <v>#REF!</v>
      </c>
      <c r="DX183" t="e">
        <f>AND(#REF!,"AAAAAH+3ZX8=")</f>
        <v>#REF!</v>
      </c>
      <c r="DY183" t="e">
        <f>AND(#REF!,"AAAAAH+3ZYA=")</f>
        <v>#REF!</v>
      </c>
      <c r="DZ183" t="e">
        <f>AND(#REF!,"AAAAAH+3ZYE=")</f>
        <v>#REF!</v>
      </c>
      <c r="EA183" t="e">
        <f>AND(#REF!,"AAAAAH+3ZYI=")</f>
        <v>#REF!</v>
      </c>
      <c r="EB183" t="e">
        <f>AND(#REF!,"AAAAAH+3ZYM=")</f>
        <v>#REF!</v>
      </c>
      <c r="EC183" t="e">
        <f>AND(#REF!,"AAAAAH+3ZYQ=")</f>
        <v>#REF!</v>
      </c>
      <c r="ED183" t="e">
        <f>AND(#REF!,"AAAAAH+3ZYU=")</f>
        <v>#REF!</v>
      </c>
      <c r="EE183" t="e">
        <f>AND(#REF!,"AAAAAH+3ZYY=")</f>
        <v>#REF!</v>
      </c>
      <c r="EF183" t="e">
        <f>AND(#REF!,"AAAAAH+3ZYc=")</f>
        <v>#REF!</v>
      </c>
      <c r="EG183" t="e">
        <f>AND(#REF!,"AAAAAH+3ZYg=")</f>
        <v>#REF!</v>
      </c>
      <c r="EH183" t="e">
        <f>AND(#REF!,"AAAAAH+3ZYk=")</f>
        <v>#REF!</v>
      </c>
      <c r="EI183" t="e">
        <f>AND(#REF!,"AAAAAH+3ZYo=")</f>
        <v>#REF!</v>
      </c>
      <c r="EJ183" t="e">
        <f>AND(#REF!,"AAAAAH+3ZYs=")</f>
        <v>#REF!</v>
      </c>
      <c r="EK183" t="e">
        <f>AND(#REF!,"AAAAAH+3ZYw=")</f>
        <v>#REF!</v>
      </c>
      <c r="EL183" t="e">
        <f>AND(#REF!,"AAAAAH+3ZY0=")</f>
        <v>#REF!</v>
      </c>
      <c r="EM183" t="e">
        <f>AND(#REF!,"AAAAAH+3ZY4=")</f>
        <v>#REF!</v>
      </c>
      <c r="EN183" t="e">
        <f>AND(#REF!,"AAAAAH+3ZY8=")</f>
        <v>#REF!</v>
      </c>
      <c r="EO183" t="e">
        <f>AND(#REF!,"AAAAAH+3ZZA=")</f>
        <v>#REF!</v>
      </c>
      <c r="EP183" t="e">
        <f>AND(#REF!,"AAAAAH+3ZZE=")</f>
        <v>#REF!</v>
      </c>
      <c r="EQ183" t="e">
        <f>AND(#REF!,"AAAAAH+3ZZI=")</f>
        <v>#REF!</v>
      </c>
      <c r="ER183" t="e">
        <f>AND(#REF!,"AAAAAH+3ZZM=")</f>
        <v>#REF!</v>
      </c>
      <c r="ES183" t="e">
        <f>AND(#REF!,"AAAAAH+3ZZQ=")</f>
        <v>#REF!</v>
      </c>
      <c r="ET183" t="e">
        <f>AND(#REF!,"AAAAAH+3ZZU=")</f>
        <v>#REF!</v>
      </c>
      <c r="EU183" t="e">
        <f>AND(#REF!,"AAAAAH+3ZZY=")</f>
        <v>#REF!</v>
      </c>
      <c r="EV183" t="e">
        <f>AND(#REF!,"AAAAAH+3ZZc=")</f>
        <v>#REF!</v>
      </c>
      <c r="EW183" t="e">
        <f>AND(#REF!,"AAAAAH+3ZZg=")</f>
        <v>#REF!</v>
      </c>
      <c r="EX183" t="e">
        <f>AND(#REF!,"AAAAAH+3ZZk=")</f>
        <v>#REF!</v>
      </c>
      <c r="EY183" t="e">
        <f>AND(#REF!,"AAAAAH+3ZZo=")</f>
        <v>#REF!</v>
      </c>
      <c r="EZ183" t="e">
        <f>AND(#REF!,"AAAAAH+3ZZs=")</f>
        <v>#REF!</v>
      </c>
      <c r="FA183" t="e">
        <f>AND(#REF!,"AAAAAH+3ZZw=")</f>
        <v>#REF!</v>
      </c>
      <c r="FB183" t="e">
        <f>AND(#REF!,"AAAAAH+3ZZ0=")</f>
        <v>#REF!</v>
      </c>
      <c r="FC183" t="e">
        <f>AND(#REF!,"AAAAAH+3ZZ4=")</f>
        <v>#REF!</v>
      </c>
      <c r="FD183" t="e">
        <f>AND(#REF!,"AAAAAH+3ZZ8=")</f>
        <v>#REF!</v>
      </c>
      <c r="FE183" t="e">
        <f>AND(#REF!,"AAAAAH+3ZaA=")</f>
        <v>#REF!</v>
      </c>
      <c r="FF183" t="e">
        <f>AND(#REF!,"AAAAAH+3ZaE=")</f>
        <v>#REF!</v>
      </c>
      <c r="FG183" t="e">
        <f>AND(#REF!,"AAAAAH+3ZaI=")</f>
        <v>#REF!</v>
      </c>
      <c r="FH183" t="e">
        <f>AND(#REF!,"AAAAAH+3ZaM=")</f>
        <v>#REF!</v>
      </c>
      <c r="FI183" t="e">
        <f>AND(#REF!,"AAAAAH+3ZaQ=")</f>
        <v>#REF!</v>
      </c>
      <c r="FJ183" t="e">
        <f>AND(#REF!,"AAAAAH+3ZaU=")</f>
        <v>#REF!</v>
      </c>
      <c r="FK183" t="e">
        <f>AND(#REF!,"AAAAAH+3ZaY=")</f>
        <v>#REF!</v>
      </c>
      <c r="FL183" t="e">
        <f>AND(#REF!,"AAAAAH+3Zac=")</f>
        <v>#REF!</v>
      </c>
      <c r="FM183" t="e">
        <f>AND(#REF!,"AAAAAH+3Zag=")</f>
        <v>#REF!</v>
      </c>
      <c r="FN183" t="e">
        <f>AND(#REF!,"AAAAAH+3Zak=")</f>
        <v>#REF!</v>
      </c>
      <c r="FO183" t="e">
        <f>AND(#REF!,"AAAAAH+3Zao=")</f>
        <v>#REF!</v>
      </c>
      <c r="FP183" t="e">
        <f>AND(#REF!,"AAAAAH+3Zas=")</f>
        <v>#REF!</v>
      </c>
      <c r="FQ183" t="e">
        <f>AND(#REF!,"AAAAAH+3Zaw=")</f>
        <v>#REF!</v>
      </c>
      <c r="FR183" t="e">
        <f>AND(#REF!,"AAAAAH+3Za0=")</f>
        <v>#REF!</v>
      </c>
      <c r="FS183" t="e">
        <f>AND(#REF!,"AAAAAH+3Za4=")</f>
        <v>#REF!</v>
      </c>
      <c r="FT183" t="e">
        <f>AND(#REF!,"AAAAAH+3Za8=")</f>
        <v>#REF!</v>
      </c>
      <c r="FU183" t="e">
        <f>AND(#REF!,"AAAAAH+3ZbA=")</f>
        <v>#REF!</v>
      </c>
      <c r="FV183" t="e">
        <f>AND(#REF!,"AAAAAH+3ZbE=")</f>
        <v>#REF!</v>
      </c>
      <c r="FW183" t="e">
        <f>AND(#REF!,"AAAAAH+3ZbI=")</f>
        <v>#REF!</v>
      </c>
      <c r="FX183" t="e">
        <f>AND(#REF!,"AAAAAH+3ZbM=")</f>
        <v>#REF!</v>
      </c>
      <c r="FY183" t="e">
        <f>AND(#REF!,"AAAAAH+3ZbQ=")</f>
        <v>#REF!</v>
      </c>
      <c r="FZ183" t="e">
        <f>AND(#REF!,"AAAAAH+3ZbU=")</f>
        <v>#REF!</v>
      </c>
      <c r="GA183" t="e">
        <f>AND(#REF!,"AAAAAH+3ZbY=")</f>
        <v>#REF!</v>
      </c>
      <c r="GB183" t="e">
        <f>AND(#REF!,"AAAAAH+3Zbc=")</f>
        <v>#REF!</v>
      </c>
      <c r="GC183" t="e">
        <f>AND(#REF!,"AAAAAH+3Zbg=")</f>
        <v>#REF!</v>
      </c>
      <c r="GD183" t="e">
        <f>AND(#REF!,"AAAAAH+3Zbk=")</f>
        <v>#REF!</v>
      </c>
      <c r="GE183" t="e">
        <f>AND(#REF!,"AAAAAH+3Zbo=")</f>
        <v>#REF!</v>
      </c>
      <c r="GF183" t="e">
        <f>AND(#REF!,"AAAAAH+3Zbs=")</f>
        <v>#REF!</v>
      </c>
      <c r="GG183" t="e">
        <f>AND(#REF!,"AAAAAH+3Zbw=")</f>
        <v>#REF!</v>
      </c>
      <c r="GH183" t="e">
        <f>AND(#REF!,"AAAAAH+3Zb0=")</f>
        <v>#REF!</v>
      </c>
      <c r="GI183" t="e">
        <f>AND(#REF!,"AAAAAH+3Zb4=")</f>
        <v>#REF!</v>
      </c>
      <c r="GJ183" t="e">
        <f>AND(#REF!,"AAAAAH+3Zb8=")</f>
        <v>#REF!</v>
      </c>
      <c r="GK183" t="e">
        <f>AND(#REF!,"AAAAAH+3ZcA=")</f>
        <v>#REF!</v>
      </c>
      <c r="GL183" t="e">
        <f>AND(#REF!,"AAAAAH+3ZcE=")</f>
        <v>#REF!</v>
      </c>
      <c r="GM183" t="e">
        <f>AND(#REF!,"AAAAAH+3ZcI=")</f>
        <v>#REF!</v>
      </c>
      <c r="GN183" t="e">
        <f>AND(#REF!,"AAAAAH+3ZcM=")</f>
        <v>#REF!</v>
      </c>
      <c r="GO183" t="e">
        <f>AND(#REF!,"AAAAAH+3ZcQ=")</f>
        <v>#REF!</v>
      </c>
      <c r="GP183" t="e">
        <f>AND(#REF!,"AAAAAH+3ZcU=")</f>
        <v>#REF!</v>
      </c>
      <c r="GQ183" t="e">
        <f>AND(#REF!,"AAAAAH+3ZcY=")</f>
        <v>#REF!</v>
      </c>
      <c r="GR183" t="e">
        <f>AND(#REF!,"AAAAAH+3Zcc=")</f>
        <v>#REF!</v>
      </c>
      <c r="GS183" t="e">
        <f>AND(#REF!,"AAAAAH+3Zcg=")</f>
        <v>#REF!</v>
      </c>
      <c r="GT183" t="e">
        <f>AND(#REF!,"AAAAAH+3Zck=")</f>
        <v>#REF!</v>
      </c>
      <c r="GU183" t="e">
        <f>AND(#REF!,"AAAAAH+3Zco=")</f>
        <v>#REF!</v>
      </c>
      <c r="GV183" t="e">
        <f>AND(#REF!,"AAAAAH+3Zcs=")</f>
        <v>#REF!</v>
      </c>
      <c r="GW183" t="e">
        <f>AND(#REF!,"AAAAAH+3Zcw=")</f>
        <v>#REF!</v>
      </c>
      <c r="GX183" t="e">
        <f>AND(#REF!,"AAAAAH+3Zc0=")</f>
        <v>#REF!</v>
      </c>
      <c r="GY183" t="e">
        <f>AND(#REF!,"AAAAAH+3Zc4=")</f>
        <v>#REF!</v>
      </c>
      <c r="GZ183" t="e">
        <f>AND(#REF!,"AAAAAH+3Zc8=")</f>
        <v>#REF!</v>
      </c>
      <c r="HA183" t="e">
        <f>AND(#REF!,"AAAAAH+3ZdA=")</f>
        <v>#REF!</v>
      </c>
      <c r="HB183" t="e">
        <f>AND(#REF!,"AAAAAH+3ZdE=")</f>
        <v>#REF!</v>
      </c>
      <c r="HC183" t="e">
        <f>AND(#REF!,"AAAAAH+3ZdI=")</f>
        <v>#REF!</v>
      </c>
      <c r="HD183" t="e">
        <f>AND(#REF!,"AAAAAH+3ZdM=")</f>
        <v>#REF!</v>
      </c>
      <c r="HE183" t="e">
        <f>AND(#REF!,"AAAAAH+3ZdQ=")</f>
        <v>#REF!</v>
      </c>
      <c r="HF183" t="e">
        <f>AND(#REF!,"AAAAAH+3ZdU=")</f>
        <v>#REF!</v>
      </c>
      <c r="HG183" t="e">
        <f>AND(#REF!,"AAAAAH+3ZdY=")</f>
        <v>#REF!</v>
      </c>
      <c r="HH183" t="e">
        <f>AND(#REF!,"AAAAAH+3Zdc=")</f>
        <v>#REF!</v>
      </c>
      <c r="HI183" t="e">
        <f>AND(#REF!,"AAAAAH+3Zdg=")</f>
        <v>#REF!</v>
      </c>
      <c r="HJ183" t="e">
        <f>AND(#REF!,"AAAAAH+3Zdk=")</f>
        <v>#REF!</v>
      </c>
      <c r="HK183" t="e">
        <f>AND(#REF!,"AAAAAH+3Zdo=")</f>
        <v>#REF!</v>
      </c>
      <c r="HL183" t="e">
        <f>AND(#REF!,"AAAAAH+3Zds=")</f>
        <v>#REF!</v>
      </c>
      <c r="HM183" t="e">
        <f>AND(#REF!,"AAAAAH+3Zdw=")</f>
        <v>#REF!</v>
      </c>
      <c r="HN183" t="e">
        <f>AND(#REF!,"AAAAAH+3Zd0=")</f>
        <v>#REF!</v>
      </c>
      <c r="HO183" t="e">
        <f>AND(#REF!,"AAAAAH+3Zd4=")</f>
        <v>#REF!</v>
      </c>
      <c r="HP183" t="e">
        <f>AND(#REF!,"AAAAAH+3Zd8=")</f>
        <v>#REF!</v>
      </c>
      <c r="HQ183" t="e">
        <f>AND(#REF!,"AAAAAH+3ZeA=")</f>
        <v>#REF!</v>
      </c>
      <c r="HR183" t="e">
        <f>AND(#REF!,"AAAAAH+3ZeE=")</f>
        <v>#REF!</v>
      </c>
      <c r="HS183" t="e">
        <f>AND(#REF!,"AAAAAH+3ZeI=")</f>
        <v>#REF!</v>
      </c>
      <c r="HT183" t="e">
        <f>AND(#REF!,"AAAAAH+3ZeM=")</f>
        <v>#REF!</v>
      </c>
      <c r="HU183" t="e">
        <f>AND(#REF!,"AAAAAH+3ZeQ=")</f>
        <v>#REF!</v>
      </c>
      <c r="HV183" t="e">
        <f>AND(#REF!,"AAAAAH+3ZeU=")</f>
        <v>#REF!</v>
      </c>
      <c r="HW183" t="e">
        <f>AND(#REF!,"AAAAAH+3ZeY=")</f>
        <v>#REF!</v>
      </c>
      <c r="HX183" t="e">
        <f>AND(#REF!,"AAAAAH+3Zec=")</f>
        <v>#REF!</v>
      </c>
      <c r="HY183" t="e">
        <f>AND(#REF!,"AAAAAH+3Zeg=")</f>
        <v>#REF!</v>
      </c>
      <c r="HZ183" t="e">
        <f>AND(#REF!,"AAAAAH+3Zek=")</f>
        <v>#REF!</v>
      </c>
      <c r="IA183" t="e">
        <f>AND(#REF!,"AAAAAH+3Zeo=")</f>
        <v>#REF!</v>
      </c>
      <c r="IB183" t="e">
        <f>AND(#REF!,"AAAAAH+3Zes=")</f>
        <v>#REF!</v>
      </c>
      <c r="IC183" t="e">
        <f>AND(#REF!,"AAAAAH+3Zew=")</f>
        <v>#REF!</v>
      </c>
      <c r="ID183" t="e">
        <f>AND(#REF!,"AAAAAH+3Ze0=")</f>
        <v>#REF!</v>
      </c>
      <c r="IE183" t="e">
        <f>AND(#REF!,"AAAAAH+3Ze4=")</f>
        <v>#REF!</v>
      </c>
      <c r="IF183" t="e">
        <f>AND(#REF!,"AAAAAH+3Ze8=")</f>
        <v>#REF!</v>
      </c>
      <c r="IG183" t="e">
        <f>AND(#REF!,"AAAAAH+3ZfA=")</f>
        <v>#REF!</v>
      </c>
      <c r="IH183" t="e">
        <f>AND(#REF!,"AAAAAH+3ZfE=")</f>
        <v>#REF!</v>
      </c>
      <c r="II183" t="e">
        <f>AND(#REF!,"AAAAAH+3ZfI=")</f>
        <v>#REF!</v>
      </c>
      <c r="IJ183" t="e">
        <f>AND(#REF!,"AAAAAH+3ZfM=")</f>
        <v>#REF!</v>
      </c>
      <c r="IK183" t="e">
        <f>AND(#REF!,"AAAAAH+3ZfQ=")</f>
        <v>#REF!</v>
      </c>
      <c r="IL183" t="e">
        <f>AND(#REF!,"AAAAAH+3ZfU=")</f>
        <v>#REF!</v>
      </c>
      <c r="IM183" t="e">
        <f>AND(#REF!,"AAAAAH+3ZfY=")</f>
        <v>#REF!</v>
      </c>
      <c r="IN183" t="e">
        <f>AND(#REF!,"AAAAAH+3Zfc=")</f>
        <v>#REF!</v>
      </c>
      <c r="IO183" t="e">
        <f>AND(#REF!,"AAAAAH+3Zfg=")</f>
        <v>#REF!</v>
      </c>
      <c r="IP183" t="e">
        <f>AND(#REF!,"AAAAAH+3Zfk=")</f>
        <v>#REF!</v>
      </c>
      <c r="IQ183" t="e">
        <f>AND(#REF!,"AAAAAH+3Zfo=")</f>
        <v>#REF!</v>
      </c>
      <c r="IR183" t="e">
        <f>AND(#REF!,"AAAAAH+3Zfs=")</f>
        <v>#REF!</v>
      </c>
      <c r="IS183" t="e">
        <f>AND(#REF!,"AAAAAH+3Zfw=")</f>
        <v>#REF!</v>
      </c>
      <c r="IT183" t="e">
        <f>AND(#REF!,"AAAAAH+3Zf0=")</f>
        <v>#REF!</v>
      </c>
      <c r="IU183" t="e">
        <f>AND(#REF!,"AAAAAH+3Zf4=")</f>
        <v>#REF!</v>
      </c>
      <c r="IV183" t="e">
        <f>AND(#REF!,"AAAAAH+3Zf8=")</f>
        <v>#REF!</v>
      </c>
    </row>
    <row r="184" spans="1:256">
      <c r="A184" t="e">
        <f>AND(#REF!,"AAAAAEXL2wA=")</f>
        <v>#REF!</v>
      </c>
      <c r="B184" t="e">
        <f>AND(#REF!,"AAAAAEXL2wE=")</f>
        <v>#REF!</v>
      </c>
      <c r="C184" t="e">
        <f>AND(#REF!,"AAAAAEXL2wI=")</f>
        <v>#REF!</v>
      </c>
      <c r="D184" t="e">
        <f>AND(#REF!,"AAAAAEXL2wM=")</f>
        <v>#REF!</v>
      </c>
      <c r="E184" t="e">
        <f>AND(#REF!,"AAAAAEXL2wQ=")</f>
        <v>#REF!</v>
      </c>
      <c r="F184" t="e">
        <f>AND(#REF!,"AAAAAEXL2wU=")</f>
        <v>#REF!</v>
      </c>
      <c r="G184" t="e">
        <f>AND(#REF!,"AAAAAEXL2wY=")</f>
        <v>#REF!</v>
      </c>
      <c r="H184" t="e">
        <f>AND(#REF!,"AAAAAEXL2wc=")</f>
        <v>#REF!</v>
      </c>
      <c r="I184" t="e">
        <f>AND(#REF!,"AAAAAEXL2wg=")</f>
        <v>#REF!</v>
      </c>
      <c r="J184" t="e">
        <f>AND(#REF!,"AAAAAEXL2wk=")</f>
        <v>#REF!</v>
      </c>
      <c r="K184" t="e">
        <f>AND(#REF!,"AAAAAEXL2wo=")</f>
        <v>#REF!</v>
      </c>
      <c r="L184" t="e">
        <f>AND(#REF!,"AAAAAEXL2ws=")</f>
        <v>#REF!</v>
      </c>
      <c r="M184" t="e">
        <f>AND(#REF!,"AAAAAEXL2ww=")</f>
        <v>#REF!</v>
      </c>
      <c r="N184" t="e">
        <f>AND(#REF!,"AAAAAEXL2w0=")</f>
        <v>#REF!</v>
      </c>
      <c r="O184" t="e">
        <f>AND(#REF!,"AAAAAEXL2w4=")</f>
        <v>#REF!</v>
      </c>
      <c r="P184" t="e">
        <f>AND(#REF!,"AAAAAEXL2w8=")</f>
        <v>#REF!</v>
      </c>
      <c r="Q184" t="e">
        <f>AND(#REF!,"AAAAAEXL2xA=")</f>
        <v>#REF!</v>
      </c>
      <c r="R184" t="e">
        <f>AND(#REF!,"AAAAAEXL2xE=")</f>
        <v>#REF!</v>
      </c>
      <c r="S184" t="e">
        <f>AND(#REF!,"AAAAAEXL2xI=")</f>
        <v>#REF!</v>
      </c>
      <c r="T184" t="e">
        <f>AND(#REF!,"AAAAAEXL2xM=")</f>
        <v>#REF!</v>
      </c>
      <c r="U184" t="e">
        <f>AND(#REF!,"AAAAAEXL2xQ=")</f>
        <v>#REF!</v>
      </c>
      <c r="V184" t="e">
        <f>AND(#REF!,"AAAAAEXL2xU=")</f>
        <v>#REF!</v>
      </c>
      <c r="W184" t="e">
        <f>AND(#REF!,"AAAAAEXL2xY=")</f>
        <v>#REF!</v>
      </c>
      <c r="X184" t="e">
        <f>AND(#REF!,"AAAAAEXL2xc=")</f>
        <v>#REF!</v>
      </c>
      <c r="Y184" t="e">
        <f>AND(#REF!,"AAAAAEXL2xg=")</f>
        <v>#REF!</v>
      </c>
      <c r="Z184" t="e">
        <f>AND(#REF!,"AAAAAEXL2xk=")</f>
        <v>#REF!</v>
      </c>
      <c r="AA184" t="e">
        <f>AND(#REF!,"AAAAAEXL2xo=")</f>
        <v>#REF!</v>
      </c>
      <c r="AB184" t="e">
        <f>AND(#REF!,"AAAAAEXL2xs=")</f>
        <v>#REF!</v>
      </c>
      <c r="AC184" t="e">
        <f>AND(#REF!,"AAAAAEXL2xw=")</f>
        <v>#REF!</v>
      </c>
      <c r="AD184" t="e">
        <f>AND(#REF!,"AAAAAEXL2x0=")</f>
        <v>#REF!</v>
      </c>
      <c r="AE184" t="e">
        <f>AND(#REF!,"AAAAAEXL2x4=")</f>
        <v>#REF!</v>
      </c>
      <c r="AF184" t="e">
        <f>AND(#REF!,"AAAAAEXL2x8=")</f>
        <v>#REF!</v>
      </c>
      <c r="AG184" t="e">
        <f>AND(#REF!,"AAAAAEXL2yA=")</f>
        <v>#REF!</v>
      </c>
      <c r="AH184" t="e">
        <f>AND(#REF!,"AAAAAEXL2yE=")</f>
        <v>#REF!</v>
      </c>
      <c r="AI184" t="e">
        <f>AND(#REF!,"AAAAAEXL2yI=")</f>
        <v>#REF!</v>
      </c>
      <c r="AJ184" t="e">
        <f>AND(#REF!,"AAAAAEXL2yM=")</f>
        <v>#REF!</v>
      </c>
      <c r="AK184" t="e">
        <f>AND(#REF!,"AAAAAEXL2yQ=")</f>
        <v>#REF!</v>
      </c>
      <c r="AL184" t="e">
        <f>AND(#REF!,"AAAAAEXL2yU=")</f>
        <v>#REF!</v>
      </c>
      <c r="AM184" t="e">
        <f>AND(#REF!,"AAAAAEXL2yY=")</f>
        <v>#REF!</v>
      </c>
      <c r="AN184" t="e">
        <f>AND(#REF!,"AAAAAEXL2yc=")</f>
        <v>#REF!</v>
      </c>
      <c r="AO184" t="e">
        <f>AND(#REF!,"AAAAAEXL2yg=")</f>
        <v>#REF!</v>
      </c>
      <c r="AP184" t="e">
        <f>AND(#REF!,"AAAAAEXL2yk=")</f>
        <v>#REF!</v>
      </c>
      <c r="AQ184" t="e">
        <f>AND(#REF!,"AAAAAEXL2yo=")</f>
        <v>#REF!</v>
      </c>
      <c r="AR184" t="e">
        <f>AND(#REF!,"AAAAAEXL2ys=")</f>
        <v>#REF!</v>
      </c>
      <c r="AS184" t="e">
        <f>AND(#REF!,"AAAAAEXL2yw=")</f>
        <v>#REF!</v>
      </c>
      <c r="AT184" t="e">
        <f>AND(#REF!,"AAAAAEXL2y0=")</f>
        <v>#REF!</v>
      </c>
      <c r="AU184" t="e">
        <f>AND(#REF!,"AAAAAEXL2y4=")</f>
        <v>#REF!</v>
      </c>
      <c r="AV184" t="e">
        <f>AND(#REF!,"AAAAAEXL2y8=")</f>
        <v>#REF!</v>
      </c>
      <c r="AW184" t="e">
        <f>AND(#REF!,"AAAAAEXL2zA=")</f>
        <v>#REF!</v>
      </c>
      <c r="AX184" t="e">
        <f>AND(#REF!,"AAAAAEXL2zE=")</f>
        <v>#REF!</v>
      </c>
      <c r="AY184" t="e">
        <f>AND(#REF!,"AAAAAEXL2zI=")</f>
        <v>#REF!</v>
      </c>
      <c r="AZ184" t="e">
        <f>AND(#REF!,"AAAAAEXL2zM=")</f>
        <v>#REF!</v>
      </c>
      <c r="BA184" t="e">
        <f>AND(#REF!,"AAAAAEXL2zQ=")</f>
        <v>#REF!</v>
      </c>
      <c r="BB184" t="e">
        <f>AND(#REF!,"AAAAAEXL2zU=")</f>
        <v>#REF!</v>
      </c>
      <c r="BC184" t="e">
        <f>AND(#REF!,"AAAAAEXL2zY=")</f>
        <v>#REF!</v>
      </c>
      <c r="BD184" t="e">
        <f>AND(#REF!,"AAAAAEXL2zc=")</f>
        <v>#REF!</v>
      </c>
      <c r="BE184" t="e">
        <f>AND(#REF!,"AAAAAEXL2zg=")</f>
        <v>#REF!</v>
      </c>
      <c r="BF184" t="e">
        <f>AND(#REF!,"AAAAAEXL2zk=")</f>
        <v>#REF!</v>
      </c>
      <c r="BG184" t="e">
        <f>AND(#REF!,"AAAAAEXL2zo=")</f>
        <v>#REF!</v>
      </c>
      <c r="BH184" t="e">
        <f>AND(#REF!,"AAAAAEXL2zs=")</f>
        <v>#REF!</v>
      </c>
      <c r="BI184" t="e">
        <f>AND(#REF!,"AAAAAEXL2zw=")</f>
        <v>#REF!</v>
      </c>
      <c r="BJ184" t="e">
        <f>AND(#REF!,"AAAAAEXL2z0=")</f>
        <v>#REF!</v>
      </c>
      <c r="BK184" t="e">
        <f>IF(#REF!,"AAAAAEXL2z4=",0)</f>
        <v>#REF!</v>
      </c>
      <c r="BL184" t="e">
        <f>AND(#REF!,"AAAAAEXL2z8=")</f>
        <v>#REF!</v>
      </c>
      <c r="BM184" t="e">
        <f>AND(#REF!,"AAAAAEXL20A=")</f>
        <v>#REF!</v>
      </c>
      <c r="BN184" t="e">
        <f>AND(#REF!,"AAAAAEXL20E=")</f>
        <v>#REF!</v>
      </c>
      <c r="BO184" t="e">
        <f>AND(#REF!,"AAAAAEXL20I=")</f>
        <v>#REF!</v>
      </c>
      <c r="BP184" t="e">
        <f>AND(#REF!,"AAAAAEXL20M=")</f>
        <v>#REF!</v>
      </c>
      <c r="BQ184" t="e">
        <f>AND(#REF!,"AAAAAEXL20Q=")</f>
        <v>#REF!</v>
      </c>
      <c r="BR184" t="e">
        <f>AND(#REF!,"AAAAAEXL20U=")</f>
        <v>#REF!</v>
      </c>
      <c r="BS184" t="e">
        <f>AND(#REF!,"AAAAAEXL20Y=")</f>
        <v>#REF!</v>
      </c>
      <c r="BT184" t="e">
        <f>AND(#REF!,"AAAAAEXL20c=")</f>
        <v>#REF!</v>
      </c>
      <c r="BU184" t="e">
        <f>AND(#REF!,"AAAAAEXL20g=")</f>
        <v>#REF!</v>
      </c>
      <c r="BV184" t="e">
        <f>AND(#REF!,"AAAAAEXL20k=")</f>
        <v>#REF!</v>
      </c>
      <c r="BW184" t="e">
        <f>AND(#REF!,"AAAAAEXL20o=")</f>
        <v>#REF!</v>
      </c>
      <c r="BX184" t="e">
        <f>AND(#REF!,"AAAAAEXL20s=")</f>
        <v>#REF!</v>
      </c>
      <c r="BY184" t="e">
        <f>AND(#REF!,"AAAAAEXL20w=")</f>
        <v>#REF!</v>
      </c>
      <c r="BZ184" t="e">
        <f>AND(#REF!,"AAAAAEXL200=")</f>
        <v>#REF!</v>
      </c>
      <c r="CA184" t="e">
        <f>AND(#REF!,"AAAAAEXL204=")</f>
        <v>#REF!</v>
      </c>
      <c r="CB184" t="e">
        <f>AND(#REF!,"AAAAAEXL208=")</f>
        <v>#REF!</v>
      </c>
      <c r="CC184" t="e">
        <f>AND(#REF!,"AAAAAEXL21A=")</f>
        <v>#REF!</v>
      </c>
      <c r="CD184" t="e">
        <f>AND(#REF!,"AAAAAEXL21E=")</f>
        <v>#REF!</v>
      </c>
      <c r="CE184" t="e">
        <f>AND(#REF!,"AAAAAEXL21I=")</f>
        <v>#REF!</v>
      </c>
      <c r="CF184" t="e">
        <f>AND(#REF!,"AAAAAEXL21M=")</f>
        <v>#REF!</v>
      </c>
      <c r="CG184" t="e">
        <f>AND(#REF!,"AAAAAEXL21Q=")</f>
        <v>#REF!</v>
      </c>
      <c r="CH184" t="e">
        <f>AND(#REF!,"AAAAAEXL21U=")</f>
        <v>#REF!</v>
      </c>
      <c r="CI184" t="e">
        <f>AND(#REF!,"AAAAAEXL21Y=")</f>
        <v>#REF!</v>
      </c>
      <c r="CJ184" t="e">
        <f>AND(#REF!,"AAAAAEXL21c=")</f>
        <v>#REF!</v>
      </c>
      <c r="CK184" t="e">
        <f>AND(#REF!,"AAAAAEXL21g=")</f>
        <v>#REF!</v>
      </c>
      <c r="CL184" t="e">
        <f>AND(#REF!,"AAAAAEXL21k=")</f>
        <v>#REF!</v>
      </c>
      <c r="CM184" t="e">
        <f>AND(#REF!,"AAAAAEXL21o=")</f>
        <v>#REF!</v>
      </c>
      <c r="CN184" t="e">
        <f>AND(#REF!,"AAAAAEXL21s=")</f>
        <v>#REF!</v>
      </c>
      <c r="CO184" t="e">
        <f>AND(#REF!,"AAAAAEXL21w=")</f>
        <v>#REF!</v>
      </c>
      <c r="CP184" t="e">
        <f>AND(#REF!,"AAAAAEXL210=")</f>
        <v>#REF!</v>
      </c>
      <c r="CQ184" t="e">
        <f>AND(#REF!,"AAAAAEXL214=")</f>
        <v>#REF!</v>
      </c>
      <c r="CR184" t="e">
        <f>AND(#REF!,"AAAAAEXL218=")</f>
        <v>#REF!</v>
      </c>
      <c r="CS184" t="e">
        <f>AND(#REF!,"AAAAAEXL22A=")</f>
        <v>#REF!</v>
      </c>
      <c r="CT184" t="e">
        <f>AND(#REF!,"AAAAAEXL22E=")</f>
        <v>#REF!</v>
      </c>
      <c r="CU184" t="e">
        <f>AND(#REF!,"AAAAAEXL22I=")</f>
        <v>#REF!</v>
      </c>
      <c r="CV184" t="e">
        <f>AND(#REF!,"AAAAAEXL22M=")</f>
        <v>#REF!</v>
      </c>
      <c r="CW184" t="e">
        <f>AND(#REF!,"AAAAAEXL22Q=")</f>
        <v>#REF!</v>
      </c>
      <c r="CX184" t="e">
        <f>AND(#REF!,"AAAAAEXL22U=")</f>
        <v>#REF!</v>
      </c>
      <c r="CY184" t="e">
        <f>AND(#REF!,"AAAAAEXL22Y=")</f>
        <v>#REF!</v>
      </c>
      <c r="CZ184" t="e">
        <f>AND(#REF!,"AAAAAEXL22c=")</f>
        <v>#REF!</v>
      </c>
      <c r="DA184" t="e">
        <f>AND(#REF!,"AAAAAEXL22g=")</f>
        <v>#REF!</v>
      </c>
      <c r="DB184" t="e">
        <f>AND(#REF!,"AAAAAEXL22k=")</f>
        <v>#REF!</v>
      </c>
      <c r="DC184" t="e">
        <f>AND(#REF!,"AAAAAEXL22o=")</f>
        <v>#REF!</v>
      </c>
      <c r="DD184" t="e">
        <f>AND(#REF!,"AAAAAEXL22s=")</f>
        <v>#REF!</v>
      </c>
      <c r="DE184" t="e">
        <f>AND(#REF!,"AAAAAEXL22w=")</f>
        <v>#REF!</v>
      </c>
      <c r="DF184" t="e">
        <f>AND(#REF!,"AAAAAEXL220=")</f>
        <v>#REF!</v>
      </c>
      <c r="DG184" t="e">
        <f>AND(#REF!,"AAAAAEXL224=")</f>
        <v>#REF!</v>
      </c>
      <c r="DH184" t="e">
        <f>AND(#REF!,"AAAAAEXL228=")</f>
        <v>#REF!</v>
      </c>
      <c r="DI184" t="e">
        <f>AND(#REF!,"AAAAAEXL23A=")</f>
        <v>#REF!</v>
      </c>
      <c r="DJ184" t="e">
        <f>AND(#REF!,"AAAAAEXL23E=")</f>
        <v>#REF!</v>
      </c>
      <c r="DK184" t="e">
        <f>AND(#REF!,"AAAAAEXL23I=")</f>
        <v>#REF!</v>
      </c>
      <c r="DL184" t="e">
        <f>AND(#REF!,"AAAAAEXL23M=")</f>
        <v>#REF!</v>
      </c>
      <c r="DM184" t="e">
        <f>AND(#REF!,"AAAAAEXL23Q=")</f>
        <v>#REF!</v>
      </c>
      <c r="DN184" t="e">
        <f>AND(#REF!,"AAAAAEXL23U=")</f>
        <v>#REF!</v>
      </c>
      <c r="DO184" t="e">
        <f>AND(#REF!,"AAAAAEXL23Y=")</f>
        <v>#REF!</v>
      </c>
      <c r="DP184" t="e">
        <f>AND(#REF!,"AAAAAEXL23c=")</f>
        <v>#REF!</v>
      </c>
      <c r="DQ184" t="e">
        <f>AND(#REF!,"AAAAAEXL23g=")</f>
        <v>#REF!</v>
      </c>
      <c r="DR184" t="e">
        <f>AND(#REF!,"AAAAAEXL23k=")</f>
        <v>#REF!</v>
      </c>
      <c r="DS184" t="e">
        <f>AND(#REF!,"AAAAAEXL23o=")</f>
        <v>#REF!</v>
      </c>
      <c r="DT184" t="e">
        <f>AND(#REF!,"AAAAAEXL23s=")</f>
        <v>#REF!</v>
      </c>
      <c r="DU184" t="e">
        <f>AND(#REF!,"AAAAAEXL23w=")</f>
        <v>#REF!</v>
      </c>
      <c r="DV184" t="e">
        <f>AND(#REF!,"AAAAAEXL230=")</f>
        <v>#REF!</v>
      </c>
      <c r="DW184" t="e">
        <f>AND(#REF!,"AAAAAEXL234=")</f>
        <v>#REF!</v>
      </c>
      <c r="DX184" t="e">
        <f>AND(#REF!,"AAAAAEXL238=")</f>
        <v>#REF!</v>
      </c>
      <c r="DY184" t="e">
        <f>AND(#REF!,"AAAAAEXL24A=")</f>
        <v>#REF!</v>
      </c>
      <c r="DZ184" t="e">
        <f>AND(#REF!,"AAAAAEXL24E=")</f>
        <v>#REF!</v>
      </c>
      <c r="EA184" t="e">
        <f>AND(#REF!,"AAAAAEXL24I=")</f>
        <v>#REF!</v>
      </c>
      <c r="EB184" t="e">
        <f>AND(#REF!,"AAAAAEXL24M=")</f>
        <v>#REF!</v>
      </c>
      <c r="EC184" t="e">
        <f>AND(#REF!,"AAAAAEXL24Q=")</f>
        <v>#REF!</v>
      </c>
      <c r="ED184" t="e">
        <f>AND(#REF!,"AAAAAEXL24U=")</f>
        <v>#REF!</v>
      </c>
      <c r="EE184" t="e">
        <f>AND(#REF!,"AAAAAEXL24Y=")</f>
        <v>#REF!</v>
      </c>
      <c r="EF184" t="e">
        <f>AND(#REF!,"AAAAAEXL24c=")</f>
        <v>#REF!</v>
      </c>
      <c r="EG184" t="e">
        <f>AND(#REF!,"AAAAAEXL24g=")</f>
        <v>#REF!</v>
      </c>
      <c r="EH184" t="e">
        <f>AND(#REF!,"AAAAAEXL24k=")</f>
        <v>#REF!</v>
      </c>
      <c r="EI184" t="e">
        <f>AND(#REF!,"AAAAAEXL24o=")</f>
        <v>#REF!</v>
      </c>
      <c r="EJ184" t="e">
        <f>AND(#REF!,"AAAAAEXL24s=")</f>
        <v>#REF!</v>
      </c>
      <c r="EK184" t="e">
        <f>AND(#REF!,"AAAAAEXL24w=")</f>
        <v>#REF!</v>
      </c>
      <c r="EL184" t="e">
        <f>AND(#REF!,"AAAAAEXL240=")</f>
        <v>#REF!</v>
      </c>
      <c r="EM184" t="e">
        <f>AND(#REF!,"AAAAAEXL244=")</f>
        <v>#REF!</v>
      </c>
      <c r="EN184" t="e">
        <f>AND(#REF!,"AAAAAEXL248=")</f>
        <v>#REF!</v>
      </c>
      <c r="EO184" t="e">
        <f>AND(#REF!,"AAAAAEXL25A=")</f>
        <v>#REF!</v>
      </c>
      <c r="EP184" t="e">
        <f>AND(#REF!,"AAAAAEXL25E=")</f>
        <v>#REF!</v>
      </c>
      <c r="EQ184" t="e">
        <f>AND(#REF!,"AAAAAEXL25I=")</f>
        <v>#REF!</v>
      </c>
      <c r="ER184" t="e">
        <f>AND(#REF!,"AAAAAEXL25M=")</f>
        <v>#REF!</v>
      </c>
      <c r="ES184" t="e">
        <f>AND(#REF!,"AAAAAEXL25Q=")</f>
        <v>#REF!</v>
      </c>
      <c r="ET184" t="e">
        <f>AND(#REF!,"AAAAAEXL25U=")</f>
        <v>#REF!</v>
      </c>
      <c r="EU184" t="e">
        <f>AND(#REF!,"AAAAAEXL25Y=")</f>
        <v>#REF!</v>
      </c>
      <c r="EV184" t="e">
        <f>AND(#REF!,"AAAAAEXL25c=")</f>
        <v>#REF!</v>
      </c>
      <c r="EW184" t="e">
        <f>AND(#REF!,"AAAAAEXL25g=")</f>
        <v>#REF!</v>
      </c>
      <c r="EX184" t="e">
        <f>AND(#REF!,"AAAAAEXL25k=")</f>
        <v>#REF!</v>
      </c>
      <c r="EY184" t="e">
        <f>AND(#REF!,"AAAAAEXL25o=")</f>
        <v>#REF!</v>
      </c>
      <c r="EZ184" t="e">
        <f>AND(#REF!,"AAAAAEXL25s=")</f>
        <v>#REF!</v>
      </c>
      <c r="FA184" t="e">
        <f>AND(#REF!,"AAAAAEXL25w=")</f>
        <v>#REF!</v>
      </c>
      <c r="FB184" t="e">
        <f>AND(#REF!,"AAAAAEXL250=")</f>
        <v>#REF!</v>
      </c>
      <c r="FC184" t="e">
        <f>AND(#REF!,"AAAAAEXL254=")</f>
        <v>#REF!</v>
      </c>
      <c r="FD184" t="e">
        <f>AND(#REF!,"AAAAAEXL258=")</f>
        <v>#REF!</v>
      </c>
      <c r="FE184" t="e">
        <f>AND(#REF!,"AAAAAEXL26A=")</f>
        <v>#REF!</v>
      </c>
      <c r="FF184" t="e">
        <f>AND(#REF!,"AAAAAEXL26E=")</f>
        <v>#REF!</v>
      </c>
      <c r="FG184" t="e">
        <f>AND(#REF!,"AAAAAEXL26I=")</f>
        <v>#REF!</v>
      </c>
      <c r="FH184" t="e">
        <f>AND(#REF!,"AAAAAEXL26M=")</f>
        <v>#REF!</v>
      </c>
      <c r="FI184" t="e">
        <f>AND(#REF!,"AAAAAEXL26Q=")</f>
        <v>#REF!</v>
      </c>
      <c r="FJ184" t="e">
        <f>AND(#REF!,"AAAAAEXL26U=")</f>
        <v>#REF!</v>
      </c>
      <c r="FK184" t="e">
        <f>AND(#REF!,"AAAAAEXL26Y=")</f>
        <v>#REF!</v>
      </c>
      <c r="FL184" t="e">
        <f>AND(#REF!,"AAAAAEXL26c=")</f>
        <v>#REF!</v>
      </c>
      <c r="FM184" t="e">
        <f>AND(#REF!,"AAAAAEXL26g=")</f>
        <v>#REF!</v>
      </c>
      <c r="FN184" t="e">
        <f>AND(#REF!,"AAAAAEXL26k=")</f>
        <v>#REF!</v>
      </c>
      <c r="FO184" t="e">
        <f>AND(#REF!,"AAAAAEXL26o=")</f>
        <v>#REF!</v>
      </c>
      <c r="FP184" t="e">
        <f>AND(#REF!,"AAAAAEXL26s=")</f>
        <v>#REF!</v>
      </c>
      <c r="FQ184" t="e">
        <f>AND(#REF!,"AAAAAEXL26w=")</f>
        <v>#REF!</v>
      </c>
      <c r="FR184" t="e">
        <f>AND(#REF!,"AAAAAEXL260=")</f>
        <v>#REF!</v>
      </c>
      <c r="FS184" t="e">
        <f>AND(#REF!,"AAAAAEXL264=")</f>
        <v>#REF!</v>
      </c>
      <c r="FT184" t="e">
        <f>AND(#REF!,"AAAAAEXL268=")</f>
        <v>#REF!</v>
      </c>
      <c r="FU184" t="e">
        <f>AND(#REF!,"AAAAAEXL27A=")</f>
        <v>#REF!</v>
      </c>
      <c r="FV184" t="e">
        <f>AND(#REF!,"AAAAAEXL27E=")</f>
        <v>#REF!</v>
      </c>
      <c r="FW184" t="e">
        <f>AND(#REF!,"AAAAAEXL27I=")</f>
        <v>#REF!</v>
      </c>
      <c r="FX184" t="e">
        <f>AND(#REF!,"AAAAAEXL27M=")</f>
        <v>#REF!</v>
      </c>
      <c r="FY184" t="e">
        <f>AND(#REF!,"AAAAAEXL27Q=")</f>
        <v>#REF!</v>
      </c>
      <c r="FZ184" t="e">
        <f>AND(#REF!,"AAAAAEXL27U=")</f>
        <v>#REF!</v>
      </c>
      <c r="GA184" t="e">
        <f>AND(#REF!,"AAAAAEXL27Y=")</f>
        <v>#REF!</v>
      </c>
      <c r="GB184" t="e">
        <f>AND(#REF!,"AAAAAEXL27c=")</f>
        <v>#REF!</v>
      </c>
      <c r="GC184" t="e">
        <f>AND(#REF!,"AAAAAEXL27g=")</f>
        <v>#REF!</v>
      </c>
      <c r="GD184" t="e">
        <f>AND(#REF!,"AAAAAEXL27k=")</f>
        <v>#REF!</v>
      </c>
      <c r="GE184" t="e">
        <f>AND(#REF!,"AAAAAEXL27o=")</f>
        <v>#REF!</v>
      </c>
      <c r="GF184" t="e">
        <f>AND(#REF!,"AAAAAEXL27s=")</f>
        <v>#REF!</v>
      </c>
      <c r="GG184" t="e">
        <f>AND(#REF!,"AAAAAEXL27w=")</f>
        <v>#REF!</v>
      </c>
      <c r="GH184" t="e">
        <f>AND(#REF!,"AAAAAEXL270=")</f>
        <v>#REF!</v>
      </c>
      <c r="GI184" t="e">
        <f>AND(#REF!,"AAAAAEXL274=")</f>
        <v>#REF!</v>
      </c>
      <c r="GJ184" t="e">
        <f>AND(#REF!,"AAAAAEXL278=")</f>
        <v>#REF!</v>
      </c>
      <c r="GK184" t="e">
        <f>AND(#REF!,"AAAAAEXL28A=")</f>
        <v>#REF!</v>
      </c>
      <c r="GL184" t="e">
        <f>AND(#REF!,"AAAAAEXL28E=")</f>
        <v>#REF!</v>
      </c>
      <c r="GM184" t="e">
        <f>AND(#REF!,"AAAAAEXL28I=")</f>
        <v>#REF!</v>
      </c>
      <c r="GN184" t="e">
        <f>AND(#REF!,"AAAAAEXL28M=")</f>
        <v>#REF!</v>
      </c>
      <c r="GO184" t="e">
        <f>AND(#REF!,"AAAAAEXL28Q=")</f>
        <v>#REF!</v>
      </c>
      <c r="GP184" t="e">
        <f>AND(#REF!,"AAAAAEXL28U=")</f>
        <v>#REF!</v>
      </c>
      <c r="GQ184" t="e">
        <f>AND(#REF!,"AAAAAEXL28Y=")</f>
        <v>#REF!</v>
      </c>
      <c r="GR184" t="e">
        <f>AND(#REF!,"AAAAAEXL28c=")</f>
        <v>#REF!</v>
      </c>
      <c r="GS184" t="e">
        <f>AND(#REF!,"AAAAAEXL28g=")</f>
        <v>#REF!</v>
      </c>
      <c r="GT184" t="e">
        <f>AND(#REF!,"AAAAAEXL28k=")</f>
        <v>#REF!</v>
      </c>
      <c r="GU184" t="e">
        <f>AND(#REF!,"AAAAAEXL28o=")</f>
        <v>#REF!</v>
      </c>
      <c r="GV184" t="e">
        <f>AND(#REF!,"AAAAAEXL28s=")</f>
        <v>#REF!</v>
      </c>
      <c r="GW184" t="e">
        <f>AND(#REF!,"AAAAAEXL28w=")</f>
        <v>#REF!</v>
      </c>
      <c r="GX184" t="e">
        <f>AND(#REF!,"AAAAAEXL280=")</f>
        <v>#REF!</v>
      </c>
      <c r="GY184" t="e">
        <f>AND(#REF!,"AAAAAEXL284=")</f>
        <v>#REF!</v>
      </c>
      <c r="GZ184" t="e">
        <f>AND(#REF!,"AAAAAEXL288=")</f>
        <v>#REF!</v>
      </c>
      <c r="HA184" t="e">
        <f>AND(#REF!,"AAAAAEXL29A=")</f>
        <v>#REF!</v>
      </c>
      <c r="HB184" t="e">
        <f>AND(#REF!,"AAAAAEXL29E=")</f>
        <v>#REF!</v>
      </c>
      <c r="HC184" t="e">
        <f>AND(#REF!,"AAAAAEXL29I=")</f>
        <v>#REF!</v>
      </c>
      <c r="HD184" t="e">
        <f>AND(#REF!,"AAAAAEXL29M=")</f>
        <v>#REF!</v>
      </c>
      <c r="HE184" t="e">
        <f>AND(#REF!,"AAAAAEXL29Q=")</f>
        <v>#REF!</v>
      </c>
      <c r="HF184" t="e">
        <f>AND(#REF!,"AAAAAEXL29U=")</f>
        <v>#REF!</v>
      </c>
      <c r="HG184" t="e">
        <f>AND(#REF!,"AAAAAEXL29Y=")</f>
        <v>#REF!</v>
      </c>
      <c r="HH184" t="e">
        <f>AND(#REF!,"AAAAAEXL29c=")</f>
        <v>#REF!</v>
      </c>
      <c r="HI184" t="e">
        <f>AND(#REF!,"AAAAAEXL29g=")</f>
        <v>#REF!</v>
      </c>
      <c r="HJ184" t="e">
        <f>AND(#REF!,"AAAAAEXL29k=")</f>
        <v>#REF!</v>
      </c>
      <c r="HK184" t="e">
        <f>AND(#REF!,"AAAAAEXL29o=")</f>
        <v>#REF!</v>
      </c>
      <c r="HL184" t="e">
        <f>AND(#REF!,"AAAAAEXL29s=")</f>
        <v>#REF!</v>
      </c>
      <c r="HM184" t="e">
        <f>AND(#REF!,"AAAAAEXL29w=")</f>
        <v>#REF!</v>
      </c>
      <c r="HN184" t="e">
        <f>AND(#REF!,"AAAAAEXL290=")</f>
        <v>#REF!</v>
      </c>
      <c r="HO184" t="e">
        <f>AND(#REF!,"AAAAAEXL294=")</f>
        <v>#REF!</v>
      </c>
      <c r="HP184" t="e">
        <f>AND(#REF!,"AAAAAEXL298=")</f>
        <v>#REF!</v>
      </c>
      <c r="HQ184" t="e">
        <f>AND(#REF!,"AAAAAEXL2+A=")</f>
        <v>#REF!</v>
      </c>
      <c r="HR184" t="e">
        <f>AND(#REF!,"AAAAAEXL2+E=")</f>
        <v>#REF!</v>
      </c>
      <c r="HS184" t="e">
        <f>AND(#REF!,"AAAAAEXL2+I=")</f>
        <v>#REF!</v>
      </c>
      <c r="HT184" t="e">
        <f>AND(#REF!,"AAAAAEXL2+M=")</f>
        <v>#REF!</v>
      </c>
      <c r="HU184" t="e">
        <f>AND(#REF!,"AAAAAEXL2+Q=")</f>
        <v>#REF!</v>
      </c>
      <c r="HV184" t="e">
        <f>AND(#REF!,"AAAAAEXL2+U=")</f>
        <v>#REF!</v>
      </c>
      <c r="HW184" t="e">
        <f>AND(#REF!,"AAAAAEXL2+Y=")</f>
        <v>#REF!</v>
      </c>
      <c r="HX184" t="e">
        <f>AND(#REF!,"AAAAAEXL2+c=")</f>
        <v>#REF!</v>
      </c>
      <c r="HY184" t="e">
        <f>AND(#REF!,"AAAAAEXL2+g=")</f>
        <v>#REF!</v>
      </c>
      <c r="HZ184" t="e">
        <f>AND(#REF!,"AAAAAEXL2+k=")</f>
        <v>#REF!</v>
      </c>
      <c r="IA184" t="e">
        <f>AND(#REF!,"AAAAAEXL2+o=")</f>
        <v>#REF!</v>
      </c>
      <c r="IB184" t="e">
        <f>AND(#REF!,"AAAAAEXL2+s=")</f>
        <v>#REF!</v>
      </c>
      <c r="IC184" t="e">
        <f>AND(#REF!,"AAAAAEXL2+w=")</f>
        <v>#REF!</v>
      </c>
      <c r="ID184" t="e">
        <f>AND(#REF!,"AAAAAEXL2+0=")</f>
        <v>#REF!</v>
      </c>
      <c r="IE184" t="e">
        <f>AND(#REF!,"AAAAAEXL2+4=")</f>
        <v>#REF!</v>
      </c>
      <c r="IF184" t="e">
        <f>AND(#REF!,"AAAAAEXL2+8=")</f>
        <v>#REF!</v>
      </c>
      <c r="IG184" t="e">
        <f>AND(#REF!,"AAAAAEXL2/A=")</f>
        <v>#REF!</v>
      </c>
      <c r="IH184" t="e">
        <f>AND(#REF!,"AAAAAEXL2/E=")</f>
        <v>#REF!</v>
      </c>
      <c r="II184" t="e">
        <f>AND(#REF!,"AAAAAEXL2/I=")</f>
        <v>#REF!</v>
      </c>
      <c r="IJ184" t="e">
        <f>AND(#REF!,"AAAAAEXL2/M=")</f>
        <v>#REF!</v>
      </c>
      <c r="IK184" t="e">
        <f>AND(#REF!,"AAAAAEXL2/Q=")</f>
        <v>#REF!</v>
      </c>
      <c r="IL184" t="e">
        <f>AND(#REF!,"AAAAAEXL2/U=")</f>
        <v>#REF!</v>
      </c>
      <c r="IM184" t="e">
        <f>AND(#REF!,"AAAAAEXL2/Y=")</f>
        <v>#REF!</v>
      </c>
      <c r="IN184" t="e">
        <f>AND(#REF!,"AAAAAEXL2/c=")</f>
        <v>#REF!</v>
      </c>
      <c r="IO184" t="e">
        <f>AND(#REF!,"AAAAAEXL2/g=")</f>
        <v>#REF!</v>
      </c>
      <c r="IP184" t="e">
        <f>AND(#REF!,"AAAAAEXL2/k=")</f>
        <v>#REF!</v>
      </c>
      <c r="IQ184" t="e">
        <f>AND(#REF!,"AAAAAEXL2/o=")</f>
        <v>#REF!</v>
      </c>
      <c r="IR184" t="e">
        <f>AND(#REF!,"AAAAAEXL2/s=")</f>
        <v>#REF!</v>
      </c>
      <c r="IS184" t="e">
        <f>AND(#REF!,"AAAAAEXL2/w=")</f>
        <v>#REF!</v>
      </c>
      <c r="IT184" t="e">
        <f>AND(#REF!,"AAAAAEXL2/0=")</f>
        <v>#REF!</v>
      </c>
      <c r="IU184" t="e">
        <f>AND(#REF!,"AAAAAEXL2/4=")</f>
        <v>#REF!</v>
      </c>
      <c r="IV184" t="e">
        <f>AND(#REF!,"AAAAAEXL2/8=")</f>
        <v>#REF!</v>
      </c>
    </row>
    <row r="185" spans="1:256">
      <c r="A185" t="e">
        <f>AND(#REF!,"AAAAAHb/OgA=")</f>
        <v>#REF!</v>
      </c>
      <c r="B185" t="e">
        <f>AND(#REF!,"AAAAAHb/OgE=")</f>
        <v>#REF!</v>
      </c>
      <c r="C185" t="e">
        <f>AND(#REF!,"AAAAAHb/OgI=")</f>
        <v>#REF!</v>
      </c>
      <c r="D185" t="e">
        <f>AND(#REF!,"AAAAAHb/OgM=")</f>
        <v>#REF!</v>
      </c>
      <c r="E185" t="e">
        <f>AND(#REF!,"AAAAAHb/OgQ=")</f>
        <v>#REF!</v>
      </c>
      <c r="F185" t="e">
        <f>AND(#REF!,"AAAAAHb/OgU=")</f>
        <v>#REF!</v>
      </c>
      <c r="G185" t="e">
        <f>AND(#REF!,"AAAAAHb/OgY=")</f>
        <v>#REF!</v>
      </c>
      <c r="H185" t="e">
        <f>AND(#REF!,"AAAAAHb/Ogc=")</f>
        <v>#REF!</v>
      </c>
      <c r="I185" t="e">
        <f>AND(#REF!,"AAAAAHb/Ogg=")</f>
        <v>#REF!</v>
      </c>
      <c r="J185" t="e">
        <f>AND(#REF!,"AAAAAHb/Ogk=")</f>
        <v>#REF!</v>
      </c>
      <c r="K185" t="e">
        <f>AND(#REF!,"AAAAAHb/Ogo=")</f>
        <v>#REF!</v>
      </c>
      <c r="L185" t="e">
        <f>AND(#REF!,"AAAAAHb/Ogs=")</f>
        <v>#REF!</v>
      </c>
      <c r="M185" t="e">
        <f>AND(#REF!,"AAAAAHb/Ogw=")</f>
        <v>#REF!</v>
      </c>
      <c r="N185" t="e">
        <f>AND(#REF!,"AAAAAHb/Og0=")</f>
        <v>#REF!</v>
      </c>
      <c r="O185" t="e">
        <f>AND(#REF!,"AAAAAHb/Og4=")</f>
        <v>#REF!</v>
      </c>
      <c r="P185" t="e">
        <f>AND(#REF!,"AAAAAHb/Og8=")</f>
        <v>#REF!</v>
      </c>
      <c r="Q185" t="e">
        <f>AND(#REF!,"AAAAAHb/OhA=")</f>
        <v>#REF!</v>
      </c>
      <c r="R185" t="e">
        <f>AND(#REF!,"AAAAAHb/OhE=")</f>
        <v>#REF!</v>
      </c>
      <c r="S185" t="e">
        <f>AND(#REF!,"AAAAAHb/OhI=")</f>
        <v>#REF!</v>
      </c>
      <c r="T185" t="e">
        <f>AND(#REF!,"AAAAAHb/OhM=")</f>
        <v>#REF!</v>
      </c>
      <c r="U185" t="e">
        <f>AND(#REF!,"AAAAAHb/OhQ=")</f>
        <v>#REF!</v>
      </c>
      <c r="V185" t="e">
        <f>AND(#REF!,"AAAAAHb/OhU=")</f>
        <v>#REF!</v>
      </c>
      <c r="W185" t="e">
        <f>AND(#REF!,"AAAAAHb/OhY=")</f>
        <v>#REF!</v>
      </c>
      <c r="X185" t="e">
        <f>AND(#REF!,"AAAAAHb/Ohc=")</f>
        <v>#REF!</v>
      </c>
      <c r="Y185" t="e">
        <f>AND(#REF!,"AAAAAHb/Ohg=")</f>
        <v>#REF!</v>
      </c>
      <c r="Z185" t="e">
        <f>AND(#REF!,"AAAAAHb/Ohk=")</f>
        <v>#REF!</v>
      </c>
      <c r="AA185" t="e">
        <f>AND(#REF!,"AAAAAHb/Oho=")</f>
        <v>#REF!</v>
      </c>
      <c r="AB185" t="e">
        <f>AND(#REF!,"AAAAAHb/Ohs=")</f>
        <v>#REF!</v>
      </c>
      <c r="AC185" t="e">
        <f>AND(#REF!,"AAAAAHb/Ohw=")</f>
        <v>#REF!</v>
      </c>
      <c r="AD185" t="e">
        <f>AND(#REF!,"AAAAAHb/Oh0=")</f>
        <v>#REF!</v>
      </c>
      <c r="AE185" t="e">
        <f>AND(#REF!,"AAAAAHb/Oh4=")</f>
        <v>#REF!</v>
      </c>
      <c r="AF185" t="e">
        <f>AND(#REF!,"AAAAAHb/Oh8=")</f>
        <v>#REF!</v>
      </c>
      <c r="AG185" t="e">
        <f>AND(#REF!,"AAAAAHb/OiA=")</f>
        <v>#REF!</v>
      </c>
      <c r="AH185" t="e">
        <f>AND(#REF!,"AAAAAHb/OiE=")</f>
        <v>#REF!</v>
      </c>
      <c r="AI185" t="e">
        <f>IF(#REF!,"AAAAAHb/OiI=",0)</f>
        <v>#REF!</v>
      </c>
      <c r="AJ185" t="e">
        <f>AND(#REF!,"AAAAAHb/OiM=")</f>
        <v>#REF!</v>
      </c>
      <c r="AK185" t="e">
        <f>AND(#REF!,"AAAAAHb/OiQ=")</f>
        <v>#REF!</v>
      </c>
      <c r="AL185" t="e">
        <f>AND(#REF!,"AAAAAHb/OiU=")</f>
        <v>#REF!</v>
      </c>
      <c r="AM185" t="e">
        <f>AND(#REF!,"AAAAAHb/OiY=")</f>
        <v>#REF!</v>
      </c>
      <c r="AN185" t="e">
        <f>AND(#REF!,"AAAAAHb/Oic=")</f>
        <v>#REF!</v>
      </c>
      <c r="AO185" t="e">
        <f>AND(#REF!,"AAAAAHb/Oig=")</f>
        <v>#REF!</v>
      </c>
      <c r="AP185" t="e">
        <f>AND(#REF!,"AAAAAHb/Oik=")</f>
        <v>#REF!</v>
      </c>
      <c r="AQ185" t="e">
        <f>AND(#REF!,"AAAAAHb/Oio=")</f>
        <v>#REF!</v>
      </c>
      <c r="AR185" t="e">
        <f>AND(#REF!,"AAAAAHb/Ois=")</f>
        <v>#REF!</v>
      </c>
      <c r="AS185" t="e">
        <f>AND(#REF!,"AAAAAHb/Oiw=")</f>
        <v>#REF!</v>
      </c>
      <c r="AT185" t="e">
        <f>AND(#REF!,"AAAAAHb/Oi0=")</f>
        <v>#REF!</v>
      </c>
      <c r="AU185" t="e">
        <f>AND(#REF!,"AAAAAHb/Oi4=")</f>
        <v>#REF!</v>
      </c>
      <c r="AV185" t="e">
        <f>AND(#REF!,"AAAAAHb/Oi8=")</f>
        <v>#REF!</v>
      </c>
      <c r="AW185" t="e">
        <f>AND(#REF!,"AAAAAHb/OjA=")</f>
        <v>#REF!</v>
      </c>
      <c r="AX185" t="e">
        <f>AND(#REF!,"AAAAAHb/OjE=")</f>
        <v>#REF!</v>
      </c>
      <c r="AY185" t="e">
        <f>AND(#REF!,"AAAAAHb/OjI=")</f>
        <v>#REF!</v>
      </c>
      <c r="AZ185" t="e">
        <f>AND(#REF!,"AAAAAHb/OjM=")</f>
        <v>#REF!</v>
      </c>
      <c r="BA185" t="e">
        <f>AND(#REF!,"AAAAAHb/OjQ=")</f>
        <v>#REF!</v>
      </c>
      <c r="BB185" t="e">
        <f>AND(#REF!,"AAAAAHb/OjU=")</f>
        <v>#REF!</v>
      </c>
      <c r="BC185" t="e">
        <f>AND(#REF!,"AAAAAHb/OjY=")</f>
        <v>#REF!</v>
      </c>
      <c r="BD185" t="e">
        <f>AND(#REF!,"AAAAAHb/Ojc=")</f>
        <v>#REF!</v>
      </c>
      <c r="BE185" t="e">
        <f>AND(#REF!,"AAAAAHb/Ojg=")</f>
        <v>#REF!</v>
      </c>
      <c r="BF185" t="e">
        <f>AND(#REF!,"AAAAAHb/Ojk=")</f>
        <v>#REF!</v>
      </c>
      <c r="BG185" t="e">
        <f>AND(#REF!,"AAAAAHb/Ojo=")</f>
        <v>#REF!</v>
      </c>
      <c r="BH185" t="e">
        <f>AND(#REF!,"AAAAAHb/Ojs=")</f>
        <v>#REF!</v>
      </c>
      <c r="BI185" t="e">
        <f>AND(#REF!,"AAAAAHb/Ojw=")</f>
        <v>#REF!</v>
      </c>
      <c r="BJ185" t="e">
        <f>AND(#REF!,"AAAAAHb/Oj0=")</f>
        <v>#REF!</v>
      </c>
      <c r="BK185" t="e">
        <f>AND(#REF!,"AAAAAHb/Oj4=")</f>
        <v>#REF!</v>
      </c>
      <c r="BL185" t="e">
        <f>AND(#REF!,"AAAAAHb/Oj8=")</f>
        <v>#REF!</v>
      </c>
      <c r="BM185" t="e">
        <f>AND(#REF!,"AAAAAHb/OkA=")</f>
        <v>#REF!</v>
      </c>
      <c r="BN185" t="e">
        <f>AND(#REF!,"AAAAAHb/OkE=")</f>
        <v>#REF!</v>
      </c>
      <c r="BO185" t="e">
        <f>AND(#REF!,"AAAAAHb/OkI=")</f>
        <v>#REF!</v>
      </c>
      <c r="BP185" t="e">
        <f>AND(#REF!,"AAAAAHb/OkM=")</f>
        <v>#REF!</v>
      </c>
      <c r="BQ185" t="e">
        <f>AND(#REF!,"AAAAAHb/OkQ=")</f>
        <v>#REF!</v>
      </c>
      <c r="BR185" t="e">
        <f>AND(#REF!,"AAAAAHb/OkU=")</f>
        <v>#REF!</v>
      </c>
      <c r="BS185" t="e">
        <f>AND(#REF!,"AAAAAHb/OkY=")</f>
        <v>#REF!</v>
      </c>
      <c r="BT185" t="e">
        <f>AND(#REF!,"AAAAAHb/Okc=")</f>
        <v>#REF!</v>
      </c>
      <c r="BU185" t="e">
        <f>AND(#REF!,"AAAAAHb/Okg=")</f>
        <v>#REF!</v>
      </c>
      <c r="BV185" t="e">
        <f>AND(#REF!,"AAAAAHb/Okk=")</f>
        <v>#REF!</v>
      </c>
      <c r="BW185" t="e">
        <f>AND(#REF!,"AAAAAHb/Oko=")</f>
        <v>#REF!</v>
      </c>
      <c r="BX185" t="e">
        <f>AND(#REF!,"AAAAAHb/Oks=")</f>
        <v>#REF!</v>
      </c>
      <c r="BY185" t="e">
        <f>AND(#REF!,"AAAAAHb/Okw=")</f>
        <v>#REF!</v>
      </c>
      <c r="BZ185" t="e">
        <f>AND(#REF!,"AAAAAHb/Ok0=")</f>
        <v>#REF!</v>
      </c>
      <c r="CA185" t="e">
        <f>AND(#REF!,"AAAAAHb/Ok4=")</f>
        <v>#REF!</v>
      </c>
      <c r="CB185" t="e">
        <f>AND(#REF!,"AAAAAHb/Ok8=")</f>
        <v>#REF!</v>
      </c>
      <c r="CC185" t="e">
        <f>AND(#REF!,"AAAAAHb/OlA=")</f>
        <v>#REF!</v>
      </c>
      <c r="CD185" t="e">
        <f>AND(#REF!,"AAAAAHb/OlE=")</f>
        <v>#REF!</v>
      </c>
      <c r="CE185" t="e">
        <f>AND(#REF!,"AAAAAHb/OlI=")</f>
        <v>#REF!</v>
      </c>
      <c r="CF185" t="e">
        <f>AND(#REF!,"AAAAAHb/OlM=")</f>
        <v>#REF!</v>
      </c>
      <c r="CG185" t="e">
        <f>AND(#REF!,"AAAAAHb/OlQ=")</f>
        <v>#REF!</v>
      </c>
      <c r="CH185" t="e">
        <f>AND(#REF!,"AAAAAHb/OlU=")</f>
        <v>#REF!</v>
      </c>
      <c r="CI185" t="e">
        <f>AND(#REF!,"AAAAAHb/OlY=")</f>
        <v>#REF!</v>
      </c>
      <c r="CJ185" t="e">
        <f>AND(#REF!,"AAAAAHb/Olc=")</f>
        <v>#REF!</v>
      </c>
      <c r="CK185" t="e">
        <f>AND(#REF!,"AAAAAHb/Olg=")</f>
        <v>#REF!</v>
      </c>
      <c r="CL185" t="e">
        <f>AND(#REF!,"AAAAAHb/Olk=")</f>
        <v>#REF!</v>
      </c>
      <c r="CM185" t="e">
        <f>AND(#REF!,"AAAAAHb/Olo=")</f>
        <v>#REF!</v>
      </c>
      <c r="CN185" t="e">
        <f>AND(#REF!,"AAAAAHb/Ols=")</f>
        <v>#REF!</v>
      </c>
      <c r="CO185" t="e">
        <f>AND(#REF!,"AAAAAHb/Olw=")</f>
        <v>#REF!</v>
      </c>
      <c r="CP185" t="e">
        <f>AND(#REF!,"AAAAAHb/Ol0=")</f>
        <v>#REF!</v>
      </c>
      <c r="CQ185" t="e">
        <f>AND(#REF!,"AAAAAHb/Ol4=")</f>
        <v>#REF!</v>
      </c>
      <c r="CR185" t="e">
        <f>AND(#REF!,"AAAAAHb/Ol8=")</f>
        <v>#REF!</v>
      </c>
      <c r="CS185" t="e">
        <f>AND(#REF!,"AAAAAHb/OmA=")</f>
        <v>#REF!</v>
      </c>
      <c r="CT185" t="e">
        <f>AND(#REF!,"AAAAAHb/OmE=")</f>
        <v>#REF!</v>
      </c>
      <c r="CU185" t="e">
        <f>AND(#REF!,"AAAAAHb/OmI=")</f>
        <v>#REF!</v>
      </c>
      <c r="CV185" t="e">
        <f>AND(#REF!,"AAAAAHb/OmM=")</f>
        <v>#REF!</v>
      </c>
      <c r="CW185" t="e">
        <f>AND(#REF!,"AAAAAHb/OmQ=")</f>
        <v>#REF!</v>
      </c>
      <c r="CX185" t="e">
        <f>AND(#REF!,"AAAAAHb/OmU=")</f>
        <v>#REF!</v>
      </c>
      <c r="CY185" t="e">
        <f>AND(#REF!,"AAAAAHb/OmY=")</f>
        <v>#REF!</v>
      </c>
      <c r="CZ185" t="e">
        <f>AND(#REF!,"AAAAAHb/Omc=")</f>
        <v>#REF!</v>
      </c>
      <c r="DA185" t="e">
        <f>AND(#REF!,"AAAAAHb/Omg=")</f>
        <v>#REF!</v>
      </c>
      <c r="DB185" t="e">
        <f>AND(#REF!,"AAAAAHb/Omk=")</f>
        <v>#REF!</v>
      </c>
      <c r="DC185" t="e">
        <f>AND(#REF!,"AAAAAHb/Omo=")</f>
        <v>#REF!</v>
      </c>
      <c r="DD185" t="e">
        <f>AND(#REF!,"AAAAAHb/Oms=")</f>
        <v>#REF!</v>
      </c>
      <c r="DE185" t="e">
        <f>AND(#REF!,"AAAAAHb/Omw=")</f>
        <v>#REF!</v>
      </c>
      <c r="DF185" t="e">
        <f>AND(#REF!,"AAAAAHb/Om0=")</f>
        <v>#REF!</v>
      </c>
      <c r="DG185" t="e">
        <f>AND(#REF!,"AAAAAHb/Om4=")</f>
        <v>#REF!</v>
      </c>
      <c r="DH185" t="e">
        <f>AND(#REF!,"AAAAAHb/Om8=")</f>
        <v>#REF!</v>
      </c>
      <c r="DI185" t="e">
        <f>AND(#REF!,"AAAAAHb/OnA=")</f>
        <v>#REF!</v>
      </c>
      <c r="DJ185" t="e">
        <f>AND(#REF!,"AAAAAHb/OnE=")</f>
        <v>#REF!</v>
      </c>
      <c r="DK185" t="e">
        <f>AND(#REF!,"AAAAAHb/OnI=")</f>
        <v>#REF!</v>
      </c>
      <c r="DL185" t="e">
        <f>AND(#REF!,"AAAAAHb/OnM=")</f>
        <v>#REF!</v>
      </c>
      <c r="DM185" t="e">
        <f>AND(#REF!,"AAAAAHb/OnQ=")</f>
        <v>#REF!</v>
      </c>
      <c r="DN185" t="e">
        <f>AND(#REF!,"AAAAAHb/OnU=")</f>
        <v>#REF!</v>
      </c>
      <c r="DO185" t="e">
        <f>AND(#REF!,"AAAAAHb/OnY=")</f>
        <v>#REF!</v>
      </c>
      <c r="DP185" t="e">
        <f>AND(#REF!,"AAAAAHb/Onc=")</f>
        <v>#REF!</v>
      </c>
      <c r="DQ185" t="e">
        <f>AND(#REF!,"AAAAAHb/Ong=")</f>
        <v>#REF!</v>
      </c>
      <c r="DR185" t="e">
        <f>AND(#REF!,"AAAAAHb/Onk=")</f>
        <v>#REF!</v>
      </c>
      <c r="DS185" t="e">
        <f>AND(#REF!,"AAAAAHb/Ono=")</f>
        <v>#REF!</v>
      </c>
      <c r="DT185" t="e">
        <f>AND(#REF!,"AAAAAHb/Ons=")</f>
        <v>#REF!</v>
      </c>
      <c r="DU185" t="e">
        <f>AND(#REF!,"AAAAAHb/Onw=")</f>
        <v>#REF!</v>
      </c>
      <c r="DV185" t="e">
        <f>AND(#REF!,"AAAAAHb/On0=")</f>
        <v>#REF!</v>
      </c>
      <c r="DW185" t="e">
        <f>AND(#REF!,"AAAAAHb/On4=")</f>
        <v>#REF!</v>
      </c>
      <c r="DX185" t="e">
        <f>AND(#REF!,"AAAAAHb/On8=")</f>
        <v>#REF!</v>
      </c>
      <c r="DY185" t="e">
        <f>AND(#REF!,"AAAAAHb/OoA=")</f>
        <v>#REF!</v>
      </c>
      <c r="DZ185" t="e">
        <f>AND(#REF!,"AAAAAHb/OoE=")</f>
        <v>#REF!</v>
      </c>
      <c r="EA185" t="e">
        <f>AND(#REF!,"AAAAAHb/OoI=")</f>
        <v>#REF!</v>
      </c>
      <c r="EB185" t="e">
        <f>AND(#REF!,"AAAAAHb/OoM=")</f>
        <v>#REF!</v>
      </c>
      <c r="EC185" t="e">
        <f>AND(#REF!,"AAAAAHb/OoQ=")</f>
        <v>#REF!</v>
      </c>
      <c r="ED185" t="e">
        <f>AND(#REF!,"AAAAAHb/OoU=")</f>
        <v>#REF!</v>
      </c>
      <c r="EE185" t="e">
        <f>AND(#REF!,"AAAAAHb/OoY=")</f>
        <v>#REF!</v>
      </c>
      <c r="EF185" t="e">
        <f>AND(#REF!,"AAAAAHb/Ooc=")</f>
        <v>#REF!</v>
      </c>
      <c r="EG185" t="e">
        <f>AND(#REF!,"AAAAAHb/Oog=")</f>
        <v>#REF!</v>
      </c>
      <c r="EH185" t="e">
        <f>AND(#REF!,"AAAAAHb/Ook=")</f>
        <v>#REF!</v>
      </c>
      <c r="EI185" t="e">
        <f>AND(#REF!,"AAAAAHb/Ooo=")</f>
        <v>#REF!</v>
      </c>
      <c r="EJ185" t="e">
        <f>AND(#REF!,"AAAAAHb/Oos=")</f>
        <v>#REF!</v>
      </c>
      <c r="EK185" t="e">
        <f>AND(#REF!,"AAAAAHb/Oow=")</f>
        <v>#REF!</v>
      </c>
      <c r="EL185" t="e">
        <f>AND(#REF!,"AAAAAHb/Oo0=")</f>
        <v>#REF!</v>
      </c>
      <c r="EM185" t="e">
        <f>AND(#REF!,"AAAAAHb/Oo4=")</f>
        <v>#REF!</v>
      </c>
      <c r="EN185" t="e">
        <f>AND(#REF!,"AAAAAHb/Oo8=")</f>
        <v>#REF!</v>
      </c>
      <c r="EO185" t="e">
        <f>AND(#REF!,"AAAAAHb/OpA=")</f>
        <v>#REF!</v>
      </c>
      <c r="EP185" t="e">
        <f>AND(#REF!,"AAAAAHb/OpE=")</f>
        <v>#REF!</v>
      </c>
      <c r="EQ185" t="e">
        <f>AND(#REF!,"AAAAAHb/OpI=")</f>
        <v>#REF!</v>
      </c>
      <c r="ER185" t="e">
        <f>AND(#REF!,"AAAAAHb/OpM=")</f>
        <v>#REF!</v>
      </c>
      <c r="ES185" t="e">
        <f>AND(#REF!,"AAAAAHb/OpQ=")</f>
        <v>#REF!</v>
      </c>
      <c r="ET185" t="e">
        <f>AND(#REF!,"AAAAAHb/OpU=")</f>
        <v>#REF!</v>
      </c>
      <c r="EU185" t="e">
        <f>AND(#REF!,"AAAAAHb/OpY=")</f>
        <v>#REF!</v>
      </c>
      <c r="EV185" t="e">
        <f>AND(#REF!,"AAAAAHb/Opc=")</f>
        <v>#REF!</v>
      </c>
      <c r="EW185" t="e">
        <f>AND(#REF!,"AAAAAHb/Opg=")</f>
        <v>#REF!</v>
      </c>
      <c r="EX185" t="e">
        <f>AND(#REF!,"AAAAAHb/Opk=")</f>
        <v>#REF!</v>
      </c>
      <c r="EY185" t="e">
        <f>AND(#REF!,"AAAAAHb/Opo=")</f>
        <v>#REF!</v>
      </c>
      <c r="EZ185" t="e">
        <f>AND(#REF!,"AAAAAHb/Ops=")</f>
        <v>#REF!</v>
      </c>
      <c r="FA185" t="e">
        <f>AND(#REF!,"AAAAAHb/Opw=")</f>
        <v>#REF!</v>
      </c>
      <c r="FB185" t="e">
        <f>AND(#REF!,"AAAAAHb/Op0=")</f>
        <v>#REF!</v>
      </c>
      <c r="FC185" t="e">
        <f>AND(#REF!,"AAAAAHb/Op4=")</f>
        <v>#REF!</v>
      </c>
      <c r="FD185" t="e">
        <f>AND(#REF!,"AAAAAHb/Op8=")</f>
        <v>#REF!</v>
      </c>
      <c r="FE185" t="e">
        <f>AND(#REF!,"AAAAAHb/OqA=")</f>
        <v>#REF!</v>
      </c>
      <c r="FF185" t="e">
        <f>AND(#REF!,"AAAAAHb/OqE=")</f>
        <v>#REF!</v>
      </c>
      <c r="FG185" t="e">
        <f>AND(#REF!,"AAAAAHb/OqI=")</f>
        <v>#REF!</v>
      </c>
      <c r="FH185" t="e">
        <f>AND(#REF!,"AAAAAHb/OqM=")</f>
        <v>#REF!</v>
      </c>
      <c r="FI185" t="e">
        <f>AND(#REF!,"AAAAAHb/OqQ=")</f>
        <v>#REF!</v>
      </c>
      <c r="FJ185" t="e">
        <f>AND(#REF!,"AAAAAHb/OqU=")</f>
        <v>#REF!</v>
      </c>
      <c r="FK185" t="e">
        <f>AND(#REF!,"AAAAAHb/OqY=")</f>
        <v>#REF!</v>
      </c>
      <c r="FL185" t="e">
        <f>AND(#REF!,"AAAAAHb/Oqc=")</f>
        <v>#REF!</v>
      </c>
      <c r="FM185" t="e">
        <f>AND(#REF!,"AAAAAHb/Oqg=")</f>
        <v>#REF!</v>
      </c>
      <c r="FN185" t="e">
        <f>AND(#REF!,"AAAAAHb/Oqk=")</f>
        <v>#REF!</v>
      </c>
      <c r="FO185" t="e">
        <f>AND(#REF!,"AAAAAHb/Oqo=")</f>
        <v>#REF!</v>
      </c>
      <c r="FP185" t="e">
        <f>AND(#REF!,"AAAAAHb/Oqs=")</f>
        <v>#REF!</v>
      </c>
      <c r="FQ185" t="e">
        <f>AND(#REF!,"AAAAAHb/Oqw=")</f>
        <v>#REF!</v>
      </c>
      <c r="FR185" t="e">
        <f>AND(#REF!,"AAAAAHb/Oq0=")</f>
        <v>#REF!</v>
      </c>
      <c r="FS185" t="e">
        <f>AND(#REF!,"AAAAAHb/Oq4=")</f>
        <v>#REF!</v>
      </c>
      <c r="FT185" t="e">
        <f>AND(#REF!,"AAAAAHb/Oq8=")</f>
        <v>#REF!</v>
      </c>
      <c r="FU185" t="e">
        <f>AND(#REF!,"AAAAAHb/OrA=")</f>
        <v>#REF!</v>
      </c>
      <c r="FV185" t="e">
        <f>AND(#REF!,"AAAAAHb/OrE=")</f>
        <v>#REF!</v>
      </c>
      <c r="FW185" t="e">
        <f>AND(#REF!,"AAAAAHb/OrI=")</f>
        <v>#REF!</v>
      </c>
      <c r="FX185" t="e">
        <f>AND(#REF!,"AAAAAHb/OrM=")</f>
        <v>#REF!</v>
      </c>
      <c r="FY185" t="e">
        <f>AND(#REF!,"AAAAAHb/OrQ=")</f>
        <v>#REF!</v>
      </c>
      <c r="FZ185" t="e">
        <f>AND(#REF!,"AAAAAHb/OrU=")</f>
        <v>#REF!</v>
      </c>
      <c r="GA185" t="e">
        <f>AND(#REF!,"AAAAAHb/OrY=")</f>
        <v>#REF!</v>
      </c>
      <c r="GB185" t="e">
        <f>AND(#REF!,"AAAAAHb/Orc=")</f>
        <v>#REF!</v>
      </c>
      <c r="GC185" t="e">
        <f>AND(#REF!,"AAAAAHb/Org=")</f>
        <v>#REF!</v>
      </c>
      <c r="GD185" t="e">
        <f>AND(#REF!,"AAAAAHb/Ork=")</f>
        <v>#REF!</v>
      </c>
      <c r="GE185" t="e">
        <f>AND(#REF!,"AAAAAHb/Oro=")</f>
        <v>#REF!</v>
      </c>
      <c r="GF185" t="e">
        <f>AND(#REF!,"AAAAAHb/Ors=")</f>
        <v>#REF!</v>
      </c>
      <c r="GG185" t="e">
        <f>AND(#REF!,"AAAAAHb/Orw=")</f>
        <v>#REF!</v>
      </c>
      <c r="GH185" t="e">
        <f>AND(#REF!,"AAAAAHb/Or0=")</f>
        <v>#REF!</v>
      </c>
      <c r="GI185" t="e">
        <f>AND(#REF!,"AAAAAHb/Or4=")</f>
        <v>#REF!</v>
      </c>
      <c r="GJ185" t="e">
        <f>AND(#REF!,"AAAAAHb/Or8=")</f>
        <v>#REF!</v>
      </c>
      <c r="GK185" t="e">
        <f>AND(#REF!,"AAAAAHb/OsA=")</f>
        <v>#REF!</v>
      </c>
      <c r="GL185" t="e">
        <f>AND(#REF!,"AAAAAHb/OsE=")</f>
        <v>#REF!</v>
      </c>
      <c r="GM185" t="e">
        <f>AND(#REF!,"AAAAAHb/OsI=")</f>
        <v>#REF!</v>
      </c>
      <c r="GN185" t="e">
        <f>AND(#REF!,"AAAAAHb/OsM=")</f>
        <v>#REF!</v>
      </c>
      <c r="GO185" t="e">
        <f>AND(#REF!,"AAAAAHb/OsQ=")</f>
        <v>#REF!</v>
      </c>
      <c r="GP185" t="e">
        <f>AND(#REF!,"AAAAAHb/OsU=")</f>
        <v>#REF!</v>
      </c>
      <c r="GQ185" t="e">
        <f>AND(#REF!,"AAAAAHb/OsY=")</f>
        <v>#REF!</v>
      </c>
      <c r="GR185" t="e">
        <f>AND(#REF!,"AAAAAHb/Osc=")</f>
        <v>#REF!</v>
      </c>
      <c r="GS185" t="e">
        <f>AND(#REF!,"AAAAAHb/Osg=")</f>
        <v>#REF!</v>
      </c>
      <c r="GT185" t="e">
        <f>AND(#REF!,"AAAAAHb/Osk=")</f>
        <v>#REF!</v>
      </c>
      <c r="GU185" t="e">
        <f>AND(#REF!,"AAAAAHb/Oso=")</f>
        <v>#REF!</v>
      </c>
      <c r="GV185" t="e">
        <f>AND(#REF!,"AAAAAHb/Oss=")</f>
        <v>#REF!</v>
      </c>
      <c r="GW185" t="e">
        <f>AND(#REF!,"AAAAAHb/Osw=")</f>
        <v>#REF!</v>
      </c>
      <c r="GX185" t="e">
        <f>AND(#REF!,"AAAAAHb/Os0=")</f>
        <v>#REF!</v>
      </c>
      <c r="GY185" t="e">
        <f>AND(#REF!,"AAAAAHb/Os4=")</f>
        <v>#REF!</v>
      </c>
      <c r="GZ185" t="e">
        <f>AND(#REF!,"AAAAAHb/Os8=")</f>
        <v>#REF!</v>
      </c>
      <c r="HA185" t="e">
        <f>AND(#REF!,"AAAAAHb/OtA=")</f>
        <v>#REF!</v>
      </c>
      <c r="HB185" t="e">
        <f>AND(#REF!,"AAAAAHb/OtE=")</f>
        <v>#REF!</v>
      </c>
      <c r="HC185" t="e">
        <f>AND(#REF!,"AAAAAHb/OtI=")</f>
        <v>#REF!</v>
      </c>
      <c r="HD185" t="e">
        <f>AND(#REF!,"AAAAAHb/OtM=")</f>
        <v>#REF!</v>
      </c>
      <c r="HE185" t="e">
        <f>AND(#REF!,"AAAAAHb/OtQ=")</f>
        <v>#REF!</v>
      </c>
      <c r="HF185" t="e">
        <f>AND(#REF!,"AAAAAHb/OtU=")</f>
        <v>#REF!</v>
      </c>
      <c r="HG185" t="e">
        <f>AND(#REF!,"AAAAAHb/OtY=")</f>
        <v>#REF!</v>
      </c>
      <c r="HH185" t="e">
        <f>AND(#REF!,"AAAAAHb/Otc=")</f>
        <v>#REF!</v>
      </c>
      <c r="HI185" t="e">
        <f>AND(#REF!,"AAAAAHb/Otg=")</f>
        <v>#REF!</v>
      </c>
      <c r="HJ185" t="e">
        <f>AND(#REF!,"AAAAAHb/Otk=")</f>
        <v>#REF!</v>
      </c>
      <c r="HK185" t="e">
        <f>AND(#REF!,"AAAAAHb/Oto=")</f>
        <v>#REF!</v>
      </c>
      <c r="HL185" t="e">
        <f>AND(#REF!,"AAAAAHb/Ots=")</f>
        <v>#REF!</v>
      </c>
      <c r="HM185" t="e">
        <f>AND(#REF!,"AAAAAHb/Otw=")</f>
        <v>#REF!</v>
      </c>
      <c r="HN185" t="e">
        <f>AND(#REF!,"AAAAAHb/Ot0=")</f>
        <v>#REF!</v>
      </c>
      <c r="HO185" t="e">
        <f>AND(#REF!,"AAAAAHb/Ot4=")</f>
        <v>#REF!</v>
      </c>
      <c r="HP185" t="e">
        <f>AND(#REF!,"AAAAAHb/Ot8=")</f>
        <v>#REF!</v>
      </c>
      <c r="HQ185" t="e">
        <f>AND(#REF!,"AAAAAHb/OuA=")</f>
        <v>#REF!</v>
      </c>
      <c r="HR185" t="e">
        <f>AND(#REF!,"AAAAAHb/OuE=")</f>
        <v>#REF!</v>
      </c>
      <c r="HS185" t="e">
        <f>AND(#REF!,"AAAAAHb/OuI=")</f>
        <v>#REF!</v>
      </c>
      <c r="HT185" t="e">
        <f>AND(#REF!,"AAAAAHb/OuM=")</f>
        <v>#REF!</v>
      </c>
      <c r="HU185" t="e">
        <f>AND(#REF!,"AAAAAHb/OuQ=")</f>
        <v>#REF!</v>
      </c>
      <c r="HV185" t="e">
        <f>AND(#REF!,"AAAAAHb/OuU=")</f>
        <v>#REF!</v>
      </c>
      <c r="HW185" t="e">
        <f>AND(#REF!,"AAAAAHb/OuY=")</f>
        <v>#REF!</v>
      </c>
      <c r="HX185" t="e">
        <f>AND(#REF!,"AAAAAHb/Ouc=")</f>
        <v>#REF!</v>
      </c>
      <c r="HY185" t="e">
        <f>AND(#REF!,"AAAAAHb/Oug=")</f>
        <v>#REF!</v>
      </c>
      <c r="HZ185" t="e">
        <f>AND(#REF!,"AAAAAHb/Ouk=")</f>
        <v>#REF!</v>
      </c>
      <c r="IA185" t="e">
        <f>AND(#REF!,"AAAAAHb/Ouo=")</f>
        <v>#REF!</v>
      </c>
      <c r="IB185" t="e">
        <f>AND(#REF!,"AAAAAHb/Ous=")</f>
        <v>#REF!</v>
      </c>
      <c r="IC185" t="e">
        <f>AND(#REF!,"AAAAAHb/Ouw=")</f>
        <v>#REF!</v>
      </c>
      <c r="ID185" t="e">
        <f>AND(#REF!,"AAAAAHb/Ou0=")</f>
        <v>#REF!</v>
      </c>
      <c r="IE185" t="e">
        <f>AND(#REF!,"AAAAAHb/Ou4=")</f>
        <v>#REF!</v>
      </c>
      <c r="IF185" t="e">
        <f>AND(#REF!,"AAAAAHb/Ou8=")</f>
        <v>#REF!</v>
      </c>
      <c r="IG185" t="e">
        <f>AND(#REF!,"AAAAAHb/OvA=")</f>
        <v>#REF!</v>
      </c>
      <c r="IH185" t="e">
        <f>AND(#REF!,"AAAAAHb/OvE=")</f>
        <v>#REF!</v>
      </c>
      <c r="II185" t="e">
        <f>AND(#REF!,"AAAAAHb/OvI=")</f>
        <v>#REF!</v>
      </c>
      <c r="IJ185" t="e">
        <f>AND(#REF!,"AAAAAHb/OvM=")</f>
        <v>#REF!</v>
      </c>
      <c r="IK185" t="e">
        <f>AND(#REF!,"AAAAAHb/OvQ=")</f>
        <v>#REF!</v>
      </c>
      <c r="IL185" t="e">
        <f>AND(#REF!,"AAAAAHb/OvU=")</f>
        <v>#REF!</v>
      </c>
      <c r="IM185" t="e">
        <f>AND(#REF!,"AAAAAHb/OvY=")</f>
        <v>#REF!</v>
      </c>
      <c r="IN185" t="e">
        <f>AND(#REF!,"AAAAAHb/Ovc=")</f>
        <v>#REF!</v>
      </c>
      <c r="IO185" t="e">
        <f>AND(#REF!,"AAAAAHb/Ovg=")</f>
        <v>#REF!</v>
      </c>
      <c r="IP185" t="e">
        <f>AND(#REF!,"AAAAAHb/Ovk=")</f>
        <v>#REF!</v>
      </c>
      <c r="IQ185" t="e">
        <f>AND(#REF!,"AAAAAHb/Ovo=")</f>
        <v>#REF!</v>
      </c>
      <c r="IR185" t="e">
        <f>AND(#REF!,"AAAAAHb/Ovs=")</f>
        <v>#REF!</v>
      </c>
      <c r="IS185" t="e">
        <f>AND(#REF!,"AAAAAHb/Ovw=")</f>
        <v>#REF!</v>
      </c>
      <c r="IT185" t="e">
        <f>AND(#REF!,"AAAAAHb/Ov0=")</f>
        <v>#REF!</v>
      </c>
      <c r="IU185" t="e">
        <f>AND(#REF!,"AAAAAHb/Ov4=")</f>
        <v>#REF!</v>
      </c>
      <c r="IV185" t="e">
        <f>AND(#REF!,"AAAAAHb/Ov8=")</f>
        <v>#REF!</v>
      </c>
    </row>
    <row r="186" spans="1:256">
      <c r="A186" t="e">
        <f>AND(#REF!,"AAAAAHX/lQA=")</f>
        <v>#REF!</v>
      </c>
      <c r="B186" t="e">
        <f>AND(#REF!,"AAAAAHX/lQE=")</f>
        <v>#REF!</v>
      </c>
      <c r="C186" t="e">
        <f>AND(#REF!,"AAAAAHX/lQI=")</f>
        <v>#REF!</v>
      </c>
      <c r="D186" t="e">
        <f>AND(#REF!,"AAAAAHX/lQM=")</f>
        <v>#REF!</v>
      </c>
      <c r="E186" t="e">
        <f>AND(#REF!,"AAAAAHX/lQQ=")</f>
        <v>#REF!</v>
      </c>
      <c r="F186" t="e">
        <f>AND(#REF!,"AAAAAHX/lQU=")</f>
        <v>#REF!</v>
      </c>
      <c r="G186" t="e">
        <f>IF(#REF!,"AAAAAHX/lQY=",0)</f>
        <v>#REF!</v>
      </c>
      <c r="H186" t="e">
        <f>AND(#REF!,"AAAAAHX/lQc=")</f>
        <v>#REF!</v>
      </c>
      <c r="I186" t="e">
        <f>AND(#REF!,"AAAAAHX/lQg=")</f>
        <v>#REF!</v>
      </c>
      <c r="J186" t="e">
        <f>AND(#REF!,"AAAAAHX/lQk=")</f>
        <v>#REF!</v>
      </c>
      <c r="K186" t="e">
        <f>AND(#REF!,"AAAAAHX/lQo=")</f>
        <v>#REF!</v>
      </c>
      <c r="L186" t="e">
        <f>AND(#REF!,"AAAAAHX/lQs=")</f>
        <v>#REF!</v>
      </c>
      <c r="M186" t="e">
        <f>AND(#REF!,"AAAAAHX/lQw=")</f>
        <v>#REF!</v>
      </c>
      <c r="N186" t="e">
        <f>AND(#REF!,"AAAAAHX/lQ0=")</f>
        <v>#REF!</v>
      </c>
      <c r="O186" t="e">
        <f>AND(#REF!,"AAAAAHX/lQ4=")</f>
        <v>#REF!</v>
      </c>
      <c r="P186" t="e">
        <f>AND(#REF!,"AAAAAHX/lQ8=")</f>
        <v>#REF!</v>
      </c>
      <c r="Q186" t="e">
        <f>AND(#REF!,"AAAAAHX/lRA=")</f>
        <v>#REF!</v>
      </c>
      <c r="R186" t="e">
        <f>AND(#REF!,"AAAAAHX/lRE=")</f>
        <v>#REF!</v>
      </c>
      <c r="S186" t="e">
        <f>AND(#REF!,"AAAAAHX/lRI=")</f>
        <v>#REF!</v>
      </c>
      <c r="T186" t="e">
        <f>AND(#REF!,"AAAAAHX/lRM=")</f>
        <v>#REF!</v>
      </c>
      <c r="U186" t="e">
        <f>AND(#REF!,"AAAAAHX/lRQ=")</f>
        <v>#REF!</v>
      </c>
      <c r="V186" t="e">
        <f>AND(#REF!,"AAAAAHX/lRU=")</f>
        <v>#REF!</v>
      </c>
      <c r="W186" t="e">
        <f>AND(#REF!,"AAAAAHX/lRY=")</f>
        <v>#REF!</v>
      </c>
      <c r="X186" t="e">
        <f>AND(#REF!,"AAAAAHX/lRc=")</f>
        <v>#REF!</v>
      </c>
      <c r="Y186" t="e">
        <f>AND(#REF!,"AAAAAHX/lRg=")</f>
        <v>#REF!</v>
      </c>
      <c r="Z186" t="e">
        <f>AND(#REF!,"AAAAAHX/lRk=")</f>
        <v>#REF!</v>
      </c>
      <c r="AA186" t="e">
        <f>AND(#REF!,"AAAAAHX/lRo=")</f>
        <v>#REF!</v>
      </c>
      <c r="AB186" t="e">
        <f>AND(#REF!,"AAAAAHX/lRs=")</f>
        <v>#REF!</v>
      </c>
      <c r="AC186" t="e">
        <f>AND(#REF!,"AAAAAHX/lRw=")</f>
        <v>#REF!</v>
      </c>
      <c r="AD186" t="e">
        <f>AND(#REF!,"AAAAAHX/lR0=")</f>
        <v>#REF!</v>
      </c>
      <c r="AE186" t="e">
        <f>AND(#REF!,"AAAAAHX/lR4=")</f>
        <v>#REF!</v>
      </c>
      <c r="AF186" t="e">
        <f>AND(#REF!,"AAAAAHX/lR8=")</f>
        <v>#REF!</v>
      </c>
      <c r="AG186" t="e">
        <f>AND(#REF!,"AAAAAHX/lSA=")</f>
        <v>#REF!</v>
      </c>
      <c r="AH186" t="e">
        <f>AND(#REF!,"AAAAAHX/lSE=")</f>
        <v>#REF!</v>
      </c>
      <c r="AI186" t="e">
        <f>AND(#REF!,"AAAAAHX/lSI=")</f>
        <v>#REF!</v>
      </c>
      <c r="AJ186" t="e">
        <f>AND(#REF!,"AAAAAHX/lSM=")</f>
        <v>#REF!</v>
      </c>
      <c r="AK186" t="e">
        <f>AND(#REF!,"AAAAAHX/lSQ=")</f>
        <v>#REF!</v>
      </c>
      <c r="AL186" t="e">
        <f>AND(#REF!,"AAAAAHX/lSU=")</f>
        <v>#REF!</v>
      </c>
      <c r="AM186" t="e">
        <f>AND(#REF!,"AAAAAHX/lSY=")</f>
        <v>#REF!</v>
      </c>
      <c r="AN186" t="e">
        <f>AND(#REF!,"AAAAAHX/lSc=")</f>
        <v>#REF!</v>
      </c>
      <c r="AO186" t="e">
        <f>AND(#REF!,"AAAAAHX/lSg=")</f>
        <v>#REF!</v>
      </c>
      <c r="AP186" t="e">
        <f>AND(#REF!,"AAAAAHX/lSk=")</f>
        <v>#REF!</v>
      </c>
      <c r="AQ186" t="e">
        <f>AND(#REF!,"AAAAAHX/lSo=")</f>
        <v>#REF!</v>
      </c>
      <c r="AR186" t="e">
        <f>AND(#REF!,"AAAAAHX/lSs=")</f>
        <v>#REF!</v>
      </c>
      <c r="AS186" t="e">
        <f>AND(#REF!,"AAAAAHX/lSw=")</f>
        <v>#REF!</v>
      </c>
      <c r="AT186" t="e">
        <f>AND(#REF!,"AAAAAHX/lS0=")</f>
        <v>#REF!</v>
      </c>
      <c r="AU186" t="e">
        <f>AND(#REF!,"AAAAAHX/lS4=")</f>
        <v>#REF!</v>
      </c>
      <c r="AV186" t="e">
        <f>AND(#REF!,"AAAAAHX/lS8=")</f>
        <v>#REF!</v>
      </c>
      <c r="AW186" t="e">
        <f>AND(#REF!,"AAAAAHX/lTA=")</f>
        <v>#REF!</v>
      </c>
      <c r="AX186" t="e">
        <f>AND(#REF!,"AAAAAHX/lTE=")</f>
        <v>#REF!</v>
      </c>
      <c r="AY186" t="e">
        <f>AND(#REF!,"AAAAAHX/lTI=")</f>
        <v>#REF!</v>
      </c>
      <c r="AZ186" t="e">
        <f>AND(#REF!,"AAAAAHX/lTM=")</f>
        <v>#REF!</v>
      </c>
      <c r="BA186" t="e">
        <f>AND(#REF!,"AAAAAHX/lTQ=")</f>
        <v>#REF!</v>
      </c>
      <c r="BB186" t="e">
        <f>AND(#REF!,"AAAAAHX/lTU=")</f>
        <v>#REF!</v>
      </c>
      <c r="BC186" t="e">
        <f>AND(#REF!,"AAAAAHX/lTY=")</f>
        <v>#REF!</v>
      </c>
      <c r="BD186" t="e">
        <f>AND(#REF!,"AAAAAHX/lTc=")</f>
        <v>#REF!</v>
      </c>
      <c r="BE186" t="e">
        <f>AND(#REF!,"AAAAAHX/lTg=")</f>
        <v>#REF!</v>
      </c>
      <c r="BF186" t="e">
        <f>AND(#REF!,"AAAAAHX/lTk=")</f>
        <v>#REF!</v>
      </c>
      <c r="BG186" t="e">
        <f>AND(#REF!,"AAAAAHX/lTo=")</f>
        <v>#REF!</v>
      </c>
      <c r="BH186" t="e">
        <f>AND(#REF!,"AAAAAHX/lTs=")</f>
        <v>#REF!</v>
      </c>
      <c r="BI186" t="e">
        <f>AND(#REF!,"AAAAAHX/lTw=")</f>
        <v>#REF!</v>
      </c>
      <c r="BJ186" t="e">
        <f>AND(#REF!,"AAAAAHX/lT0=")</f>
        <v>#REF!</v>
      </c>
      <c r="BK186" t="e">
        <f>AND(#REF!,"AAAAAHX/lT4=")</f>
        <v>#REF!</v>
      </c>
      <c r="BL186" t="e">
        <f>AND(#REF!,"AAAAAHX/lT8=")</f>
        <v>#REF!</v>
      </c>
      <c r="BM186" t="e">
        <f>AND(#REF!,"AAAAAHX/lUA=")</f>
        <v>#REF!</v>
      </c>
      <c r="BN186" t="e">
        <f>AND(#REF!,"AAAAAHX/lUE=")</f>
        <v>#REF!</v>
      </c>
      <c r="BO186" t="e">
        <f>AND(#REF!,"AAAAAHX/lUI=")</f>
        <v>#REF!</v>
      </c>
      <c r="BP186" t="e">
        <f>AND(#REF!,"AAAAAHX/lUM=")</f>
        <v>#REF!</v>
      </c>
      <c r="BQ186" t="e">
        <f>AND(#REF!,"AAAAAHX/lUQ=")</f>
        <v>#REF!</v>
      </c>
      <c r="BR186" t="e">
        <f>AND(#REF!,"AAAAAHX/lUU=")</f>
        <v>#REF!</v>
      </c>
      <c r="BS186" t="e">
        <f>AND(#REF!,"AAAAAHX/lUY=")</f>
        <v>#REF!</v>
      </c>
      <c r="BT186" t="e">
        <f>AND(#REF!,"AAAAAHX/lUc=")</f>
        <v>#REF!</v>
      </c>
      <c r="BU186" t="e">
        <f>AND(#REF!,"AAAAAHX/lUg=")</f>
        <v>#REF!</v>
      </c>
      <c r="BV186" t="e">
        <f>AND(#REF!,"AAAAAHX/lUk=")</f>
        <v>#REF!</v>
      </c>
      <c r="BW186" t="e">
        <f>AND(#REF!,"AAAAAHX/lUo=")</f>
        <v>#REF!</v>
      </c>
      <c r="BX186" t="e">
        <f>AND(#REF!,"AAAAAHX/lUs=")</f>
        <v>#REF!</v>
      </c>
      <c r="BY186" t="e">
        <f>AND(#REF!,"AAAAAHX/lUw=")</f>
        <v>#REF!</v>
      </c>
      <c r="BZ186" t="e">
        <f>AND(#REF!,"AAAAAHX/lU0=")</f>
        <v>#REF!</v>
      </c>
      <c r="CA186" t="e">
        <f>AND(#REF!,"AAAAAHX/lU4=")</f>
        <v>#REF!</v>
      </c>
      <c r="CB186" t="e">
        <f>AND(#REF!,"AAAAAHX/lU8=")</f>
        <v>#REF!</v>
      </c>
      <c r="CC186" t="e">
        <f>AND(#REF!,"AAAAAHX/lVA=")</f>
        <v>#REF!</v>
      </c>
      <c r="CD186" t="e">
        <f>AND(#REF!,"AAAAAHX/lVE=")</f>
        <v>#REF!</v>
      </c>
      <c r="CE186" t="e">
        <f>AND(#REF!,"AAAAAHX/lVI=")</f>
        <v>#REF!</v>
      </c>
      <c r="CF186" t="e">
        <f>AND(#REF!,"AAAAAHX/lVM=")</f>
        <v>#REF!</v>
      </c>
      <c r="CG186" t="e">
        <f>AND(#REF!,"AAAAAHX/lVQ=")</f>
        <v>#REF!</v>
      </c>
      <c r="CH186" t="e">
        <f>AND(#REF!,"AAAAAHX/lVU=")</f>
        <v>#REF!</v>
      </c>
      <c r="CI186" t="e">
        <f>AND(#REF!,"AAAAAHX/lVY=")</f>
        <v>#REF!</v>
      </c>
      <c r="CJ186" t="e">
        <f>AND(#REF!,"AAAAAHX/lVc=")</f>
        <v>#REF!</v>
      </c>
      <c r="CK186" t="e">
        <f>AND(#REF!,"AAAAAHX/lVg=")</f>
        <v>#REF!</v>
      </c>
      <c r="CL186" t="e">
        <f>AND(#REF!,"AAAAAHX/lVk=")</f>
        <v>#REF!</v>
      </c>
      <c r="CM186" t="e">
        <f>AND(#REF!,"AAAAAHX/lVo=")</f>
        <v>#REF!</v>
      </c>
      <c r="CN186" t="e">
        <f>AND(#REF!,"AAAAAHX/lVs=")</f>
        <v>#REF!</v>
      </c>
      <c r="CO186" t="e">
        <f>AND(#REF!,"AAAAAHX/lVw=")</f>
        <v>#REF!</v>
      </c>
      <c r="CP186" t="e">
        <f>AND(#REF!,"AAAAAHX/lV0=")</f>
        <v>#REF!</v>
      </c>
      <c r="CQ186" t="e">
        <f>AND(#REF!,"AAAAAHX/lV4=")</f>
        <v>#REF!</v>
      </c>
      <c r="CR186" t="e">
        <f>AND(#REF!,"AAAAAHX/lV8=")</f>
        <v>#REF!</v>
      </c>
      <c r="CS186" t="e">
        <f>AND(#REF!,"AAAAAHX/lWA=")</f>
        <v>#REF!</v>
      </c>
      <c r="CT186" t="e">
        <f>AND(#REF!,"AAAAAHX/lWE=")</f>
        <v>#REF!</v>
      </c>
      <c r="CU186" t="e">
        <f>AND(#REF!,"AAAAAHX/lWI=")</f>
        <v>#REF!</v>
      </c>
      <c r="CV186" t="e">
        <f>AND(#REF!,"AAAAAHX/lWM=")</f>
        <v>#REF!</v>
      </c>
      <c r="CW186" t="e">
        <f>AND(#REF!,"AAAAAHX/lWQ=")</f>
        <v>#REF!</v>
      </c>
      <c r="CX186" t="e">
        <f>AND(#REF!,"AAAAAHX/lWU=")</f>
        <v>#REF!</v>
      </c>
      <c r="CY186" t="e">
        <f>AND(#REF!,"AAAAAHX/lWY=")</f>
        <v>#REF!</v>
      </c>
      <c r="CZ186" t="e">
        <f>AND(#REF!,"AAAAAHX/lWc=")</f>
        <v>#REF!</v>
      </c>
      <c r="DA186" t="e">
        <f>AND(#REF!,"AAAAAHX/lWg=")</f>
        <v>#REF!</v>
      </c>
      <c r="DB186" t="e">
        <f>AND(#REF!,"AAAAAHX/lWk=")</f>
        <v>#REF!</v>
      </c>
      <c r="DC186" t="e">
        <f>AND(#REF!,"AAAAAHX/lWo=")</f>
        <v>#REF!</v>
      </c>
      <c r="DD186" t="e">
        <f>AND(#REF!,"AAAAAHX/lWs=")</f>
        <v>#REF!</v>
      </c>
      <c r="DE186" t="e">
        <f>AND(#REF!,"AAAAAHX/lWw=")</f>
        <v>#REF!</v>
      </c>
      <c r="DF186" t="e">
        <f>AND(#REF!,"AAAAAHX/lW0=")</f>
        <v>#REF!</v>
      </c>
      <c r="DG186" t="e">
        <f>AND(#REF!,"AAAAAHX/lW4=")</f>
        <v>#REF!</v>
      </c>
      <c r="DH186" t="e">
        <f>AND(#REF!,"AAAAAHX/lW8=")</f>
        <v>#REF!</v>
      </c>
      <c r="DI186" t="e">
        <f>AND(#REF!,"AAAAAHX/lXA=")</f>
        <v>#REF!</v>
      </c>
      <c r="DJ186" t="e">
        <f>AND(#REF!,"AAAAAHX/lXE=")</f>
        <v>#REF!</v>
      </c>
      <c r="DK186" t="e">
        <f>AND(#REF!,"AAAAAHX/lXI=")</f>
        <v>#REF!</v>
      </c>
      <c r="DL186" t="e">
        <f>AND(#REF!,"AAAAAHX/lXM=")</f>
        <v>#REF!</v>
      </c>
      <c r="DM186" t="e">
        <f>AND(#REF!,"AAAAAHX/lXQ=")</f>
        <v>#REF!</v>
      </c>
      <c r="DN186" t="e">
        <f>AND(#REF!,"AAAAAHX/lXU=")</f>
        <v>#REF!</v>
      </c>
      <c r="DO186" t="e">
        <f>AND(#REF!,"AAAAAHX/lXY=")</f>
        <v>#REF!</v>
      </c>
      <c r="DP186" t="e">
        <f>AND(#REF!,"AAAAAHX/lXc=")</f>
        <v>#REF!</v>
      </c>
      <c r="DQ186" t="e">
        <f>AND(#REF!,"AAAAAHX/lXg=")</f>
        <v>#REF!</v>
      </c>
      <c r="DR186" t="e">
        <f>AND(#REF!,"AAAAAHX/lXk=")</f>
        <v>#REF!</v>
      </c>
      <c r="DS186" t="e">
        <f>AND(#REF!,"AAAAAHX/lXo=")</f>
        <v>#REF!</v>
      </c>
      <c r="DT186" t="e">
        <f>AND(#REF!,"AAAAAHX/lXs=")</f>
        <v>#REF!</v>
      </c>
      <c r="DU186" t="e">
        <f>AND(#REF!,"AAAAAHX/lXw=")</f>
        <v>#REF!</v>
      </c>
      <c r="DV186" t="e">
        <f>AND(#REF!,"AAAAAHX/lX0=")</f>
        <v>#REF!</v>
      </c>
      <c r="DW186" t="e">
        <f>AND(#REF!,"AAAAAHX/lX4=")</f>
        <v>#REF!</v>
      </c>
      <c r="DX186" t="e">
        <f>AND(#REF!,"AAAAAHX/lX8=")</f>
        <v>#REF!</v>
      </c>
      <c r="DY186" t="e">
        <f>AND(#REF!,"AAAAAHX/lYA=")</f>
        <v>#REF!</v>
      </c>
      <c r="DZ186" t="e">
        <f>AND(#REF!,"AAAAAHX/lYE=")</f>
        <v>#REF!</v>
      </c>
      <c r="EA186" t="e">
        <f>AND(#REF!,"AAAAAHX/lYI=")</f>
        <v>#REF!</v>
      </c>
      <c r="EB186" t="e">
        <f>AND(#REF!,"AAAAAHX/lYM=")</f>
        <v>#REF!</v>
      </c>
      <c r="EC186" t="e">
        <f>AND(#REF!,"AAAAAHX/lYQ=")</f>
        <v>#REF!</v>
      </c>
      <c r="ED186" t="e">
        <f>AND(#REF!,"AAAAAHX/lYU=")</f>
        <v>#REF!</v>
      </c>
      <c r="EE186" t="e">
        <f>AND(#REF!,"AAAAAHX/lYY=")</f>
        <v>#REF!</v>
      </c>
      <c r="EF186" t="e">
        <f>AND(#REF!,"AAAAAHX/lYc=")</f>
        <v>#REF!</v>
      </c>
      <c r="EG186" t="e">
        <f>AND(#REF!,"AAAAAHX/lYg=")</f>
        <v>#REF!</v>
      </c>
      <c r="EH186" t="e">
        <f>AND(#REF!,"AAAAAHX/lYk=")</f>
        <v>#REF!</v>
      </c>
      <c r="EI186" t="e">
        <f>AND(#REF!,"AAAAAHX/lYo=")</f>
        <v>#REF!</v>
      </c>
      <c r="EJ186" t="e">
        <f>AND(#REF!,"AAAAAHX/lYs=")</f>
        <v>#REF!</v>
      </c>
      <c r="EK186" t="e">
        <f>AND(#REF!,"AAAAAHX/lYw=")</f>
        <v>#REF!</v>
      </c>
      <c r="EL186" t="e">
        <f>AND(#REF!,"AAAAAHX/lY0=")</f>
        <v>#REF!</v>
      </c>
      <c r="EM186" t="e">
        <f>AND(#REF!,"AAAAAHX/lY4=")</f>
        <v>#REF!</v>
      </c>
      <c r="EN186" t="e">
        <f>AND(#REF!,"AAAAAHX/lY8=")</f>
        <v>#REF!</v>
      </c>
      <c r="EO186" t="e">
        <f>AND(#REF!,"AAAAAHX/lZA=")</f>
        <v>#REF!</v>
      </c>
      <c r="EP186" t="e">
        <f>AND(#REF!,"AAAAAHX/lZE=")</f>
        <v>#REF!</v>
      </c>
      <c r="EQ186" t="e">
        <f>AND(#REF!,"AAAAAHX/lZI=")</f>
        <v>#REF!</v>
      </c>
      <c r="ER186" t="e">
        <f>AND(#REF!,"AAAAAHX/lZM=")</f>
        <v>#REF!</v>
      </c>
      <c r="ES186" t="e">
        <f>AND(#REF!,"AAAAAHX/lZQ=")</f>
        <v>#REF!</v>
      </c>
      <c r="ET186" t="e">
        <f>AND(#REF!,"AAAAAHX/lZU=")</f>
        <v>#REF!</v>
      </c>
      <c r="EU186" t="e">
        <f>AND(#REF!,"AAAAAHX/lZY=")</f>
        <v>#REF!</v>
      </c>
      <c r="EV186" t="e">
        <f>AND(#REF!,"AAAAAHX/lZc=")</f>
        <v>#REF!</v>
      </c>
      <c r="EW186" t="e">
        <f>AND(#REF!,"AAAAAHX/lZg=")</f>
        <v>#REF!</v>
      </c>
      <c r="EX186" t="e">
        <f>AND(#REF!,"AAAAAHX/lZk=")</f>
        <v>#REF!</v>
      </c>
      <c r="EY186" t="e">
        <f>AND(#REF!,"AAAAAHX/lZo=")</f>
        <v>#REF!</v>
      </c>
      <c r="EZ186" t="e">
        <f>AND(#REF!,"AAAAAHX/lZs=")</f>
        <v>#REF!</v>
      </c>
      <c r="FA186" t="e">
        <f>AND(#REF!,"AAAAAHX/lZw=")</f>
        <v>#REF!</v>
      </c>
      <c r="FB186" t="e">
        <f>AND(#REF!,"AAAAAHX/lZ0=")</f>
        <v>#REF!</v>
      </c>
      <c r="FC186" t="e">
        <f>AND(#REF!,"AAAAAHX/lZ4=")</f>
        <v>#REF!</v>
      </c>
      <c r="FD186" t="e">
        <f>AND(#REF!,"AAAAAHX/lZ8=")</f>
        <v>#REF!</v>
      </c>
      <c r="FE186" t="e">
        <f>AND(#REF!,"AAAAAHX/laA=")</f>
        <v>#REF!</v>
      </c>
      <c r="FF186" t="e">
        <f>AND(#REF!,"AAAAAHX/laE=")</f>
        <v>#REF!</v>
      </c>
      <c r="FG186" t="e">
        <f>AND(#REF!,"AAAAAHX/laI=")</f>
        <v>#REF!</v>
      </c>
      <c r="FH186" t="e">
        <f>AND(#REF!,"AAAAAHX/laM=")</f>
        <v>#REF!</v>
      </c>
      <c r="FI186" t="e">
        <f>AND(#REF!,"AAAAAHX/laQ=")</f>
        <v>#REF!</v>
      </c>
      <c r="FJ186" t="e">
        <f>AND(#REF!,"AAAAAHX/laU=")</f>
        <v>#REF!</v>
      </c>
      <c r="FK186" t="e">
        <f>AND(#REF!,"AAAAAHX/laY=")</f>
        <v>#REF!</v>
      </c>
      <c r="FL186" t="e">
        <f>AND(#REF!,"AAAAAHX/lac=")</f>
        <v>#REF!</v>
      </c>
      <c r="FM186" t="e">
        <f>AND(#REF!,"AAAAAHX/lag=")</f>
        <v>#REF!</v>
      </c>
      <c r="FN186" t="e">
        <f>AND(#REF!,"AAAAAHX/lak=")</f>
        <v>#REF!</v>
      </c>
      <c r="FO186" t="e">
        <f>AND(#REF!,"AAAAAHX/lao=")</f>
        <v>#REF!</v>
      </c>
      <c r="FP186" t="e">
        <f>AND(#REF!,"AAAAAHX/las=")</f>
        <v>#REF!</v>
      </c>
      <c r="FQ186" t="e">
        <f>AND(#REF!,"AAAAAHX/law=")</f>
        <v>#REF!</v>
      </c>
      <c r="FR186" t="e">
        <f>AND(#REF!,"AAAAAHX/la0=")</f>
        <v>#REF!</v>
      </c>
      <c r="FS186" t="e">
        <f>AND(#REF!,"AAAAAHX/la4=")</f>
        <v>#REF!</v>
      </c>
      <c r="FT186" t="e">
        <f>AND(#REF!,"AAAAAHX/la8=")</f>
        <v>#REF!</v>
      </c>
      <c r="FU186" t="e">
        <f>AND(#REF!,"AAAAAHX/lbA=")</f>
        <v>#REF!</v>
      </c>
      <c r="FV186" t="e">
        <f>AND(#REF!,"AAAAAHX/lbE=")</f>
        <v>#REF!</v>
      </c>
      <c r="FW186" t="e">
        <f>AND(#REF!,"AAAAAHX/lbI=")</f>
        <v>#REF!</v>
      </c>
      <c r="FX186" t="e">
        <f>AND(#REF!,"AAAAAHX/lbM=")</f>
        <v>#REF!</v>
      </c>
      <c r="FY186" t="e">
        <f>AND(#REF!,"AAAAAHX/lbQ=")</f>
        <v>#REF!</v>
      </c>
      <c r="FZ186" t="e">
        <f>AND(#REF!,"AAAAAHX/lbU=")</f>
        <v>#REF!</v>
      </c>
      <c r="GA186" t="e">
        <f>AND(#REF!,"AAAAAHX/lbY=")</f>
        <v>#REF!</v>
      </c>
      <c r="GB186" t="e">
        <f>AND(#REF!,"AAAAAHX/lbc=")</f>
        <v>#REF!</v>
      </c>
      <c r="GC186" t="e">
        <f>AND(#REF!,"AAAAAHX/lbg=")</f>
        <v>#REF!</v>
      </c>
      <c r="GD186" t="e">
        <f>AND(#REF!,"AAAAAHX/lbk=")</f>
        <v>#REF!</v>
      </c>
      <c r="GE186" t="e">
        <f>AND(#REF!,"AAAAAHX/lbo=")</f>
        <v>#REF!</v>
      </c>
      <c r="GF186" t="e">
        <f>AND(#REF!,"AAAAAHX/lbs=")</f>
        <v>#REF!</v>
      </c>
      <c r="GG186" t="e">
        <f>AND(#REF!,"AAAAAHX/lbw=")</f>
        <v>#REF!</v>
      </c>
      <c r="GH186" t="e">
        <f>AND(#REF!,"AAAAAHX/lb0=")</f>
        <v>#REF!</v>
      </c>
      <c r="GI186" t="e">
        <f>AND(#REF!,"AAAAAHX/lb4=")</f>
        <v>#REF!</v>
      </c>
      <c r="GJ186" t="e">
        <f>AND(#REF!,"AAAAAHX/lb8=")</f>
        <v>#REF!</v>
      </c>
      <c r="GK186" t="e">
        <f>AND(#REF!,"AAAAAHX/lcA=")</f>
        <v>#REF!</v>
      </c>
      <c r="GL186" t="e">
        <f>AND(#REF!,"AAAAAHX/lcE=")</f>
        <v>#REF!</v>
      </c>
      <c r="GM186" t="e">
        <f>AND(#REF!,"AAAAAHX/lcI=")</f>
        <v>#REF!</v>
      </c>
      <c r="GN186" t="e">
        <f>AND(#REF!,"AAAAAHX/lcM=")</f>
        <v>#REF!</v>
      </c>
      <c r="GO186" t="e">
        <f>AND(#REF!,"AAAAAHX/lcQ=")</f>
        <v>#REF!</v>
      </c>
      <c r="GP186" t="e">
        <f>AND(#REF!,"AAAAAHX/lcU=")</f>
        <v>#REF!</v>
      </c>
      <c r="GQ186" t="e">
        <f>AND(#REF!,"AAAAAHX/lcY=")</f>
        <v>#REF!</v>
      </c>
      <c r="GR186" t="e">
        <f>AND(#REF!,"AAAAAHX/lcc=")</f>
        <v>#REF!</v>
      </c>
      <c r="GS186" t="e">
        <f>AND(#REF!,"AAAAAHX/lcg=")</f>
        <v>#REF!</v>
      </c>
      <c r="GT186" t="e">
        <f>AND(#REF!,"AAAAAHX/lck=")</f>
        <v>#REF!</v>
      </c>
      <c r="GU186" t="e">
        <f>AND(#REF!,"AAAAAHX/lco=")</f>
        <v>#REF!</v>
      </c>
      <c r="GV186" t="e">
        <f>AND(#REF!,"AAAAAHX/lcs=")</f>
        <v>#REF!</v>
      </c>
      <c r="GW186" t="e">
        <f>AND(#REF!,"AAAAAHX/lcw=")</f>
        <v>#REF!</v>
      </c>
      <c r="GX186" t="e">
        <f>AND(#REF!,"AAAAAHX/lc0=")</f>
        <v>#REF!</v>
      </c>
      <c r="GY186" t="e">
        <f>AND(#REF!,"AAAAAHX/lc4=")</f>
        <v>#REF!</v>
      </c>
      <c r="GZ186" t="e">
        <f>AND(#REF!,"AAAAAHX/lc8=")</f>
        <v>#REF!</v>
      </c>
      <c r="HA186" t="e">
        <f>AND(#REF!,"AAAAAHX/ldA=")</f>
        <v>#REF!</v>
      </c>
      <c r="HB186" t="e">
        <f>AND(#REF!,"AAAAAHX/ldE=")</f>
        <v>#REF!</v>
      </c>
      <c r="HC186" t="e">
        <f>AND(#REF!,"AAAAAHX/ldI=")</f>
        <v>#REF!</v>
      </c>
      <c r="HD186" t="e">
        <f>AND(#REF!,"AAAAAHX/ldM=")</f>
        <v>#REF!</v>
      </c>
      <c r="HE186" t="e">
        <f>AND(#REF!,"AAAAAHX/ldQ=")</f>
        <v>#REF!</v>
      </c>
      <c r="HF186" t="e">
        <f>AND(#REF!,"AAAAAHX/ldU=")</f>
        <v>#REF!</v>
      </c>
      <c r="HG186" t="e">
        <f>AND(#REF!,"AAAAAHX/ldY=")</f>
        <v>#REF!</v>
      </c>
      <c r="HH186" t="e">
        <f>AND(#REF!,"AAAAAHX/ldc=")</f>
        <v>#REF!</v>
      </c>
      <c r="HI186" t="e">
        <f>AND(#REF!,"AAAAAHX/ldg=")</f>
        <v>#REF!</v>
      </c>
      <c r="HJ186" t="e">
        <f>AND(#REF!,"AAAAAHX/ldk=")</f>
        <v>#REF!</v>
      </c>
      <c r="HK186" t="e">
        <f>AND(#REF!,"AAAAAHX/ldo=")</f>
        <v>#REF!</v>
      </c>
      <c r="HL186" t="e">
        <f>AND(#REF!,"AAAAAHX/lds=")</f>
        <v>#REF!</v>
      </c>
      <c r="HM186" t="e">
        <f>AND(#REF!,"AAAAAHX/ldw=")</f>
        <v>#REF!</v>
      </c>
      <c r="HN186" t="e">
        <f>AND(#REF!,"AAAAAHX/ld0=")</f>
        <v>#REF!</v>
      </c>
      <c r="HO186" t="e">
        <f>AND(#REF!,"AAAAAHX/ld4=")</f>
        <v>#REF!</v>
      </c>
      <c r="HP186" t="e">
        <f>AND(#REF!,"AAAAAHX/ld8=")</f>
        <v>#REF!</v>
      </c>
      <c r="HQ186" t="e">
        <f>AND(#REF!,"AAAAAHX/leA=")</f>
        <v>#REF!</v>
      </c>
      <c r="HR186" t="e">
        <f>AND(#REF!,"AAAAAHX/leE=")</f>
        <v>#REF!</v>
      </c>
      <c r="HS186" t="e">
        <f>AND(#REF!,"AAAAAHX/leI=")</f>
        <v>#REF!</v>
      </c>
      <c r="HT186" t="e">
        <f>AND(#REF!,"AAAAAHX/leM=")</f>
        <v>#REF!</v>
      </c>
      <c r="HU186" t="e">
        <f>AND(#REF!,"AAAAAHX/leQ=")</f>
        <v>#REF!</v>
      </c>
      <c r="HV186" t="e">
        <f>AND(#REF!,"AAAAAHX/leU=")</f>
        <v>#REF!</v>
      </c>
      <c r="HW186" t="e">
        <f>AND(#REF!,"AAAAAHX/leY=")</f>
        <v>#REF!</v>
      </c>
      <c r="HX186" t="e">
        <f>AND(#REF!,"AAAAAHX/lec=")</f>
        <v>#REF!</v>
      </c>
      <c r="HY186" t="e">
        <f>AND(#REF!,"AAAAAHX/leg=")</f>
        <v>#REF!</v>
      </c>
      <c r="HZ186" t="e">
        <f>AND(#REF!,"AAAAAHX/lek=")</f>
        <v>#REF!</v>
      </c>
      <c r="IA186" t="e">
        <f>IF(#REF!,"AAAAAHX/leo=",0)</f>
        <v>#REF!</v>
      </c>
      <c r="IB186" t="e">
        <f>AND(#REF!,"AAAAAHX/les=")</f>
        <v>#REF!</v>
      </c>
      <c r="IC186" t="e">
        <f>AND(#REF!,"AAAAAHX/lew=")</f>
        <v>#REF!</v>
      </c>
      <c r="ID186" t="e">
        <f>AND(#REF!,"AAAAAHX/le0=")</f>
        <v>#REF!</v>
      </c>
      <c r="IE186" t="e">
        <f>AND(#REF!,"AAAAAHX/le4=")</f>
        <v>#REF!</v>
      </c>
      <c r="IF186" t="e">
        <f>AND(#REF!,"AAAAAHX/le8=")</f>
        <v>#REF!</v>
      </c>
      <c r="IG186" t="e">
        <f>AND(#REF!,"AAAAAHX/lfA=")</f>
        <v>#REF!</v>
      </c>
      <c r="IH186" t="e">
        <f>AND(#REF!,"AAAAAHX/lfE=")</f>
        <v>#REF!</v>
      </c>
      <c r="II186" t="e">
        <f>AND(#REF!,"AAAAAHX/lfI=")</f>
        <v>#REF!</v>
      </c>
      <c r="IJ186" t="e">
        <f>AND(#REF!,"AAAAAHX/lfM=")</f>
        <v>#REF!</v>
      </c>
      <c r="IK186" t="e">
        <f>AND(#REF!,"AAAAAHX/lfQ=")</f>
        <v>#REF!</v>
      </c>
      <c r="IL186" t="e">
        <f>AND(#REF!,"AAAAAHX/lfU=")</f>
        <v>#REF!</v>
      </c>
      <c r="IM186" t="e">
        <f>AND(#REF!,"AAAAAHX/lfY=")</f>
        <v>#REF!</v>
      </c>
      <c r="IN186" t="e">
        <f>AND(#REF!,"AAAAAHX/lfc=")</f>
        <v>#REF!</v>
      </c>
      <c r="IO186" t="e">
        <f>AND(#REF!,"AAAAAHX/lfg=")</f>
        <v>#REF!</v>
      </c>
      <c r="IP186" t="e">
        <f>AND(#REF!,"AAAAAHX/lfk=")</f>
        <v>#REF!</v>
      </c>
      <c r="IQ186" t="e">
        <f>AND(#REF!,"AAAAAHX/lfo=")</f>
        <v>#REF!</v>
      </c>
      <c r="IR186" t="e">
        <f>AND(#REF!,"AAAAAHX/lfs=")</f>
        <v>#REF!</v>
      </c>
      <c r="IS186" t="e">
        <f>AND(#REF!,"AAAAAHX/lfw=")</f>
        <v>#REF!</v>
      </c>
      <c r="IT186" t="e">
        <f>AND(#REF!,"AAAAAHX/lf0=")</f>
        <v>#REF!</v>
      </c>
      <c r="IU186" t="e">
        <f>AND(#REF!,"AAAAAHX/lf4=")</f>
        <v>#REF!</v>
      </c>
      <c r="IV186" t="e">
        <f>AND(#REF!,"AAAAAHX/lf8=")</f>
        <v>#REF!</v>
      </c>
    </row>
    <row r="187" spans="1:256">
      <c r="A187" t="e">
        <f>AND(#REF!,"AAAAAH717gA=")</f>
        <v>#REF!</v>
      </c>
      <c r="B187" t="e">
        <f>AND(#REF!,"AAAAAH717gE=")</f>
        <v>#REF!</v>
      </c>
      <c r="C187" t="e">
        <f>AND(#REF!,"AAAAAH717gI=")</f>
        <v>#REF!</v>
      </c>
      <c r="D187" t="e">
        <f>AND(#REF!,"AAAAAH717gM=")</f>
        <v>#REF!</v>
      </c>
      <c r="E187" t="e">
        <f>AND(#REF!,"AAAAAH717gQ=")</f>
        <v>#REF!</v>
      </c>
      <c r="F187" t="e">
        <f>AND(#REF!,"AAAAAH717gU=")</f>
        <v>#REF!</v>
      </c>
      <c r="G187" t="e">
        <f>AND(#REF!,"AAAAAH717gY=")</f>
        <v>#REF!</v>
      </c>
      <c r="H187" t="e">
        <f>AND(#REF!,"AAAAAH717gc=")</f>
        <v>#REF!</v>
      </c>
      <c r="I187" t="e">
        <f>AND(#REF!,"AAAAAH717gg=")</f>
        <v>#REF!</v>
      </c>
      <c r="J187" t="e">
        <f>AND(#REF!,"AAAAAH717gk=")</f>
        <v>#REF!</v>
      </c>
      <c r="K187" t="e">
        <f>AND(#REF!,"AAAAAH717go=")</f>
        <v>#REF!</v>
      </c>
      <c r="L187" t="e">
        <f>AND(#REF!,"AAAAAH717gs=")</f>
        <v>#REF!</v>
      </c>
      <c r="M187" t="e">
        <f>AND(#REF!,"AAAAAH717gw=")</f>
        <v>#REF!</v>
      </c>
      <c r="N187" t="e">
        <f>AND(#REF!,"AAAAAH717g0=")</f>
        <v>#REF!</v>
      </c>
      <c r="O187" t="e">
        <f>AND(#REF!,"AAAAAH717g4=")</f>
        <v>#REF!</v>
      </c>
      <c r="P187" t="e">
        <f>AND(#REF!,"AAAAAH717g8=")</f>
        <v>#REF!</v>
      </c>
      <c r="Q187" t="e">
        <f>AND(#REF!,"AAAAAH717hA=")</f>
        <v>#REF!</v>
      </c>
      <c r="R187" t="e">
        <f>AND(#REF!,"AAAAAH717hE=")</f>
        <v>#REF!</v>
      </c>
      <c r="S187" t="e">
        <f>AND(#REF!,"AAAAAH717hI=")</f>
        <v>#REF!</v>
      </c>
      <c r="T187" t="e">
        <f>AND(#REF!,"AAAAAH717hM=")</f>
        <v>#REF!</v>
      </c>
      <c r="U187" t="e">
        <f>AND(#REF!,"AAAAAH717hQ=")</f>
        <v>#REF!</v>
      </c>
      <c r="V187" t="e">
        <f>AND(#REF!,"AAAAAH717hU=")</f>
        <v>#REF!</v>
      </c>
      <c r="W187" t="e">
        <f>AND(#REF!,"AAAAAH717hY=")</f>
        <v>#REF!</v>
      </c>
      <c r="X187" t="e">
        <f>AND(#REF!,"AAAAAH717hc=")</f>
        <v>#REF!</v>
      </c>
      <c r="Y187" t="e">
        <f>AND(#REF!,"AAAAAH717hg=")</f>
        <v>#REF!</v>
      </c>
      <c r="Z187" t="e">
        <f>AND(#REF!,"AAAAAH717hk=")</f>
        <v>#REF!</v>
      </c>
      <c r="AA187" t="e">
        <f>AND(#REF!,"AAAAAH717ho=")</f>
        <v>#REF!</v>
      </c>
      <c r="AB187" t="e">
        <f>AND(#REF!,"AAAAAH717hs=")</f>
        <v>#REF!</v>
      </c>
      <c r="AC187" t="e">
        <f>AND(#REF!,"AAAAAH717hw=")</f>
        <v>#REF!</v>
      </c>
      <c r="AD187" t="e">
        <f>AND(#REF!,"AAAAAH717h0=")</f>
        <v>#REF!</v>
      </c>
      <c r="AE187" t="e">
        <f>AND(#REF!,"AAAAAH717h4=")</f>
        <v>#REF!</v>
      </c>
      <c r="AF187" t="e">
        <f>AND(#REF!,"AAAAAH717h8=")</f>
        <v>#REF!</v>
      </c>
      <c r="AG187" t="e">
        <f>AND(#REF!,"AAAAAH717iA=")</f>
        <v>#REF!</v>
      </c>
      <c r="AH187" t="e">
        <f>AND(#REF!,"AAAAAH717iE=")</f>
        <v>#REF!</v>
      </c>
      <c r="AI187" t="e">
        <f>AND(#REF!,"AAAAAH717iI=")</f>
        <v>#REF!</v>
      </c>
      <c r="AJ187" t="e">
        <f>AND(#REF!,"AAAAAH717iM=")</f>
        <v>#REF!</v>
      </c>
      <c r="AK187" t="e">
        <f>AND(#REF!,"AAAAAH717iQ=")</f>
        <v>#REF!</v>
      </c>
      <c r="AL187" t="e">
        <f>AND(#REF!,"AAAAAH717iU=")</f>
        <v>#REF!</v>
      </c>
      <c r="AM187" t="e">
        <f>AND(#REF!,"AAAAAH717iY=")</f>
        <v>#REF!</v>
      </c>
      <c r="AN187" t="e">
        <f>AND(#REF!,"AAAAAH717ic=")</f>
        <v>#REF!</v>
      </c>
      <c r="AO187" t="e">
        <f>AND(#REF!,"AAAAAH717ig=")</f>
        <v>#REF!</v>
      </c>
      <c r="AP187" t="e">
        <f>AND(#REF!,"AAAAAH717ik=")</f>
        <v>#REF!</v>
      </c>
      <c r="AQ187" t="e">
        <f>AND(#REF!,"AAAAAH717io=")</f>
        <v>#REF!</v>
      </c>
      <c r="AR187" t="e">
        <f>AND(#REF!,"AAAAAH717is=")</f>
        <v>#REF!</v>
      </c>
      <c r="AS187" t="e">
        <f>AND(#REF!,"AAAAAH717iw=")</f>
        <v>#REF!</v>
      </c>
      <c r="AT187" t="e">
        <f>AND(#REF!,"AAAAAH717i0=")</f>
        <v>#REF!</v>
      </c>
      <c r="AU187" t="e">
        <f>AND(#REF!,"AAAAAH717i4=")</f>
        <v>#REF!</v>
      </c>
      <c r="AV187" t="e">
        <f>AND(#REF!,"AAAAAH717i8=")</f>
        <v>#REF!</v>
      </c>
      <c r="AW187" t="e">
        <f>AND(#REF!,"AAAAAH717jA=")</f>
        <v>#REF!</v>
      </c>
      <c r="AX187" t="e">
        <f>AND(#REF!,"AAAAAH717jE=")</f>
        <v>#REF!</v>
      </c>
      <c r="AY187" t="e">
        <f>AND(#REF!,"AAAAAH717jI=")</f>
        <v>#REF!</v>
      </c>
      <c r="AZ187" t="e">
        <f>AND(#REF!,"AAAAAH717jM=")</f>
        <v>#REF!</v>
      </c>
      <c r="BA187" t="e">
        <f>AND(#REF!,"AAAAAH717jQ=")</f>
        <v>#REF!</v>
      </c>
      <c r="BB187" t="e">
        <f>AND(#REF!,"AAAAAH717jU=")</f>
        <v>#REF!</v>
      </c>
      <c r="BC187" t="e">
        <f>AND(#REF!,"AAAAAH717jY=")</f>
        <v>#REF!</v>
      </c>
      <c r="BD187" t="e">
        <f>AND(#REF!,"AAAAAH717jc=")</f>
        <v>#REF!</v>
      </c>
      <c r="BE187" t="e">
        <f>AND(#REF!,"AAAAAH717jg=")</f>
        <v>#REF!</v>
      </c>
      <c r="BF187" t="e">
        <f>AND(#REF!,"AAAAAH717jk=")</f>
        <v>#REF!</v>
      </c>
      <c r="BG187" t="e">
        <f>AND(#REF!,"AAAAAH717jo=")</f>
        <v>#REF!</v>
      </c>
      <c r="BH187" t="e">
        <f>AND(#REF!,"AAAAAH717js=")</f>
        <v>#REF!</v>
      </c>
      <c r="BI187" t="e">
        <f>AND(#REF!,"AAAAAH717jw=")</f>
        <v>#REF!</v>
      </c>
      <c r="BJ187" t="e">
        <f>AND(#REF!,"AAAAAH717j0=")</f>
        <v>#REF!</v>
      </c>
      <c r="BK187" t="e">
        <f>AND(#REF!,"AAAAAH717j4=")</f>
        <v>#REF!</v>
      </c>
      <c r="BL187" t="e">
        <f>AND(#REF!,"AAAAAH717j8=")</f>
        <v>#REF!</v>
      </c>
      <c r="BM187" t="e">
        <f>AND(#REF!,"AAAAAH717kA=")</f>
        <v>#REF!</v>
      </c>
      <c r="BN187" t="e">
        <f>AND(#REF!,"AAAAAH717kE=")</f>
        <v>#REF!</v>
      </c>
      <c r="BO187" t="e">
        <f>AND(#REF!,"AAAAAH717kI=")</f>
        <v>#REF!</v>
      </c>
      <c r="BP187" t="e">
        <f>AND(#REF!,"AAAAAH717kM=")</f>
        <v>#REF!</v>
      </c>
      <c r="BQ187" t="e">
        <f>AND(#REF!,"AAAAAH717kQ=")</f>
        <v>#REF!</v>
      </c>
      <c r="BR187" t="e">
        <f>AND(#REF!,"AAAAAH717kU=")</f>
        <v>#REF!</v>
      </c>
      <c r="BS187" t="e">
        <f>AND(#REF!,"AAAAAH717kY=")</f>
        <v>#REF!</v>
      </c>
      <c r="BT187" t="e">
        <f>AND(#REF!,"AAAAAH717kc=")</f>
        <v>#REF!</v>
      </c>
      <c r="BU187" t="e">
        <f>AND(#REF!,"AAAAAH717kg=")</f>
        <v>#REF!</v>
      </c>
      <c r="BV187" t="e">
        <f>AND(#REF!,"AAAAAH717kk=")</f>
        <v>#REF!</v>
      </c>
      <c r="BW187" t="e">
        <f>AND(#REF!,"AAAAAH717ko=")</f>
        <v>#REF!</v>
      </c>
      <c r="BX187" t="e">
        <f>AND(#REF!,"AAAAAH717ks=")</f>
        <v>#REF!</v>
      </c>
      <c r="BY187" t="e">
        <f>AND(#REF!,"AAAAAH717kw=")</f>
        <v>#REF!</v>
      </c>
      <c r="BZ187" t="e">
        <f>AND(#REF!,"AAAAAH717k0=")</f>
        <v>#REF!</v>
      </c>
      <c r="CA187" t="e">
        <f>AND(#REF!,"AAAAAH717k4=")</f>
        <v>#REF!</v>
      </c>
      <c r="CB187" t="e">
        <f>AND(#REF!,"AAAAAH717k8=")</f>
        <v>#REF!</v>
      </c>
      <c r="CC187" t="e">
        <f>AND(#REF!,"AAAAAH717lA=")</f>
        <v>#REF!</v>
      </c>
      <c r="CD187" t="e">
        <f>AND(#REF!,"AAAAAH717lE=")</f>
        <v>#REF!</v>
      </c>
      <c r="CE187" t="e">
        <f>AND(#REF!,"AAAAAH717lI=")</f>
        <v>#REF!</v>
      </c>
      <c r="CF187" t="e">
        <f>AND(#REF!,"AAAAAH717lM=")</f>
        <v>#REF!</v>
      </c>
      <c r="CG187" t="e">
        <f>AND(#REF!,"AAAAAH717lQ=")</f>
        <v>#REF!</v>
      </c>
      <c r="CH187" t="e">
        <f>AND(#REF!,"AAAAAH717lU=")</f>
        <v>#REF!</v>
      </c>
      <c r="CI187" t="e">
        <f>AND(#REF!,"AAAAAH717lY=")</f>
        <v>#REF!</v>
      </c>
      <c r="CJ187" t="e">
        <f>AND(#REF!,"AAAAAH717lc=")</f>
        <v>#REF!</v>
      </c>
      <c r="CK187" t="e">
        <f>AND(#REF!,"AAAAAH717lg=")</f>
        <v>#REF!</v>
      </c>
      <c r="CL187" t="e">
        <f>AND(#REF!,"AAAAAH717lk=")</f>
        <v>#REF!</v>
      </c>
      <c r="CM187" t="e">
        <f>AND(#REF!,"AAAAAH717lo=")</f>
        <v>#REF!</v>
      </c>
      <c r="CN187" t="e">
        <f>AND(#REF!,"AAAAAH717ls=")</f>
        <v>#REF!</v>
      </c>
      <c r="CO187" t="e">
        <f>AND(#REF!,"AAAAAH717lw=")</f>
        <v>#REF!</v>
      </c>
      <c r="CP187" t="e">
        <f>AND(#REF!,"AAAAAH717l0=")</f>
        <v>#REF!</v>
      </c>
      <c r="CQ187" t="e">
        <f>AND(#REF!,"AAAAAH717l4=")</f>
        <v>#REF!</v>
      </c>
      <c r="CR187" t="e">
        <f>AND(#REF!,"AAAAAH717l8=")</f>
        <v>#REF!</v>
      </c>
      <c r="CS187" t="e">
        <f>AND(#REF!,"AAAAAH717mA=")</f>
        <v>#REF!</v>
      </c>
      <c r="CT187" t="e">
        <f>AND(#REF!,"AAAAAH717mE=")</f>
        <v>#REF!</v>
      </c>
      <c r="CU187" t="e">
        <f>AND(#REF!,"AAAAAH717mI=")</f>
        <v>#REF!</v>
      </c>
      <c r="CV187" t="e">
        <f>AND(#REF!,"AAAAAH717mM=")</f>
        <v>#REF!</v>
      </c>
      <c r="CW187" t="e">
        <f>AND(#REF!,"AAAAAH717mQ=")</f>
        <v>#REF!</v>
      </c>
      <c r="CX187" t="e">
        <f>AND(#REF!,"AAAAAH717mU=")</f>
        <v>#REF!</v>
      </c>
      <c r="CY187" t="e">
        <f>AND(#REF!,"AAAAAH717mY=")</f>
        <v>#REF!</v>
      </c>
      <c r="CZ187" t="e">
        <f>AND(#REF!,"AAAAAH717mc=")</f>
        <v>#REF!</v>
      </c>
      <c r="DA187" t="e">
        <f>AND(#REF!,"AAAAAH717mg=")</f>
        <v>#REF!</v>
      </c>
      <c r="DB187" t="e">
        <f>AND(#REF!,"AAAAAH717mk=")</f>
        <v>#REF!</v>
      </c>
      <c r="DC187" t="e">
        <f>AND(#REF!,"AAAAAH717mo=")</f>
        <v>#REF!</v>
      </c>
      <c r="DD187" t="e">
        <f>AND(#REF!,"AAAAAH717ms=")</f>
        <v>#REF!</v>
      </c>
      <c r="DE187" t="e">
        <f>AND(#REF!,"AAAAAH717mw=")</f>
        <v>#REF!</v>
      </c>
      <c r="DF187" t="e">
        <f>AND(#REF!,"AAAAAH717m0=")</f>
        <v>#REF!</v>
      </c>
      <c r="DG187" t="e">
        <f>AND(#REF!,"AAAAAH717m4=")</f>
        <v>#REF!</v>
      </c>
      <c r="DH187" t="e">
        <f>AND(#REF!,"AAAAAH717m8=")</f>
        <v>#REF!</v>
      </c>
      <c r="DI187" t="e">
        <f>AND(#REF!,"AAAAAH717nA=")</f>
        <v>#REF!</v>
      </c>
      <c r="DJ187" t="e">
        <f>AND(#REF!,"AAAAAH717nE=")</f>
        <v>#REF!</v>
      </c>
      <c r="DK187" t="e">
        <f>AND(#REF!,"AAAAAH717nI=")</f>
        <v>#REF!</v>
      </c>
      <c r="DL187" t="e">
        <f>AND(#REF!,"AAAAAH717nM=")</f>
        <v>#REF!</v>
      </c>
      <c r="DM187" t="e">
        <f>AND(#REF!,"AAAAAH717nQ=")</f>
        <v>#REF!</v>
      </c>
      <c r="DN187" t="e">
        <f>AND(#REF!,"AAAAAH717nU=")</f>
        <v>#REF!</v>
      </c>
      <c r="DO187" t="e">
        <f>AND(#REF!,"AAAAAH717nY=")</f>
        <v>#REF!</v>
      </c>
      <c r="DP187" t="e">
        <f>AND(#REF!,"AAAAAH717nc=")</f>
        <v>#REF!</v>
      </c>
      <c r="DQ187" t="e">
        <f>AND(#REF!,"AAAAAH717ng=")</f>
        <v>#REF!</v>
      </c>
      <c r="DR187" t="e">
        <f>AND(#REF!,"AAAAAH717nk=")</f>
        <v>#REF!</v>
      </c>
      <c r="DS187" t="e">
        <f>AND(#REF!,"AAAAAH717no=")</f>
        <v>#REF!</v>
      </c>
      <c r="DT187" t="e">
        <f>AND(#REF!,"AAAAAH717ns=")</f>
        <v>#REF!</v>
      </c>
      <c r="DU187" t="e">
        <f>AND(#REF!,"AAAAAH717nw=")</f>
        <v>#REF!</v>
      </c>
      <c r="DV187" t="e">
        <f>AND(#REF!,"AAAAAH717n0=")</f>
        <v>#REF!</v>
      </c>
      <c r="DW187" t="e">
        <f>AND(#REF!,"AAAAAH717n4=")</f>
        <v>#REF!</v>
      </c>
      <c r="DX187" t="e">
        <f>AND(#REF!,"AAAAAH717n8=")</f>
        <v>#REF!</v>
      </c>
      <c r="DY187" t="e">
        <f>AND(#REF!,"AAAAAH717oA=")</f>
        <v>#REF!</v>
      </c>
      <c r="DZ187" t="e">
        <f>AND(#REF!,"AAAAAH717oE=")</f>
        <v>#REF!</v>
      </c>
      <c r="EA187" t="e">
        <f>AND(#REF!,"AAAAAH717oI=")</f>
        <v>#REF!</v>
      </c>
      <c r="EB187" t="e">
        <f>AND(#REF!,"AAAAAH717oM=")</f>
        <v>#REF!</v>
      </c>
      <c r="EC187" t="e">
        <f>AND(#REF!,"AAAAAH717oQ=")</f>
        <v>#REF!</v>
      </c>
      <c r="ED187" t="e">
        <f>AND(#REF!,"AAAAAH717oU=")</f>
        <v>#REF!</v>
      </c>
      <c r="EE187" t="e">
        <f>AND(#REF!,"AAAAAH717oY=")</f>
        <v>#REF!</v>
      </c>
      <c r="EF187" t="e">
        <f>AND(#REF!,"AAAAAH717oc=")</f>
        <v>#REF!</v>
      </c>
      <c r="EG187" t="e">
        <f>AND(#REF!,"AAAAAH717og=")</f>
        <v>#REF!</v>
      </c>
      <c r="EH187" t="e">
        <f>AND(#REF!,"AAAAAH717ok=")</f>
        <v>#REF!</v>
      </c>
      <c r="EI187" t="e">
        <f>AND(#REF!,"AAAAAH717oo=")</f>
        <v>#REF!</v>
      </c>
      <c r="EJ187" t="e">
        <f>AND(#REF!,"AAAAAH717os=")</f>
        <v>#REF!</v>
      </c>
      <c r="EK187" t="e">
        <f>AND(#REF!,"AAAAAH717ow=")</f>
        <v>#REF!</v>
      </c>
      <c r="EL187" t="e">
        <f>AND(#REF!,"AAAAAH717o0=")</f>
        <v>#REF!</v>
      </c>
      <c r="EM187" t="e">
        <f>AND(#REF!,"AAAAAH717o4=")</f>
        <v>#REF!</v>
      </c>
      <c r="EN187" t="e">
        <f>AND(#REF!,"AAAAAH717o8=")</f>
        <v>#REF!</v>
      </c>
      <c r="EO187" t="e">
        <f>AND(#REF!,"AAAAAH717pA=")</f>
        <v>#REF!</v>
      </c>
      <c r="EP187" t="e">
        <f>AND(#REF!,"AAAAAH717pE=")</f>
        <v>#REF!</v>
      </c>
      <c r="EQ187" t="e">
        <f>AND(#REF!,"AAAAAH717pI=")</f>
        <v>#REF!</v>
      </c>
      <c r="ER187" t="e">
        <f>AND(#REF!,"AAAAAH717pM=")</f>
        <v>#REF!</v>
      </c>
      <c r="ES187" t="e">
        <f>AND(#REF!,"AAAAAH717pQ=")</f>
        <v>#REF!</v>
      </c>
      <c r="ET187" t="e">
        <f>AND(#REF!,"AAAAAH717pU=")</f>
        <v>#REF!</v>
      </c>
      <c r="EU187" t="e">
        <f>AND(#REF!,"AAAAAH717pY=")</f>
        <v>#REF!</v>
      </c>
      <c r="EV187" t="e">
        <f>AND(#REF!,"AAAAAH717pc=")</f>
        <v>#REF!</v>
      </c>
      <c r="EW187" t="e">
        <f>AND(#REF!,"AAAAAH717pg=")</f>
        <v>#REF!</v>
      </c>
      <c r="EX187" t="e">
        <f>AND(#REF!,"AAAAAH717pk=")</f>
        <v>#REF!</v>
      </c>
      <c r="EY187" t="e">
        <f>AND(#REF!,"AAAAAH717po=")</f>
        <v>#REF!</v>
      </c>
      <c r="EZ187" t="e">
        <f>AND(#REF!,"AAAAAH717ps=")</f>
        <v>#REF!</v>
      </c>
      <c r="FA187" t="e">
        <f>AND(#REF!,"AAAAAH717pw=")</f>
        <v>#REF!</v>
      </c>
      <c r="FB187" t="e">
        <f>AND(#REF!,"AAAAAH717p0=")</f>
        <v>#REF!</v>
      </c>
      <c r="FC187" t="e">
        <f>AND(#REF!,"AAAAAH717p4=")</f>
        <v>#REF!</v>
      </c>
      <c r="FD187" t="e">
        <f>AND(#REF!,"AAAAAH717p8=")</f>
        <v>#REF!</v>
      </c>
      <c r="FE187" t="e">
        <f>AND(#REF!,"AAAAAH717qA=")</f>
        <v>#REF!</v>
      </c>
      <c r="FF187" t="e">
        <f>AND(#REF!,"AAAAAH717qE=")</f>
        <v>#REF!</v>
      </c>
      <c r="FG187" t="e">
        <f>AND(#REF!,"AAAAAH717qI=")</f>
        <v>#REF!</v>
      </c>
      <c r="FH187" t="e">
        <f>AND(#REF!,"AAAAAH717qM=")</f>
        <v>#REF!</v>
      </c>
      <c r="FI187" t="e">
        <f>AND(#REF!,"AAAAAH717qQ=")</f>
        <v>#REF!</v>
      </c>
      <c r="FJ187" t="e">
        <f>AND(#REF!,"AAAAAH717qU=")</f>
        <v>#REF!</v>
      </c>
      <c r="FK187" t="e">
        <f>AND(#REF!,"AAAAAH717qY=")</f>
        <v>#REF!</v>
      </c>
      <c r="FL187" t="e">
        <f>AND(#REF!,"AAAAAH717qc=")</f>
        <v>#REF!</v>
      </c>
      <c r="FM187" t="e">
        <f>AND(#REF!,"AAAAAH717qg=")</f>
        <v>#REF!</v>
      </c>
      <c r="FN187" t="e">
        <f>AND(#REF!,"AAAAAH717qk=")</f>
        <v>#REF!</v>
      </c>
      <c r="FO187" t="e">
        <f>AND(#REF!,"AAAAAH717qo=")</f>
        <v>#REF!</v>
      </c>
      <c r="FP187" t="e">
        <f>AND(#REF!,"AAAAAH717qs=")</f>
        <v>#REF!</v>
      </c>
      <c r="FQ187" t="e">
        <f>AND(#REF!,"AAAAAH717qw=")</f>
        <v>#REF!</v>
      </c>
      <c r="FR187" t="e">
        <f>AND(#REF!,"AAAAAH717q0=")</f>
        <v>#REF!</v>
      </c>
      <c r="FS187" t="e">
        <f>AND(#REF!,"AAAAAH717q4=")</f>
        <v>#REF!</v>
      </c>
      <c r="FT187" t="e">
        <f>AND(#REF!,"AAAAAH717q8=")</f>
        <v>#REF!</v>
      </c>
      <c r="FU187" t="e">
        <f>AND(#REF!,"AAAAAH717rA=")</f>
        <v>#REF!</v>
      </c>
      <c r="FV187" t="e">
        <f>AND(#REF!,"AAAAAH717rE=")</f>
        <v>#REF!</v>
      </c>
      <c r="FW187" t="e">
        <f>AND(#REF!,"AAAAAH717rI=")</f>
        <v>#REF!</v>
      </c>
      <c r="FX187" t="e">
        <f>AND(#REF!,"AAAAAH717rM=")</f>
        <v>#REF!</v>
      </c>
      <c r="FY187" t="e">
        <f>AND(#REF!,"AAAAAH717rQ=")</f>
        <v>#REF!</v>
      </c>
      <c r="FZ187" t="e">
        <f>AND(#REF!,"AAAAAH717rU=")</f>
        <v>#REF!</v>
      </c>
      <c r="GA187" t="e">
        <f>AND(#REF!,"AAAAAH717rY=")</f>
        <v>#REF!</v>
      </c>
      <c r="GB187" t="e">
        <f>AND(#REF!,"AAAAAH717rc=")</f>
        <v>#REF!</v>
      </c>
      <c r="GC187" t="e">
        <f>AND(#REF!,"AAAAAH717rg=")</f>
        <v>#REF!</v>
      </c>
      <c r="GD187" t="e">
        <f>AND(#REF!,"AAAAAH717rk=")</f>
        <v>#REF!</v>
      </c>
      <c r="GE187" t="e">
        <f>AND(#REF!,"AAAAAH717ro=")</f>
        <v>#REF!</v>
      </c>
      <c r="GF187" t="e">
        <f>AND(#REF!,"AAAAAH717rs=")</f>
        <v>#REF!</v>
      </c>
      <c r="GG187" t="e">
        <f>AND(#REF!,"AAAAAH717rw=")</f>
        <v>#REF!</v>
      </c>
      <c r="GH187" t="e">
        <f>AND(#REF!,"AAAAAH717r0=")</f>
        <v>#REF!</v>
      </c>
      <c r="GI187" t="e">
        <f>AND(#REF!,"AAAAAH717r4=")</f>
        <v>#REF!</v>
      </c>
      <c r="GJ187" t="e">
        <f>AND(#REF!,"AAAAAH717r8=")</f>
        <v>#REF!</v>
      </c>
      <c r="GK187" t="e">
        <f>AND(#REF!,"AAAAAH717sA=")</f>
        <v>#REF!</v>
      </c>
      <c r="GL187" t="e">
        <f>AND(#REF!,"AAAAAH717sE=")</f>
        <v>#REF!</v>
      </c>
      <c r="GM187" t="e">
        <f>AND(#REF!,"AAAAAH717sI=")</f>
        <v>#REF!</v>
      </c>
      <c r="GN187" t="e">
        <f>AND(#REF!,"AAAAAH717sM=")</f>
        <v>#REF!</v>
      </c>
      <c r="GO187" t="e">
        <f>AND(#REF!,"AAAAAH717sQ=")</f>
        <v>#REF!</v>
      </c>
      <c r="GP187" t="e">
        <f>AND(#REF!,"AAAAAH717sU=")</f>
        <v>#REF!</v>
      </c>
      <c r="GQ187" t="e">
        <f>AND(#REF!,"AAAAAH717sY=")</f>
        <v>#REF!</v>
      </c>
      <c r="GR187" t="e">
        <f>AND(#REF!,"AAAAAH717sc=")</f>
        <v>#REF!</v>
      </c>
      <c r="GS187" t="e">
        <f>AND(#REF!,"AAAAAH717sg=")</f>
        <v>#REF!</v>
      </c>
      <c r="GT187" t="e">
        <f>AND(#REF!,"AAAAAH717sk=")</f>
        <v>#REF!</v>
      </c>
      <c r="GU187" t="e">
        <f>AND(#REF!,"AAAAAH717so=")</f>
        <v>#REF!</v>
      </c>
      <c r="GV187" t="e">
        <f>AND(#REF!,"AAAAAH717ss=")</f>
        <v>#REF!</v>
      </c>
      <c r="GW187" t="e">
        <f>AND(#REF!,"AAAAAH717sw=")</f>
        <v>#REF!</v>
      </c>
      <c r="GX187" t="e">
        <f>AND(#REF!,"AAAAAH717s0=")</f>
        <v>#REF!</v>
      </c>
      <c r="GY187" t="e">
        <f>IF(#REF!,"AAAAAH717s4=",0)</f>
        <v>#REF!</v>
      </c>
      <c r="GZ187" t="e">
        <f>AND(#REF!,"AAAAAH717s8=")</f>
        <v>#REF!</v>
      </c>
      <c r="HA187" t="e">
        <f>AND(#REF!,"AAAAAH717tA=")</f>
        <v>#REF!</v>
      </c>
      <c r="HB187" t="e">
        <f>AND(#REF!,"AAAAAH717tE=")</f>
        <v>#REF!</v>
      </c>
      <c r="HC187" t="e">
        <f>AND(#REF!,"AAAAAH717tI=")</f>
        <v>#REF!</v>
      </c>
      <c r="HD187" t="e">
        <f>AND(#REF!,"AAAAAH717tM=")</f>
        <v>#REF!</v>
      </c>
      <c r="HE187" t="e">
        <f>AND(#REF!,"AAAAAH717tQ=")</f>
        <v>#REF!</v>
      </c>
      <c r="HF187" t="e">
        <f>AND(#REF!,"AAAAAH717tU=")</f>
        <v>#REF!</v>
      </c>
      <c r="HG187" t="e">
        <f>AND(#REF!,"AAAAAH717tY=")</f>
        <v>#REF!</v>
      </c>
      <c r="HH187" t="e">
        <f>AND(#REF!,"AAAAAH717tc=")</f>
        <v>#REF!</v>
      </c>
      <c r="HI187" t="e">
        <f>AND(#REF!,"AAAAAH717tg=")</f>
        <v>#REF!</v>
      </c>
      <c r="HJ187" t="e">
        <f>AND(#REF!,"AAAAAH717tk=")</f>
        <v>#REF!</v>
      </c>
      <c r="HK187" t="e">
        <f>AND(#REF!,"AAAAAH717to=")</f>
        <v>#REF!</v>
      </c>
      <c r="HL187" t="e">
        <f>AND(#REF!,"AAAAAH717ts=")</f>
        <v>#REF!</v>
      </c>
      <c r="HM187" t="e">
        <f>AND(#REF!,"AAAAAH717tw=")</f>
        <v>#REF!</v>
      </c>
      <c r="HN187" t="e">
        <f>AND(#REF!,"AAAAAH717t0=")</f>
        <v>#REF!</v>
      </c>
      <c r="HO187" t="e">
        <f>AND(#REF!,"AAAAAH717t4=")</f>
        <v>#REF!</v>
      </c>
      <c r="HP187" t="e">
        <f>AND(#REF!,"AAAAAH717t8=")</f>
        <v>#REF!</v>
      </c>
      <c r="HQ187" t="e">
        <f>AND(#REF!,"AAAAAH717uA=")</f>
        <v>#REF!</v>
      </c>
      <c r="HR187" t="e">
        <f>AND(#REF!,"AAAAAH717uE=")</f>
        <v>#REF!</v>
      </c>
      <c r="HS187" t="e">
        <f>AND(#REF!,"AAAAAH717uI=")</f>
        <v>#REF!</v>
      </c>
      <c r="HT187" t="e">
        <f>AND(#REF!,"AAAAAH717uM=")</f>
        <v>#REF!</v>
      </c>
      <c r="HU187" t="e">
        <f>AND(#REF!,"AAAAAH717uQ=")</f>
        <v>#REF!</v>
      </c>
      <c r="HV187" t="e">
        <f>AND(#REF!,"AAAAAH717uU=")</f>
        <v>#REF!</v>
      </c>
      <c r="HW187" t="e">
        <f>AND(#REF!,"AAAAAH717uY=")</f>
        <v>#REF!</v>
      </c>
      <c r="HX187" t="e">
        <f>AND(#REF!,"AAAAAH717uc=")</f>
        <v>#REF!</v>
      </c>
      <c r="HY187" t="e">
        <f>AND(#REF!,"AAAAAH717ug=")</f>
        <v>#REF!</v>
      </c>
      <c r="HZ187" t="e">
        <f>AND(#REF!,"AAAAAH717uk=")</f>
        <v>#REF!</v>
      </c>
      <c r="IA187" t="e">
        <f>AND(#REF!,"AAAAAH717uo=")</f>
        <v>#REF!</v>
      </c>
      <c r="IB187" t="e">
        <f>AND(#REF!,"AAAAAH717us=")</f>
        <v>#REF!</v>
      </c>
      <c r="IC187" t="e">
        <f>AND(#REF!,"AAAAAH717uw=")</f>
        <v>#REF!</v>
      </c>
      <c r="ID187" t="e">
        <f>AND(#REF!,"AAAAAH717u0=")</f>
        <v>#REF!</v>
      </c>
      <c r="IE187" t="e">
        <f>AND(#REF!,"AAAAAH717u4=")</f>
        <v>#REF!</v>
      </c>
      <c r="IF187" t="e">
        <f>AND(#REF!,"AAAAAH717u8=")</f>
        <v>#REF!</v>
      </c>
      <c r="IG187" t="e">
        <f>AND(#REF!,"AAAAAH717vA=")</f>
        <v>#REF!</v>
      </c>
      <c r="IH187" t="e">
        <f>AND(#REF!,"AAAAAH717vE=")</f>
        <v>#REF!</v>
      </c>
      <c r="II187" t="e">
        <f>AND(#REF!,"AAAAAH717vI=")</f>
        <v>#REF!</v>
      </c>
      <c r="IJ187" t="e">
        <f>AND(#REF!,"AAAAAH717vM=")</f>
        <v>#REF!</v>
      </c>
      <c r="IK187" t="e">
        <f>AND(#REF!,"AAAAAH717vQ=")</f>
        <v>#REF!</v>
      </c>
      <c r="IL187" t="e">
        <f>AND(#REF!,"AAAAAH717vU=")</f>
        <v>#REF!</v>
      </c>
      <c r="IM187" t="e">
        <f>AND(#REF!,"AAAAAH717vY=")</f>
        <v>#REF!</v>
      </c>
      <c r="IN187" t="e">
        <f>AND(#REF!,"AAAAAH717vc=")</f>
        <v>#REF!</v>
      </c>
      <c r="IO187" t="e">
        <f>AND(#REF!,"AAAAAH717vg=")</f>
        <v>#REF!</v>
      </c>
      <c r="IP187" t="e">
        <f>AND(#REF!,"AAAAAH717vk=")</f>
        <v>#REF!</v>
      </c>
      <c r="IQ187" t="e">
        <f>AND(#REF!,"AAAAAH717vo=")</f>
        <v>#REF!</v>
      </c>
      <c r="IR187" t="e">
        <f>AND(#REF!,"AAAAAH717vs=")</f>
        <v>#REF!</v>
      </c>
      <c r="IS187" t="e">
        <f>AND(#REF!,"AAAAAH717vw=")</f>
        <v>#REF!</v>
      </c>
      <c r="IT187" t="e">
        <f>AND(#REF!,"AAAAAH717v0=")</f>
        <v>#REF!</v>
      </c>
      <c r="IU187" t="e">
        <f>AND(#REF!,"AAAAAH717v4=")</f>
        <v>#REF!</v>
      </c>
      <c r="IV187" t="e">
        <f>AND(#REF!,"AAAAAH717v8=")</f>
        <v>#REF!</v>
      </c>
    </row>
    <row r="188" spans="1:256">
      <c r="A188" t="e">
        <f>AND(#REF!,"AAAAAH633wA=")</f>
        <v>#REF!</v>
      </c>
      <c r="B188" t="e">
        <f>AND(#REF!,"AAAAAH633wE=")</f>
        <v>#REF!</v>
      </c>
      <c r="C188" t="e">
        <f>AND(#REF!,"AAAAAH633wI=")</f>
        <v>#REF!</v>
      </c>
      <c r="D188" t="e">
        <f>AND(#REF!,"AAAAAH633wM=")</f>
        <v>#REF!</v>
      </c>
      <c r="E188" t="e">
        <f>AND(#REF!,"AAAAAH633wQ=")</f>
        <v>#REF!</v>
      </c>
      <c r="F188" t="e">
        <f>AND(#REF!,"AAAAAH633wU=")</f>
        <v>#REF!</v>
      </c>
      <c r="G188" t="e">
        <f>AND(#REF!,"AAAAAH633wY=")</f>
        <v>#REF!</v>
      </c>
      <c r="H188" t="e">
        <f>AND(#REF!,"AAAAAH633wc=")</f>
        <v>#REF!</v>
      </c>
      <c r="I188" t="e">
        <f>AND(#REF!,"AAAAAH633wg=")</f>
        <v>#REF!</v>
      </c>
      <c r="J188" t="e">
        <f>AND(#REF!,"AAAAAH633wk=")</f>
        <v>#REF!</v>
      </c>
      <c r="K188" t="e">
        <f>AND(#REF!,"AAAAAH633wo=")</f>
        <v>#REF!</v>
      </c>
      <c r="L188" t="e">
        <f>AND(#REF!,"AAAAAH633ws=")</f>
        <v>#REF!</v>
      </c>
      <c r="M188" t="e">
        <f>AND(#REF!,"AAAAAH633ww=")</f>
        <v>#REF!</v>
      </c>
      <c r="N188" t="e">
        <f>AND(#REF!,"AAAAAH633w0=")</f>
        <v>#REF!</v>
      </c>
      <c r="O188" t="e">
        <f>AND(#REF!,"AAAAAH633w4=")</f>
        <v>#REF!</v>
      </c>
      <c r="P188" t="e">
        <f>AND(#REF!,"AAAAAH633w8=")</f>
        <v>#REF!</v>
      </c>
      <c r="Q188" t="e">
        <f>AND(#REF!,"AAAAAH633xA=")</f>
        <v>#REF!</v>
      </c>
      <c r="R188" t="e">
        <f>AND(#REF!,"AAAAAH633xE=")</f>
        <v>#REF!</v>
      </c>
      <c r="S188" t="e">
        <f>AND(#REF!,"AAAAAH633xI=")</f>
        <v>#REF!</v>
      </c>
      <c r="T188" t="e">
        <f>AND(#REF!,"AAAAAH633xM=")</f>
        <v>#REF!</v>
      </c>
      <c r="U188" t="e">
        <f>AND(#REF!,"AAAAAH633xQ=")</f>
        <v>#REF!</v>
      </c>
      <c r="V188" t="e">
        <f>AND(#REF!,"AAAAAH633xU=")</f>
        <v>#REF!</v>
      </c>
      <c r="W188" t="e">
        <f>AND(#REF!,"AAAAAH633xY=")</f>
        <v>#REF!</v>
      </c>
      <c r="X188" t="e">
        <f>AND(#REF!,"AAAAAH633xc=")</f>
        <v>#REF!</v>
      </c>
      <c r="Y188" t="e">
        <f>AND(#REF!,"AAAAAH633xg=")</f>
        <v>#REF!</v>
      </c>
      <c r="Z188" t="e">
        <f>AND(#REF!,"AAAAAH633xk=")</f>
        <v>#REF!</v>
      </c>
      <c r="AA188" t="e">
        <f>AND(#REF!,"AAAAAH633xo=")</f>
        <v>#REF!</v>
      </c>
      <c r="AB188" t="e">
        <f>AND(#REF!,"AAAAAH633xs=")</f>
        <v>#REF!</v>
      </c>
      <c r="AC188" t="e">
        <f>AND(#REF!,"AAAAAH633xw=")</f>
        <v>#REF!</v>
      </c>
      <c r="AD188" t="e">
        <f>AND(#REF!,"AAAAAH633x0=")</f>
        <v>#REF!</v>
      </c>
      <c r="AE188" t="e">
        <f>AND(#REF!,"AAAAAH633x4=")</f>
        <v>#REF!</v>
      </c>
      <c r="AF188" t="e">
        <f>AND(#REF!,"AAAAAH633x8=")</f>
        <v>#REF!</v>
      </c>
      <c r="AG188" t="e">
        <f>AND(#REF!,"AAAAAH633yA=")</f>
        <v>#REF!</v>
      </c>
      <c r="AH188" t="e">
        <f>AND(#REF!,"AAAAAH633yE=")</f>
        <v>#REF!</v>
      </c>
      <c r="AI188" t="e">
        <f>AND(#REF!,"AAAAAH633yI=")</f>
        <v>#REF!</v>
      </c>
      <c r="AJ188" t="e">
        <f>AND(#REF!,"AAAAAH633yM=")</f>
        <v>#REF!</v>
      </c>
      <c r="AK188" t="e">
        <f>AND(#REF!,"AAAAAH633yQ=")</f>
        <v>#REF!</v>
      </c>
      <c r="AL188" t="e">
        <f>AND(#REF!,"AAAAAH633yU=")</f>
        <v>#REF!</v>
      </c>
      <c r="AM188" t="e">
        <f>AND(#REF!,"AAAAAH633yY=")</f>
        <v>#REF!</v>
      </c>
      <c r="AN188" t="e">
        <f>AND(#REF!,"AAAAAH633yc=")</f>
        <v>#REF!</v>
      </c>
      <c r="AO188" t="e">
        <f>AND(#REF!,"AAAAAH633yg=")</f>
        <v>#REF!</v>
      </c>
      <c r="AP188" t="e">
        <f>AND(#REF!,"AAAAAH633yk=")</f>
        <v>#REF!</v>
      </c>
      <c r="AQ188" t="e">
        <f>AND(#REF!,"AAAAAH633yo=")</f>
        <v>#REF!</v>
      </c>
      <c r="AR188" t="e">
        <f>AND(#REF!,"AAAAAH633ys=")</f>
        <v>#REF!</v>
      </c>
      <c r="AS188" t="e">
        <f>AND(#REF!,"AAAAAH633yw=")</f>
        <v>#REF!</v>
      </c>
      <c r="AT188" t="e">
        <f>AND(#REF!,"AAAAAH633y0=")</f>
        <v>#REF!</v>
      </c>
      <c r="AU188" t="e">
        <f>AND(#REF!,"AAAAAH633y4=")</f>
        <v>#REF!</v>
      </c>
      <c r="AV188" t="e">
        <f>AND(#REF!,"AAAAAH633y8=")</f>
        <v>#REF!</v>
      </c>
      <c r="AW188" t="e">
        <f>AND(#REF!,"AAAAAH633zA=")</f>
        <v>#REF!</v>
      </c>
      <c r="AX188" t="e">
        <f>AND(#REF!,"AAAAAH633zE=")</f>
        <v>#REF!</v>
      </c>
      <c r="AY188" t="e">
        <f>AND(#REF!,"AAAAAH633zI=")</f>
        <v>#REF!</v>
      </c>
      <c r="AZ188" t="e">
        <f>AND(#REF!,"AAAAAH633zM=")</f>
        <v>#REF!</v>
      </c>
      <c r="BA188" t="e">
        <f>AND(#REF!,"AAAAAH633zQ=")</f>
        <v>#REF!</v>
      </c>
      <c r="BB188" t="e">
        <f>AND(#REF!,"AAAAAH633zU=")</f>
        <v>#REF!</v>
      </c>
      <c r="BC188" t="e">
        <f>AND(#REF!,"AAAAAH633zY=")</f>
        <v>#REF!</v>
      </c>
      <c r="BD188" t="e">
        <f>AND(#REF!,"AAAAAH633zc=")</f>
        <v>#REF!</v>
      </c>
      <c r="BE188" t="e">
        <f>AND(#REF!,"AAAAAH633zg=")</f>
        <v>#REF!</v>
      </c>
      <c r="BF188" t="e">
        <f>AND(#REF!,"AAAAAH633zk=")</f>
        <v>#REF!</v>
      </c>
      <c r="BG188" t="e">
        <f>AND(#REF!,"AAAAAH633zo=")</f>
        <v>#REF!</v>
      </c>
      <c r="BH188" t="e">
        <f>AND(#REF!,"AAAAAH633zs=")</f>
        <v>#REF!</v>
      </c>
      <c r="BI188" t="e">
        <f>AND(#REF!,"AAAAAH633zw=")</f>
        <v>#REF!</v>
      </c>
      <c r="BJ188" t="e">
        <f>AND(#REF!,"AAAAAH633z0=")</f>
        <v>#REF!</v>
      </c>
      <c r="BK188" t="e">
        <f>AND(#REF!,"AAAAAH633z4=")</f>
        <v>#REF!</v>
      </c>
      <c r="BL188" t="e">
        <f>AND(#REF!,"AAAAAH633z8=")</f>
        <v>#REF!</v>
      </c>
      <c r="BM188" t="e">
        <f>AND(#REF!,"AAAAAH6330A=")</f>
        <v>#REF!</v>
      </c>
      <c r="BN188" t="e">
        <f>AND(#REF!,"AAAAAH6330E=")</f>
        <v>#REF!</v>
      </c>
      <c r="BO188" t="e">
        <f>AND(#REF!,"AAAAAH6330I=")</f>
        <v>#REF!</v>
      </c>
      <c r="BP188" t="e">
        <f>AND(#REF!,"AAAAAH6330M=")</f>
        <v>#REF!</v>
      </c>
      <c r="BQ188" t="e">
        <f>AND(#REF!,"AAAAAH6330Q=")</f>
        <v>#REF!</v>
      </c>
      <c r="BR188" t="e">
        <f>AND(#REF!,"AAAAAH6330U=")</f>
        <v>#REF!</v>
      </c>
      <c r="BS188" t="e">
        <f>AND(#REF!,"AAAAAH6330Y=")</f>
        <v>#REF!</v>
      </c>
      <c r="BT188" t="e">
        <f>AND(#REF!,"AAAAAH6330c=")</f>
        <v>#REF!</v>
      </c>
      <c r="BU188" t="e">
        <f>AND(#REF!,"AAAAAH6330g=")</f>
        <v>#REF!</v>
      </c>
      <c r="BV188" t="e">
        <f>AND(#REF!,"AAAAAH6330k=")</f>
        <v>#REF!</v>
      </c>
      <c r="BW188" t="e">
        <f>AND(#REF!,"AAAAAH6330o=")</f>
        <v>#REF!</v>
      </c>
      <c r="BX188" t="e">
        <f>AND(#REF!,"AAAAAH6330s=")</f>
        <v>#REF!</v>
      </c>
      <c r="BY188" t="e">
        <f>AND(#REF!,"AAAAAH6330w=")</f>
        <v>#REF!</v>
      </c>
      <c r="BZ188" t="e">
        <f>AND(#REF!,"AAAAAH63300=")</f>
        <v>#REF!</v>
      </c>
      <c r="CA188" t="e">
        <f>AND(#REF!,"AAAAAH63304=")</f>
        <v>#REF!</v>
      </c>
      <c r="CB188" t="e">
        <f>AND(#REF!,"AAAAAH63308=")</f>
        <v>#REF!</v>
      </c>
      <c r="CC188" t="e">
        <f>AND(#REF!,"AAAAAH6331A=")</f>
        <v>#REF!</v>
      </c>
      <c r="CD188" t="e">
        <f>AND(#REF!,"AAAAAH6331E=")</f>
        <v>#REF!</v>
      </c>
      <c r="CE188" t="e">
        <f>AND(#REF!,"AAAAAH6331I=")</f>
        <v>#REF!</v>
      </c>
      <c r="CF188" t="e">
        <f>AND(#REF!,"AAAAAH6331M=")</f>
        <v>#REF!</v>
      </c>
      <c r="CG188" t="e">
        <f>AND(#REF!,"AAAAAH6331Q=")</f>
        <v>#REF!</v>
      </c>
      <c r="CH188" t="e">
        <f>AND(#REF!,"AAAAAH6331U=")</f>
        <v>#REF!</v>
      </c>
      <c r="CI188" t="e">
        <f>AND(#REF!,"AAAAAH6331Y=")</f>
        <v>#REF!</v>
      </c>
      <c r="CJ188" t="e">
        <f>AND(#REF!,"AAAAAH6331c=")</f>
        <v>#REF!</v>
      </c>
      <c r="CK188" t="e">
        <f>AND(#REF!,"AAAAAH6331g=")</f>
        <v>#REF!</v>
      </c>
      <c r="CL188" t="e">
        <f>AND(#REF!,"AAAAAH6331k=")</f>
        <v>#REF!</v>
      </c>
      <c r="CM188" t="e">
        <f>AND(#REF!,"AAAAAH6331o=")</f>
        <v>#REF!</v>
      </c>
      <c r="CN188" t="e">
        <f>AND(#REF!,"AAAAAH6331s=")</f>
        <v>#REF!</v>
      </c>
      <c r="CO188" t="e">
        <f>AND(#REF!,"AAAAAH6331w=")</f>
        <v>#REF!</v>
      </c>
      <c r="CP188" t="e">
        <f>AND(#REF!,"AAAAAH63310=")</f>
        <v>#REF!</v>
      </c>
      <c r="CQ188" t="e">
        <f>AND(#REF!,"AAAAAH63314=")</f>
        <v>#REF!</v>
      </c>
      <c r="CR188" t="e">
        <f>AND(#REF!,"AAAAAH63318=")</f>
        <v>#REF!</v>
      </c>
      <c r="CS188" t="e">
        <f>AND(#REF!,"AAAAAH6332A=")</f>
        <v>#REF!</v>
      </c>
      <c r="CT188" t="e">
        <f>AND(#REF!,"AAAAAH6332E=")</f>
        <v>#REF!</v>
      </c>
      <c r="CU188" t="e">
        <f>AND(#REF!,"AAAAAH6332I=")</f>
        <v>#REF!</v>
      </c>
      <c r="CV188" t="e">
        <f>AND(#REF!,"AAAAAH6332M=")</f>
        <v>#REF!</v>
      </c>
      <c r="CW188" t="e">
        <f>AND(#REF!,"AAAAAH6332Q=")</f>
        <v>#REF!</v>
      </c>
      <c r="CX188" t="e">
        <f>AND(#REF!,"AAAAAH6332U=")</f>
        <v>#REF!</v>
      </c>
      <c r="CY188" t="e">
        <f>AND(#REF!,"AAAAAH6332Y=")</f>
        <v>#REF!</v>
      </c>
      <c r="CZ188" t="e">
        <f>AND(#REF!,"AAAAAH6332c=")</f>
        <v>#REF!</v>
      </c>
      <c r="DA188" t="e">
        <f>AND(#REF!,"AAAAAH6332g=")</f>
        <v>#REF!</v>
      </c>
      <c r="DB188" t="e">
        <f>AND(#REF!,"AAAAAH6332k=")</f>
        <v>#REF!</v>
      </c>
      <c r="DC188" t="e">
        <f>AND(#REF!,"AAAAAH6332o=")</f>
        <v>#REF!</v>
      </c>
      <c r="DD188" t="e">
        <f>AND(#REF!,"AAAAAH6332s=")</f>
        <v>#REF!</v>
      </c>
      <c r="DE188" t="e">
        <f>AND(#REF!,"AAAAAH6332w=")</f>
        <v>#REF!</v>
      </c>
      <c r="DF188" t="e">
        <f>AND(#REF!,"AAAAAH63320=")</f>
        <v>#REF!</v>
      </c>
      <c r="DG188" t="e">
        <f>AND(#REF!,"AAAAAH63324=")</f>
        <v>#REF!</v>
      </c>
      <c r="DH188" t="e">
        <f>AND(#REF!,"AAAAAH63328=")</f>
        <v>#REF!</v>
      </c>
      <c r="DI188" t="e">
        <f>AND(#REF!,"AAAAAH6333A=")</f>
        <v>#REF!</v>
      </c>
      <c r="DJ188" t="e">
        <f>AND(#REF!,"AAAAAH6333E=")</f>
        <v>#REF!</v>
      </c>
      <c r="DK188" t="e">
        <f>AND(#REF!,"AAAAAH6333I=")</f>
        <v>#REF!</v>
      </c>
      <c r="DL188" t="e">
        <f>AND(#REF!,"AAAAAH6333M=")</f>
        <v>#REF!</v>
      </c>
      <c r="DM188" t="e">
        <f>AND(#REF!,"AAAAAH6333Q=")</f>
        <v>#REF!</v>
      </c>
      <c r="DN188" t="e">
        <f>AND(#REF!,"AAAAAH6333U=")</f>
        <v>#REF!</v>
      </c>
      <c r="DO188" t="e">
        <f>AND(#REF!,"AAAAAH6333Y=")</f>
        <v>#REF!</v>
      </c>
      <c r="DP188" t="e">
        <f>AND(#REF!,"AAAAAH6333c=")</f>
        <v>#REF!</v>
      </c>
      <c r="DQ188" t="e">
        <f>AND(#REF!,"AAAAAH6333g=")</f>
        <v>#REF!</v>
      </c>
      <c r="DR188" t="e">
        <f>AND(#REF!,"AAAAAH6333k=")</f>
        <v>#REF!</v>
      </c>
      <c r="DS188" t="e">
        <f>AND(#REF!,"AAAAAH6333o=")</f>
        <v>#REF!</v>
      </c>
      <c r="DT188" t="e">
        <f>AND(#REF!,"AAAAAH6333s=")</f>
        <v>#REF!</v>
      </c>
      <c r="DU188" t="e">
        <f>AND(#REF!,"AAAAAH6333w=")</f>
        <v>#REF!</v>
      </c>
      <c r="DV188" t="e">
        <f>AND(#REF!,"AAAAAH63330=")</f>
        <v>#REF!</v>
      </c>
      <c r="DW188" t="e">
        <f>AND(#REF!,"AAAAAH63334=")</f>
        <v>#REF!</v>
      </c>
      <c r="DX188" t="e">
        <f>AND(#REF!,"AAAAAH63338=")</f>
        <v>#REF!</v>
      </c>
      <c r="DY188" t="e">
        <f>AND(#REF!,"AAAAAH6334A=")</f>
        <v>#REF!</v>
      </c>
      <c r="DZ188" t="e">
        <f>AND(#REF!,"AAAAAH6334E=")</f>
        <v>#REF!</v>
      </c>
      <c r="EA188" t="e">
        <f>AND(#REF!,"AAAAAH6334I=")</f>
        <v>#REF!</v>
      </c>
      <c r="EB188" t="e">
        <f>AND(#REF!,"AAAAAH6334M=")</f>
        <v>#REF!</v>
      </c>
      <c r="EC188" t="e">
        <f>AND(#REF!,"AAAAAH6334Q=")</f>
        <v>#REF!</v>
      </c>
      <c r="ED188" t="e">
        <f>AND(#REF!,"AAAAAH6334U=")</f>
        <v>#REF!</v>
      </c>
      <c r="EE188" t="e">
        <f>AND(#REF!,"AAAAAH6334Y=")</f>
        <v>#REF!</v>
      </c>
      <c r="EF188" t="e">
        <f>AND(#REF!,"AAAAAH6334c=")</f>
        <v>#REF!</v>
      </c>
      <c r="EG188" t="e">
        <f>AND(#REF!,"AAAAAH6334g=")</f>
        <v>#REF!</v>
      </c>
      <c r="EH188" t="e">
        <f>AND(#REF!,"AAAAAH6334k=")</f>
        <v>#REF!</v>
      </c>
      <c r="EI188" t="e">
        <f>AND(#REF!,"AAAAAH6334o=")</f>
        <v>#REF!</v>
      </c>
      <c r="EJ188" t="e">
        <f>AND(#REF!,"AAAAAH6334s=")</f>
        <v>#REF!</v>
      </c>
      <c r="EK188" t="e">
        <f>AND(#REF!,"AAAAAH6334w=")</f>
        <v>#REF!</v>
      </c>
      <c r="EL188" t="e">
        <f>AND(#REF!,"AAAAAH63340=")</f>
        <v>#REF!</v>
      </c>
      <c r="EM188" t="e">
        <f>AND(#REF!,"AAAAAH63344=")</f>
        <v>#REF!</v>
      </c>
      <c r="EN188" t="e">
        <f>AND(#REF!,"AAAAAH63348=")</f>
        <v>#REF!</v>
      </c>
      <c r="EO188" t="e">
        <f>AND(#REF!,"AAAAAH6335A=")</f>
        <v>#REF!</v>
      </c>
      <c r="EP188" t="e">
        <f>AND(#REF!,"AAAAAH6335E=")</f>
        <v>#REF!</v>
      </c>
      <c r="EQ188" t="e">
        <f>AND(#REF!,"AAAAAH6335I=")</f>
        <v>#REF!</v>
      </c>
      <c r="ER188" t="e">
        <f>AND(#REF!,"AAAAAH6335M=")</f>
        <v>#REF!</v>
      </c>
      <c r="ES188" t="e">
        <f>AND(#REF!,"AAAAAH6335Q=")</f>
        <v>#REF!</v>
      </c>
      <c r="ET188" t="e">
        <f>AND(#REF!,"AAAAAH6335U=")</f>
        <v>#REF!</v>
      </c>
      <c r="EU188" t="e">
        <f>AND(#REF!,"AAAAAH6335Y=")</f>
        <v>#REF!</v>
      </c>
      <c r="EV188" t="e">
        <f>AND(#REF!,"AAAAAH6335c=")</f>
        <v>#REF!</v>
      </c>
      <c r="EW188" t="e">
        <f>AND(#REF!,"AAAAAH6335g=")</f>
        <v>#REF!</v>
      </c>
      <c r="EX188" t="e">
        <f>AND(#REF!,"AAAAAH6335k=")</f>
        <v>#REF!</v>
      </c>
      <c r="EY188" t="e">
        <f>AND(#REF!,"AAAAAH6335o=")</f>
        <v>#REF!</v>
      </c>
      <c r="EZ188" t="e">
        <f>AND(#REF!,"AAAAAH6335s=")</f>
        <v>#REF!</v>
      </c>
      <c r="FA188" t="e">
        <f>AND(#REF!,"AAAAAH6335w=")</f>
        <v>#REF!</v>
      </c>
      <c r="FB188" t="e">
        <f>AND(#REF!,"AAAAAH63350=")</f>
        <v>#REF!</v>
      </c>
      <c r="FC188" t="e">
        <f>AND(#REF!,"AAAAAH63354=")</f>
        <v>#REF!</v>
      </c>
      <c r="FD188" t="e">
        <f>AND(#REF!,"AAAAAH63358=")</f>
        <v>#REF!</v>
      </c>
      <c r="FE188" t="e">
        <f>AND(#REF!,"AAAAAH6336A=")</f>
        <v>#REF!</v>
      </c>
      <c r="FF188" t="e">
        <f>AND(#REF!,"AAAAAH6336E=")</f>
        <v>#REF!</v>
      </c>
      <c r="FG188" t="e">
        <f>AND(#REF!,"AAAAAH6336I=")</f>
        <v>#REF!</v>
      </c>
      <c r="FH188" t="e">
        <f>AND(#REF!,"AAAAAH6336M=")</f>
        <v>#REF!</v>
      </c>
      <c r="FI188" t="e">
        <f>AND(#REF!,"AAAAAH6336Q=")</f>
        <v>#REF!</v>
      </c>
      <c r="FJ188" t="e">
        <f>AND(#REF!,"AAAAAH6336U=")</f>
        <v>#REF!</v>
      </c>
      <c r="FK188" t="e">
        <f>AND(#REF!,"AAAAAH6336Y=")</f>
        <v>#REF!</v>
      </c>
      <c r="FL188" t="e">
        <f>AND(#REF!,"AAAAAH6336c=")</f>
        <v>#REF!</v>
      </c>
      <c r="FM188" t="e">
        <f>AND(#REF!,"AAAAAH6336g=")</f>
        <v>#REF!</v>
      </c>
      <c r="FN188" t="e">
        <f>AND(#REF!,"AAAAAH6336k=")</f>
        <v>#REF!</v>
      </c>
      <c r="FO188" t="e">
        <f>AND(#REF!,"AAAAAH6336o=")</f>
        <v>#REF!</v>
      </c>
      <c r="FP188" t="e">
        <f>AND(#REF!,"AAAAAH6336s=")</f>
        <v>#REF!</v>
      </c>
      <c r="FQ188" t="e">
        <f>AND(#REF!,"AAAAAH6336w=")</f>
        <v>#REF!</v>
      </c>
      <c r="FR188" t="e">
        <f>AND(#REF!,"AAAAAH63360=")</f>
        <v>#REF!</v>
      </c>
      <c r="FS188" t="e">
        <f>AND(#REF!,"AAAAAH63364=")</f>
        <v>#REF!</v>
      </c>
      <c r="FT188" t="e">
        <f>AND(#REF!,"AAAAAH63368=")</f>
        <v>#REF!</v>
      </c>
      <c r="FU188" t="e">
        <f>AND(#REF!,"AAAAAH6337A=")</f>
        <v>#REF!</v>
      </c>
      <c r="FV188" t="e">
        <f>AND(#REF!,"AAAAAH6337E=")</f>
        <v>#REF!</v>
      </c>
      <c r="FW188" t="e">
        <f>IF(#REF!,"AAAAAH6337I=",0)</f>
        <v>#REF!</v>
      </c>
      <c r="FX188" t="e">
        <f>AND(#REF!,"AAAAAH6337M=")</f>
        <v>#REF!</v>
      </c>
      <c r="FY188" t="e">
        <f>AND(#REF!,"AAAAAH6337Q=")</f>
        <v>#REF!</v>
      </c>
      <c r="FZ188" t="e">
        <f>AND(#REF!,"AAAAAH6337U=")</f>
        <v>#REF!</v>
      </c>
      <c r="GA188" t="e">
        <f>AND(#REF!,"AAAAAH6337Y=")</f>
        <v>#REF!</v>
      </c>
      <c r="GB188" t="e">
        <f>AND(#REF!,"AAAAAH6337c=")</f>
        <v>#REF!</v>
      </c>
      <c r="GC188" t="e">
        <f>AND(#REF!,"AAAAAH6337g=")</f>
        <v>#REF!</v>
      </c>
      <c r="GD188" t="e">
        <f>AND(#REF!,"AAAAAH6337k=")</f>
        <v>#REF!</v>
      </c>
      <c r="GE188" t="e">
        <f>AND(#REF!,"AAAAAH6337o=")</f>
        <v>#REF!</v>
      </c>
      <c r="GF188" t="e">
        <f>AND(#REF!,"AAAAAH6337s=")</f>
        <v>#REF!</v>
      </c>
      <c r="GG188" t="e">
        <f>AND(#REF!,"AAAAAH6337w=")</f>
        <v>#REF!</v>
      </c>
      <c r="GH188" t="e">
        <f>AND(#REF!,"AAAAAH63370=")</f>
        <v>#REF!</v>
      </c>
      <c r="GI188" t="e">
        <f>AND(#REF!,"AAAAAH63374=")</f>
        <v>#REF!</v>
      </c>
      <c r="GJ188" t="e">
        <f>AND(#REF!,"AAAAAH63378=")</f>
        <v>#REF!</v>
      </c>
      <c r="GK188" t="e">
        <f>AND(#REF!,"AAAAAH6338A=")</f>
        <v>#REF!</v>
      </c>
      <c r="GL188" t="e">
        <f>AND(#REF!,"AAAAAH6338E=")</f>
        <v>#REF!</v>
      </c>
      <c r="GM188" t="e">
        <f>AND(#REF!,"AAAAAH6338I=")</f>
        <v>#REF!</v>
      </c>
      <c r="GN188" t="e">
        <f>AND(#REF!,"AAAAAH6338M=")</f>
        <v>#REF!</v>
      </c>
      <c r="GO188" t="e">
        <f>AND(#REF!,"AAAAAH6338Q=")</f>
        <v>#REF!</v>
      </c>
      <c r="GP188" t="e">
        <f>AND(#REF!,"AAAAAH6338U=")</f>
        <v>#REF!</v>
      </c>
      <c r="GQ188" t="e">
        <f>AND(#REF!,"AAAAAH6338Y=")</f>
        <v>#REF!</v>
      </c>
      <c r="GR188" t="e">
        <f>AND(#REF!,"AAAAAH6338c=")</f>
        <v>#REF!</v>
      </c>
      <c r="GS188" t="e">
        <f>AND(#REF!,"AAAAAH6338g=")</f>
        <v>#REF!</v>
      </c>
      <c r="GT188" t="e">
        <f>AND(#REF!,"AAAAAH6338k=")</f>
        <v>#REF!</v>
      </c>
      <c r="GU188" t="e">
        <f>AND(#REF!,"AAAAAH6338o=")</f>
        <v>#REF!</v>
      </c>
      <c r="GV188" t="e">
        <f>AND(#REF!,"AAAAAH6338s=")</f>
        <v>#REF!</v>
      </c>
      <c r="GW188" t="e">
        <f>AND(#REF!,"AAAAAH6338w=")</f>
        <v>#REF!</v>
      </c>
      <c r="GX188" t="e">
        <f>AND(#REF!,"AAAAAH63380=")</f>
        <v>#REF!</v>
      </c>
      <c r="GY188" t="e">
        <f>AND(#REF!,"AAAAAH63384=")</f>
        <v>#REF!</v>
      </c>
      <c r="GZ188" t="e">
        <f>AND(#REF!,"AAAAAH63388=")</f>
        <v>#REF!</v>
      </c>
      <c r="HA188" t="e">
        <f>AND(#REF!,"AAAAAH6339A=")</f>
        <v>#REF!</v>
      </c>
      <c r="HB188" t="e">
        <f>AND(#REF!,"AAAAAH6339E=")</f>
        <v>#REF!</v>
      </c>
      <c r="HC188" t="e">
        <f>AND(#REF!,"AAAAAH6339I=")</f>
        <v>#REF!</v>
      </c>
      <c r="HD188" t="e">
        <f>AND(#REF!,"AAAAAH6339M=")</f>
        <v>#REF!</v>
      </c>
      <c r="HE188" t="e">
        <f>AND(#REF!,"AAAAAH6339Q=")</f>
        <v>#REF!</v>
      </c>
      <c r="HF188" t="e">
        <f>AND(#REF!,"AAAAAH6339U=")</f>
        <v>#REF!</v>
      </c>
      <c r="HG188" t="e">
        <f>AND(#REF!,"AAAAAH6339Y=")</f>
        <v>#REF!</v>
      </c>
      <c r="HH188" t="e">
        <f>AND(#REF!,"AAAAAH6339c=")</f>
        <v>#REF!</v>
      </c>
      <c r="HI188" t="e">
        <f>AND(#REF!,"AAAAAH6339g=")</f>
        <v>#REF!</v>
      </c>
      <c r="HJ188" t="e">
        <f>AND(#REF!,"AAAAAH6339k=")</f>
        <v>#REF!</v>
      </c>
      <c r="HK188" t="e">
        <f>AND(#REF!,"AAAAAH6339o=")</f>
        <v>#REF!</v>
      </c>
      <c r="HL188" t="e">
        <f>AND(#REF!,"AAAAAH6339s=")</f>
        <v>#REF!</v>
      </c>
      <c r="HM188" t="e">
        <f>AND(#REF!,"AAAAAH6339w=")</f>
        <v>#REF!</v>
      </c>
      <c r="HN188" t="e">
        <f>AND(#REF!,"AAAAAH63390=")</f>
        <v>#REF!</v>
      </c>
      <c r="HO188" t="e">
        <f>AND(#REF!,"AAAAAH63394=")</f>
        <v>#REF!</v>
      </c>
      <c r="HP188" t="e">
        <f>AND(#REF!,"AAAAAH63398=")</f>
        <v>#REF!</v>
      </c>
      <c r="HQ188" t="e">
        <f>AND(#REF!,"AAAAAH633+A=")</f>
        <v>#REF!</v>
      </c>
      <c r="HR188" t="e">
        <f>AND(#REF!,"AAAAAH633+E=")</f>
        <v>#REF!</v>
      </c>
      <c r="HS188" t="e">
        <f>AND(#REF!,"AAAAAH633+I=")</f>
        <v>#REF!</v>
      </c>
      <c r="HT188" t="e">
        <f>AND(#REF!,"AAAAAH633+M=")</f>
        <v>#REF!</v>
      </c>
      <c r="HU188" t="e">
        <f>AND(#REF!,"AAAAAH633+Q=")</f>
        <v>#REF!</v>
      </c>
      <c r="HV188" t="e">
        <f>AND(#REF!,"AAAAAH633+U=")</f>
        <v>#REF!</v>
      </c>
      <c r="HW188" t="e">
        <f>AND(#REF!,"AAAAAH633+Y=")</f>
        <v>#REF!</v>
      </c>
      <c r="HX188" t="e">
        <f>AND(#REF!,"AAAAAH633+c=")</f>
        <v>#REF!</v>
      </c>
      <c r="HY188" t="e">
        <f>AND(#REF!,"AAAAAH633+g=")</f>
        <v>#REF!</v>
      </c>
      <c r="HZ188" t="e">
        <f>AND(#REF!,"AAAAAH633+k=")</f>
        <v>#REF!</v>
      </c>
      <c r="IA188" t="e">
        <f>AND(#REF!,"AAAAAH633+o=")</f>
        <v>#REF!</v>
      </c>
      <c r="IB188" t="e">
        <f>AND(#REF!,"AAAAAH633+s=")</f>
        <v>#REF!</v>
      </c>
      <c r="IC188" t="e">
        <f>AND(#REF!,"AAAAAH633+w=")</f>
        <v>#REF!</v>
      </c>
      <c r="ID188" t="e">
        <f>AND(#REF!,"AAAAAH633+0=")</f>
        <v>#REF!</v>
      </c>
      <c r="IE188" t="e">
        <f>AND(#REF!,"AAAAAH633+4=")</f>
        <v>#REF!</v>
      </c>
      <c r="IF188" t="e">
        <f>AND(#REF!,"AAAAAH633+8=")</f>
        <v>#REF!</v>
      </c>
      <c r="IG188" t="e">
        <f>AND(#REF!,"AAAAAH633/A=")</f>
        <v>#REF!</v>
      </c>
      <c r="IH188" t="e">
        <f>AND(#REF!,"AAAAAH633/E=")</f>
        <v>#REF!</v>
      </c>
      <c r="II188" t="e">
        <f>AND(#REF!,"AAAAAH633/I=")</f>
        <v>#REF!</v>
      </c>
      <c r="IJ188" t="e">
        <f>AND(#REF!,"AAAAAH633/M=")</f>
        <v>#REF!</v>
      </c>
      <c r="IK188" t="e">
        <f>AND(#REF!,"AAAAAH633/Q=")</f>
        <v>#REF!</v>
      </c>
      <c r="IL188" t="e">
        <f>AND(#REF!,"AAAAAH633/U=")</f>
        <v>#REF!</v>
      </c>
      <c r="IM188" t="e">
        <f>AND(#REF!,"AAAAAH633/Y=")</f>
        <v>#REF!</v>
      </c>
      <c r="IN188" t="e">
        <f>AND(#REF!,"AAAAAH633/c=")</f>
        <v>#REF!</v>
      </c>
      <c r="IO188" t="e">
        <f>AND(#REF!,"AAAAAH633/g=")</f>
        <v>#REF!</v>
      </c>
      <c r="IP188" t="e">
        <f>AND(#REF!,"AAAAAH633/k=")</f>
        <v>#REF!</v>
      </c>
      <c r="IQ188" t="e">
        <f>AND(#REF!,"AAAAAH633/o=")</f>
        <v>#REF!</v>
      </c>
      <c r="IR188" t="e">
        <f>AND(#REF!,"AAAAAH633/s=")</f>
        <v>#REF!</v>
      </c>
      <c r="IS188" t="e">
        <f>AND(#REF!,"AAAAAH633/w=")</f>
        <v>#REF!</v>
      </c>
      <c r="IT188" t="e">
        <f>AND(#REF!,"AAAAAH633/0=")</f>
        <v>#REF!</v>
      </c>
      <c r="IU188" t="e">
        <f>AND(#REF!,"AAAAAH633/4=")</f>
        <v>#REF!</v>
      </c>
      <c r="IV188" t="e">
        <f>AND(#REF!,"AAAAAH633/8=")</f>
        <v>#REF!</v>
      </c>
    </row>
    <row r="189" spans="1:256">
      <c r="A189" t="e">
        <f>AND(#REF!,"AAAAAFcfbwA=")</f>
        <v>#REF!</v>
      </c>
      <c r="B189" t="e">
        <f>AND(#REF!,"AAAAAFcfbwE=")</f>
        <v>#REF!</v>
      </c>
      <c r="C189" t="e">
        <f>AND(#REF!,"AAAAAFcfbwI=")</f>
        <v>#REF!</v>
      </c>
      <c r="D189" t="e">
        <f>AND(#REF!,"AAAAAFcfbwM=")</f>
        <v>#REF!</v>
      </c>
      <c r="E189" t="e">
        <f>AND(#REF!,"AAAAAFcfbwQ=")</f>
        <v>#REF!</v>
      </c>
      <c r="F189" t="e">
        <f>AND(#REF!,"AAAAAFcfbwU=")</f>
        <v>#REF!</v>
      </c>
      <c r="G189" t="e">
        <f>AND(#REF!,"AAAAAFcfbwY=")</f>
        <v>#REF!</v>
      </c>
      <c r="H189" t="e">
        <f>AND(#REF!,"AAAAAFcfbwc=")</f>
        <v>#REF!</v>
      </c>
      <c r="I189" t="e">
        <f>AND(#REF!,"AAAAAFcfbwg=")</f>
        <v>#REF!</v>
      </c>
      <c r="J189" t="e">
        <f>AND(#REF!,"AAAAAFcfbwk=")</f>
        <v>#REF!</v>
      </c>
      <c r="K189" t="e">
        <f>AND(#REF!,"AAAAAFcfbwo=")</f>
        <v>#REF!</v>
      </c>
      <c r="L189" t="e">
        <f>AND(#REF!,"AAAAAFcfbws=")</f>
        <v>#REF!</v>
      </c>
      <c r="M189" t="e">
        <f>AND(#REF!,"AAAAAFcfbww=")</f>
        <v>#REF!</v>
      </c>
      <c r="N189" t="e">
        <f>AND(#REF!,"AAAAAFcfbw0=")</f>
        <v>#REF!</v>
      </c>
      <c r="O189" t="e">
        <f>AND(#REF!,"AAAAAFcfbw4=")</f>
        <v>#REF!</v>
      </c>
      <c r="P189" t="e">
        <f>AND(#REF!,"AAAAAFcfbw8=")</f>
        <v>#REF!</v>
      </c>
      <c r="Q189" t="e">
        <f>AND(#REF!,"AAAAAFcfbxA=")</f>
        <v>#REF!</v>
      </c>
      <c r="R189" t="e">
        <f>AND(#REF!,"AAAAAFcfbxE=")</f>
        <v>#REF!</v>
      </c>
      <c r="S189" t="e">
        <f>AND(#REF!,"AAAAAFcfbxI=")</f>
        <v>#REF!</v>
      </c>
      <c r="T189" t="e">
        <f>AND(#REF!,"AAAAAFcfbxM=")</f>
        <v>#REF!</v>
      </c>
      <c r="U189" t="e">
        <f>AND(#REF!,"AAAAAFcfbxQ=")</f>
        <v>#REF!</v>
      </c>
      <c r="V189" t="e">
        <f>AND(#REF!,"AAAAAFcfbxU=")</f>
        <v>#REF!</v>
      </c>
      <c r="W189" t="e">
        <f>AND(#REF!,"AAAAAFcfbxY=")</f>
        <v>#REF!</v>
      </c>
      <c r="X189" t="e">
        <f>AND(#REF!,"AAAAAFcfbxc=")</f>
        <v>#REF!</v>
      </c>
      <c r="Y189" t="e">
        <f>AND(#REF!,"AAAAAFcfbxg=")</f>
        <v>#REF!</v>
      </c>
      <c r="Z189" t="e">
        <f>AND(#REF!,"AAAAAFcfbxk=")</f>
        <v>#REF!</v>
      </c>
      <c r="AA189" t="e">
        <f>AND(#REF!,"AAAAAFcfbxo=")</f>
        <v>#REF!</v>
      </c>
      <c r="AB189" t="e">
        <f>AND(#REF!,"AAAAAFcfbxs=")</f>
        <v>#REF!</v>
      </c>
      <c r="AC189" t="e">
        <f>AND(#REF!,"AAAAAFcfbxw=")</f>
        <v>#REF!</v>
      </c>
      <c r="AD189" t="e">
        <f>AND(#REF!,"AAAAAFcfbx0=")</f>
        <v>#REF!</v>
      </c>
      <c r="AE189" t="e">
        <f>AND(#REF!,"AAAAAFcfbx4=")</f>
        <v>#REF!</v>
      </c>
      <c r="AF189" t="e">
        <f>AND(#REF!,"AAAAAFcfbx8=")</f>
        <v>#REF!</v>
      </c>
      <c r="AG189" t="e">
        <f>AND(#REF!,"AAAAAFcfbyA=")</f>
        <v>#REF!</v>
      </c>
      <c r="AH189" t="e">
        <f>AND(#REF!,"AAAAAFcfbyE=")</f>
        <v>#REF!</v>
      </c>
      <c r="AI189" t="e">
        <f>AND(#REF!,"AAAAAFcfbyI=")</f>
        <v>#REF!</v>
      </c>
      <c r="AJ189" t="e">
        <f>AND(#REF!,"AAAAAFcfbyM=")</f>
        <v>#REF!</v>
      </c>
      <c r="AK189" t="e">
        <f>AND(#REF!,"AAAAAFcfbyQ=")</f>
        <v>#REF!</v>
      </c>
      <c r="AL189" t="e">
        <f>AND(#REF!,"AAAAAFcfbyU=")</f>
        <v>#REF!</v>
      </c>
      <c r="AM189" t="e">
        <f>AND(#REF!,"AAAAAFcfbyY=")</f>
        <v>#REF!</v>
      </c>
      <c r="AN189" t="e">
        <f>AND(#REF!,"AAAAAFcfbyc=")</f>
        <v>#REF!</v>
      </c>
      <c r="AO189" t="e">
        <f>AND(#REF!,"AAAAAFcfbyg=")</f>
        <v>#REF!</v>
      </c>
      <c r="AP189" t="e">
        <f>AND(#REF!,"AAAAAFcfbyk=")</f>
        <v>#REF!</v>
      </c>
      <c r="AQ189" t="e">
        <f>AND(#REF!,"AAAAAFcfbyo=")</f>
        <v>#REF!</v>
      </c>
      <c r="AR189" t="e">
        <f>AND(#REF!,"AAAAAFcfbys=")</f>
        <v>#REF!</v>
      </c>
      <c r="AS189" t="e">
        <f>AND(#REF!,"AAAAAFcfbyw=")</f>
        <v>#REF!</v>
      </c>
      <c r="AT189" t="e">
        <f>AND(#REF!,"AAAAAFcfby0=")</f>
        <v>#REF!</v>
      </c>
      <c r="AU189" t="e">
        <f>AND(#REF!,"AAAAAFcfby4=")</f>
        <v>#REF!</v>
      </c>
      <c r="AV189" t="e">
        <f>AND(#REF!,"AAAAAFcfby8=")</f>
        <v>#REF!</v>
      </c>
      <c r="AW189" t="e">
        <f>AND(#REF!,"AAAAAFcfbzA=")</f>
        <v>#REF!</v>
      </c>
      <c r="AX189" t="e">
        <f>AND(#REF!,"AAAAAFcfbzE=")</f>
        <v>#REF!</v>
      </c>
      <c r="AY189" t="e">
        <f>AND(#REF!,"AAAAAFcfbzI=")</f>
        <v>#REF!</v>
      </c>
      <c r="AZ189" t="e">
        <f>AND(#REF!,"AAAAAFcfbzM=")</f>
        <v>#REF!</v>
      </c>
      <c r="BA189" t="e">
        <f>AND(#REF!,"AAAAAFcfbzQ=")</f>
        <v>#REF!</v>
      </c>
      <c r="BB189" t="e">
        <f>AND(#REF!,"AAAAAFcfbzU=")</f>
        <v>#REF!</v>
      </c>
      <c r="BC189" t="e">
        <f>AND(#REF!,"AAAAAFcfbzY=")</f>
        <v>#REF!</v>
      </c>
      <c r="BD189" t="e">
        <f>AND(#REF!,"AAAAAFcfbzc=")</f>
        <v>#REF!</v>
      </c>
      <c r="BE189" t="e">
        <f>AND(#REF!,"AAAAAFcfbzg=")</f>
        <v>#REF!</v>
      </c>
      <c r="BF189" t="e">
        <f>AND(#REF!,"AAAAAFcfbzk=")</f>
        <v>#REF!</v>
      </c>
      <c r="BG189" t="e">
        <f>AND(#REF!,"AAAAAFcfbzo=")</f>
        <v>#REF!</v>
      </c>
      <c r="BH189" t="e">
        <f>AND(#REF!,"AAAAAFcfbzs=")</f>
        <v>#REF!</v>
      </c>
      <c r="BI189" t="e">
        <f>AND(#REF!,"AAAAAFcfbzw=")</f>
        <v>#REF!</v>
      </c>
      <c r="BJ189" t="e">
        <f>AND(#REF!,"AAAAAFcfbz0=")</f>
        <v>#REF!</v>
      </c>
      <c r="BK189" t="e">
        <f>AND(#REF!,"AAAAAFcfbz4=")</f>
        <v>#REF!</v>
      </c>
      <c r="BL189" t="e">
        <f>AND(#REF!,"AAAAAFcfbz8=")</f>
        <v>#REF!</v>
      </c>
      <c r="BM189" t="e">
        <f>AND(#REF!,"AAAAAFcfb0A=")</f>
        <v>#REF!</v>
      </c>
      <c r="BN189" t="e">
        <f>AND(#REF!,"AAAAAFcfb0E=")</f>
        <v>#REF!</v>
      </c>
      <c r="BO189" t="e">
        <f>AND(#REF!,"AAAAAFcfb0I=")</f>
        <v>#REF!</v>
      </c>
      <c r="BP189" t="e">
        <f>AND(#REF!,"AAAAAFcfb0M=")</f>
        <v>#REF!</v>
      </c>
      <c r="BQ189" t="e">
        <f>AND(#REF!,"AAAAAFcfb0Q=")</f>
        <v>#REF!</v>
      </c>
      <c r="BR189" t="e">
        <f>AND(#REF!,"AAAAAFcfb0U=")</f>
        <v>#REF!</v>
      </c>
      <c r="BS189" t="e">
        <f>AND(#REF!,"AAAAAFcfb0Y=")</f>
        <v>#REF!</v>
      </c>
      <c r="BT189" t="e">
        <f>AND(#REF!,"AAAAAFcfb0c=")</f>
        <v>#REF!</v>
      </c>
      <c r="BU189" t="e">
        <f>AND(#REF!,"AAAAAFcfb0g=")</f>
        <v>#REF!</v>
      </c>
      <c r="BV189" t="e">
        <f>AND(#REF!,"AAAAAFcfb0k=")</f>
        <v>#REF!</v>
      </c>
      <c r="BW189" t="e">
        <f>AND(#REF!,"AAAAAFcfb0o=")</f>
        <v>#REF!</v>
      </c>
      <c r="BX189" t="e">
        <f>AND(#REF!,"AAAAAFcfb0s=")</f>
        <v>#REF!</v>
      </c>
      <c r="BY189" t="e">
        <f>AND(#REF!,"AAAAAFcfb0w=")</f>
        <v>#REF!</v>
      </c>
      <c r="BZ189" t="e">
        <f>AND(#REF!,"AAAAAFcfb00=")</f>
        <v>#REF!</v>
      </c>
      <c r="CA189" t="e">
        <f>AND(#REF!,"AAAAAFcfb04=")</f>
        <v>#REF!</v>
      </c>
      <c r="CB189" t="e">
        <f>AND(#REF!,"AAAAAFcfb08=")</f>
        <v>#REF!</v>
      </c>
      <c r="CC189" t="e">
        <f>AND(#REF!,"AAAAAFcfb1A=")</f>
        <v>#REF!</v>
      </c>
      <c r="CD189" t="e">
        <f>AND(#REF!,"AAAAAFcfb1E=")</f>
        <v>#REF!</v>
      </c>
      <c r="CE189" t="e">
        <f>AND(#REF!,"AAAAAFcfb1I=")</f>
        <v>#REF!</v>
      </c>
      <c r="CF189" t="e">
        <f>AND(#REF!,"AAAAAFcfb1M=")</f>
        <v>#REF!</v>
      </c>
      <c r="CG189" t="e">
        <f>AND(#REF!,"AAAAAFcfb1Q=")</f>
        <v>#REF!</v>
      </c>
      <c r="CH189" t="e">
        <f>AND(#REF!,"AAAAAFcfb1U=")</f>
        <v>#REF!</v>
      </c>
      <c r="CI189" t="e">
        <f>AND(#REF!,"AAAAAFcfb1Y=")</f>
        <v>#REF!</v>
      </c>
      <c r="CJ189" t="e">
        <f>AND(#REF!,"AAAAAFcfb1c=")</f>
        <v>#REF!</v>
      </c>
      <c r="CK189" t="e">
        <f>AND(#REF!,"AAAAAFcfb1g=")</f>
        <v>#REF!</v>
      </c>
      <c r="CL189" t="e">
        <f>AND(#REF!,"AAAAAFcfb1k=")</f>
        <v>#REF!</v>
      </c>
      <c r="CM189" t="e">
        <f>AND(#REF!,"AAAAAFcfb1o=")</f>
        <v>#REF!</v>
      </c>
      <c r="CN189" t="e">
        <f>AND(#REF!,"AAAAAFcfb1s=")</f>
        <v>#REF!</v>
      </c>
      <c r="CO189" t="e">
        <f>AND(#REF!,"AAAAAFcfb1w=")</f>
        <v>#REF!</v>
      </c>
      <c r="CP189" t="e">
        <f>AND(#REF!,"AAAAAFcfb10=")</f>
        <v>#REF!</v>
      </c>
      <c r="CQ189" t="e">
        <f>AND(#REF!,"AAAAAFcfb14=")</f>
        <v>#REF!</v>
      </c>
      <c r="CR189" t="e">
        <f>AND(#REF!,"AAAAAFcfb18=")</f>
        <v>#REF!</v>
      </c>
      <c r="CS189" t="e">
        <f>AND(#REF!,"AAAAAFcfb2A=")</f>
        <v>#REF!</v>
      </c>
      <c r="CT189" t="e">
        <f>AND(#REF!,"AAAAAFcfb2E=")</f>
        <v>#REF!</v>
      </c>
      <c r="CU189" t="e">
        <f>AND(#REF!,"AAAAAFcfb2I=")</f>
        <v>#REF!</v>
      </c>
      <c r="CV189" t="e">
        <f>AND(#REF!,"AAAAAFcfb2M=")</f>
        <v>#REF!</v>
      </c>
      <c r="CW189" t="e">
        <f>AND(#REF!,"AAAAAFcfb2Q=")</f>
        <v>#REF!</v>
      </c>
      <c r="CX189" t="e">
        <f>AND(#REF!,"AAAAAFcfb2U=")</f>
        <v>#REF!</v>
      </c>
      <c r="CY189" t="e">
        <f>AND(#REF!,"AAAAAFcfb2Y=")</f>
        <v>#REF!</v>
      </c>
      <c r="CZ189" t="e">
        <f>AND(#REF!,"AAAAAFcfb2c=")</f>
        <v>#REF!</v>
      </c>
      <c r="DA189" t="e">
        <f>AND(#REF!,"AAAAAFcfb2g=")</f>
        <v>#REF!</v>
      </c>
      <c r="DB189" t="e">
        <f>AND(#REF!,"AAAAAFcfb2k=")</f>
        <v>#REF!</v>
      </c>
      <c r="DC189" t="e">
        <f>AND(#REF!,"AAAAAFcfb2o=")</f>
        <v>#REF!</v>
      </c>
      <c r="DD189" t="e">
        <f>AND(#REF!,"AAAAAFcfb2s=")</f>
        <v>#REF!</v>
      </c>
      <c r="DE189" t="e">
        <f>AND(#REF!,"AAAAAFcfb2w=")</f>
        <v>#REF!</v>
      </c>
      <c r="DF189" t="e">
        <f>AND(#REF!,"AAAAAFcfb20=")</f>
        <v>#REF!</v>
      </c>
      <c r="DG189" t="e">
        <f>AND(#REF!,"AAAAAFcfb24=")</f>
        <v>#REF!</v>
      </c>
      <c r="DH189" t="e">
        <f>AND(#REF!,"AAAAAFcfb28=")</f>
        <v>#REF!</v>
      </c>
      <c r="DI189" t="e">
        <f>AND(#REF!,"AAAAAFcfb3A=")</f>
        <v>#REF!</v>
      </c>
      <c r="DJ189" t="e">
        <f>AND(#REF!,"AAAAAFcfb3E=")</f>
        <v>#REF!</v>
      </c>
      <c r="DK189" t="e">
        <f>AND(#REF!,"AAAAAFcfb3I=")</f>
        <v>#REF!</v>
      </c>
      <c r="DL189" t="e">
        <f>AND(#REF!,"AAAAAFcfb3M=")</f>
        <v>#REF!</v>
      </c>
      <c r="DM189" t="e">
        <f>AND(#REF!,"AAAAAFcfb3Q=")</f>
        <v>#REF!</v>
      </c>
      <c r="DN189" t="e">
        <f>AND(#REF!,"AAAAAFcfb3U=")</f>
        <v>#REF!</v>
      </c>
      <c r="DO189" t="e">
        <f>AND(#REF!,"AAAAAFcfb3Y=")</f>
        <v>#REF!</v>
      </c>
      <c r="DP189" t="e">
        <f>AND(#REF!,"AAAAAFcfb3c=")</f>
        <v>#REF!</v>
      </c>
      <c r="DQ189" t="e">
        <f>AND(#REF!,"AAAAAFcfb3g=")</f>
        <v>#REF!</v>
      </c>
      <c r="DR189" t="e">
        <f>AND(#REF!,"AAAAAFcfb3k=")</f>
        <v>#REF!</v>
      </c>
      <c r="DS189" t="e">
        <f>AND(#REF!,"AAAAAFcfb3o=")</f>
        <v>#REF!</v>
      </c>
      <c r="DT189" t="e">
        <f>AND(#REF!,"AAAAAFcfb3s=")</f>
        <v>#REF!</v>
      </c>
      <c r="DU189" t="e">
        <f>AND(#REF!,"AAAAAFcfb3w=")</f>
        <v>#REF!</v>
      </c>
      <c r="DV189" t="e">
        <f>AND(#REF!,"AAAAAFcfb30=")</f>
        <v>#REF!</v>
      </c>
      <c r="DW189" t="e">
        <f>AND(#REF!,"AAAAAFcfb34=")</f>
        <v>#REF!</v>
      </c>
      <c r="DX189" t="e">
        <f>AND(#REF!,"AAAAAFcfb38=")</f>
        <v>#REF!</v>
      </c>
      <c r="DY189" t="e">
        <f>AND(#REF!,"AAAAAFcfb4A=")</f>
        <v>#REF!</v>
      </c>
      <c r="DZ189" t="e">
        <f>AND(#REF!,"AAAAAFcfb4E=")</f>
        <v>#REF!</v>
      </c>
      <c r="EA189" t="e">
        <f>AND(#REF!,"AAAAAFcfb4I=")</f>
        <v>#REF!</v>
      </c>
      <c r="EB189" t="e">
        <f>AND(#REF!,"AAAAAFcfb4M=")</f>
        <v>#REF!</v>
      </c>
      <c r="EC189" t="e">
        <f>AND(#REF!,"AAAAAFcfb4Q=")</f>
        <v>#REF!</v>
      </c>
      <c r="ED189" t="e">
        <f>AND(#REF!,"AAAAAFcfb4U=")</f>
        <v>#REF!</v>
      </c>
      <c r="EE189" t="e">
        <f>AND(#REF!,"AAAAAFcfb4Y=")</f>
        <v>#REF!</v>
      </c>
      <c r="EF189" t="e">
        <f>AND(#REF!,"AAAAAFcfb4c=")</f>
        <v>#REF!</v>
      </c>
      <c r="EG189" t="e">
        <f>AND(#REF!,"AAAAAFcfb4g=")</f>
        <v>#REF!</v>
      </c>
      <c r="EH189" t="e">
        <f>AND(#REF!,"AAAAAFcfb4k=")</f>
        <v>#REF!</v>
      </c>
      <c r="EI189" t="e">
        <f>AND(#REF!,"AAAAAFcfb4o=")</f>
        <v>#REF!</v>
      </c>
      <c r="EJ189" t="e">
        <f>AND(#REF!,"AAAAAFcfb4s=")</f>
        <v>#REF!</v>
      </c>
      <c r="EK189" t="e">
        <f>AND(#REF!,"AAAAAFcfb4w=")</f>
        <v>#REF!</v>
      </c>
      <c r="EL189" t="e">
        <f>AND(#REF!,"AAAAAFcfb40=")</f>
        <v>#REF!</v>
      </c>
      <c r="EM189" t="e">
        <f>AND(#REF!,"AAAAAFcfb44=")</f>
        <v>#REF!</v>
      </c>
      <c r="EN189" t="e">
        <f>AND(#REF!,"AAAAAFcfb48=")</f>
        <v>#REF!</v>
      </c>
      <c r="EO189" t="e">
        <f>AND(#REF!,"AAAAAFcfb5A=")</f>
        <v>#REF!</v>
      </c>
      <c r="EP189" t="e">
        <f>AND(#REF!,"AAAAAFcfb5E=")</f>
        <v>#REF!</v>
      </c>
      <c r="EQ189" t="e">
        <f>AND(#REF!,"AAAAAFcfb5I=")</f>
        <v>#REF!</v>
      </c>
      <c r="ER189" t="e">
        <f>AND(#REF!,"AAAAAFcfb5M=")</f>
        <v>#REF!</v>
      </c>
      <c r="ES189" t="e">
        <f>AND(#REF!,"AAAAAFcfb5Q=")</f>
        <v>#REF!</v>
      </c>
      <c r="ET189" t="e">
        <f>AND(#REF!,"AAAAAFcfb5U=")</f>
        <v>#REF!</v>
      </c>
      <c r="EU189" t="e">
        <f>IF(#REF!,"AAAAAFcfb5Y=",0)</f>
        <v>#REF!</v>
      </c>
      <c r="EV189" t="e">
        <f>AND(#REF!,"AAAAAFcfb5c=")</f>
        <v>#REF!</v>
      </c>
      <c r="EW189" t="e">
        <f>AND(#REF!,"AAAAAFcfb5g=")</f>
        <v>#REF!</v>
      </c>
      <c r="EX189" t="e">
        <f>AND(#REF!,"AAAAAFcfb5k=")</f>
        <v>#REF!</v>
      </c>
      <c r="EY189" t="e">
        <f>AND(#REF!,"AAAAAFcfb5o=")</f>
        <v>#REF!</v>
      </c>
      <c r="EZ189" t="e">
        <f>AND(#REF!,"AAAAAFcfb5s=")</f>
        <v>#REF!</v>
      </c>
      <c r="FA189" t="e">
        <f>AND(#REF!,"AAAAAFcfb5w=")</f>
        <v>#REF!</v>
      </c>
      <c r="FB189" t="e">
        <f>AND(#REF!,"AAAAAFcfb50=")</f>
        <v>#REF!</v>
      </c>
      <c r="FC189" t="e">
        <f>AND(#REF!,"AAAAAFcfb54=")</f>
        <v>#REF!</v>
      </c>
      <c r="FD189" t="e">
        <f>AND(#REF!,"AAAAAFcfb58=")</f>
        <v>#REF!</v>
      </c>
      <c r="FE189" t="e">
        <f>AND(#REF!,"AAAAAFcfb6A=")</f>
        <v>#REF!</v>
      </c>
      <c r="FF189" t="e">
        <f>AND(#REF!,"AAAAAFcfb6E=")</f>
        <v>#REF!</v>
      </c>
      <c r="FG189" t="e">
        <f>AND(#REF!,"AAAAAFcfb6I=")</f>
        <v>#REF!</v>
      </c>
      <c r="FH189" t="e">
        <f>AND(#REF!,"AAAAAFcfb6M=")</f>
        <v>#REF!</v>
      </c>
      <c r="FI189" t="e">
        <f>AND(#REF!,"AAAAAFcfb6Q=")</f>
        <v>#REF!</v>
      </c>
      <c r="FJ189" t="e">
        <f>AND(#REF!,"AAAAAFcfb6U=")</f>
        <v>#REF!</v>
      </c>
      <c r="FK189" t="e">
        <f>AND(#REF!,"AAAAAFcfb6Y=")</f>
        <v>#REF!</v>
      </c>
      <c r="FL189" t="e">
        <f>AND(#REF!,"AAAAAFcfb6c=")</f>
        <v>#REF!</v>
      </c>
      <c r="FM189" t="e">
        <f>AND(#REF!,"AAAAAFcfb6g=")</f>
        <v>#REF!</v>
      </c>
      <c r="FN189" t="e">
        <f>AND(#REF!,"AAAAAFcfb6k=")</f>
        <v>#REF!</v>
      </c>
      <c r="FO189" t="e">
        <f>AND(#REF!,"AAAAAFcfb6o=")</f>
        <v>#REF!</v>
      </c>
      <c r="FP189" t="e">
        <f>AND(#REF!,"AAAAAFcfb6s=")</f>
        <v>#REF!</v>
      </c>
      <c r="FQ189" t="e">
        <f>AND(#REF!,"AAAAAFcfb6w=")</f>
        <v>#REF!</v>
      </c>
      <c r="FR189" t="e">
        <f>AND(#REF!,"AAAAAFcfb60=")</f>
        <v>#REF!</v>
      </c>
      <c r="FS189" t="e">
        <f>AND(#REF!,"AAAAAFcfb64=")</f>
        <v>#REF!</v>
      </c>
      <c r="FT189" t="e">
        <f>AND(#REF!,"AAAAAFcfb68=")</f>
        <v>#REF!</v>
      </c>
      <c r="FU189" t="e">
        <f>AND(#REF!,"AAAAAFcfb7A=")</f>
        <v>#REF!</v>
      </c>
      <c r="FV189" t="e">
        <f>AND(#REF!,"AAAAAFcfb7E=")</f>
        <v>#REF!</v>
      </c>
      <c r="FW189" t="e">
        <f>AND(#REF!,"AAAAAFcfb7I=")</f>
        <v>#REF!</v>
      </c>
      <c r="FX189" t="e">
        <f>AND(#REF!,"AAAAAFcfb7M=")</f>
        <v>#REF!</v>
      </c>
      <c r="FY189" t="e">
        <f>AND(#REF!,"AAAAAFcfb7Q=")</f>
        <v>#REF!</v>
      </c>
      <c r="FZ189" t="e">
        <f>AND(#REF!,"AAAAAFcfb7U=")</f>
        <v>#REF!</v>
      </c>
      <c r="GA189" t="e">
        <f>AND(#REF!,"AAAAAFcfb7Y=")</f>
        <v>#REF!</v>
      </c>
      <c r="GB189" t="e">
        <f>AND(#REF!,"AAAAAFcfb7c=")</f>
        <v>#REF!</v>
      </c>
      <c r="GC189" t="e">
        <f>AND(#REF!,"AAAAAFcfb7g=")</f>
        <v>#REF!</v>
      </c>
      <c r="GD189" t="e">
        <f>AND(#REF!,"AAAAAFcfb7k=")</f>
        <v>#REF!</v>
      </c>
      <c r="GE189" t="e">
        <f>AND(#REF!,"AAAAAFcfb7o=")</f>
        <v>#REF!</v>
      </c>
      <c r="GF189" t="e">
        <f>AND(#REF!,"AAAAAFcfb7s=")</f>
        <v>#REF!</v>
      </c>
      <c r="GG189" t="e">
        <f>AND(#REF!,"AAAAAFcfb7w=")</f>
        <v>#REF!</v>
      </c>
      <c r="GH189" t="e">
        <f>AND(#REF!,"AAAAAFcfb70=")</f>
        <v>#REF!</v>
      </c>
      <c r="GI189" t="e">
        <f>AND(#REF!,"AAAAAFcfb74=")</f>
        <v>#REF!</v>
      </c>
      <c r="GJ189" t="e">
        <f>AND(#REF!,"AAAAAFcfb78=")</f>
        <v>#REF!</v>
      </c>
      <c r="GK189" t="e">
        <f>AND(#REF!,"AAAAAFcfb8A=")</f>
        <v>#REF!</v>
      </c>
      <c r="GL189" t="e">
        <f>AND(#REF!,"AAAAAFcfb8E=")</f>
        <v>#REF!</v>
      </c>
      <c r="GM189" t="e">
        <f>AND(#REF!,"AAAAAFcfb8I=")</f>
        <v>#REF!</v>
      </c>
      <c r="GN189" t="e">
        <f>AND(#REF!,"AAAAAFcfb8M=")</f>
        <v>#REF!</v>
      </c>
      <c r="GO189" t="e">
        <f>AND(#REF!,"AAAAAFcfb8Q=")</f>
        <v>#REF!</v>
      </c>
      <c r="GP189" t="e">
        <f>AND(#REF!,"AAAAAFcfb8U=")</f>
        <v>#REF!</v>
      </c>
      <c r="GQ189" t="e">
        <f>AND(#REF!,"AAAAAFcfb8Y=")</f>
        <v>#REF!</v>
      </c>
      <c r="GR189" t="e">
        <f>AND(#REF!,"AAAAAFcfb8c=")</f>
        <v>#REF!</v>
      </c>
      <c r="GS189" t="e">
        <f>AND(#REF!,"AAAAAFcfb8g=")</f>
        <v>#REF!</v>
      </c>
      <c r="GT189" t="e">
        <f>AND(#REF!,"AAAAAFcfb8k=")</f>
        <v>#REF!</v>
      </c>
      <c r="GU189" t="e">
        <f>AND(#REF!,"AAAAAFcfb8o=")</f>
        <v>#REF!</v>
      </c>
      <c r="GV189" t="e">
        <f>AND(#REF!,"AAAAAFcfb8s=")</f>
        <v>#REF!</v>
      </c>
      <c r="GW189" t="e">
        <f>AND(#REF!,"AAAAAFcfb8w=")</f>
        <v>#REF!</v>
      </c>
      <c r="GX189" t="e">
        <f>AND(#REF!,"AAAAAFcfb80=")</f>
        <v>#REF!</v>
      </c>
      <c r="GY189" t="e">
        <f>AND(#REF!,"AAAAAFcfb84=")</f>
        <v>#REF!</v>
      </c>
      <c r="GZ189" t="e">
        <f>AND(#REF!,"AAAAAFcfb88=")</f>
        <v>#REF!</v>
      </c>
      <c r="HA189" t="e">
        <f>AND(#REF!,"AAAAAFcfb9A=")</f>
        <v>#REF!</v>
      </c>
      <c r="HB189" t="e">
        <f>AND(#REF!,"AAAAAFcfb9E=")</f>
        <v>#REF!</v>
      </c>
      <c r="HC189" t="e">
        <f>AND(#REF!,"AAAAAFcfb9I=")</f>
        <v>#REF!</v>
      </c>
      <c r="HD189" t="e">
        <f>AND(#REF!,"AAAAAFcfb9M=")</f>
        <v>#REF!</v>
      </c>
      <c r="HE189" t="e">
        <f>AND(#REF!,"AAAAAFcfb9Q=")</f>
        <v>#REF!</v>
      </c>
      <c r="HF189" t="e">
        <f>AND(#REF!,"AAAAAFcfb9U=")</f>
        <v>#REF!</v>
      </c>
      <c r="HG189" t="e">
        <f>AND(#REF!,"AAAAAFcfb9Y=")</f>
        <v>#REF!</v>
      </c>
      <c r="HH189" t="e">
        <f>AND(#REF!,"AAAAAFcfb9c=")</f>
        <v>#REF!</v>
      </c>
      <c r="HI189" t="e">
        <f>AND(#REF!,"AAAAAFcfb9g=")</f>
        <v>#REF!</v>
      </c>
      <c r="HJ189" t="e">
        <f>AND(#REF!,"AAAAAFcfb9k=")</f>
        <v>#REF!</v>
      </c>
      <c r="HK189" t="e">
        <f>AND(#REF!,"AAAAAFcfb9o=")</f>
        <v>#REF!</v>
      </c>
      <c r="HL189" t="e">
        <f>AND(#REF!,"AAAAAFcfb9s=")</f>
        <v>#REF!</v>
      </c>
      <c r="HM189" t="e">
        <f>AND(#REF!,"AAAAAFcfb9w=")</f>
        <v>#REF!</v>
      </c>
      <c r="HN189" t="e">
        <f>AND(#REF!,"AAAAAFcfb90=")</f>
        <v>#REF!</v>
      </c>
      <c r="HO189" t="e">
        <f>AND(#REF!,"AAAAAFcfb94=")</f>
        <v>#REF!</v>
      </c>
      <c r="HP189" t="e">
        <f>AND(#REF!,"AAAAAFcfb98=")</f>
        <v>#REF!</v>
      </c>
      <c r="HQ189" t="e">
        <f>AND(#REF!,"AAAAAFcfb+A=")</f>
        <v>#REF!</v>
      </c>
      <c r="HR189" t="e">
        <f>AND(#REF!,"AAAAAFcfb+E=")</f>
        <v>#REF!</v>
      </c>
      <c r="HS189" t="e">
        <f>AND(#REF!,"AAAAAFcfb+I=")</f>
        <v>#REF!</v>
      </c>
      <c r="HT189" t="e">
        <f>AND(#REF!,"AAAAAFcfb+M=")</f>
        <v>#REF!</v>
      </c>
      <c r="HU189" t="e">
        <f>AND(#REF!,"AAAAAFcfb+Q=")</f>
        <v>#REF!</v>
      </c>
      <c r="HV189" t="e">
        <f>AND(#REF!,"AAAAAFcfb+U=")</f>
        <v>#REF!</v>
      </c>
      <c r="HW189" t="e">
        <f>AND(#REF!,"AAAAAFcfb+Y=")</f>
        <v>#REF!</v>
      </c>
      <c r="HX189" t="e">
        <f>AND(#REF!,"AAAAAFcfb+c=")</f>
        <v>#REF!</v>
      </c>
      <c r="HY189" t="e">
        <f>AND(#REF!,"AAAAAFcfb+g=")</f>
        <v>#REF!</v>
      </c>
      <c r="HZ189" t="e">
        <f>AND(#REF!,"AAAAAFcfb+k=")</f>
        <v>#REF!</v>
      </c>
      <c r="IA189" t="e">
        <f>AND(#REF!,"AAAAAFcfb+o=")</f>
        <v>#REF!</v>
      </c>
      <c r="IB189" t="e">
        <f>AND(#REF!,"AAAAAFcfb+s=")</f>
        <v>#REF!</v>
      </c>
      <c r="IC189" t="e">
        <f>AND(#REF!,"AAAAAFcfb+w=")</f>
        <v>#REF!</v>
      </c>
      <c r="ID189" t="e">
        <f>AND(#REF!,"AAAAAFcfb+0=")</f>
        <v>#REF!</v>
      </c>
      <c r="IE189" t="e">
        <f>AND(#REF!,"AAAAAFcfb+4=")</f>
        <v>#REF!</v>
      </c>
      <c r="IF189" t="e">
        <f>AND(#REF!,"AAAAAFcfb+8=")</f>
        <v>#REF!</v>
      </c>
      <c r="IG189" t="e">
        <f>AND(#REF!,"AAAAAFcfb/A=")</f>
        <v>#REF!</v>
      </c>
      <c r="IH189" t="e">
        <f>AND(#REF!,"AAAAAFcfb/E=")</f>
        <v>#REF!</v>
      </c>
      <c r="II189" t="e">
        <f>AND(#REF!,"AAAAAFcfb/I=")</f>
        <v>#REF!</v>
      </c>
      <c r="IJ189" t="e">
        <f>AND(#REF!,"AAAAAFcfb/M=")</f>
        <v>#REF!</v>
      </c>
      <c r="IK189" t="e">
        <f>AND(#REF!,"AAAAAFcfb/Q=")</f>
        <v>#REF!</v>
      </c>
      <c r="IL189" t="e">
        <f>AND(#REF!,"AAAAAFcfb/U=")</f>
        <v>#REF!</v>
      </c>
      <c r="IM189" t="e">
        <f>AND(#REF!,"AAAAAFcfb/Y=")</f>
        <v>#REF!</v>
      </c>
      <c r="IN189" t="e">
        <f>AND(#REF!,"AAAAAFcfb/c=")</f>
        <v>#REF!</v>
      </c>
      <c r="IO189" t="e">
        <f>AND(#REF!,"AAAAAFcfb/g=")</f>
        <v>#REF!</v>
      </c>
      <c r="IP189" t="e">
        <f>AND(#REF!,"AAAAAFcfb/k=")</f>
        <v>#REF!</v>
      </c>
      <c r="IQ189" t="e">
        <f>AND(#REF!,"AAAAAFcfb/o=")</f>
        <v>#REF!</v>
      </c>
      <c r="IR189" t="e">
        <f>AND(#REF!,"AAAAAFcfb/s=")</f>
        <v>#REF!</v>
      </c>
      <c r="IS189" t="e">
        <f>AND(#REF!,"AAAAAFcfb/w=")</f>
        <v>#REF!</v>
      </c>
      <c r="IT189" t="e">
        <f>AND(#REF!,"AAAAAFcfb/0=")</f>
        <v>#REF!</v>
      </c>
      <c r="IU189" t="e">
        <f>AND(#REF!,"AAAAAFcfb/4=")</f>
        <v>#REF!</v>
      </c>
      <c r="IV189" t="e">
        <f>AND(#REF!,"AAAAAFcfb/8=")</f>
        <v>#REF!</v>
      </c>
    </row>
    <row r="190" spans="1:256">
      <c r="A190" t="e">
        <f>AND(#REF!,"AAAAAH/bjgA=")</f>
        <v>#REF!</v>
      </c>
      <c r="B190" t="e">
        <f>AND(#REF!,"AAAAAH/bjgE=")</f>
        <v>#REF!</v>
      </c>
      <c r="C190" t="e">
        <f>AND(#REF!,"AAAAAH/bjgI=")</f>
        <v>#REF!</v>
      </c>
      <c r="D190" t="e">
        <f>AND(#REF!,"AAAAAH/bjgM=")</f>
        <v>#REF!</v>
      </c>
      <c r="E190" t="e">
        <f>AND(#REF!,"AAAAAH/bjgQ=")</f>
        <v>#REF!</v>
      </c>
      <c r="F190" t="e">
        <f>AND(#REF!,"AAAAAH/bjgU=")</f>
        <v>#REF!</v>
      </c>
      <c r="G190" t="e">
        <f>AND(#REF!,"AAAAAH/bjgY=")</f>
        <v>#REF!</v>
      </c>
      <c r="H190" t="e">
        <f>AND(#REF!,"AAAAAH/bjgc=")</f>
        <v>#REF!</v>
      </c>
      <c r="I190" t="e">
        <f>AND(#REF!,"AAAAAH/bjgg=")</f>
        <v>#REF!</v>
      </c>
      <c r="J190" t="e">
        <f>AND(#REF!,"AAAAAH/bjgk=")</f>
        <v>#REF!</v>
      </c>
      <c r="K190" t="e">
        <f>AND(#REF!,"AAAAAH/bjgo=")</f>
        <v>#REF!</v>
      </c>
      <c r="L190" t="e">
        <f>AND(#REF!,"AAAAAH/bjgs=")</f>
        <v>#REF!</v>
      </c>
      <c r="M190" t="e">
        <f>AND(#REF!,"AAAAAH/bjgw=")</f>
        <v>#REF!</v>
      </c>
      <c r="N190" t="e">
        <f>AND(#REF!,"AAAAAH/bjg0=")</f>
        <v>#REF!</v>
      </c>
      <c r="O190" t="e">
        <f>AND(#REF!,"AAAAAH/bjg4=")</f>
        <v>#REF!</v>
      </c>
      <c r="P190" t="e">
        <f>AND(#REF!,"AAAAAH/bjg8=")</f>
        <v>#REF!</v>
      </c>
      <c r="Q190" t="e">
        <f>AND(#REF!,"AAAAAH/bjhA=")</f>
        <v>#REF!</v>
      </c>
      <c r="R190" t="e">
        <f>AND(#REF!,"AAAAAH/bjhE=")</f>
        <v>#REF!</v>
      </c>
      <c r="S190" t="e">
        <f>AND(#REF!,"AAAAAH/bjhI=")</f>
        <v>#REF!</v>
      </c>
      <c r="T190" t="e">
        <f>AND(#REF!,"AAAAAH/bjhM=")</f>
        <v>#REF!</v>
      </c>
      <c r="U190" t="e">
        <f>AND(#REF!,"AAAAAH/bjhQ=")</f>
        <v>#REF!</v>
      </c>
      <c r="V190" t="e">
        <f>AND(#REF!,"AAAAAH/bjhU=")</f>
        <v>#REF!</v>
      </c>
      <c r="W190" t="e">
        <f>AND(#REF!,"AAAAAH/bjhY=")</f>
        <v>#REF!</v>
      </c>
      <c r="X190" t="e">
        <f>AND(#REF!,"AAAAAH/bjhc=")</f>
        <v>#REF!</v>
      </c>
      <c r="Y190" t="e">
        <f>AND(#REF!,"AAAAAH/bjhg=")</f>
        <v>#REF!</v>
      </c>
      <c r="Z190" t="e">
        <f>AND(#REF!,"AAAAAH/bjhk=")</f>
        <v>#REF!</v>
      </c>
      <c r="AA190" t="e">
        <f>AND(#REF!,"AAAAAH/bjho=")</f>
        <v>#REF!</v>
      </c>
      <c r="AB190" t="e">
        <f>AND(#REF!,"AAAAAH/bjhs=")</f>
        <v>#REF!</v>
      </c>
      <c r="AC190" t="e">
        <f>AND(#REF!,"AAAAAH/bjhw=")</f>
        <v>#REF!</v>
      </c>
      <c r="AD190" t="e">
        <f>AND(#REF!,"AAAAAH/bjh0=")</f>
        <v>#REF!</v>
      </c>
      <c r="AE190" t="e">
        <f>AND(#REF!,"AAAAAH/bjh4=")</f>
        <v>#REF!</v>
      </c>
      <c r="AF190" t="e">
        <f>AND(#REF!,"AAAAAH/bjh8=")</f>
        <v>#REF!</v>
      </c>
      <c r="AG190" t="e">
        <f>AND(#REF!,"AAAAAH/bjiA=")</f>
        <v>#REF!</v>
      </c>
      <c r="AH190" t="e">
        <f>AND(#REF!,"AAAAAH/bjiE=")</f>
        <v>#REF!</v>
      </c>
      <c r="AI190" t="e">
        <f>AND(#REF!,"AAAAAH/bjiI=")</f>
        <v>#REF!</v>
      </c>
      <c r="AJ190" t="e">
        <f>AND(#REF!,"AAAAAH/bjiM=")</f>
        <v>#REF!</v>
      </c>
      <c r="AK190" t="e">
        <f>AND(#REF!,"AAAAAH/bjiQ=")</f>
        <v>#REF!</v>
      </c>
      <c r="AL190" t="e">
        <f>AND(#REF!,"AAAAAH/bjiU=")</f>
        <v>#REF!</v>
      </c>
      <c r="AM190" t="e">
        <f>AND(#REF!,"AAAAAH/bjiY=")</f>
        <v>#REF!</v>
      </c>
      <c r="AN190" t="e">
        <f>AND(#REF!,"AAAAAH/bjic=")</f>
        <v>#REF!</v>
      </c>
      <c r="AO190" t="e">
        <f>AND(#REF!,"AAAAAH/bjig=")</f>
        <v>#REF!</v>
      </c>
      <c r="AP190" t="e">
        <f>AND(#REF!,"AAAAAH/bjik=")</f>
        <v>#REF!</v>
      </c>
      <c r="AQ190" t="e">
        <f>AND(#REF!,"AAAAAH/bjio=")</f>
        <v>#REF!</v>
      </c>
      <c r="AR190" t="e">
        <f>AND(#REF!,"AAAAAH/bjis=")</f>
        <v>#REF!</v>
      </c>
      <c r="AS190" t="e">
        <f>AND(#REF!,"AAAAAH/bjiw=")</f>
        <v>#REF!</v>
      </c>
      <c r="AT190" t="e">
        <f>AND(#REF!,"AAAAAH/bji0=")</f>
        <v>#REF!</v>
      </c>
      <c r="AU190" t="e">
        <f>AND(#REF!,"AAAAAH/bji4=")</f>
        <v>#REF!</v>
      </c>
      <c r="AV190" t="e">
        <f>AND(#REF!,"AAAAAH/bji8=")</f>
        <v>#REF!</v>
      </c>
      <c r="AW190" t="e">
        <f>AND(#REF!,"AAAAAH/bjjA=")</f>
        <v>#REF!</v>
      </c>
      <c r="AX190" t="e">
        <f>AND(#REF!,"AAAAAH/bjjE=")</f>
        <v>#REF!</v>
      </c>
      <c r="AY190" t="e">
        <f>AND(#REF!,"AAAAAH/bjjI=")</f>
        <v>#REF!</v>
      </c>
      <c r="AZ190" t="e">
        <f>AND(#REF!,"AAAAAH/bjjM=")</f>
        <v>#REF!</v>
      </c>
      <c r="BA190" t="e">
        <f>AND(#REF!,"AAAAAH/bjjQ=")</f>
        <v>#REF!</v>
      </c>
      <c r="BB190" t="e">
        <f>AND(#REF!,"AAAAAH/bjjU=")</f>
        <v>#REF!</v>
      </c>
      <c r="BC190" t="e">
        <f>AND(#REF!,"AAAAAH/bjjY=")</f>
        <v>#REF!</v>
      </c>
      <c r="BD190" t="e">
        <f>AND(#REF!,"AAAAAH/bjjc=")</f>
        <v>#REF!</v>
      </c>
      <c r="BE190" t="e">
        <f>AND(#REF!,"AAAAAH/bjjg=")</f>
        <v>#REF!</v>
      </c>
      <c r="BF190" t="e">
        <f>AND(#REF!,"AAAAAH/bjjk=")</f>
        <v>#REF!</v>
      </c>
      <c r="BG190" t="e">
        <f>AND(#REF!,"AAAAAH/bjjo=")</f>
        <v>#REF!</v>
      </c>
      <c r="BH190" t="e">
        <f>AND(#REF!,"AAAAAH/bjjs=")</f>
        <v>#REF!</v>
      </c>
      <c r="BI190" t="e">
        <f>AND(#REF!,"AAAAAH/bjjw=")</f>
        <v>#REF!</v>
      </c>
      <c r="BJ190" t="e">
        <f>AND(#REF!,"AAAAAH/bjj0=")</f>
        <v>#REF!</v>
      </c>
      <c r="BK190" t="e">
        <f>AND(#REF!,"AAAAAH/bjj4=")</f>
        <v>#REF!</v>
      </c>
      <c r="BL190" t="e">
        <f>AND(#REF!,"AAAAAH/bjj8=")</f>
        <v>#REF!</v>
      </c>
      <c r="BM190" t="e">
        <f>AND(#REF!,"AAAAAH/bjkA=")</f>
        <v>#REF!</v>
      </c>
      <c r="BN190" t="e">
        <f>AND(#REF!,"AAAAAH/bjkE=")</f>
        <v>#REF!</v>
      </c>
      <c r="BO190" t="e">
        <f>AND(#REF!,"AAAAAH/bjkI=")</f>
        <v>#REF!</v>
      </c>
      <c r="BP190" t="e">
        <f>AND(#REF!,"AAAAAH/bjkM=")</f>
        <v>#REF!</v>
      </c>
      <c r="BQ190" t="e">
        <f>AND(#REF!,"AAAAAH/bjkQ=")</f>
        <v>#REF!</v>
      </c>
      <c r="BR190" t="e">
        <f>AND(#REF!,"AAAAAH/bjkU=")</f>
        <v>#REF!</v>
      </c>
      <c r="BS190" t="e">
        <f>AND(#REF!,"AAAAAH/bjkY=")</f>
        <v>#REF!</v>
      </c>
      <c r="BT190" t="e">
        <f>AND(#REF!,"AAAAAH/bjkc=")</f>
        <v>#REF!</v>
      </c>
      <c r="BU190" t="e">
        <f>AND(#REF!,"AAAAAH/bjkg=")</f>
        <v>#REF!</v>
      </c>
      <c r="BV190" t="e">
        <f>AND(#REF!,"AAAAAH/bjkk=")</f>
        <v>#REF!</v>
      </c>
      <c r="BW190" t="e">
        <f>AND(#REF!,"AAAAAH/bjko=")</f>
        <v>#REF!</v>
      </c>
      <c r="BX190" t="e">
        <f>AND(#REF!,"AAAAAH/bjks=")</f>
        <v>#REF!</v>
      </c>
      <c r="BY190" t="e">
        <f>AND(#REF!,"AAAAAH/bjkw=")</f>
        <v>#REF!</v>
      </c>
      <c r="BZ190" t="e">
        <f>AND(#REF!,"AAAAAH/bjk0=")</f>
        <v>#REF!</v>
      </c>
      <c r="CA190" t="e">
        <f>AND(#REF!,"AAAAAH/bjk4=")</f>
        <v>#REF!</v>
      </c>
      <c r="CB190" t="e">
        <f>AND(#REF!,"AAAAAH/bjk8=")</f>
        <v>#REF!</v>
      </c>
      <c r="CC190" t="e">
        <f>AND(#REF!,"AAAAAH/bjlA=")</f>
        <v>#REF!</v>
      </c>
      <c r="CD190" t="e">
        <f>AND(#REF!,"AAAAAH/bjlE=")</f>
        <v>#REF!</v>
      </c>
      <c r="CE190" t="e">
        <f>AND(#REF!,"AAAAAH/bjlI=")</f>
        <v>#REF!</v>
      </c>
      <c r="CF190" t="e">
        <f>AND(#REF!,"AAAAAH/bjlM=")</f>
        <v>#REF!</v>
      </c>
      <c r="CG190" t="e">
        <f>AND(#REF!,"AAAAAH/bjlQ=")</f>
        <v>#REF!</v>
      </c>
      <c r="CH190" t="e">
        <f>AND(#REF!,"AAAAAH/bjlU=")</f>
        <v>#REF!</v>
      </c>
      <c r="CI190" t="e">
        <f>AND(#REF!,"AAAAAH/bjlY=")</f>
        <v>#REF!</v>
      </c>
      <c r="CJ190" t="e">
        <f>AND(#REF!,"AAAAAH/bjlc=")</f>
        <v>#REF!</v>
      </c>
      <c r="CK190" t="e">
        <f>AND(#REF!,"AAAAAH/bjlg=")</f>
        <v>#REF!</v>
      </c>
      <c r="CL190" t="e">
        <f>AND(#REF!,"AAAAAH/bjlk=")</f>
        <v>#REF!</v>
      </c>
      <c r="CM190" t="e">
        <f>AND(#REF!,"AAAAAH/bjlo=")</f>
        <v>#REF!</v>
      </c>
      <c r="CN190" t="e">
        <f>AND(#REF!,"AAAAAH/bjls=")</f>
        <v>#REF!</v>
      </c>
      <c r="CO190" t="e">
        <f>AND(#REF!,"AAAAAH/bjlw=")</f>
        <v>#REF!</v>
      </c>
      <c r="CP190" t="e">
        <f>AND(#REF!,"AAAAAH/bjl0=")</f>
        <v>#REF!</v>
      </c>
      <c r="CQ190" t="e">
        <f>AND(#REF!,"AAAAAH/bjl4=")</f>
        <v>#REF!</v>
      </c>
      <c r="CR190" t="e">
        <f>AND(#REF!,"AAAAAH/bjl8=")</f>
        <v>#REF!</v>
      </c>
      <c r="CS190" t="e">
        <f>AND(#REF!,"AAAAAH/bjmA=")</f>
        <v>#REF!</v>
      </c>
      <c r="CT190" t="e">
        <f>AND(#REF!,"AAAAAH/bjmE=")</f>
        <v>#REF!</v>
      </c>
      <c r="CU190" t="e">
        <f>AND(#REF!,"AAAAAH/bjmI=")</f>
        <v>#REF!</v>
      </c>
      <c r="CV190" t="e">
        <f>AND(#REF!,"AAAAAH/bjmM=")</f>
        <v>#REF!</v>
      </c>
      <c r="CW190" t="e">
        <f>AND(#REF!,"AAAAAH/bjmQ=")</f>
        <v>#REF!</v>
      </c>
      <c r="CX190" t="e">
        <f>AND(#REF!,"AAAAAH/bjmU=")</f>
        <v>#REF!</v>
      </c>
      <c r="CY190" t="e">
        <f>AND(#REF!,"AAAAAH/bjmY=")</f>
        <v>#REF!</v>
      </c>
      <c r="CZ190" t="e">
        <f>AND(#REF!,"AAAAAH/bjmc=")</f>
        <v>#REF!</v>
      </c>
      <c r="DA190" t="e">
        <f>AND(#REF!,"AAAAAH/bjmg=")</f>
        <v>#REF!</v>
      </c>
      <c r="DB190" t="e">
        <f>AND(#REF!,"AAAAAH/bjmk=")</f>
        <v>#REF!</v>
      </c>
      <c r="DC190" t="e">
        <f>AND(#REF!,"AAAAAH/bjmo=")</f>
        <v>#REF!</v>
      </c>
      <c r="DD190" t="e">
        <f>AND(#REF!,"AAAAAH/bjms=")</f>
        <v>#REF!</v>
      </c>
      <c r="DE190" t="e">
        <f>AND(#REF!,"AAAAAH/bjmw=")</f>
        <v>#REF!</v>
      </c>
      <c r="DF190" t="e">
        <f>AND(#REF!,"AAAAAH/bjm0=")</f>
        <v>#REF!</v>
      </c>
      <c r="DG190" t="e">
        <f>AND(#REF!,"AAAAAH/bjm4=")</f>
        <v>#REF!</v>
      </c>
      <c r="DH190" t="e">
        <f>AND(#REF!,"AAAAAH/bjm8=")</f>
        <v>#REF!</v>
      </c>
      <c r="DI190" t="e">
        <f>AND(#REF!,"AAAAAH/bjnA=")</f>
        <v>#REF!</v>
      </c>
      <c r="DJ190" t="e">
        <f>AND(#REF!,"AAAAAH/bjnE=")</f>
        <v>#REF!</v>
      </c>
      <c r="DK190" t="e">
        <f>AND(#REF!,"AAAAAH/bjnI=")</f>
        <v>#REF!</v>
      </c>
      <c r="DL190" t="e">
        <f>AND(#REF!,"AAAAAH/bjnM=")</f>
        <v>#REF!</v>
      </c>
      <c r="DM190" t="e">
        <f>AND(#REF!,"AAAAAH/bjnQ=")</f>
        <v>#REF!</v>
      </c>
      <c r="DN190" t="e">
        <f>AND(#REF!,"AAAAAH/bjnU=")</f>
        <v>#REF!</v>
      </c>
      <c r="DO190" t="e">
        <f>AND(#REF!,"AAAAAH/bjnY=")</f>
        <v>#REF!</v>
      </c>
      <c r="DP190" t="e">
        <f>AND(#REF!,"AAAAAH/bjnc=")</f>
        <v>#REF!</v>
      </c>
      <c r="DQ190" t="e">
        <f>AND(#REF!,"AAAAAH/bjng=")</f>
        <v>#REF!</v>
      </c>
      <c r="DR190" t="e">
        <f>AND(#REF!,"AAAAAH/bjnk=")</f>
        <v>#REF!</v>
      </c>
      <c r="DS190" t="e">
        <f>IF(#REF!,"AAAAAH/bjno=",0)</f>
        <v>#REF!</v>
      </c>
      <c r="DT190" t="e">
        <f>AND(#REF!,"AAAAAH/bjns=")</f>
        <v>#REF!</v>
      </c>
      <c r="DU190" t="e">
        <f>AND(#REF!,"AAAAAH/bjnw=")</f>
        <v>#REF!</v>
      </c>
      <c r="DV190" t="e">
        <f>AND(#REF!,"AAAAAH/bjn0=")</f>
        <v>#REF!</v>
      </c>
      <c r="DW190" t="e">
        <f>AND(#REF!,"AAAAAH/bjn4=")</f>
        <v>#REF!</v>
      </c>
      <c r="DX190" t="e">
        <f>AND(#REF!,"AAAAAH/bjn8=")</f>
        <v>#REF!</v>
      </c>
      <c r="DY190" t="e">
        <f>AND(#REF!,"AAAAAH/bjoA=")</f>
        <v>#REF!</v>
      </c>
      <c r="DZ190" t="e">
        <f>AND(#REF!,"AAAAAH/bjoE=")</f>
        <v>#REF!</v>
      </c>
      <c r="EA190" t="e">
        <f>AND(#REF!,"AAAAAH/bjoI=")</f>
        <v>#REF!</v>
      </c>
      <c r="EB190" t="e">
        <f>AND(#REF!,"AAAAAH/bjoM=")</f>
        <v>#REF!</v>
      </c>
      <c r="EC190" t="e">
        <f>AND(#REF!,"AAAAAH/bjoQ=")</f>
        <v>#REF!</v>
      </c>
      <c r="ED190" t="e">
        <f>AND(#REF!,"AAAAAH/bjoU=")</f>
        <v>#REF!</v>
      </c>
      <c r="EE190" t="e">
        <f>AND(#REF!,"AAAAAH/bjoY=")</f>
        <v>#REF!</v>
      </c>
      <c r="EF190" t="e">
        <f>AND(#REF!,"AAAAAH/bjoc=")</f>
        <v>#REF!</v>
      </c>
      <c r="EG190" t="e">
        <f>AND(#REF!,"AAAAAH/bjog=")</f>
        <v>#REF!</v>
      </c>
      <c r="EH190" t="e">
        <f>AND(#REF!,"AAAAAH/bjok=")</f>
        <v>#REF!</v>
      </c>
      <c r="EI190" t="e">
        <f>AND(#REF!,"AAAAAH/bjoo=")</f>
        <v>#REF!</v>
      </c>
      <c r="EJ190" t="e">
        <f>AND(#REF!,"AAAAAH/bjos=")</f>
        <v>#REF!</v>
      </c>
      <c r="EK190" t="e">
        <f>AND(#REF!,"AAAAAH/bjow=")</f>
        <v>#REF!</v>
      </c>
      <c r="EL190" t="e">
        <f>AND(#REF!,"AAAAAH/bjo0=")</f>
        <v>#REF!</v>
      </c>
      <c r="EM190" t="e">
        <f>AND(#REF!,"AAAAAH/bjo4=")</f>
        <v>#REF!</v>
      </c>
      <c r="EN190" t="e">
        <f>AND(#REF!,"AAAAAH/bjo8=")</f>
        <v>#REF!</v>
      </c>
      <c r="EO190" t="e">
        <f>AND(#REF!,"AAAAAH/bjpA=")</f>
        <v>#REF!</v>
      </c>
      <c r="EP190" t="e">
        <f>AND(#REF!,"AAAAAH/bjpE=")</f>
        <v>#REF!</v>
      </c>
      <c r="EQ190" t="e">
        <f>AND(#REF!,"AAAAAH/bjpI=")</f>
        <v>#REF!</v>
      </c>
      <c r="ER190" t="e">
        <f>AND(#REF!,"AAAAAH/bjpM=")</f>
        <v>#REF!</v>
      </c>
      <c r="ES190" t="e">
        <f>AND(#REF!,"AAAAAH/bjpQ=")</f>
        <v>#REF!</v>
      </c>
      <c r="ET190" t="e">
        <f>AND(#REF!,"AAAAAH/bjpU=")</f>
        <v>#REF!</v>
      </c>
      <c r="EU190" t="e">
        <f>AND(#REF!,"AAAAAH/bjpY=")</f>
        <v>#REF!</v>
      </c>
      <c r="EV190" t="e">
        <f>AND(#REF!,"AAAAAH/bjpc=")</f>
        <v>#REF!</v>
      </c>
      <c r="EW190" t="e">
        <f>AND(#REF!,"AAAAAH/bjpg=")</f>
        <v>#REF!</v>
      </c>
      <c r="EX190" t="e">
        <f>AND(#REF!,"AAAAAH/bjpk=")</f>
        <v>#REF!</v>
      </c>
      <c r="EY190" t="e">
        <f>AND(#REF!,"AAAAAH/bjpo=")</f>
        <v>#REF!</v>
      </c>
      <c r="EZ190" t="e">
        <f>AND(#REF!,"AAAAAH/bjps=")</f>
        <v>#REF!</v>
      </c>
      <c r="FA190" t="e">
        <f>AND(#REF!,"AAAAAH/bjpw=")</f>
        <v>#REF!</v>
      </c>
      <c r="FB190" t="e">
        <f>AND(#REF!,"AAAAAH/bjp0=")</f>
        <v>#REF!</v>
      </c>
      <c r="FC190" t="e">
        <f>AND(#REF!,"AAAAAH/bjp4=")</f>
        <v>#REF!</v>
      </c>
      <c r="FD190" t="e">
        <f>AND(#REF!,"AAAAAH/bjp8=")</f>
        <v>#REF!</v>
      </c>
      <c r="FE190" t="e">
        <f>AND(#REF!,"AAAAAH/bjqA=")</f>
        <v>#REF!</v>
      </c>
      <c r="FF190" t="e">
        <f>AND(#REF!,"AAAAAH/bjqE=")</f>
        <v>#REF!</v>
      </c>
      <c r="FG190" t="e">
        <f>AND(#REF!,"AAAAAH/bjqI=")</f>
        <v>#REF!</v>
      </c>
      <c r="FH190" t="e">
        <f>AND(#REF!,"AAAAAH/bjqM=")</f>
        <v>#REF!</v>
      </c>
      <c r="FI190" t="e">
        <f>AND(#REF!,"AAAAAH/bjqQ=")</f>
        <v>#REF!</v>
      </c>
      <c r="FJ190" t="e">
        <f>AND(#REF!,"AAAAAH/bjqU=")</f>
        <v>#REF!</v>
      </c>
      <c r="FK190" t="e">
        <f>AND(#REF!,"AAAAAH/bjqY=")</f>
        <v>#REF!</v>
      </c>
      <c r="FL190" t="e">
        <f>AND(#REF!,"AAAAAH/bjqc=")</f>
        <v>#REF!</v>
      </c>
      <c r="FM190" t="e">
        <f>AND(#REF!,"AAAAAH/bjqg=")</f>
        <v>#REF!</v>
      </c>
      <c r="FN190" t="e">
        <f>AND(#REF!,"AAAAAH/bjqk=")</f>
        <v>#REF!</v>
      </c>
      <c r="FO190" t="e">
        <f>AND(#REF!,"AAAAAH/bjqo=")</f>
        <v>#REF!</v>
      </c>
      <c r="FP190" t="e">
        <f>AND(#REF!,"AAAAAH/bjqs=")</f>
        <v>#REF!</v>
      </c>
      <c r="FQ190" t="e">
        <f>AND(#REF!,"AAAAAH/bjqw=")</f>
        <v>#REF!</v>
      </c>
      <c r="FR190" t="e">
        <f>AND(#REF!,"AAAAAH/bjq0=")</f>
        <v>#REF!</v>
      </c>
      <c r="FS190" t="e">
        <f>AND(#REF!,"AAAAAH/bjq4=")</f>
        <v>#REF!</v>
      </c>
      <c r="FT190" t="e">
        <f>AND(#REF!,"AAAAAH/bjq8=")</f>
        <v>#REF!</v>
      </c>
      <c r="FU190" t="e">
        <f>AND(#REF!,"AAAAAH/bjrA=")</f>
        <v>#REF!</v>
      </c>
      <c r="FV190" t="e">
        <f>AND(#REF!,"AAAAAH/bjrE=")</f>
        <v>#REF!</v>
      </c>
      <c r="FW190" t="e">
        <f>AND(#REF!,"AAAAAH/bjrI=")</f>
        <v>#REF!</v>
      </c>
      <c r="FX190" t="e">
        <f>AND(#REF!,"AAAAAH/bjrM=")</f>
        <v>#REF!</v>
      </c>
      <c r="FY190" t="e">
        <f>AND(#REF!,"AAAAAH/bjrQ=")</f>
        <v>#REF!</v>
      </c>
      <c r="FZ190" t="e">
        <f>AND(#REF!,"AAAAAH/bjrU=")</f>
        <v>#REF!</v>
      </c>
      <c r="GA190" t="e">
        <f>AND(#REF!,"AAAAAH/bjrY=")</f>
        <v>#REF!</v>
      </c>
      <c r="GB190" t="e">
        <f>AND(#REF!,"AAAAAH/bjrc=")</f>
        <v>#REF!</v>
      </c>
      <c r="GC190" t="e">
        <f>AND(#REF!,"AAAAAH/bjrg=")</f>
        <v>#REF!</v>
      </c>
      <c r="GD190" t="e">
        <f>AND(#REF!,"AAAAAH/bjrk=")</f>
        <v>#REF!</v>
      </c>
      <c r="GE190" t="e">
        <f>AND(#REF!,"AAAAAH/bjro=")</f>
        <v>#REF!</v>
      </c>
      <c r="GF190" t="e">
        <f>AND(#REF!,"AAAAAH/bjrs=")</f>
        <v>#REF!</v>
      </c>
      <c r="GG190" t="e">
        <f>AND(#REF!,"AAAAAH/bjrw=")</f>
        <v>#REF!</v>
      </c>
      <c r="GH190" t="e">
        <f>AND(#REF!,"AAAAAH/bjr0=")</f>
        <v>#REF!</v>
      </c>
      <c r="GI190" t="e">
        <f>AND(#REF!,"AAAAAH/bjr4=")</f>
        <v>#REF!</v>
      </c>
      <c r="GJ190" t="e">
        <f>AND(#REF!,"AAAAAH/bjr8=")</f>
        <v>#REF!</v>
      </c>
      <c r="GK190" t="e">
        <f>AND(#REF!,"AAAAAH/bjsA=")</f>
        <v>#REF!</v>
      </c>
      <c r="GL190" t="e">
        <f>AND(#REF!,"AAAAAH/bjsE=")</f>
        <v>#REF!</v>
      </c>
      <c r="GM190" t="e">
        <f>AND(#REF!,"AAAAAH/bjsI=")</f>
        <v>#REF!</v>
      </c>
      <c r="GN190" t="e">
        <f>AND(#REF!,"AAAAAH/bjsM=")</f>
        <v>#REF!</v>
      </c>
      <c r="GO190" t="e">
        <f>AND(#REF!,"AAAAAH/bjsQ=")</f>
        <v>#REF!</v>
      </c>
      <c r="GP190" t="e">
        <f>AND(#REF!,"AAAAAH/bjsU=")</f>
        <v>#REF!</v>
      </c>
      <c r="GQ190" t="e">
        <f>AND(#REF!,"AAAAAH/bjsY=")</f>
        <v>#REF!</v>
      </c>
      <c r="GR190" t="e">
        <f>AND(#REF!,"AAAAAH/bjsc=")</f>
        <v>#REF!</v>
      </c>
      <c r="GS190" t="e">
        <f>AND(#REF!,"AAAAAH/bjsg=")</f>
        <v>#REF!</v>
      </c>
      <c r="GT190" t="e">
        <f>AND(#REF!,"AAAAAH/bjsk=")</f>
        <v>#REF!</v>
      </c>
      <c r="GU190" t="e">
        <f>AND(#REF!,"AAAAAH/bjso=")</f>
        <v>#REF!</v>
      </c>
      <c r="GV190" t="e">
        <f>AND(#REF!,"AAAAAH/bjss=")</f>
        <v>#REF!</v>
      </c>
      <c r="GW190" t="e">
        <f>AND(#REF!,"AAAAAH/bjsw=")</f>
        <v>#REF!</v>
      </c>
      <c r="GX190" t="e">
        <f>AND(#REF!,"AAAAAH/bjs0=")</f>
        <v>#REF!</v>
      </c>
      <c r="GY190" t="e">
        <f>AND(#REF!,"AAAAAH/bjs4=")</f>
        <v>#REF!</v>
      </c>
      <c r="GZ190" t="e">
        <f>AND(#REF!,"AAAAAH/bjs8=")</f>
        <v>#REF!</v>
      </c>
      <c r="HA190" t="e">
        <f>AND(#REF!,"AAAAAH/bjtA=")</f>
        <v>#REF!</v>
      </c>
      <c r="HB190" t="e">
        <f>AND(#REF!,"AAAAAH/bjtE=")</f>
        <v>#REF!</v>
      </c>
      <c r="HC190" t="e">
        <f>AND(#REF!,"AAAAAH/bjtI=")</f>
        <v>#REF!</v>
      </c>
      <c r="HD190" t="e">
        <f>AND(#REF!,"AAAAAH/bjtM=")</f>
        <v>#REF!</v>
      </c>
      <c r="HE190" t="e">
        <f>AND(#REF!,"AAAAAH/bjtQ=")</f>
        <v>#REF!</v>
      </c>
      <c r="HF190" t="e">
        <f>AND(#REF!,"AAAAAH/bjtU=")</f>
        <v>#REF!</v>
      </c>
      <c r="HG190" t="e">
        <f>AND(#REF!,"AAAAAH/bjtY=")</f>
        <v>#REF!</v>
      </c>
      <c r="HH190" t="e">
        <f>AND(#REF!,"AAAAAH/bjtc=")</f>
        <v>#REF!</v>
      </c>
      <c r="HI190" t="e">
        <f>AND(#REF!,"AAAAAH/bjtg=")</f>
        <v>#REF!</v>
      </c>
      <c r="HJ190" t="e">
        <f>AND(#REF!,"AAAAAH/bjtk=")</f>
        <v>#REF!</v>
      </c>
      <c r="HK190" t="e">
        <f>AND(#REF!,"AAAAAH/bjto=")</f>
        <v>#REF!</v>
      </c>
      <c r="HL190" t="e">
        <f>AND(#REF!,"AAAAAH/bjts=")</f>
        <v>#REF!</v>
      </c>
      <c r="HM190" t="e">
        <f>AND(#REF!,"AAAAAH/bjtw=")</f>
        <v>#REF!</v>
      </c>
      <c r="HN190" t="e">
        <f>AND(#REF!,"AAAAAH/bjt0=")</f>
        <v>#REF!</v>
      </c>
      <c r="HO190" t="e">
        <f>AND(#REF!,"AAAAAH/bjt4=")</f>
        <v>#REF!</v>
      </c>
      <c r="HP190" t="e">
        <f>AND(#REF!,"AAAAAH/bjt8=")</f>
        <v>#REF!</v>
      </c>
      <c r="HQ190" t="e">
        <f>AND(#REF!,"AAAAAH/bjuA=")</f>
        <v>#REF!</v>
      </c>
      <c r="HR190" t="e">
        <f>AND(#REF!,"AAAAAH/bjuE=")</f>
        <v>#REF!</v>
      </c>
      <c r="HS190" t="e">
        <f>AND(#REF!,"AAAAAH/bjuI=")</f>
        <v>#REF!</v>
      </c>
      <c r="HT190" t="e">
        <f>AND(#REF!,"AAAAAH/bjuM=")</f>
        <v>#REF!</v>
      </c>
      <c r="HU190" t="e">
        <f>AND(#REF!,"AAAAAH/bjuQ=")</f>
        <v>#REF!</v>
      </c>
      <c r="HV190" t="e">
        <f>AND(#REF!,"AAAAAH/bjuU=")</f>
        <v>#REF!</v>
      </c>
      <c r="HW190" t="e">
        <f>AND(#REF!,"AAAAAH/bjuY=")</f>
        <v>#REF!</v>
      </c>
      <c r="HX190" t="e">
        <f>AND(#REF!,"AAAAAH/bjuc=")</f>
        <v>#REF!</v>
      </c>
      <c r="HY190" t="e">
        <f>AND(#REF!,"AAAAAH/bjug=")</f>
        <v>#REF!</v>
      </c>
      <c r="HZ190" t="e">
        <f>AND(#REF!,"AAAAAH/bjuk=")</f>
        <v>#REF!</v>
      </c>
      <c r="IA190" t="e">
        <f>AND(#REF!,"AAAAAH/bjuo=")</f>
        <v>#REF!</v>
      </c>
      <c r="IB190" t="e">
        <f>AND(#REF!,"AAAAAH/bjus=")</f>
        <v>#REF!</v>
      </c>
      <c r="IC190" t="e">
        <f>AND(#REF!,"AAAAAH/bjuw=")</f>
        <v>#REF!</v>
      </c>
      <c r="ID190" t="e">
        <f>AND(#REF!,"AAAAAH/bju0=")</f>
        <v>#REF!</v>
      </c>
      <c r="IE190" t="e">
        <f>AND(#REF!,"AAAAAH/bju4=")</f>
        <v>#REF!</v>
      </c>
      <c r="IF190" t="e">
        <f>AND(#REF!,"AAAAAH/bju8=")</f>
        <v>#REF!</v>
      </c>
      <c r="IG190" t="e">
        <f>AND(#REF!,"AAAAAH/bjvA=")</f>
        <v>#REF!</v>
      </c>
      <c r="IH190" t="e">
        <f>AND(#REF!,"AAAAAH/bjvE=")</f>
        <v>#REF!</v>
      </c>
      <c r="II190" t="e">
        <f>AND(#REF!,"AAAAAH/bjvI=")</f>
        <v>#REF!</v>
      </c>
      <c r="IJ190" t="e">
        <f>AND(#REF!,"AAAAAH/bjvM=")</f>
        <v>#REF!</v>
      </c>
      <c r="IK190" t="e">
        <f>AND(#REF!,"AAAAAH/bjvQ=")</f>
        <v>#REF!</v>
      </c>
      <c r="IL190" t="e">
        <f>AND(#REF!,"AAAAAH/bjvU=")</f>
        <v>#REF!</v>
      </c>
      <c r="IM190" t="e">
        <f>AND(#REF!,"AAAAAH/bjvY=")</f>
        <v>#REF!</v>
      </c>
      <c r="IN190" t="e">
        <f>AND(#REF!,"AAAAAH/bjvc=")</f>
        <v>#REF!</v>
      </c>
      <c r="IO190" t="e">
        <f>AND(#REF!,"AAAAAH/bjvg=")</f>
        <v>#REF!</v>
      </c>
      <c r="IP190" t="e">
        <f>AND(#REF!,"AAAAAH/bjvk=")</f>
        <v>#REF!</v>
      </c>
      <c r="IQ190" t="e">
        <f>AND(#REF!,"AAAAAH/bjvo=")</f>
        <v>#REF!</v>
      </c>
      <c r="IR190" t="e">
        <f>AND(#REF!,"AAAAAH/bjvs=")</f>
        <v>#REF!</v>
      </c>
      <c r="IS190" t="e">
        <f>AND(#REF!,"AAAAAH/bjvw=")</f>
        <v>#REF!</v>
      </c>
      <c r="IT190" t="e">
        <f>AND(#REF!,"AAAAAH/bjv0=")</f>
        <v>#REF!</v>
      </c>
      <c r="IU190" t="e">
        <f>AND(#REF!,"AAAAAH/bjv4=")</f>
        <v>#REF!</v>
      </c>
      <c r="IV190" t="e">
        <f>AND(#REF!,"AAAAAH/bjv8=")</f>
        <v>#REF!</v>
      </c>
    </row>
    <row r="191" spans="1:256">
      <c r="A191" t="e">
        <f>AND(#REF!,"AAAAAH7+bwA=")</f>
        <v>#REF!</v>
      </c>
      <c r="B191" t="e">
        <f>AND(#REF!,"AAAAAH7+bwE=")</f>
        <v>#REF!</v>
      </c>
      <c r="C191" t="e">
        <f>AND(#REF!,"AAAAAH7+bwI=")</f>
        <v>#REF!</v>
      </c>
      <c r="D191" t="e">
        <f>AND(#REF!,"AAAAAH7+bwM=")</f>
        <v>#REF!</v>
      </c>
      <c r="E191" t="e">
        <f>AND(#REF!,"AAAAAH7+bwQ=")</f>
        <v>#REF!</v>
      </c>
      <c r="F191" t="e">
        <f>AND(#REF!,"AAAAAH7+bwU=")</f>
        <v>#REF!</v>
      </c>
      <c r="G191" t="e">
        <f>AND(#REF!,"AAAAAH7+bwY=")</f>
        <v>#REF!</v>
      </c>
      <c r="H191" t="e">
        <f>AND(#REF!,"AAAAAH7+bwc=")</f>
        <v>#REF!</v>
      </c>
      <c r="I191" t="e">
        <f>AND(#REF!,"AAAAAH7+bwg=")</f>
        <v>#REF!</v>
      </c>
      <c r="J191" t="e">
        <f>AND(#REF!,"AAAAAH7+bwk=")</f>
        <v>#REF!</v>
      </c>
      <c r="K191" t="e">
        <f>AND(#REF!,"AAAAAH7+bwo=")</f>
        <v>#REF!</v>
      </c>
      <c r="L191" t="e">
        <f>AND(#REF!,"AAAAAH7+bws=")</f>
        <v>#REF!</v>
      </c>
      <c r="M191" t="e">
        <f>AND(#REF!,"AAAAAH7+bww=")</f>
        <v>#REF!</v>
      </c>
      <c r="N191" t="e">
        <f>AND(#REF!,"AAAAAH7+bw0=")</f>
        <v>#REF!</v>
      </c>
      <c r="O191" t="e">
        <f>AND(#REF!,"AAAAAH7+bw4=")</f>
        <v>#REF!</v>
      </c>
      <c r="P191" t="e">
        <f>AND(#REF!,"AAAAAH7+bw8=")</f>
        <v>#REF!</v>
      </c>
      <c r="Q191" t="e">
        <f>AND(#REF!,"AAAAAH7+bxA=")</f>
        <v>#REF!</v>
      </c>
      <c r="R191" t="e">
        <f>AND(#REF!,"AAAAAH7+bxE=")</f>
        <v>#REF!</v>
      </c>
      <c r="S191" t="e">
        <f>AND(#REF!,"AAAAAH7+bxI=")</f>
        <v>#REF!</v>
      </c>
      <c r="T191" t="e">
        <f>AND(#REF!,"AAAAAH7+bxM=")</f>
        <v>#REF!</v>
      </c>
      <c r="U191" t="e">
        <f>AND(#REF!,"AAAAAH7+bxQ=")</f>
        <v>#REF!</v>
      </c>
      <c r="V191" t="e">
        <f>AND(#REF!,"AAAAAH7+bxU=")</f>
        <v>#REF!</v>
      </c>
      <c r="W191" t="e">
        <f>AND(#REF!,"AAAAAH7+bxY=")</f>
        <v>#REF!</v>
      </c>
      <c r="X191" t="e">
        <f>AND(#REF!,"AAAAAH7+bxc=")</f>
        <v>#REF!</v>
      </c>
      <c r="Y191" t="e">
        <f>AND(#REF!,"AAAAAH7+bxg=")</f>
        <v>#REF!</v>
      </c>
      <c r="Z191" t="e">
        <f>AND(#REF!,"AAAAAH7+bxk=")</f>
        <v>#REF!</v>
      </c>
      <c r="AA191" t="e">
        <f>AND(#REF!,"AAAAAH7+bxo=")</f>
        <v>#REF!</v>
      </c>
      <c r="AB191" t="e">
        <f>AND(#REF!,"AAAAAH7+bxs=")</f>
        <v>#REF!</v>
      </c>
      <c r="AC191" t="e">
        <f>AND(#REF!,"AAAAAH7+bxw=")</f>
        <v>#REF!</v>
      </c>
      <c r="AD191" t="e">
        <f>AND(#REF!,"AAAAAH7+bx0=")</f>
        <v>#REF!</v>
      </c>
      <c r="AE191" t="e">
        <f>AND(#REF!,"AAAAAH7+bx4=")</f>
        <v>#REF!</v>
      </c>
      <c r="AF191" t="e">
        <f>AND(#REF!,"AAAAAH7+bx8=")</f>
        <v>#REF!</v>
      </c>
      <c r="AG191" t="e">
        <f>AND(#REF!,"AAAAAH7+byA=")</f>
        <v>#REF!</v>
      </c>
      <c r="AH191" t="e">
        <f>AND(#REF!,"AAAAAH7+byE=")</f>
        <v>#REF!</v>
      </c>
      <c r="AI191" t="e">
        <f>AND(#REF!,"AAAAAH7+byI=")</f>
        <v>#REF!</v>
      </c>
      <c r="AJ191" t="e">
        <f>AND(#REF!,"AAAAAH7+byM=")</f>
        <v>#REF!</v>
      </c>
      <c r="AK191" t="e">
        <f>AND(#REF!,"AAAAAH7+byQ=")</f>
        <v>#REF!</v>
      </c>
      <c r="AL191" t="e">
        <f>AND(#REF!,"AAAAAH7+byU=")</f>
        <v>#REF!</v>
      </c>
      <c r="AM191" t="e">
        <f>AND(#REF!,"AAAAAH7+byY=")</f>
        <v>#REF!</v>
      </c>
      <c r="AN191" t="e">
        <f>AND(#REF!,"AAAAAH7+byc=")</f>
        <v>#REF!</v>
      </c>
      <c r="AO191" t="e">
        <f>AND(#REF!,"AAAAAH7+byg=")</f>
        <v>#REF!</v>
      </c>
      <c r="AP191" t="e">
        <f>AND(#REF!,"AAAAAH7+byk=")</f>
        <v>#REF!</v>
      </c>
      <c r="AQ191" t="e">
        <f>AND(#REF!,"AAAAAH7+byo=")</f>
        <v>#REF!</v>
      </c>
      <c r="AR191" t="e">
        <f>AND(#REF!,"AAAAAH7+bys=")</f>
        <v>#REF!</v>
      </c>
      <c r="AS191" t="e">
        <f>AND(#REF!,"AAAAAH7+byw=")</f>
        <v>#REF!</v>
      </c>
      <c r="AT191" t="e">
        <f>AND(#REF!,"AAAAAH7+by0=")</f>
        <v>#REF!</v>
      </c>
      <c r="AU191" t="e">
        <f>AND(#REF!,"AAAAAH7+by4=")</f>
        <v>#REF!</v>
      </c>
      <c r="AV191" t="e">
        <f>AND(#REF!,"AAAAAH7+by8=")</f>
        <v>#REF!</v>
      </c>
      <c r="AW191" t="e">
        <f>AND(#REF!,"AAAAAH7+bzA=")</f>
        <v>#REF!</v>
      </c>
      <c r="AX191" t="e">
        <f>AND(#REF!,"AAAAAH7+bzE=")</f>
        <v>#REF!</v>
      </c>
      <c r="AY191" t="e">
        <f>AND(#REF!,"AAAAAH7+bzI=")</f>
        <v>#REF!</v>
      </c>
      <c r="AZ191" t="e">
        <f>AND(#REF!,"AAAAAH7+bzM=")</f>
        <v>#REF!</v>
      </c>
      <c r="BA191" t="e">
        <f>AND(#REF!,"AAAAAH7+bzQ=")</f>
        <v>#REF!</v>
      </c>
      <c r="BB191" t="e">
        <f>AND(#REF!,"AAAAAH7+bzU=")</f>
        <v>#REF!</v>
      </c>
      <c r="BC191" t="e">
        <f>AND(#REF!,"AAAAAH7+bzY=")</f>
        <v>#REF!</v>
      </c>
      <c r="BD191" t="e">
        <f>AND(#REF!,"AAAAAH7+bzc=")</f>
        <v>#REF!</v>
      </c>
      <c r="BE191" t="e">
        <f>AND(#REF!,"AAAAAH7+bzg=")</f>
        <v>#REF!</v>
      </c>
      <c r="BF191" t="e">
        <f>AND(#REF!,"AAAAAH7+bzk=")</f>
        <v>#REF!</v>
      </c>
      <c r="BG191" t="e">
        <f>AND(#REF!,"AAAAAH7+bzo=")</f>
        <v>#REF!</v>
      </c>
      <c r="BH191" t="e">
        <f>AND(#REF!,"AAAAAH7+bzs=")</f>
        <v>#REF!</v>
      </c>
      <c r="BI191" t="e">
        <f>AND(#REF!,"AAAAAH7+bzw=")</f>
        <v>#REF!</v>
      </c>
      <c r="BJ191" t="e">
        <f>AND(#REF!,"AAAAAH7+bz0=")</f>
        <v>#REF!</v>
      </c>
      <c r="BK191" t="e">
        <f>AND(#REF!,"AAAAAH7+bz4=")</f>
        <v>#REF!</v>
      </c>
      <c r="BL191" t="e">
        <f>AND(#REF!,"AAAAAH7+bz8=")</f>
        <v>#REF!</v>
      </c>
      <c r="BM191" t="e">
        <f>AND(#REF!,"AAAAAH7+b0A=")</f>
        <v>#REF!</v>
      </c>
      <c r="BN191" t="e">
        <f>AND(#REF!,"AAAAAH7+b0E=")</f>
        <v>#REF!</v>
      </c>
      <c r="BO191" t="e">
        <f>AND(#REF!,"AAAAAH7+b0I=")</f>
        <v>#REF!</v>
      </c>
      <c r="BP191" t="e">
        <f>AND(#REF!,"AAAAAH7+b0M=")</f>
        <v>#REF!</v>
      </c>
      <c r="BQ191" t="e">
        <f>AND(#REF!,"AAAAAH7+b0Q=")</f>
        <v>#REF!</v>
      </c>
      <c r="BR191" t="e">
        <f>AND(#REF!,"AAAAAH7+b0U=")</f>
        <v>#REF!</v>
      </c>
      <c r="BS191" t="e">
        <f>AND(#REF!,"AAAAAH7+b0Y=")</f>
        <v>#REF!</v>
      </c>
      <c r="BT191" t="e">
        <f>AND(#REF!,"AAAAAH7+b0c=")</f>
        <v>#REF!</v>
      </c>
      <c r="BU191" t="e">
        <f>AND(#REF!,"AAAAAH7+b0g=")</f>
        <v>#REF!</v>
      </c>
      <c r="BV191" t="e">
        <f>AND(#REF!,"AAAAAH7+b0k=")</f>
        <v>#REF!</v>
      </c>
      <c r="BW191" t="e">
        <f>AND(#REF!,"AAAAAH7+b0o=")</f>
        <v>#REF!</v>
      </c>
      <c r="BX191" t="e">
        <f>AND(#REF!,"AAAAAH7+b0s=")</f>
        <v>#REF!</v>
      </c>
      <c r="BY191" t="e">
        <f>AND(#REF!,"AAAAAH7+b0w=")</f>
        <v>#REF!</v>
      </c>
      <c r="BZ191" t="e">
        <f>AND(#REF!,"AAAAAH7+b00=")</f>
        <v>#REF!</v>
      </c>
      <c r="CA191" t="e">
        <f>AND(#REF!,"AAAAAH7+b04=")</f>
        <v>#REF!</v>
      </c>
      <c r="CB191" t="e">
        <f>AND(#REF!,"AAAAAH7+b08=")</f>
        <v>#REF!</v>
      </c>
      <c r="CC191" t="e">
        <f>AND(#REF!,"AAAAAH7+b1A=")</f>
        <v>#REF!</v>
      </c>
      <c r="CD191" t="e">
        <f>AND(#REF!,"AAAAAH7+b1E=")</f>
        <v>#REF!</v>
      </c>
      <c r="CE191" t="e">
        <f>AND(#REF!,"AAAAAH7+b1I=")</f>
        <v>#REF!</v>
      </c>
      <c r="CF191" t="e">
        <f>AND(#REF!,"AAAAAH7+b1M=")</f>
        <v>#REF!</v>
      </c>
      <c r="CG191" t="e">
        <f>AND(#REF!,"AAAAAH7+b1Q=")</f>
        <v>#REF!</v>
      </c>
      <c r="CH191" t="e">
        <f>AND(#REF!,"AAAAAH7+b1U=")</f>
        <v>#REF!</v>
      </c>
      <c r="CI191" t="e">
        <f>AND(#REF!,"AAAAAH7+b1Y=")</f>
        <v>#REF!</v>
      </c>
      <c r="CJ191" t="e">
        <f>AND(#REF!,"AAAAAH7+b1c=")</f>
        <v>#REF!</v>
      </c>
      <c r="CK191" t="e">
        <f>AND(#REF!,"AAAAAH7+b1g=")</f>
        <v>#REF!</v>
      </c>
      <c r="CL191" t="e">
        <f>AND(#REF!,"AAAAAH7+b1k=")</f>
        <v>#REF!</v>
      </c>
      <c r="CM191" t="e">
        <f>AND(#REF!,"AAAAAH7+b1o=")</f>
        <v>#REF!</v>
      </c>
      <c r="CN191" t="e">
        <f>AND(#REF!,"AAAAAH7+b1s=")</f>
        <v>#REF!</v>
      </c>
      <c r="CO191" t="e">
        <f>AND(#REF!,"AAAAAH7+b1w=")</f>
        <v>#REF!</v>
      </c>
      <c r="CP191" t="e">
        <f>AND(#REF!,"AAAAAH7+b10=")</f>
        <v>#REF!</v>
      </c>
      <c r="CQ191" t="e">
        <f>IF(#REF!,"AAAAAH7+b14=",0)</f>
        <v>#REF!</v>
      </c>
      <c r="CR191" t="e">
        <f>AND(#REF!,"AAAAAH7+b18=")</f>
        <v>#REF!</v>
      </c>
      <c r="CS191" t="e">
        <f>AND(#REF!,"AAAAAH7+b2A=")</f>
        <v>#REF!</v>
      </c>
      <c r="CT191" t="e">
        <f>AND(#REF!,"AAAAAH7+b2E=")</f>
        <v>#REF!</v>
      </c>
      <c r="CU191" t="e">
        <f>AND(#REF!,"AAAAAH7+b2I=")</f>
        <v>#REF!</v>
      </c>
      <c r="CV191" t="e">
        <f>AND(#REF!,"AAAAAH7+b2M=")</f>
        <v>#REF!</v>
      </c>
      <c r="CW191" t="e">
        <f>AND(#REF!,"AAAAAH7+b2Q=")</f>
        <v>#REF!</v>
      </c>
      <c r="CX191" t="e">
        <f>AND(#REF!,"AAAAAH7+b2U=")</f>
        <v>#REF!</v>
      </c>
      <c r="CY191" t="e">
        <f>AND(#REF!,"AAAAAH7+b2Y=")</f>
        <v>#REF!</v>
      </c>
      <c r="CZ191" t="e">
        <f>AND(#REF!,"AAAAAH7+b2c=")</f>
        <v>#REF!</v>
      </c>
      <c r="DA191" t="e">
        <f>AND(#REF!,"AAAAAH7+b2g=")</f>
        <v>#REF!</v>
      </c>
      <c r="DB191" t="e">
        <f>AND(#REF!,"AAAAAH7+b2k=")</f>
        <v>#REF!</v>
      </c>
      <c r="DC191" t="e">
        <f>AND(#REF!,"AAAAAH7+b2o=")</f>
        <v>#REF!</v>
      </c>
      <c r="DD191" t="e">
        <f>AND(#REF!,"AAAAAH7+b2s=")</f>
        <v>#REF!</v>
      </c>
      <c r="DE191" t="e">
        <f>AND(#REF!,"AAAAAH7+b2w=")</f>
        <v>#REF!</v>
      </c>
      <c r="DF191" t="e">
        <f>AND(#REF!,"AAAAAH7+b20=")</f>
        <v>#REF!</v>
      </c>
      <c r="DG191" t="e">
        <f>AND(#REF!,"AAAAAH7+b24=")</f>
        <v>#REF!</v>
      </c>
      <c r="DH191" t="e">
        <f>AND(#REF!,"AAAAAH7+b28=")</f>
        <v>#REF!</v>
      </c>
      <c r="DI191" t="e">
        <f>AND(#REF!,"AAAAAH7+b3A=")</f>
        <v>#REF!</v>
      </c>
      <c r="DJ191" t="e">
        <f>AND(#REF!,"AAAAAH7+b3E=")</f>
        <v>#REF!</v>
      </c>
      <c r="DK191" t="e">
        <f>AND(#REF!,"AAAAAH7+b3I=")</f>
        <v>#REF!</v>
      </c>
      <c r="DL191" t="e">
        <f>AND(#REF!,"AAAAAH7+b3M=")</f>
        <v>#REF!</v>
      </c>
      <c r="DM191" t="e">
        <f>AND(#REF!,"AAAAAH7+b3Q=")</f>
        <v>#REF!</v>
      </c>
      <c r="DN191" t="e">
        <f>AND(#REF!,"AAAAAH7+b3U=")</f>
        <v>#REF!</v>
      </c>
      <c r="DO191" t="e">
        <f>AND(#REF!,"AAAAAH7+b3Y=")</f>
        <v>#REF!</v>
      </c>
      <c r="DP191" t="e">
        <f>AND(#REF!,"AAAAAH7+b3c=")</f>
        <v>#REF!</v>
      </c>
      <c r="DQ191" t="e">
        <f>AND(#REF!,"AAAAAH7+b3g=")</f>
        <v>#REF!</v>
      </c>
      <c r="DR191" t="e">
        <f>AND(#REF!,"AAAAAH7+b3k=")</f>
        <v>#REF!</v>
      </c>
      <c r="DS191" t="e">
        <f>AND(#REF!,"AAAAAH7+b3o=")</f>
        <v>#REF!</v>
      </c>
      <c r="DT191" t="e">
        <f>AND(#REF!,"AAAAAH7+b3s=")</f>
        <v>#REF!</v>
      </c>
      <c r="DU191" t="e">
        <f>AND(#REF!,"AAAAAH7+b3w=")</f>
        <v>#REF!</v>
      </c>
      <c r="DV191" t="e">
        <f>AND(#REF!,"AAAAAH7+b30=")</f>
        <v>#REF!</v>
      </c>
      <c r="DW191" t="e">
        <f>AND(#REF!,"AAAAAH7+b34=")</f>
        <v>#REF!</v>
      </c>
      <c r="DX191" t="e">
        <f>AND(#REF!,"AAAAAH7+b38=")</f>
        <v>#REF!</v>
      </c>
      <c r="DY191" t="e">
        <f>AND(#REF!,"AAAAAH7+b4A=")</f>
        <v>#REF!</v>
      </c>
      <c r="DZ191" t="e">
        <f>AND(#REF!,"AAAAAH7+b4E=")</f>
        <v>#REF!</v>
      </c>
      <c r="EA191" t="e">
        <f>AND(#REF!,"AAAAAH7+b4I=")</f>
        <v>#REF!</v>
      </c>
      <c r="EB191" t="e">
        <f>AND(#REF!,"AAAAAH7+b4M=")</f>
        <v>#REF!</v>
      </c>
      <c r="EC191" t="e">
        <f>AND(#REF!,"AAAAAH7+b4Q=")</f>
        <v>#REF!</v>
      </c>
      <c r="ED191" t="e">
        <f>AND(#REF!,"AAAAAH7+b4U=")</f>
        <v>#REF!</v>
      </c>
      <c r="EE191" t="e">
        <f>AND(#REF!,"AAAAAH7+b4Y=")</f>
        <v>#REF!</v>
      </c>
      <c r="EF191" t="e">
        <f>AND(#REF!,"AAAAAH7+b4c=")</f>
        <v>#REF!</v>
      </c>
      <c r="EG191" t="e">
        <f>AND(#REF!,"AAAAAH7+b4g=")</f>
        <v>#REF!</v>
      </c>
      <c r="EH191" t="e">
        <f>AND(#REF!,"AAAAAH7+b4k=")</f>
        <v>#REF!</v>
      </c>
      <c r="EI191" t="e">
        <f>AND(#REF!,"AAAAAH7+b4o=")</f>
        <v>#REF!</v>
      </c>
      <c r="EJ191" t="e">
        <f>AND(#REF!,"AAAAAH7+b4s=")</f>
        <v>#REF!</v>
      </c>
      <c r="EK191" t="e">
        <f>AND(#REF!,"AAAAAH7+b4w=")</f>
        <v>#REF!</v>
      </c>
      <c r="EL191" t="e">
        <f>AND(#REF!,"AAAAAH7+b40=")</f>
        <v>#REF!</v>
      </c>
      <c r="EM191" t="e">
        <f>AND(#REF!,"AAAAAH7+b44=")</f>
        <v>#REF!</v>
      </c>
      <c r="EN191" t="e">
        <f>AND(#REF!,"AAAAAH7+b48=")</f>
        <v>#REF!</v>
      </c>
      <c r="EO191" t="e">
        <f>AND(#REF!,"AAAAAH7+b5A=")</f>
        <v>#REF!</v>
      </c>
      <c r="EP191" t="e">
        <f>AND(#REF!,"AAAAAH7+b5E=")</f>
        <v>#REF!</v>
      </c>
      <c r="EQ191" t="e">
        <f>AND(#REF!,"AAAAAH7+b5I=")</f>
        <v>#REF!</v>
      </c>
      <c r="ER191" t="e">
        <f>AND(#REF!,"AAAAAH7+b5M=")</f>
        <v>#REF!</v>
      </c>
      <c r="ES191" t="e">
        <f>AND(#REF!,"AAAAAH7+b5Q=")</f>
        <v>#REF!</v>
      </c>
      <c r="ET191" t="e">
        <f>AND(#REF!,"AAAAAH7+b5U=")</f>
        <v>#REF!</v>
      </c>
      <c r="EU191" t="e">
        <f>AND(#REF!,"AAAAAH7+b5Y=")</f>
        <v>#REF!</v>
      </c>
      <c r="EV191" t="e">
        <f>AND(#REF!,"AAAAAH7+b5c=")</f>
        <v>#REF!</v>
      </c>
      <c r="EW191" t="e">
        <f>AND(#REF!,"AAAAAH7+b5g=")</f>
        <v>#REF!</v>
      </c>
      <c r="EX191" t="e">
        <f>AND(#REF!,"AAAAAH7+b5k=")</f>
        <v>#REF!</v>
      </c>
      <c r="EY191" t="e">
        <f>AND(#REF!,"AAAAAH7+b5o=")</f>
        <v>#REF!</v>
      </c>
      <c r="EZ191" t="e">
        <f>AND(#REF!,"AAAAAH7+b5s=")</f>
        <v>#REF!</v>
      </c>
      <c r="FA191" t="e">
        <f>AND(#REF!,"AAAAAH7+b5w=")</f>
        <v>#REF!</v>
      </c>
      <c r="FB191" t="e">
        <f>AND(#REF!,"AAAAAH7+b50=")</f>
        <v>#REF!</v>
      </c>
      <c r="FC191" t="e">
        <f>AND(#REF!,"AAAAAH7+b54=")</f>
        <v>#REF!</v>
      </c>
      <c r="FD191" t="e">
        <f>AND(#REF!,"AAAAAH7+b58=")</f>
        <v>#REF!</v>
      </c>
      <c r="FE191" t="e">
        <f>AND(#REF!,"AAAAAH7+b6A=")</f>
        <v>#REF!</v>
      </c>
      <c r="FF191" t="e">
        <f>AND(#REF!,"AAAAAH7+b6E=")</f>
        <v>#REF!</v>
      </c>
      <c r="FG191" t="e">
        <f>AND(#REF!,"AAAAAH7+b6I=")</f>
        <v>#REF!</v>
      </c>
      <c r="FH191" t="e">
        <f>AND(#REF!,"AAAAAH7+b6M=")</f>
        <v>#REF!</v>
      </c>
      <c r="FI191" t="e">
        <f>AND(#REF!,"AAAAAH7+b6Q=")</f>
        <v>#REF!</v>
      </c>
      <c r="FJ191" t="e">
        <f>AND(#REF!,"AAAAAH7+b6U=")</f>
        <v>#REF!</v>
      </c>
      <c r="FK191" t="e">
        <f>AND(#REF!,"AAAAAH7+b6Y=")</f>
        <v>#REF!</v>
      </c>
      <c r="FL191" t="e">
        <f>AND(#REF!,"AAAAAH7+b6c=")</f>
        <v>#REF!</v>
      </c>
      <c r="FM191" t="e">
        <f>AND(#REF!,"AAAAAH7+b6g=")</f>
        <v>#REF!</v>
      </c>
      <c r="FN191" t="e">
        <f>AND(#REF!,"AAAAAH7+b6k=")</f>
        <v>#REF!</v>
      </c>
      <c r="FO191" t="e">
        <f>AND(#REF!,"AAAAAH7+b6o=")</f>
        <v>#REF!</v>
      </c>
      <c r="FP191" t="e">
        <f>AND(#REF!,"AAAAAH7+b6s=")</f>
        <v>#REF!</v>
      </c>
      <c r="FQ191" t="e">
        <f>AND(#REF!,"AAAAAH7+b6w=")</f>
        <v>#REF!</v>
      </c>
      <c r="FR191" t="e">
        <f>AND(#REF!,"AAAAAH7+b60=")</f>
        <v>#REF!</v>
      </c>
      <c r="FS191" t="e">
        <f>AND(#REF!,"AAAAAH7+b64=")</f>
        <v>#REF!</v>
      </c>
      <c r="FT191" t="e">
        <f>AND(#REF!,"AAAAAH7+b68=")</f>
        <v>#REF!</v>
      </c>
      <c r="FU191" t="e">
        <f>AND(#REF!,"AAAAAH7+b7A=")</f>
        <v>#REF!</v>
      </c>
      <c r="FV191" t="e">
        <f>AND(#REF!,"AAAAAH7+b7E=")</f>
        <v>#REF!</v>
      </c>
      <c r="FW191" t="e">
        <f>AND(#REF!,"AAAAAH7+b7I=")</f>
        <v>#REF!</v>
      </c>
      <c r="FX191" t="e">
        <f>AND(#REF!,"AAAAAH7+b7M=")</f>
        <v>#REF!</v>
      </c>
      <c r="FY191" t="e">
        <f>AND(#REF!,"AAAAAH7+b7Q=")</f>
        <v>#REF!</v>
      </c>
      <c r="FZ191" t="e">
        <f>AND(#REF!,"AAAAAH7+b7U=")</f>
        <v>#REF!</v>
      </c>
      <c r="GA191" t="e">
        <f>AND(#REF!,"AAAAAH7+b7Y=")</f>
        <v>#REF!</v>
      </c>
      <c r="GB191" t="e">
        <f>AND(#REF!,"AAAAAH7+b7c=")</f>
        <v>#REF!</v>
      </c>
      <c r="GC191" t="e">
        <f>AND(#REF!,"AAAAAH7+b7g=")</f>
        <v>#REF!</v>
      </c>
      <c r="GD191" t="e">
        <f>AND(#REF!,"AAAAAH7+b7k=")</f>
        <v>#REF!</v>
      </c>
      <c r="GE191" t="e">
        <f>AND(#REF!,"AAAAAH7+b7o=")</f>
        <v>#REF!</v>
      </c>
      <c r="GF191" t="e">
        <f>AND(#REF!,"AAAAAH7+b7s=")</f>
        <v>#REF!</v>
      </c>
      <c r="GG191" t="e">
        <f>AND(#REF!,"AAAAAH7+b7w=")</f>
        <v>#REF!</v>
      </c>
      <c r="GH191" t="e">
        <f>AND(#REF!,"AAAAAH7+b70=")</f>
        <v>#REF!</v>
      </c>
      <c r="GI191" t="e">
        <f>AND(#REF!,"AAAAAH7+b74=")</f>
        <v>#REF!</v>
      </c>
      <c r="GJ191" t="e">
        <f>AND(#REF!,"AAAAAH7+b78=")</f>
        <v>#REF!</v>
      </c>
      <c r="GK191" t="e">
        <f>AND(#REF!,"AAAAAH7+b8A=")</f>
        <v>#REF!</v>
      </c>
      <c r="GL191" t="e">
        <f>AND(#REF!,"AAAAAH7+b8E=")</f>
        <v>#REF!</v>
      </c>
      <c r="GM191" t="e">
        <f>AND(#REF!,"AAAAAH7+b8I=")</f>
        <v>#REF!</v>
      </c>
      <c r="GN191" t="e">
        <f>AND(#REF!,"AAAAAH7+b8M=")</f>
        <v>#REF!</v>
      </c>
      <c r="GO191" t="e">
        <f>AND(#REF!,"AAAAAH7+b8Q=")</f>
        <v>#REF!</v>
      </c>
      <c r="GP191" t="e">
        <f>AND(#REF!,"AAAAAH7+b8U=")</f>
        <v>#REF!</v>
      </c>
      <c r="GQ191" t="e">
        <f>AND(#REF!,"AAAAAH7+b8Y=")</f>
        <v>#REF!</v>
      </c>
      <c r="GR191" t="e">
        <f>AND(#REF!,"AAAAAH7+b8c=")</f>
        <v>#REF!</v>
      </c>
      <c r="GS191" t="e">
        <f>AND(#REF!,"AAAAAH7+b8g=")</f>
        <v>#REF!</v>
      </c>
      <c r="GT191" t="e">
        <f>AND(#REF!,"AAAAAH7+b8k=")</f>
        <v>#REF!</v>
      </c>
      <c r="GU191" t="e">
        <f>AND(#REF!,"AAAAAH7+b8o=")</f>
        <v>#REF!</v>
      </c>
      <c r="GV191" t="e">
        <f>AND(#REF!,"AAAAAH7+b8s=")</f>
        <v>#REF!</v>
      </c>
      <c r="GW191" t="e">
        <f>AND(#REF!,"AAAAAH7+b8w=")</f>
        <v>#REF!</v>
      </c>
      <c r="GX191" t="e">
        <f>AND(#REF!,"AAAAAH7+b80=")</f>
        <v>#REF!</v>
      </c>
      <c r="GY191" t="e">
        <f>AND(#REF!,"AAAAAH7+b84=")</f>
        <v>#REF!</v>
      </c>
      <c r="GZ191" t="e">
        <f>AND(#REF!,"AAAAAH7+b88=")</f>
        <v>#REF!</v>
      </c>
      <c r="HA191" t="e">
        <f>AND(#REF!,"AAAAAH7+b9A=")</f>
        <v>#REF!</v>
      </c>
      <c r="HB191" t="e">
        <f>AND(#REF!,"AAAAAH7+b9E=")</f>
        <v>#REF!</v>
      </c>
      <c r="HC191" t="e">
        <f>AND(#REF!,"AAAAAH7+b9I=")</f>
        <v>#REF!</v>
      </c>
      <c r="HD191" t="e">
        <f>AND(#REF!,"AAAAAH7+b9M=")</f>
        <v>#REF!</v>
      </c>
      <c r="HE191" t="e">
        <f>AND(#REF!,"AAAAAH7+b9Q=")</f>
        <v>#REF!</v>
      </c>
      <c r="HF191" t="e">
        <f>AND(#REF!,"AAAAAH7+b9U=")</f>
        <v>#REF!</v>
      </c>
      <c r="HG191" t="e">
        <f>AND(#REF!,"AAAAAH7+b9Y=")</f>
        <v>#REF!</v>
      </c>
      <c r="HH191" t="e">
        <f>AND(#REF!,"AAAAAH7+b9c=")</f>
        <v>#REF!</v>
      </c>
      <c r="HI191" t="e">
        <f>AND(#REF!,"AAAAAH7+b9g=")</f>
        <v>#REF!</v>
      </c>
      <c r="HJ191" t="e">
        <f>AND(#REF!,"AAAAAH7+b9k=")</f>
        <v>#REF!</v>
      </c>
      <c r="HK191" t="e">
        <f>AND(#REF!,"AAAAAH7+b9o=")</f>
        <v>#REF!</v>
      </c>
      <c r="HL191" t="e">
        <f>AND(#REF!,"AAAAAH7+b9s=")</f>
        <v>#REF!</v>
      </c>
      <c r="HM191" t="e">
        <f>AND(#REF!,"AAAAAH7+b9w=")</f>
        <v>#REF!</v>
      </c>
      <c r="HN191" t="e">
        <f>AND(#REF!,"AAAAAH7+b90=")</f>
        <v>#REF!</v>
      </c>
      <c r="HO191" t="e">
        <f>AND(#REF!,"AAAAAH7+b94=")</f>
        <v>#REF!</v>
      </c>
      <c r="HP191" t="e">
        <f>AND(#REF!,"AAAAAH7+b98=")</f>
        <v>#REF!</v>
      </c>
      <c r="HQ191" t="e">
        <f>AND(#REF!,"AAAAAH7+b+A=")</f>
        <v>#REF!</v>
      </c>
      <c r="HR191" t="e">
        <f>AND(#REF!,"AAAAAH7+b+E=")</f>
        <v>#REF!</v>
      </c>
      <c r="HS191" t="e">
        <f>AND(#REF!,"AAAAAH7+b+I=")</f>
        <v>#REF!</v>
      </c>
      <c r="HT191" t="e">
        <f>AND(#REF!,"AAAAAH7+b+M=")</f>
        <v>#REF!</v>
      </c>
      <c r="HU191" t="e">
        <f>AND(#REF!,"AAAAAH7+b+Q=")</f>
        <v>#REF!</v>
      </c>
      <c r="HV191" t="e">
        <f>AND(#REF!,"AAAAAH7+b+U=")</f>
        <v>#REF!</v>
      </c>
      <c r="HW191" t="e">
        <f>AND(#REF!,"AAAAAH7+b+Y=")</f>
        <v>#REF!</v>
      </c>
      <c r="HX191" t="e">
        <f>AND(#REF!,"AAAAAH7+b+c=")</f>
        <v>#REF!</v>
      </c>
      <c r="HY191" t="e">
        <f>AND(#REF!,"AAAAAH7+b+g=")</f>
        <v>#REF!</v>
      </c>
      <c r="HZ191" t="e">
        <f>AND(#REF!,"AAAAAH7+b+k=")</f>
        <v>#REF!</v>
      </c>
      <c r="IA191" t="e">
        <f>AND(#REF!,"AAAAAH7+b+o=")</f>
        <v>#REF!</v>
      </c>
      <c r="IB191" t="e">
        <f>AND(#REF!,"AAAAAH7+b+s=")</f>
        <v>#REF!</v>
      </c>
      <c r="IC191" t="e">
        <f>AND(#REF!,"AAAAAH7+b+w=")</f>
        <v>#REF!</v>
      </c>
      <c r="ID191" t="e">
        <f>AND(#REF!,"AAAAAH7+b+0=")</f>
        <v>#REF!</v>
      </c>
      <c r="IE191" t="e">
        <f>AND(#REF!,"AAAAAH7+b+4=")</f>
        <v>#REF!</v>
      </c>
      <c r="IF191" t="e">
        <f>AND(#REF!,"AAAAAH7+b+8=")</f>
        <v>#REF!</v>
      </c>
      <c r="IG191" t="e">
        <f>AND(#REF!,"AAAAAH7+b/A=")</f>
        <v>#REF!</v>
      </c>
      <c r="IH191" t="e">
        <f>AND(#REF!,"AAAAAH7+b/E=")</f>
        <v>#REF!</v>
      </c>
      <c r="II191" t="e">
        <f>AND(#REF!,"AAAAAH7+b/I=")</f>
        <v>#REF!</v>
      </c>
      <c r="IJ191" t="e">
        <f>AND(#REF!,"AAAAAH7+b/M=")</f>
        <v>#REF!</v>
      </c>
      <c r="IK191" t="e">
        <f>AND(#REF!,"AAAAAH7+b/Q=")</f>
        <v>#REF!</v>
      </c>
      <c r="IL191" t="e">
        <f>AND(#REF!,"AAAAAH7+b/U=")</f>
        <v>#REF!</v>
      </c>
      <c r="IM191" t="e">
        <f>AND(#REF!,"AAAAAH7+b/Y=")</f>
        <v>#REF!</v>
      </c>
      <c r="IN191" t="e">
        <f>AND(#REF!,"AAAAAH7+b/c=")</f>
        <v>#REF!</v>
      </c>
      <c r="IO191" t="e">
        <f>AND(#REF!,"AAAAAH7+b/g=")</f>
        <v>#REF!</v>
      </c>
      <c r="IP191" t="e">
        <f>AND(#REF!,"AAAAAH7+b/k=")</f>
        <v>#REF!</v>
      </c>
      <c r="IQ191" t="e">
        <f>AND(#REF!,"AAAAAH7+b/o=")</f>
        <v>#REF!</v>
      </c>
      <c r="IR191" t="e">
        <f>AND(#REF!,"AAAAAH7+b/s=")</f>
        <v>#REF!</v>
      </c>
      <c r="IS191" t="e">
        <f>AND(#REF!,"AAAAAH7+b/w=")</f>
        <v>#REF!</v>
      </c>
      <c r="IT191" t="e">
        <f>AND(#REF!,"AAAAAH7+b/0=")</f>
        <v>#REF!</v>
      </c>
      <c r="IU191" t="e">
        <f>AND(#REF!,"AAAAAH7+b/4=")</f>
        <v>#REF!</v>
      </c>
      <c r="IV191" t="e">
        <f>AND(#REF!,"AAAAAH7+b/8=")</f>
        <v>#REF!</v>
      </c>
    </row>
    <row r="192" spans="1:256">
      <c r="A192" t="e">
        <f>AND(#REF!,"AAAAABtU5wA=")</f>
        <v>#REF!</v>
      </c>
      <c r="B192" t="e">
        <f>AND(#REF!,"AAAAABtU5wE=")</f>
        <v>#REF!</v>
      </c>
      <c r="C192" t="e">
        <f>AND(#REF!,"AAAAABtU5wI=")</f>
        <v>#REF!</v>
      </c>
      <c r="D192" t="e">
        <f>AND(#REF!,"AAAAABtU5wM=")</f>
        <v>#REF!</v>
      </c>
      <c r="E192" t="e">
        <f>AND(#REF!,"AAAAABtU5wQ=")</f>
        <v>#REF!</v>
      </c>
      <c r="F192" t="e">
        <f>AND(#REF!,"AAAAABtU5wU=")</f>
        <v>#REF!</v>
      </c>
      <c r="G192" t="e">
        <f>AND(#REF!,"AAAAABtU5wY=")</f>
        <v>#REF!</v>
      </c>
      <c r="H192" t="e">
        <f>AND(#REF!,"AAAAABtU5wc=")</f>
        <v>#REF!</v>
      </c>
      <c r="I192" t="e">
        <f>AND(#REF!,"AAAAABtU5wg=")</f>
        <v>#REF!</v>
      </c>
      <c r="J192" t="e">
        <f>AND(#REF!,"AAAAABtU5wk=")</f>
        <v>#REF!</v>
      </c>
      <c r="K192" t="e">
        <f>AND(#REF!,"AAAAABtU5wo=")</f>
        <v>#REF!</v>
      </c>
      <c r="L192" t="e">
        <f>AND(#REF!,"AAAAABtU5ws=")</f>
        <v>#REF!</v>
      </c>
      <c r="M192" t="e">
        <f>AND(#REF!,"AAAAABtU5ww=")</f>
        <v>#REF!</v>
      </c>
      <c r="N192" t="e">
        <f>AND(#REF!,"AAAAABtU5w0=")</f>
        <v>#REF!</v>
      </c>
      <c r="O192" t="e">
        <f>AND(#REF!,"AAAAABtU5w4=")</f>
        <v>#REF!</v>
      </c>
      <c r="P192" t="e">
        <f>AND(#REF!,"AAAAABtU5w8=")</f>
        <v>#REF!</v>
      </c>
      <c r="Q192" t="e">
        <f>AND(#REF!,"AAAAABtU5xA=")</f>
        <v>#REF!</v>
      </c>
      <c r="R192" t="e">
        <f>AND(#REF!,"AAAAABtU5xE=")</f>
        <v>#REF!</v>
      </c>
      <c r="S192" t="e">
        <f>AND(#REF!,"AAAAABtU5xI=")</f>
        <v>#REF!</v>
      </c>
      <c r="T192" t="e">
        <f>AND(#REF!,"AAAAABtU5xM=")</f>
        <v>#REF!</v>
      </c>
      <c r="U192" t="e">
        <f>AND(#REF!,"AAAAABtU5xQ=")</f>
        <v>#REF!</v>
      </c>
      <c r="V192" t="e">
        <f>AND(#REF!,"AAAAABtU5xU=")</f>
        <v>#REF!</v>
      </c>
      <c r="W192" t="e">
        <f>AND(#REF!,"AAAAABtU5xY=")</f>
        <v>#REF!</v>
      </c>
      <c r="X192" t="e">
        <f>AND(#REF!,"AAAAABtU5xc=")</f>
        <v>#REF!</v>
      </c>
      <c r="Y192" t="e">
        <f>AND(#REF!,"AAAAABtU5xg=")</f>
        <v>#REF!</v>
      </c>
      <c r="Z192" t="e">
        <f>AND(#REF!,"AAAAABtU5xk=")</f>
        <v>#REF!</v>
      </c>
      <c r="AA192" t="e">
        <f>AND(#REF!,"AAAAABtU5xo=")</f>
        <v>#REF!</v>
      </c>
      <c r="AB192" t="e">
        <f>AND(#REF!,"AAAAABtU5xs=")</f>
        <v>#REF!</v>
      </c>
      <c r="AC192" t="e">
        <f>AND(#REF!,"AAAAABtU5xw=")</f>
        <v>#REF!</v>
      </c>
      <c r="AD192" t="e">
        <f>AND(#REF!,"AAAAABtU5x0=")</f>
        <v>#REF!</v>
      </c>
      <c r="AE192" t="e">
        <f>AND(#REF!,"AAAAABtU5x4=")</f>
        <v>#REF!</v>
      </c>
      <c r="AF192" t="e">
        <f>AND(#REF!,"AAAAABtU5x8=")</f>
        <v>#REF!</v>
      </c>
      <c r="AG192" t="e">
        <f>AND(#REF!,"AAAAABtU5yA=")</f>
        <v>#REF!</v>
      </c>
      <c r="AH192" t="e">
        <f>AND(#REF!,"AAAAABtU5yE=")</f>
        <v>#REF!</v>
      </c>
      <c r="AI192" t="e">
        <f>AND(#REF!,"AAAAABtU5yI=")</f>
        <v>#REF!</v>
      </c>
      <c r="AJ192" t="e">
        <f>AND(#REF!,"AAAAABtU5yM=")</f>
        <v>#REF!</v>
      </c>
      <c r="AK192" t="e">
        <f>AND(#REF!,"AAAAABtU5yQ=")</f>
        <v>#REF!</v>
      </c>
      <c r="AL192" t="e">
        <f>AND(#REF!,"AAAAABtU5yU=")</f>
        <v>#REF!</v>
      </c>
      <c r="AM192" t="e">
        <f>AND(#REF!,"AAAAABtU5yY=")</f>
        <v>#REF!</v>
      </c>
      <c r="AN192" t="e">
        <f>AND(#REF!,"AAAAABtU5yc=")</f>
        <v>#REF!</v>
      </c>
      <c r="AO192" t="e">
        <f>AND(#REF!,"AAAAABtU5yg=")</f>
        <v>#REF!</v>
      </c>
      <c r="AP192" t="e">
        <f>AND(#REF!,"AAAAABtU5yk=")</f>
        <v>#REF!</v>
      </c>
      <c r="AQ192" t="e">
        <f>AND(#REF!,"AAAAABtU5yo=")</f>
        <v>#REF!</v>
      </c>
      <c r="AR192" t="e">
        <f>AND(#REF!,"AAAAABtU5ys=")</f>
        <v>#REF!</v>
      </c>
      <c r="AS192" t="e">
        <f>AND(#REF!,"AAAAABtU5yw=")</f>
        <v>#REF!</v>
      </c>
      <c r="AT192" t="e">
        <f>AND(#REF!,"AAAAABtU5y0=")</f>
        <v>#REF!</v>
      </c>
      <c r="AU192" t="e">
        <f>AND(#REF!,"AAAAABtU5y4=")</f>
        <v>#REF!</v>
      </c>
      <c r="AV192" t="e">
        <f>AND(#REF!,"AAAAABtU5y8=")</f>
        <v>#REF!</v>
      </c>
      <c r="AW192" t="e">
        <f>AND(#REF!,"AAAAABtU5zA=")</f>
        <v>#REF!</v>
      </c>
      <c r="AX192" t="e">
        <f>AND(#REF!,"AAAAABtU5zE=")</f>
        <v>#REF!</v>
      </c>
      <c r="AY192" t="e">
        <f>AND(#REF!,"AAAAABtU5zI=")</f>
        <v>#REF!</v>
      </c>
      <c r="AZ192" t="e">
        <f>AND(#REF!,"AAAAABtU5zM=")</f>
        <v>#REF!</v>
      </c>
      <c r="BA192" t="e">
        <f>AND(#REF!,"AAAAABtU5zQ=")</f>
        <v>#REF!</v>
      </c>
      <c r="BB192" t="e">
        <f>AND(#REF!,"AAAAABtU5zU=")</f>
        <v>#REF!</v>
      </c>
      <c r="BC192" t="e">
        <f>AND(#REF!,"AAAAABtU5zY=")</f>
        <v>#REF!</v>
      </c>
      <c r="BD192" t="e">
        <f>AND(#REF!,"AAAAABtU5zc=")</f>
        <v>#REF!</v>
      </c>
      <c r="BE192" t="e">
        <f>AND(#REF!,"AAAAABtU5zg=")</f>
        <v>#REF!</v>
      </c>
      <c r="BF192" t="e">
        <f>AND(#REF!,"AAAAABtU5zk=")</f>
        <v>#REF!</v>
      </c>
      <c r="BG192" t="e">
        <f>AND(#REF!,"AAAAABtU5zo=")</f>
        <v>#REF!</v>
      </c>
      <c r="BH192" t="e">
        <f>AND(#REF!,"AAAAABtU5zs=")</f>
        <v>#REF!</v>
      </c>
      <c r="BI192" t="e">
        <f>AND(#REF!,"AAAAABtU5zw=")</f>
        <v>#REF!</v>
      </c>
      <c r="BJ192" t="e">
        <f>AND(#REF!,"AAAAABtU5z0=")</f>
        <v>#REF!</v>
      </c>
      <c r="BK192" t="e">
        <f>AND(#REF!,"AAAAABtU5z4=")</f>
        <v>#REF!</v>
      </c>
      <c r="BL192" t="e">
        <f>AND(#REF!,"AAAAABtU5z8=")</f>
        <v>#REF!</v>
      </c>
      <c r="BM192" t="e">
        <f>AND(#REF!,"AAAAABtU50A=")</f>
        <v>#REF!</v>
      </c>
      <c r="BN192" t="e">
        <f>AND(#REF!,"AAAAABtU50E=")</f>
        <v>#REF!</v>
      </c>
      <c r="BO192" t="e">
        <f>IF(#REF!,"AAAAABtU50I=",0)</f>
        <v>#REF!</v>
      </c>
      <c r="BP192" t="e">
        <f>AND(#REF!,"AAAAABtU50M=")</f>
        <v>#REF!</v>
      </c>
      <c r="BQ192" t="e">
        <f>AND(#REF!,"AAAAABtU50Q=")</f>
        <v>#REF!</v>
      </c>
      <c r="BR192" t="e">
        <f>AND(#REF!,"AAAAABtU50U=")</f>
        <v>#REF!</v>
      </c>
      <c r="BS192" t="e">
        <f>AND(#REF!,"AAAAABtU50Y=")</f>
        <v>#REF!</v>
      </c>
      <c r="BT192" t="e">
        <f>AND(#REF!,"AAAAABtU50c=")</f>
        <v>#REF!</v>
      </c>
      <c r="BU192" t="e">
        <f>AND(#REF!,"AAAAABtU50g=")</f>
        <v>#REF!</v>
      </c>
      <c r="BV192" t="e">
        <f>AND(#REF!,"AAAAABtU50k=")</f>
        <v>#REF!</v>
      </c>
      <c r="BW192" t="e">
        <f>AND(#REF!,"AAAAABtU50o=")</f>
        <v>#REF!</v>
      </c>
      <c r="BX192" t="e">
        <f>AND(#REF!,"AAAAABtU50s=")</f>
        <v>#REF!</v>
      </c>
      <c r="BY192" t="e">
        <f>AND(#REF!,"AAAAABtU50w=")</f>
        <v>#REF!</v>
      </c>
      <c r="BZ192" t="e">
        <f>AND(#REF!,"AAAAABtU500=")</f>
        <v>#REF!</v>
      </c>
      <c r="CA192" t="e">
        <f>AND(#REF!,"AAAAABtU504=")</f>
        <v>#REF!</v>
      </c>
      <c r="CB192" t="e">
        <f>AND(#REF!,"AAAAABtU508=")</f>
        <v>#REF!</v>
      </c>
      <c r="CC192" t="e">
        <f>AND(#REF!,"AAAAABtU51A=")</f>
        <v>#REF!</v>
      </c>
      <c r="CD192" t="e">
        <f>AND(#REF!,"AAAAABtU51E=")</f>
        <v>#REF!</v>
      </c>
      <c r="CE192" t="e">
        <f>AND(#REF!,"AAAAABtU51I=")</f>
        <v>#REF!</v>
      </c>
      <c r="CF192" t="e">
        <f>AND(#REF!,"AAAAABtU51M=")</f>
        <v>#REF!</v>
      </c>
      <c r="CG192" t="e">
        <f>AND(#REF!,"AAAAABtU51Q=")</f>
        <v>#REF!</v>
      </c>
      <c r="CH192" t="e">
        <f>AND(#REF!,"AAAAABtU51U=")</f>
        <v>#REF!</v>
      </c>
      <c r="CI192" t="e">
        <f>AND(#REF!,"AAAAABtU51Y=")</f>
        <v>#REF!</v>
      </c>
      <c r="CJ192" t="e">
        <f>AND(#REF!,"AAAAABtU51c=")</f>
        <v>#REF!</v>
      </c>
      <c r="CK192" t="e">
        <f>AND(#REF!,"AAAAABtU51g=")</f>
        <v>#REF!</v>
      </c>
      <c r="CL192" t="e">
        <f>AND(#REF!,"AAAAABtU51k=")</f>
        <v>#REF!</v>
      </c>
      <c r="CM192" t="e">
        <f>AND(#REF!,"AAAAABtU51o=")</f>
        <v>#REF!</v>
      </c>
      <c r="CN192" t="e">
        <f>AND(#REF!,"AAAAABtU51s=")</f>
        <v>#REF!</v>
      </c>
      <c r="CO192" t="e">
        <f>AND(#REF!,"AAAAABtU51w=")</f>
        <v>#REF!</v>
      </c>
      <c r="CP192" t="e">
        <f>AND(#REF!,"AAAAABtU510=")</f>
        <v>#REF!</v>
      </c>
      <c r="CQ192" t="e">
        <f>AND(#REF!,"AAAAABtU514=")</f>
        <v>#REF!</v>
      </c>
      <c r="CR192" t="e">
        <f>AND(#REF!,"AAAAABtU518=")</f>
        <v>#REF!</v>
      </c>
      <c r="CS192" t="e">
        <f>AND(#REF!,"AAAAABtU52A=")</f>
        <v>#REF!</v>
      </c>
      <c r="CT192" t="e">
        <f>AND(#REF!,"AAAAABtU52E=")</f>
        <v>#REF!</v>
      </c>
      <c r="CU192" t="e">
        <f>AND(#REF!,"AAAAABtU52I=")</f>
        <v>#REF!</v>
      </c>
      <c r="CV192" t="e">
        <f>AND(#REF!,"AAAAABtU52M=")</f>
        <v>#REF!</v>
      </c>
      <c r="CW192" t="e">
        <f>AND(#REF!,"AAAAABtU52Q=")</f>
        <v>#REF!</v>
      </c>
      <c r="CX192" t="e">
        <f>AND(#REF!,"AAAAABtU52U=")</f>
        <v>#REF!</v>
      </c>
      <c r="CY192" t="e">
        <f>AND(#REF!,"AAAAABtU52Y=")</f>
        <v>#REF!</v>
      </c>
      <c r="CZ192" t="e">
        <f>AND(#REF!,"AAAAABtU52c=")</f>
        <v>#REF!</v>
      </c>
      <c r="DA192" t="e">
        <f>AND(#REF!,"AAAAABtU52g=")</f>
        <v>#REF!</v>
      </c>
      <c r="DB192" t="e">
        <f>AND(#REF!,"AAAAABtU52k=")</f>
        <v>#REF!</v>
      </c>
      <c r="DC192" t="e">
        <f>AND(#REF!,"AAAAABtU52o=")</f>
        <v>#REF!</v>
      </c>
      <c r="DD192" t="e">
        <f>AND(#REF!,"AAAAABtU52s=")</f>
        <v>#REF!</v>
      </c>
      <c r="DE192" t="e">
        <f>AND(#REF!,"AAAAABtU52w=")</f>
        <v>#REF!</v>
      </c>
      <c r="DF192" t="e">
        <f>AND(#REF!,"AAAAABtU520=")</f>
        <v>#REF!</v>
      </c>
      <c r="DG192" t="e">
        <f>AND(#REF!,"AAAAABtU524=")</f>
        <v>#REF!</v>
      </c>
      <c r="DH192" t="e">
        <f>AND(#REF!,"AAAAABtU528=")</f>
        <v>#REF!</v>
      </c>
      <c r="DI192" t="e">
        <f>AND(#REF!,"AAAAABtU53A=")</f>
        <v>#REF!</v>
      </c>
      <c r="DJ192" t="e">
        <f>AND(#REF!,"AAAAABtU53E=")</f>
        <v>#REF!</v>
      </c>
      <c r="DK192" t="e">
        <f>AND(#REF!,"AAAAABtU53I=")</f>
        <v>#REF!</v>
      </c>
      <c r="DL192" t="e">
        <f>AND(#REF!,"AAAAABtU53M=")</f>
        <v>#REF!</v>
      </c>
      <c r="DM192" t="e">
        <f>AND(#REF!,"AAAAABtU53Q=")</f>
        <v>#REF!</v>
      </c>
      <c r="DN192" t="e">
        <f>AND(#REF!,"AAAAABtU53U=")</f>
        <v>#REF!</v>
      </c>
      <c r="DO192" t="e">
        <f>AND(#REF!,"AAAAABtU53Y=")</f>
        <v>#REF!</v>
      </c>
      <c r="DP192" t="e">
        <f>AND(#REF!,"AAAAABtU53c=")</f>
        <v>#REF!</v>
      </c>
      <c r="DQ192" t="e">
        <f>AND(#REF!,"AAAAABtU53g=")</f>
        <v>#REF!</v>
      </c>
      <c r="DR192" t="e">
        <f>AND(#REF!,"AAAAABtU53k=")</f>
        <v>#REF!</v>
      </c>
      <c r="DS192" t="e">
        <f>AND(#REF!,"AAAAABtU53o=")</f>
        <v>#REF!</v>
      </c>
      <c r="DT192" t="e">
        <f>AND(#REF!,"AAAAABtU53s=")</f>
        <v>#REF!</v>
      </c>
      <c r="DU192" t="e">
        <f>AND(#REF!,"AAAAABtU53w=")</f>
        <v>#REF!</v>
      </c>
      <c r="DV192" t="e">
        <f>AND(#REF!,"AAAAABtU530=")</f>
        <v>#REF!</v>
      </c>
      <c r="DW192" t="e">
        <f>AND(#REF!,"AAAAABtU534=")</f>
        <v>#REF!</v>
      </c>
      <c r="DX192" t="e">
        <f>AND(#REF!,"AAAAABtU538=")</f>
        <v>#REF!</v>
      </c>
      <c r="DY192" t="e">
        <f>AND(#REF!,"AAAAABtU54A=")</f>
        <v>#REF!</v>
      </c>
      <c r="DZ192" t="e">
        <f>AND(#REF!,"AAAAABtU54E=")</f>
        <v>#REF!</v>
      </c>
      <c r="EA192" t="e">
        <f>AND(#REF!,"AAAAABtU54I=")</f>
        <v>#REF!</v>
      </c>
      <c r="EB192" t="e">
        <f>AND(#REF!,"AAAAABtU54M=")</f>
        <v>#REF!</v>
      </c>
      <c r="EC192" t="e">
        <f>AND(#REF!,"AAAAABtU54Q=")</f>
        <v>#REF!</v>
      </c>
      <c r="ED192" t="e">
        <f>AND(#REF!,"AAAAABtU54U=")</f>
        <v>#REF!</v>
      </c>
      <c r="EE192" t="e">
        <f>AND(#REF!,"AAAAABtU54Y=")</f>
        <v>#REF!</v>
      </c>
      <c r="EF192" t="e">
        <f>AND(#REF!,"AAAAABtU54c=")</f>
        <v>#REF!</v>
      </c>
      <c r="EG192" t="e">
        <f>AND(#REF!,"AAAAABtU54g=")</f>
        <v>#REF!</v>
      </c>
      <c r="EH192" t="e">
        <f>AND(#REF!,"AAAAABtU54k=")</f>
        <v>#REF!</v>
      </c>
      <c r="EI192" t="e">
        <f>AND(#REF!,"AAAAABtU54o=")</f>
        <v>#REF!</v>
      </c>
      <c r="EJ192" t="e">
        <f>AND(#REF!,"AAAAABtU54s=")</f>
        <v>#REF!</v>
      </c>
      <c r="EK192" t="e">
        <f>AND(#REF!,"AAAAABtU54w=")</f>
        <v>#REF!</v>
      </c>
      <c r="EL192" t="e">
        <f>AND(#REF!,"AAAAABtU540=")</f>
        <v>#REF!</v>
      </c>
      <c r="EM192" t="e">
        <f>AND(#REF!,"AAAAABtU544=")</f>
        <v>#REF!</v>
      </c>
      <c r="EN192" t="e">
        <f>AND(#REF!,"AAAAABtU548=")</f>
        <v>#REF!</v>
      </c>
      <c r="EO192" t="e">
        <f>AND(#REF!,"AAAAABtU55A=")</f>
        <v>#REF!</v>
      </c>
      <c r="EP192" t="e">
        <f>AND(#REF!,"AAAAABtU55E=")</f>
        <v>#REF!</v>
      </c>
      <c r="EQ192" t="e">
        <f>AND(#REF!,"AAAAABtU55I=")</f>
        <v>#REF!</v>
      </c>
      <c r="ER192" t="e">
        <f>AND(#REF!,"AAAAABtU55M=")</f>
        <v>#REF!</v>
      </c>
      <c r="ES192" t="e">
        <f>AND(#REF!,"AAAAABtU55Q=")</f>
        <v>#REF!</v>
      </c>
      <c r="ET192" t="e">
        <f>AND(#REF!,"AAAAABtU55U=")</f>
        <v>#REF!</v>
      </c>
      <c r="EU192" t="e">
        <f>AND(#REF!,"AAAAABtU55Y=")</f>
        <v>#REF!</v>
      </c>
      <c r="EV192" t="e">
        <f>AND(#REF!,"AAAAABtU55c=")</f>
        <v>#REF!</v>
      </c>
      <c r="EW192" t="e">
        <f>AND(#REF!,"AAAAABtU55g=")</f>
        <v>#REF!</v>
      </c>
      <c r="EX192" t="e">
        <f>AND(#REF!,"AAAAABtU55k=")</f>
        <v>#REF!</v>
      </c>
      <c r="EY192" t="e">
        <f>AND(#REF!,"AAAAABtU55o=")</f>
        <v>#REF!</v>
      </c>
      <c r="EZ192" t="e">
        <f>AND(#REF!,"AAAAABtU55s=")</f>
        <v>#REF!</v>
      </c>
      <c r="FA192" t="e">
        <f>AND(#REF!,"AAAAABtU55w=")</f>
        <v>#REF!</v>
      </c>
      <c r="FB192" t="e">
        <f>AND(#REF!,"AAAAABtU550=")</f>
        <v>#REF!</v>
      </c>
      <c r="FC192" t="e">
        <f>AND(#REF!,"AAAAABtU554=")</f>
        <v>#REF!</v>
      </c>
      <c r="FD192" t="e">
        <f>AND(#REF!,"AAAAABtU558=")</f>
        <v>#REF!</v>
      </c>
      <c r="FE192" t="e">
        <f>AND(#REF!,"AAAAABtU56A=")</f>
        <v>#REF!</v>
      </c>
      <c r="FF192" t="e">
        <f>AND(#REF!,"AAAAABtU56E=")</f>
        <v>#REF!</v>
      </c>
      <c r="FG192" t="e">
        <f>AND(#REF!,"AAAAABtU56I=")</f>
        <v>#REF!</v>
      </c>
      <c r="FH192" t="e">
        <f>AND(#REF!,"AAAAABtU56M=")</f>
        <v>#REF!</v>
      </c>
      <c r="FI192" t="e">
        <f>AND(#REF!,"AAAAABtU56Q=")</f>
        <v>#REF!</v>
      </c>
      <c r="FJ192" t="e">
        <f>AND(#REF!,"AAAAABtU56U=")</f>
        <v>#REF!</v>
      </c>
      <c r="FK192" t="e">
        <f>AND(#REF!,"AAAAABtU56Y=")</f>
        <v>#REF!</v>
      </c>
      <c r="FL192" t="e">
        <f>AND(#REF!,"AAAAABtU56c=")</f>
        <v>#REF!</v>
      </c>
      <c r="FM192" t="e">
        <f>AND(#REF!,"AAAAABtU56g=")</f>
        <v>#REF!</v>
      </c>
      <c r="FN192" t="e">
        <f>AND(#REF!,"AAAAABtU56k=")</f>
        <v>#REF!</v>
      </c>
      <c r="FO192" t="e">
        <f>AND(#REF!,"AAAAABtU56o=")</f>
        <v>#REF!</v>
      </c>
      <c r="FP192" t="e">
        <f>AND(#REF!,"AAAAABtU56s=")</f>
        <v>#REF!</v>
      </c>
      <c r="FQ192" t="e">
        <f>AND(#REF!,"AAAAABtU56w=")</f>
        <v>#REF!</v>
      </c>
      <c r="FR192" t="e">
        <f>AND(#REF!,"AAAAABtU560=")</f>
        <v>#REF!</v>
      </c>
      <c r="FS192" t="e">
        <f>AND(#REF!,"AAAAABtU564=")</f>
        <v>#REF!</v>
      </c>
      <c r="FT192" t="e">
        <f>AND(#REF!,"AAAAABtU568=")</f>
        <v>#REF!</v>
      </c>
      <c r="FU192" t="e">
        <f>AND(#REF!,"AAAAABtU57A=")</f>
        <v>#REF!</v>
      </c>
      <c r="FV192" t="e">
        <f>AND(#REF!,"AAAAABtU57E=")</f>
        <v>#REF!</v>
      </c>
      <c r="FW192" t="e">
        <f>AND(#REF!,"AAAAABtU57I=")</f>
        <v>#REF!</v>
      </c>
      <c r="FX192" t="e">
        <f>AND(#REF!,"AAAAABtU57M=")</f>
        <v>#REF!</v>
      </c>
      <c r="FY192" t="e">
        <f>AND(#REF!,"AAAAABtU57Q=")</f>
        <v>#REF!</v>
      </c>
      <c r="FZ192" t="e">
        <f>AND(#REF!,"AAAAABtU57U=")</f>
        <v>#REF!</v>
      </c>
      <c r="GA192" t="e">
        <f>AND(#REF!,"AAAAABtU57Y=")</f>
        <v>#REF!</v>
      </c>
      <c r="GB192" t="e">
        <f>AND(#REF!,"AAAAABtU57c=")</f>
        <v>#REF!</v>
      </c>
      <c r="GC192" t="e">
        <f>AND(#REF!,"AAAAABtU57g=")</f>
        <v>#REF!</v>
      </c>
      <c r="GD192" t="e">
        <f>AND(#REF!,"AAAAABtU57k=")</f>
        <v>#REF!</v>
      </c>
      <c r="GE192" t="e">
        <f>AND(#REF!,"AAAAABtU57o=")</f>
        <v>#REF!</v>
      </c>
      <c r="GF192" t="e">
        <f>AND(#REF!,"AAAAABtU57s=")</f>
        <v>#REF!</v>
      </c>
      <c r="GG192" t="e">
        <f>AND(#REF!,"AAAAABtU57w=")</f>
        <v>#REF!</v>
      </c>
      <c r="GH192" t="e">
        <f>AND(#REF!,"AAAAABtU570=")</f>
        <v>#REF!</v>
      </c>
      <c r="GI192" t="e">
        <f>AND(#REF!,"AAAAABtU574=")</f>
        <v>#REF!</v>
      </c>
      <c r="GJ192" t="e">
        <f>AND(#REF!,"AAAAABtU578=")</f>
        <v>#REF!</v>
      </c>
      <c r="GK192" t="e">
        <f>AND(#REF!,"AAAAABtU58A=")</f>
        <v>#REF!</v>
      </c>
      <c r="GL192" t="e">
        <f>AND(#REF!,"AAAAABtU58E=")</f>
        <v>#REF!</v>
      </c>
      <c r="GM192" t="e">
        <f>AND(#REF!,"AAAAABtU58I=")</f>
        <v>#REF!</v>
      </c>
      <c r="GN192" t="e">
        <f>AND(#REF!,"AAAAABtU58M=")</f>
        <v>#REF!</v>
      </c>
      <c r="GO192" t="e">
        <f>AND(#REF!,"AAAAABtU58Q=")</f>
        <v>#REF!</v>
      </c>
      <c r="GP192" t="e">
        <f>AND(#REF!,"AAAAABtU58U=")</f>
        <v>#REF!</v>
      </c>
      <c r="GQ192" t="e">
        <f>AND(#REF!,"AAAAABtU58Y=")</f>
        <v>#REF!</v>
      </c>
      <c r="GR192" t="e">
        <f>AND(#REF!,"AAAAABtU58c=")</f>
        <v>#REF!</v>
      </c>
      <c r="GS192" t="e">
        <f>AND(#REF!,"AAAAABtU58g=")</f>
        <v>#REF!</v>
      </c>
      <c r="GT192" t="e">
        <f>AND(#REF!,"AAAAABtU58k=")</f>
        <v>#REF!</v>
      </c>
      <c r="GU192" t="e">
        <f>AND(#REF!,"AAAAABtU58o=")</f>
        <v>#REF!</v>
      </c>
      <c r="GV192" t="e">
        <f>AND(#REF!,"AAAAABtU58s=")</f>
        <v>#REF!</v>
      </c>
      <c r="GW192" t="e">
        <f>AND(#REF!,"AAAAABtU58w=")</f>
        <v>#REF!</v>
      </c>
      <c r="GX192" t="e">
        <f>AND(#REF!,"AAAAABtU580=")</f>
        <v>#REF!</v>
      </c>
      <c r="GY192" t="e">
        <f>AND(#REF!,"AAAAABtU584=")</f>
        <v>#REF!</v>
      </c>
      <c r="GZ192" t="e">
        <f>AND(#REF!,"AAAAABtU588=")</f>
        <v>#REF!</v>
      </c>
      <c r="HA192" t="e">
        <f>AND(#REF!,"AAAAABtU59A=")</f>
        <v>#REF!</v>
      </c>
      <c r="HB192" t="e">
        <f>AND(#REF!,"AAAAABtU59E=")</f>
        <v>#REF!</v>
      </c>
      <c r="HC192" t="e">
        <f>AND(#REF!,"AAAAABtU59I=")</f>
        <v>#REF!</v>
      </c>
      <c r="HD192" t="e">
        <f>AND(#REF!,"AAAAABtU59M=")</f>
        <v>#REF!</v>
      </c>
      <c r="HE192" t="e">
        <f>AND(#REF!,"AAAAABtU59Q=")</f>
        <v>#REF!</v>
      </c>
      <c r="HF192" t="e">
        <f>AND(#REF!,"AAAAABtU59U=")</f>
        <v>#REF!</v>
      </c>
      <c r="HG192" t="e">
        <f>AND(#REF!,"AAAAABtU59Y=")</f>
        <v>#REF!</v>
      </c>
      <c r="HH192" t="e">
        <f>AND(#REF!,"AAAAABtU59c=")</f>
        <v>#REF!</v>
      </c>
      <c r="HI192" t="e">
        <f>AND(#REF!,"AAAAABtU59g=")</f>
        <v>#REF!</v>
      </c>
      <c r="HJ192" t="e">
        <f>AND(#REF!,"AAAAABtU59k=")</f>
        <v>#REF!</v>
      </c>
      <c r="HK192" t="e">
        <f>AND(#REF!,"AAAAABtU59o=")</f>
        <v>#REF!</v>
      </c>
      <c r="HL192" t="e">
        <f>AND(#REF!,"AAAAABtU59s=")</f>
        <v>#REF!</v>
      </c>
      <c r="HM192" t="e">
        <f>AND(#REF!,"AAAAABtU59w=")</f>
        <v>#REF!</v>
      </c>
      <c r="HN192" t="e">
        <f>AND(#REF!,"AAAAABtU590=")</f>
        <v>#REF!</v>
      </c>
      <c r="HO192" t="e">
        <f>AND(#REF!,"AAAAABtU594=")</f>
        <v>#REF!</v>
      </c>
      <c r="HP192" t="e">
        <f>AND(#REF!,"AAAAABtU598=")</f>
        <v>#REF!</v>
      </c>
      <c r="HQ192" t="e">
        <f>AND(#REF!,"AAAAABtU5+A=")</f>
        <v>#REF!</v>
      </c>
      <c r="HR192" t="e">
        <f>AND(#REF!,"AAAAABtU5+E=")</f>
        <v>#REF!</v>
      </c>
      <c r="HS192" t="e">
        <f>AND(#REF!,"AAAAABtU5+I=")</f>
        <v>#REF!</v>
      </c>
      <c r="HT192" t="e">
        <f>AND(#REF!,"AAAAABtU5+M=")</f>
        <v>#REF!</v>
      </c>
      <c r="HU192" t="e">
        <f>AND(#REF!,"AAAAABtU5+Q=")</f>
        <v>#REF!</v>
      </c>
      <c r="HV192" t="e">
        <f>AND(#REF!,"AAAAABtU5+U=")</f>
        <v>#REF!</v>
      </c>
      <c r="HW192" t="e">
        <f>AND(#REF!,"AAAAABtU5+Y=")</f>
        <v>#REF!</v>
      </c>
      <c r="HX192" t="e">
        <f>AND(#REF!,"AAAAABtU5+c=")</f>
        <v>#REF!</v>
      </c>
      <c r="HY192" t="e">
        <f>AND(#REF!,"AAAAABtU5+g=")</f>
        <v>#REF!</v>
      </c>
      <c r="HZ192" t="e">
        <f>AND(#REF!,"AAAAABtU5+k=")</f>
        <v>#REF!</v>
      </c>
      <c r="IA192" t="e">
        <f>AND(#REF!,"AAAAABtU5+o=")</f>
        <v>#REF!</v>
      </c>
      <c r="IB192" t="e">
        <f>AND(#REF!,"AAAAABtU5+s=")</f>
        <v>#REF!</v>
      </c>
      <c r="IC192" t="e">
        <f>AND(#REF!,"AAAAABtU5+w=")</f>
        <v>#REF!</v>
      </c>
      <c r="ID192" t="e">
        <f>AND(#REF!,"AAAAABtU5+0=")</f>
        <v>#REF!</v>
      </c>
      <c r="IE192" t="e">
        <f>AND(#REF!,"AAAAABtU5+4=")</f>
        <v>#REF!</v>
      </c>
      <c r="IF192" t="e">
        <f>AND(#REF!,"AAAAABtU5+8=")</f>
        <v>#REF!</v>
      </c>
      <c r="IG192" t="e">
        <f>AND(#REF!,"AAAAABtU5/A=")</f>
        <v>#REF!</v>
      </c>
      <c r="IH192" t="e">
        <f>AND(#REF!,"AAAAABtU5/E=")</f>
        <v>#REF!</v>
      </c>
      <c r="II192" t="e">
        <f>AND(#REF!,"AAAAABtU5/I=")</f>
        <v>#REF!</v>
      </c>
      <c r="IJ192" t="e">
        <f>AND(#REF!,"AAAAABtU5/M=")</f>
        <v>#REF!</v>
      </c>
      <c r="IK192" t="e">
        <f>AND(#REF!,"AAAAABtU5/Q=")</f>
        <v>#REF!</v>
      </c>
      <c r="IL192" t="e">
        <f>AND(#REF!,"AAAAABtU5/U=")</f>
        <v>#REF!</v>
      </c>
      <c r="IM192" t="e">
        <f>AND(#REF!,"AAAAABtU5/Y=")</f>
        <v>#REF!</v>
      </c>
      <c r="IN192" t="e">
        <f>AND(#REF!,"AAAAABtU5/c=")</f>
        <v>#REF!</v>
      </c>
      <c r="IO192" t="e">
        <f>AND(#REF!,"AAAAABtU5/g=")</f>
        <v>#REF!</v>
      </c>
      <c r="IP192" t="e">
        <f>AND(#REF!,"AAAAABtU5/k=")</f>
        <v>#REF!</v>
      </c>
      <c r="IQ192" t="e">
        <f>AND(#REF!,"AAAAABtU5/o=")</f>
        <v>#REF!</v>
      </c>
      <c r="IR192" t="e">
        <f>AND(#REF!,"AAAAABtU5/s=")</f>
        <v>#REF!</v>
      </c>
      <c r="IS192" t="e">
        <f>AND(#REF!,"AAAAABtU5/w=")</f>
        <v>#REF!</v>
      </c>
      <c r="IT192" t="e">
        <f>AND(#REF!,"AAAAABtU5/0=")</f>
        <v>#REF!</v>
      </c>
      <c r="IU192" t="e">
        <f>AND(#REF!,"AAAAABtU5/4=")</f>
        <v>#REF!</v>
      </c>
      <c r="IV192" t="e">
        <f>AND(#REF!,"AAAAABtU5/8=")</f>
        <v>#REF!</v>
      </c>
    </row>
    <row r="193" spans="1:256">
      <c r="A193" t="e">
        <f>AND(#REF!,"AAAAADS/1wA=")</f>
        <v>#REF!</v>
      </c>
      <c r="B193" t="e">
        <f>AND(#REF!,"AAAAADS/1wE=")</f>
        <v>#REF!</v>
      </c>
      <c r="C193" t="e">
        <f>AND(#REF!,"AAAAADS/1wI=")</f>
        <v>#REF!</v>
      </c>
      <c r="D193" t="e">
        <f>AND(#REF!,"AAAAADS/1wM=")</f>
        <v>#REF!</v>
      </c>
      <c r="E193" t="e">
        <f>AND(#REF!,"AAAAADS/1wQ=")</f>
        <v>#REF!</v>
      </c>
      <c r="F193" t="e">
        <f>AND(#REF!,"AAAAADS/1wU=")</f>
        <v>#REF!</v>
      </c>
      <c r="G193" t="e">
        <f>AND(#REF!,"AAAAADS/1wY=")</f>
        <v>#REF!</v>
      </c>
      <c r="H193" t="e">
        <f>AND(#REF!,"AAAAADS/1wc=")</f>
        <v>#REF!</v>
      </c>
      <c r="I193" t="e">
        <f>AND(#REF!,"AAAAADS/1wg=")</f>
        <v>#REF!</v>
      </c>
      <c r="J193" t="e">
        <f>AND(#REF!,"AAAAADS/1wk=")</f>
        <v>#REF!</v>
      </c>
      <c r="K193" t="e">
        <f>AND(#REF!,"AAAAADS/1wo=")</f>
        <v>#REF!</v>
      </c>
      <c r="L193" t="e">
        <f>AND(#REF!,"AAAAADS/1ws=")</f>
        <v>#REF!</v>
      </c>
      <c r="M193" t="e">
        <f>AND(#REF!,"AAAAADS/1ww=")</f>
        <v>#REF!</v>
      </c>
      <c r="N193" t="e">
        <f>AND(#REF!,"AAAAADS/1w0=")</f>
        <v>#REF!</v>
      </c>
      <c r="O193" t="e">
        <f>AND(#REF!,"AAAAADS/1w4=")</f>
        <v>#REF!</v>
      </c>
      <c r="P193" t="e">
        <f>AND(#REF!,"AAAAADS/1w8=")</f>
        <v>#REF!</v>
      </c>
      <c r="Q193" t="e">
        <f>AND(#REF!,"AAAAADS/1xA=")</f>
        <v>#REF!</v>
      </c>
      <c r="R193" t="e">
        <f>AND(#REF!,"AAAAADS/1xE=")</f>
        <v>#REF!</v>
      </c>
      <c r="S193" t="e">
        <f>AND(#REF!,"AAAAADS/1xI=")</f>
        <v>#REF!</v>
      </c>
      <c r="T193" t="e">
        <f>AND(#REF!,"AAAAADS/1xM=")</f>
        <v>#REF!</v>
      </c>
      <c r="U193" t="e">
        <f>AND(#REF!,"AAAAADS/1xQ=")</f>
        <v>#REF!</v>
      </c>
      <c r="V193" t="e">
        <f>AND(#REF!,"AAAAADS/1xU=")</f>
        <v>#REF!</v>
      </c>
      <c r="W193" t="e">
        <f>AND(#REF!,"AAAAADS/1xY=")</f>
        <v>#REF!</v>
      </c>
      <c r="X193" t="e">
        <f>AND(#REF!,"AAAAADS/1xc=")</f>
        <v>#REF!</v>
      </c>
      <c r="Y193" t="e">
        <f>AND(#REF!,"AAAAADS/1xg=")</f>
        <v>#REF!</v>
      </c>
      <c r="Z193" t="e">
        <f>AND(#REF!,"AAAAADS/1xk=")</f>
        <v>#REF!</v>
      </c>
      <c r="AA193" t="e">
        <f>AND(#REF!,"AAAAADS/1xo=")</f>
        <v>#REF!</v>
      </c>
      <c r="AB193" t="e">
        <f>AND(#REF!,"AAAAADS/1xs=")</f>
        <v>#REF!</v>
      </c>
      <c r="AC193" t="e">
        <f>AND(#REF!,"AAAAADS/1xw=")</f>
        <v>#REF!</v>
      </c>
      <c r="AD193" t="e">
        <f>AND(#REF!,"AAAAADS/1x0=")</f>
        <v>#REF!</v>
      </c>
      <c r="AE193" t="e">
        <f>AND(#REF!,"AAAAADS/1x4=")</f>
        <v>#REF!</v>
      </c>
      <c r="AF193" t="e">
        <f>AND(#REF!,"AAAAADS/1x8=")</f>
        <v>#REF!</v>
      </c>
      <c r="AG193" t="e">
        <f>AND(#REF!,"AAAAADS/1yA=")</f>
        <v>#REF!</v>
      </c>
      <c r="AH193" t="e">
        <f>AND(#REF!,"AAAAADS/1yE=")</f>
        <v>#REF!</v>
      </c>
      <c r="AI193" t="e">
        <f>AND(#REF!,"AAAAADS/1yI=")</f>
        <v>#REF!</v>
      </c>
      <c r="AJ193" t="e">
        <f>AND(#REF!,"AAAAADS/1yM=")</f>
        <v>#REF!</v>
      </c>
      <c r="AK193" t="e">
        <f>AND(#REF!,"AAAAADS/1yQ=")</f>
        <v>#REF!</v>
      </c>
      <c r="AL193" t="e">
        <f>AND(#REF!,"AAAAADS/1yU=")</f>
        <v>#REF!</v>
      </c>
      <c r="AM193" t="e">
        <f>IF(#REF!,"AAAAADS/1yY=",0)</f>
        <v>#REF!</v>
      </c>
      <c r="AN193" t="e">
        <f>AND(#REF!,"AAAAADS/1yc=")</f>
        <v>#REF!</v>
      </c>
      <c r="AO193" t="e">
        <f>AND(#REF!,"AAAAADS/1yg=")</f>
        <v>#REF!</v>
      </c>
      <c r="AP193" t="e">
        <f>AND(#REF!,"AAAAADS/1yk=")</f>
        <v>#REF!</v>
      </c>
      <c r="AQ193" t="e">
        <f>AND(#REF!,"AAAAADS/1yo=")</f>
        <v>#REF!</v>
      </c>
      <c r="AR193" t="e">
        <f>AND(#REF!,"AAAAADS/1ys=")</f>
        <v>#REF!</v>
      </c>
      <c r="AS193" t="e">
        <f>AND(#REF!,"AAAAADS/1yw=")</f>
        <v>#REF!</v>
      </c>
      <c r="AT193" t="e">
        <f>AND(#REF!,"AAAAADS/1y0=")</f>
        <v>#REF!</v>
      </c>
      <c r="AU193" t="e">
        <f>AND(#REF!,"AAAAADS/1y4=")</f>
        <v>#REF!</v>
      </c>
      <c r="AV193" t="e">
        <f>AND(#REF!,"AAAAADS/1y8=")</f>
        <v>#REF!</v>
      </c>
      <c r="AW193" t="e">
        <f>AND(#REF!,"AAAAADS/1zA=")</f>
        <v>#REF!</v>
      </c>
      <c r="AX193" t="e">
        <f>AND(#REF!,"AAAAADS/1zE=")</f>
        <v>#REF!</v>
      </c>
      <c r="AY193" t="e">
        <f>AND(#REF!,"AAAAADS/1zI=")</f>
        <v>#REF!</v>
      </c>
      <c r="AZ193" t="e">
        <f>AND(#REF!,"AAAAADS/1zM=")</f>
        <v>#REF!</v>
      </c>
      <c r="BA193" t="e">
        <f>AND(#REF!,"AAAAADS/1zQ=")</f>
        <v>#REF!</v>
      </c>
      <c r="BB193" t="e">
        <f>AND(#REF!,"AAAAADS/1zU=")</f>
        <v>#REF!</v>
      </c>
      <c r="BC193" t="e">
        <f>AND(#REF!,"AAAAADS/1zY=")</f>
        <v>#REF!</v>
      </c>
      <c r="BD193" t="e">
        <f>AND(#REF!,"AAAAADS/1zc=")</f>
        <v>#REF!</v>
      </c>
      <c r="BE193" t="e">
        <f>AND(#REF!,"AAAAADS/1zg=")</f>
        <v>#REF!</v>
      </c>
      <c r="BF193" t="e">
        <f>AND(#REF!,"AAAAADS/1zk=")</f>
        <v>#REF!</v>
      </c>
      <c r="BG193" t="e">
        <f>AND(#REF!,"AAAAADS/1zo=")</f>
        <v>#REF!</v>
      </c>
      <c r="BH193" t="e">
        <f>AND(#REF!,"AAAAADS/1zs=")</f>
        <v>#REF!</v>
      </c>
      <c r="BI193" t="e">
        <f>AND(#REF!,"AAAAADS/1zw=")</f>
        <v>#REF!</v>
      </c>
      <c r="BJ193" t="e">
        <f>AND(#REF!,"AAAAADS/1z0=")</f>
        <v>#REF!</v>
      </c>
      <c r="BK193" t="e">
        <f>AND(#REF!,"AAAAADS/1z4=")</f>
        <v>#REF!</v>
      </c>
      <c r="BL193" t="e">
        <f>AND(#REF!,"AAAAADS/1z8=")</f>
        <v>#REF!</v>
      </c>
      <c r="BM193" t="e">
        <f>AND(#REF!,"AAAAADS/10A=")</f>
        <v>#REF!</v>
      </c>
      <c r="BN193" t="e">
        <f>AND(#REF!,"AAAAADS/10E=")</f>
        <v>#REF!</v>
      </c>
      <c r="BO193" t="e">
        <f>AND(#REF!,"AAAAADS/10I=")</f>
        <v>#REF!</v>
      </c>
      <c r="BP193" t="e">
        <f>AND(#REF!,"AAAAADS/10M=")</f>
        <v>#REF!</v>
      </c>
      <c r="BQ193" t="e">
        <f>AND(#REF!,"AAAAADS/10Q=")</f>
        <v>#REF!</v>
      </c>
      <c r="BR193" t="e">
        <f>AND(#REF!,"AAAAADS/10U=")</f>
        <v>#REF!</v>
      </c>
      <c r="BS193" t="e">
        <f>AND(#REF!,"AAAAADS/10Y=")</f>
        <v>#REF!</v>
      </c>
      <c r="BT193" t="e">
        <f>AND(#REF!,"AAAAADS/10c=")</f>
        <v>#REF!</v>
      </c>
      <c r="BU193" t="e">
        <f>AND(#REF!,"AAAAADS/10g=")</f>
        <v>#REF!</v>
      </c>
      <c r="BV193" t="e">
        <f>AND(#REF!,"AAAAADS/10k=")</f>
        <v>#REF!</v>
      </c>
      <c r="BW193" t="e">
        <f>AND(#REF!,"AAAAADS/10o=")</f>
        <v>#REF!</v>
      </c>
      <c r="BX193" t="e">
        <f>AND(#REF!,"AAAAADS/10s=")</f>
        <v>#REF!</v>
      </c>
      <c r="BY193" t="e">
        <f>AND(#REF!,"AAAAADS/10w=")</f>
        <v>#REF!</v>
      </c>
      <c r="BZ193" t="e">
        <f>AND(#REF!,"AAAAADS/100=")</f>
        <v>#REF!</v>
      </c>
      <c r="CA193" t="e">
        <f>AND(#REF!,"AAAAADS/104=")</f>
        <v>#REF!</v>
      </c>
      <c r="CB193" t="e">
        <f>AND(#REF!,"AAAAADS/108=")</f>
        <v>#REF!</v>
      </c>
      <c r="CC193" t="e">
        <f>AND(#REF!,"AAAAADS/11A=")</f>
        <v>#REF!</v>
      </c>
      <c r="CD193" t="e">
        <f>AND(#REF!,"AAAAADS/11E=")</f>
        <v>#REF!</v>
      </c>
      <c r="CE193" t="e">
        <f>AND(#REF!,"AAAAADS/11I=")</f>
        <v>#REF!</v>
      </c>
      <c r="CF193" t="e">
        <f>AND(#REF!,"AAAAADS/11M=")</f>
        <v>#REF!</v>
      </c>
      <c r="CG193" t="e">
        <f>AND(#REF!,"AAAAADS/11Q=")</f>
        <v>#REF!</v>
      </c>
      <c r="CH193" t="e">
        <f>AND(#REF!,"AAAAADS/11U=")</f>
        <v>#REF!</v>
      </c>
      <c r="CI193" t="e">
        <f>AND(#REF!,"AAAAADS/11Y=")</f>
        <v>#REF!</v>
      </c>
      <c r="CJ193" t="e">
        <f>AND(#REF!,"AAAAADS/11c=")</f>
        <v>#REF!</v>
      </c>
      <c r="CK193" t="e">
        <f>AND(#REF!,"AAAAADS/11g=")</f>
        <v>#REF!</v>
      </c>
      <c r="CL193" t="e">
        <f>AND(#REF!,"AAAAADS/11k=")</f>
        <v>#REF!</v>
      </c>
      <c r="CM193" t="e">
        <f>AND(#REF!,"AAAAADS/11o=")</f>
        <v>#REF!</v>
      </c>
      <c r="CN193" t="e">
        <f>AND(#REF!,"AAAAADS/11s=")</f>
        <v>#REF!</v>
      </c>
      <c r="CO193" t="e">
        <f>AND(#REF!,"AAAAADS/11w=")</f>
        <v>#REF!</v>
      </c>
      <c r="CP193" t="e">
        <f>AND(#REF!,"AAAAADS/110=")</f>
        <v>#REF!</v>
      </c>
      <c r="CQ193" t="e">
        <f>AND(#REF!,"AAAAADS/114=")</f>
        <v>#REF!</v>
      </c>
      <c r="CR193" t="e">
        <f>AND(#REF!,"AAAAADS/118=")</f>
        <v>#REF!</v>
      </c>
      <c r="CS193" t="e">
        <f>AND(#REF!,"AAAAADS/12A=")</f>
        <v>#REF!</v>
      </c>
      <c r="CT193" t="e">
        <f>AND(#REF!,"AAAAADS/12E=")</f>
        <v>#REF!</v>
      </c>
      <c r="CU193" t="e">
        <f>AND(#REF!,"AAAAADS/12I=")</f>
        <v>#REF!</v>
      </c>
      <c r="CV193" t="e">
        <f>AND(#REF!,"AAAAADS/12M=")</f>
        <v>#REF!</v>
      </c>
      <c r="CW193" t="e">
        <f>AND(#REF!,"AAAAADS/12Q=")</f>
        <v>#REF!</v>
      </c>
      <c r="CX193" t="e">
        <f>AND(#REF!,"AAAAADS/12U=")</f>
        <v>#REF!</v>
      </c>
      <c r="CY193" t="e">
        <f>AND(#REF!,"AAAAADS/12Y=")</f>
        <v>#REF!</v>
      </c>
      <c r="CZ193" t="e">
        <f>AND(#REF!,"AAAAADS/12c=")</f>
        <v>#REF!</v>
      </c>
      <c r="DA193" t="e">
        <f>AND(#REF!,"AAAAADS/12g=")</f>
        <v>#REF!</v>
      </c>
      <c r="DB193" t="e">
        <f>AND(#REF!,"AAAAADS/12k=")</f>
        <v>#REF!</v>
      </c>
      <c r="DC193" t="e">
        <f>AND(#REF!,"AAAAADS/12o=")</f>
        <v>#REF!</v>
      </c>
      <c r="DD193" t="e">
        <f>AND(#REF!,"AAAAADS/12s=")</f>
        <v>#REF!</v>
      </c>
      <c r="DE193" t="e">
        <f>AND(#REF!,"AAAAADS/12w=")</f>
        <v>#REF!</v>
      </c>
      <c r="DF193" t="e">
        <f>AND(#REF!,"AAAAADS/120=")</f>
        <v>#REF!</v>
      </c>
      <c r="DG193" t="e">
        <f>AND(#REF!,"AAAAADS/124=")</f>
        <v>#REF!</v>
      </c>
      <c r="DH193" t="e">
        <f>AND(#REF!,"AAAAADS/128=")</f>
        <v>#REF!</v>
      </c>
      <c r="DI193" t="e">
        <f>AND(#REF!,"AAAAADS/13A=")</f>
        <v>#REF!</v>
      </c>
      <c r="DJ193" t="e">
        <f>AND(#REF!,"AAAAADS/13E=")</f>
        <v>#REF!</v>
      </c>
      <c r="DK193" t="e">
        <f>AND(#REF!,"AAAAADS/13I=")</f>
        <v>#REF!</v>
      </c>
      <c r="DL193" t="e">
        <f>AND(#REF!,"AAAAADS/13M=")</f>
        <v>#REF!</v>
      </c>
      <c r="DM193" t="e">
        <f>AND(#REF!,"AAAAADS/13Q=")</f>
        <v>#REF!</v>
      </c>
      <c r="DN193" t="e">
        <f>AND(#REF!,"AAAAADS/13U=")</f>
        <v>#REF!</v>
      </c>
      <c r="DO193" t="e">
        <f>AND(#REF!,"AAAAADS/13Y=")</f>
        <v>#REF!</v>
      </c>
      <c r="DP193" t="e">
        <f>AND(#REF!,"AAAAADS/13c=")</f>
        <v>#REF!</v>
      </c>
      <c r="DQ193" t="e">
        <f>AND(#REF!,"AAAAADS/13g=")</f>
        <v>#REF!</v>
      </c>
      <c r="DR193" t="e">
        <f>AND(#REF!,"AAAAADS/13k=")</f>
        <v>#REF!</v>
      </c>
      <c r="DS193" t="e">
        <f>AND(#REF!,"AAAAADS/13o=")</f>
        <v>#REF!</v>
      </c>
      <c r="DT193" t="e">
        <f>AND(#REF!,"AAAAADS/13s=")</f>
        <v>#REF!</v>
      </c>
      <c r="DU193" t="e">
        <f>AND(#REF!,"AAAAADS/13w=")</f>
        <v>#REF!</v>
      </c>
      <c r="DV193" t="e">
        <f>AND(#REF!,"AAAAADS/130=")</f>
        <v>#REF!</v>
      </c>
      <c r="DW193" t="e">
        <f>AND(#REF!,"AAAAADS/134=")</f>
        <v>#REF!</v>
      </c>
      <c r="DX193" t="e">
        <f>AND(#REF!,"AAAAADS/138=")</f>
        <v>#REF!</v>
      </c>
      <c r="DY193" t="e">
        <f>AND(#REF!,"AAAAADS/14A=")</f>
        <v>#REF!</v>
      </c>
      <c r="DZ193" t="e">
        <f>AND(#REF!,"AAAAADS/14E=")</f>
        <v>#REF!</v>
      </c>
      <c r="EA193" t="e">
        <f>AND(#REF!,"AAAAADS/14I=")</f>
        <v>#REF!</v>
      </c>
      <c r="EB193" t="e">
        <f>AND(#REF!,"AAAAADS/14M=")</f>
        <v>#REF!</v>
      </c>
      <c r="EC193" t="e">
        <f>AND(#REF!,"AAAAADS/14Q=")</f>
        <v>#REF!</v>
      </c>
      <c r="ED193" t="e">
        <f>AND(#REF!,"AAAAADS/14U=")</f>
        <v>#REF!</v>
      </c>
      <c r="EE193" t="e">
        <f>AND(#REF!,"AAAAADS/14Y=")</f>
        <v>#REF!</v>
      </c>
      <c r="EF193" t="e">
        <f>AND(#REF!,"AAAAADS/14c=")</f>
        <v>#REF!</v>
      </c>
      <c r="EG193" t="e">
        <f>AND(#REF!,"AAAAADS/14g=")</f>
        <v>#REF!</v>
      </c>
      <c r="EH193" t="e">
        <f>AND(#REF!,"AAAAADS/14k=")</f>
        <v>#REF!</v>
      </c>
      <c r="EI193" t="e">
        <f>AND(#REF!,"AAAAADS/14o=")</f>
        <v>#REF!</v>
      </c>
      <c r="EJ193" t="e">
        <f>AND(#REF!,"AAAAADS/14s=")</f>
        <v>#REF!</v>
      </c>
      <c r="EK193" t="e">
        <f>AND(#REF!,"AAAAADS/14w=")</f>
        <v>#REF!</v>
      </c>
      <c r="EL193" t="e">
        <f>AND(#REF!,"AAAAADS/140=")</f>
        <v>#REF!</v>
      </c>
      <c r="EM193" t="e">
        <f>AND(#REF!,"AAAAADS/144=")</f>
        <v>#REF!</v>
      </c>
      <c r="EN193" t="e">
        <f>AND(#REF!,"AAAAADS/148=")</f>
        <v>#REF!</v>
      </c>
      <c r="EO193" t="e">
        <f>AND(#REF!,"AAAAADS/15A=")</f>
        <v>#REF!</v>
      </c>
      <c r="EP193" t="e">
        <f>AND(#REF!,"AAAAADS/15E=")</f>
        <v>#REF!</v>
      </c>
      <c r="EQ193" t="e">
        <f>AND(#REF!,"AAAAADS/15I=")</f>
        <v>#REF!</v>
      </c>
      <c r="ER193" t="e">
        <f>AND(#REF!,"AAAAADS/15M=")</f>
        <v>#REF!</v>
      </c>
      <c r="ES193" t="e">
        <f>AND(#REF!,"AAAAADS/15Q=")</f>
        <v>#REF!</v>
      </c>
      <c r="ET193" t="e">
        <f>AND(#REF!,"AAAAADS/15U=")</f>
        <v>#REF!</v>
      </c>
      <c r="EU193" t="e">
        <f>AND(#REF!,"AAAAADS/15Y=")</f>
        <v>#REF!</v>
      </c>
      <c r="EV193" t="e">
        <f>AND(#REF!,"AAAAADS/15c=")</f>
        <v>#REF!</v>
      </c>
      <c r="EW193" t="e">
        <f>AND(#REF!,"AAAAADS/15g=")</f>
        <v>#REF!</v>
      </c>
      <c r="EX193" t="e">
        <f>AND(#REF!,"AAAAADS/15k=")</f>
        <v>#REF!</v>
      </c>
      <c r="EY193" t="e">
        <f>AND(#REF!,"AAAAADS/15o=")</f>
        <v>#REF!</v>
      </c>
      <c r="EZ193" t="e">
        <f>AND(#REF!,"AAAAADS/15s=")</f>
        <v>#REF!</v>
      </c>
      <c r="FA193" t="e">
        <f>AND(#REF!,"AAAAADS/15w=")</f>
        <v>#REF!</v>
      </c>
      <c r="FB193" t="e">
        <f>AND(#REF!,"AAAAADS/150=")</f>
        <v>#REF!</v>
      </c>
      <c r="FC193" t="e">
        <f>AND(#REF!,"AAAAADS/154=")</f>
        <v>#REF!</v>
      </c>
      <c r="FD193" t="e">
        <f>AND(#REF!,"AAAAADS/158=")</f>
        <v>#REF!</v>
      </c>
      <c r="FE193" t="e">
        <f>AND(#REF!,"AAAAADS/16A=")</f>
        <v>#REF!</v>
      </c>
      <c r="FF193" t="e">
        <f>AND(#REF!,"AAAAADS/16E=")</f>
        <v>#REF!</v>
      </c>
      <c r="FG193" t="e">
        <f>AND(#REF!,"AAAAADS/16I=")</f>
        <v>#REF!</v>
      </c>
      <c r="FH193" t="e">
        <f>AND(#REF!,"AAAAADS/16M=")</f>
        <v>#REF!</v>
      </c>
      <c r="FI193" t="e">
        <f>AND(#REF!,"AAAAADS/16Q=")</f>
        <v>#REF!</v>
      </c>
      <c r="FJ193" t="e">
        <f>AND(#REF!,"AAAAADS/16U=")</f>
        <v>#REF!</v>
      </c>
      <c r="FK193" t="e">
        <f>AND(#REF!,"AAAAADS/16Y=")</f>
        <v>#REF!</v>
      </c>
      <c r="FL193" t="e">
        <f>AND(#REF!,"AAAAADS/16c=")</f>
        <v>#REF!</v>
      </c>
      <c r="FM193" t="e">
        <f>AND(#REF!,"AAAAADS/16g=")</f>
        <v>#REF!</v>
      </c>
      <c r="FN193" t="e">
        <f>AND(#REF!,"AAAAADS/16k=")</f>
        <v>#REF!</v>
      </c>
      <c r="FO193" t="e">
        <f>AND(#REF!,"AAAAADS/16o=")</f>
        <v>#REF!</v>
      </c>
      <c r="FP193" t="e">
        <f>AND(#REF!,"AAAAADS/16s=")</f>
        <v>#REF!</v>
      </c>
      <c r="FQ193" t="e">
        <f>AND(#REF!,"AAAAADS/16w=")</f>
        <v>#REF!</v>
      </c>
      <c r="FR193" t="e">
        <f>AND(#REF!,"AAAAADS/160=")</f>
        <v>#REF!</v>
      </c>
      <c r="FS193" t="e">
        <f>AND(#REF!,"AAAAADS/164=")</f>
        <v>#REF!</v>
      </c>
      <c r="FT193" t="e">
        <f>AND(#REF!,"AAAAADS/168=")</f>
        <v>#REF!</v>
      </c>
      <c r="FU193" t="e">
        <f>AND(#REF!,"AAAAADS/17A=")</f>
        <v>#REF!</v>
      </c>
      <c r="FV193" t="e">
        <f>AND(#REF!,"AAAAADS/17E=")</f>
        <v>#REF!</v>
      </c>
      <c r="FW193" t="e">
        <f>AND(#REF!,"AAAAADS/17I=")</f>
        <v>#REF!</v>
      </c>
      <c r="FX193" t="e">
        <f>AND(#REF!,"AAAAADS/17M=")</f>
        <v>#REF!</v>
      </c>
      <c r="FY193" t="e">
        <f>AND(#REF!,"AAAAADS/17Q=")</f>
        <v>#REF!</v>
      </c>
      <c r="FZ193" t="e">
        <f>AND(#REF!,"AAAAADS/17U=")</f>
        <v>#REF!</v>
      </c>
      <c r="GA193" t="e">
        <f>AND(#REF!,"AAAAADS/17Y=")</f>
        <v>#REF!</v>
      </c>
      <c r="GB193" t="e">
        <f>AND(#REF!,"AAAAADS/17c=")</f>
        <v>#REF!</v>
      </c>
      <c r="GC193" t="e">
        <f>AND(#REF!,"AAAAADS/17g=")</f>
        <v>#REF!</v>
      </c>
      <c r="GD193" t="e">
        <f>AND(#REF!,"AAAAADS/17k=")</f>
        <v>#REF!</v>
      </c>
      <c r="GE193" t="e">
        <f>AND(#REF!,"AAAAADS/17o=")</f>
        <v>#REF!</v>
      </c>
      <c r="GF193" t="e">
        <f>AND(#REF!,"AAAAADS/17s=")</f>
        <v>#REF!</v>
      </c>
      <c r="GG193" t="e">
        <f>AND(#REF!,"AAAAADS/17w=")</f>
        <v>#REF!</v>
      </c>
      <c r="GH193" t="e">
        <f>AND(#REF!,"AAAAADS/170=")</f>
        <v>#REF!</v>
      </c>
      <c r="GI193" t="e">
        <f>AND(#REF!,"AAAAADS/174=")</f>
        <v>#REF!</v>
      </c>
      <c r="GJ193" t="e">
        <f>AND(#REF!,"AAAAADS/178=")</f>
        <v>#REF!</v>
      </c>
      <c r="GK193" t="e">
        <f>AND(#REF!,"AAAAADS/18A=")</f>
        <v>#REF!</v>
      </c>
      <c r="GL193" t="e">
        <f>AND(#REF!,"AAAAADS/18E=")</f>
        <v>#REF!</v>
      </c>
      <c r="GM193" t="e">
        <f>AND(#REF!,"AAAAADS/18I=")</f>
        <v>#REF!</v>
      </c>
      <c r="GN193" t="e">
        <f>AND(#REF!,"AAAAADS/18M=")</f>
        <v>#REF!</v>
      </c>
      <c r="GO193" t="e">
        <f>AND(#REF!,"AAAAADS/18Q=")</f>
        <v>#REF!</v>
      </c>
      <c r="GP193" t="e">
        <f>AND(#REF!,"AAAAADS/18U=")</f>
        <v>#REF!</v>
      </c>
      <c r="GQ193" t="e">
        <f>AND(#REF!,"AAAAADS/18Y=")</f>
        <v>#REF!</v>
      </c>
      <c r="GR193" t="e">
        <f>AND(#REF!,"AAAAADS/18c=")</f>
        <v>#REF!</v>
      </c>
      <c r="GS193" t="e">
        <f>AND(#REF!,"AAAAADS/18g=")</f>
        <v>#REF!</v>
      </c>
      <c r="GT193" t="e">
        <f>AND(#REF!,"AAAAADS/18k=")</f>
        <v>#REF!</v>
      </c>
      <c r="GU193" t="e">
        <f>AND(#REF!,"AAAAADS/18o=")</f>
        <v>#REF!</v>
      </c>
      <c r="GV193" t="e">
        <f>AND(#REF!,"AAAAADS/18s=")</f>
        <v>#REF!</v>
      </c>
      <c r="GW193" t="e">
        <f>AND(#REF!,"AAAAADS/18w=")</f>
        <v>#REF!</v>
      </c>
      <c r="GX193" t="e">
        <f>AND(#REF!,"AAAAADS/180=")</f>
        <v>#REF!</v>
      </c>
      <c r="GY193" t="e">
        <f>AND(#REF!,"AAAAADS/184=")</f>
        <v>#REF!</v>
      </c>
      <c r="GZ193" t="e">
        <f>AND(#REF!,"AAAAADS/188=")</f>
        <v>#REF!</v>
      </c>
      <c r="HA193" t="e">
        <f>AND(#REF!,"AAAAADS/19A=")</f>
        <v>#REF!</v>
      </c>
      <c r="HB193" t="e">
        <f>AND(#REF!,"AAAAADS/19E=")</f>
        <v>#REF!</v>
      </c>
      <c r="HC193" t="e">
        <f>AND(#REF!,"AAAAADS/19I=")</f>
        <v>#REF!</v>
      </c>
      <c r="HD193" t="e">
        <f>AND(#REF!,"AAAAADS/19M=")</f>
        <v>#REF!</v>
      </c>
      <c r="HE193" t="e">
        <f>AND(#REF!,"AAAAADS/19Q=")</f>
        <v>#REF!</v>
      </c>
      <c r="HF193" t="e">
        <f>AND(#REF!,"AAAAADS/19U=")</f>
        <v>#REF!</v>
      </c>
      <c r="HG193" t="e">
        <f>AND(#REF!,"AAAAADS/19Y=")</f>
        <v>#REF!</v>
      </c>
      <c r="HH193" t="e">
        <f>AND(#REF!,"AAAAADS/19c=")</f>
        <v>#REF!</v>
      </c>
      <c r="HI193" t="e">
        <f>AND(#REF!,"AAAAADS/19g=")</f>
        <v>#REF!</v>
      </c>
      <c r="HJ193" t="e">
        <f>AND(#REF!,"AAAAADS/19k=")</f>
        <v>#REF!</v>
      </c>
      <c r="HK193" t="e">
        <f>AND(#REF!,"AAAAADS/19o=")</f>
        <v>#REF!</v>
      </c>
      <c r="HL193" t="e">
        <f>AND(#REF!,"AAAAADS/19s=")</f>
        <v>#REF!</v>
      </c>
      <c r="HM193" t="e">
        <f>AND(#REF!,"AAAAADS/19w=")</f>
        <v>#REF!</v>
      </c>
      <c r="HN193" t="e">
        <f>AND(#REF!,"AAAAADS/190=")</f>
        <v>#REF!</v>
      </c>
      <c r="HO193" t="e">
        <f>AND(#REF!,"AAAAADS/194=")</f>
        <v>#REF!</v>
      </c>
      <c r="HP193" t="e">
        <f>AND(#REF!,"AAAAADS/198=")</f>
        <v>#REF!</v>
      </c>
      <c r="HQ193" t="e">
        <f>AND(#REF!,"AAAAADS/1+A=")</f>
        <v>#REF!</v>
      </c>
      <c r="HR193" t="e">
        <f>AND(#REF!,"AAAAADS/1+E=")</f>
        <v>#REF!</v>
      </c>
      <c r="HS193" t="e">
        <f>AND(#REF!,"AAAAADS/1+I=")</f>
        <v>#REF!</v>
      </c>
      <c r="HT193" t="e">
        <f>AND(#REF!,"AAAAADS/1+M=")</f>
        <v>#REF!</v>
      </c>
      <c r="HU193" t="e">
        <f>AND(#REF!,"AAAAADS/1+Q=")</f>
        <v>#REF!</v>
      </c>
      <c r="HV193" t="e">
        <f>AND(#REF!,"AAAAADS/1+U=")</f>
        <v>#REF!</v>
      </c>
      <c r="HW193" t="e">
        <f>AND(#REF!,"AAAAADS/1+Y=")</f>
        <v>#REF!</v>
      </c>
      <c r="HX193" t="e">
        <f>AND(#REF!,"AAAAADS/1+c=")</f>
        <v>#REF!</v>
      </c>
      <c r="HY193" t="e">
        <f>AND(#REF!,"AAAAADS/1+g=")</f>
        <v>#REF!</v>
      </c>
      <c r="HZ193" t="e">
        <f>AND(#REF!,"AAAAADS/1+k=")</f>
        <v>#REF!</v>
      </c>
      <c r="IA193" t="e">
        <f>AND(#REF!,"AAAAADS/1+o=")</f>
        <v>#REF!</v>
      </c>
      <c r="IB193" t="e">
        <f>AND(#REF!,"AAAAADS/1+s=")</f>
        <v>#REF!</v>
      </c>
      <c r="IC193" t="e">
        <f>AND(#REF!,"AAAAADS/1+w=")</f>
        <v>#REF!</v>
      </c>
      <c r="ID193" t="e">
        <f>AND(#REF!,"AAAAADS/1+0=")</f>
        <v>#REF!</v>
      </c>
      <c r="IE193" t="e">
        <f>AND(#REF!,"AAAAADS/1+4=")</f>
        <v>#REF!</v>
      </c>
      <c r="IF193" t="e">
        <f>AND(#REF!,"AAAAADS/1+8=")</f>
        <v>#REF!</v>
      </c>
      <c r="IG193" t="e">
        <f>AND(#REF!,"AAAAADS/1/A=")</f>
        <v>#REF!</v>
      </c>
      <c r="IH193" t="e">
        <f>AND(#REF!,"AAAAADS/1/E=")</f>
        <v>#REF!</v>
      </c>
      <c r="II193" t="e">
        <f>AND(#REF!,"AAAAADS/1/I=")</f>
        <v>#REF!</v>
      </c>
      <c r="IJ193" t="e">
        <f>AND(#REF!,"AAAAADS/1/M=")</f>
        <v>#REF!</v>
      </c>
      <c r="IK193" t="e">
        <f>AND(#REF!,"AAAAADS/1/Q=")</f>
        <v>#REF!</v>
      </c>
      <c r="IL193" t="e">
        <f>AND(#REF!,"AAAAADS/1/U=")</f>
        <v>#REF!</v>
      </c>
      <c r="IM193" t="e">
        <f>AND(#REF!,"AAAAADS/1/Y=")</f>
        <v>#REF!</v>
      </c>
      <c r="IN193" t="e">
        <f>AND(#REF!,"AAAAADS/1/c=")</f>
        <v>#REF!</v>
      </c>
      <c r="IO193" t="e">
        <f>AND(#REF!,"AAAAADS/1/g=")</f>
        <v>#REF!</v>
      </c>
      <c r="IP193" t="e">
        <f>AND(#REF!,"AAAAADS/1/k=")</f>
        <v>#REF!</v>
      </c>
      <c r="IQ193" t="e">
        <f>AND(#REF!,"AAAAADS/1/o=")</f>
        <v>#REF!</v>
      </c>
      <c r="IR193" t="e">
        <f>AND(#REF!,"AAAAADS/1/s=")</f>
        <v>#REF!</v>
      </c>
      <c r="IS193" t="e">
        <f>AND(#REF!,"AAAAADS/1/w=")</f>
        <v>#REF!</v>
      </c>
      <c r="IT193" t="e">
        <f>AND(#REF!,"AAAAADS/1/0=")</f>
        <v>#REF!</v>
      </c>
      <c r="IU193" t="e">
        <f>AND(#REF!,"AAAAADS/1/4=")</f>
        <v>#REF!</v>
      </c>
      <c r="IV193" t="e">
        <f>AND(#REF!,"AAAAADS/1/8=")</f>
        <v>#REF!</v>
      </c>
    </row>
    <row r="194" spans="1:256">
      <c r="A194" t="e">
        <f>AND(#REF!,"AAAAAGW/3QA=")</f>
        <v>#REF!</v>
      </c>
      <c r="B194" t="e">
        <f>AND(#REF!,"AAAAAGW/3QE=")</f>
        <v>#REF!</v>
      </c>
      <c r="C194" t="e">
        <f>AND(#REF!,"AAAAAGW/3QI=")</f>
        <v>#REF!</v>
      </c>
      <c r="D194" t="e">
        <f>AND(#REF!,"AAAAAGW/3QM=")</f>
        <v>#REF!</v>
      </c>
      <c r="E194" t="e">
        <f>AND(#REF!,"AAAAAGW/3QQ=")</f>
        <v>#REF!</v>
      </c>
      <c r="F194" t="e">
        <f>AND(#REF!,"AAAAAGW/3QU=")</f>
        <v>#REF!</v>
      </c>
      <c r="G194" t="e">
        <f>AND(#REF!,"AAAAAGW/3QY=")</f>
        <v>#REF!</v>
      </c>
      <c r="H194" t="e">
        <f>AND(#REF!,"AAAAAGW/3Qc=")</f>
        <v>#REF!</v>
      </c>
      <c r="I194" t="e">
        <f>AND(#REF!,"AAAAAGW/3Qg=")</f>
        <v>#REF!</v>
      </c>
      <c r="J194" t="e">
        <f>AND(#REF!,"AAAAAGW/3Qk=")</f>
        <v>#REF!</v>
      </c>
      <c r="K194" t="e">
        <f>IF(#REF!,"AAAAAGW/3Qo=",0)</f>
        <v>#REF!</v>
      </c>
      <c r="L194" t="e">
        <f>AND(#REF!,"AAAAAGW/3Qs=")</f>
        <v>#REF!</v>
      </c>
      <c r="M194" t="e">
        <f>AND(#REF!,"AAAAAGW/3Qw=")</f>
        <v>#REF!</v>
      </c>
      <c r="N194" t="e">
        <f>AND(#REF!,"AAAAAGW/3Q0=")</f>
        <v>#REF!</v>
      </c>
      <c r="O194" t="e">
        <f>AND(#REF!,"AAAAAGW/3Q4=")</f>
        <v>#REF!</v>
      </c>
      <c r="P194" t="e">
        <f>AND(#REF!,"AAAAAGW/3Q8=")</f>
        <v>#REF!</v>
      </c>
      <c r="Q194" t="e">
        <f>AND(#REF!,"AAAAAGW/3RA=")</f>
        <v>#REF!</v>
      </c>
      <c r="R194" t="e">
        <f>AND(#REF!,"AAAAAGW/3RE=")</f>
        <v>#REF!</v>
      </c>
      <c r="S194" t="e">
        <f>AND(#REF!,"AAAAAGW/3RI=")</f>
        <v>#REF!</v>
      </c>
      <c r="T194" t="e">
        <f>AND(#REF!,"AAAAAGW/3RM=")</f>
        <v>#REF!</v>
      </c>
      <c r="U194" t="e">
        <f>AND(#REF!,"AAAAAGW/3RQ=")</f>
        <v>#REF!</v>
      </c>
      <c r="V194" t="e">
        <f>AND(#REF!,"AAAAAGW/3RU=")</f>
        <v>#REF!</v>
      </c>
      <c r="W194" t="e">
        <f>AND(#REF!,"AAAAAGW/3RY=")</f>
        <v>#REF!</v>
      </c>
      <c r="X194" t="e">
        <f>AND(#REF!,"AAAAAGW/3Rc=")</f>
        <v>#REF!</v>
      </c>
      <c r="Y194" t="e">
        <f>AND(#REF!,"AAAAAGW/3Rg=")</f>
        <v>#REF!</v>
      </c>
      <c r="Z194" t="e">
        <f>AND(#REF!,"AAAAAGW/3Rk=")</f>
        <v>#REF!</v>
      </c>
      <c r="AA194" t="e">
        <f>AND(#REF!,"AAAAAGW/3Ro=")</f>
        <v>#REF!</v>
      </c>
      <c r="AB194" t="e">
        <f>AND(#REF!,"AAAAAGW/3Rs=")</f>
        <v>#REF!</v>
      </c>
      <c r="AC194" t="e">
        <f>AND(#REF!,"AAAAAGW/3Rw=")</f>
        <v>#REF!</v>
      </c>
      <c r="AD194" t="e">
        <f>AND(#REF!,"AAAAAGW/3R0=")</f>
        <v>#REF!</v>
      </c>
      <c r="AE194" t="e">
        <f>AND(#REF!,"AAAAAGW/3R4=")</f>
        <v>#REF!</v>
      </c>
      <c r="AF194" t="e">
        <f>AND(#REF!,"AAAAAGW/3R8=")</f>
        <v>#REF!</v>
      </c>
      <c r="AG194" t="e">
        <f>AND(#REF!,"AAAAAGW/3SA=")</f>
        <v>#REF!</v>
      </c>
      <c r="AH194" t="e">
        <f>AND(#REF!,"AAAAAGW/3SE=")</f>
        <v>#REF!</v>
      </c>
      <c r="AI194" t="e">
        <f>AND(#REF!,"AAAAAGW/3SI=")</f>
        <v>#REF!</v>
      </c>
      <c r="AJ194" t="e">
        <f>AND(#REF!,"AAAAAGW/3SM=")</f>
        <v>#REF!</v>
      </c>
      <c r="AK194" t="e">
        <f>AND(#REF!,"AAAAAGW/3SQ=")</f>
        <v>#REF!</v>
      </c>
      <c r="AL194" t="e">
        <f>AND(#REF!,"AAAAAGW/3SU=")</f>
        <v>#REF!</v>
      </c>
      <c r="AM194" t="e">
        <f>AND(#REF!,"AAAAAGW/3SY=")</f>
        <v>#REF!</v>
      </c>
      <c r="AN194" t="e">
        <f>AND(#REF!,"AAAAAGW/3Sc=")</f>
        <v>#REF!</v>
      </c>
      <c r="AO194" t="e">
        <f>AND(#REF!,"AAAAAGW/3Sg=")</f>
        <v>#REF!</v>
      </c>
      <c r="AP194" t="e">
        <f>AND(#REF!,"AAAAAGW/3Sk=")</f>
        <v>#REF!</v>
      </c>
      <c r="AQ194" t="e">
        <f>AND(#REF!,"AAAAAGW/3So=")</f>
        <v>#REF!</v>
      </c>
      <c r="AR194" t="e">
        <f>AND(#REF!,"AAAAAGW/3Ss=")</f>
        <v>#REF!</v>
      </c>
      <c r="AS194" t="e">
        <f>AND(#REF!,"AAAAAGW/3Sw=")</f>
        <v>#REF!</v>
      </c>
      <c r="AT194" t="e">
        <f>AND(#REF!,"AAAAAGW/3S0=")</f>
        <v>#REF!</v>
      </c>
      <c r="AU194" t="e">
        <f>AND(#REF!,"AAAAAGW/3S4=")</f>
        <v>#REF!</v>
      </c>
      <c r="AV194" t="e">
        <f>AND(#REF!,"AAAAAGW/3S8=")</f>
        <v>#REF!</v>
      </c>
      <c r="AW194" t="e">
        <f>AND(#REF!,"AAAAAGW/3TA=")</f>
        <v>#REF!</v>
      </c>
      <c r="AX194" t="e">
        <f>AND(#REF!,"AAAAAGW/3TE=")</f>
        <v>#REF!</v>
      </c>
      <c r="AY194" t="e">
        <f>AND(#REF!,"AAAAAGW/3TI=")</f>
        <v>#REF!</v>
      </c>
      <c r="AZ194" t="e">
        <f>AND(#REF!,"AAAAAGW/3TM=")</f>
        <v>#REF!</v>
      </c>
      <c r="BA194" t="e">
        <f>AND(#REF!,"AAAAAGW/3TQ=")</f>
        <v>#REF!</v>
      </c>
      <c r="BB194" t="e">
        <f>AND(#REF!,"AAAAAGW/3TU=")</f>
        <v>#REF!</v>
      </c>
      <c r="BC194" t="e">
        <f>AND(#REF!,"AAAAAGW/3TY=")</f>
        <v>#REF!</v>
      </c>
      <c r="BD194" t="e">
        <f>AND(#REF!,"AAAAAGW/3Tc=")</f>
        <v>#REF!</v>
      </c>
      <c r="BE194" t="e">
        <f>AND(#REF!,"AAAAAGW/3Tg=")</f>
        <v>#REF!</v>
      </c>
      <c r="BF194" t="e">
        <f>AND(#REF!,"AAAAAGW/3Tk=")</f>
        <v>#REF!</v>
      </c>
      <c r="BG194" t="e">
        <f>AND(#REF!,"AAAAAGW/3To=")</f>
        <v>#REF!</v>
      </c>
      <c r="BH194" t="e">
        <f>AND(#REF!,"AAAAAGW/3Ts=")</f>
        <v>#REF!</v>
      </c>
      <c r="BI194" t="e">
        <f>AND(#REF!,"AAAAAGW/3Tw=")</f>
        <v>#REF!</v>
      </c>
      <c r="BJ194" t="e">
        <f>AND(#REF!,"AAAAAGW/3T0=")</f>
        <v>#REF!</v>
      </c>
      <c r="BK194" t="e">
        <f>AND(#REF!,"AAAAAGW/3T4=")</f>
        <v>#REF!</v>
      </c>
      <c r="BL194" t="e">
        <f>AND(#REF!,"AAAAAGW/3T8=")</f>
        <v>#REF!</v>
      </c>
      <c r="BM194" t="e">
        <f>AND(#REF!,"AAAAAGW/3UA=")</f>
        <v>#REF!</v>
      </c>
      <c r="BN194" t="e">
        <f>AND(#REF!,"AAAAAGW/3UE=")</f>
        <v>#REF!</v>
      </c>
      <c r="BO194" t="e">
        <f>AND(#REF!,"AAAAAGW/3UI=")</f>
        <v>#REF!</v>
      </c>
      <c r="BP194" t="e">
        <f>AND(#REF!,"AAAAAGW/3UM=")</f>
        <v>#REF!</v>
      </c>
      <c r="BQ194" t="e">
        <f>AND(#REF!,"AAAAAGW/3UQ=")</f>
        <v>#REF!</v>
      </c>
      <c r="BR194" t="e">
        <f>AND(#REF!,"AAAAAGW/3UU=")</f>
        <v>#REF!</v>
      </c>
      <c r="BS194" t="e">
        <f>AND(#REF!,"AAAAAGW/3UY=")</f>
        <v>#REF!</v>
      </c>
      <c r="BT194" t="e">
        <f>AND(#REF!,"AAAAAGW/3Uc=")</f>
        <v>#REF!</v>
      </c>
      <c r="BU194" t="e">
        <f>AND(#REF!,"AAAAAGW/3Ug=")</f>
        <v>#REF!</v>
      </c>
      <c r="BV194" t="e">
        <f>AND(#REF!,"AAAAAGW/3Uk=")</f>
        <v>#REF!</v>
      </c>
      <c r="BW194" t="e">
        <f>AND(#REF!,"AAAAAGW/3Uo=")</f>
        <v>#REF!</v>
      </c>
      <c r="BX194" t="e">
        <f>AND(#REF!,"AAAAAGW/3Us=")</f>
        <v>#REF!</v>
      </c>
      <c r="BY194" t="e">
        <f>AND(#REF!,"AAAAAGW/3Uw=")</f>
        <v>#REF!</v>
      </c>
      <c r="BZ194" t="e">
        <f>AND(#REF!,"AAAAAGW/3U0=")</f>
        <v>#REF!</v>
      </c>
      <c r="CA194" t="e">
        <f>AND(#REF!,"AAAAAGW/3U4=")</f>
        <v>#REF!</v>
      </c>
      <c r="CB194" t="e">
        <f>AND(#REF!,"AAAAAGW/3U8=")</f>
        <v>#REF!</v>
      </c>
      <c r="CC194" t="e">
        <f>AND(#REF!,"AAAAAGW/3VA=")</f>
        <v>#REF!</v>
      </c>
      <c r="CD194" t="e">
        <f>AND(#REF!,"AAAAAGW/3VE=")</f>
        <v>#REF!</v>
      </c>
      <c r="CE194" t="e">
        <f>AND(#REF!,"AAAAAGW/3VI=")</f>
        <v>#REF!</v>
      </c>
      <c r="CF194" t="e">
        <f>AND(#REF!,"AAAAAGW/3VM=")</f>
        <v>#REF!</v>
      </c>
      <c r="CG194" t="e">
        <f>AND(#REF!,"AAAAAGW/3VQ=")</f>
        <v>#REF!</v>
      </c>
      <c r="CH194" t="e">
        <f>AND(#REF!,"AAAAAGW/3VU=")</f>
        <v>#REF!</v>
      </c>
      <c r="CI194" t="e">
        <f>AND(#REF!,"AAAAAGW/3VY=")</f>
        <v>#REF!</v>
      </c>
      <c r="CJ194" t="e">
        <f>AND(#REF!,"AAAAAGW/3Vc=")</f>
        <v>#REF!</v>
      </c>
      <c r="CK194" t="e">
        <f>AND(#REF!,"AAAAAGW/3Vg=")</f>
        <v>#REF!</v>
      </c>
      <c r="CL194" t="e">
        <f>AND(#REF!,"AAAAAGW/3Vk=")</f>
        <v>#REF!</v>
      </c>
      <c r="CM194" t="e">
        <f>AND(#REF!,"AAAAAGW/3Vo=")</f>
        <v>#REF!</v>
      </c>
      <c r="CN194" t="e">
        <f>AND(#REF!,"AAAAAGW/3Vs=")</f>
        <v>#REF!</v>
      </c>
      <c r="CO194" t="e">
        <f>AND(#REF!,"AAAAAGW/3Vw=")</f>
        <v>#REF!</v>
      </c>
      <c r="CP194" t="e">
        <f>AND(#REF!,"AAAAAGW/3V0=")</f>
        <v>#REF!</v>
      </c>
      <c r="CQ194" t="e">
        <f>AND(#REF!,"AAAAAGW/3V4=")</f>
        <v>#REF!</v>
      </c>
      <c r="CR194" t="e">
        <f>AND(#REF!,"AAAAAGW/3V8=")</f>
        <v>#REF!</v>
      </c>
      <c r="CS194" t="e">
        <f>AND(#REF!,"AAAAAGW/3WA=")</f>
        <v>#REF!</v>
      </c>
      <c r="CT194" t="e">
        <f>AND(#REF!,"AAAAAGW/3WE=")</f>
        <v>#REF!</v>
      </c>
      <c r="CU194" t="e">
        <f>AND(#REF!,"AAAAAGW/3WI=")</f>
        <v>#REF!</v>
      </c>
      <c r="CV194" t="e">
        <f>AND(#REF!,"AAAAAGW/3WM=")</f>
        <v>#REF!</v>
      </c>
      <c r="CW194" t="e">
        <f>AND(#REF!,"AAAAAGW/3WQ=")</f>
        <v>#REF!</v>
      </c>
      <c r="CX194" t="e">
        <f>AND(#REF!,"AAAAAGW/3WU=")</f>
        <v>#REF!</v>
      </c>
      <c r="CY194" t="e">
        <f>AND(#REF!,"AAAAAGW/3WY=")</f>
        <v>#REF!</v>
      </c>
      <c r="CZ194" t="e">
        <f>AND(#REF!,"AAAAAGW/3Wc=")</f>
        <v>#REF!</v>
      </c>
      <c r="DA194" t="e">
        <f>AND(#REF!,"AAAAAGW/3Wg=")</f>
        <v>#REF!</v>
      </c>
      <c r="DB194" t="e">
        <f>AND(#REF!,"AAAAAGW/3Wk=")</f>
        <v>#REF!</v>
      </c>
      <c r="DC194" t="e">
        <f>AND(#REF!,"AAAAAGW/3Wo=")</f>
        <v>#REF!</v>
      </c>
      <c r="DD194" t="e">
        <f>AND(#REF!,"AAAAAGW/3Ws=")</f>
        <v>#REF!</v>
      </c>
      <c r="DE194" t="e">
        <f>AND(#REF!,"AAAAAGW/3Ww=")</f>
        <v>#REF!</v>
      </c>
      <c r="DF194" t="e">
        <f>AND(#REF!,"AAAAAGW/3W0=")</f>
        <v>#REF!</v>
      </c>
      <c r="DG194" t="e">
        <f>AND(#REF!,"AAAAAGW/3W4=")</f>
        <v>#REF!</v>
      </c>
      <c r="DH194" t="e">
        <f>AND(#REF!,"AAAAAGW/3W8=")</f>
        <v>#REF!</v>
      </c>
      <c r="DI194" t="e">
        <f>AND(#REF!,"AAAAAGW/3XA=")</f>
        <v>#REF!</v>
      </c>
      <c r="DJ194" t="e">
        <f>AND(#REF!,"AAAAAGW/3XE=")</f>
        <v>#REF!</v>
      </c>
      <c r="DK194" t="e">
        <f>AND(#REF!,"AAAAAGW/3XI=")</f>
        <v>#REF!</v>
      </c>
      <c r="DL194" t="e">
        <f>AND(#REF!,"AAAAAGW/3XM=")</f>
        <v>#REF!</v>
      </c>
      <c r="DM194" t="e">
        <f>AND(#REF!,"AAAAAGW/3XQ=")</f>
        <v>#REF!</v>
      </c>
      <c r="DN194" t="e">
        <f>AND(#REF!,"AAAAAGW/3XU=")</f>
        <v>#REF!</v>
      </c>
      <c r="DO194" t="e">
        <f>AND(#REF!,"AAAAAGW/3XY=")</f>
        <v>#REF!</v>
      </c>
      <c r="DP194" t="e">
        <f>AND(#REF!,"AAAAAGW/3Xc=")</f>
        <v>#REF!</v>
      </c>
      <c r="DQ194" t="e">
        <f>AND(#REF!,"AAAAAGW/3Xg=")</f>
        <v>#REF!</v>
      </c>
      <c r="DR194" t="e">
        <f>AND(#REF!,"AAAAAGW/3Xk=")</f>
        <v>#REF!</v>
      </c>
      <c r="DS194" t="e">
        <f>AND(#REF!,"AAAAAGW/3Xo=")</f>
        <v>#REF!</v>
      </c>
      <c r="DT194" t="e">
        <f>AND(#REF!,"AAAAAGW/3Xs=")</f>
        <v>#REF!</v>
      </c>
      <c r="DU194" t="e">
        <f>AND(#REF!,"AAAAAGW/3Xw=")</f>
        <v>#REF!</v>
      </c>
      <c r="DV194" t="e">
        <f>AND(#REF!,"AAAAAGW/3X0=")</f>
        <v>#REF!</v>
      </c>
      <c r="DW194" t="e">
        <f>AND(#REF!,"AAAAAGW/3X4=")</f>
        <v>#REF!</v>
      </c>
      <c r="DX194" t="e">
        <f>AND(#REF!,"AAAAAGW/3X8=")</f>
        <v>#REF!</v>
      </c>
      <c r="DY194" t="e">
        <f>AND(#REF!,"AAAAAGW/3YA=")</f>
        <v>#REF!</v>
      </c>
      <c r="DZ194" t="e">
        <f>AND(#REF!,"AAAAAGW/3YE=")</f>
        <v>#REF!</v>
      </c>
      <c r="EA194" t="e">
        <f>AND(#REF!,"AAAAAGW/3YI=")</f>
        <v>#REF!</v>
      </c>
      <c r="EB194" t="e">
        <f>AND(#REF!,"AAAAAGW/3YM=")</f>
        <v>#REF!</v>
      </c>
      <c r="EC194" t="e">
        <f>AND(#REF!,"AAAAAGW/3YQ=")</f>
        <v>#REF!</v>
      </c>
      <c r="ED194" t="e">
        <f>AND(#REF!,"AAAAAGW/3YU=")</f>
        <v>#REF!</v>
      </c>
      <c r="EE194" t="e">
        <f>AND(#REF!,"AAAAAGW/3YY=")</f>
        <v>#REF!</v>
      </c>
      <c r="EF194" t="e">
        <f>AND(#REF!,"AAAAAGW/3Yc=")</f>
        <v>#REF!</v>
      </c>
      <c r="EG194" t="e">
        <f>AND(#REF!,"AAAAAGW/3Yg=")</f>
        <v>#REF!</v>
      </c>
      <c r="EH194" t="e">
        <f>AND(#REF!,"AAAAAGW/3Yk=")</f>
        <v>#REF!</v>
      </c>
      <c r="EI194" t="e">
        <f>AND(#REF!,"AAAAAGW/3Yo=")</f>
        <v>#REF!</v>
      </c>
      <c r="EJ194" t="e">
        <f>AND(#REF!,"AAAAAGW/3Ys=")</f>
        <v>#REF!</v>
      </c>
      <c r="EK194" t="e">
        <f>AND(#REF!,"AAAAAGW/3Yw=")</f>
        <v>#REF!</v>
      </c>
      <c r="EL194" t="e">
        <f>AND(#REF!,"AAAAAGW/3Y0=")</f>
        <v>#REF!</v>
      </c>
      <c r="EM194" t="e">
        <f>AND(#REF!,"AAAAAGW/3Y4=")</f>
        <v>#REF!</v>
      </c>
      <c r="EN194" t="e">
        <f>AND(#REF!,"AAAAAGW/3Y8=")</f>
        <v>#REF!</v>
      </c>
      <c r="EO194" t="e">
        <f>AND(#REF!,"AAAAAGW/3ZA=")</f>
        <v>#REF!</v>
      </c>
      <c r="EP194" t="e">
        <f>AND(#REF!,"AAAAAGW/3ZE=")</f>
        <v>#REF!</v>
      </c>
      <c r="EQ194" t="e">
        <f>AND(#REF!,"AAAAAGW/3ZI=")</f>
        <v>#REF!</v>
      </c>
      <c r="ER194" t="e">
        <f>AND(#REF!,"AAAAAGW/3ZM=")</f>
        <v>#REF!</v>
      </c>
      <c r="ES194" t="e">
        <f>AND(#REF!,"AAAAAGW/3ZQ=")</f>
        <v>#REF!</v>
      </c>
      <c r="ET194" t="e">
        <f>AND(#REF!,"AAAAAGW/3ZU=")</f>
        <v>#REF!</v>
      </c>
      <c r="EU194" t="e">
        <f>AND(#REF!,"AAAAAGW/3ZY=")</f>
        <v>#REF!</v>
      </c>
      <c r="EV194" t="e">
        <f>AND(#REF!,"AAAAAGW/3Zc=")</f>
        <v>#REF!</v>
      </c>
      <c r="EW194" t="e">
        <f>AND(#REF!,"AAAAAGW/3Zg=")</f>
        <v>#REF!</v>
      </c>
      <c r="EX194" t="e">
        <f>AND(#REF!,"AAAAAGW/3Zk=")</f>
        <v>#REF!</v>
      </c>
      <c r="EY194" t="e">
        <f>AND(#REF!,"AAAAAGW/3Zo=")</f>
        <v>#REF!</v>
      </c>
      <c r="EZ194" t="e">
        <f>AND(#REF!,"AAAAAGW/3Zs=")</f>
        <v>#REF!</v>
      </c>
      <c r="FA194" t="e">
        <f>AND(#REF!,"AAAAAGW/3Zw=")</f>
        <v>#REF!</v>
      </c>
      <c r="FB194" t="e">
        <f>AND(#REF!,"AAAAAGW/3Z0=")</f>
        <v>#REF!</v>
      </c>
      <c r="FC194" t="e">
        <f>AND(#REF!,"AAAAAGW/3Z4=")</f>
        <v>#REF!</v>
      </c>
      <c r="FD194" t="e">
        <f>AND(#REF!,"AAAAAGW/3Z8=")</f>
        <v>#REF!</v>
      </c>
      <c r="FE194" t="e">
        <f>AND(#REF!,"AAAAAGW/3aA=")</f>
        <v>#REF!</v>
      </c>
      <c r="FF194" t="e">
        <f>AND(#REF!,"AAAAAGW/3aE=")</f>
        <v>#REF!</v>
      </c>
      <c r="FG194" t="e">
        <f>AND(#REF!,"AAAAAGW/3aI=")</f>
        <v>#REF!</v>
      </c>
      <c r="FH194" t="e">
        <f>AND(#REF!,"AAAAAGW/3aM=")</f>
        <v>#REF!</v>
      </c>
      <c r="FI194" t="e">
        <f>AND(#REF!,"AAAAAGW/3aQ=")</f>
        <v>#REF!</v>
      </c>
      <c r="FJ194" t="e">
        <f>AND(#REF!,"AAAAAGW/3aU=")</f>
        <v>#REF!</v>
      </c>
      <c r="FK194" t="e">
        <f>AND(#REF!,"AAAAAGW/3aY=")</f>
        <v>#REF!</v>
      </c>
      <c r="FL194" t="e">
        <f>AND(#REF!,"AAAAAGW/3ac=")</f>
        <v>#REF!</v>
      </c>
      <c r="FM194" t="e">
        <f>AND(#REF!,"AAAAAGW/3ag=")</f>
        <v>#REF!</v>
      </c>
      <c r="FN194" t="e">
        <f>AND(#REF!,"AAAAAGW/3ak=")</f>
        <v>#REF!</v>
      </c>
      <c r="FO194" t="e">
        <f>AND(#REF!,"AAAAAGW/3ao=")</f>
        <v>#REF!</v>
      </c>
      <c r="FP194" t="e">
        <f>AND(#REF!,"AAAAAGW/3as=")</f>
        <v>#REF!</v>
      </c>
      <c r="FQ194" t="e">
        <f>AND(#REF!,"AAAAAGW/3aw=")</f>
        <v>#REF!</v>
      </c>
      <c r="FR194" t="e">
        <f>AND(#REF!,"AAAAAGW/3a0=")</f>
        <v>#REF!</v>
      </c>
      <c r="FS194" t="e">
        <f>AND(#REF!,"AAAAAGW/3a4=")</f>
        <v>#REF!</v>
      </c>
      <c r="FT194" t="e">
        <f>AND(#REF!,"AAAAAGW/3a8=")</f>
        <v>#REF!</v>
      </c>
      <c r="FU194" t="e">
        <f>AND(#REF!,"AAAAAGW/3bA=")</f>
        <v>#REF!</v>
      </c>
      <c r="FV194" t="e">
        <f>AND(#REF!,"AAAAAGW/3bE=")</f>
        <v>#REF!</v>
      </c>
      <c r="FW194" t="e">
        <f>AND(#REF!,"AAAAAGW/3bI=")</f>
        <v>#REF!</v>
      </c>
      <c r="FX194" t="e">
        <f>AND(#REF!,"AAAAAGW/3bM=")</f>
        <v>#REF!</v>
      </c>
      <c r="FY194" t="e">
        <f>AND(#REF!,"AAAAAGW/3bQ=")</f>
        <v>#REF!</v>
      </c>
      <c r="FZ194" t="e">
        <f>AND(#REF!,"AAAAAGW/3bU=")</f>
        <v>#REF!</v>
      </c>
      <c r="GA194" t="e">
        <f>AND(#REF!,"AAAAAGW/3bY=")</f>
        <v>#REF!</v>
      </c>
      <c r="GB194" t="e">
        <f>AND(#REF!,"AAAAAGW/3bc=")</f>
        <v>#REF!</v>
      </c>
      <c r="GC194" t="e">
        <f>AND(#REF!,"AAAAAGW/3bg=")</f>
        <v>#REF!</v>
      </c>
      <c r="GD194" t="e">
        <f>AND(#REF!,"AAAAAGW/3bk=")</f>
        <v>#REF!</v>
      </c>
      <c r="GE194" t="e">
        <f>AND(#REF!,"AAAAAGW/3bo=")</f>
        <v>#REF!</v>
      </c>
      <c r="GF194" t="e">
        <f>AND(#REF!,"AAAAAGW/3bs=")</f>
        <v>#REF!</v>
      </c>
      <c r="GG194" t="e">
        <f>AND(#REF!,"AAAAAGW/3bw=")</f>
        <v>#REF!</v>
      </c>
      <c r="GH194" t="e">
        <f>AND(#REF!,"AAAAAGW/3b0=")</f>
        <v>#REF!</v>
      </c>
      <c r="GI194" t="e">
        <f>AND(#REF!,"AAAAAGW/3b4=")</f>
        <v>#REF!</v>
      </c>
      <c r="GJ194" t="e">
        <f>AND(#REF!,"AAAAAGW/3b8=")</f>
        <v>#REF!</v>
      </c>
      <c r="GK194" t="e">
        <f>AND(#REF!,"AAAAAGW/3cA=")</f>
        <v>#REF!</v>
      </c>
      <c r="GL194" t="e">
        <f>AND(#REF!,"AAAAAGW/3cE=")</f>
        <v>#REF!</v>
      </c>
      <c r="GM194" t="e">
        <f>AND(#REF!,"AAAAAGW/3cI=")</f>
        <v>#REF!</v>
      </c>
      <c r="GN194" t="e">
        <f>AND(#REF!,"AAAAAGW/3cM=")</f>
        <v>#REF!</v>
      </c>
      <c r="GO194" t="e">
        <f>AND(#REF!,"AAAAAGW/3cQ=")</f>
        <v>#REF!</v>
      </c>
      <c r="GP194" t="e">
        <f>AND(#REF!,"AAAAAGW/3cU=")</f>
        <v>#REF!</v>
      </c>
      <c r="GQ194" t="e">
        <f>AND(#REF!,"AAAAAGW/3cY=")</f>
        <v>#REF!</v>
      </c>
      <c r="GR194" t="e">
        <f>AND(#REF!,"AAAAAGW/3cc=")</f>
        <v>#REF!</v>
      </c>
      <c r="GS194" t="e">
        <f>AND(#REF!,"AAAAAGW/3cg=")</f>
        <v>#REF!</v>
      </c>
      <c r="GT194" t="e">
        <f>AND(#REF!,"AAAAAGW/3ck=")</f>
        <v>#REF!</v>
      </c>
      <c r="GU194" t="e">
        <f>AND(#REF!,"AAAAAGW/3co=")</f>
        <v>#REF!</v>
      </c>
      <c r="GV194" t="e">
        <f>AND(#REF!,"AAAAAGW/3cs=")</f>
        <v>#REF!</v>
      </c>
      <c r="GW194" t="e">
        <f>AND(#REF!,"AAAAAGW/3cw=")</f>
        <v>#REF!</v>
      </c>
      <c r="GX194" t="e">
        <f>AND(#REF!,"AAAAAGW/3c0=")</f>
        <v>#REF!</v>
      </c>
      <c r="GY194" t="e">
        <f>AND(#REF!,"AAAAAGW/3c4=")</f>
        <v>#REF!</v>
      </c>
      <c r="GZ194" t="e">
        <f>AND(#REF!,"AAAAAGW/3c8=")</f>
        <v>#REF!</v>
      </c>
      <c r="HA194" t="e">
        <f>AND(#REF!,"AAAAAGW/3dA=")</f>
        <v>#REF!</v>
      </c>
      <c r="HB194" t="e">
        <f>AND(#REF!,"AAAAAGW/3dE=")</f>
        <v>#REF!</v>
      </c>
      <c r="HC194" t="e">
        <f>AND(#REF!,"AAAAAGW/3dI=")</f>
        <v>#REF!</v>
      </c>
      <c r="HD194" t="e">
        <f>AND(#REF!,"AAAAAGW/3dM=")</f>
        <v>#REF!</v>
      </c>
      <c r="HE194" t="e">
        <f>AND(#REF!,"AAAAAGW/3dQ=")</f>
        <v>#REF!</v>
      </c>
      <c r="HF194" t="e">
        <f>AND(#REF!,"AAAAAGW/3dU=")</f>
        <v>#REF!</v>
      </c>
      <c r="HG194" t="e">
        <f>AND(#REF!,"AAAAAGW/3dY=")</f>
        <v>#REF!</v>
      </c>
      <c r="HH194" t="e">
        <f>AND(#REF!,"AAAAAGW/3dc=")</f>
        <v>#REF!</v>
      </c>
      <c r="HI194" t="e">
        <f>AND(#REF!,"AAAAAGW/3dg=")</f>
        <v>#REF!</v>
      </c>
      <c r="HJ194" t="e">
        <f>AND(#REF!,"AAAAAGW/3dk=")</f>
        <v>#REF!</v>
      </c>
      <c r="HK194" t="e">
        <f>AND(#REF!,"AAAAAGW/3do=")</f>
        <v>#REF!</v>
      </c>
      <c r="HL194" t="e">
        <f>AND(#REF!,"AAAAAGW/3ds=")</f>
        <v>#REF!</v>
      </c>
      <c r="HM194" t="e">
        <f>AND(#REF!,"AAAAAGW/3dw=")</f>
        <v>#REF!</v>
      </c>
      <c r="HN194" t="e">
        <f>AND(#REF!,"AAAAAGW/3d0=")</f>
        <v>#REF!</v>
      </c>
      <c r="HO194" t="e">
        <f>AND(#REF!,"AAAAAGW/3d4=")</f>
        <v>#REF!</v>
      </c>
      <c r="HP194" t="e">
        <f>AND(#REF!,"AAAAAGW/3d8=")</f>
        <v>#REF!</v>
      </c>
      <c r="HQ194" t="e">
        <f>AND(#REF!,"AAAAAGW/3eA=")</f>
        <v>#REF!</v>
      </c>
      <c r="HR194" t="e">
        <f>AND(#REF!,"AAAAAGW/3eE=")</f>
        <v>#REF!</v>
      </c>
      <c r="HS194" t="e">
        <f>AND(#REF!,"AAAAAGW/3eI=")</f>
        <v>#REF!</v>
      </c>
      <c r="HT194" t="e">
        <f>AND(#REF!,"AAAAAGW/3eM=")</f>
        <v>#REF!</v>
      </c>
      <c r="HU194" t="e">
        <f>AND(#REF!,"AAAAAGW/3eQ=")</f>
        <v>#REF!</v>
      </c>
      <c r="HV194" t="e">
        <f>AND(#REF!,"AAAAAGW/3eU=")</f>
        <v>#REF!</v>
      </c>
      <c r="HW194" t="e">
        <f>AND(#REF!,"AAAAAGW/3eY=")</f>
        <v>#REF!</v>
      </c>
      <c r="HX194" t="e">
        <f>AND(#REF!,"AAAAAGW/3ec=")</f>
        <v>#REF!</v>
      </c>
      <c r="HY194" t="e">
        <f>AND(#REF!,"AAAAAGW/3eg=")</f>
        <v>#REF!</v>
      </c>
      <c r="HZ194" t="e">
        <f>AND(#REF!,"AAAAAGW/3ek=")</f>
        <v>#REF!</v>
      </c>
      <c r="IA194" t="e">
        <f>AND(#REF!,"AAAAAGW/3eo=")</f>
        <v>#REF!</v>
      </c>
      <c r="IB194" t="e">
        <f>AND(#REF!,"AAAAAGW/3es=")</f>
        <v>#REF!</v>
      </c>
      <c r="IC194" t="e">
        <f>AND(#REF!,"AAAAAGW/3ew=")</f>
        <v>#REF!</v>
      </c>
      <c r="ID194" t="e">
        <f>AND(#REF!,"AAAAAGW/3e0=")</f>
        <v>#REF!</v>
      </c>
      <c r="IE194" t="e">
        <f>IF(#REF!,"AAAAAGW/3e4=",0)</f>
        <v>#REF!</v>
      </c>
      <c r="IF194" t="e">
        <f>AND(#REF!,"AAAAAGW/3e8=")</f>
        <v>#REF!</v>
      </c>
      <c r="IG194" t="e">
        <f>AND(#REF!,"AAAAAGW/3fA=")</f>
        <v>#REF!</v>
      </c>
      <c r="IH194" t="e">
        <f>AND(#REF!,"AAAAAGW/3fE=")</f>
        <v>#REF!</v>
      </c>
      <c r="II194" t="e">
        <f>AND(#REF!,"AAAAAGW/3fI=")</f>
        <v>#REF!</v>
      </c>
      <c r="IJ194" t="e">
        <f>AND(#REF!,"AAAAAGW/3fM=")</f>
        <v>#REF!</v>
      </c>
      <c r="IK194" t="e">
        <f>AND(#REF!,"AAAAAGW/3fQ=")</f>
        <v>#REF!</v>
      </c>
      <c r="IL194" t="e">
        <f>AND(#REF!,"AAAAAGW/3fU=")</f>
        <v>#REF!</v>
      </c>
      <c r="IM194" t="e">
        <f>AND(#REF!,"AAAAAGW/3fY=")</f>
        <v>#REF!</v>
      </c>
      <c r="IN194" t="e">
        <f>AND(#REF!,"AAAAAGW/3fc=")</f>
        <v>#REF!</v>
      </c>
      <c r="IO194" t="e">
        <f>AND(#REF!,"AAAAAGW/3fg=")</f>
        <v>#REF!</v>
      </c>
      <c r="IP194" t="e">
        <f>AND(#REF!,"AAAAAGW/3fk=")</f>
        <v>#REF!</v>
      </c>
      <c r="IQ194" t="e">
        <f>AND(#REF!,"AAAAAGW/3fo=")</f>
        <v>#REF!</v>
      </c>
      <c r="IR194" t="e">
        <f>AND(#REF!,"AAAAAGW/3fs=")</f>
        <v>#REF!</v>
      </c>
      <c r="IS194" t="e">
        <f>AND(#REF!,"AAAAAGW/3fw=")</f>
        <v>#REF!</v>
      </c>
      <c r="IT194" t="e">
        <f>AND(#REF!,"AAAAAGW/3f0=")</f>
        <v>#REF!</v>
      </c>
      <c r="IU194" t="e">
        <f>AND(#REF!,"AAAAAGW/3f4=")</f>
        <v>#REF!</v>
      </c>
      <c r="IV194" t="e">
        <f>AND(#REF!,"AAAAAGW/3f8=")</f>
        <v>#REF!</v>
      </c>
    </row>
    <row r="195" spans="1:256">
      <c r="A195" t="e">
        <f>AND(#REF!,"AAAAAC/feQA=")</f>
        <v>#REF!</v>
      </c>
      <c r="B195" t="e">
        <f>AND(#REF!,"AAAAAC/feQE=")</f>
        <v>#REF!</v>
      </c>
      <c r="C195" t="e">
        <f>AND(#REF!,"AAAAAC/feQI=")</f>
        <v>#REF!</v>
      </c>
      <c r="D195" t="e">
        <f>AND(#REF!,"AAAAAC/feQM=")</f>
        <v>#REF!</v>
      </c>
      <c r="E195" t="e">
        <f>AND(#REF!,"AAAAAC/feQQ=")</f>
        <v>#REF!</v>
      </c>
      <c r="F195" t="e">
        <f>AND(#REF!,"AAAAAC/feQU=")</f>
        <v>#REF!</v>
      </c>
      <c r="G195" t="e">
        <f>AND(#REF!,"AAAAAC/feQY=")</f>
        <v>#REF!</v>
      </c>
      <c r="H195" t="e">
        <f>AND(#REF!,"AAAAAC/feQc=")</f>
        <v>#REF!</v>
      </c>
      <c r="I195" t="e">
        <f>AND(#REF!,"AAAAAC/feQg=")</f>
        <v>#REF!</v>
      </c>
      <c r="J195" t="e">
        <f>AND(#REF!,"AAAAAC/feQk=")</f>
        <v>#REF!</v>
      </c>
      <c r="K195" t="e">
        <f>AND(#REF!,"AAAAAC/feQo=")</f>
        <v>#REF!</v>
      </c>
      <c r="L195" t="e">
        <f>AND(#REF!,"AAAAAC/feQs=")</f>
        <v>#REF!</v>
      </c>
      <c r="M195" t="e">
        <f>AND(#REF!,"AAAAAC/feQw=")</f>
        <v>#REF!</v>
      </c>
      <c r="N195" t="e">
        <f>AND(#REF!,"AAAAAC/feQ0=")</f>
        <v>#REF!</v>
      </c>
      <c r="O195" t="e">
        <f>AND(#REF!,"AAAAAC/feQ4=")</f>
        <v>#REF!</v>
      </c>
      <c r="P195" t="e">
        <f>AND(#REF!,"AAAAAC/feQ8=")</f>
        <v>#REF!</v>
      </c>
      <c r="Q195" t="e">
        <f>AND(#REF!,"AAAAAC/feRA=")</f>
        <v>#REF!</v>
      </c>
      <c r="R195" t="e">
        <f>AND(#REF!,"AAAAAC/feRE=")</f>
        <v>#REF!</v>
      </c>
      <c r="S195" t="e">
        <f>AND(#REF!,"AAAAAC/feRI=")</f>
        <v>#REF!</v>
      </c>
      <c r="T195" t="e">
        <f>AND(#REF!,"AAAAAC/feRM=")</f>
        <v>#REF!</v>
      </c>
      <c r="U195" t="e">
        <f>AND(#REF!,"AAAAAC/feRQ=")</f>
        <v>#REF!</v>
      </c>
      <c r="V195" t="e">
        <f>AND(#REF!,"AAAAAC/feRU=")</f>
        <v>#REF!</v>
      </c>
      <c r="W195" t="e">
        <f>AND(#REF!,"AAAAAC/feRY=")</f>
        <v>#REF!</v>
      </c>
      <c r="X195" t="e">
        <f>AND(#REF!,"AAAAAC/feRc=")</f>
        <v>#REF!</v>
      </c>
      <c r="Y195" t="e">
        <f>AND(#REF!,"AAAAAC/feRg=")</f>
        <v>#REF!</v>
      </c>
      <c r="Z195" t="e">
        <f>AND(#REF!,"AAAAAC/feRk=")</f>
        <v>#REF!</v>
      </c>
      <c r="AA195" t="e">
        <f>AND(#REF!,"AAAAAC/feRo=")</f>
        <v>#REF!</v>
      </c>
      <c r="AB195" t="e">
        <f>AND(#REF!,"AAAAAC/feRs=")</f>
        <v>#REF!</v>
      </c>
      <c r="AC195" t="e">
        <f>AND(#REF!,"AAAAAC/feRw=")</f>
        <v>#REF!</v>
      </c>
      <c r="AD195" t="e">
        <f>AND(#REF!,"AAAAAC/feR0=")</f>
        <v>#REF!</v>
      </c>
      <c r="AE195" t="e">
        <f>AND(#REF!,"AAAAAC/feR4=")</f>
        <v>#REF!</v>
      </c>
      <c r="AF195" t="e">
        <f>AND(#REF!,"AAAAAC/feR8=")</f>
        <v>#REF!</v>
      </c>
      <c r="AG195" t="e">
        <f>AND(#REF!,"AAAAAC/feSA=")</f>
        <v>#REF!</v>
      </c>
      <c r="AH195" t="e">
        <f>AND(#REF!,"AAAAAC/feSE=")</f>
        <v>#REF!</v>
      </c>
      <c r="AI195" t="e">
        <f>AND(#REF!,"AAAAAC/feSI=")</f>
        <v>#REF!</v>
      </c>
      <c r="AJ195" t="e">
        <f>AND(#REF!,"AAAAAC/feSM=")</f>
        <v>#REF!</v>
      </c>
      <c r="AK195" t="e">
        <f>AND(#REF!,"AAAAAC/feSQ=")</f>
        <v>#REF!</v>
      </c>
      <c r="AL195" t="e">
        <f>AND(#REF!,"AAAAAC/feSU=")</f>
        <v>#REF!</v>
      </c>
      <c r="AM195" t="e">
        <f>AND(#REF!,"AAAAAC/feSY=")</f>
        <v>#REF!</v>
      </c>
      <c r="AN195" t="e">
        <f>AND(#REF!,"AAAAAC/feSc=")</f>
        <v>#REF!</v>
      </c>
      <c r="AO195" t="e">
        <f>AND(#REF!,"AAAAAC/feSg=")</f>
        <v>#REF!</v>
      </c>
      <c r="AP195" t="e">
        <f>AND(#REF!,"AAAAAC/feSk=")</f>
        <v>#REF!</v>
      </c>
      <c r="AQ195" t="e">
        <f>AND(#REF!,"AAAAAC/feSo=")</f>
        <v>#REF!</v>
      </c>
      <c r="AR195" t="e">
        <f>AND(#REF!,"AAAAAC/feSs=")</f>
        <v>#REF!</v>
      </c>
      <c r="AS195" t="e">
        <f>AND(#REF!,"AAAAAC/feSw=")</f>
        <v>#REF!</v>
      </c>
      <c r="AT195" t="e">
        <f>AND(#REF!,"AAAAAC/feS0=")</f>
        <v>#REF!</v>
      </c>
      <c r="AU195" t="e">
        <f>AND(#REF!,"AAAAAC/feS4=")</f>
        <v>#REF!</v>
      </c>
      <c r="AV195" t="e">
        <f>AND(#REF!,"AAAAAC/feS8=")</f>
        <v>#REF!</v>
      </c>
      <c r="AW195" t="e">
        <f>AND(#REF!,"AAAAAC/feTA=")</f>
        <v>#REF!</v>
      </c>
      <c r="AX195" t="e">
        <f>AND(#REF!,"AAAAAC/feTE=")</f>
        <v>#REF!</v>
      </c>
      <c r="AY195" t="e">
        <f>AND(#REF!,"AAAAAC/feTI=")</f>
        <v>#REF!</v>
      </c>
      <c r="AZ195" t="e">
        <f>AND(#REF!,"AAAAAC/feTM=")</f>
        <v>#REF!</v>
      </c>
      <c r="BA195" t="e">
        <f>AND(#REF!,"AAAAAC/feTQ=")</f>
        <v>#REF!</v>
      </c>
      <c r="BB195" t="e">
        <f>AND(#REF!,"AAAAAC/feTU=")</f>
        <v>#REF!</v>
      </c>
      <c r="BC195" t="e">
        <f>AND(#REF!,"AAAAAC/feTY=")</f>
        <v>#REF!</v>
      </c>
      <c r="BD195" t="e">
        <f>AND(#REF!,"AAAAAC/feTc=")</f>
        <v>#REF!</v>
      </c>
      <c r="BE195" t="e">
        <f>AND(#REF!,"AAAAAC/feTg=")</f>
        <v>#REF!</v>
      </c>
      <c r="BF195" t="e">
        <f>AND(#REF!,"AAAAAC/feTk=")</f>
        <v>#REF!</v>
      </c>
      <c r="BG195" t="e">
        <f>AND(#REF!,"AAAAAC/feTo=")</f>
        <v>#REF!</v>
      </c>
      <c r="BH195" t="e">
        <f>AND(#REF!,"AAAAAC/feTs=")</f>
        <v>#REF!</v>
      </c>
      <c r="BI195" t="e">
        <f>AND(#REF!,"AAAAAC/feTw=")</f>
        <v>#REF!</v>
      </c>
      <c r="BJ195" t="e">
        <f>AND(#REF!,"AAAAAC/feT0=")</f>
        <v>#REF!</v>
      </c>
      <c r="BK195" t="e">
        <f>AND(#REF!,"AAAAAC/feT4=")</f>
        <v>#REF!</v>
      </c>
      <c r="BL195" t="e">
        <f>AND(#REF!,"AAAAAC/feT8=")</f>
        <v>#REF!</v>
      </c>
      <c r="BM195" t="e">
        <f>AND(#REF!,"AAAAAC/feUA=")</f>
        <v>#REF!</v>
      </c>
      <c r="BN195" t="e">
        <f>AND(#REF!,"AAAAAC/feUE=")</f>
        <v>#REF!</v>
      </c>
      <c r="BO195" t="e">
        <f>AND(#REF!,"AAAAAC/feUI=")</f>
        <v>#REF!</v>
      </c>
      <c r="BP195" t="e">
        <f>AND(#REF!,"AAAAAC/feUM=")</f>
        <v>#REF!</v>
      </c>
      <c r="BQ195" t="e">
        <f>AND(#REF!,"AAAAAC/feUQ=")</f>
        <v>#REF!</v>
      </c>
      <c r="BR195" t="e">
        <f>AND(#REF!,"AAAAAC/feUU=")</f>
        <v>#REF!</v>
      </c>
      <c r="BS195" t="e">
        <f>AND(#REF!,"AAAAAC/feUY=")</f>
        <v>#REF!</v>
      </c>
      <c r="BT195" t="e">
        <f>AND(#REF!,"AAAAAC/feUc=")</f>
        <v>#REF!</v>
      </c>
      <c r="BU195" t="e">
        <f>AND(#REF!,"AAAAAC/feUg=")</f>
        <v>#REF!</v>
      </c>
      <c r="BV195" t="e">
        <f>AND(#REF!,"AAAAAC/feUk=")</f>
        <v>#REF!</v>
      </c>
      <c r="BW195" t="e">
        <f>AND(#REF!,"AAAAAC/feUo=")</f>
        <v>#REF!</v>
      </c>
      <c r="BX195" t="e">
        <f>AND(#REF!,"AAAAAC/feUs=")</f>
        <v>#REF!</v>
      </c>
      <c r="BY195" t="e">
        <f>AND(#REF!,"AAAAAC/feUw=")</f>
        <v>#REF!</v>
      </c>
      <c r="BZ195" t="e">
        <f>AND(#REF!,"AAAAAC/feU0=")</f>
        <v>#REF!</v>
      </c>
      <c r="CA195" t="e">
        <f>AND(#REF!,"AAAAAC/feU4=")</f>
        <v>#REF!</v>
      </c>
      <c r="CB195" t="e">
        <f>AND(#REF!,"AAAAAC/feU8=")</f>
        <v>#REF!</v>
      </c>
      <c r="CC195" t="e">
        <f>AND(#REF!,"AAAAAC/feVA=")</f>
        <v>#REF!</v>
      </c>
      <c r="CD195" t="e">
        <f>AND(#REF!,"AAAAAC/feVE=")</f>
        <v>#REF!</v>
      </c>
      <c r="CE195" t="e">
        <f>AND(#REF!,"AAAAAC/feVI=")</f>
        <v>#REF!</v>
      </c>
      <c r="CF195" t="e">
        <f>AND(#REF!,"AAAAAC/feVM=")</f>
        <v>#REF!</v>
      </c>
      <c r="CG195" t="e">
        <f>AND(#REF!,"AAAAAC/feVQ=")</f>
        <v>#REF!</v>
      </c>
      <c r="CH195" t="e">
        <f>AND(#REF!,"AAAAAC/feVU=")</f>
        <v>#REF!</v>
      </c>
      <c r="CI195" t="e">
        <f>AND(#REF!,"AAAAAC/feVY=")</f>
        <v>#REF!</v>
      </c>
      <c r="CJ195" t="e">
        <f>AND(#REF!,"AAAAAC/feVc=")</f>
        <v>#REF!</v>
      </c>
      <c r="CK195" t="e">
        <f>AND(#REF!,"AAAAAC/feVg=")</f>
        <v>#REF!</v>
      </c>
      <c r="CL195" t="e">
        <f>AND(#REF!,"AAAAAC/feVk=")</f>
        <v>#REF!</v>
      </c>
      <c r="CM195" t="e">
        <f>AND(#REF!,"AAAAAC/feVo=")</f>
        <v>#REF!</v>
      </c>
      <c r="CN195" t="e">
        <f>AND(#REF!,"AAAAAC/feVs=")</f>
        <v>#REF!</v>
      </c>
      <c r="CO195" t="e">
        <f>AND(#REF!,"AAAAAC/feVw=")</f>
        <v>#REF!</v>
      </c>
      <c r="CP195" t="e">
        <f>AND(#REF!,"AAAAAC/feV0=")</f>
        <v>#REF!</v>
      </c>
      <c r="CQ195" t="e">
        <f>AND(#REF!,"AAAAAC/feV4=")</f>
        <v>#REF!</v>
      </c>
      <c r="CR195" t="e">
        <f>AND(#REF!,"AAAAAC/feV8=")</f>
        <v>#REF!</v>
      </c>
      <c r="CS195" t="e">
        <f>AND(#REF!,"AAAAAC/feWA=")</f>
        <v>#REF!</v>
      </c>
      <c r="CT195" t="e">
        <f>AND(#REF!,"AAAAAC/feWE=")</f>
        <v>#REF!</v>
      </c>
      <c r="CU195" t="e">
        <f>AND(#REF!,"AAAAAC/feWI=")</f>
        <v>#REF!</v>
      </c>
      <c r="CV195" t="e">
        <f>AND(#REF!,"AAAAAC/feWM=")</f>
        <v>#REF!</v>
      </c>
      <c r="CW195" t="e">
        <f>AND(#REF!,"AAAAAC/feWQ=")</f>
        <v>#REF!</v>
      </c>
      <c r="CX195" t="e">
        <f>AND(#REF!,"AAAAAC/feWU=")</f>
        <v>#REF!</v>
      </c>
      <c r="CY195" t="e">
        <f>AND(#REF!,"AAAAAC/feWY=")</f>
        <v>#REF!</v>
      </c>
      <c r="CZ195" t="e">
        <f>AND(#REF!,"AAAAAC/feWc=")</f>
        <v>#REF!</v>
      </c>
      <c r="DA195" t="e">
        <f>AND(#REF!,"AAAAAC/feWg=")</f>
        <v>#REF!</v>
      </c>
      <c r="DB195" t="e">
        <f>AND(#REF!,"AAAAAC/feWk=")</f>
        <v>#REF!</v>
      </c>
      <c r="DC195" t="e">
        <f>AND(#REF!,"AAAAAC/feWo=")</f>
        <v>#REF!</v>
      </c>
      <c r="DD195" t="e">
        <f>AND(#REF!,"AAAAAC/feWs=")</f>
        <v>#REF!</v>
      </c>
      <c r="DE195" t="e">
        <f>AND(#REF!,"AAAAAC/feWw=")</f>
        <v>#REF!</v>
      </c>
      <c r="DF195" t="e">
        <f>AND(#REF!,"AAAAAC/feW0=")</f>
        <v>#REF!</v>
      </c>
      <c r="DG195" t="e">
        <f>AND(#REF!,"AAAAAC/feW4=")</f>
        <v>#REF!</v>
      </c>
      <c r="DH195" t="e">
        <f>AND(#REF!,"AAAAAC/feW8=")</f>
        <v>#REF!</v>
      </c>
      <c r="DI195" t="e">
        <f>AND(#REF!,"AAAAAC/feXA=")</f>
        <v>#REF!</v>
      </c>
      <c r="DJ195" t="e">
        <f>AND(#REF!,"AAAAAC/feXE=")</f>
        <v>#REF!</v>
      </c>
      <c r="DK195" t="e">
        <f>AND(#REF!,"AAAAAC/feXI=")</f>
        <v>#REF!</v>
      </c>
      <c r="DL195" t="e">
        <f>AND(#REF!,"AAAAAC/feXM=")</f>
        <v>#REF!</v>
      </c>
      <c r="DM195" t="e">
        <f>AND(#REF!,"AAAAAC/feXQ=")</f>
        <v>#REF!</v>
      </c>
      <c r="DN195" t="e">
        <f>AND(#REF!,"AAAAAC/feXU=")</f>
        <v>#REF!</v>
      </c>
      <c r="DO195" t="e">
        <f>AND(#REF!,"AAAAAC/feXY=")</f>
        <v>#REF!</v>
      </c>
      <c r="DP195" t="e">
        <f>AND(#REF!,"AAAAAC/feXc=")</f>
        <v>#REF!</v>
      </c>
      <c r="DQ195" t="e">
        <f>AND(#REF!,"AAAAAC/feXg=")</f>
        <v>#REF!</v>
      </c>
      <c r="DR195" t="e">
        <f>AND(#REF!,"AAAAAC/feXk=")</f>
        <v>#REF!</v>
      </c>
      <c r="DS195" t="e">
        <f>AND(#REF!,"AAAAAC/feXo=")</f>
        <v>#REF!</v>
      </c>
      <c r="DT195" t="e">
        <f>AND(#REF!,"AAAAAC/feXs=")</f>
        <v>#REF!</v>
      </c>
      <c r="DU195" t="e">
        <f>AND(#REF!,"AAAAAC/feXw=")</f>
        <v>#REF!</v>
      </c>
      <c r="DV195" t="e">
        <f>AND(#REF!,"AAAAAC/feX0=")</f>
        <v>#REF!</v>
      </c>
      <c r="DW195" t="e">
        <f>AND(#REF!,"AAAAAC/feX4=")</f>
        <v>#REF!</v>
      </c>
      <c r="DX195" t="e">
        <f>AND(#REF!,"AAAAAC/feX8=")</f>
        <v>#REF!</v>
      </c>
      <c r="DY195" t="e">
        <f>AND(#REF!,"AAAAAC/feYA=")</f>
        <v>#REF!</v>
      </c>
      <c r="DZ195" t="e">
        <f>AND(#REF!,"AAAAAC/feYE=")</f>
        <v>#REF!</v>
      </c>
      <c r="EA195" t="e">
        <f>AND(#REF!,"AAAAAC/feYI=")</f>
        <v>#REF!</v>
      </c>
      <c r="EB195" t="e">
        <f>AND(#REF!,"AAAAAC/feYM=")</f>
        <v>#REF!</v>
      </c>
      <c r="EC195" t="e">
        <f>AND(#REF!,"AAAAAC/feYQ=")</f>
        <v>#REF!</v>
      </c>
      <c r="ED195" t="e">
        <f>AND(#REF!,"AAAAAC/feYU=")</f>
        <v>#REF!</v>
      </c>
      <c r="EE195" t="e">
        <f>AND(#REF!,"AAAAAC/feYY=")</f>
        <v>#REF!</v>
      </c>
      <c r="EF195" t="e">
        <f>AND(#REF!,"AAAAAC/feYc=")</f>
        <v>#REF!</v>
      </c>
      <c r="EG195" t="e">
        <f>AND(#REF!,"AAAAAC/feYg=")</f>
        <v>#REF!</v>
      </c>
      <c r="EH195" t="e">
        <f>AND(#REF!,"AAAAAC/feYk=")</f>
        <v>#REF!</v>
      </c>
      <c r="EI195" t="e">
        <f>AND(#REF!,"AAAAAC/feYo=")</f>
        <v>#REF!</v>
      </c>
      <c r="EJ195" t="e">
        <f>AND(#REF!,"AAAAAC/feYs=")</f>
        <v>#REF!</v>
      </c>
      <c r="EK195" t="e">
        <f>AND(#REF!,"AAAAAC/feYw=")</f>
        <v>#REF!</v>
      </c>
      <c r="EL195" t="e">
        <f>AND(#REF!,"AAAAAC/feY0=")</f>
        <v>#REF!</v>
      </c>
      <c r="EM195" t="e">
        <f>AND(#REF!,"AAAAAC/feY4=")</f>
        <v>#REF!</v>
      </c>
      <c r="EN195" t="e">
        <f>AND(#REF!,"AAAAAC/feY8=")</f>
        <v>#REF!</v>
      </c>
      <c r="EO195" t="e">
        <f>AND(#REF!,"AAAAAC/feZA=")</f>
        <v>#REF!</v>
      </c>
      <c r="EP195" t="e">
        <f>AND(#REF!,"AAAAAC/feZE=")</f>
        <v>#REF!</v>
      </c>
      <c r="EQ195" t="e">
        <f>AND(#REF!,"AAAAAC/feZI=")</f>
        <v>#REF!</v>
      </c>
      <c r="ER195" t="e">
        <f>AND(#REF!,"AAAAAC/feZM=")</f>
        <v>#REF!</v>
      </c>
      <c r="ES195" t="e">
        <f>AND(#REF!,"AAAAAC/feZQ=")</f>
        <v>#REF!</v>
      </c>
      <c r="ET195" t="e">
        <f>AND(#REF!,"AAAAAC/feZU=")</f>
        <v>#REF!</v>
      </c>
      <c r="EU195" t="e">
        <f>AND(#REF!,"AAAAAC/feZY=")</f>
        <v>#REF!</v>
      </c>
      <c r="EV195" t="e">
        <f>AND(#REF!,"AAAAAC/feZc=")</f>
        <v>#REF!</v>
      </c>
      <c r="EW195" t="e">
        <f>AND(#REF!,"AAAAAC/feZg=")</f>
        <v>#REF!</v>
      </c>
      <c r="EX195" t="e">
        <f>AND(#REF!,"AAAAAC/feZk=")</f>
        <v>#REF!</v>
      </c>
      <c r="EY195" t="e">
        <f>AND(#REF!,"AAAAAC/feZo=")</f>
        <v>#REF!</v>
      </c>
      <c r="EZ195" t="e">
        <f>AND(#REF!,"AAAAAC/feZs=")</f>
        <v>#REF!</v>
      </c>
      <c r="FA195" t="e">
        <f>AND(#REF!,"AAAAAC/feZw=")</f>
        <v>#REF!</v>
      </c>
      <c r="FB195" t="e">
        <f>AND(#REF!,"AAAAAC/feZ0=")</f>
        <v>#REF!</v>
      </c>
      <c r="FC195" t="e">
        <f>AND(#REF!,"AAAAAC/feZ4=")</f>
        <v>#REF!</v>
      </c>
      <c r="FD195" t="e">
        <f>AND(#REF!,"AAAAAC/feZ8=")</f>
        <v>#REF!</v>
      </c>
      <c r="FE195" t="e">
        <f>AND(#REF!,"AAAAAC/feaA=")</f>
        <v>#REF!</v>
      </c>
      <c r="FF195" t="e">
        <f>AND(#REF!,"AAAAAC/feaE=")</f>
        <v>#REF!</v>
      </c>
      <c r="FG195" t="e">
        <f>AND(#REF!,"AAAAAC/feaI=")</f>
        <v>#REF!</v>
      </c>
      <c r="FH195" t="e">
        <f>AND(#REF!,"AAAAAC/feaM=")</f>
        <v>#REF!</v>
      </c>
      <c r="FI195" t="e">
        <f>AND(#REF!,"AAAAAC/feaQ=")</f>
        <v>#REF!</v>
      </c>
      <c r="FJ195" t="e">
        <f>AND(#REF!,"AAAAAC/feaU=")</f>
        <v>#REF!</v>
      </c>
      <c r="FK195" t="e">
        <f>AND(#REF!,"AAAAAC/feaY=")</f>
        <v>#REF!</v>
      </c>
      <c r="FL195" t="e">
        <f>AND(#REF!,"AAAAAC/feac=")</f>
        <v>#REF!</v>
      </c>
      <c r="FM195" t="e">
        <f>AND(#REF!,"AAAAAC/feag=")</f>
        <v>#REF!</v>
      </c>
      <c r="FN195" t="e">
        <f>AND(#REF!,"AAAAAC/feak=")</f>
        <v>#REF!</v>
      </c>
      <c r="FO195" t="e">
        <f>AND(#REF!,"AAAAAC/feao=")</f>
        <v>#REF!</v>
      </c>
      <c r="FP195" t="e">
        <f>AND(#REF!,"AAAAAC/feas=")</f>
        <v>#REF!</v>
      </c>
      <c r="FQ195" t="e">
        <f>AND(#REF!,"AAAAAC/feaw=")</f>
        <v>#REF!</v>
      </c>
      <c r="FR195" t="e">
        <f>AND(#REF!,"AAAAAC/fea0=")</f>
        <v>#REF!</v>
      </c>
      <c r="FS195" t="e">
        <f>AND(#REF!,"AAAAAC/fea4=")</f>
        <v>#REF!</v>
      </c>
      <c r="FT195" t="e">
        <f>AND(#REF!,"AAAAAC/fea8=")</f>
        <v>#REF!</v>
      </c>
      <c r="FU195" t="e">
        <f>AND(#REF!,"AAAAAC/febA=")</f>
        <v>#REF!</v>
      </c>
      <c r="FV195" t="e">
        <f>AND(#REF!,"AAAAAC/febE=")</f>
        <v>#REF!</v>
      </c>
      <c r="FW195" t="e">
        <f>AND(#REF!,"AAAAAC/febI=")</f>
        <v>#REF!</v>
      </c>
      <c r="FX195" t="e">
        <f>AND(#REF!,"AAAAAC/febM=")</f>
        <v>#REF!</v>
      </c>
      <c r="FY195" t="e">
        <f>AND(#REF!,"AAAAAC/febQ=")</f>
        <v>#REF!</v>
      </c>
      <c r="FZ195" t="e">
        <f>AND(#REF!,"AAAAAC/febU=")</f>
        <v>#REF!</v>
      </c>
      <c r="GA195" t="e">
        <f>AND(#REF!,"AAAAAC/febY=")</f>
        <v>#REF!</v>
      </c>
      <c r="GB195" t="e">
        <f>AND(#REF!,"AAAAAC/febc=")</f>
        <v>#REF!</v>
      </c>
      <c r="GC195" t="e">
        <f>AND(#REF!,"AAAAAC/febg=")</f>
        <v>#REF!</v>
      </c>
      <c r="GD195" t="e">
        <f>AND(#REF!,"AAAAAC/febk=")</f>
        <v>#REF!</v>
      </c>
      <c r="GE195" t="e">
        <f>AND(#REF!,"AAAAAC/febo=")</f>
        <v>#REF!</v>
      </c>
      <c r="GF195" t="e">
        <f>AND(#REF!,"AAAAAC/febs=")</f>
        <v>#REF!</v>
      </c>
      <c r="GG195" t="e">
        <f>AND(#REF!,"AAAAAC/febw=")</f>
        <v>#REF!</v>
      </c>
      <c r="GH195" t="e">
        <f>AND(#REF!,"AAAAAC/feb0=")</f>
        <v>#REF!</v>
      </c>
      <c r="GI195" t="e">
        <f>AND(#REF!,"AAAAAC/feb4=")</f>
        <v>#REF!</v>
      </c>
      <c r="GJ195" t="e">
        <f>AND(#REF!,"AAAAAC/feb8=")</f>
        <v>#REF!</v>
      </c>
      <c r="GK195" t="e">
        <f>AND(#REF!,"AAAAAC/fecA=")</f>
        <v>#REF!</v>
      </c>
      <c r="GL195" t="e">
        <f>AND(#REF!,"AAAAAC/fecE=")</f>
        <v>#REF!</v>
      </c>
      <c r="GM195" t="e">
        <f>AND(#REF!,"AAAAAC/fecI=")</f>
        <v>#REF!</v>
      </c>
      <c r="GN195" t="e">
        <f>AND(#REF!,"AAAAAC/fecM=")</f>
        <v>#REF!</v>
      </c>
      <c r="GO195" t="e">
        <f>AND(#REF!,"AAAAAC/fecQ=")</f>
        <v>#REF!</v>
      </c>
      <c r="GP195" t="e">
        <f>AND(#REF!,"AAAAAC/fecU=")</f>
        <v>#REF!</v>
      </c>
      <c r="GQ195" t="e">
        <f>AND(#REF!,"AAAAAC/fecY=")</f>
        <v>#REF!</v>
      </c>
      <c r="GR195" t="e">
        <f>AND(#REF!,"AAAAAC/fecc=")</f>
        <v>#REF!</v>
      </c>
      <c r="GS195" t="e">
        <f>AND(#REF!,"AAAAAC/fecg=")</f>
        <v>#REF!</v>
      </c>
      <c r="GT195" t="e">
        <f>AND(#REF!,"AAAAAC/feck=")</f>
        <v>#REF!</v>
      </c>
      <c r="GU195" t="e">
        <f>AND(#REF!,"AAAAAC/feco=")</f>
        <v>#REF!</v>
      </c>
      <c r="GV195" t="e">
        <f>AND(#REF!,"AAAAAC/fecs=")</f>
        <v>#REF!</v>
      </c>
      <c r="GW195" t="e">
        <f>AND(#REF!,"AAAAAC/fecw=")</f>
        <v>#REF!</v>
      </c>
      <c r="GX195" t="e">
        <f>AND(#REF!,"AAAAAC/fec0=")</f>
        <v>#REF!</v>
      </c>
      <c r="GY195" t="e">
        <f>AND(#REF!,"AAAAAC/fec4=")</f>
        <v>#REF!</v>
      </c>
      <c r="GZ195" t="e">
        <f>AND(#REF!,"AAAAAC/fec8=")</f>
        <v>#REF!</v>
      </c>
      <c r="HA195" t="e">
        <f>AND(#REF!,"AAAAAC/fedA=")</f>
        <v>#REF!</v>
      </c>
      <c r="HB195" t="e">
        <f>AND(#REF!,"AAAAAC/fedE=")</f>
        <v>#REF!</v>
      </c>
      <c r="HC195" t="e">
        <f>IF(#REF!,"AAAAAC/fedI=",0)</f>
        <v>#REF!</v>
      </c>
      <c r="HD195" t="e">
        <f>AND(#REF!,"AAAAAC/fedM=")</f>
        <v>#REF!</v>
      </c>
      <c r="HE195" t="e">
        <f>AND(#REF!,"AAAAAC/fedQ=")</f>
        <v>#REF!</v>
      </c>
      <c r="HF195" t="e">
        <f>AND(#REF!,"AAAAAC/fedU=")</f>
        <v>#REF!</v>
      </c>
      <c r="HG195" t="e">
        <f>AND(#REF!,"AAAAAC/fedY=")</f>
        <v>#REF!</v>
      </c>
      <c r="HH195" t="e">
        <f>AND(#REF!,"AAAAAC/fedc=")</f>
        <v>#REF!</v>
      </c>
      <c r="HI195" t="e">
        <f>AND(#REF!,"AAAAAC/fedg=")</f>
        <v>#REF!</v>
      </c>
      <c r="HJ195" t="e">
        <f>AND(#REF!,"AAAAAC/fedk=")</f>
        <v>#REF!</v>
      </c>
      <c r="HK195" t="e">
        <f>AND(#REF!,"AAAAAC/fedo=")</f>
        <v>#REF!</v>
      </c>
      <c r="HL195" t="e">
        <f>AND(#REF!,"AAAAAC/feds=")</f>
        <v>#REF!</v>
      </c>
      <c r="HM195" t="e">
        <f>AND(#REF!,"AAAAAC/fedw=")</f>
        <v>#REF!</v>
      </c>
      <c r="HN195" t="e">
        <f>AND(#REF!,"AAAAAC/fed0=")</f>
        <v>#REF!</v>
      </c>
      <c r="HO195" t="e">
        <f>AND(#REF!,"AAAAAC/fed4=")</f>
        <v>#REF!</v>
      </c>
      <c r="HP195" t="e">
        <f>AND(#REF!,"AAAAAC/fed8=")</f>
        <v>#REF!</v>
      </c>
      <c r="HQ195" t="e">
        <f>AND(#REF!,"AAAAAC/feeA=")</f>
        <v>#REF!</v>
      </c>
      <c r="HR195" t="e">
        <f>AND(#REF!,"AAAAAC/feeE=")</f>
        <v>#REF!</v>
      </c>
      <c r="HS195" t="e">
        <f>AND(#REF!,"AAAAAC/feeI=")</f>
        <v>#REF!</v>
      </c>
      <c r="HT195" t="e">
        <f>AND(#REF!,"AAAAAC/feeM=")</f>
        <v>#REF!</v>
      </c>
      <c r="HU195" t="e">
        <f>AND(#REF!,"AAAAAC/feeQ=")</f>
        <v>#REF!</v>
      </c>
      <c r="HV195" t="e">
        <f>AND(#REF!,"AAAAAC/feeU=")</f>
        <v>#REF!</v>
      </c>
      <c r="HW195" t="e">
        <f>AND(#REF!,"AAAAAC/feeY=")</f>
        <v>#REF!</v>
      </c>
      <c r="HX195" t="e">
        <f>AND(#REF!,"AAAAAC/feec=")</f>
        <v>#REF!</v>
      </c>
      <c r="HY195" t="e">
        <f>AND(#REF!,"AAAAAC/feeg=")</f>
        <v>#REF!</v>
      </c>
      <c r="HZ195" t="e">
        <f>AND(#REF!,"AAAAAC/feek=")</f>
        <v>#REF!</v>
      </c>
      <c r="IA195" t="e">
        <f>AND(#REF!,"AAAAAC/feeo=")</f>
        <v>#REF!</v>
      </c>
      <c r="IB195" t="e">
        <f>AND(#REF!,"AAAAAC/fees=")</f>
        <v>#REF!</v>
      </c>
      <c r="IC195" t="e">
        <f>AND(#REF!,"AAAAAC/feew=")</f>
        <v>#REF!</v>
      </c>
      <c r="ID195" t="e">
        <f>AND(#REF!,"AAAAAC/fee0=")</f>
        <v>#REF!</v>
      </c>
      <c r="IE195" t="e">
        <f>AND(#REF!,"AAAAAC/fee4=")</f>
        <v>#REF!</v>
      </c>
      <c r="IF195" t="e">
        <f>AND(#REF!,"AAAAAC/fee8=")</f>
        <v>#REF!</v>
      </c>
      <c r="IG195" t="e">
        <f>AND(#REF!,"AAAAAC/fefA=")</f>
        <v>#REF!</v>
      </c>
      <c r="IH195" t="e">
        <f>AND(#REF!,"AAAAAC/fefE=")</f>
        <v>#REF!</v>
      </c>
      <c r="II195" t="e">
        <f>AND(#REF!,"AAAAAC/fefI=")</f>
        <v>#REF!</v>
      </c>
      <c r="IJ195" t="e">
        <f>AND(#REF!,"AAAAAC/fefM=")</f>
        <v>#REF!</v>
      </c>
      <c r="IK195" t="e">
        <f>AND(#REF!,"AAAAAC/fefQ=")</f>
        <v>#REF!</v>
      </c>
      <c r="IL195" t="e">
        <f>AND(#REF!,"AAAAAC/fefU=")</f>
        <v>#REF!</v>
      </c>
      <c r="IM195" t="e">
        <f>AND(#REF!,"AAAAAC/fefY=")</f>
        <v>#REF!</v>
      </c>
      <c r="IN195" t="e">
        <f>AND(#REF!,"AAAAAC/fefc=")</f>
        <v>#REF!</v>
      </c>
      <c r="IO195" t="e">
        <f>AND(#REF!,"AAAAAC/fefg=")</f>
        <v>#REF!</v>
      </c>
      <c r="IP195" t="e">
        <f>AND(#REF!,"AAAAAC/fefk=")</f>
        <v>#REF!</v>
      </c>
      <c r="IQ195" t="e">
        <f>AND(#REF!,"AAAAAC/fefo=")</f>
        <v>#REF!</v>
      </c>
      <c r="IR195" t="e">
        <f>AND(#REF!,"AAAAAC/fefs=")</f>
        <v>#REF!</v>
      </c>
      <c r="IS195" t="e">
        <f>AND(#REF!,"AAAAAC/fefw=")</f>
        <v>#REF!</v>
      </c>
      <c r="IT195" t="e">
        <f>AND(#REF!,"AAAAAC/fef0=")</f>
        <v>#REF!</v>
      </c>
      <c r="IU195" t="e">
        <f>AND(#REF!,"AAAAAC/fef4=")</f>
        <v>#REF!</v>
      </c>
      <c r="IV195" t="e">
        <f>AND(#REF!,"AAAAAC/fef8=")</f>
        <v>#REF!</v>
      </c>
    </row>
    <row r="196" spans="1:256">
      <c r="A196" t="e">
        <f>AND(#REF!,"AAAAAH9/bgA=")</f>
        <v>#REF!</v>
      </c>
      <c r="B196" t="e">
        <f>AND(#REF!,"AAAAAH9/bgE=")</f>
        <v>#REF!</v>
      </c>
      <c r="C196" t="e">
        <f>AND(#REF!,"AAAAAH9/bgI=")</f>
        <v>#REF!</v>
      </c>
      <c r="D196" t="e">
        <f>AND(#REF!,"AAAAAH9/bgM=")</f>
        <v>#REF!</v>
      </c>
      <c r="E196" t="e">
        <f>AND(#REF!,"AAAAAH9/bgQ=")</f>
        <v>#REF!</v>
      </c>
      <c r="F196" t="e">
        <f>AND(#REF!,"AAAAAH9/bgU=")</f>
        <v>#REF!</v>
      </c>
      <c r="G196" t="e">
        <f>AND(#REF!,"AAAAAH9/bgY=")</f>
        <v>#REF!</v>
      </c>
      <c r="H196" t="e">
        <f>AND(#REF!,"AAAAAH9/bgc=")</f>
        <v>#REF!</v>
      </c>
      <c r="I196" t="e">
        <f>AND(#REF!,"AAAAAH9/bgg=")</f>
        <v>#REF!</v>
      </c>
      <c r="J196" t="e">
        <f>AND(#REF!,"AAAAAH9/bgk=")</f>
        <v>#REF!</v>
      </c>
      <c r="K196" t="e">
        <f>AND(#REF!,"AAAAAH9/bgo=")</f>
        <v>#REF!</v>
      </c>
      <c r="L196" t="e">
        <f>AND(#REF!,"AAAAAH9/bgs=")</f>
        <v>#REF!</v>
      </c>
      <c r="M196" t="e">
        <f>AND(#REF!,"AAAAAH9/bgw=")</f>
        <v>#REF!</v>
      </c>
      <c r="N196" t="e">
        <f>AND(#REF!,"AAAAAH9/bg0=")</f>
        <v>#REF!</v>
      </c>
      <c r="O196" t="e">
        <f>AND(#REF!,"AAAAAH9/bg4=")</f>
        <v>#REF!</v>
      </c>
      <c r="P196" t="e">
        <f>AND(#REF!,"AAAAAH9/bg8=")</f>
        <v>#REF!</v>
      </c>
      <c r="Q196" t="e">
        <f>AND(#REF!,"AAAAAH9/bhA=")</f>
        <v>#REF!</v>
      </c>
      <c r="R196" t="e">
        <f>AND(#REF!,"AAAAAH9/bhE=")</f>
        <v>#REF!</v>
      </c>
      <c r="S196" t="e">
        <f>AND(#REF!,"AAAAAH9/bhI=")</f>
        <v>#REF!</v>
      </c>
      <c r="T196" t="e">
        <f>AND(#REF!,"AAAAAH9/bhM=")</f>
        <v>#REF!</v>
      </c>
      <c r="U196" t="e">
        <f>AND(#REF!,"AAAAAH9/bhQ=")</f>
        <v>#REF!</v>
      </c>
      <c r="V196" t="e">
        <f>AND(#REF!,"AAAAAH9/bhU=")</f>
        <v>#REF!</v>
      </c>
      <c r="W196" t="e">
        <f>AND(#REF!,"AAAAAH9/bhY=")</f>
        <v>#REF!</v>
      </c>
      <c r="X196" t="e">
        <f>AND(#REF!,"AAAAAH9/bhc=")</f>
        <v>#REF!</v>
      </c>
      <c r="Y196" t="e">
        <f>AND(#REF!,"AAAAAH9/bhg=")</f>
        <v>#REF!</v>
      </c>
      <c r="Z196" t="e">
        <f>AND(#REF!,"AAAAAH9/bhk=")</f>
        <v>#REF!</v>
      </c>
      <c r="AA196" t="e">
        <f>AND(#REF!,"AAAAAH9/bho=")</f>
        <v>#REF!</v>
      </c>
      <c r="AB196" t="e">
        <f>AND(#REF!,"AAAAAH9/bhs=")</f>
        <v>#REF!</v>
      </c>
      <c r="AC196" t="e">
        <f>AND(#REF!,"AAAAAH9/bhw=")</f>
        <v>#REF!</v>
      </c>
      <c r="AD196" t="e">
        <f>AND(#REF!,"AAAAAH9/bh0=")</f>
        <v>#REF!</v>
      </c>
      <c r="AE196" t="e">
        <f>AND(#REF!,"AAAAAH9/bh4=")</f>
        <v>#REF!</v>
      </c>
      <c r="AF196" t="e">
        <f>AND(#REF!,"AAAAAH9/bh8=")</f>
        <v>#REF!</v>
      </c>
      <c r="AG196" t="e">
        <f>AND(#REF!,"AAAAAH9/biA=")</f>
        <v>#REF!</v>
      </c>
      <c r="AH196" t="e">
        <f>AND(#REF!,"AAAAAH9/biE=")</f>
        <v>#REF!</v>
      </c>
      <c r="AI196" t="e">
        <f>AND(#REF!,"AAAAAH9/biI=")</f>
        <v>#REF!</v>
      </c>
      <c r="AJ196" t="e">
        <f>AND(#REF!,"AAAAAH9/biM=")</f>
        <v>#REF!</v>
      </c>
      <c r="AK196" t="e">
        <f>AND(#REF!,"AAAAAH9/biQ=")</f>
        <v>#REF!</v>
      </c>
      <c r="AL196" t="e">
        <f>AND(#REF!,"AAAAAH9/biU=")</f>
        <v>#REF!</v>
      </c>
      <c r="AM196" t="e">
        <f>AND(#REF!,"AAAAAH9/biY=")</f>
        <v>#REF!</v>
      </c>
      <c r="AN196" t="e">
        <f>AND(#REF!,"AAAAAH9/bic=")</f>
        <v>#REF!</v>
      </c>
      <c r="AO196" t="e">
        <f>AND(#REF!,"AAAAAH9/big=")</f>
        <v>#REF!</v>
      </c>
      <c r="AP196" t="e">
        <f>AND(#REF!,"AAAAAH9/bik=")</f>
        <v>#REF!</v>
      </c>
      <c r="AQ196" t="e">
        <f>AND(#REF!,"AAAAAH9/bio=")</f>
        <v>#REF!</v>
      </c>
      <c r="AR196" t="e">
        <f>AND(#REF!,"AAAAAH9/bis=")</f>
        <v>#REF!</v>
      </c>
      <c r="AS196" t="e">
        <f>AND(#REF!,"AAAAAH9/biw=")</f>
        <v>#REF!</v>
      </c>
      <c r="AT196" t="e">
        <f>AND(#REF!,"AAAAAH9/bi0=")</f>
        <v>#REF!</v>
      </c>
      <c r="AU196" t="e">
        <f>AND(#REF!,"AAAAAH9/bi4=")</f>
        <v>#REF!</v>
      </c>
      <c r="AV196" t="e">
        <f>AND(#REF!,"AAAAAH9/bi8=")</f>
        <v>#REF!</v>
      </c>
      <c r="AW196" t="e">
        <f>AND(#REF!,"AAAAAH9/bjA=")</f>
        <v>#REF!</v>
      </c>
      <c r="AX196" t="e">
        <f>AND(#REF!,"AAAAAH9/bjE=")</f>
        <v>#REF!</v>
      </c>
      <c r="AY196" t="e">
        <f>AND(#REF!,"AAAAAH9/bjI=")</f>
        <v>#REF!</v>
      </c>
      <c r="AZ196" t="e">
        <f>AND(#REF!,"AAAAAH9/bjM=")</f>
        <v>#REF!</v>
      </c>
      <c r="BA196" t="e">
        <f>AND(#REF!,"AAAAAH9/bjQ=")</f>
        <v>#REF!</v>
      </c>
      <c r="BB196" t="e">
        <f>AND(#REF!,"AAAAAH9/bjU=")</f>
        <v>#REF!</v>
      </c>
      <c r="BC196" t="e">
        <f>AND(#REF!,"AAAAAH9/bjY=")</f>
        <v>#REF!</v>
      </c>
      <c r="BD196" t="e">
        <f>AND(#REF!,"AAAAAH9/bjc=")</f>
        <v>#REF!</v>
      </c>
      <c r="BE196" t="e">
        <f>AND(#REF!,"AAAAAH9/bjg=")</f>
        <v>#REF!</v>
      </c>
      <c r="BF196" t="e">
        <f>AND(#REF!,"AAAAAH9/bjk=")</f>
        <v>#REF!</v>
      </c>
      <c r="BG196" t="e">
        <f>AND(#REF!,"AAAAAH9/bjo=")</f>
        <v>#REF!</v>
      </c>
      <c r="BH196" t="e">
        <f>AND(#REF!,"AAAAAH9/bjs=")</f>
        <v>#REF!</v>
      </c>
      <c r="BI196" t="e">
        <f>AND(#REF!,"AAAAAH9/bjw=")</f>
        <v>#REF!</v>
      </c>
      <c r="BJ196" t="e">
        <f>AND(#REF!,"AAAAAH9/bj0=")</f>
        <v>#REF!</v>
      </c>
      <c r="BK196" t="e">
        <f>AND(#REF!,"AAAAAH9/bj4=")</f>
        <v>#REF!</v>
      </c>
      <c r="BL196" t="e">
        <f>AND(#REF!,"AAAAAH9/bj8=")</f>
        <v>#REF!</v>
      </c>
      <c r="BM196" t="e">
        <f>AND(#REF!,"AAAAAH9/bkA=")</f>
        <v>#REF!</v>
      </c>
      <c r="BN196" t="e">
        <f>AND(#REF!,"AAAAAH9/bkE=")</f>
        <v>#REF!</v>
      </c>
      <c r="BO196" t="e">
        <f>AND(#REF!,"AAAAAH9/bkI=")</f>
        <v>#REF!</v>
      </c>
      <c r="BP196" t="e">
        <f>AND(#REF!,"AAAAAH9/bkM=")</f>
        <v>#REF!</v>
      </c>
      <c r="BQ196" t="e">
        <f>AND(#REF!,"AAAAAH9/bkQ=")</f>
        <v>#REF!</v>
      </c>
      <c r="BR196" t="e">
        <f>AND(#REF!,"AAAAAH9/bkU=")</f>
        <v>#REF!</v>
      </c>
      <c r="BS196" t="e">
        <f>AND(#REF!,"AAAAAH9/bkY=")</f>
        <v>#REF!</v>
      </c>
      <c r="BT196" t="e">
        <f>AND(#REF!,"AAAAAH9/bkc=")</f>
        <v>#REF!</v>
      </c>
      <c r="BU196" t="e">
        <f>AND(#REF!,"AAAAAH9/bkg=")</f>
        <v>#REF!</v>
      </c>
      <c r="BV196" t="e">
        <f>AND(#REF!,"AAAAAH9/bkk=")</f>
        <v>#REF!</v>
      </c>
      <c r="BW196" t="e">
        <f>AND(#REF!,"AAAAAH9/bko=")</f>
        <v>#REF!</v>
      </c>
      <c r="BX196" t="e">
        <f>AND(#REF!,"AAAAAH9/bks=")</f>
        <v>#REF!</v>
      </c>
      <c r="BY196" t="e">
        <f>AND(#REF!,"AAAAAH9/bkw=")</f>
        <v>#REF!</v>
      </c>
      <c r="BZ196" t="e">
        <f>AND(#REF!,"AAAAAH9/bk0=")</f>
        <v>#REF!</v>
      </c>
      <c r="CA196" t="e">
        <f>AND(#REF!,"AAAAAH9/bk4=")</f>
        <v>#REF!</v>
      </c>
      <c r="CB196" t="e">
        <f>AND(#REF!,"AAAAAH9/bk8=")</f>
        <v>#REF!</v>
      </c>
      <c r="CC196" t="e">
        <f>AND(#REF!,"AAAAAH9/blA=")</f>
        <v>#REF!</v>
      </c>
      <c r="CD196" t="e">
        <f>AND(#REF!,"AAAAAH9/blE=")</f>
        <v>#REF!</v>
      </c>
      <c r="CE196" t="e">
        <f>AND(#REF!,"AAAAAH9/blI=")</f>
        <v>#REF!</v>
      </c>
      <c r="CF196" t="e">
        <f>AND(#REF!,"AAAAAH9/blM=")</f>
        <v>#REF!</v>
      </c>
      <c r="CG196" t="e">
        <f>AND(#REF!,"AAAAAH9/blQ=")</f>
        <v>#REF!</v>
      </c>
      <c r="CH196" t="e">
        <f>AND(#REF!,"AAAAAH9/blU=")</f>
        <v>#REF!</v>
      </c>
      <c r="CI196" t="e">
        <f>AND(#REF!,"AAAAAH9/blY=")</f>
        <v>#REF!</v>
      </c>
      <c r="CJ196" t="e">
        <f>AND(#REF!,"AAAAAH9/blc=")</f>
        <v>#REF!</v>
      </c>
      <c r="CK196" t="e">
        <f>AND(#REF!,"AAAAAH9/blg=")</f>
        <v>#REF!</v>
      </c>
      <c r="CL196" t="e">
        <f>AND(#REF!,"AAAAAH9/blk=")</f>
        <v>#REF!</v>
      </c>
      <c r="CM196" t="e">
        <f>AND(#REF!,"AAAAAH9/blo=")</f>
        <v>#REF!</v>
      </c>
      <c r="CN196" t="e">
        <f>AND(#REF!,"AAAAAH9/bls=")</f>
        <v>#REF!</v>
      </c>
      <c r="CO196" t="e">
        <f>AND(#REF!,"AAAAAH9/blw=")</f>
        <v>#REF!</v>
      </c>
      <c r="CP196" t="e">
        <f>AND(#REF!,"AAAAAH9/bl0=")</f>
        <v>#REF!</v>
      </c>
      <c r="CQ196" t="e">
        <f>AND(#REF!,"AAAAAH9/bl4=")</f>
        <v>#REF!</v>
      </c>
      <c r="CR196" t="e">
        <f>AND(#REF!,"AAAAAH9/bl8=")</f>
        <v>#REF!</v>
      </c>
      <c r="CS196" t="e">
        <f>AND(#REF!,"AAAAAH9/bmA=")</f>
        <v>#REF!</v>
      </c>
      <c r="CT196" t="e">
        <f>AND(#REF!,"AAAAAH9/bmE=")</f>
        <v>#REF!</v>
      </c>
      <c r="CU196" t="e">
        <f>AND(#REF!,"AAAAAH9/bmI=")</f>
        <v>#REF!</v>
      </c>
      <c r="CV196" t="e">
        <f>AND(#REF!,"AAAAAH9/bmM=")</f>
        <v>#REF!</v>
      </c>
      <c r="CW196" t="e">
        <f>AND(#REF!,"AAAAAH9/bmQ=")</f>
        <v>#REF!</v>
      </c>
      <c r="CX196" t="e">
        <f>AND(#REF!,"AAAAAH9/bmU=")</f>
        <v>#REF!</v>
      </c>
      <c r="CY196" t="e">
        <f>AND(#REF!,"AAAAAH9/bmY=")</f>
        <v>#REF!</v>
      </c>
      <c r="CZ196" t="e">
        <f>AND(#REF!,"AAAAAH9/bmc=")</f>
        <v>#REF!</v>
      </c>
      <c r="DA196" t="e">
        <f>AND(#REF!,"AAAAAH9/bmg=")</f>
        <v>#REF!</v>
      </c>
      <c r="DB196" t="e">
        <f>AND(#REF!,"AAAAAH9/bmk=")</f>
        <v>#REF!</v>
      </c>
      <c r="DC196" t="e">
        <f>AND(#REF!,"AAAAAH9/bmo=")</f>
        <v>#REF!</v>
      </c>
      <c r="DD196" t="e">
        <f>AND(#REF!,"AAAAAH9/bms=")</f>
        <v>#REF!</v>
      </c>
      <c r="DE196" t="e">
        <f>AND(#REF!,"AAAAAH9/bmw=")</f>
        <v>#REF!</v>
      </c>
      <c r="DF196" t="e">
        <f>AND(#REF!,"AAAAAH9/bm0=")</f>
        <v>#REF!</v>
      </c>
      <c r="DG196" t="e">
        <f>AND(#REF!,"AAAAAH9/bm4=")</f>
        <v>#REF!</v>
      </c>
      <c r="DH196" t="e">
        <f>AND(#REF!,"AAAAAH9/bm8=")</f>
        <v>#REF!</v>
      </c>
      <c r="DI196" t="e">
        <f>AND(#REF!,"AAAAAH9/bnA=")</f>
        <v>#REF!</v>
      </c>
      <c r="DJ196" t="e">
        <f>AND(#REF!,"AAAAAH9/bnE=")</f>
        <v>#REF!</v>
      </c>
      <c r="DK196" t="e">
        <f>AND(#REF!,"AAAAAH9/bnI=")</f>
        <v>#REF!</v>
      </c>
      <c r="DL196" t="e">
        <f>AND(#REF!,"AAAAAH9/bnM=")</f>
        <v>#REF!</v>
      </c>
      <c r="DM196" t="e">
        <f>AND(#REF!,"AAAAAH9/bnQ=")</f>
        <v>#REF!</v>
      </c>
      <c r="DN196" t="e">
        <f>AND(#REF!,"AAAAAH9/bnU=")</f>
        <v>#REF!</v>
      </c>
      <c r="DO196" t="e">
        <f>AND(#REF!,"AAAAAH9/bnY=")</f>
        <v>#REF!</v>
      </c>
      <c r="DP196" t="e">
        <f>AND(#REF!,"AAAAAH9/bnc=")</f>
        <v>#REF!</v>
      </c>
      <c r="DQ196" t="e">
        <f>AND(#REF!,"AAAAAH9/bng=")</f>
        <v>#REF!</v>
      </c>
      <c r="DR196" t="e">
        <f>AND(#REF!,"AAAAAH9/bnk=")</f>
        <v>#REF!</v>
      </c>
      <c r="DS196" t="e">
        <f>AND(#REF!,"AAAAAH9/bno=")</f>
        <v>#REF!</v>
      </c>
      <c r="DT196" t="e">
        <f>AND(#REF!,"AAAAAH9/bns=")</f>
        <v>#REF!</v>
      </c>
      <c r="DU196" t="e">
        <f>AND(#REF!,"AAAAAH9/bnw=")</f>
        <v>#REF!</v>
      </c>
      <c r="DV196" t="e">
        <f>AND(#REF!,"AAAAAH9/bn0=")</f>
        <v>#REF!</v>
      </c>
      <c r="DW196" t="e">
        <f>AND(#REF!,"AAAAAH9/bn4=")</f>
        <v>#REF!</v>
      </c>
      <c r="DX196" t="e">
        <f>AND(#REF!,"AAAAAH9/bn8=")</f>
        <v>#REF!</v>
      </c>
      <c r="DY196" t="e">
        <f>AND(#REF!,"AAAAAH9/boA=")</f>
        <v>#REF!</v>
      </c>
      <c r="DZ196" t="e">
        <f>AND(#REF!,"AAAAAH9/boE=")</f>
        <v>#REF!</v>
      </c>
      <c r="EA196" t="e">
        <f>AND(#REF!,"AAAAAH9/boI=")</f>
        <v>#REF!</v>
      </c>
      <c r="EB196" t="e">
        <f>AND(#REF!,"AAAAAH9/boM=")</f>
        <v>#REF!</v>
      </c>
      <c r="EC196" t="e">
        <f>AND(#REF!,"AAAAAH9/boQ=")</f>
        <v>#REF!</v>
      </c>
      <c r="ED196" t="e">
        <f>AND(#REF!,"AAAAAH9/boU=")</f>
        <v>#REF!</v>
      </c>
      <c r="EE196" t="e">
        <f>AND(#REF!,"AAAAAH9/boY=")</f>
        <v>#REF!</v>
      </c>
      <c r="EF196" t="e">
        <f>AND(#REF!,"AAAAAH9/boc=")</f>
        <v>#REF!</v>
      </c>
      <c r="EG196" t="e">
        <f>AND(#REF!,"AAAAAH9/bog=")</f>
        <v>#REF!</v>
      </c>
      <c r="EH196" t="e">
        <f>AND(#REF!,"AAAAAH9/bok=")</f>
        <v>#REF!</v>
      </c>
      <c r="EI196" t="e">
        <f>AND(#REF!,"AAAAAH9/boo=")</f>
        <v>#REF!</v>
      </c>
      <c r="EJ196" t="e">
        <f>AND(#REF!,"AAAAAH9/bos=")</f>
        <v>#REF!</v>
      </c>
      <c r="EK196" t="e">
        <f>AND(#REF!,"AAAAAH9/bow=")</f>
        <v>#REF!</v>
      </c>
      <c r="EL196" t="e">
        <f>AND(#REF!,"AAAAAH9/bo0=")</f>
        <v>#REF!</v>
      </c>
      <c r="EM196" t="e">
        <f>AND(#REF!,"AAAAAH9/bo4=")</f>
        <v>#REF!</v>
      </c>
      <c r="EN196" t="e">
        <f>AND(#REF!,"AAAAAH9/bo8=")</f>
        <v>#REF!</v>
      </c>
      <c r="EO196" t="e">
        <f>AND(#REF!,"AAAAAH9/bpA=")</f>
        <v>#REF!</v>
      </c>
      <c r="EP196" t="e">
        <f>AND(#REF!,"AAAAAH9/bpE=")</f>
        <v>#REF!</v>
      </c>
      <c r="EQ196" t="e">
        <f>AND(#REF!,"AAAAAH9/bpI=")</f>
        <v>#REF!</v>
      </c>
      <c r="ER196" t="e">
        <f>AND(#REF!,"AAAAAH9/bpM=")</f>
        <v>#REF!</v>
      </c>
      <c r="ES196" t="e">
        <f>AND(#REF!,"AAAAAH9/bpQ=")</f>
        <v>#REF!</v>
      </c>
      <c r="ET196" t="e">
        <f>AND(#REF!,"AAAAAH9/bpU=")</f>
        <v>#REF!</v>
      </c>
      <c r="EU196" t="e">
        <f>AND(#REF!,"AAAAAH9/bpY=")</f>
        <v>#REF!</v>
      </c>
      <c r="EV196" t="e">
        <f>AND(#REF!,"AAAAAH9/bpc=")</f>
        <v>#REF!</v>
      </c>
      <c r="EW196" t="e">
        <f>AND(#REF!,"AAAAAH9/bpg=")</f>
        <v>#REF!</v>
      </c>
      <c r="EX196" t="e">
        <f>AND(#REF!,"AAAAAH9/bpk=")</f>
        <v>#REF!</v>
      </c>
      <c r="EY196" t="e">
        <f>AND(#REF!,"AAAAAH9/bpo=")</f>
        <v>#REF!</v>
      </c>
      <c r="EZ196" t="e">
        <f>AND(#REF!,"AAAAAH9/bps=")</f>
        <v>#REF!</v>
      </c>
      <c r="FA196" t="e">
        <f>AND(#REF!,"AAAAAH9/bpw=")</f>
        <v>#REF!</v>
      </c>
      <c r="FB196" t="e">
        <f>AND(#REF!,"AAAAAH9/bp0=")</f>
        <v>#REF!</v>
      </c>
      <c r="FC196" t="e">
        <f>AND(#REF!,"AAAAAH9/bp4=")</f>
        <v>#REF!</v>
      </c>
      <c r="FD196" t="e">
        <f>AND(#REF!,"AAAAAH9/bp8=")</f>
        <v>#REF!</v>
      </c>
      <c r="FE196" t="e">
        <f>AND(#REF!,"AAAAAH9/bqA=")</f>
        <v>#REF!</v>
      </c>
      <c r="FF196" t="e">
        <f>AND(#REF!,"AAAAAH9/bqE=")</f>
        <v>#REF!</v>
      </c>
      <c r="FG196" t="e">
        <f>AND(#REF!,"AAAAAH9/bqI=")</f>
        <v>#REF!</v>
      </c>
      <c r="FH196" t="e">
        <f>AND(#REF!,"AAAAAH9/bqM=")</f>
        <v>#REF!</v>
      </c>
      <c r="FI196" t="e">
        <f>AND(#REF!,"AAAAAH9/bqQ=")</f>
        <v>#REF!</v>
      </c>
      <c r="FJ196" t="e">
        <f>AND(#REF!,"AAAAAH9/bqU=")</f>
        <v>#REF!</v>
      </c>
      <c r="FK196" t="e">
        <f>AND(#REF!,"AAAAAH9/bqY=")</f>
        <v>#REF!</v>
      </c>
      <c r="FL196" t="e">
        <f>AND(#REF!,"AAAAAH9/bqc=")</f>
        <v>#REF!</v>
      </c>
      <c r="FM196" t="e">
        <f>AND(#REF!,"AAAAAH9/bqg=")</f>
        <v>#REF!</v>
      </c>
      <c r="FN196" t="e">
        <f>AND(#REF!,"AAAAAH9/bqk=")</f>
        <v>#REF!</v>
      </c>
      <c r="FO196" t="e">
        <f>AND(#REF!,"AAAAAH9/bqo=")</f>
        <v>#REF!</v>
      </c>
      <c r="FP196" t="e">
        <f>AND(#REF!,"AAAAAH9/bqs=")</f>
        <v>#REF!</v>
      </c>
      <c r="FQ196" t="e">
        <f>AND(#REF!,"AAAAAH9/bqw=")</f>
        <v>#REF!</v>
      </c>
      <c r="FR196" t="e">
        <f>AND(#REF!,"AAAAAH9/bq0=")</f>
        <v>#REF!</v>
      </c>
      <c r="FS196" t="e">
        <f>AND(#REF!,"AAAAAH9/bq4=")</f>
        <v>#REF!</v>
      </c>
      <c r="FT196" t="e">
        <f>AND(#REF!,"AAAAAH9/bq8=")</f>
        <v>#REF!</v>
      </c>
      <c r="FU196" t="e">
        <f>AND(#REF!,"AAAAAH9/brA=")</f>
        <v>#REF!</v>
      </c>
      <c r="FV196" t="e">
        <f>AND(#REF!,"AAAAAH9/brE=")</f>
        <v>#REF!</v>
      </c>
      <c r="FW196" t="e">
        <f>AND(#REF!,"AAAAAH9/brI=")</f>
        <v>#REF!</v>
      </c>
      <c r="FX196" t="e">
        <f>AND(#REF!,"AAAAAH9/brM=")</f>
        <v>#REF!</v>
      </c>
      <c r="FY196" t="e">
        <f>AND(#REF!,"AAAAAH9/brQ=")</f>
        <v>#REF!</v>
      </c>
      <c r="FZ196" t="e">
        <f>AND(#REF!,"AAAAAH9/brU=")</f>
        <v>#REF!</v>
      </c>
      <c r="GA196" t="e">
        <f>IF(#REF!,"AAAAAH9/brY=",0)</f>
        <v>#REF!</v>
      </c>
      <c r="GB196" t="e">
        <f>AND(#REF!,"AAAAAH9/brc=")</f>
        <v>#REF!</v>
      </c>
      <c r="GC196" t="e">
        <f>AND(#REF!,"AAAAAH9/brg=")</f>
        <v>#REF!</v>
      </c>
      <c r="GD196" t="e">
        <f>AND(#REF!,"AAAAAH9/brk=")</f>
        <v>#REF!</v>
      </c>
      <c r="GE196" t="e">
        <f>AND(#REF!,"AAAAAH9/bro=")</f>
        <v>#REF!</v>
      </c>
      <c r="GF196" t="e">
        <f>AND(#REF!,"AAAAAH9/brs=")</f>
        <v>#REF!</v>
      </c>
      <c r="GG196" t="e">
        <f>AND(#REF!,"AAAAAH9/brw=")</f>
        <v>#REF!</v>
      </c>
      <c r="GH196" t="e">
        <f>AND(#REF!,"AAAAAH9/br0=")</f>
        <v>#REF!</v>
      </c>
      <c r="GI196" t="e">
        <f>AND(#REF!,"AAAAAH9/br4=")</f>
        <v>#REF!</v>
      </c>
      <c r="GJ196" t="e">
        <f>AND(#REF!,"AAAAAH9/br8=")</f>
        <v>#REF!</v>
      </c>
      <c r="GK196" t="e">
        <f>AND(#REF!,"AAAAAH9/bsA=")</f>
        <v>#REF!</v>
      </c>
      <c r="GL196" t="e">
        <f>AND(#REF!,"AAAAAH9/bsE=")</f>
        <v>#REF!</v>
      </c>
      <c r="GM196" t="e">
        <f>AND(#REF!,"AAAAAH9/bsI=")</f>
        <v>#REF!</v>
      </c>
      <c r="GN196" t="e">
        <f>AND(#REF!,"AAAAAH9/bsM=")</f>
        <v>#REF!</v>
      </c>
      <c r="GO196" t="e">
        <f>AND(#REF!,"AAAAAH9/bsQ=")</f>
        <v>#REF!</v>
      </c>
      <c r="GP196" t="e">
        <f>AND(#REF!,"AAAAAH9/bsU=")</f>
        <v>#REF!</v>
      </c>
      <c r="GQ196" t="e">
        <f>AND(#REF!,"AAAAAH9/bsY=")</f>
        <v>#REF!</v>
      </c>
      <c r="GR196" t="e">
        <f>AND(#REF!,"AAAAAH9/bsc=")</f>
        <v>#REF!</v>
      </c>
      <c r="GS196" t="e">
        <f>AND(#REF!,"AAAAAH9/bsg=")</f>
        <v>#REF!</v>
      </c>
      <c r="GT196" t="e">
        <f>AND(#REF!,"AAAAAH9/bsk=")</f>
        <v>#REF!</v>
      </c>
      <c r="GU196" t="e">
        <f>AND(#REF!,"AAAAAH9/bso=")</f>
        <v>#REF!</v>
      </c>
      <c r="GV196" t="e">
        <f>AND(#REF!,"AAAAAH9/bss=")</f>
        <v>#REF!</v>
      </c>
      <c r="GW196" t="e">
        <f>AND(#REF!,"AAAAAH9/bsw=")</f>
        <v>#REF!</v>
      </c>
      <c r="GX196" t="e">
        <f>AND(#REF!,"AAAAAH9/bs0=")</f>
        <v>#REF!</v>
      </c>
      <c r="GY196" t="e">
        <f>AND(#REF!,"AAAAAH9/bs4=")</f>
        <v>#REF!</v>
      </c>
      <c r="GZ196" t="e">
        <f>AND(#REF!,"AAAAAH9/bs8=")</f>
        <v>#REF!</v>
      </c>
      <c r="HA196" t="e">
        <f>AND(#REF!,"AAAAAH9/btA=")</f>
        <v>#REF!</v>
      </c>
      <c r="HB196" t="e">
        <f>AND(#REF!,"AAAAAH9/btE=")</f>
        <v>#REF!</v>
      </c>
      <c r="HC196" t="e">
        <f>AND(#REF!,"AAAAAH9/btI=")</f>
        <v>#REF!</v>
      </c>
      <c r="HD196" t="e">
        <f>AND(#REF!,"AAAAAH9/btM=")</f>
        <v>#REF!</v>
      </c>
      <c r="HE196" t="e">
        <f>AND(#REF!,"AAAAAH9/btQ=")</f>
        <v>#REF!</v>
      </c>
      <c r="HF196" t="e">
        <f>AND(#REF!,"AAAAAH9/btU=")</f>
        <v>#REF!</v>
      </c>
      <c r="HG196" t="e">
        <f>AND(#REF!,"AAAAAH9/btY=")</f>
        <v>#REF!</v>
      </c>
      <c r="HH196" t="e">
        <f>AND(#REF!,"AAAAAH9/btc=")</f>
        <v>#REF!</v>
      </c>
      <c r="HI196" t="e">
        <f>AND(#REF!,"AAAAAH9/btg=")</f>
        <v>#REF!</v>
      </c>
      <c r="HJ196" t="e">
        <f>AND(#REF!,"AAAAAH9/btk=")</f>
        <v>#REF!</v>
      </c>
      <c r="HK196" t="e">
        <f>AND(#REF!,"AAAAAH9/bto=")</f>
        <v>#REF!</v>
      </c>
      <c r="HL196" t="e">
        <f>AND(#REF!,"AAAAAH9/bts=")</f>
        <v>#REF!</v>
      </c>
      <c r="HM196" t="e">
        <f>AND(#REF!,"AAAAAH9/btw=")</f>
        <v>#REF!</v>
      </c>
      <c r="HN196" t="e">
        <f>AND(#REF!,"AAAAAH9/bt0=")</f>
        <v>#REF!</v>
      </c>
      <c r="HO196" t="e">
        <f>AND(#REF!,"AAAAAH9/bt4=")</f>
        <v>#REF!</v>
      </c>
      <c r="HP196" t="e">
        <f>AND(#REF!,"AAAAAH9/bt8=")</f>
        <v>#REF!</v>
      </c>
      <c r="HQ196" t="e">
        <f>AND(#REF!,"AAAAAH9/buA=")</f>
        <v>#REF!</v>
      </c>
      <c r="HR196" t="e">
        <f>AND(#REF!,"AAAAAH9/buE=")</f>
        <v>#REF!</v>
      </c>
      <c r="HS196" t="e">
        <f>AND(#REF!,"AAAAAH9/buI=")</f>
        <v>#REF!</v>
      </c>
      <c r="HT196" t="e">
        <f>AND(#REF!,"AAAAAH9/buM=")</f>
        <v>#REF!</v>
      </c>
      <c r="HU196" t="e">
        <f>AND(#REF!,"AAAAAH9/buQ=")</f>
        <v>#REF!</v>
      </c>
      <c r="HV196" t="e">
        <f>AND(#REF!,"AAAAAH9/buU=")</f>
        <v>#REF!</v>
      </c>
      <c r="HW196" t="e">
        <f>AND(#REF!,"AAAAAH9/buY=")</f>
        <v>#REF!</v>
      </c>
      <c r="HX196" t="e">
        <f>AND(#REF!,"AAAAAH9/buc=")</f>
        <v>#REF!</v>
      </c>
      <c r="HY196" t="e">
        <f>AND(#REF!,"AAAAAH9/bug=")</f>
        <v>#REF!</v>
      </c>
      <c r="HZ196" t="e">
        <f>AND(#REF!,"AAAAAH9/buk=")</f>
        <v>#REF!</v>
      </c>
      <c r="IA196" t="e">
        <f>AND(#REF!,"AAAAAH9/buo=")</f>
        <v>#REF!</v>
      </c>
      <c r="IB196" t="e">
        <f>AND(#REF!,"AAAAAH9/bus=")</f>
        <v>#REF!</v>
      </c>
      <c r="IC196" t="e">
        <f>AND(#REF!,"AAAAAH9/buw=")</f>
        <v>#REF!</v>
      </c>
      <c r="ID196" t="e">
        <f>AND(#REF!,"AAAAAH9/bu0=")</f>
        <v>#REF!</v>
      </c>
      <c r="IE196" t="e">
        <f>AND(#REF!,"AAAAAH9/bu4=")</f>
        <v>#REF!</v>
      </c>
      <c r="IF196" t="e">
        <f>AND(#REF!,"AAAAAH9/bu8=")</f>
        <v>#REF!</v>
      </c>
      <c r="IG196" t="e">
        <f>AND(#REF!,"AAAAAH9/bvA=")</f>
        <v>#REF!</v>
      </c>
      <c r="IH196" t="e">
        <f>AND(#REF!,"AAAAAH9/bvE=")</f>
        <v>#REF!</v>
      </c>
      <c r="II196" t="e">
        <f>AND(#REF!,"AAAAAH9/bvI=")</f>
        <v>#REF!</v>
      </c>
      <c r="IJ196" t="e">
        <f>AND(#REF!,"AAAAAH9/bvM=")</f>
        <v>#REF!</v>
      </c>
      <c r="IK196" t="e">
        <f>AND(#REF!,"AAAAAH9/bvQ=")</f>
        <v>#REF!</v>
      </c>
      <c r="IL196" t="e">
        <f>AND(#REF!,"AAAAAH9/bvU=")</f>
        <v>#REF!</v>
      </c>
      <c r="IM196" t="e">
        <f>AND(#REF!,"AAAAAH9/bvY=")</f>
        <v>#REF!</v>
      </c>
      <c r="IN196" t="e">
        <f>AND(#REF!,"AAAAAH9/bvc=")</f>
        <v>#REF!</v>
      </c>
      <c r="IO196" t="e">
        <f>AND(#REF!,"AAAAAH9/bvg=")</f>
        <v>#REF!</v>
      </c>
      <c r="IP196" t="e">
        <f>AND(#REF!,"AAAAAH9/bvk=")</f>
        <v>#REF!</v>
      </c>
      <c r="IQ196" t="e">
        <f>AND(#REF!,"AAAAAH9/bvo=")</f>
        <v>#REF!</v>
      </c>
      <c r="IR196" t="e">
        <f>AND(#REF!,"AAAAAH9/bvs=")</f>
        <v>#REF!</v>
      </c>
      <c r="IS196" t="e">
        <f>AND(#REF!,"AAAAAH9/bvw=")</f>
        <v>#REF!</v>
      </c>
      <c r="IT196" t="e">
        <f>AND(#REF!,"AAAAAH9/bv0=")</f>
        <v>#REF!</v>
      </c>
      <c r="IU196" t="e">
        <f>AND(#REF!,"AAAAAH9/bv4=")</f>
        <v>#REF!</v>
      </c>
      <c r="IV196" t="e">
        <f>AND(#REF!,"AAAAAH9/bv8=")</f>
        <v>#REF!</v>
      </c>
    </row>
    <row r="197" spans="1:256">
      <c r="A197" t="e">
        <f>AND(#REF!,"AAAAAEX1fwA=")</f>
        <v>#REF!</v>
      </c>
      <c r="B197" t="e">
        <f>AND(#REF!,"AAAAAEX1fwE=")</f>
        <v>#REF!</v>
      </c>
      <c r="C197" t="e">
        <f>AND(#REF!,"AAAAAEX1fwI=")</f>
        <v>#REF!</v>
      </c>
      <c r="D197" t="e">
        <f>AND(#REF!,"AAAAAEX1fwM=")</f>
        <v>#REF!</v>
      </c>
      <c r="E197" t="e">
        <f>AND(#REF!,"AAAAAEX1fwQ=")</f>
        <v>#REF!</v>
      </c>
      <c r="F197" t="e">
        <f>AND(#REF!,"AAAAAEX1fwU=")</f>
        <v>#REF!</v>
      </c>
      <c r="G197" t="e">
        <f>AND(#REF!,"AAAAAEX1fwY=")</f>
        <v>#REF!</v>
      </c>
      <c r="H197" t="e">
        <f>AND(#REF!,"AAAAAEX1fwc=")</f>
        <v>#REF!</v>
      </c>
      <c r="I197" t="e">
        <f>AND(#REF!,"AAAAAEX1fwg=")</f>
        <v>#REF!</v>
      </c>
      <c r="J197" t="e">
        <f>AND(#REF!,"AAAAAEX1fwk=")</f>
        <v>#REF!</v>
      </c>
      <c r="K197" t="e">
        <f>AND(#REF!,"AAAAAEX1fwo=")</f>
        <v>#REF!</v>
      </c>
      <c r="L197" t="e">
        <f>AND(#REF!,"AAAAAEX1fws=")</f>
        <v>#REF!</v>
      </c>
      <c r="M197" t="e">
        <f>AND(#REF!,"AAAAAEX1fww=")</f>
        <v>#REF!</v>
      </c>
      <c r="N197" t="e">
        <f>AND(#REF!,"AAAAAEX1fw0=")</f>
        <v>#REF!</v>
      </c>
      <c r="O197" t="e">
        <f>AND(#REF!,"AAAAAEX1fw4=")</f>
        <v>#REF!</v>
      </c>
      <c r="P197" t="e">
        <f>AND(#REF!,"AAAAAEX1fw8=")</f>
        <v>#REF!</v>
      </c>
      <c r="Q197" t="e">
        <f>AND(#REF!,"AAAAAEX1fxA=")</f>
        <v>#REF!</v>
      </c>
      <c r="R197" t="e">
        <f>AND(#REF!,"AAAAAEX1fxE=")</f>
        <v>#REF!</v>
      </c>
      <c r="S197" t="e">
        <f>AND(#REF!,"AAAAAEX1fxI=")</f>
        <v>#REF!</v>
      </c>
      <c r="T197" t="e">
        <f>AND(#REF!,"AAAAAEX1fxM=")</f>
        <v>#REF!</v>
      </c>
      <c r="U197" t="e">
        <f>AND(#REF!,"AAAAAEX1fxQ=")</f>
        <v>#REF!</v>
      </c>
      <c r="V197" t="e">
        <f>AND(#REF!,"AAAAAEX1fxU=")</f>
        <v>#REF!</v>
      </c>
      <c r="W197" t="e">
        <f>AND(#REF!,"AAAAAEX1fxY=")</f>
        <v>#REF!</v>
      </c>
      <c r="X197" t="e">
        <f>AND(#REF!,"AAAAAEX1fxc=")</f>
        <v>#REF!</v>
      </c>
      <c r="Y197" t="e">
        <f>AND(#REF!,"AAAAAEX1fxg=")</f>
        <v>#REF!</v>
      </c>
      <c r="Z197" t="e">
        <f>AND(#REF!,"AAAAAEX1fxk=")</f>
        <v>#REF!</v>
      </c>
      <c r="AA197" t="e">
        <f>AND(#REF!,"AAAAAEX1fxo=")</f>
        <v>#REF!</v>
      </c>
      <c r="AB197" t="e">
        <f>AND(#REF!,"AAAAAEX1fxs=")</f>
        <v>#REF!</v>
      </c>
      <c r="AC197" t="e">
        <f>AND(#REF!,"AAAAAEX1fxw=")</f>
        <v>#REF!</v>
      </c>
      <c r="AD197" t="e">
        <f>AND(#REF!,"AAAAAEX1fx0=")</f>
        <v>#REF!</v>
      </c>
      <c r="AE197" t="e">
        <f>AND(#REF!,"AAAAAEX1fx4=")</f>
        <v>#REF!</v>
      </c>
      <c r="AF197" t="e">
        <f>AND(#REF!,"AAAAAEX1fx8=")</f>
        <v>#REF!</v>
      </c>
      <c r="AG197" t="e">
        <f>AND(#REF!,"AAAAAEX1fyA=")</f>
        <v>#REF!</v>
      </c>
      <c r="AH197" t="e">
        <f>AND(#REF!,"AAAAAEX1fyE=")</f>
        <v>#REF!</v>
      </c>
      <c r="AI197" t="e">
        <f>AND(#REF!,"AAAAAEX1fyI=")</f>
        <v>#REF!</v>
      </c>
      <c r="AJ197" t="e">
        <f>AND(#REF!,"AAAAAEX1fyM=")</f>
        <v>#REF!</v>
      </c>
      <c r="AK197" t="e">
        <f>AND(#REF!,"AAAAAEX1fyQ=")</f>
        <v>#REF!</v>
      </c>
      <c r="AL197" t="e">
        <f>AND(#REF!,"AAAAAEX1fyU=")</f>
        <v>#REF!</v>
      </c>
      <c r="AM197" t="e">
        <f>AND(#REF!,"AAAAAEX1fyY=")</f>
        <v>#REF!</v>
      </c>
      <c r="AN197" t="e">
        <f>AND(#REF!,"AAAAAEX1fyc=")</f>
        <v>#REF!</v>
      </c>
      <c r="AO197" t="e">
        <f>AND(#REF!,"AAAAAEX1fyg=")</f>
        <v>#REF!</v>
      </c>
      <c r="AP197" t="e">
        <f>AND(#REF!,"AAAAAEX1fyk=")</f>
        <v>#REF!</v>
      </c>
      <c r="AQ197" t="e">
        <f>AND(#REF!,"AAAAAEX1fyo=")</f>
        <v>#REF!</v>
      </c>
      <c r="AR197" t="e">
        <f>AND(#REF!,"AAAAAEX1fys=")</f>
        <v>#REF!</v>
      </c>
      <c r="AS197" t="e">
        <f>AND(#REF!,"AAAAAEX1fyw=")</f>
        <v>#REF!</v>
      </c>
      <c r="AT197" t="e">
        <f>AND(#REF!,"AAAAAEX1fy0=")</f>
        <v>#REF!</v>
      </c>
      <c r="AU197" t="e">
        <f>AND(#REF!,"AAAAAEX1fy4=")</f>
        <v>#REF!</v>
      </c>
      <c r="AV197" t="e">
        <f>AND(#REF!,"AAAAAEX1fy8=")</f>
        <v>#REF!</v>
      </c>
      <c r="AW197" t="e">
        <f>AND(#REF!,"AAAAAEX1fzA=")</f>
        <v>#REF!</v>
      </c>
      <c r="AX197" t="e">
        <f>AND(#REF!,"AAAAAEX1fzE=")</f>
        <v>#REF!</v>
      </c>
      <c r="AY197" t="e">
        <f>AND(#REF!,"AAAAAEX1fzI=")</f>
        <v>#REF!</v>
      </c>
      <c r="AZ197" t="e">
        <f>AND(#REF!,"AAAAAEX1fzM=")</f>
        <v>#REF!</v>
      </c>
      <c r="BA197" t="e">
        <f>AND(#REF!,"AAAAAEX1fzQ=")</f>
        <v>#REF!</v>
      </c>
      <c r="BB197" t="e">
        <f>AND(#REF!,"AAAAAEX1fzU=")</f>
        <v>#REF!</v>
      </c>
      <c r="BC197" t="e">
        <f>AND(#REF!,"AAAAAEX1fzY=")</f>
        <v>#REF!</v>
      </c>
      <c r="BD197" t="e">
        <f>AND(#REF!,"AAAAAEX1fzc=")</f>
        <v>#REF!</v>
      </c>
      <c r="BE197" t="e">
        <f>AND(#REF!,"AAAAAEX1fzg=")</f>
        <v>#REF!</v>
      </c>
      <c r="BF197" t="e">
        <f>AND(#REF!,"AAAAAEX1fzk=")</f>
        <v>#REF!</v>
      </c>
      <c r="BG197" t="e">
        <f>AND(#REF!,"AAAAAEX1fzo=")</f>
        <v>#REF!</v>
      </c>
      <c r="BH197" t="e">
        <f>AND(#REF!,"AAAAAEX1fzs=")</f>
        <v>#REF!</v>
      </c>
      <c r="BI197" t="e">
        <f>AND(#REF!,"AAAAAEX1fzw=")</f>
        <v>#REF!</v>
      </c>
      <c r="BJ197" t="e">
        <f>AND(#REF!,"AAAAAEX1fz0=")</f>
        <v>#REF!</v>
      </c>
      <c r="BK197" t="e">
        <f>AND(#REF!,"AAAAAEX1fz4=")</f>
        <v>#REF!</v>
      </c>
      <c r="BL197" t="e">
        <f>AND(#REF!,"AAAAAEX1fz8=")</f>
        <v>#REF!</v>
      </c>
      <c r="BM197" t="e">
        <f>AND(#REF!,"AAAAAEX1f0A=")</f>
        <v>#REF!</v>
      </c>
      <c r="BN197" t="e">
        <f>AND(#REF!,"AAAAAEX1f0E=")</f>
        <v>#REF!</v>
      </c>
      <c r="BO197" t="e">
        <f>AND(#REF!,"AAAAAEX1f0I=")</f>
        <v>#REF!</v>
      </c>
      <c r="BP197" t="e">
        <f>AND(#REF!,"AAAAAEX1f0M=")</f>
        <v>#REF!</v>
      </c>
      <c r="BQ197" t="e">
        <f>AND(#REF!,"AAAAAEX1f0Q=")</f>
        <v>#REF!</v>
      </c>
      <c r="BR197" t="e">
        <f>AND(#REF!,"AAAAAEX1f0U=")</f>
        <v>#REF!</v>
      </c>
      <c r="BS197" t="e">
        <f>AND(#REF!,"AAAAAEX1f0Y=")</f>
        <v>#REF!</v>
      </c>
      <c r="BT197" t="e">
        <f>AND(#REF!,"AAAAAEX1f0c=")</f>
        <v>#REF!</v>
      </c>
      <c r="BU197" t="e">
        <f>AND(#REF!,"AAAAAEX1f0g=")</f>
        <v>#REF!</v>
      </c>
      <c r="BV197" t="e">
        <f>AND(#REF!,"AAAAAEX1f0k=")</f>
        <v>#REF!</v>
      </c>
      <c r="BW197" t="e">
        <f>AND(#REF!,"AAAAAEX1f0o=")</f>
        <v>#REF!</v>
      </c>
      <c r="BX197" t="e">
        <f>AND(#REF!,"AAAAAEX1f0s=")</f>
        <v>#REF!</v>
      </c>
      <c r="BY197" t="e">
        <f>AND(#REF!,"AAAAAEX1f0w=")</f>
        <v>#REF!</v>
      </c>
      <c r="BZ197" t="e">
        <f>AND(#REF!,"AAAAAEX1f00=")</f>
        <v>#REF!</v>
      </c>
      <c r="CA197" t="e">
        <f>AND(#REF!,"AAAAAEX1f04=")</f>
        <v>#REF!</v>
      </c>
      <c r="CB197" t="e">
        <f>AND(#REF!,"AAAAAEX1f08=")</f>
        <v>#REF!</v>
      </c>
      <c r="CC197" t="e">
        <f>AND(#REF!,"AAAAAEX1f1A=")</f>
        <v>#REF!</v>
      </c>
      <c r="CD197" t="e">
        <f>AND(#REF!,"AAAAAEX1f1E=")</f>
        <v>#REF!</v>
      </c>
      <c r="CE197" t="e">
        <f>AND(#REF!,"AAAAAEX1f1I=")</f>
        <v>#REF!</v>
      </c>
      <c r="CF197" t="e">
        <f>AND(#REF!,"AAAAAEX1f1M=")</f>
        <v>#REF!</v>
      </c>
      <c r="CG197" t="e">
        <f>AND(#REF!,"AAAAAEX1f1Q=")</f>
        <v>#REF!</v>
      </c>
      <c r="CH197" t="e">
        <f>AND(#REF!,"AAAAAEX1f1U=")</f>
        <v>#REF!</v>
      </c>
      <c r="CI197" t="e">
        <f>AND(#REF!,"AAAAAEX1f1Y=")</f>
        <v>#REF!</v>
      </c>
      <c r="CJ197" t="e">
        <f>AND(#REF!,"AAAAAEX1f1c=")</f>
        <v>#REF!</v>
      </c>
      <c r="CK197" t="e">
        <f>AND(#REF!,"AAAAAEX1f1g=")</f>
        <v>#REF!</v>
      </c>
      <c r="CL197" t="e">
        <f>AND(#REF!,"AAAAAEX1f1k=")</f>
        <v>#REF!</v>
      </c>
      <c r="CM197" t="e">
        <f>AND(#REF!,"AAAAAEX1f1o=")</f>
        <v>#REF!</v>
      </c>
      <c r="CN197" t="e">
        <f>AND(#REF!,"AAAAAEX1f1s=")</f>
        <v>#REF!</v>
      </c>
      <c r="CO197" t="e">
        <f>AND(#REF!,"AAAAAEX1f1w=")</f>
        <v>#REF!</v>
      </c>
      <c r="CP197" t="e">
        <f>AND(#REF!,"AAAAAEX1f10=")</f>
        <v>#REF!</v>
      </c>
      <c r="CQ197" t="e">
        <f>AND(#REF!,"AAAAAEX1f14=")</f>
        <v>#REF!</v>
      </c>
      <c r="CR197" t="e">
        <f>AND(#REF!,"AAAAAEX1f18=")</f>
        <v>#REF!</v>
      </c>
      <c r="CS197" t="e">
        <f>AND(#REF!,"AAAAAEX1f2A=")</f>
        <v>#REF!</v>
      </c>
      <c r="CT197" t="e">
        <f>AND(#REF!,"AAAAAEX1f2E=")</f>
        <v>#REF!</v>
      </c>
      <c r="CU197" t="e">
        <f>AND(#REF!,"AAAAAEX1f2I=")</f>
        <v>#REF!</v>
      </c>
      <c r="CV197" t="e">
        <f>AND(#REF!,"AAAAAEX1f2M=")</f>
        <v>#REF!</v>
      </c>
      <c r="CW197" t="e">
        <f>AND(#REF!,"AAAAAEX1f2Q=")</f>
        <v>#REF!</v>
      </c>
      <c r="CX197" t="e">
        <f>AND(#REF!,"AAAAAEX1f2U=")</f>
        <v>#REF!</v>
      </c>
      <c r="CY197" t="e">
        <f>AND(#REF!,"AAAAAEX1f2Y=")</f>
        <v>#REF!</v>
      </c>
      <c r="CZ197" t="e">
        <f>AND(#REF!,"AAAAAEX1f2c=")</f>
        <v>#REF!</v>
      </c>
      <c r="DA197" t="e">
        <f>AND(#REF!,"AAAAAEX1f2g=")</f>
        <v>#REF!</v>
      </c>
      <c r="DB197" t="e">
        <f>AND(#REF!,"AAAAAEX1f2k=")</f>
        <v>#REF!</v>
      </c>
      <c r="DC197" t="e">
        <f>AND(#REF!,"AAAAAEX1f2o=")</f>
        <v>#REF!</v>
      </c>
      <c r="DD197" t="e">
        <f>AND(#REF!,"AAAAAEX1f2s=")</f>
        <v>#REF!</v>
      </c>
      <c r="DE197" t="e">
        <f>AND(#REF!,"AAAAAEX1f2w=")</f>
        <v>#REF!</v>
      </c>
      <c r="DF197" t="e">
        <f>AND(#REF!,"AAAAAEX1f20=")</f>
        <v>#REF!</v>
      </c>
      <c r="DG197" t="e">
        <f>AND(#REF!,"AAAAAEX1f24=")</f>
        <v>#REF!</v>
      </c>
      <c r="DH197" t="e">
        <f>AND(#REF!,"AAAAAEX1f28=")</f>
        <v>#REF!</v>
      </c>
      <c r="DI197" t="e">
        <f>AND(#REF!,"AAAAAEX1f3A=")</f>
        <v>#REF!</v>
      </c>
      <c r="DJ197" t="e">
        <f>AND(#REF!,"AAAAAEX1f3E=")</f>
        <v>#REF!</v>
      </c>
      <c r="DK197" t="e">
        <f>AND(#REF!,"AAAAAEX1f3I=")</f>
        <v>#REF!</v>
      </c>
      <c r="DL197" t="e">
        <f>AND(#REF!,"AAAAAEX1f3M=")</f>
        <v>#REF!</v>
      </c>
      <c r="DM197" t="e">
        <f>AND(#REF!,"AAAAAEX1f3Q=")</f>
        <v>#REF!</v>
      </c>
      <c r="DN197" t="e">
        <f>AND(#REF!,"AAAAAEX1f3U=")</f>
        <v>#REF!</v>
      </c>
      <c r="DO197" t="e">
        <f>AND(#REF!,"AAAAAEX1f3Y=")</f>
        <v>#REF!</v>
      </c>
      <c r="DP197" t="e">
        <f>AND(#REF!,"AAAAAEX1f3c=")</f>
        <v>#REF!</v>
      </c>
      <c r="DQ197" t="e">
        <f>AND(#REF!,"AAAAAEX1f3g=")</f>
        <v>#REF!</v>
      </c>
      <c r="DR197" t="e">
        <f>AND(#REF!,"AAAAAEX1f3k=")</f>
        <v>#REF!</v>
      </c>
      <c r="DS197" t="e">
        <f>AND(#REF!,"AAAAAEX1f3o=")</f>
        <v>#REF!</v>
      </c>
      <c r="DT197" t="e">
        <f>AND(#REF!,"AAAAAEX1f3s=")</f>
        <v>#REF!</v>
      </c>
      <c r="DU197" t="e">
        <f>AND(#REF!,"AAAAAEX1f3w=")</f>
        <v>#REF!</v>
      </c>
      <c r="DV197" t="e">
        <f>AND(#REF!,"AAAAAEX1f30=")</f>
        <v>#REF!</v>
      </c>
      <c r="DW197" t="e">
        <f>AND(#REF!,"AAAAAEX1f34=")</f>
        <v>#REF!</v>
      </c>
      <c r="DX197" t="e">
        <f>AND(#REF!,"AAAAAEX1f38=")</f>
        <v>#REF!</v>
      </c>
      <c r="DY197" t="e">
        <f>AND(#REF!,"AAAAAEX1f4A=")</f>
        <v>#REF!</v>
      </c>
      <c r="DZ197" t="e">
        <f>AND(#REF!,"AAAAAEX1f4E=")</f>
        <v>#REF!</v>
      </c>
      <c r="EA197" t="e">
        <f>AND(#REF!,"AAAAAEX1f4I=")</f>
        <v>#REF!</v>
      </c>
      <c r="EB197" t="e">
        <f>AND(#REF!,"AAAAAEX1f4M=")</f>
        <v>#REF!</v>
      </c>
      <c r="EC197" t="e">
        <f>AND(#REF!,"AAAAAEX1f4Q=")</f>
        <v>#REF!</v>
      </c>
      <c r="ED197" t="e">
        <f>AND(#REF!,"AAAAAEX1f4U=")</f>
        <v>#REF!</v>
      </c>
      <c r="EE197" t="e">
        <f>AND(#REF!,"AAAAAEX1f4Y=")</f>
        <v>#REF!</v>
      </c>
      <c r="EF197" t="e">
        <f>AND(#REF!,"AAAAAEX1f4c=")</f>
        <v>#REF!</v>
      </c>
      <c r="EG197" t="e">
        <f>AND(#REF!,"AAAAAEX1f4g=")</f>
        <v>#REF!</v>
      </c>
      <c r="EH197" t="e">
        <f>AND(#REF!,"AAAAAEX1f4k=")</f>
        <v>#REF!</v>
      </c>
      <c r="EI197" t="e">
        <f>AND(#REF!,"AAAAAEX1f4o=")</f>
        <v>#REF!</v>
      </c>
      <c r="EJ197" t="e">
        <f>AND(#REF!,"AAAAAEX1f4s=")</f>
        <v>#REF!</v>
      </c>
      <c r="EK197" t="e">
        <f>AND(#REF!,"AAAAAEX1f4w=")</f>
        <v>#REF!</v>
      </c>
      <c r="EL197" t="e">
        <f>AND(#REF!,"AAAAAEX1f40=")</f>
        <v>#REF!</v>
      </c>
      <c r="EM197" t="e">
        <f>AND(#REF!,"AAAAAEX1f44=")</f>
        <v>#REF!</v>
      </c>
      <c r="EN197" t="e">
        <f>AND(#REF!,"AAAAAEX1f48=")</f>
        <v>#REF!</v>
      </c>
      <c r="EO197" t="e">
        <f>AND(#REF!,"AAAAAEX1f5A=")</f>
        <v>#REF!</v>
      </c>
      <c r="EP197" t="e">
        <f>AND(#REF!,"AAAAAEX1f5E=")</f>
        <v>#REF!</v>
      </c>
      <c r="EQ197" t="e">
        <f>AND(#REF!,"AAAAAEX1f5I=")</f>
        <v>#REF!</v>
      </c>
      <c r="ER197" t="e">
        <f>AND(#REF!,"AAAAAEX1f5M=")</f>
        <v>#REF!</v>
      </c>
      <c r="ES197" t="e">
        <f>AND(#REF!,"AAAAAEX1f5Q=")</f>
        <v>#REF!</v>
      </c>
      <c r="ET197" t="e">
        <f>AND(#REF!,"AAAAAEX1f5U=")</f>
        <v>#REF!</v>
      </c>
      <c r="EU197" t="e">
        <f>AND(#REF!,"AAAAAEX1f5Y=")</f>
        <v>#REF!</v>
      </c>
      <c r="EV197" t="e">
        <f>AND(#REF!,"AAAAAEX1f5c=")</f>
        <v>#REF!</v>
      </c>
      <c r="EW197" t="e">
        <f>AND(#REF!,"AAAAAEX1f5g=")</f>
        <v>#REF!</v>
      </c>
      <c r="EX197" t="e">
        <f>AND(#REF!,"AAAAAEX1f5k=")</f>
        <v>#REF!</v>
      </c>
      <c r="EY197" t="e">
        <f>IF(#REF!,"AAAAAEX1f5o=",0)</f>
        <v>#REF!</v>
      </c>
      <c r="EZ197" t="e">
        <f>AND(#REF!,"AAAAAEX1f5s=")</f>
        <v>#REF!</v>
      </c>
      <c r="FA197" t="e">
        <f>AND(#REF!,"AAAAAEX1f5w=")</f>
        <v>#REF!</v>
      </c>
      <c r="FB197" t="e">
        <f>AND(#REF!,"AAAAAEX1f50=")</f>
        <v>#REF!</v>
      </c>
      <c r="FC197" t="e">
        <f>AND(#REF!,"AAAAAEX1f54=")</f>
        <v>#REF!</v>
      </c>
      <c r="FD197" t="e">
        <f>AND(#REF!,"AAAAAEX1f58=")</f>
        <v>#REF!</v>
      </c>
      <c r="FE197" t="e">
        <f>AND(#REF!,"AAAAAEX1f6A=")</f>
        <v>#REF!</v>
      </c>
      <c r="FF197" t="e">
        <f>AND(#REF!,"AAAAAEX1f6E=")</f>
        <v>#REF!</v>
      </c>
      <c r="FG197" t="e">
        <f>AND(#REF!,"AAAAAEX1f6I=")</f>
        <v>#REF!</v>
      </c>
      <c r="FH197" t="e">
        <f>AND(#REF!,"AAAAAEX1f6M=")</f>
        <v>#REF!</v>
      </c>
      <c r="FI197" t="e">
        <f>AND(#REF!,"AAAAAEX1f6Q=")</f>
        <v>#REF!</v>
      </c>
      <c r="FJ197" t="e">
        <f>AND(#REF!,"AAAAAEX1f6U=")</f>
        <v>#REF!</v>
      </c>
      <c r="FK197" t="e">
        <f>AND(#REF!,"AAAAAEX1f6Y=")</f>
        <v>#REF!</v>
      </c>
      <c r="FL197" t="e">
        <f>AND(#REF!,"AAAAAEX1f6c=")</f>
        <v>#REF!</v>
      </c>
      <c r="FM197" t="e">
        <f>AND(#REF!,"AAAAAEX1f6g=")</f>
        <v>#REF!</v>
      </c>
      <c r="FN197" t="e">
        <f>AND(#REF!,"AAAAAEX1f6k=")</f>
        <v>#REF!</v>
      </c>
      <c r="FO197" t="e">
        <f>AND(#REF!,"AAAAAEX1f6o=")</f>
        <v>#REF!</v>
      </c>
      <c r="FP197" t="e">
        <f>AND(#REF!,"AAAAAEX1f6s=")</f>
        <v>#REF!</v>
      </c>
      <c r="FQ197" t="e">
        <f>AND(#REF!,"AAAAAEX1f6w=")</f>
        <v>#REF!</v>
      </c>
      <c r="FR197" t="e">
        <f>AND(#REF!,"AAAAAEX1f60=")</f>
        <v>#REF!</v>
      </c>
      <c r="FS197" t="e">
        <f>AND(#REF!,"AAAAAEX1f64=")</f>
        <v>#REF!</v>
      </c>
      <c r="FT197" t="e">
        <f>AND(#REF!,"AAAAAEX1f68=")</f>
        <v>#REF!</v>
      </c>
      <c r="FU197" t="e">
        <f>AND(#REF!,"AAAAAEX1f7A=")</f>
        <v>#REF!</v>
      </c>
      <c r="FV197" t="e">
        <f>AND(#REF!,"AAAAAEX1f7E=")</f>
        <v>#REF!</v>
      </c>
      <c r="FW197" t="e">
        <f>AND(#REF!,"AAAAAEX1f7I=")</f>
        <v>#REF!</v>
      </c>
      <c r="FX197" t="e">
        <f>AND(#REF!,"AAAAAEX1f7M=")</f>
        <v>#REF!</v>
      </c>
      <c r="FY197" t="e">
        <f>AND(#REF!,"AAAAAEX1f7Q=")</f>
        <v>#REF!</v>
      </c>
      <c r="FZ197" t="e">
        <f>AND(#REF!,"AAAAAEX1f7U=")</f>
        <v>#REF!</v>
      </c>
      <c r="GA197" t="e">
        <f>AND(#REF!,"AAAAAEX1f7Y=")</f>
        <v>#REF!</v>
      </c>
      <c r="GB197" t="e">
        <f>AND(#REF!,"AAAAAEX1f7c=")</f>
        <v>#REF!</v>
      </c>
      <c r="GC197" t="e">
        <f>AND(#REF!,"AAAAAEX1f7g=")</f>
        <v>#REF!</v>
      </c>
      <c r="GD197" t="e">
        <f>AND(#REF!,"AAAAAEX1f7k=")</f>
        <v>#REF!</v>
      </c>
      <c r="GE197" t="e">
        <f>AND(#REF!,"AAAAAEX1f7o=")</f>
        <v>#REF!</v>
      </c>
      <c r="GF197" t="e">
        <f>AND(#REF!,"AAAAAEX1f7s=")</f>
        <v>#REF!</v>
      </c>
      <c r="GG197" t="e">
        <f>AND(#REF!,"AAAAAEX1f7w=")</f>
        <v>#REF!</v>
      </c>
      <c r="GH197" t="e">
        <f>AND(#REF!,"AAAAAEX1f70=")</f>
        <v>#REF!</v>
      </c>
      <c r="GI197" t="e">
        <f>AND(#REF!,"AAAAAEX1f74=")</f>
        <v>#REF!</v>
      </c>
      <c r="GJ197" t="e">
        <f>AND(#REF!,"AAAAAEX1f78=")</f>
        <v>#REF!</v>
      </c>
      <c r="GK197" t="e">
        <f>AND(#REF!,"AAAAAEX1f8A=")</f>
        <v>#REF!</v>
      </c>
      <c r="GL197" t="e">
        <f>AND(#REF!,"AAAAAEX1f8E=")</f>
        <v>#REF!</v>
      </c>
      <c r="GM197" t="e">
        <f>AND(#REF!,"AAAAAEX1f8I=")</f>
        <v>#REF!</v>
      </c>
      <c r="GN197" t="e">
        <f>AND(#REF!,"AAAAAEX1f8M=")</f>
        <v>#REF!</v>
      </c>
      <c r="GO197" t="e">
        <f>AND(#REF!,"AAAAAEX1f8Q=")</f>
        <v>#REF!</v>
      </c>
      <c r="GP197" t="e">
        <f>AND(#REF!,"AAAAAEX1f8U=")</f>
        <v>#REF!</v>
      </c>
      <c r="GQ197" t="e">
        <f>AND(#REF!,"AAAAAEX1f8Y=")</f>
        <v>#REF!</v>
      </c>
      <c r="GR197" t="e">
        <f>AND(#REF!,"AAAAAEX1f8c=")</f>
        <v>#REF!</v>
      </c>
      <c r="GS197" t="e">
        <f>AND(#REF!,"AAAAAEX1f8g=")</f>
        <v>#REF!</v>
      </c>
      <c r="GT197" t="e">
        <f>AND(#REF!,"AAAAAEX1f8k=")</f>
        <v>#REF!</v>
      </c>
      <c r="GU197" t="e">
        <f>AND(#REF!,"AAAAAEX1f8o=")</f>
        <v>#REF!</v>
      </c>
      <c r="GV197" t="e">
        <f>AND(#REF!,"AAAAAEX1f8s=")</f>
        <v>#REF!</v>
      </c>
      <c r="GW197" t="e">
        <f>AND(#REF!,"AAAAAEX1f8w=")</f>
        <v>#REF!</v>
      </c>
      <c r="GX197" t="e">
        <f>AND(#REF!,"AAAAAEX1f80=")</f>
        <v>#REF!</v>
      </c>
      <c r="GY197" t="e">
        <f>AND(#REF!,"AAAAAEX1f84=")</f>
        <v>#REF!</v>
      </c>
      <c r="GZ197" t="e">
        <f>AND(#REF!,"AAAAAEX1f88=")</f>
        <v>#REF!</v>
      </c>
      <c r="HA197" t="e">
        <f>AND(#REF!,"AAAAAEX1f9A=")</f>
        <v>#REF!</v>
      </c>
      <c r="HB197" t="e">
        <f>AND(#REF!,"AAAAAEX1f9E=")</f>
        <v>#REF!</v>
      </c>
      <c r="HC197" t="e">
        <f>AND(#REF!,"AAAAAEX1f9I=")</f>
        <v>#REF!</v>
      </c>
      <c r="HD197" t="e">
        <f>AND(#REF!,"AAAAAEX1f9M=")</f>
        <v>#REF!</v>
      </c>
      <c r="HE197" t="e">
        <f>AND(#REF!,"AAAAAEX1f9Q=")</f>
        <v>#REF!</v>
      </c>
      <c r="HF197" t="e">
        <f>AND(#REF!,"AAAAAEX1f9U=")</f>
        <v>#REF!</v>
      </c>
      <c r="HG197" t="e">
        <f>AND(#REF!,"AAAAAEX1f9Y=")</f>
        <v>#REF!</v>
      </c>
      <c r="HH197" t="e">
        <f>AND(#REF!,"AAAAAEX1f9c=")</f>
        <v>#REF!</v>
      </c>
      <c r="HI197" t="e">
        <f>AND(#REF!,"AAAAAEX1f9g=")</f>
        <v>#REF!</v>
      </c>
      <c r="HJ197" t="e">
        <f>AND(#REF!,"AAAAAEX1f9k=")</f>
        <v>#REF!</v>
      </c>
      <c r="HK197" t="e">
        <f>AND(#REF!,"AAAAAEX1f9o=")</f>
        <v>#REF!</v>
      </c>
      <c r="HL197" t="e">
        <f>AND(#REF!,"AAAAAEX1f9s=")</f>
        <v>#REF!</v>
      </c>
      <c r="HM197" t="e">
        <f>AND(#REF!,"AAAAAEX1f9w=")</f>
        <v>#REF!</v>
      </c>
      <c r="HN197" t="e">
        <f>AND(#REF!,"AAAAAEX1f90=")</f>
        <v>#REF!</v>
      </c>
      <c r="HO197" t="e">
        <f>AND(#REF!,"AAAAAEX1f94=")</f>
        <v>#REF!</v>
      </c>
      <c r="HP197" t="e">
        <f>AND(#REF!,"AAAAAEX1f98=")</f>
        <v>#REF!</v>
      </c>
      <c r="HQ197" t="e">
        <f>AND(#REF!,"AAAAAEX1f+A=")</f>
        <v>#REF!</v>
      </c>
      <c r="HR197" t="e">
        <f>AND(#REF!,"AAAAAEX1f+E=")</f>
        <v>#REF!</v>
      </c>
      <c r="HS197" t="e">
        <f>AND(#REF!,"AAAAAEX1f+I=")</f>
        <v>#REF!</v>
      </c>
      <c r="HT197" t="e">
        <f>AND(#REF!,"AAAAAEX1f+M=")</f>
        <v>#REF!</v>
      </c>
      <c r="HU197" t="e">
        <f>AND(#REF!,"AAAAAEX1f+Q=")</f>
        <v>#REF!</v>
      </c>
      <c r="HV197" t="e">
        <f>AND(#REF!,"AAAAAEX1f+U=")</f>
        <v>#REF!</v>
      </c>
      <c r="HW197" t="e">
        <f>AND(#REF!,"AAAAAEX1f+Y=")</f>
        <v>#REF!</v>
      </c>
      <c r="HX197" t="e">
        <f>AND(#REF!,"AAAAAEX1f+c=")</f>
        <v>#REF!</v>
      </c>
      <c r="HY197" t="e">
        <f>AND(#REF!,"AAAAAEX1f+g=")</f>
        <v>#REF!</v>
      </c>
      <c r="HZ197" t="e">
        <f>AND(#REF!,"AAAAAEX1f+k=")</f>
        <v>#REF!</v>
      </c>
      <c r="IA197" t="e">
        <f>AND(#REF!,"AAAAAEX1f+o=")</f>
        <v>#REF!</v>
      </c>
      <c r="IB197" t="e">
        <f>AND(#REF!,"AAAAAEX1f+s=")</f>
        <v>#REF!</v>
      </c>
      <c r="IC197" t="e">
        <f>AND(#REF!,"AAAAAEX1f+w=")</f>
        <v>#REF!</v>
      </c>
      <c r="ID197" t="e">
        <f>AND(#REF!,"AAAAAEX1f+0=")</f>
        <v>#REF!</v>
      </c>
      <c r="IE197" t="e">
        <f>AND(#REF!,"AAAAAEX1f+4=")</f>
        <v>#REF!</v>
      </c>
      <c r="IF197" t="e">
        <f>AND(#REF!,"AAAAAEX1f+8=")</f>
        <v>#REF!</v>
      </c>
      <c r="IG197" t="e">
        <f>AND(#REF!,"AAAAAEX1f/A=")</f>
        <v>#REF!</v>
      </c>
      <c r="IH197" t="e">
        <f>AND(#REF!,"AAAAAEX1f/E=")</f>
        <v>#REF!</v>
      </c>
      <c r="II197" t="e">
        <f>AND(#REF!,"AAAAAEX1f/I=")</f>
        <v>#REF!</v>
      </c>
      <c r="IJ197" t="e">
        <f>AND(#REF!,"AAAAAEX1f/M=")</f>
        <v>#REF!</v>
      </c>
      <c r="IK197" t="e">
        <f>AND(#REF!,"AAAAAEX1f/Q=")</f>
        <v>#REF!</v>
      </c>
      <c r="IL197" t="e">
        <f>AND(#REF!,"AAAAAEX1f/U=")</f>
        <v>#REF!</v>
      </c>
      <c r="IM197" t="e">
        <f>AND(#REF!,"AAAAAEX1f/Y=")</f>
        <v>#REF!</v>
      </c>
      <c r="IN197" t="e">
        <f>AND(#REF!,"AAAAAEX1f/c=")</f>
        <v>#REF!</v>
      </c>
      <c r="IO197" t="e">
        <f>AND(#REF!,"AAAAAEX1f/g=")</f>
        <v>#REF!</v>
      </c>
      <c r="IP197" t="e">
        <f>AND(#REF!,"AAAAAEX1f/k=")</f>
        <v>#REF!</v>
      </c>
      <c r="IQ197" t="e">
        <f>AND(#REF!,"AAAAAEX1f/o=")</f>
        <v>#REF!</v>
      </c>
      <c r="IR197" t="e">
        <f>AND(#REF!,"AAAAAEX1f/s=")</f>
        <v>#REF!</v>
      </c>
      <c r="IS197" t="e">
        <f>AND(#REF!,"AAAAAEX1f/w=")</f>
        <v>#REF!</v>
      </c>
      <c r="IT197" t="e">
        <f>AND(#REF!,"AAAAAEX1f/0=")</f>
        <v>#REF!</v>
      </c>
      <c r="IU197" t="e">
        <f>AND(#REF!,"AAAAAEX1f/4=")</f>
        <v>#REF!</v>
      </c>
      <c r="IV197" t="e">
        <f>AND(#REF!,"AAAAAEX1f/8=")</f>
        <v>#REF!</v>
      </c>
    </row>
    <row r="198" spans="1:256">
      <c r="A198" t="e">
        <f>AND(#REF!,"AAAAAHZ7jAA=")</f>
        <v>#REF!</v>
      </c>
      <c r="B198" t="e">
        <f>AND(#REF!,"AAAAAHZ7jAE=")</f>
        <v>#REF!</v>
      </c>
      <c r="C198" t="e">
        <f>AND(#REF!,"AAAAAHZ7jAI=")</f>
        <v>#REF!</v>
      </c>
      <c r="D198" t="e">
        <f>AND(#REF!,"AAAAAHZ7jAM=")</f>
        <v>#REF!</v>
      </c>
      <c r="E198" t="e">
        <f>AND(#REF!,"AAAAAHZ7jAQ=")</f>
        <v>#REF!</v>
      </c>
      <c r="F198" t="e">
        <f>AND(#REF!,"AAAAAHZ7jAU=")</f>
        <v>#REF!</v>
      </c>
      <c r="G198" t="e">
        <f>AND(#REF!,"AAAAAHZ7jAY=")</f>
        <v>#REF!</v>
      </c>
      <c r="H198" t="e">
        <f>AND(#REF!,"AAAAAHZ7jAc=")</f>
        <v>#REF!</v>
      </c>
      <c r="I198" t="e">
        <f>AND(#REF!,"AAAAAHZ7jAg=")</f>
        <v>#REF!</v>
      </c>
      <c r="J198" t="e">
        <f>AND(#REF!,"AAAAAHZ7jAk=")</f>
        <v>#REF!</v>
      </c>
      <c r="K198" t="e">
        <f>AND(#REF!,"AAAAAHZ7jAo=")</f>
        <v>#REF!</v>
      </c>
      <c r="L198" t="e">
        <f>AND(#REF!,"AAAAAHZ7jAs=")</f>
        <v>#REF!</v>
      </c>
      <c r="M198" t="e">
        <f>AND(#REF!,"AAAAAHZ7jAw=")</f>
        <v>#REF!</v>
      </c>
      <c r="N198" t="e">
        <f>AND(#REF!,"AAAAAHZ7jA0=")</f>
        <v>#REF!</v>
      </c>
      <c r="O198" t="e">
        <f>AND(#REF!,"AAAAAHZ7jA4=")</f>
        <v>#REF!</v>
      </c>
      <c r="P198" t="e">
        <f>AND(#REF!,"AAAAAHZ7jA8=")</f>
        <v>#REF!</v>
      </c>
      <c r="Q198" t="e">
        <f>AND(#REF!,"AAAAAHZ7jBA=")</f>
        <v>#REF!</v>
      </c>
      <c r="R198" t="e">
        <f>AND(#REF!,"AAAAAHZ7jBE=")</f>
        <v>#REF!</v>
      </c>
      <c r="S198" t="e">
        <f>AND(#REF!,"AAAAAHZ7jBI=")</f>
        <v>#REF!</v>
      </c>
      <c r="T198" t="e">
        <f>AND(#REF!,"AAAAAHZ7jBM=")</f>
        <v>#REF!</v>
      </c>
      <c r="U198" t="e">
        <f>AND(#REF!,"AAAAAHZ7jBQ=")</f>
        <v>#REF!</v>
      </c>
      <c r="V198" t="e">
        <f>AND(#REF!,"AAAAAHZ7jBU=")</f>
        <v>#REF!</v>
      </c>
      <c r="W198" t="e">
        <f>AND(#REF!,"AAAAAHZ7jBY=")</f>
        <v>#REF!</v>
      </c>
      <c r="X198" t="e">
        <f>AND(#REF!,"AAAAAHZ7jBc=")</f>
        <v>#REF!</v>
      </c>
      <c r="Y198" t="e">
        <f>AND(#REF!,"AAAAAHZ7jBg=")</f>
        <v>#REF!</v>
      </c>
      <c r="Z198" t="e">
        <f>AND(#REF!,"AAAAAHZ7jBk=")</f>
        <v>#REF!</v>
      </c>
      <c r="AA198" t="e">
        <f>AND(#REF!,"AAAAAHZ7jBo=")</f>
        <v>#REF!</v>
      </c>
      <c r="AB198" t="e">
        <f>AND(#REF!,"AAAAAHZ7jBs=")</f>
        <v>#REF!</v>
      </c>
      <c r="AC198" t="e">
        <f>AND(#REF!,"AAAAAHZ7jBw=")</f>
        <v>#REF!</v>
      </c>
      <c r="AD198" t="e">
        <f>AND(#REF!,"AAAAAHZ7jB0=")</f>
        <v>#REF!</v>
      </c>
      <c r="AE198" t="e">
        <f>AND(#REF!,"AAAAAHZ7jB4=")</f>
        <v>#REF!</v>
      </c>
      <c r="AF198" t="e">
        <f>AND(#REF!,"AAAAAHZ7jB8=")</f>
        <v>#REF!</v>
      </c>
      <c r="AG198" t="e">
        <f>AND(#REF!,"AAAAAHZ7jCA=")</f>
        <v>#REF!</v>
      </c>
      <c r="AH198" t="e">
        <f>AND(#REF!,"AAAAAHZ7jCE=")</f>
        <v>#REF!</v>
      </c>
      <c r="AI198" t="e">
        <f>AND(#REF!,"AAAAAHZ7jCI=")</f>
        <v>#REF!</v>
      </c>
      <c r="AJ198" t="e">
        <f>AND(#REF!,"AAAAAHZ7jCM=")</f>
        <v>#REF!</v>
      </c>
      <c r="AK198" t="e">
        <f>AND(#REF!,"AAAAAHZ7jCQ=")</f>
        <v>#REF!</v>
      </c>
      <c r="AL198" t="e">
        <f>AND(#REF!,"AAAAAHZ7jCU=")</f>
        <v>#REF!</v>
      </c>
      <c r="AM198" t="e">
        <f>AND(#REF!,"AAAAAHZ7jCY=")</f>
        <v>#REF!</v>
      </c>
      <c r="AN198" t="e">
        <f>AND(#REF!,"AAAAAHZ7jCc=")</f>
        <v>#REF!</v>
      </c>
      <c r="AO198" t="e">
        <f>AND(#REF!,"AAAAAHZ7jCg=")</f>
        <v>#REF!</v>
      </c>
      <c r="AP198" t="e">
        <f>AND(#REF!,"AAAAAHZ7jCk=")</f>
        <v>#REF!</v>
      </c>
      <c r="AQ198" t="e">
        <f>AND(#REF!,"AAAAAHZ7jCo=")</f>
        <v>#REF!</v>
      </c>
      <c r="AR198" t="e">
        <f>AND(#REF!,"AAAAAHZ7jCs=")</f>
        <v>#REF!</v>
      </c>
      <c r="AS198" t="e">
        <f>AND(#REF!,"AAAAAHZ7jCw=")</f>
        <v>#REF!</v>
      </c>
      <c r="AT198" t="e">
        <f>AND(#REF!,"AAAAAHZ7jC0=")</f>
        <v>#REF!</v>
      </c>
      <c r="AU198" t="e">
        <f>AND(#REF!,"AAAAAHZ7jC4=")</f>
        <v>#REF!</v>
      </c>
      <c r="AV198" t="e">
        <f>AND(#REF!,"AAAAAHZ7jC8=")</f>
        <v>#REF!</v>
      </c>
      <c r="AW198" t="e">
        <f>AND(#REF!,"AAAAAHZ7jDA=")</f>
        <v>#REF!</v>
      </c>
      <c r="AX198" t="e">
        <f>AND(#REF!,"AAAAAHZ7jDE=")</f>
        <v>#REF!</v>
      </c>
      <c r="AY198" t="e">
        <f>AND(#REF!,"AAAAAHZ7jDI=")</f>
        <v>#REF!</v>
      </c>
      <c r="AZ198" t="e">
        <f>AND(#REF!,"AAAAAHZ7jDM=")</f>
        <v>#REF!</v>
      </c>
      <c r="BA198" t="e">
        <f>AND(#REF!,"AAAAAHZ7jDQ=")</f>
        <v>#REF!</v>
      </c>
      <c r="BB198" t="e">
        <f>AND(#REF!,"AAAAAHZ7jDU=")</f>
        <v>#REF!</v>
      </c>
      <c r="BC198" t="e">
        <f>AND(#REF!,"AAAAAHZ7jDY=")</f>
        <v>#REF!</v>
      </c>
      <c r="BD198" t="e">
        <f>AND(#REF!,"AAAAAHZ7jDc=")</f>
        <v>#REF!</v>
      </c>
      <c r="BE198" t="e">
        <f>AND(#REF!,"AAAAAHZ7jDg=")</f>
        <v>#REF!</v>
      </c>
      <c r="BF198" t="e">
        <f>AND(#REF!,"AAAAAHZ7jDk=")</f>
        <v>#REF!</v>
      </c>
      <c r="BG198" t="e">
        <f>AND(#REF!,"AAAAAHZ7jDo=")</f>
        <v>#REF!</v>
      </c>
      <c r="BH198" t="e">
        <f>AND(#REF!,"AAAAAHZ7jDs=")</f>
        <v>#REF!</v>
      </c>
      <c r="BI198" t="e">
        <f>AND(#REF!,"AAAAAHZ7jDw=")</f>
        <v>#REF!</v>
      </c>
      <c r="BJ198" t="e">
        <f>AND(#REF!,"AAAAAHZ7jD0=")</f>
        <v>#REF!</v>
      </c>
      <c r="BK198" t="e">
        <f>AND(#REF!,"AAAAAHZ7jD4=")</f>
        <v>#REF!</v>
      </c>
      <c r="BL198" t="e">
        <f>AND(#REF!,"AAAAAHZ7jD8=")</f>
        <v>#REF!</v>
      </c>
      <c r="BM198" t="e">
        <f>AND(#REF!,"AAAAAHZ7jEA=")</f>
        <v>#REF!</v>
      </c>
      <c r="BN198" t="e">
        <f>AND(#REF!,"AAAAAHZ7jEE=")</f>
        <v>#REF!</v>
      </c>
      <c r="BO198" t="e">
        <f>AND(#REF!,"AAAAAHZ7jEI=")</f>
        <v>#REF!</v>
      </c>
      <c r="BP198" t="e">
        <f>AND(#REF!,"AAAAAHZ7jEM=")</f>
        <v>#REF!</v>
      </c>
      <c r="BQ198" t="e">
        <f>AND(#REF!,"AAAAAHZ7jEQ=")</f>
        <v>#REF!</v>
      </c>
      <c r="BR198" t="e">
        <f>AND(#REF!,"AAAAAHZ7jEU=")</f>
        <v>#REF!</v>
      </c>
      <c r="BS198" t="e">
        <f>AND(#REF!,"AAAAAHZ7jEY=")</f>
        <v>#REF!</v>
      </c>
      <c r="BT198" t="e">
        <f>AND(#REF!,"AAAAAHZ7jEc=")</f>
        <v>#REF!</v>
      </c>
      <c r="BU198" t="e">
        <f>AND(#REF!,"AAAAAHZ7jEg=")</f>
        <v>#REF!</v>
      </c>
      <c r="BV198" t="e">
        <f>AND(#REF!,"AAAAAHZ7jEk=")</f>
        <v>#REF!</v>
      </c>
      <c r="BW198" t="e">
        <f>AND(#REF!,"AAAAAHZ7jEo=")</f>
        <v>#REF!</v>
      </c>
      <c r="BX198" t="e">
        <f>AND(#REF!,"AAAAAHZ7jEs=")</f>
        <v>#REF!</v>
      </c>
      <c r="BY198" t="e">
        <f>AND(#REF!,"AAAAAHZ7jEw=")</f>
        <v>#REF!</v>
      </c>
      <c r="BZ198" t="e">
        <f>AND(#REF!,"AAAAAHZ7jE0=")</f>
        <v>#REF!</v>
      </c>
      <c r="CA198" t="e">
        <f>AND(#REF!,"AAAAAHZ7jE4=")</f>
        <v>#REF!</v>
      </c>
      <c r="CB198" t="e">
        <f>AND(#REF!,"AAAAAHZ7jE8=")</f>
        <v>#REF!</v>
      </c>
      <c r="CC198" t="e">
        <f>AND(#REF!,"AAAAAHZ7jFA=")</f>
        <v>#REF!</v>
      </c>
      <c r="CD198" t="e">
        <f>AND(#REF!,"AAAAAHZ7jFE=")</f>
        <v>#REF!</v>
      </c>
      <c r="CE198" t="e">
        <f>AND(#REF!,"AAAAAHZ7jFI=")</f>
        <v>#REF!</v>
      </c>
      <c r="CF198" t="e">
        <f>AND(#REF!,"AAAAAHZ7jFM=")</f>
        <v>#REF!</v>
      </c>
      <c r="CG198" t="e">
        <f>AND(#REF!,"AAAAAHZ7jFQ=")</f>
        <v>#REF!</v>
      </c>
      <c r="CH198" t="e">
        <f>AND(#REF!,"AAAAAHZ7jFU=")</f>
        <v>#REF!</v>
      </c>
      <c r="CI198" t="e">
        <f>AND(#REF!,"AAAAAHZ7jFY=")</f>
        <v>#REF!</v>
      </c>
      <c r="CJ198" t="e">
        <f>AND(#REF!,"AAAAAHZ7jFc=")</f>
        <v>#REF!</v>
      </c>
      <c r="CK198" t="e">
        <f>AND(#REF!,"AAAAAHZ7jFg=")</f>
        <v>#REF!</v>
      </c>
      <c r="CL198" t="e">
        <f>AND(#REF!,"AAAAAHZ7jFk=")</f>
        <v>#REF!</v>
      </c>
      <c r="CM198" t="e">
        <f>AND(#REF!,"AAAAAHZ7jFo=")</f>
        <v>#REF!</v>
      </c>
      <c r="CN198" t="e">
        <f>AND(#REF!,"AAAAAHZ7jFs=")</f>
        <v>#REF!</v>
      </c>
      <c r="CO198" t="e">
        <f>AND(#REF!,"AAAAAHZ7jFw=")</f>
        <v>#REF!</v>
      </c>
      <c r="CP198" t="e">
        <f>AND(#REF!,"AAAAAHZ7jF0=")</f>
        <v>#REF!</v>
      </c>
      <c r="CQ198" t="e">
        <f>AND(#REF!,"AAAAAHZ7jF4=")</f>
        <v>#REF!</v>
      </c>
      <c r="CR198" t="e">
        <f>AND(#REF!,"AAAAAHZ7jF8=")</f>
        <v>#REF!</v>
      </c>
      <c r="CS198" t="e">
        <f>AND(#REF!,"AAAAAHZ7jGA=")</f>
        <v>#REF!</v>
      </c>
      <c r="CT198" t="e">
        <f>AND(#REF!,"AAAAAHZ7jGE=")</f>
        <v>#REF!</v>
      </c>
      <c r="CU198" t="e">
        <f>AND(#REF!,"AAAAAHZ7jGI=")</f>
        <v>#REF!</v>
      </c>
      <c r="CV198" t="e">
        <f>AND(#REF!,"AAAAAHZ7jGM=")</f>
        <v>#REF!</v>
      </c>
      <c r="CW198" t="e">
        <f>AND(#REF!,"AAAAAHZ7jGQ=")</f>
        <v>#REF!</v>
      </c>
      <c r="CX198" t="e">
        <f>AND(#REF!,"AAAAAHZ7jGU=")</f>
        <v>#REF!</v>
      </c>
      <c r="CY198" t="e">
        <f>AND(#REF!,"AAAAAHZ7jGY=")</f>
        <v>#REF!</v>
      </c>
      <c r="CZ198" t="e">
        <f>AND(#REF!,"AAAAAHZ7jGc=")</f>
        <v>#REF!</v>
      </c>
      <c r="DA198" t="e">
        <f>AND(#REF!,"AAAAAHZ7jGg=")</f>
        <v>#REF!</v>
      </c>
      <c r="DB198" t="e">
        <f>AND(#REF!,"AAAAAHZ7jGk=")</f>
        <v>#REF!</v>
      </c>
      <c r="DC198" t="e">
        <f>AND(#REF!,"AAAAAHZ7jGo=")</f>
        <v>#REF!</v>
      </c>
      <c r="DD198" t="e">
        <f>AND(#REF!,"AAAAAHZ7jGs=")</f>
        <v>#REF!</v>
      </c>
      <c r="DE198" t="e">
        <f>AND(#REF!,"AAAAAHZ7jGw=")</f>
        <v>#REF!</v>
      </c>
      <c r="DF198" t="e">
        <f>AND(#REF!,"AAAAAHZ7jG0=")</f>
        <v>#REF!</v>
      </c>
      <c r="DG198" t="e">
        <f>AND(#REF!,"AAAAAHZ7jG4=")</f>
        <v>#REF!</v>
      </c>
      <c r="DH198" t="e">
        <f>AND(#REF!,"AAAAAHZ7jG8=")</f>
        <v>#REF!</v>
      </c>
      <c r="DI198" t="e">
        <f>AND(#REF!,"AAAAAHZ7jHA=")</f>
        <v>#REF!</v>
      </c>
      <c r="DJ198" t="e">
        <f>AND(#REF!,"AAAAAHZ7jHE=")</f>
        <v>#REF!</v>
      </c>
      <c r="DK198" t="e">
        <f>AND(#REF!,"AAAAAHZ7jHI=")</f>
        <v>#REF!</v>
      </c>
      <c r="DL198" t="e">
        <f>AND(#REF!,"AAAAAHZ7jHM=")</f>
        <v>#REF!</v>
      </c>
      <c r="DM198" t="e">
        <f>AND(#REF!,"AAAAAHZ7jHQ=")</f>
        <v>#REF!</v>
      </c>
      <c r="DN198" t="e">
        <f>AND(#REF!,"AAAAAHZ7jHU=")</f>
        <v>#REF!</v>
      </c>
      <c r="DO198" t="e">
        <f>AND(#REF!,"AAAAAHZ7jHY=")</f>
        <v>#REF!</v>
      </c>
      <c r="DP198" t="e">
        <f>AND(#REF!,"AAAAAHZ7jHc=")</f>
        <v>#REF!</v>
      </c>
      <c r="DQ198" t="e">
        <f>AND(#REF!,"AAAAAHZ7jHg=")</f>
        <v>#REF!</v>
      </c>
      <c r="DR198" t="e">
        <f>AND(#REF!,"AAAAAHZ7jHk=")</f>
        <v>#REF!</v>
      </c>
      <c r="DS198" t="e">
        <f>AND(#REF!,"AAAAAHZ7jHo=")</f>
        <v>#REF!</v>
      </c>
      <c r="DT198" t="e">
        <f>AND(#REF!,"AAAAAHZ7jHs=")</f>
        <v>#REF!</v>
      </c>
      <c r="DU198" t="e">
        <f>AND(#REF!,"AAAAAHZ7jHw=")</f>
        <v>#REF!</v>
      </c>
      <c r="DV198" t="e">
        <f>AND(#REF!,"AAAAAHZ7jH0=")</f>
        <v>#REF!</v>
      </c>
      <c r="DW198" t="e">
        <f>IF(#REF!,"AAAAAHZ7jH4=",0)</f>
        <v>#REF!</v>
      </c>
      <c r="DX198" t="e">
        <f>AND(#REF!,"AAAAAHZ7jH8=")</f>
        <v>#REF!</v>
      </c>
      <c r="DY198" t="e">
        <f>AND(#REF!,"AAAAAHZ7jIA=")</f>
        <v>#REF!</v>
      </c>
      <c r="DZ198" t="e">
        <f>AND(#REF!,"AAAAAHZ7jIE=")</f>
        <v>#REF!</v>
      </c>
      <c r="EA198" t="e">
        <f>AND(#REF!,"AAAAAHZ7jII=")</f>
        <v>#REF!</v>
      </c>
      <c r="EB198" t="e">
        <f>AND(#REF!,"AAAAAHZ7jIM=")</f>
        <v>#REF!</v>
      </c>
      <c r="EC198" t="e">
        <f>AND(#REF!,"AAAAAHZ7jIQ=")</f>
        <v>#REF!</v>
      </c>
      <c r="ED198" t="e">
        <f>AND(#REF!,"AAAAAHZ7jIU=")</f>
        <v>#REF!</v>
      </c>
      <c r="EE198" t="e">
        <f>AND(#REF!,"AAAAAHZ7jIY=")</f>
        <v>#REF!</v>
      </c>
      <c r="EF198" t="e">
        <f>AND(#REF!,"AAAAAHZ7jIc=")</f>
        <v>#REF!</v>
      </c>
      <c r="EG198" t="e">
        <f>AND(#REF!,"AAAAAHZ7jIg=")</f>
        <v>#REF!</v>
      </c>
      <c r="EH198" t="e">
        <f>AND(#REF!,"AAAAAHZ7jIk=")</f>
        <v>#REF!</v>
      </c>
      <c r="EI198" t="e">
        <f>AND(#REF!,"AAAAAHZ7jIo=")</f>
        <v>#REF!</v>
      </c>
      <c r="EJ198" t="e">
        <f>AND(#REF!,"AAAAAHZ7jIs=")</f>
        <v>#REF!</v>
      </c>
      <c r="EK198" t="e">
        <f>AND(#REF!,"AAAAAHZ7jIw=")</f>
        <v>#REF!</v>
      </c>
      <c r="EL198" t="e">
        <f>AND(#REF!,"AAAAAHZ7jI0=")</f>
        <v>#REF!</v>
      </c>
      <c r="EM198" t="e">
        <f>AND(#REF!,"AAAAAHZ7jI4=")</f>
        <v>#REF!</v>
      </c>
      <c r="EN198" t="e">
        <f>AND(#REF!,"AAAAAHZ7jI8=")</f>
        <v>#REF!</v>
      </c>
      <c r="EO198" t="e">
        <f>AND(#REF!,"AAAAAHZ7jJA=")</f>
        <v>#REF!</v>
      </c>
      <c r="EP198" t="e">
        <f>AND(#REF!,"AAAAAHZ7jJE=")</f>
        <v>#REF!</v>
      </c>
      <c r="EQ198" t="e">
        <f>AND(#REF!,"AAAAAHZ7jJI=")</f>
        <v>#REF!</v>
      </c>
      <c r="ER198" t="e">
        <f>AND(#REF!,"AAAAAHZ7jJM=")</f>
        <v>#REF!</v>
      </c>
      <c r="ES198" t="e">
        <f>AND(#REF!,"AAAAAHZ7jJQ=")</f>
        <v>#REF!</v>
      </c>
      <c r="ET198" t="e">
        <f>AND(#REF!,"AAAAAHZ7jJU=")</f>
        <v>#REF!</v>
      </c>
      <c r="EU198" t="e">
        <f>AND(#REF!,"AAAAAHZ7jJY=")</f>
        <v>#REF!</v>
      </c>
      <c r="EV198" t="e">
        <f>AND(#REF!,"AAAAAHZ7jJc=")</f>
        <v>#REF!</v>
      </c>
      <c r="EW198" t="e">
        <f>AND(#REF!,"AAAAAHZ7jJg=")</f>
        <v>#REF!</v>
      </c>
      <c r="EX198" t="e">
        <f>AND(#REF!,"AAAAAHZ7jJk=")</f>
        <v>#REF!</v>
      </c>
      <c r="EY198" t="e">
        <f>AND(#REF!,"AAAAAHZ7jJo=")</f>
        <v>#REF!</v>
      </c>
      <c r="EZ198" t="e">
        <f>AND(#REF!,"AAAAAHZ7jJs=")</f>
        <v>#REF!</v>
      </c>
      <c r="FA198" t="e">
        <f>AND(#REF!,"AAAAAHZ7jJw=")</f>
        <v>#REF!</v>
      </c>
      <c r="FB198" t="e">
        <f>AND(#REF!,"AAAAAHZ7jJ0=")</f>
        <v>#REF!</v>
      </c>
      <c r="FC198" t="e">
        <f>AND(#REF!,"AAAAAHZ7jJ4=")</f>
        <v>#REF!</v>
      </c>
      <c r="FD198" t="e">
        <f>AND(#REF!,"AAAAAHZ7jJ8=")</f>
        <v>#REF!</v>
      </c>
      <c r="FE198" t="e">
        <f>AND(#REF!,"AAAAAHZ7jKA=")</f>
        <v>#REF!</v>
      </c>
      <c r="FF198" t="e">
        <f>AND(#REF!,"AAAAAHZ7jKE=")</f>
        <v>#REF!</v>
      </c>
      <c r="FG198" t="e">
        <f>AND(#REF!,"AAAAAHZ7jKI=")</f>
        <v>#REF!</v>
      </c>
      <c r="FH198" t="e">
        <f>AND(#REF!,"AAAAAHZ7jKM=")</f>
        <v>#REF!</v>
      </c>
      <c r="FI198" t="e">
        <f>AND(#REF!,"AAAAAHZ7jKQ=")</f>
        <v>#REF!</v>
      </c>
      <c r="FJ198" t="e">
        <f>AND(#REF!,"AAAAAHZ7jKU=")</f>
        <v>#REF!</v>
      </c>
      <c r="FK198" t="e">
        <f>AND(#REF!,"AAAAAHZ7jKY=")</f>
        <v>#REF!</v>
      </c>
      <c r="FL198" t="e">
        <f>AND(#REF!,"AAAAAHZ7jKc=")</f>
        <v>#REF!</v>
      </c>
      <c r="FM198" t="e">
        <f>AND(#REF!,"AAAAAHZ7jKg=")</f>
        <v>#REF!</v>
      </c>
      <c r="FN198" t="e">
        <f>AND(#REF!,"AAAAAHZ7jKk=")</f>
        <v>#REF!</v>
      </c>
      <c r="FO198" t="e">
        <f>AND(#REF!,"AAAAAHZ7jKo=")</f>
        <v>#REF!</v>
      </c>
      <c r="FP198" t="e">
        <f>AND(#REF!,"AAAAAHZ7jKs=")</f>
        <v>#REF!</v>
      </c>
      <c r="FQ198" t="e">
        <f>AND(#REF!,"AAAAAHZ7jKw=")</f>
        <v>#REF!</v>
      </c>
      <c r="FR198" t="e">
        <f>AND(#REF!,"AAAAAHZ7jK0=")</f>
        <v>#REF!</v>
      </c>
      <c r="FS198" t="e">
        <f>AND(#REF!,"AAAAAHZ7jK4=")</f>
        <v>#REF!</v>
      </c>
      <c r="FT198" t="e">
        <f>AND(#REF!,"AAAAAHZ7jK8=")</f>
        <v>#REF!</v>
      </c>
      <c r="FU198" t="e">
        <f>AND(#REF!,"AAAAAHZ7jLA=")</f>
        <v>#REF!</v>
      </c>
      <c r="FV198" t="e">
        <f>AND(#REF!,"AAAAAHZ7jLE=")</f>
        <v>#REF!</v>
      </c>
      <c r="FW198" t="e">
        <f>AND(#REF!,"AAAAAHZ7jLI=")</f>
        <v>#REF!</v>
      </c>
      <c r="FX198" t="e">
        <f>AND(#REF!,"AAAAAHZ7jLM=")</f>
        <v>#REF!</v>
      </c>
      <c r="FY198" t="e">
        <f>AND(#REF!,"AAAAAHZ7jLQ=")</f>
        <v>#REF!</v>
      </c>
      <c r="FZ198" t="e">
        <f>AND(#REF!,"AAAAAHZ7jLU=")</f>
        <v>#REF!</v>
      </c>
      <c r="GA198" t="e">
        <f>AND(#REF!,"AAAAAHZ7jLY=")</f>
        <v>#REF!</v>
      </c>
      <c r="GB198" t="e">
        <f>AND(#REF!,"AAAAAHZ7jLc=")</f>
        <v>#REF!</v>
      </c>
      <c r="GC198" t="e">
        <f>AND(#REF!,"AAAAAHZ7jLg=")</f>
        <v>#REF!</v>
      </c>
      <c r="GD198" t="e">
        <f>AND(#REF!,"AAAAAHZ7jLk=")</f>
        <v>#REF!</v>
      </c>
      <c r="GE198" t="e">
        <f>AND(#REF!,"AAAAAHZ7jLo=")</f>
        <v>#REF!</v>
      </c>
      <c r="GF198" t="e">
        <f>AND(#REF!,"AAAAAHZ7jLs=")</f>
        <v>#REF!</v>
      </c>
      <c r="GG198" t="e">
        <f>AND(#REF!,"AAAAAHZ7jLw=")</f>
        <v>#REF!</v>
      </c>
      <c r="GH198" t="e">
        <f>AND(#REF!,"AAAAAHZ7jL0=")</f>
        <v>#REF!</v>
      </c>
      <c r="GI198" t="e">
        <f>AND(#REF!,"AAAAAHZ7jL4=")</f>
        <v>#REF!</v>
      </c>
      <c r="GJ198" t="e">
        <f>AND(#REF!,"AAAAAHZ7jL8=")</f>
        <v>#REF!</v>
      </c>
      <c r="GK198" t="e">
        <f>AND(#REF!,"AAAAAHZ7jMA=")</f>
        <v>#REF!</v>
      </c>
      <c r="GL198" t="e">
        <f>AND(#REF!,"AAAAAHZ7jME=")</f>
        <v>#REF!</v>
      </c>
      <c r="GM198" t="e">
        <f>AND(#REF!,"AAAAAHZ7jMI=")</f>
        <v>#REF!</v>
      </c>
      <c r="GN198" t="e">
        <f>AND(#REF!,"AAAAAHZ7jMM=")</f>
        <v>#REF!</v>
      </c>
      <c r="GO198" t="e">
        <f>AND(#REF!,"AAAAAHZ7jMQ=")</f>
        <v>#REF!</v>
      </c>
      <c r="GP198" t="e">
        <f>AND(#REF!,"AAAAAHZ7jMU=")</f>
        <v>#REF!</v>
      </c>
      <c r="GQ198" t="e">
        <f>AND(#REF!,"AAAAAHZ7jMY=")</f>
        <v>#REF!</v>
      </c>
      <c r="GR198" t="e">
        <f>AND(#REF!,"AAAAAHZ7jMc=")</f>
        <v>#REF!</v>
      </c>
      <c r="GS198" t="e">
        <f>AND(#REF!,"AAAAAHZ7jMg=")</f>
        <v>#REF!</v>
      </c>
      <c r="GT198" t="e">
        <f>AND(#REF!,"AAAAAHZ7jMk=")</f>
        <v>#REF!</v>
      </c>
      <c r="GU198" t="e">
        <f>AND(#REF!,"AAAAAHZ7jMo=")</f>
        <v>#REF!</v>
      </c>
      <c r="GV198" t="e">
        <f>AND(#REF!,"AAAAAHZ7jMs=")</f>
        <v>#REF!</v>
      </c>
      <c r="GW198" t="e">
        <f>AND(#REF!,"AAAAAHZ7jMw=")</f>
        <v>#REF!</v>
      </c>
      <c r="GX198" t="e">
        <f>AND(#REF!,"AAAAAHZ7jM0=")</f>
        <v>#REF!</v>
      </c>
      <c r="GY198" t="e">
        <f>AND(#REF!,"AAAAAHZ7jM4=")</f>
        <v>#REF!</v>
      </c>
      <c r="GZ198" t="e">
        <f>AND(#REF!,"AAAAAHZ7jM8=")</f>
        <v>#REF!</v>
      </c>
      <c r="HA198" t="e">
        <f>AND(#REF!,"AAAAAHZ7jNA=")</f>
        <v>#REF!</v>
      </c>
      <c r="HB198" t="e">
        <f>AND(#REF!,"AAAAAHZ7jNE=")</f>
        <v>#REF!</v>
      </c>
      <c r="HC198" t="e">
        <f>AND(#REF!,"AAAAAHZ7jNI=")</f>
        <v>#REF!</v>
      </c>
      <c r="HD198" t="e">
        <f>AND(#REF!,"AAAAAHZ7jNM=")</f>
        <v>#REF!</v>
      </c>
      <c r="HE198" t="e">
        <f>AND(#REF!,"AAAAAHZ7jNQ=")</f>
        <v>#REF!</v>
      </c>
      <c r="HF198" t="e">
        <f>AND(#REF!,"AAAAAHZ7jNU=")</f>
        <v>#REF!</v>
      </c>
      <c r="HG198" t="e">
        <f>AND(#REF!,"AAAAAHZ7jNY=")</f>
        <v>#REF!</v>
      </c>
      <c r="HH198" t="e">
        <f>AND(#REF!,"AAAAAHZ7jNc=")</f>
        <v>#REF!</v>
      </c>
      <c r="HI198" t="e">
        <f>AND(#REF!,"AAAAAHZ7jNg=")</f>
        <v>#REF!</v>
      </c>
      <c r="HJ198" t="e">
        <f>AND(#REF!,"AAAAAHZ7jNk=")</f>
        <v>#REF!</v>
      </c>
      <c r="HK198" t="e">
        <f>AND(#REF!,"AAAAAHZ7jNo=")</f>
        <v>#REF!</v>
      </c>
      <c r="HL198" t="e">
        <f>AND(#REF!,"AAAAAHZ7jNs=")</f>
        <v>#REF!</v>
      </c>
      <c r="HM198" t="e">
        <f>AND(#REF!,"AAAAAHZ7jNw=")</f>
        <v>#REF!</v>
      </c>
      <c r="HN198" t="e">
        <f>AND(#REF!,"AAAAAHZ7jN0=")</f>
        <v>#REF!</v>
      </c>
      <c r="HO198" t="e">
        <f>AND(#REF!,"AAAAAHZ7jN4=")</f>
        <v>#REF!</v>
      </c>
      <c r="HP198" t="e">
        <f>AND(#REF!,"AAAAAHZ7jN8=")</f>
        <v>#REF!</v>
      </c>
      <c r="HQ198" t="e">
        <f>AND(#REF!,"AAAAAHZ7jOA=")</f>
        <v>#REF!</v>
      </c>
      <c r="HR198" t="e">
        <f>AND(#REF!,"AAAAAHZ7jOE=")</f>
        <v>#REF!</v>
      </c>
      <c r="HS198" t="e">
        <f>AND(#REF!,"AAAAAHZ7jOI=")</f>
        <v>#REF!</v>
      </c>
      <c r="HT198" t="e">
        <f>AND(#REF!,"AAAAAHZ7jOM=")</f>
        <v>#REF!</v>
      </c>
      <c r="HU198" t="e">
        <f>AND(#REF!,"AAAAAHZ7jOQ=")</f>
        <v>#REF!</v>
      </c>
      <c r="HV198" t="e">
        <f>AND(#REF!,"AAAAAHZ7jOU=")</f>
        <v>#REF!</v>
      </c>
      <c r="HW198" t="e">
        <f>AND(#REF!,"AAAAAHZ7jOY=")</f>
        <v>#REF!</v>
      </c>
      <c r="HX198" t="e">
        <f>AND(#REF!,"AAAAAHZ7jOc=")</f>
        <v>#REF!</v>
      </c>
      <c r="HY198" t="e">
        <f>AND(#REF!,"AAAAAHZ7jOg=")</f>
        <v>#REF!</v>
      </c>
      <c r="HZ198" t="e">
        <f>AND(#REF!,"AAAAAHZ7jOk=")</f>
        <v>#REF!</v>
      </c>
      <c r="IA198" t="e">
        <f>AND(#REF!,"AAAAAHZ7jOo=")</f>
        <v>#REF!</v>
      </c>
      <c r="IB198" t="e">
        <f>AND(#REF!,"AAAAAHZ7jOs=")</f>
        <v>#REF!</v>
      </c>
      <c r="IC198" t="e">
        <f>AND(#REF!,"AAAAAHZ7jOw=")</f>
        <v>#REF!</v>
      </c>
      <c r="ID198" t="e">
        <f>AND(#REF!,"AAAAAHZ7jO0=")</f>
        <v>#REF!</v>
      </c>
      <c r="IE198" t="e">
        <f>AND(#REF!,"AAAAAHZ7jO4=")</f>
        <v>#REF!</v>
      </c>
      <c r="IF198" t="e">
        <f>AND(#REF!,"AAAAAHZ7jO8=")</f>
        <v>#REF!</v>
      </c>
      <c r="IG198" t="e">
        <f>AND(#REF!,"AAAAAHZ7jPA=")</f>
        <v>#REF!</v>
      </c>
      <c r="IH198" t="e">
        <f>AND(#REF!,"AAAAAHZ7jPE=")</f>
        <v>#REF!</v>
      </c>
      <c r="II198" t="e">
        <f>AND(#REF!,"AAAAAHZ7jPI=")</f>
        <v>#REF!</v>
      </c>
      <c r="IJ198" t="e">
        <f>AND(#REF!,"AAAAAHZ7jPM=")</f>
        <v>#REF!</v>
      </c>
      <c r="IK198" t="e">
        <f>AND(#REF!,"AAAAAHZ7jPQ=")</f>
        <v>#REF!</v>
      </c>
      <c r="IL198" t="e">
        <f>AND(#REF!,"AAAAAHZ7jPU=")</f>
        <v>#REF!</v>
      </c>
      <c r="IM198" t="e">
        <f>AND(#REF!,"AAAAAHZ7jPY=")</f>
        <v>#REF!</v>
      </c>
      <c r="IN198" t="e">
        <f>AND(#REF!,"AAAAAHZ7jPc=")</f>
        <v>#REF!</v>
      </c>
      <c r="IO198" t="e">
        <f>AND(#REF!,"AAAAAHZ7jPg=")</f>
        <v>#REF!</v>
      </c>
      <c r="IP198" t="e">
        <f>AND(#REF!,"AAAAAHZ7jPk=")</f>
        <v>#REF!</v>
      </c>
      <c r="IQ198" t="e">
        <f>AND(#REF!,"AAAAAHZ7jPo=")</f>
        <v>#REF!</v>
      </c>
      <c r="IR198" t="e">
        <f>AND(#REF!,"AAAAAHZ7jPs=")</f>
        <v>#REF!</v>
      </c>
      <c r="IS198" t="e">
        <f>AND(#REF!,"AAAAAHZ7jPw=")</f>
        <v>#REF!</v>
      </c>
      <c r="IT198" t="e">
        <f>AND(#REF!,"AAAAAHZ7jP0=")</f>
        <v>#REF!</v>
      </c>
      <c r="IU198" t="e">
        <f>AND(#REF!,"AAAAAHZ7jP4=")</f>
        <v>#REF!</v>
      </c>
      <c r="IV198" t="e">
        <f>AND(#REF!,"AAAAAHZ7jP8=")</f>
        <v>#REF!</v>
      </c>
    </row>
    <row r="199" spans="1:256">
      <c r="A199" t="e">
        <f>AND(#REF!,"AAAAAHpergA=")</f>
        <v>#REF!</v>
      </c>
      <c r="B199" t="e">
        <f>AND(#REF!,"AAAAAHpergE=")</f>
        <v>#REF!</v>
      </c>
      <c r="C199" t="e">
        <f>AND(#REF!,"AAAAAHpergI=")</f>
        <v>#REF!</v>
      </c>
      <c r="D199" t="e">
        <f>AND(#REF!,"AAAAAHpergM=")</f>
        <v>#REF!</v>
      </c>
      <c r="E199" t="e">
        <f>AND(#REF!,"AAAAAHpergQ=")</f>
        <v>#REF!</v>
      </c>
      <c r="F199" t="e">
        <f>AND(#REF!,"AAAAAHpergU=")</f>
        <v>#REF!</v>
      </c>
      <c r="G199" t="e">
        <f>AND(#REF!,"AAAAAHpergY=")</f>
        <v>#REF!</v>
      </c>
      <c r="H199" t="e">
        <f>AND(#REF!,"AAAAAHpergc=")</f>
        <v>#REF!</v>
      </c>
      <c r="I199" t="e">
        <f>AND(#REF!,"AAAAAHpergg=")</f>
        <v>#REF!</v>
      </c>
      <c r="J199" t="e">
        <f>AND(#REF!,"AAAAAHpergk=")</f>
        <v>#REF!</v>
      </c>
      <c r="K199" t="e">
        <f>AND(#REF!,"AAAAAHpergo=")</f>
        <v>#REF!</v>
      </c>
      <c r="L199" t="e">
        <f>AND(#REF!,"AAAAAHpergs=")</f>
        <v>#REF!</v>
      </c>
      <c r="M199" t="e">
        <f>AND(#REF!,"AAAAAHpergw=")</f>
        <v>#REF!</v>
      </c>
      <c r="N199" t="e">
        <f>AND(#REF!,"AAAAAHperg0=")</f>
        <v>#REF!</v>
      </c>
      <c r="O199" t="e">
        <f>AND(#REF!,"AAAAAHperg4=")</f>
        <v>#REF!</v>
      </c>
      <c r="P199" t="e">
        <f>AND(#REF!,"AAAAAHperg8=")</f>
        <v>#REF!</v>
      </c>
      <c r="Q199" t="e">
        <f>AND(#REF!,"AAAAAHperhA=")</f>
        <v>#REF!</v>
      </c>
      <c r="R199" t="e">
        <f>AND(#REF!,"AAAAAHperhE=")</f>
        <v>#REF!</v>
      </c>
      <c r="S199" t="e">
        <f>AND(#REF!,"AAAAAHperhI=")</f>
        <v>#REF!</v>
      </c>
      <c r="T199" t="e">
        <f>AND(#REF!,"AAAAAHperhM=")</f>
        <v>#REF!</v>
      </c>
      <c r="U199" t="e">
        <f>AND(#REF!,"AAAAAHperhQ=")</f>
        <v>#REF!</v>
      </c>
      <c r="V199" t="e">
        <f>AND(#REF!,"AAAAAHperhU=")</f>
        <v>#REF!</v>
      </c>
      <c r="W199" t="e">
        <f>AND(#REF!,"AAAAAHperhY=")</f>
        <v>#REF!</v>
      </c>
      <c r="X199" t="e">
        <f>AND(#REF!,"AAAAAHperhc=")</f>
        <v>#REF!</v>
      </c>
      <c r="Y199" t="e">
        <f>AND(#REF!,"AAAAAHperhg=")</f>
        <v>#REF!</v>
      </c>
      <c r="Z199" t="e">
        <f>AND(#REF!,"AAAAAHperhk=")</f>
        <v>#REF!</v>
      </c>
      <c r="AA199" t="e">
        <f>AND(#REF!,"AAAAAHperho=")</f>
        <v>#REF!</v>
      </c>
      <c r="AB199" t="e">
        <f>AND(#REF!,"AAAAAHperhs=")</f>
        <v>#REF!</v>
      </c>
      <c r="AC199" t="e">
        <f>AND(#REF!,"AAAAAHperhw=")</f>
        <v>#REF!</v>
      </c>
      <c r="AD199" t="e">
        <f>AND(#REF!,"AAAAAHperh0=")</f>
        <v>#REF!</v>
      </c>
      <c r="AE199" t="e">
        <f>AND(#REF!,"AAAAAHperh4=")</f>
        <v>#REF!</v>
      </c>
      <c r="AF199" t="e">
        <f>AND(#REF!,"AAAAAHperh8=")</f>
        <v>#REF!</v>
      </c>
      <c r="AG199" t="e">
        <f>AND(#REF!,"AAAAAHperiA=")</f>
        <v>#REF!</v>
      </c>
      <c r="AH199" t="e">
        <f>AND(#REF!,"AAAAAHperiE=")</f>
        <v>#REF!</v>
      </c>
      <c r="AI199" t="e">
        <f>AND(#REF!,"AAAAAHperiI=")</f>
        <v>#REF!</v>
      </c>
      <c r="AJ199" t="e">
        <f>AND(#REF!,"AAAAAHperiM=")</f>
        <v>#REF!</v>
      </c>
      <c r="AK199" t="e">
        <f>AND(#REF!,"AAAAAHperiQ=")</f>
        <v>#REF!</v>
      </c>
      <c r="AL199" t="e">
        <f>AND(#REF!,"AAAAAHperiU=")</f>
        <v>#REF!</v>
      </c>
      <c r="AM199" t="e">
        <f>AND(#REF!,"AAAAAHperiY=")</f>
        <v>#REF!</v>
      </c>
      <c r="AN199" t="e">
        <f>AND(#REF!,"AAAAAHperic=")</f>
        <v>#REF!</v>
      </c>
      <c r="AO199" t="e">
        <f>AND(#REF!,"AAAAAHperig=")</f>
        <v>#REF!</v>
      </c>
      <c r="AP199" t="e">
        <f>AND(#REF!,"AAAAAHperik=")</f>
        <v>#REF!</v>
      </c>
      <c r="AQ199" t="e">
        <f>AND(#REF!,"AAAAAHperio=")</f>
        <v>#REF!</v>
      </c>
      <c r="AR199" t="e">
        <f>AND(#REF!,"AAAAAHperis=")</f>
        <v>#REF!</v>
      </c>
      <c r="AS199" t="e">
        <f>AND(#REF!,"AAAAAHperiw=")</f>
        <v>#REF!</v>
      </c>
      <c r="AT199" t="e">
        <f>AND(#REF!,"AAAAAHperi0=")</f>
        <v>#REF!</v>
      </c>
      <c r="AU199" t="e">
        <f>AND(#REF!,"AAAAAHperi4=")</f>
        <v>#REF!</v>
      </c>
      <c r="AV199" t="e">
        <f>AND(#REF!,"AAAAAHperi8=")</f>
        <v>#REF!</v>
      </c>
      <c r="AW199" t="e">
        <f>AND(#REF!,"AAAAAHperjA=")</f>
        <v>#REF!</v>
      </c>
      <c r="AX199" t="e">
        <f>AND(#REF!,"AAAAAHperjE=")</f>
        <v>#REF!</v>
      </c>
      <c r="AY199" t="e">
        <f>AND(#REF!,"AAAAAHperjI=")</f>
        <v>#REF!</v>
      </c>
      <c r="AZ199" t="e">
        <f>AND(#REF!,"AAAAAHperjM=")</f>
        <v>#REF!</v>
      </c>
      <c r="BA199" t="e">
        <f>AND(#REF!,"AAAAAHperjQ=")</f>
        <v>#REF!</v>
      </c>
      <c r="BB199" t="e">
        <f>AND(#REF!,"AAAAAHperjU=")</f>
        <v>#REF!</v>
      </c>
      <c r="BC199" t="e">
        <f>AND(#REF!,"AAAAAHperjY=")</f>
        <v>#REF!</v>
      </c>
      <c r="BD199" t="e">
        <f>AND(#REF!,"AAAAAHperjc=")</f>
        <v>#REF!</v>
      </c>
      <c r="BE199" t="e">
        <f>AND(#REF!,"AAAAAHperjg=")</f>
        <v>#REF!</v>
      </c>
      <c r="BF199" t="e">
        <f>AND(#REF!,"AAAAAHperjk=")</f>
        <v>#REF!</v>
      </c>
      <c r="BG199" t="e">
        <f>AND(#REF!,"AAAAAHperjo=")</f>
        <v>#REF!</v>
      </c>
      <c r="BH199" t="e">
        <f>AND(#REF!,"AAAAAHperjs=")</f>
        <v>#REF!</v>
      </c>
      <c r="BI199" t="e">
        <f>AND(#REF!,"AAAAAHperjw=")</f>
        <v>#REF!</v>
      </c>
      <c r="BJ199" t="e">
        <f>AND(#REF!,"AAAAAHperj0=")</f>
        <v>#REF!</v>
      </c>
      <c r="BK199" t="e">
        <f>AND(#REF!,"AAAAAHperj4=")</f>
        <v>#REF!</v>
      </c>
      <c r="BL199" t="e">
        <f>AND(#REF!,"AAAAAHperj8=")</f>
        <v>#REF!</v>
      </c>
      <c r="BM199" t="e">
        <f>AND(#REF!,"AAAAAHperkA=")</f>
        <v>#REF!</v>
      </c>
      <c r="BN199" t="e">
        <f>AND(#REF!,"AAAAAHperkE=")</f>
        <v>#REF!</v>
      </c>
      <c r="BO199" t="e">
        <f>AND(#REF!,"AAAAAHperkI=")</f>
        <v>#REF!</v>
      </c>
      <c r="BP199" t="e">
        <f>AND(#REF!,"AAAAAHperkM=")</f>
        <v>#REF!</v>
      </c>
      <c r="BQ199" t="e">
        <f>AND(#REF!,"AAAAAHperkQ=")</f>
        <v>#REF!</v>
      </c>
      <c r="BR199" t="e">
        <f>AND(#REF!,"AAAAAHperkU=")</f>
        <v>#REF!</v>
      </c>
      <c r="BS199" t="e">
        <f>AND(#REF!,"AAAAAHperkY=")</f>
        <v>#REF!</v>
      </c>
      <c r="BT199" t="e">
        <f>AND(#REF!,"AAAAAHperkc=")</f>
        <v>#REF!</v>
      </c>
      <c r="BU199" t="e">
        <f>AND(#REF!,"AAAAAHperkg=")</f>
        <v>#REF!</v>
      </c>
      <c r="BV199" t="e">
        <f>AND(#REF!,"AAAAAHperkk=")</f>
        <v>#REF!</v>
      </c>
      <c r="BW199" t="e">
        <f>AND(#REF!,"AAAAAHperko=")</f>
        <v>#REF!</v>
      </c>
      <c r="BX199" t="e">
        <f>AND(#REF!,"AAAAAHperks=")</f>
        <v>#REF!</v>
      </c>
      <c r="BY199" t="e">
        <f>AND(#REF!,"AAAAAHperkw=")</f>
        <v>#REF!</v>
      </c>
      <c r="BZ199" t="e">
        <f>AND(#REF!,"AAAAAHperk0=")</f>
        <v>#REF!</v>
      </c>
      <c r="CA199" t="e">
        <f>AND(#REF!,"AAAAAHperk4=")</f>
        <v>#REF!</v>
      </c>
      <c r="CB199" t="e">
        <f>AND(#REF!,"AAAAAHperk8=")</f>
        <v>#REF!</v>
      </c>
      <c r="CC199" t="e">
        <f>AND(#REF!,"AAAAAHperlA=")</f>
        <v>#REF!</v>
      </c>
      <c r="CD199" t="e">
        <f>AND(#REF!,"AAAAAHperlE=")</f>
        <v>#REF!</v>
      </c>
      <c r="CE199" t="e">
        <f>AND(#REF!,"AAAAAHperlI=")</f>
        <v>#REF!</v>
      </c>
      <c r="CF199" t="e">
        <f>AND(#REF!,"AAAAAHperlM=")</f>
        <v>#REF!</v>
      </c>
      <c r="CG199" t="e">
        <f>AND(#REF!,"AAAAAHperlQ=")</f>
        <v>#REF!</v>
      </c>
      <c r="CH199" t="e">
        <f>AND(#REF!,"AAAAAHperlU=")</f>
        <v>#REF!</v>
      </c>
      <c r="CI199" t="e">
        <f>AND(#REF!,"AAAAAHperlY=")</f>
        <v>#REF!</v>
      </c>
      <c r="CJ199" t="e">
        <f>AND(#REF!,"AAAAAHperlc=")</f>
        <v>#REF!</v>
      </c>
      <c r="CK199" t="e">
        <f>AND(#REF!,"AAAAAHperlg=")</f>
        <v>#REF!</v>
      </c>
      <c r="CL199" t="e">
        <f>AND(#REF!,"AAAAAHperlk=")</f>
        <v>#REF!</v>
      </c>
      <c r="CM199" t="e">
        <f>AND(#REF!,"AAAAAHperlo=")</f>
        <v>#REF!</v>
      </c>
      <c r="CN199" t="e">
        <f>AND(#REF!,"AAAAAHperls=")</f>
        <v>#REF!</v>
      </c>
      <c r="CO199" t="e">
        <f>AND(#REF!,"AAAAAHperlw=")</f>
        <v>#REF!</v>
      </c>
      <c r="CP199" t="e">
        <f>AND(#REF!,"AAAAAHperl0=")</f>
        <v>#REF!</v>
      </c>
      <c r="CQ199" t="e">
        <f>AND(#REF!,"AAAAAHperl4=")</f>
        <v>#REF!</v>
      </c>
      <c r="CR199" t="e">
        <f>AND(#REF!,"AAAAAHperl8=")</f>
        <v>#REF!</v>
      </c>
      <c r="CS199" t="e">
        <f>AND(#REF!,"AAAAAHpermA=")</f>
        <v>#REF!</v>
      </c>
      <c r="CT199" t="e">
        <f>AND(#REF!,"AAAAAHpermE=")</f>
        <v>#REF!</v>
      </c>
      <c r="CU199" t="e">
        <f>IF(#REF!,"AAAAAHpermI=",0)</f>
        <v>#REF!</v>
      </c>
      <c r="CV199" t="e">
        <f>AND(#REF!,"AAAAAHpermM=")</f>
        <v>#REF!</v>
      </c>
      <c r="CW199" t="e">
        <f>AND(#REF!,"AAAAAHpermQ=")</f>
        <v>#REF!</v>
      </c>
      <c r="CX199" t="e">
        <f>AND(#REF!,"AAAAAHpermU=")</f>
        <v>#REF!</v>
      </c>
      <c r="CY199" t="e">
        <f>AND(#REF!,"AAAAAHpermY=")</f>
        <v>#REF!</v>
      </c>
      <c r="CZ199" t="e">
        <f>AND(#REF!,"AAAAAHpermc=")</f>
        <v>#REF!</v>
      </c>
      <c r="DA199" t="e">
        <f>AND(#REF!,"AAAAAHpermg=")</f>
        <v>#REF!</v>
      </c>
      <c r="DB199" t="e">
        <f>AND(#REF!,"AAAAAHpermk=")</f>
        <v>#REF!</v>
      </c>
      <c r="DC199" t="e">
        <f>AND(#REF!,"AAAAAHpermo=")</f>
        <v>#REF!</v>
      </c>
      <c r="DD199" t="e">
        <f>AND(#REF!,"AAAAAHperms=")</f>
        <v>#REF!</v>
      </c>
      <c r="DE199" t="e">
        <f>AND(#REF!,"AAAAAHpermw=")</f>
        <v>#REF!</v>
      </c>
      <c r="DF199" t="e">
        <f>AND(#REF!,"AAAAAHperm0=")</f>
        <v>#REF!</v>
      </c>
      <c r="DG199" t="e">
        <f>AND(#REF!,"AAAAAHperm4=")</f>
        <v>#REF!</v>
      </c>
      <c r="DH199" t="e">
        <f>AND(#REF!,"AAAAAHperm8=")</f>
        <v>#REF!</v>
      </c>
      <c r="DI199" t="e">
        <f>AND(#REF!,"AAAAAHpernA=")</f>
        <v>#REF!</v>
      </c>
      <c r="DJ199" t="e">
        <f>AND(#REF!,"AAAAAHpernE=")</f>
        <v>#REF!</v>
      </c>
      <c r="DK199" t="e">
        <f>AND(#REF!,"AAAAAHpernI=")</f>
        <v>#REF!</v>
      </c>
      <c r="DL199" t="e">
        <f>AND(#REF!,"AAAAAHpernM=")</f>
        <v>#REF!</v>
      </c>
      <c r="DM199" t="e">
        <f>AND(#REF!,"AAAAAHpernQ=")</f>
        <v>#REF!</v>
      </c>
      <c r="DN199" t="e">
        <f>AND(#REF!,"AAAAAHpernU=")</f>
        <v>#REF!</v>
      </c>
      <c r="DO199" t="e">
        <f>AND(#REF!,"AAAAAHpernY=")</f>
        <v>#REF!</v>
      </c>
      <c r="DP199" t="e">
        <f>AND(#REF!,"AAAAAHpernc=")</f>
        <v>#REF!</v>
      </c>
      <c r="DQ199" t="e">
        <f>AND(#REF!,"AAAAAHperng=")</f>
        <v>#REF!</v>
      </c>
      <c r="DR199" t="e">
        <f>AND(#REF!,"AAAAAHpernk=")</f>
        <v>#REF!</v>
      </c>
      <c r="DS199" t="e">
        <f>AND(#REF!,"AAAAAHperno=")</f>
        <v>#REF!</v>
      </c>
      <c r="DT199" t="e">
        <f>AND(#REF!,"AAAAAHperns=")</f>
        <v>#REF!</v>
      </c>
      <c r="DU199" t="e">
        <f>AND(#REF!,"AAAAAHpernw=")</f>
        <v>#REF!</v>
      </c>
      <c r="DV199" t="e">
        <f>AND(#REF!,"AAAAAHpern0=")</f>
        <v>#REF!</v>
      </c>
      <c r="DW199" t="e">
        <f>AND(#REF!,"AAAAAHpern4=")</f>
        <v>#REF!</v>
      </c>
      <c r="DX199" t="e">
        <f>AND(#REF!,"AAAAAHpern8=")</f>
        <v>#REF!</v>
      </c>
      <c r="DY199" t="e">
        <f>AND(#REF!,"AAAAAHperoA=")</f>
        <v>#REF!</v>
      </c>
      <c r="DZ199" t="e">
        <f>AND(#REF!,"AAAAAHperoE=")</f>
        <v>#REF!</v>
      </c>
      <c r="EA199" t="e">
        <f>AND(#REF!,"AAAAAHperoI=")</f>
        <v>#REF!</v>
      </c>
      <c r="EB199" t="e">
        <f>AND(#REF!,"AAAAAHperoM=")</f>
        <v>#REF!</v>
      </c>
      <c r="EC199" t="e">
        <f>AND(#REF!,"AAAAAHperoQ=")</f>
        <v>#REF!</v>
      </c>
      <c r="ED199" t="e">
        <f>AND(#REF!,"AAAAAHperoU=")</f>
        <v>#REF!</v>
      </c>
      <c r="EE199" t="e">
        <f>AND(#REF!,"AAAAAHperoY=")</f>
        <v>#REF!</v>
      </c>
      <c r="EF199" t="e">
        <f>AND(#REF!,"AAAAAHperoc=")</f>
        <v>#REF!</v>
      </c>
      <c r="EG199" t="e">
        <f>AND(#REF!,"AAAAAHperog=")</f>
        <v>#REF!</v>
      </c>
      <c r="EH199" t="e">
        <f>AND(#REF!,"AAAAAHperok=")</f>
        <v>#REF!</v>
      </c>
      <c r="EI199" t="e">
        <f>AND(#REF!,"AAAAAHperoo=")</f>
        <v>#REF!</v>
      </c>
      <c r="EJ199" t="e">
        <f>AND(#REF!,"AAAAAHperos=")</f>
        <v>#REF!</v>
      </c>
      <c r="EK199" t="e">
        <f>AND(#REF!,"AAAAAHperow=")</f>
        <v>#REF!</v>
      </c>
      <c r="EL199" t="e">
        <f>AND(#REF!,"AAAAAHpero0=")</f>
        <v>#REF!</v>
      </c>
      <c r="EM199" t="e">
        <f>AND(#REF!,"AAAAAHpero4=")</f>
        <v>#REF!</v>
      </c>
      <c r="EN199" t="e">
        <f>AND(#REF!,"AAAAAHpero8=")</f>
        <v>#REF!</v>
      </c>
      <c r="EO199" t="e">
        <f>AND(#REF!,"AAAAAHperpA=")</f>
        <v>#REF!</v>
      </c>
      <c r="EP199" t="e">
        <f>AND(#REF!,"AAAAAHperpE=")</f>
        <v>#REF!</v>
      </c>
      <c r="EQ199" t="e">
        <f>AND(#REF!,"AAAAAHperpI=")</f>
        <v>#REF!</v>
      </c>
      <c r="ER199" t="e">
        <f>AND(#REF!,"AAAAAHperpM=")</f>
        <v>#REF!</v>
      </c>
      <c r="ES199" t="e">
        <f>AND(#REF!,"AAAAAHperpQ=")</f>
        <v>#REF!</v>
      </c>
      <c r="ET199" t="e">
        <f>AND(#REF!,"AAAAAHperpU=")</f>
        <v>#REF!</v>
      </c>
      <c r="EU199" t="e">
        <f>AND(#REF!,"AAAAAHperpY=")</f>
        <v>#REF!</v>
      </c>
      <c r="EV199" t="e">
        <f>AND(#REF!,"AAAAAHperpc=")</f>
        <v>#REF!</v>
      </c>
      <c r="EW199" t="e">
        <f>AND(#REF!,"AAAAAHperpg=")</f>
        <v>#REF!</v>
      </c>
      <c r="EX199" t="e">
        <f>AND(#REF!,"AAAAAHperpk=")</f>
        <v>#REF!</v>
      </c>
      <c r="EY199" t="e">
        <f>AND(#REF!,"AAAAAHperpo=")</f>
        <v>#REF!</v>
      </c>
      <c r="EZ199" t="e">
        <f>AND(#REF!,"AAAAAHperps=")</f>
        <v>#REF!</v>
      </c>
      <c r="FA199" t="e">
        <f>AND(#REF!,"AAAAAHperpw=")</f>
        <v>#REF!</v>
      </c>
      <c r="FB199" t="e">
        <f>AND(#REF!,"AAAAAHperp0=")</f>
        <v>#REF!</v>
      </c>
      <c r="FC199" t="e">
        <f>AND(#REF!,"AAAAAHperp4=")</f>
        <v>#REF!</v>
      </c>
      <c r="FD199" t="e">
        <f>AND(#REF!,"AAAAAHperp8=")</f>
        <v>#REF!</v>
      </c>
      <c r="FE199" t="e">
        <f>AND(#REF!,"AAAAAHperqA=")</f>
        <v>#REF!</v>
      </c>
      <c r="FF199" t="e">
        <f>AND(#REF!,"AAAAAHperqE=")</f>
        <v>#REF!</v>
      </c>
      <c r="FG199" t="e">
        <f>AND(#REF!,"AAAAAHperqI=")</f>
        <v>#REF!</v>
      </c>
      <c r="FH199" t="e">
        <f>AND(#REF!,"AAAAAHperqM=")</f>
        <v>#REF!</v>
      </c>
      <c r="FI199" t="e">
        <f>AND(#REF!,"AAAAAHperqQ=")</f>
        <v>#REF!</v>
      </c>
      <c r="FJ199" t="e">
        <f>AND(#REF!,"AAAAAHperqU=")</f>
        <v>#REF!</v>
      </c>
      <c r="FK199" t="e">
        <f>AND(#REF!,"AAAAAHperqY=")</f>
        <v>#REF!</v>
      </c>
      <c r="FL199" t="e">
        <f>AND(#REF!,"AAAAAHperqc=")</f>
        <v>#REF!</v>
      </c>
      <c r="FM199" t="e">
        <f>AND(#REF!,"AAAAAHperqg=")</f>
        <v>#REF!</v>
      </c>
      <c r="FN199" t="e">
        <f>AND(#REF!,"AAAAAHperqk=")</f>
        <v>#REF!</v>
      </c>
      <c r="FO199" t="e">
        <f>AND(#REF!,"AAAAAHperqo=")</f>
        <v>#REF!</v>
      </c>
      <c r="FP199" t="e">
        <f>AND(#REF!,"AAAAAHperqs=")</f>
        <v>#REF!</v>
      </c>
      <c r="FQ199" t="e">
        <f>AND(#REF!,"AAAAAHperqw=")</f>
        <v>#REF!</v>
      </c>
      <c r="FR199" t="e">
        <f>AND(#REF!,"AAAAAHperq0=")</f>
        <v>#REF!</v>
      </c>
      <c r="FS199" t="e">
        <f>AND(#REF!,"AAAAAHperq4=")</f>
        <v>#REF!</v>
      </c>
      <c r="FT199" t="e">
        <f>AND(#REF!,"AAAAAHperq8=")</f>
        <v>#REF!</v>
      </c>
      <c r="FU199" t="e">
        <f>AND(#REF!,"AAAAAHperrA=")</f>
        <v>#REF!</v>
      </c>
      <c r="FV199" t="e">
        <f>AND(#REF!,"AAAAAHperrE=")</f>
        <v>#REF!</v>
      </c>
      <c r="FW199" t="e">
        <f>AND(#REF!,"AAAAAHperrI=")</f>
        <v>#REF!</v>
      </c>
      <c r="FX199" t="e">
        <f>AND(#REF!,"AAAAAHperrM=")</f>
        <v>#REF!</v>
      </c>
      <c r="FY199" t="e">
        <f>AND(#REF!,"AAAAAHperrQ=")</f>
        <v>#REF!</v>
      </c>
      <c r="FZ199" t="e">
        <f>AND(#REF!,"AAAAAHperrU=")</f>
        <v>#REF!</v>
      </c>
      <c r="GA199" t="e">
        <f>AND(#REF!,"AAAAAHperrY=")</f>
        <v>#REF!</v>
      </c>
      <c r="GB199" t="e">
        <f>AND(#REF!,"AAAAAHperrc=")</f>
        <v>#REF!</v>
      </c>
      <c r="GC199" t="e">
        <f>AND(#REF!,"AAAAAHperrg=")</f>
        <v>#REF!</v>
      </c>
      <c r="GD199" t="e">
        <f>AND(#REF!,"AAAAAHperrk=")</f>
        <v>#REF!</v>
      </c>
      <c r="GE199" t="e">
        <f>AND(#REF!,"AAAAAHperro=")</f>
        <v>#REF!</v>
      </c>
      <c r="GF199" t="e">
        <f>AND(#REF!,"AAAAAHperrs=")</f>
        <v>#REF!</v>
      </c>
      <c r="GG199" t="e">
        <f>AND(#REF!,"AAAAAHperrw=")</f>
        <v>#REF!</v>
      </c>
      <c r="GH199" t="e">
        <f>AND(#REF!,"AAAAAHperr0=")</f>
        <v>#REF!</v>
      </c>
      <c r="GI199" t="e">
        <f>AND(#REF!,"AAAAAHperr4=")</f>
        <v>#REF!</v>
      </c>
      <c r="GJ199" t="e">
        <f>AND(#REF!,"AAAAAHperr8=")</f>
        <v>#REF!</v>
      </c>
      <c r="GK199" t="e">
        <f>AND(#REF!,"AAAAAHpersA=")</f>
        <v>#REF!</v>
      </c>
      <c r="GL199" t="e">
        <f>AND(#REF!,"AAAAAHpersE=")</f>
        <v>#REF!</v>
      </c>
      <c r="GM199" t="e">
        <f>AND(#REF!,"AAAAAHpersI=")</f>
        <v>#REF!</v>
      </c>
      <c r="GN199" t="e">
        <f>AND(#REF!,"AAAAAHpersM=")</f>
        <v>#REF!</v>
      </c>
      <c r="GO199" t="e">
        <f>AND(#REF!,"AAAAAHpersQ=")</f>
        <v>#REF!</v>
      </c>
      <c r="GP199" t="e">
        <f>AND(#REF!,"AAAAAHpersU=")</f>
        <v>#REF!</v>
      </c>
      <c r="GQ199" t="e">
        <f>AND(#REF!,"AAAAAHpersY=")</f>
        <v>#REF!</v>
      </c>
      <c r="GR199" t="e">
        <f>AND(#REF!,"AAAAAHpersc=")</f>
        <v>#REF!</v>
      </c>
      <c r="GS199" t="e">
        <f>AND(#REF!,"AAAAAHpersg=")</f>
        <v>#REF!</v>
      </c>
      <c r="GT199" t="e">
        <f>AND(#REF!,"AAAAAHpersk=")</f>
        <v>#REF!</v>
      </c>
      <c r="GU199" t="e">
        <f>AND(#REF!,"AAAAAHperso=")</f>
        <v>#REF!</v>
      </c>
      <c r="GV199" t="e">
        <f>AND(#REF!,"AAAAAHperss=")</f>
        <v>#REF!</v>
      </c>
      <c r="GW199" t="e">
        <f>AND(#REF!,"AAAAAHpersw=")</f>
        <v>#REF!</v>
      </c>
      <c r="GX199" t="e">
        <f>AND(#REF!,"AAAAAHpers0=")</f>
        <v>#REF!</v>
      </c>
      <c r="GY199" t="e">
        <f>AND(#REF!,"AAAAAHpers4=")</f>
        <v>#REF!</v>
      </c>
      <c r="GZ199" t="e">
        <f>AND(#REF!,"AAAAAHpers8=")</f>
        <v>#REF!</v>
      </c>
      <c r="HA199" t="e">
        <f>AND(#REF!,"AAAAAHpertA=")</f>
        <v>#REF!</v>
      </c>
      <c r="HB199" t="e">
        <f>AND(#REF!,"AAAAAHpertE=")</f>
        <v>#REF!</v>
      </c>
      <c r="HC199" t="e">
        <f>AND(#REF!,"AAAAAHpertI=")</f>
        <v>#REF!</v>
      </c>
      <c r="HD199" t="e">
        <f>AND(#REF!,"AAAAAHpertM=")</f>
        <v>#REF!</v>
      </c>
      <c r="HE199" t="e">
        <f>AND(#REF!,"AAAAAHpertQ=")</f>
        <v>#REF!</v>
      </c>
      <c r="HF199" t="e">
        <f>AND(#REF!,"AAAAAHpertU=")</f>
        <v>#REF!</v>
      </c>
      <c r="HG199" t="e">
        <f>AND(#REF!,"AAAAAHpertY=")</f>
        <v>#REF!</v>
      </c>
      <c r="HH199" t="e">
        <f>AND(#REF!,"AAAAAHpertc=")</f>
        <v>#REF!</v>
      </c>
      <c r="HI199" t="e">
        <f>AND(#REF!,"AAAAAHpertg=")</f>
        <v>#REF!</v>
      </c>
      <c r="HJ199" t="e">
        <f>AND(#REF!,"AAAAAHpertk=")</f>
        <v>#REF!</v>
      </c>
      <c r="HK199" t="e">
        <f>AND(#REF!,"AAAAAHperto=")</f>
        <v>#REF!</v>
      </c>
      <c r="HL199" t="e">
        <f>AND(#REF!,"AAAAAHperts=")</f>
        <v>#REF!</v>
      </c>
      <c r="HM199" t="e">
        <f>AND(#REF!,"AAAAAHpertw=")</f>
        <v>#REF!</v>
      </c>
      <c r="HN199" t="e">
        <f>AND(#REF!,"AAAAAHpert0=")</f>
        <v>#REF!</v>
      </c>
      <c r="HO199" t="e">
        <f>AND(#REF!,"AAAAAHpert4=")</f>
        <v>#REF!</v>
      </c>
      <c r="HP199" t="e">
        <f>AND(#REF!,"AAAAAHpert8=")</f>
        <v>#REF!</v>
      </c>
      <c r="HQ199" t="e">
        <f>AND(#REF!,"AAAAAHperuA=")</f>
        <v>#REF!</v>
      </c>
      <c r="HR199" t="e">
        <f>AND(#REF!,"AAAAAHperuE=")</f>
        <v>#REF!</v>
      </c>
      <c r="HS199" t="e">
        <f>AND(#REF!,"AAAAAHperuI=")</f>
        <v>#REF!</v>
      </c>
      <c r="HT199" t="e">
        <f>AND(#REF!,"AAAAAHperuM=")</f>
        <v>#REF!</v>
      </c>
      <c r="HU199" t="e">
        <f>AND(#REF!,"AAAAAHperuQ=")</f>
        <v>#REF!</v>
      </c>
      <c r="HV199" t="e">
        <f>AND(#REF!,"AAAAAHperuU=")</f>
        <v>#REF!</v>
      </c>
      <c r="HW199" t="e">
        <f>AND(#REF!,"AAAAAHperuY=")</f>
        <v>#REF!</v>
      </c>
      <c r="HX199" t="e">
        <f>AND(#REF!,"AAAAAHperuc=")</f>
        <v>#REF!</v>
      </c>
      <c r="HY199" t="e">
        <f>AND(#REF!,"AAAAAHperug=")</f>
        <v>#REF!</v>
      </c>
      <c r="HZ199" t="e">
        <f>AND(#REF!,"AAAAAHperuk=")</f>
        <v>#REF!</v>
      </c>
      <c r="IA199" t="e">
        <f>AND(#REF!,"AAAAAHperuo=")</f>
        <v>#REF!</v>
      </c>
      <c r="IB199" t="e">
        <f>AND(#REF!,"AAAAAHperus=")</f>
        <v>#REF!</v>
      </c>
      <c r="IC199" t="e">
        <f>AND(#REF!,"AAAAAHperuw=")</f>
        <v>#REF!</v>
      </c>
      <c r="ID199" t="e">
        <f>AND(#REF!,"AAAAAHperu0=")</f>
        <v>#REF!</v>
      </c>
      <c r="IE199" t="e">
        <f>AND(#REF!,"AAAAAHperu4=")</f>
        <v>#REF!</v>
      </c>
      <c r="IF199" t="e">
        <f>AND(#REF!,"AAAAAHperu8=")</f>
        <v>#REF!</v>
      </c>
      <c r="IG199" t="e">
        <f>AND(#REF!,"AAAAAHpervA=")</f>
        <v>#REF!</v>
      </c>
      <c r="IH199" t="e">
        <f>AND(#REF!,"AAAAAHpervE=")</f>
        <v>#REF!</v>
      </c>
      <c r="II199" t="e">
        <f>AND(#REF!,"AAAAAHpervI=")</f>
        <v>#REF!</v>
      </c>
      <c r="IJ199" t="e">
        <f>AND(#REF!,"AAAAAHpervM=")</f>
        <v>#REF!</v>
      </c>
      <c r="IK199" t="e">
        <f>AND(#REF!,"AAAAAHpervQ=")</f>
        <v>#REF!</v>
      </c>
      <c r="IL199" t="e">
        <f>AND(#REF!,"AAAAAHpervU=")</f>
        <v>#REF!</v>
      </c>
      <c r="IM199" t="e">
        <f>AND(#REF!,"AAAAAHpervY=")</f>
        <v>#REF!</v>
      </c>
      <c r="IN199" t="e">
        <f>AND(#REF!,"AAAAAHpervc=")</f>
        <v>#REF!</v>
      </c>
      <c r="IO199" t="e">
        <f>AND(#REF!,"AAAAAHpervg=")</f>
        <v>#REF!</v>
      </c>
      <c r="IP199" t="e">
        <f>AND(#REF!,"AAAAAHpervk=")</f>
        <v>#REF!</v>
      </c>
      <c r="IQ199" t="e">
        <f>AND(#REF!,"AAAAAHpervo=")</f>
        <v>#REF!</v>
      </c>
      <c r="IR199" t="e">
        <f>AND(#REF!,"AAAAAHpervs=")</f>
        <v>#REF!</v>
      </c>
      <c r="IS199" t="e">
        <f>AND(#REF!,"AAAAAHpervw=")</f>
        <v>#REF!</v>
      </c>
      <c r="IT199" t="e">
        <f>AND(#REF!,"AAAAAHperv0=")</f>
        <v>#REF!</v>
      </c>
      <c r="IU199" t="e">
        <f>AND(#REF!,"AAAAAHperv4=")</f>
        <v>#REF!</v>
      </c>
      <c r="IV199" t="e">
        <f>AND(#REF!,"AAAAAHperv8=")</f>
        <v>#REF!</v>
      </c>
    </row>
    <row r="200" spans="1:256">
      <c r="A200" t="e">
        <f>AND(#REF!,"AAAAAByjRQA=")</f>
        <v>#REF!</v>
      </c>
      <c r="B200" t="e">
        <f>AND(#REF!,"AAAAAByjRQE=")</f>
        <v>#REF!</v>
      </c>
      <c r="C200" t="e">
        <f>AND(#REF!,"AAAAAByjRQI=")</f>
        <v>#REF!</v>
      </c>
      <c r="D200" t="e">
        <f>AND(#REF!,"AAAAAByjRQM=")</f>
        <v>#REF!</v>
      </c>
      <c r="E200" t="e">
        <f>AND(#REF!,"AAAAAByjRQQ=")</f>
        <v>#REF!</v>
      </c>
      <c r="F200" t="e">
        <f>AND(#REF!,"AAAAAByjRQU=")</f>
        <v>#REF!</v>
      </c>
      <c r="G200" t="e">
        <f>AND(#REF!,"AAAAAByjRQY=")</f>
        <v>#REF!</v>
      </c>
      <c r="H200" t="e">
        <f>AND(#REF!,"AAAAAByjRQc=")</f>
        <v>#REF!</v>
      </c>
      <c r="I200" t="e">
        <f>AND(#REF!,"AAAAAByjRQg=")</f>
        <v>#REF!</v>
      </c>
      <c r="J200" t="e">
        <f>AND(#REF!,"AAAAAByjRQk=")</f>
        <v>#REF!</v>
      </c>
      <c r="K200" t="e">
        <f>AND(#REF!,"AAAAAByjRQo=")</f>
        <v>#REF!</v>
      </c>
      <c r="L200" t="e">
        <f>AND(#REF!,"AAAAAByjRQs=")</f>
        <v>#REF!</v>
      </c>
      <c r="M200" t="e">
        <f>AND(#REF!,"AAAAAByjRQw=")</f>
        <v>#REF!</v>
      </c>
      <c r="N200" t="e">
        <f>AND(#REF!,"AAAAAByjRQ0=")</f>
        <v>#REF!</v>
      </c>
      <c r="O200" t="e">
        <f>AND(#REF!,"AAAAAByjRQ4=")</f>
        <v>#REF!</v>
      </c>
      <c r="P200" t="e">
        <f>AND(#REF!,"AAAAAByjRQ8=")</f>
        <v>#REF!</v>
      </c>
      <c r="Q200" t="e">
        <f>AND(#REF!,"AAAAAByjRRA=")</f>
        <v>#REF!</v>
      </c>
      <c r="R200" t="e">
        <f>AND(#REF!,"AAAAAByjRRE=")</f>
        <v>#REF!</v>
      </c>
      <c r="S200" t="e">
        <f>AND(#REF!,"AAAAAByjRRI=")</f>
        <v>#REF!</v>
      </c>
      <c r="T200" t="e">
        <f>AND(#REF!,"AAAAAByjRRM=")</f>
        <v>#REF!</v>
      </c>
      <c r="U200" t="e">
        <f>AND(#REF!,"AAAAAByjRRQ=")</f>
        <v>#REF!</v>
      </c>
      <c r="V200" t="e">
        <f>AND(#REF!,"AAAAAByjRRU=")</f>
        <v>#REF!</v>
      </c>
      <c r="W200" t="e">
        <f>AND(#REF!,"AAAAAByjRRY=")</f>
        <v>#REF!</v>
      </c>
      <c r="X200" t="e">
        <f>AND(#REF!,"AAAAAByjRRc=")</f>
        <v>#REF!</v>
      </c>
      <c r="Y200" t="e">
        <f>AND(#REF!,"AAAAAByjRRg=")</f>
        <v>#REF!</v>
      </c>
      <c r="Z200" t="e">
        <f>AND(#REF!,"AAAAAByjRRk=")</f>
        <v>#REF!</v>
      </c>
      <c r="AA200" t="e">
        <f>AND(#REF!,"AAAAAByjRRo=")</f>
        <v>#REF!</v>
      </c>
      <c r="AB200" t="e">
        <f>AND(#REF!,"AAAAAByjRRs=")</f>
        <v>#REF!</v>
      </c>
      <c r="AC200" t="e">
        <f>AND(#REF!,"AAAAAByjRRw=")</f>
        <v>#REF!</v>
      </c>
      <c r="AD200" t="e">
        <f>AND(#REF!,"AAAAAByjRR0=")</f>
        <v>#REF!</v>
      </c>
      <c r="AE200" t="e">
        <f>AND(#REF!,"AAAAAByjRR4=")</f>
        <v>#REF!</v>
      </c>
      <c r="AF200" t="e">
        <f>AND(#REF!,"AAAAAByjRR8=")</f>
        <v>#REF!</v>
      </c>
      <c r="AG200" t="e">
        <f>AND(#REF!,"AAAAAByjRSA=")</f>
        <v>#REF!</v>
      </c>
      <c r="AH200" t="e">
        <f>AND(#REF!,"AAAAAByjRSE=")</f>
        <v>#REF!</v>
      </c>
      <c r="AI200" t="e">
        <f>AND(#REF!,"AAAAAByjRSI=")</f>
        <v>#REF!</v>
      </c>
      <c r="AJ200" t="e">
        <f>AND(#REF!,"AAAAAByjRSM=")</f>
        <v>#REF!</v>
      </c>
      <c r="AK200" t="e">
        <f>AND(#REF!,"AAAAAByjRSQ=")</f>
        <v>#REF!</v>
      </c>
      <c r="AL200" t="e">
        <f>AND(#REF!,"AAAAAByjRSU=")</f>
        <v>#REF!</v>
      </c>
      <c r="AM200" t="e">
        <f>AND(#REF!,"AAAAAByjRSY=")</f>
        <v>#REF!</v>
      </c>
      <c r="AN200" t="e">
        <f>AND(#REF!,"AAAAAByjRSc=")</f>
        <v>#REF!</v>
      </c>
      <c r="AO200" t="e">
        <f>AND(#REF!,"AAAAAByjRSg=")</f>
        <v>#REF!</v>
      </c>
      <c r="AP200" t="e">
        <f>AND(#REF!,"AAAAAByjRSk=")</f>
        <v>#REF!</v>
      </c>
      <c r="AQ200" t="e">
        <f>AND(#REF!,"AAAAAByjRSo=")</f>
        <v>#REF!</v>
      </c>
      <c r="AR200" t="e">
        <f>AND(#REF!,"AAAAAByjRSs=")</f>
        <v>#REF!</v>
      </c>
      <c r="AS200" t="e">
        <f>AND(#REF!,"AAAAAByjRSw=")</f>
        <v>#REF!</v>
      </c>
      <c r="AT200" t="e">
        <f>AND(#REF!,"AAAAAByjRS0=")</f>
        <v>#REF!</v>
      </c>
      <c r="AU200" t="e">
        <f>AND(#REF!,"AAAAAByjRS4=")</f>
        <v>#REF!</v>
      </c>
      <c r="AV200" t="e">
        <f>AND(#REF!,"AAAAAByjRS8=")</f>
        <v>#REF!</v>
      </c>
      <c r="AW200" t="e">
        <f>AND(#REF!,"AAAAAByjRTA=")</f>
        <v>#REF!</v>
      </c>
      <c r="AX200" t="e">
        <f>AND(#REF!,"AAAAAByjRTE=")</f>
        <v>#REF!</v>
      </c>
      <c r="AY200" t="e">
        <f>AND(#REF!,"AAAAAByjRTI=")</f>
        <v>#REF!</v>
      </c>
      <c r="AZ200" t="e">
        <f>AND(#REF!,"AAAAAByjRTM=")</f>
        <v>#REF!</v>
      </c>
      <c r="BA200" t="e">
        <f>AND(#REF!,"AAAAAByjRTQ=")</f>
        <v>#REF!</v>
      </c>
      <c r="BB200" t="e">
        <f>AND(#REF!,"AAAAAByjRTU=")</f>
        <v>#REF!</v>
      </c>
      <c r="BC200" t="e">
        <f>AND(#REF!,"AAAAAByjRTY=")</f>
        <v>#REF!</v>
      </c>
      <c r="BD200" t="e">
        <f>AND(#REF!,"AAAAAByjRTc=")</f>
        <v>#REF!</v>
      </c>
      <c r="BE200" t="e">
        <f>AND(#REF!,"AAAAAByjRTg=")</f>
        <v>#REF!</v>
      </c>
      <c r="BF200" t="e">
        <f>AND(#REF!,"AAAAAByjRTk=")</f>
        <v>#REF!</v>
      </c>
      <c r="BG200" t="e">
        <f>AND(#REF!,"AAAAAByjRTo=")</f>
        <v>#REF!</v>
      </c>
      <c r="BH200" t="e">
        <f>AND(#REF!,"AAAAAByjRTs=")</f>
        <v>#REF!</v>
      </c>
      <c r="BI200" t="e">
        <f>AND(#REF!,"AAAAAByjRTw=")</f>
        <v>#REF!</v>
      </c>
      <c r="BJ200" t="e">
        <f>AND(#REF!,"AAAAAByjRT0=")</f>
        <v>#REF!</v>
      </c>
      <c r="BK200" t="e">
        <f>AND(#REF!,"AAAAAByjRT4=")</f>
        <v>#REF!</v>
      </c>
      <c r="BL200" t="e">
        <f>AND(#REF!,"AAAAAByjRT8=")</f>
        <v>#REF!</v>
      </c>
      <c r="BM200" t="e">
        <f>AND(#REF!,"AAAAAByjRUA=")</f>
        <v>#REF!</v>
      </c>
      <c r="BN200" t="e">
        <f>AND(#REF!,"AAAAAByjRUE=")</f>
        <v>#REF!</v>
      </c>
      <c r="BO200" t="e">
        <f>AND(#REF!,"AAAAAByjRUI=")</f>
        <v>#REF!</v>
      </c>
      <c r="BP200" t="e">
        <f>AND(#REF!,"AAAAAByjRUM=")</f>
        <v>#REF!</v>
      </c>
      <c r="BQ200" t="e">
        <f>AND(#REF!,"AAAAAByjRUQ=")</f>
        <v>#REF!</v>
      </c>
      <c r="BR200" t="e">
        <f>AND(#REF!,"AAAAAByjRUU=")</f>
        <v>#REF!</v>
      </c>
      <c r="BS200" t="e">
        <f>IF(#REF!,"AAAAAByjRUY=",0)</f>
        <v>#REF!</v>
      </c>
      <c r="BT200" t="e">
        <f>AND(#REF!,"AAAAAByjRUc=")</f>
        <v>#REF!</v>
      </c>
      <c r="BU200" t="e">
        <f>AND(#REF!,"AAAAAByjRUg=")</f>
        <v>#REF!</v>
      </c>
      <c r="BV200" t="e">
        <f>AND(#REF!,"AAAAAByjRUk=")</f>
        <v>#REF!</v>
      </c>
      <c r="BW200" t="e">
        <f>AND(#REF!,"AAAAAByjRUo=")</f>
        <v>#REF!</v>
      </c>
      <c r="BX200" t="e">
        <f>AND(#REF!,"AAAAAByjRUs=")</f>
        <v>#REF!</v>
      </c>
      <c r="BY200" t="e">
        <f>AND(#REF!,"AAAAAByjRUw=")</f>
        <v>#REF!</v>
      </c>
      <c r="BZ200" t="e">
        <f>AND(#REF!,"AAAAAByjRU0=")</f>
        <v>#REF!</v>
      </c>
      <c r="CA200" t="e">
        <f>AND(#REF!,"AAAAAByjRU4=")</f>
        <v>#REF!</v>
      </c>
      <c r="CB200" t="e">
        <f>AND(#REF!,"AAAAAByjRU8=")</f>
        <v>#REF!</v>
      </c>
      <c r="CC200" t="e">
        <f>AND(#REF!,"AAAAAByjRVA=")</f>
        <v>#REF!</v>
      </c>
      <c r="CD200" t="e">
        <f>AND(#REF!,"AAAAAByjRVE=")</f>
        <v>#REF!</v>
      </c>
      <c r="CE200" t="e">
        <f>AND(#REF!,"AAAAAByjRVI=")</f>
        <v>#REF!</v>
      </c>
      <c r="CF200" t="e">
        <f>AND(#REF!,"AAAAAByjRVM=")</f>
        <v>#REF!</v>
      </c>
      <c r="CG200" t="e">
        <f>AND(#REF!,"AAAAAByjRVQ=")</f>
        <v>#REF!</v>
      </c>
      <c r="CH200" t="e">
        <f>AND(#REF!,"AAAAAByjRVU=")</f>
        <v>#REF!</v>
      </c>
      <c r="CI200" t="e">
        <f>AND(#REF!,"AAAAAByjRVY=")</f>
        <v>#REF!</v>
      </c>
      <c r="CJ200" t="e">
        <f>AND(#REF!,"AAAAAByjRVc=")</f>
        <v>#REF!</v>
      </c>
      <c r="CK200" t="e">
        <f>AND(#REF!,"AAAAAByjRVg=")</f>
        <v>#REF!</v>
      </c>
      <c r="CL200" t="e">
        <f>AND(#REF!,"AAAAAByjRVk=")</f>
        <v>#REF!</v>
      </c>
      <c r="CM200" t="e">
        <f>AND(#REF!,"AAAAAByjRVo=")</f>
        <v>#REF!</v>
      </c>
      <c r="CN200" t="e">
        <f>AND(#REF!,"AAAAAByjRVs=")</f>
        <v>#REF!</v>
      </c>
      <c r="CO200" t="e">
        <f>AND(#REF!,"AAAAAByjRVw=")</f>
        <v>#REF!</v>
      </c>
      <c r="CP200" t="e">
        <f>AND(#REF!,"AAAAAByjRV0=")</f>
        <v>#REF!</v>
      </c>
      <c r="CQ200" t="e">
        <f>AND(#REF!,"AAAAAByjRV4=")</f>
        <v>#REF!</v>
      </c>
      <c r="CR200" t="e">
        <f>AND(#REF!,"AAAAAByjRV8=")</f>
        <v>#REF!</v>
      </c>
      <c r="CS200" t="e">
        <f>AND(#REF!,"AAAAAByjRWA=")</f>
        <v>#REF!</v>
      </c>
      <c r="CT200" t="e">
        <f>AND(#REF!,"AAAAAByjRWE=")</f>
        <v>#REF!</v>
      </c>
      <c r="CU200" t="e">
        <f>AND(#REF!,"AAAAAByjRWI=")</f>
        <v>#REF!</v>
      </c>
      <c r="CV200" t="e">
        <f>AND(#REF!,"AAAAAByjRWM=")</f>
        <v>#REF!</v>
      </c>
      <c r="CW200" t="e">
        <f>AND(#REF!,"AAAAAByjRWQ=")</f>
        <v>#REF!</v>
      </c>
      <c r="CX200" t="e">
        <f>AND(#REF!,"AAAAAByjRWU=")</f>
        <v>#REF!</v>
      </c>
      <c r="CY200" t="e">
        <f>AND(#REF!,"AAAAAByjRWY=")</f>
        <v>#REF!</v>
      </c>
      <c r="CZ200" t="e">
        <f>AND(#REF!,"AAAAAByjRWc=")</f>
        <v>#REF!</v>
      </c>
      <c r="DA200" t="e">
        <f>AND(#REF!,"AAAAAByjRWg=")</f>
        <v>#REF!</v>
      </c>
      <c r="DB200" t="e">
        <f>AND(#REF!,"AAAAAByjRWk=")</f>
        <v>#REF!</v>
      </c>
      <c r="DC200" t="e">
        <f>AND(#REF!,"AAAAAByjRWo=")</f>
        <v>#REF!</v>
      </c>
      <c r="DD200" t="e">
        <f>AND(#REF!,"AAAAAByjRWs=")</f>
        <v>#REF!</v>
      </c>
      <c r="DE200" t="e">
        <f>AND(#REF!,"AAAAAByjRWw=")</f>
        <v>#REF!</v>
      </c>
      <c r="DF200" t="e">
        <f>AND(#REF!,"AAAAAByjRW0=")</f>
        <v>#REF!</v>
      </c>
      <c r="DG200" t="e">
        <f>AND(#REF!,"AAAAAByjRW4=")</f>
        <v>#REF!</v>
      </c>
      <c r="DH200" t="e">
        <f>AND(#REF!,"AAAAAByjRW8=")</f>
        <v>#REF!</v>
      </c>
      <c r="DI200" t="e">
        <f>AND(#REF!,"AAAAAByjRXA=")</f>
        <v>#REF!</v>
      </c>
      <c r="DJ200" t="e">
        <f>AND(#REF!,"AAAAAByjRXE=")</f>
        <v>#REF!</v>
      </c>
      <c r="DK200" t="e">
        <f>AND(#REF!,"AAAAAByjRXI=")</f>
        <v>#REF!</v>
      </c>
      <c r="DL200" t="e">
        <f>AND(#REF!,"AAAAAByjRXM=")</f>
        <v>#REF!</v>
      </c>
      <c r="DM200" t="e">
        <f>AND(#REF!,"AAAAAByjRXQ=")</f>
        <v>#REF!</v>
      </c>
      <c r="DN200" t="e">
        <f>AND(#REF!,"AAAAAByjRXU=")</f>
        <v>#REF!</v>
      </c>
      <c r="DO200" t="e">
        <f>AND(#REF!,"AAAAAByjRXY=")</f>
        <v>#REF!</v>
      </c>
      <c r="DP200" t="e">
        <f>AND(#REF!,"AAAAAByjRXc=")</f>
        <v>#REF!</v>
      </c>
      <c r="DQ200" t="e">
        <f>AND(#REF!,"AAAAAByjRXg=")</f>
        <v>#REF!</v>
      </c>
      <c r="DR200" t="e">
        <f>AND(#REF!,"AAAAAByjRXk=")</f>
        <v>#REF!</v>
      </c>
      <c r="DS200" t="e">
        <f>AND(#REF!,"AAAAAByjRXo=")</f>
        <v>#REF!</v>
      </c>
      <c r="DT200" t="e">
        <f>AND(#REF!,"AAAAAByjRXs=")</f>
        <v>#REF!</v>
      </c>
      <c r="DU200" t="e">
        <f>AND(#REF!,"AAAAAByjRXw=")</f>
        <v>#REF!</v>
      </c>
      <c r="DV200" t="e">
        <f>AND(#REF!,"AAAAAByjRX0=")</f>
        <v>#REF!</v>
      </c>
      <c r="DW200" t="e">
        <f>AND(#REF!,"AAAAAByjRX4=")</f>
        <v>#REF!</v>
      </c>
      <c r="DX200" t="e">
        <f>AND(#REF!,"AAAAAByjRX8=")</f>
        <v>#REF!</v>
      </c>
      <c r="DY200" t="e">
        <f>AND(#REF!,"AAAAAByjRYA=")</f>
        <v>#REF!</v>
      </c>
      <c r="DZ200" t="e">
        <f>AND(#REF!,"AAAAAByjRYE=")</f>
        <v>#REF!</v>
      </c>
      <c r="EA200" t="e">
        <f>AND(#REF!,"AAAAAByjRYI=")</f>
        <v>#REF!</v>
      </c>
      <c r="EB200" t="e">
        <f>AND(#REF!,"AAAAAByjRYM=")</f>
        <v>#REF!</v>
      </c>
      <c r="EC200" t="e">
        <f>AND(#REF!,"AAAAAByjRYQ=")</f>
        <v>#REF!</v>
      </c>
      <c r="ED200" t="e">
        <f>AND(#REF!,"AAAAAByjRYU=")</f>
        <v>#REF!</v>
      </c>
      <c r="EE200" t="e">
        <f>AND(#REF!,"AAAAAByjRYY=")</f>
        <v>#REF!</v>
      </c>
      <c r="EF200" t="e">
        <f>AND(#REF!,"AAAAAByjRYc=")</f>
        <v>#REF!</v>
      </c>
      <c r="EG200" t="e">
        <f>AND(#REF!,"AAAAAByjRYg=")</f>
        <v>#REF!</v>
      </c>
      <c r="EH200" t="e">
        <f>AND(#REF!,"AAAAAByjRYk=")</f>
        <v>#REF!</v>
      </c>
      <c r="EI200" t="e">
        <f>AND(#REF!,"AAAAAByjRYo=")</f>
        <v>#REF!</v>
      </c>
      <c r="EJ200" t="e">
        <f>AND(#REF!,"AAAAAByjRYs=")</f>
        <v>#REF!</v>
      </c>
      <c r="EK200" t="e">
        <f>AND(#REF!,"AAAAAByjRYw=")</f>
        <v>#REF!</v>
      </c>
      <c r="EL200" t="e">
        <f>AND(#REF!,"AAAAAByjRY0=")</f>
        <v>#REF!</v>
      </c>
      <c r="EM200" t="e">
        <f>AND(#REF!,"AAAAAByjRY4=")</f>
        <v>#REF!</v>
      </c>
      <c r="EN200" t="e">
        <f>AND(#REF!,"AAAAAByjRY8=")</f>
        <v>#REF!</v>
      </c>
      <c r="EO200" t="e">
        <f>AND(#REF!,"AAAAAByjRZA=")</f>
        <v>#REF!</v>
      </c>
      <c r="EP200" t="e">
        <f>AND(#REF!,"AAAAAByjRZE=")</f>
        <v>#REF!</v>
      </c>
      <c r="EQ200" t="e">
        <f>AND(#REF!,"AAAAAByjRZI=")</f>
        <v>#REF!</v>
      </c>
      <c r="ER200" t="e">
        <f>AND(#REF!,"AAAAAByjRZM=")</f>
        <v>#REF!</v>
      </c>
      <c r="ES200" t="e">
        <f>AND(#REF!,"AAAAAByjRZQ=")</f>
        <v>#REF!</v>
      </c>
      <c r="ET200" t="e">
        <f>AND(#REF!,"AAAAAByjRZU=")</f>
        <v>#REF!</v>
      </c>
      <c r="EU200" t="e">
        <f>AND(#REF!,"AAAAAByjRZY=")</f>
        <v>#REF!</v>
      </c>
      <c r="EV200" t="e">
        <f>AND(#REF!,"AAAAAByjRZc=")</f>
        <v>#REF!</v>
      </c>
      <c r="EW200" t="e">
        <f>AND(#REF!,"AAAAAByjRZg=")</f>
        <v>#REF!</v>
      </c>
      <c r="EX200" t="e">
        <f>AND(#REF!,"AAAAAByjRZk=")</f>
        <v>#REF!</v>
      </c>
      <c r="EY200" t="e">
        <f>AND(#REF!,"AAAAAByjRZo=")</f>
        <v>#REF!</v>
      </c>
      <c r="EZ200" t="e">
        <f>AND(#REF!,"AAAAAByjRZs=")</f>
        <v>#REF!</v>
      </c>
      <c r="FA200" t="e">
        <f>AND(#REF!,"AAAAAByjRZw=")</f>
        <v>#REF!</v>
      </c>
      <c r="FB200" t="e">
        <f>AND(#REF!,"AAAAAByjRZ0=")</f>
        <v>#REF!</v>
      </c>
      <c r="FC200" t="e">
        <f>AND(#REF!,"AAAAAByjRZ4=")</f>
        <v>#REF!</v>
      </c>
      <c r="FD200" t="e">
        <f>AND(#REF!,"AAAAAByjRZ8=")</f>
        <v>#REF!</v>
      </c>
      <c r="FE200" t="e">
        <f>AND(#REF!,"AAAAAByjRaA=")</f>
        <v>#REF!</v>
      </c>
      <c r="FF200" t="e">
        <f>AND(#REF!,"AAAAAByjRaE=")</f>
        <v>#REF!</v>
      </c>
      <c r="FG200" t="e">
        <f>AND(#REF!,"AAAAAByjRaI=")</f>
        <v>#REF!</v>
      </c>
      <c r="FH200" t="e">
        <f>AND(#REF!,"AAAAAByjRaM=")</f>
        <v>#REF!</v>
      </c>
      <c r="FI200" t="e">
        <f>AND(#REF!,"AAAAAByjRaQ=")</f>
        <v>#REF!</v>
      </c>
      <c r="FJ200" t="e">
        <f>AND(#REF!,"AAAAAByjRaU=")</f>
        <v>#REF!</v>
      </c>
      <c r="FK200" t="e">
        <f>AND(#REF!,"AAAAAByjRaY=")</f>
        <v>#REF!</v>
      </c>
      <c r="FL200" t="e">
        <f>AND(#REF!,"AAAAAByjRac=")</f>
        <v>#REF!</v>
      </c>
      <c r="FM200" t="e">
        <f>AND(#REF!,"AAAAAByjRag=")</f>
        <v>#REF!</v>
      </c>
      <c r="FN200" t="e">
        <f>AND(#REF!,"AAAAAByjRak=")</f>
        <v>#REF!</v>
      </c>
      <c r="FO200" t="e">
        <f>AND(#REF!,"AAAAAByjRao=")</f>
        <v>#REF!</v>
      </c>
      <c r="FP200" t="e">
        <f>AND(#REF!,"AAAAAByjRas=")</f>
        <v>#REF!</v>
      </c>
      <c r="FQ200" t="e">
        <f>AND(#REF!,"AAAAAByjRaw=")</f>
        <v>#REF!</v>
      </c>
      <c r="FR200" t="e">
        <f>AND(#REF!,"AAAAAByjRa0=")</f>
        <v>#REF!</v>
      </c>
      <c r="FS200" t="e">
        <f>AND(#REF!,"AAAAAByjRa4=")</f>
        <v>#REF!</v>
      </c>
      <c r="FT200" t="e">
        <f>AND(#REF!,"AAAAAByjRa8=")</f>
        <v>#REF!</v>
      </c>
      <c r="FU200" t="e">
        <f>AND(#REF!,"AAAAAByjRbA=")</f>
        <v>#REF!</v>
      </c>
      <c r="FV200" t="e">
        <f>AND(#REF!,"AAAAAByjRbE=")</f>
        <v>#REF!</v>
      </c>
      <c r="FW200" t="e">
        <f>AND(#REF!,"AAAAAByjRbI=")</f>
        <v>#REF!</v>
      </c>
      <c r="FX200" t="e">
        <f>AND(#REF!,"AAAAAByjRbM=")</f>
        <v>#REF!</v>
      </c>
      <c r="FY200" t="e">
        <f>AND(#REF!,"AAAAAByjRbQ=")</f>
        <v>#REF!</v>
      </c>
      <c r="FZ200" t="e">
        <f>AND(#REF!,"AAAAAByjRbU=")</f>
        <v>#REF!</v>
      </c>
      <c r="GA200" t="e">
        <f>AND(#REF!,"AAAAAByjRbY=")</f>
        <v>#REF!</v>
      </c>
      <c r="GB200" t="e">
        <f>AND(#REF!,"AAAAAByjRbc=")</f>
        <v>#REF!</v>
      </c>
      <c r="GC200" t="e">
        <f>AND(#REF!,"AAAAAByjRbg=")</f>
        <v>#REF!</v>
      </c>
      <c r="GD200" t="e">
        <f>AND(#REF!,"AAAAAByjRbk=")</f>
        <v>#REF!</v>
      </c>
      <c r="GE200" t="e">
        <f>AND(#REF!,"AAAAAByjRbo=")</f>
        <v>#REF!</v>
      </c>
      <c r="GF200" t="e">
        <f>AND(#REF!,"AAAAAByjRbs=")</f>
        <v>#REF!</v>
      </c>
      <c r="GG200" t="e">
        <f>AND(#REF!,"AAAAAByjRbw=")</f>
        <v>#REF!</v>
      </c>
      <c r="GH200" t="e">
        <f>AND(#REF!,"AAAAAByjRb0=")</f>
        <v>#REF!</v>
      </c>
      <c r="GI200" t="e">
        <f>AND(#REF!,"AAAAAByjRb4=")</f>
        <v>#REF!</v>
      </c>
      <c r="GJ200" t="e">
        <f>AND(#REF!,"AAAAAByjRb8=")</f>
        <v>#REF!</v>
      </c>
      <c r="GK200" t="e">
        <f>AND(#REF!,"AAAAAByjRcA=")</f>
        <v>#REF!</v>
      </c>
      <c r="GL200" t="e">
        <f>AND(#REF!,"AAAAAByjRcE=")</f>
        <v>#REF!</v>
      </c>
      <c r="GM200" t="e">
        <f>AND(#REF!,"AAAAAByjRcI=")</f>
        <v>#REF!</v>
      </c>
      <c r="GN200" t="e">
        <f>AND(#REF!,"AAAAAByjRcM=")</f>
        <v>#REF!</v>
      </c>
      <c r="GO200" t="e">
        <f>AND(#REF!,"AAAAAByjRcQ=")</f>
        <v>#REF!</v>
      </c>
      <c r="GP200" t="e">
        <f>AND(#REF!,"AAAAAByjRcU=")</f>
        <v>#REF!</v>
      </c>
      <c r="GQ200" t="e">
        <f>AND(#REF!,"AAAAAByjRcY=")</f>
        <v>#REF!</v>
      </c>
      <c r="GR200" t="e">
        <f>AND(#REF!,"AAAAAByjRcc=")</f>
        <v>#REF!</v>
      </c>
      <c r="GS200" t="e">
        <f>AND(#REF!,"AAAAAByjRcg=")</f>
        <v>#REF!</v>
      </c>
      <c r="GT200" t="e">
        <f>AND(#REF!,"AAAAAByjRck=")</f>
        <v>#REF!</v>
      </c>
      <c r="GU200" t="e">
        <f>AND(#REF!,"AAAAAByjRco=")</f>
        <v>#REF!</v>
      </c>
      <c r="GV200" t="e">
        <f>AND(#REF!,"AAAAAByjRcs=")</f>
        <v>#REF!</v>
      </c>
      <c r="GW200" t="e">
        <f>AND(#REF!,"AAAAAByjRcw=")</f>
        <v>#REF!</v>
      </c>
      <c r="GX200" t="e">
        <f>AND(#REF!,"AAAAAByjRc0=")</f>
        <v>#REF!</v>
      </c>
      <c r="GY200" t="e">
        <f>AND(#REF!,"AAAAAByjRc4=")</f>
        <v>#REF!</v>
      </c>
      <c r="GZ200" t="e">
        <f>AND(#REF!,"AAAAAByjRc8=")</f>
        <v>#REF!</v>
      </c>
      <c r="HA200" t="e">
        <f>AND(#REF!,"AAAAAByjRdA=")</f>
        <v>#REF!</v>
      </c>
      <c r="HB200" t="e">
        <f>AND(#REF!,"AAAAAByjRdE=")</f>
        <v>#REF!</v>
      </c>
      <c r="HC200" t="e">
        <f>AND(#REF!,"AAAAAByjRdI=")</f>
        <v>#REF!</v>
      </c>
      <c r="HD200" t="e">
        <f>AND(#REF!,"AAAAAByjRdM=")</f>
        <v>#REF!</v>
      </c>
      <c r="HE200" t="e">
        <f>AND(#REF!,"AAAAAByjRdQ=")</f>
        <v>#REF!</v>
      </c>
      <c r="HF200" t="e">
        <f>AND(#REF!,"AAAAAByjRdU=")</f>
        <v>#REF!</v>
      </c>
      <c r="HG200" t="e">
        <f>AND(#REF!,"AAAAAByjRdY=")</f>
        <v>#REF!</v>
      </c>
      <c r="HH200" t="e">
        <f>AND(#REF!,"AAAAAByjRdc=")</f>
        <v>#REF!</v>
      </c>
      <c r="HI200" t="e">
        <f>AND(#REF!,"AAAAAByjRdg=")</f>
        <v>#REF!</v>
      </c>
      <c r="HJ200" t="e">
        <f>AND(#REF!,"AAAAAByjRdk=")</f>
        <v>#REF!</v>
      </c>
      <c r="HK200" t="e">
        <f>AND(#REF!,"AAAAAByjRdo=")</f>
        <v>#REF!</v>
      </c>
      <c r="HL200" t="e">
        <f>AND(#REF!,"AAAAAByjRds=")</f>
        <v>#REF!</v>
      </c>
      <c r="HM200" t="e">
        <f>AND(#REF!,"AAAAAByjRdw=")</f>
        <v>#REF!</v>
      </c>
      <c r="HN200" t="e">
        <f>AND(#REF!,"AAAAAByjRd0=")</f>
        <v>#REF!</v>
      </c>
      <c r="HO200" t="e">
        <f>AND(#REF!,"AAAAAByjRd4=")</f>
        <v>#REF!</v>
      </c>
      <c r="HP200" t="e">
        <f>AND(#REF!,"AAAAAByjRd8=")</f>
        <v>#REF!</v>
      </c>
      <c r="HQ200" t="e">
        <f>AND(#REF!,"AAAAAByjReA=")</f>
        <v>#REF!</v>
      </c>
      <c r="HR200" t="e">
        <f>AND(#REF!,"AAAAAByjReE=")</f>
        <v>#REF!</v>
      </c>
      <c r="HS200" t="e">
        <f>AND(#REF!,"AAAAAByjReI=")</f>
        <v>#REF!</v>
      </c>
      <c r="HT200" t="e">
        <f>AND(#REF!,"AAAAAByjReM=")</f>
        <v>#REF!</v>
      </c>
      <c r="HU200" t="e">
        <f>AND(#REF!,"AAAAAByjReQ=")</f>
        <v>#REF!</v>
      </c>
      <c r="HV200" t="e">
        <f>AND(#REF!,"AAAAAByjReU=")</f>
        <v>#REF!</v>
      </c>
      <c r="HW200" t="e">
        <f>AND(#REF!,"AAAAAByjReY=")</f>
        <v>#REF!</v>
      </c>
      <c r="HX200" t="e">
        <f>AND(#REF!,"AAAAAByjRec=")</f>
        <v>#REF!</v>
      </c>
      <c r="HY200" t="e">
        <f>AND(#REF!,"AAAAAByjReg=")</f>
        <v>#REF!</v>
      </c>
      <c r="HZ200" t="e">
        <f>AND(#REF!,"AAAAAByjRek=")</f>
        <v>#REF!</v>
      </c>
      <c r="IA200" t="e">
        <f>AND(#REF!,"AAAAAByjReo=")</f>
        <v>#REF!</v>
      </c>
      <c r="IB200" t="e">
        <f>AND(#REF!,"AAAAAByjRes=")</f>
        <v>#REF!</v>
      </c>
      <c r="IC200" t="e">
        <f>AND(#REF!,"AAAAAByjRew=")</f>
        <v>#REF!</v>
      </c>
      <c r="ID200" t="e">
        <f>AND(#REF!,"AAAAAByjRe0=")</f>
        <v>#REF!</v>
      </c>
      <c r="IE200" t="e">
        <f>AND(#REF!,"AAAAAByjRe4=")</f>
        <v>#REF!</v>
      </c>
      <c r="IF200" t="e">
        <f>AND(#REF!,"AAAAAByjRe8=")</f>
        <v>#REF!</v>
      </c>
      <c r="IG200" t="e">
        <f>AND(#REF!,"AAAAAByjRfA=")</f>
        <v>#REF!</v>
      </c>
      <c r="IH200" t="e">
        <f>AND(#REF!,"AAAAAByjRfE=")</f>
        <v>#REF!</v>
      </c>
      <c r="II200" t="e">
        <f>AND(#REF!,"AAAAAByjRfI=")</f>
        <v>#REF!</v>
      </c>
      <c r="IJ200" t="e">
        <f>AND(#REF!,"AAAAAByjRfM=")</f>
        <v>#REF!</v>
      </c>
      <c r="IK200" t="e">
        <f>AND(#REF!,"AAAAAByjRfQ=")</f>
        <v>#REF!</v>
      </c>
      <c r="IL200" t="e">
        <f>AND(#REF!,"AAAAAByjRfU=")</f>
        <v>#REF!</v>
      </c>
      <c r="IM200" t="e">
        <f>AND(#REF!,"AAAAAByjRfY=")</f>
        <v>#REF!</v>
      </c>
      <c r="IN200" t="e">
        <f>AND(#REF!,"AAAAAByjRfc=")</f>
        <v>#REF!</v>
      </c>
      <c r="IO200" t="e">
        <f>AND(#REF!,"AAAAAByjRfg=")</f>
        <v>#REF!</v>
      </c>
      <c r="IP200" t="e">
        <f>AND(#REF!,"AAAAAByjRfk=")</f>
        <v>#REF!</v>
      </c>
      <c r="IQ200" t="e">
        <f>AND(#REF!,"AAAAAByjRfo=")</f>
        <v>#REF!</v>
      </c>
      <c r="IR200" t="e">
        <f>AND(#REF!,"AAAAAByjRfs=")</f>
        <v>#REF!</v>
      </c>
      <c r="IS200" t="e">
        <f>AND(#REF!,"AAAAAByjRfw=")</f>
        <v>#REF!</v>
      </c>
      <c r="IT200" t="e">
        <f>AND(#REF!,"AAAAAByjRf0=")</f>
        <v>#REF!</v>
      </c>
      <c r="IU200" t="e">
        <f>AND(#REF!,"AAAAAByjRf4=")</f>
        <v>#REF!</v>
      </c>
      <c r="IV200" t="e">
        <f>AND(#REF!,"AAAAAByjRf8=")</f>
        <v>#REF!</v>
      </c>
    </row>
    <row r="201" spans="1:256">
      <c r="A201" t="e">
        <f>AND(#REF!,"AAAAAF7/ewA=")</f>
        <v>#REF!</v>
      </c>
      <c r="B201" t="e">
        <f>AND(#REF!,"AAAAAF7/ewE=")</f>
        <v>#REF!</v>
      </c>
      <c r="C201" t="e">
        <f>AND(#REF!,"AAAAAF7/ewI=")</f>
        <v>#REF!</v>
      </c>
      <c r="D201" t="e">
        <f>AND(#REF!,"AAAAAF7/ewM=")</f>
        <v>#REF!</v>
      </c>
      <c r="E201" t="e">
        <f>AND(#REF!,"AAAAAF7/ewQ=")</f>
        <v>#REF!</v>
      </c>
      <c r="F201" t="e">
        <f>AND(#REF!,"AAAAAF7/ewU=")</f>
        <v>#REF!</v>
      </c>
      <c r="G201" t="e">
        <f>AND(#REF!,"AAAAAF7/ewY=")</f>
        <v>#REF!</v>
      </c>
      <c r="H201" t="e">
        <f>AND(#REF!,"AAAAAF7/ewc=")</f>
        <v>#REF!</v>
      </c>
      <c r="I201" t="e">
        <f>AND(#REF!,"AAAAAF7/ewg=")</f>
        <v>#REF!</v>
      </c>
      <c r="J201" t="e">
        <f>AND(#REF!,"AAAAAF7/ewk=")</f>
        <v>#REF!</v>
      </c>
      <c r="K201" t="e">
        <f>AND(#REF!,"AAAAAF7/ewo=")</f>
        <v>#REF!</v>
      </c>
      <c r="L201" t="e">
        <f>AND(#REF!,"AAAAAF7/ews=")</f>
        <v>#REF!</v>
      </c>
      <c r="M201" t="e">
        <f>AND(#REF!,"AAAAAF7/eww=")</f>
        <v>#REF!</v>
      </c>
      <c r="N201" t="e">
        <f>AND(#REF!,"AAAAAF7/ew0=")</f>
        <v>#REF!</v>
      </c>
      <c r="O201" t="e">
        <f>AND(#REF!,"AAAAAF7/ew4=")</f>
        <v>#REF!</v>
      </c>
      <c r="P201" t="e">
        <f>AND(#REF!,"AAAAAF7/ew8=")</f>
        <v>#REF!</v>
      </c>
      <c r="Q201" t="e">
        <f>AND(#REF!,"AAAAAF7/exA=")</f>
        <v>#REF!</v>
      </c>
      <c r="R201" t="e">
        <f>AND(#REF!,"AAAAAF7/exE=")</f>
        <v>#REF!</v>
      </c>
      <c r="S201" t="e">
        <f>AND(#REF!,"AAAAAF7/exI=")</f>
        <v>#REF!</v>
      </c>
      <c r="T201" t="e">
        <f>AND(#REF!,"AAAAAF7/exM=")</f>
        <v>#REF!</v>
      </c>
      <c r="U201" t="e">
        <f>AND(#REF!,"AAAAAF7/exQ=")</f>
        <v>#REF!</v>
      </c>
      <c r="V201" t="e">
        <f>AND(#REF!,"AAAAAF7/exU=")</f>
        <v>#REF!</v>
      </c>
      <c r="W201" t="e">
        <f>AND(#REF!,"AAAAAF7/exY=")</f>
        <v>#REF!</v>
      </c>
      <c r="X201" t="e">
        <f>AND(#REF!,"AAAAAF7/exc=")</f>
        <v>#REF!</v>
      </c>
      <c r="Y201" t="e">
        <f>AND(#REF!,"AAAAAF7/exg=")</f>
        <v>#REF!</v>
      </c>
      <c r="Z201" t="e">
        <f>AND(#REF!,"AAAAAF7/exk=")</f>
        <v>#REF!</v>
      </c>
      <c r="AA201" t="e">
        <f>AND(#REF!,"AAAAAF7/exo=")</f>
        <v>#REF!</v>
      </c>
      <c r="AB201" t="e">
        <f>AND(#REF!,"AAAAAF7/exs=")</f>
        <v>#REF!</v>
      </c>
      <c r="AC201" t="e">
        <f>AND(#REF!,"AAAAAF7/exw=")</f>
        <v>#REF!</v>
      </c>
      <c r="AD201" t="e">
        <f>AND(#REF!,"AAAAAF7/ex0=")</f>
        <v>#REF!</v>
      </c>
      <c r="AE201" t="e">
        <f>AND(#REF!,"AAAAAF7/ex4=")</f>
        <v>#REF!</v>
      </c>
      <c r="AF201" t="e">
        <f>AND(#REF!,"AAAAAF7/ex8=")</f>
        <v>#REF!</v>
      </c>
      <c r="AG201" t="e">
        <f>AND(#REF!,"AAAAAF7/eyA=")</f>
        <v>#REF!</v>
      </c>
      <c r="AH201" t="e">
        <f>AND(#REF!,"AAAAAF7/eyE=")</f>
        <v>#REF!</v>
      </c>
      <c r="AI201" t="e">
        <f>AND(#REF!,"AAAAAF7/eyI=")</f>
        <v>#REF!</v>
      </c>
      <c r="AJ201" t="e">
        <f>AND(#REF!,"AAAAAF7/eyM=")</f>
        <v>#REF!</v>
      </c>
      <c r="AK201" t="e">
        <f>AND(#REF!,"AAAAAF7/eyQ=")</f>
        <v>#REF!</v>
      </c>
      <c r="AL201" t="e">
        <f>AND(#REF!,"AAAAAF7/eyU=")</f>
        <v>#REF!</v>
      </c>
      <c r="AM201" t="e">
        <f>AND(#REF!,"AAAAAF7/eyY=")</f>
        <v>#REF!</v>
      </c>
      <c r="AN201" t="e">
        <f>AND(#REF!,"AAAAAF7/eyc=")</f>
        <v>#REF!</v>
      </c>
      <c r="AO201" t="e">
        <f>AND(#REF!,"AAAAAF7/eyg=")</f>
        <v>#REF!</v>
      </c>
      <c r="AP201" t="e">
        <f>AND(#REF!,"AAAAAF7/eyk=")</f>
        <v>#REF!</v>
      </c>
      <c r="AQ201" t="e">
        <f>IF(#REF!,"AAAAAF7/eyo=",0)</f>
        <v>#REF!</v>
      </c>
      <c r="AR201" t="e">
        <f>AND(#REF!,"AAAAAF7/eys=")</f>
        <v>#REF!</v>
      </c>
      <c r="AS201" t="e">
        <f>AND(#REF!,"AAAAAF7/eyw=")</f>
        <v>#REF!</v>
      </c>
      <c r="AT201" t="e">
        <f>AND(#REF!,"AAAAAF7/ey0=")</f>
        <v>#REF!</v>
      </c>
      <c r="AU201" t="e">
        <f>AND(#REF!,"AAAAAF7/ey4=")</f>
        <v>#REF!</v>
      </c>
      <c r="AV201" t="e">
        <f>AND(#REF!,"AAAAAF7/ey8=")</f>
        <v>#REF!</v>
      </c>
      <c r="AW201" t="e">
        <f>AND(#REF!,"AAAAAF7/ezA=")</f>
        <v>#REF!</v>
      </c>
      <c r="AX201" t="e">
        <f>AND(#REF!,"AAAAAF7/ezE=")</f>
        <v>#REF!</v>
      </c>
      <c r="AY201" t="e">
        <f>AND(#REF!,"AAAAAF7/ezI=")</f>
        <v>#REF!</v>
      </c>
      <c r="AZ201" t="e">
        <f>AND(#REF!,"AAAAAF7/ezM=")</f>
        <v>#REF!</v>
      </c>
      <c r="BA201" t="e">
        <f>AND(#REF!,"AAAAAF7/ezQ=")</f>
        <v>#REF!</v>
      </c>
      <c r="BB201" t="e">
        <f>AND(#REF!,"AAAAAF7/ezU=")</f>
        <v>#REF!</v>
      </c>
      <c r="BC201" t="e">
        <f>AND(#REF!,"AAAAAF7/ezY=")</f>
        <v>#REF!</v>
      </c>
      <c r="BD201" t="e">
        <f>AND(#REF!,"AAAAAF7/ezc=")</f>
        <v>#REF!</v>
      </c>
      <c r="BE201" t="e">
        <f>AND(#REF!,"AAAAAF7/ezg=")</f>
        <v>#REF!</v>
      </c>
      <c r="BF201" t="e">
        <f>AND(#REF!,"AAAAAF7/ezk=")</f>
        <v>#REF!</v>
      </c>
      <c r="BG201" t="e">
        <f>AND(#REF!,"AAAAAF7/ezo=")</f>
        <v>#REF!</v>
      </c>
      <c r="BH201" t="e">
        <f>AND(#REF!,"AAAAAF7/ezs=")</f>
        <v>#REF!</v>
      </c>
      <c r="BI201" t="e">
        <f>AND(#REF!,"AAAAAF7/ezw=")</f>
        <v>#REF!</v>
      </c>
      <c r="BJ201" t="e">
        <f>AND(#REF!,"AAAAAF7/ez0=")</f>
        <v>#REF!</v>
      </c>
      <c r="BK201" t="e">
        <f>AND(#REF!,"AAAAAF7/ez4=")</f>
        <v>#REF!</v>
      </c>
      <c r="BL201" t="e">
        <f>AND(#REF!,"AAAAAF7/ez8=")</f>
        <v>#REF!</v>
      </c>
      <c r="BM201" t="e">
        <f>AND(#REF!,"AAAAAF7/e0A=")</f>
        <v>#REF!</v>
      </c>
      <c r="BN201" t="e">
        <f>AND(#REF!,"AAAAAF7/e0E=")</f>
        <v>#REF!</v>
      </c>
      <c r="BO201" t="e">
        <f>AND(#REF!,"AAAAAF7/e0I=")</f>
        <v>#REF!</v>
      </c>
      <c r="BP201" t="e">
        <f>AND(#REF!,"AAAAAF7/e0M=")</f>
        <v>#REF!</v>
      </c>
      <c r="BQ201" t="e">
        <f>AND(#REF!,"AAAAAF7/e0Q=")</f>
        <v>#REF!</v>
      </c>
      <c r="BR201" t="e">
        <f>AND(#REF!,"AAAAAF7/e0U=")</f>
        <v>#REF!</v>
      </c>
      <c r="BS201" t="e">
        <f>AND(#REF!,"AAAAAF7/e0Y=")</f>
        <v>#REF!</v>
      </c>
      <c r="BT201" t="e">
        <f>AND(#REF!,"AAAAAF7/e0c=")</f>
        <v>#REF!</v>
      </c>
      <c r="BU201" t="e">
        <f>AND(#REF!,"AAAAAF7/e0g=")</f>
        <v>#REF!</v>
      </c>
      <c r="BV201" t="e">
        <f>AND(#REF!,"AAAAAF7/e0k=")</f>
        <v>#REF!</v>
      </c>
      <c r="BW201" t="e">
        <f>AND(#REF!,"AAAAAF7/e0o=")</f>
        <v>#REF!</v>
      </c>
      <c r="BX201" t="e">
        <f>AND(#REF!,"AAAAAF7/e0s=")</f>
        <v>#REF!</v>
      </c>
      <c r="BY201" t="e">
        <f>AND(#REF!,"AAAAAF7/e0w=")</f>
        <v>#REF!</v>
      </c>
      <c r="BZ201" t="e">
        <f>AND(#REF!,"AAAAAF7/e00=")</f>
        <v>#REF!</v>
      </c>
      <c r="CA201" t="e">
        <f>AND(#REF!,"AAAAAF7/e04=")</f>
        <v>#REF!</v>
      </c>
      <c r="CB201" t="e">
        <f>AND(#REF!,"AAAAAF7/e08=")</f>
        <v>#REF!</v>
      </c>
      <c r="CC201" t="e">
        <f>AND(#REF!,"AAAAAF7/e1A=")</f>
        <v>#REF!</v>
      </c>
      <c r="CD201" t="e">
        <f>AND(#REF!,"AAAAAF7/e1E=")</f>
        <v>#REF!</v>
      </c>
      <c r="CE201" t="e">
        <f>AND(#REF!,"AAAAAF7/e1I=")</f>
        <v>#REF!</v>
      </c>
      <c r="CF201" t="e">
        <f>AND(#REF!,"AAAAAF7/e1M=")</f>
        <v>#REF!</v>
      </c>
      <c r="CG201" t="e">
        <f>AND(#REF!,"AAAAAF7/e1Q=")</f>
        <v>#REF!</v>
      </c>
      <c r="CH201" t="e">
        <f>AND(#REF!,"AAAAAF7/e1U=")</f>
        <v>#REF!</v>
      </c>
      <c r="CI201" t="e">
        <f>AND(#REF!,"AAAAAF7/e1Y=")</f>
        <v>#REF!</v>
      </c>
      <c r="CJ201" t="e">
        <f>AND(#REF!,"AAAAAF7/e1c=")</f>
        <v>#REF!</v>
      </c>
      <c r="CK201" t="e">
        <f>AND(#REF!,"AAAAAF7/e1g=")</f>
        <v>#REF!</v>
      </c>
      <c r="CL201" t="e">
        <f>AND(#REF!,"AAAAAF7/e1k=")</f>
        <v>#REF!</v>
      </c>
      <c r="CM201" t="e">
        <f>AND(#REF!,"AAAAAF7/e1o=")</f>
        <v>#REF!</v>
      </c>
      <c r="CN201" t="e">
        <f>AND(#REF!,"AAAAAF7/e1s=")</f>
        <v>#REF!</v>
      </c>
      <c r="CO201" t="e">
        <f>AND(#REF!,"AAAAAF7/e1w=")</f>
        <v>#REF!</v>
      </c>
      <c r="CP201" t="e">
        <f>AND(#REF!,"AAAAAF7/e10=")</f>
        <v>#REF!</v>
      </c>
      <c r="CQ201" t="e">
        <f>AND(#REF!,"AAAAAF7/e14=")</f>
        <v>#REF!</v>
      </c>
      <c r="CR201" t="e">
        <f>AND(#REF!,"AAAAAF7/e18=")</f>
        <v>#REF!</v>
      </c>
      <c r="CS201" t="e">
        <f>AND(#REF!,"AAAAAF7/e2A=")</f>
        <v>#REF!</v>
      </c>
      <c r="CT201" t="e">
        <f>AND(#REF!,"AAAAAF7/e2E=")</f>
        <v>#REF!</v>
      </c>
      <c r="CU201" t="e">
        <f>AND(#REF!,"AAAAAF7/e2I=")</f>
        <v>#REF!</v>
      </c>
      <c r="CV201" t="e">
        <f>AND(#REF!,"AAAAAF7/e2M=")</f>
        <v>#REF!</v>
      </c>
      <c r="CW201" t="e">
        <f>AND(#REF!,"AAAAAF7/e2Q=")</f>
        <v>#REF!</v>
      </c>
      <c r="CX201" t="e">
        <f>AND(#REF!,"AAAAAF7/e2U=")</f>
        <v>#REF!</v>
      </c>
      <c r="CY201" t="e">
        <f>AND(#REF!,"AAAAAF7/e2Y=")</f>
        <v>#REF!</v>
      </c>
      <c r="CZ201" t="e">
        <f>AND(#REF!,"AAAAAF7/e2c=")</f>
        <v>#REF!</v>
      </c>
      <c r="DA201" t="e">
        <f>AND(#REF!,"AAAAAF7/e2g=")</f>
        <v>#REF!</v>
      </c>
      <c r="DB201" t="e">
        <f>AND(#REF!,"AAAAAF7/e2k=")</f>
        <v>#REF!</v>
      </c>
      <c r="DC201" t="e">
        <f>AND(#REF!,"AAAAAF7/e2o=")</f>
        <v>#REF!</v>
      </c>
      <c r="DD201" t="e">
        <f>AND(#REF!,"AAAAAF7/e2s=")</f>
        <v>#REF!</v>
      </c>
      <c r="DE201" t="e">
        <f>AND(#REF!,"AAAAAF7/e2w=")</f>
        <v>#REF!</v>
      </c>
      <c r="DF201" t="e">
        <f>AND(#REF!,"AAAAAF7/e20=")</f>
        <v>#REF!</v>
      </c>
      <c r="DG201" t="e">
        <f>AND(#REF!,"AAAAAF7/e24=")</f>
        <v>#REF!</v>
      </c>
      <c r="DH201" t="e">
        <f>AND(#REF!,"AAAAAF7/e28=")</f>
        <v>#REF!</v>
      </c>
      <c r="DI201" t="e">
        <f>AND(#REF!,"AAAAAF7/e3A=")</f>
        <v>#REF!</v>
      </c>
      <c r="DJ201" t="e">
        <f>AND(#REF!,"AAAAAF7/e3E=")</f>
        <v>#REF!</v>
      </c>
      <c r="DK201" t="e">
        <f>AND(#REF!,"AAAAAF7/e3I=")</f>
        <v>#REF!</v>
      </c>
      <c r="DL201" t="e">
        <f>AND(#REF!,"AAAAAF7/e3M=")</f>
        <v>#REF!</v>
      </c>
      <c r="DM201" t="e">
        <f>AND(#REF!,"AAAAAF7/e3Q=")</f>
        <v>#REF!</v>
      </c>
      <c r="DN201" t="e">
        <f>AND(#REF!,"AAAAAF7/e3U=")</f>
        <v>#REF!</v>
      </c>
      <c r="DO201" t="e">
        <f>AND(#REF!,"AAAAAF7/e3Y=")</f>
        <v>#REF!</v>
      </c>
      <c r="DP201" t="e">
        <f>AND(#REF!,"AAAAAF7/e3c=")</f>
        <v>#REF!</v>
      </c>
      <c r="DQ201" t="e">
        <f>AND(#REF!,"AAAAAF7/e3g=")</f>
        <v>#REF!</v>
      </c>
      <c r="DR201" t="e">
        <f>AND(#REF!,"AAAAAF7/e3k=")</f>
        <v>#REF!</v>
      </c>
      <c r="DS201" t="e">
        <f>AND(#REF!,"AAAAAF7/e3o=")</f>
        <v>#REF!</v>
      </c>
      <c r="DT201" t="e">
        <f>AND(#REF!,"AAAAAF7/e3s=")</f>
        <v>#REF!</v>
      </c>
      <c r="DU201" t="e">
        <f>AND(#REF!,"AAAAAF7/e3w=")</f>
        <v>#REF!</v>
      </c>
      <c r="DV201" t="e">
        <f>AND(#REF!,"AAAAAF7/e30=")</f>
        <v>#REF!</v>
      </c>
      <c r="DW201" t="e">
        <f>AND(#REF!,"AAAAAF7/e34=")</f>
        <v>#REF!</v>
      </c>
      <c r="DX201" t="e">
        <f>AND(#REF!,"AAAAAF7/e38=")</f>
        <v>#REF!</v>
      </c>
      <c r="DY201" t="e">
        <f>AND(#REF!,"AAAAAF7/e4A=")</f>
        <v>#REF!</v>
      </c>
      <c r="DZ201" t="e">
        <f>AND(#REF!,"AAAAAF7/e4E=")</f>
        <v>#REF!</v>
      </c>
      <c r="EA201" t="e">
        <f>AND(#REF!,"AAAAAF7/e4I=")</f>
        <v>#REF!</v>
      </c>
      <c r="EB201" t="e">
        <f>AND(#REF!,"AAAAAF7/e4M=")</f>
        <v>#REF!</v>
      </c>
      <c r="EC201" t="e">
        <f>AND(#REF!,"AAAAAF7/e4Q=")</f>
        <v>#REF!</v>
      </c>
      <c r="ED201" t="e">
        <f>AND(#REF!,"AAAAAF7/e4U=")</f>
        <v>#REF!</v>
      </c>
      <c r="EE201" t="e">
        <f>AND(#REF!,"AAAAAF7/e4Y=")</f>
        <v>#REF!</v>
      </c>
      <c r="EF201" t="e">
        <f>AND(#REF!,"AAAAAF7/e4c=")</f>
        <v>#REF!</v>
      </c>
      <c r="EG201" t="e">
        <f>AND(#REF!,"AAAAAF7/e4g=")</f>
        <v>#REF!</v>
      </c>
      <c r="EH201" t="e">
        <f>AND(#REF!,"AAAAAF7/e4k=")</f>
        <v>#REF!</v>
      </c>
      <c r="EI201" t="e">
        <f>AND(#REF!,"AAAAAF7/e4o=")</f>
        <v>#REF!</v>
      </c>
      <c r="EJ201" t="e">
        <f>AND(#REF!,"AAAAAF7/e4s=")</f>
        <v>#REF!</v>
      </c>
      <c r="EK201" t="e">
        <f>AND(#REF!,"AAAAAF7/e4w=")</f>
        <v>#REF!</v>
      </c>
      <c r="EL201" t="e">
        <f>AND(#REF!,"AAAAAF7/e40=")</f>
        <v>#REF!</v>
      </c>
      <c r="EM201" t="e">
        <f>AND(#REF!,"AAAAAF7/e44=")</f>
        <v>#REF!</v>
      </c>
      <c r="EN201" t="e">
        <f>AND(#REF!,"AAAAAF7/e48=")</f>
        <v>#REF!</v>
      </c>
      <c r="EO201" t="e">
        <f>AND(#REF!,"AAAAAF7/e5A=")</f>
        <v>#REF!</v>
      </c>
      <c r="EP201" t="e">
        <f>AND(#REF!,"AAAAAF7/e5E=")</f>
        <v>#REF!</v>
      </c>
      <c r="EQ201" t="e">
        <f>AND(#REF!,"AAAAAF7/e5I=")</f>
        <v>#REF!</v>
      </c>
      <c r="ER201" t="e">
        <f>AND(#REF!,"AAAAAF7/e5M=")</f>
        <v>#REF!</v>
      </c>
      <c r="ES201" t="e">
        <f>AND(#REF!,"AAAAAF7/e5Q=")</f>
        <v>#REF!</v>
      </c>
      <c r="ET201" t="e">
        <f>AND(#REF!,"AAAAAF7/e5U=")</f>
        <v>#REF!</v>
      </c>
      <c r="EU201" t="e">
        <f>AND(#REF!,"AAAAAF7/e5Y=")</f>
        <v>#REF!</v>
      </c>
      <c r="EV201" t="e">
        <f>AND(#REF!,"AAAAAF7/e5c=")</f>
        <v>#REF!</v>
      </c>
      <c r="EW201" t="e">
        <f>AND(#REF!,"AAAAAF7/e5g=")</f>
        <v>#REF!</v>
      </c>
      <c r="EX201" t="e">
        <f>AND(#REF!,"AAAAAF7/e5k=")</f>
        <v>#REF!</v>
      </c>
      <c r="EY201" t="e">
        <f>AND(#REF!,"AAAAAF7/e5o=")</f>
        <v>#REF!</v>
      </c>
      <c r="EZ201" t="e">
        <f>AND(#REF!,"AAAAAF7/e5s=")</f>
        <v>#REF!</v>
      </c>
      <c r="FA201" t="e">
        <f>AND(#REF!,"AAAAAF7/e5w=")</f>
        <v>#REF!</v>
      </c>
      <c r="FB201" t="e">
        <f>AND(#REF!,"AAAAAF7/e50=")</f>
        <v>#REF!</v>
      </c>
      <c r="FC201" t="e">
        <f>AND(#REF!,"AAAAAF7/e54=")</f>
        <v>#REF!</v>
      </c>
      <c r="FD201" t="e">
        <f>AND(#REF!,"AAAAAF7/e58=")</f>
        <v>#REF!</v>
      </c>
      <c r="FE201" t="e">
        <f>AND(#REF!,"AAAAAF7/e6A=")</f>
        <v>#REF!</v>
      </c>
      <c r="FF201" t="e">
        <f>AND(#REF!,"AAAAAF7/e6E=")</f>
        <v>#REF!</v>
      </c>
      <c r="FG201" t="e">
        <f>AND(#REF!,"AAAAAF7/e6I=")</f>
        <v>#REF!</v>
      </c>
      <c r="FH201" t="e">
        <f>AND(#REF!,"AAAAAF7/e6M=")</f>
        <v>#REF!</v>
      </c>
      <c r="FI201" t="e">
        <f>AND(#REF!,"AAAAAF7/e6Q=")</f>
        <v>#REF!</v>
      </c>
      <c r="FJ201" t="e">
        <f>AND(#REF!,"AAAAAF7/e6U=")</f>
        <v>#REF!</v>
      </c>
      <c r="FK201" t="e">
        <f>AND(#REF!,"AAAAAF7/e6Y=")</f>
        <v>#REF!</v>
      </c>
      <c r="FL201" t="e">
        <f>AND(#REF!,"AAAAAF7/e6c=")</f>
        <v>#REF!</v>
      </c>
      <c r="FM201" t="e">
        <f>AND(#REF!,"AAAAAF7/e6g=")</f>
        <v>#REF!</v>
      </c>
      <c r="FN201" t="e">
        <f>AND(#REF!,"AAAAAF7/e6k=")</f>
        <v>#REF!</v>
      </c>
      <c r="FO201" t="e">
        <f>AND(#REF!,"AAAAAF7/e6o=")</f>
        <v>#REF!</v>
      </c>
      <c r="FP201" t="e">
        <f>AND(#REF!,"AAAAAF7/e6s=")</f>
        <v>#REF!</v>
      </c>
      <c r="FQ201" t="e">
        <f>AND(#REF!,"AAAAAF7/e6w=")</f>
        <v>#REF!</v>
      </c>
      <c r="FR201" t="e">
        <f>AND(#REF!,"AAAAAF7/e60=")</f>
        <v>#REF!</v>
      </c>
      <c r="FS201" t="e">
        <f>AND(#REF!,"AAAAAF7/e64=")</f>
        <v>#REF!</v>
      </c>
      <c r="FT201" t="e">
        <f>AND(#REF!,"AAAAAF7/e68=")</f>
        <v>#REF!</v>
      </c>
      <c r="FU201" t="e">
        <f>AND(#REF!,"AAAAAF7/e7A=")</f>
        <v>#REF!</v>
      </c>
      <c r="FV201" t="e">
        <f>AND(#REF!,"AAAAAF7/e7E=")</f>
        <v>#REF!</v>
      </c>
      <c r="FW201" t="e">
        <f>AND(#REF!,"AAAAAF7/e7I=")</f>
        <v>#REF!</v>
      </c>
      <c r="FX201" t="e">
        <f>AND(#REF!,"AAAAAF7/e7M=")</f>
        <v>#REF!</v>
      </c>
      <c r="FY201" t="e">
        <f>AND(#REF!,"AAAAAF7/e7Q=")</f>
        <v>#REF!</v>
      </c>
      <c r="FZ201" t="e">
        <f>AND(#REF!,"AAAAAF7/e7U=")</f>
        <v>#REF!</v>
      </c>
      <c r="GA201" t="e">
        <f>AND(#REF!,"AAAAAF7/e7Y=")</f>
        <v>#REF!</v>
      </c>
      <c r="GB201" t="e">
        <f>AND(#REF!,"AAAAAF7/e7c=")</f>
        <v>#REF!</v>
      </c>
      <c r="GC201" t="e">
        <f>AND(#REF!,"AAAAAF7/e7g=")</f>
        <v>#REF!</v>
      </c>
      <c r="GD201" t="e">
        <f>AND(#REF!,"AAAAAF7/e7k=")</f>
        <v>#REF!</v>
      </c>
      <c r="GE201" t="e">
        <f>AND(#REF!,"AAAAAF7/e7o=")</f>
        <v>#REF!</v>
      </c>
      <c r="GF201" t="e">
        <f>AND(#REF!,"AAAAAF7/e7s=")</f>
        <v>#REF!</v>
      </c>
      <c r="GG201" t="e">
        <f>AND(#REF!,"AAAAAF7/e7w=")</f>
        <v>#REF!</v>
      </c>
      <c r="GH201" t="e">
        <f>AND(#REF!,"AAAAAF7/e70=")</f>
        <v>#REF!</v>
      </c>
      <c r="GI201" t="e">
        <f>AND(#REF!,"AAAAAF7/e74=")</f>
        <v>#REF!</v>
      </c>
      <c r="GJ201" t="e">
        <f>AND(#REF!,"AAAAAF7/e78=")</f>
        <v>#REF!</v>
      </c>
      <c r="GK201" t="e">
        <f>AND(#REF!,"AAAAAF7/e8A=")</f>
        <v>#REF!</v>
      </c>
      <c r="GL201" t="e">
        <f>AND(#REF!,"AAAAAF7/e8E=")</f>
        <v>#REF!</v>
      </c>
      <c r="GM201" t="e">
        <f>AND(#REF!,"AAAAAF7/e8I=")</f>
        <v>#REF!</v>
      </c>
      <c r="GN201" t="e">
        <f>AND(#REF!,"AAAAAF7/e8M=")</f>
        <v>#REF!</v>
      </c>
      <c r="GO201" t="e">
        <f>AND(#REF!,"AAAAAF7/e8Q=")</f>
        <v>#REF!</v>
      </c>
      <c r="GP201" t="e">
        <f>AND(#REF!,"AAAAAF7/e8U=")</f>
        <v>#REF!</v>
      </c>
      <c r="GQ201" t="e">
        <f>AND(#REF!,"AAAAAF7/e8Y=")</f>
        <v>#REF!</v>
      </c>
      <c r="GR201" t="e">
        <f>AND(#REF!,"AAAAAF7/e8c=")</f>
        <v>#REF!</v>
      </c>
      <c r="GS201" t="e">
        <f>AND(#REF!,"AAAAAF7/e8g=")</f>
        <v>#REF!</v>
      </c>
      <c r="GT201" t="e">
        <f>AND(#REF!,"AAAAAF7/e8k=")</f>
        <v>#REF!</v>
      </c>
      <c r="GU201" t="e">
        <f>AND(#REF!,"AAAAAF7/e8o=")</f>
        <v>#REF!</v>
      </c>
      <c r="GV201" t="e">
        <f>AND(#REF!,"AAAAAF7/e8s=")</f>
        <v>#REF!</v>
      </c>
      <c r="GW201" t="e">
        <f>AND(#REF!,"AAAAAF7/e8w=")</f>
        <v>#REF!</v>
      </c>
      <c r="GX201" t="e">
        <f>AND(#REF!,"AAAAAF7/e80=")</f>
        <v>#REF!</v>
      </c>
      <c r="GY201" t="e">
        <f>AND(#REF!,"AAAAAF7/e84=")</f>
        <v>#REF!</v>
      </c>
      <c r="GZ201" t="e">
        <f>AND(#REF!,"AAAAAF7/e88=")</f>
        <v>#REF!</v>
      </c>
      <c r="HA201" t="e">
        <f>AND(#REF!,"AAAAAF7/e9A=")</f>
        <v>#REF!</v>
      </c>
      <c r="HB201" t="e">
        <f>AND(#REF!,"AAAAAF7/e9E=")</f>
        <v>#REF!</v>
      </c>
      <c r="HC201" t="e">
        <f>AND(#REF!,"AAAAAF7/e9I=")</f>
        <v>#REF!</v>
      </c>
      <c r="HD201" t="e">
        <f>AND(#REF!,"AAAAAF7/e9M=")</f>
        <v>#REF!</v>
      </c>
      <c r="HE201" t="e">
        <f>AND(#REF!,"AAAAAF7/e9Q=")</f>
        <v>#REF!</v>
      </c>
      <c r="HF201" t="e">
        <f>AND(#REF!,"AAAAAF7/e9U=")</f>
        <v>#REF!</v>
      </c>
      <c r="HG201" t="e">
        <f>AND(#REF!,"AAAAAF7/e9Y=")</f>
        <v>#REF!</v>
      </c>
      <c r="HH201" t="e">
        <f>AND(#REF!,"AAAAAF7/e9c=")</f>
        <v>#REF!</v>
      </c>
      <c r="HI201" t="e">
        <f>AND(#REF!,"AAAAAF7/e9g=")</f>
        <v>#REF!</v>
      </c>
      <c r="HJ201" t="e">
        <f>AND(#REF!,"AAAAAF7/e9k=")</f>
        <v>#REF!</v>
      </c>
      <c r="HK201" t="e">
        <f>AND(#REF!,"AAAAAF7/e9o=")</f>
        <v>#REF!</v>
      </c>
      <c r="HL201" t="e">
        <f>AND(#REF!,"AAAAAF7/e9s=")</f>
        <v>#REF!</v>
      </c>
      <c r="HM201" t="e">
        <f>AND(#REF!,"AAAAAF7/e9w=")</f>
        <v>#REF!</v>
      </c>
      <c r="HN201" t="e">
        <f>AND(#REF!,"AAAAAF7/e90=")</f>
        <v>#REF!</v>
      </c>
      <c r="HO201" t="e">
        <f>AND(#REF!,"AAAAAF7/e94=")</f>
        <v>#REF!</v>
      </c>
      <c r="HP201" t="e">
        <f>AND(#REF!,"AAAAAF7/e98=")</f>
        <v>#REF!</v>
      </c>
      <c r="HQ201" t="e">
        <f>AND(#REF!,"AAAAAF7/e+A=")</f>
        <v>#REF!</v>
      </c>
      <c r="HR201" t="e">
        <f>AND(#REF!,"AAAAAF7/e+E=")</f>
        <v>#REF!</v>
      </c>
      <c r="HS201" t="e">
        <f>AND(#REF!,"AAAAAF7/e+I=")</f>
        <v>#REF!</v>
      </c>
      <c r="HT201" t="e">
        <f>AND(#REF!,"AAAAAF7/e+M=")</f>
        <v>#REF!</v>
      </c>
      <c r="HU201" t="e">
        <f>AND(#REF!,"AAAAAF7/e+Q=")</f>
        <v>#REF!</v>
      </c>
      <c r="HV201" t="e">
        <f>AND(#REF!,"AAAAAF7/e+U=")</f>
        <v>#REF!</v>
      </c>
      <c r="HW201" t="e">
        <f>AND(#REF!,"AAAAAF7/e+Y=")</f>
        <v>#REF!</v>
      </c>
      <c r="HX201" t="e">
        <f>AND(#REF!,"AAAAAF7/e+c=")</f>
        <v>#REF!</v>
      </c>
      <c r="HY201" t="e">
        <f>AND(#REF!,"AAAAAF7/e+g=")</f>
        <v>#REF!</v>
      </c>
      <c r="HZ201" t="e">
        <f>AND(#REF!,"AAAAAF7/e+k=")</f>
        <v>#REF!</v>
      </c>
      <c r="IA201" t="e">
        <f>AND(#REF!,"AAAAAF7/e+o=")</f>
        <v>#REF!</v>
      </c>
      <c r="IB201" t="e">
        <f>AND(#REF!,"AAAAAF7/e+s=")</f>
        <v>#REF!</v>
      </c>
      <c r="IC201" t="e">
        <f>AND(#REF!,"AAAAAF7/e+w=")</f>
        <v>#REF!</v>
      </c>
      <c r="ID201" t="e">
        <f>AND(#REF!,"AAAAAF7/e+0=")</f>
        <v>#REF!</v>
      </c>
      <c r="IE201" t="e">
        <f>AND(#REF!,"AAAAAF7/e+4=")</f>
        <v>#REF!</v>
      </c>
      <c r="IF201" t="e">
        <f>AND(#REF!,"AAAAAF7/e+8=")</f>
        <v>#REF!</v>
      </c>
      <c r="IG201" t="e">
        <f>AND(#REF!,"AAAAAF7/e/A=")</f>
        <v>#REF!</v>
      </c>
      <c r="IH201" t="e">
        <f>AND(#REF!,"AAAAAF7/e/E=")</f>
        <v>#REF!</v>
      </c>
      <c r="II201" t="e">
        <f>AND(#REF!,"AAAAAF7/e/I=")</f>
        <v>#REF!</v>
      </c>
      <c r="IJ201" t="e">
        <f>AND(#REF!,"AAAAAF7/e/M=")</f>
        <v>#REF!</v>
      </c>
      <c r="IK201" t="e">
        <f>AND(#REF!,"AAAAAF7/e/Q=")</f>
        <v>#REF!</v>
      </c>
      <c r="IL201" t="e">
        <f>AND(#REF!,"AAAAAF7/e/U=")</f>
        <v>#REF!</v>
      </c>
      <c r="IM201" t="e">
        <f>AND(#REF!,"AAAAAF7/e/Y=")</f>
        <v>#REF!</v>
      </c>
      <c r="IN201" t="e">
        <f>AND(#REF!,"AAAAAF7/e/c=")</f>
        <v>#REF!</v>
      </c>
      <c r="IO201" t="e">
        <f>AND(#REF!,"AAAAAF7/e/g=")</f>
        <v>#REF!</v>
      </c>
      <c r="IP201" t="e">
        <f>AND(#REF!,"AAAAAF7/e/k=")</f>
        <v>#REF!</v>
      </c>
      <c r="IQ201" t="e">
        <f>AND(#REF!,"AAAAAF7/e/o=")</f>
        <v>#REF!</v>
      </c>
      <c r="IR201" t="e">
        <f>AND(#REF!,"AAAAAF7/e/s=")</f>
        <v>#REF!</v>
      </c>
      <c r="IS201" t="e">
        <f>AND(#REF!,"AAAAAF7/e/w=")</f>
        <v>#REF!</v>
      </c>
      <c r="IT201" t="e">
        <f>AND(#REF!,"AAAAAF7/e/0=")</f>
        <v>#REF!</v>
      </c>
      <c r="IU201" t="e">
        <f>AND(#REF!,"AAAAAF7/e/4=")</f>
        <v>#REF!</v>
      </c>
      <c r="IV201" t="e">
        <f>AND(#REF!,"AAAAAF7/e/8=")</f>
        <v>#REF!</v>
      </c>
    </row>
    <row r="202" spans="1:256">
      <c r="A202" t="e">
        <f>AND(#REF!,"AAAAAG9++gA=")</f>
        <v>#REF!</v>
      </c>
      <c r="B202" t="e">
        <f>AND(#REF!,"AAAAAG9++gE=")</f>
        <v>#REF!</v>
      </c>
      <c r="C202" t="e">
        <f>AND(#REF!,"AAAAAG9++gI=")</f>
        <v>#REF!</v>
      </c>
      <c r="D202" t="e">
        <f>AND(#REF!,"AAAAAG9++gM=")</f>
        <v>#REF!</v>
      </c>
      <c r="E202" t="e">
        <f>AND(#REF!,"AAAAAG9++gQ=")</f>
        <v>#REF!</v>
      </c>
      <c r="F202" t="e">
        <f>AND(#REF!,"AAAAAG9++gU=")</f>
        <v>#REF!</v>
      </c>
      <c r="G202" t="e">
        <f>AND(#REF!,"AAAAAG9++gY=")</f>
        <v>#REF!</v>
      </c>
      <c r="H202" t="e">
        <f>AND(#REF!,"AAAAAG9++gc=")</f>
        <v>#REF!</v>
      </c>
      <c r="I202" t="e">
        <f>AND(#REF!,"AAAAAG9++gg=")</f>
        <v>#REF!</v>
      </c>
      <c r="J202" t="e">
        <f>AND(#REF!,"AAAAAG9++gk=")</f>
        <v>#REF!</v>
      </c>
      <c r="K202" t="e">
        <f>AND(#REF!,"AAAAAG9++go=")</f>
        <v>#REF!</v>
      </c>
      <c r="L202" t="e">
        <f>AND(#REF!,"AAAAAG9++gs=")</f>
        <v>#REF!</v>
      </c>
      <c r="M202" t="e">
        <f>AND(#REF!,"AAAAAG9++gw=")</f>
        <v>#REF!</v>
      </c>
      <c r="N202" t="e">
        <f>AND(#REF!,"AAAAAG9++g0=")</f>
        <v>#REF!</v>
      </c>
      <c r="O202" t="e">
        <f>IF(#REF!,"AAAAAG9++g4=",0)</f>
        <v>#REF!</v>
      </c>
      <c r="P202" t="e">
        <f>AND(#REF!,"AAAAAG9++g8=")</f>
        <v>#REF!</v>
      </c>
      <c r="Q202" t="e">
        <f>AND(#REF!,"AAAAAG9++hA=")</f>
        <v>#REF!</v>
      </c>
      <c r="R202" t="e">
        <f>AND(#REF!,"AAAAAG9++hE=")</f>
        <v>#REF!</v>
      </c>
      <c r="S202" t="e">
        <f>AND(#REF!,"AAAAAG9++hI=")</f>
        <v>#REF!</v>
      </c>
      <c r="T202" t="e">
        <f>AND(#REF!,"AAAAAG9++hM=")</f>
        <v>#REF!</v>
      </c>
      <c r="U202" t="e">
        <f>AND(#REF!,"AAAAAG9++hQ=")</f>
        <v>#REF!</v>
      </c>
      <c r="V202" t="e">
        <f>AND(#REF!,"AAAAAG9++hU=")</f>
        <v>#REF!</v>
      </c>
      <c r="W202" t="e">
        <f>AND(#REF!,"AAAAAG9++hY=")</f>
        <v>#REF!</v>
      </c>
      <c r="X202" t="e">
        <f>AND(#REF!,"AAAAAG9++hc=")</f>
        <v>#REF!</v>
      </c>
      <c r="Y202" t="e">
        <f>AND(#REF!,"AAAAAG9++hg=")</f>
        <v>#REF!</v>
      </c>
      <c r="Z202" t="e">
        <f>AND(#REF!,"AAAAAG9++hk=")</f>
        <v>#REF!</v>
      </c>
      <c r="AA202" t="e">
        <f>AND(#REF!,"AAAAAG9++ho=")</f>
        <v>#REF!</v>
      </c>
      <c r="AB202" t="e">
        <f>AND(#REF!,"AAAAAG9++hs=")</f>
        <v>#REF!</v>
      </c>
      <c r="AC202" t="e">
        <f>AND(#REF!,"AAAAAG9++hw=")</f>
        <v>#REF!</v>
      </c>
      <c r="AD202" t="e">
        <f>AND(#REF!,"AAAAAG9++h0=")</f>
        <v>#REF!</v>
      </c>
      <c r="AE202" t="e">
        <f>AND(#REF!,"AAAAAG9++h4=")</f>
        <v>#REF!</v>
      </c>
      <c r="AF202" t="e">
        <f>AND(#REF!,"AAAAAG9++h8=")</f>
        <v>#REF!</v>
      </c>
      <c r="AG202" t="e">
        <f>AND(#REF!,"AAAAAG9++iA=")</f>
        <v>#REF!</v>
      </c>
      <c r="AH202" t="e">
        <f>AND(#REF!,"AAAAAG9++iE=")</f>
        <v>#REF!</v>
      </c>
      <c r="AI202" t="e">
        <f>AND(#REF!,"AAAAAG9++iI=")</f>
        <v>#REF!</v>
      </c>
      <c r="AJ202" t="e">
        <f>AND(#REF!,"AAAAAG9++iM=")</f>
        <v>#REF!</v>
      </c>
      <c r="AK202" t="e">
        <f>AND(#REF!,"AAAAAG9++iQ=")</f>
        <v>#REF!</v>
      </c>
      <c r="AL202" t="e">
        <f>AND(#REF!,"AAAAAG9++iU=")</f>
        <v>#REF!</v>
      </c>
      <c r="AM202" t="e">
        <f>AND(#REF!,"AAAAAG9++iY=")</f>
        <v>#REF!</v>
      </c>
      <c r="AN202" t="e">
        <f>AND(#REF!,"AAAAAG9++ic=")</f>
        <v>#REF!</v>
      </c>
      <c r="AO202" t="e">
        <f>AND(#REF!,"AAAAAG9++ig=")</f>
        <v>#REF!</v>
      </c>
      <c r="AP202" t="e">
        <f>AND(#REF!,"AAAAAG9++ik=")</f>
        <v>#REF!</v>
      </c>
      <c r="AQ202" t="e">
        <f>AND(#REF!,"AAAAAG9++io=")</f>
        <v>#REF!</v>
      </c>
      <c r="AR202" t="e">
        <f>AND(#REF!,"AAAAAG9++is=")</f>
        <v>#REF!</v>
      </c>
      <c r="AS202" t="e">
        <f>AND(#REF!,"AAAAAG9++iw=")</f>
        <v>#REF!</v>
      </c>
      <c r="AT202" t="e">
        <f>AND(#REF!,"AAAAAG9++i0=")</f>
        <v>#REF!</v>
      </c>
      <c r="AU202" t="e">
        <f>AND(#REF!,"AAAAAG9++i4=")</f>
        <v>#REF!</v>
      </c>
      <c r="AV202" t="e">
        <f>AND(#REF!,"AAAAAG9++i8=")</f>
        <v>#REF!</v>
      </c>
      <c r="AW202" t="e">
        <f>AND(#REF!,"AAAAAG9++jA=")</f>
        <v>#REF!</v>
      </c>
      <c r="AX202" t="e">
        <f>AND(#REF!,"AAAAAG9++jE=")</f>
        <v>#REF!</v>
      </c>
      <c r="AY202" t="e">
        <f>AND(#REF!,"AAAAAG9++jI=")</f>
        <v>#REF!</v>
      </c>
      <c r="AZ202" t="e">
        <f>AND(#REF!,"AAAAAG9++jM=")</f>
        <v>#REF!</v>
      </c>
      <c r="BA202" t="e">
        <f>AND(#REF!,"AAAAAG9++jQ=")</f>
        <v>#REF!</v>
      </c>
      <c r="BB202" t="e">
        <f>AND(#REF!,"AAAAAG9++jU=")</f>
        <v>#REF!</v>
      </c>
      <c r="BC202" t="e">
        <f>AND(#REF!,"AAAAAG9++jY=")</f>
        <v>#REF!</v>
      </c>
      <c r="BD202" t="e">
        <f>AND(#REF!,"AAAAAG9++jc=")</f>
        <v>#REF!</v>
      </c>
      <c r="BE202" t="e">
        <f>AND(#REF!,"AAAAAG9++jg=")</f>
        <v>#REF!</v>
      </c>
      <c r="BF202" t="e">
        <f>AND(#REF!,"AAAAAG9++jk=")</f>
        <v>#REF!</v>
      </c>
      <c r="BG202" t="e">
        <f>AND(#REF!,"AAAAAG9++jo=")</f>
        <v>#REF!</v>
      </c>
      <c r="BH202" t="e">
        <f>AND(#REF!,"AAAAAG9++js=")</f>
        <v>#REF!</v>
      </c>
      <c r="BI202" t="e">
        <f>AND(#REF!,"AAAAAG9++jw=")</f>
        <v>#REF!</v>
      </c>
      <c r="BJ202" t="e">
        <f>AND(#REF!,"AAAAAG9++j0=")</f>
        <v>#REF!</v>
      </c>
      <c r="BK202" t="e">
        <f>AND(#REF!,"AAAAAG9++j4=")</f>
        <v>#REF!</v>
      </c>
      <c r="BL202" t="e">
        <f>AND(#REF!,"AAAAAG9++j8=")</f>
        <v>#REF!</v>
      </c>
      <c r="BM202" t="e">
        <f>AND(#REF!,"AAAAAG9++kA=")</f>
        <v>#REF!</v>
      </c>
      <c r="BN202" t="e">
        <f>AND(#REF!,"AAAAAG9++kE=")</f>
        <v>#REF!</v>
      </c>
      <c r="BO202" t="e">
        <f>AND(#REF!,"AAAAAG9++kI=")</f>
        <v>#REF!</v>
      </c>
      <c r="BP202" t="e">
        <f>AND(#REF!,"AAAAAG9++kM=")</f>
        <v>#REF!</v>
      </c>
      <c r="BQ202" t="e">
        <f>AND(#REF!,"AAAAAG9++kQ=")</f>
        <v>#REF!</v>
      </c>
      <c r="BR202" t="e">
        <f>AND(#REF!,"AAAAAG9++kU=")</f>
        <v>#REF!</v>
      </c>
      <c r="BS202" t="e">
        <f>AND(#REF!,"AAAAAG9++kY=")</f>
        <v>#REF!</v>
      </c>
      <c r="BT202" t="e">
        <f>AND(#REF!,"AAAAAG9++kc=")</f>
        <v>#REF!</v>
      </c>
      <c r="BU202" t="e">
        <f>AND(#REF!,"AAAAAG9++kg=")</f>
        <v>#REF!</v>
      </c>
      <c r="BV202" t="e">
        <f>AND(#REF!,"AAAAAG9++kk=")</f>
        <v>#REF!</v>
      </c>
      <c r="BW202" t="e">
        <f>AND(#REF!,"AAAAAG9++ko=")</f>
        <v>#REF!</v>
      </c>
      <c r="BX202" t="e">
        <f>AND(#REF!,"AAAAAG9++ks=")</f>
        <v>#REF!</v>
      </c>
      <c r="BY202" t="e">
        <f>AND(#REF!,"AAAAAG9++kw=")</f>
        <v>#REF!</v>
      </c>
      <c r="BZ202" t="e">
        <f>AND(#REF!,"AAAAAG9++k0=")</f>
        <v>#REF!</v>
      </c>
      <c r="CA202" t="e">
        <f>AND(#REF!,"AAAAAG9++k4=")</f>
        <v>#REF!</v>
      </c>
      <c r="CB202" t="e">
        <f>AND(#REF!,"AAAAAG9++k8=")</f>
        <v>#REF!</v>
      </c>
      <c r="CC202" t="e">
        <f>AND(#REF!,"AAAAAG9++lA=")</f>
        <v>#REF!</v>
      </c>
      <c r="CD202" t="e">
        <f>AND(#REF!,"AAAAAG9++lE=")</f>
        <v>#REF!</v>
      </c>
      <c r="CE202" t="e">
        <f>AND(#REF!,"AAAAAG9++lI=")</f>
        <v>#REF!</v>
      </c>
      <c r="CF202" t="e">
        <f>AND(#REF!,"AAAAAG9++lM=")</f>
        <v>#REF!</v>
      </c>
      <c r="CG202" t="e">
        <f>AND(#REF!,"AAAAAG9++lQ=")</f>
        <v>#REF!</v>
      </c>
      <c r="CH202" t="e">
        <f>AND(#REF!,"AAAAAG9++lU=")</f>
        <v>#REF!</v>
      </c>
      <c r="CI202" t="e">
        <f>AND(#REF!,"AAAAAG9++lY=")</f>
        <v>#REF!</v>
      </c>
      <c r="CJ202" t="e">
        <f>AND(#REF!,"AAAAAG9++lc=")</f>
        <v>#REF!</v>
      </c>
      <c r="CK202" t="e">
        <f>AND(#REF!,"AAAAAG9++lg=")</f>
        <v>#REF!</v>
      </c>
      <c r="CL202" t="e">
        <f>AND(#REF!,"AAAAAG9++lk=")</f>
        <v>#REF!</v>
      </c>
      <c r="CM202" t="e">
        <f>AND(#REF!,"AAAAAG9++lo=")</f>
        <v>#REF!</v>
      </c>
      <c r="CN202" t="e">
        <f>AND(#REF!,"AAAAAG9++ls=")</f>
        <v>#REF!</v>
      </c>
      <c r="CO202" t="e">
        <f>AND(#REF!,"AAAAAG9++lw=")</f>
        <v>#REF!</v>
      </c>
      <c r="CP202" t="e">
        <f>AND(#REF!,"AAAAAG9++l0=")</f>
        <v>#REF!</v>
      </c>
      <c r="CQ202" t="e">
        <f>AND(#REF!,"AAAAAG9++l4=")</f>
        <v>#REF!</v>
      </c>
      <c r="CR202" t="e">
        <f>AND(#REF!,"AAAAAG9++l8=")</f>
        <v>#REF!</v>
      </c>
      <c r="CS202" t="e">
        <f>AND(#REF!,"AAAAAG9++mA=")</f>
        <v>#REF!</v>
      </c>
      <c r="CT202" t="e">
        <f>AND(#REF!,"AAAAAG9++mE=")</f>
        <v>#REF!</v>
      </c>
      <c r="CU202" t="e">
        <f>AND(#REF!,"AAAAAG9++mI=")</f>
        <v>#REF!</v>
      </c>
      <c r="CV202" t="e">
        <f>AND(#REF!,"AAAAAG9++mM=")</f>
        <v>#REF!</v>
      </c>
      <c r="CW202" t="e">
        <f>AND(#REF!,"AAAAAG9++mQ=")</f>
        <v>#REF!</v>
      </c>
      <c r="CX202" t="e">
        <f>AND(#REF!,"AAAAAG9++mU=")</f>
        <v>#REF!</v>
      </c>
      <c r="CY202" t="e">
        <f>AND(#REF!,"AAAAAG9++mY=")</f>
        <v>#REF!</v>
      </c>
      <c r="CZ202" t="e">
        <f>AND(#REF!,"AAAAAG9++mc=")</f>
        <v>#REF!</v>
      </c>
      <c r="DA202" t="e">
        <f>AND(#REF!,"AAAAAG9++mg=")</f>
        <v>#REF!</v>
      </c>
      <c r="DB202" t="e">
        <f>AND(#REF!,"AAAAAG9++mk=")</f>
        <v>#REF!</v>
      </c>
      <c r="DC202" t="e">
        <f>AND(#REF!,"AAAAAG9++mo=")</f>
        <v>#REF!</v>
      </c>
      <c r="DD202" t="e">
        <f>AND(#REF!,"AAAAAG9++ms=")</f>
        <v>#REF!</v>
      </c>
      <c r="DE202" t="e">
        <f>AND(#REF!,"AAAAAG9++mw=")</f>
        <v>#REF!</v>
      </c>
      <c r="DF202" t="e">
        <f>AND(#REF!,"AAAAAG9++m0=")</f>
        <v>#REF!</v>
      </c>
      <c r="DG202" t="e">
        <f>AND(#REF!,"AAAAAG9++m4=")</f>
        <v>#REF!</v>
      </c>
      <c r="DH202" t="e">
        <f>AND(#REF!,"AAAAAG9++m8=")</f>
        <v>#REF!</v>
      </c>
      <c r="DI202" t="e">
        <f>AND(#REF!,"AAAAAG9++nA=")</f>
        <v>#REF!</v>
      </c>
      <c r="DJ202" t="e">
        <f>AND(#REF!,"AAAAAG9++nE=")</f>
        <v>#REF!</v>
      </c>
      <c r="DK202" t="e">
        <f>AND(#REF!,"AAAAAG9++nI=")</f>
        <v>#REF!</v>
      </c>
      <c r="DL202" t="e">
        <f>AND(#REF!,"AAAAAG9++nM=")</f>
        <v>#REF!</v>
      </c>
      <c r="DM202" t="e">
        <f>AND(#REF!,"AAAAAG9++nQ=")</f>
        <v>#REF!</v>
      </c>
      <c r="DN202" t="e">
        <f>AND(#REF!,"AAAAAG9++nU=")</f>
        <v>#REF!</v>
      </c>
      <c r="DO202" t="e">
        <f>AND(#REF!,"AAAAAG9++nY=")</f>
        <v>#REF!</v>
      </c>
      <c r="DP202" t="e">
        <f>AND(#REF!,"AAAAAG9++nc=")</f>
        <v>#REF!</v>
      </c>
      <c r="DQ202" t="e">
        <f>AND(#REF!,"AAAAAG9++ng=")</f>
        <v>#REF!</v>
      </c>
      <c r="DR202" t="e">
        <f>AND(#REF!,"AAAAAG9++nk=")</f>
        <v>#REF!</v>
      </c>
      <c r="DS202" t="e">
        <f>AND(#REF!,"AAAAAG9++no=")</f>
        <v>#REF!</v>
      </c>
      <c r="DT202" t="e">
        <f>AND(#REF!,"AAAAAG9++ns=")</f>
        <v>#REF!</v>
      </c>
      <c r="DU202" t="e">
        <f>AND(#REF!,"AAAAAG9++nw=")</f>
        <v>#REF!</v>
      </c>
      <c r="DV202" t="e">
        <f>AND(#REF!,"AAAAAG9++n0=")</f>
        <v>#REF!</v>
      </c>
      <c r="DW202" t="e">
        <f>AND(#REF!,"AAAAAG9++n4=")</f>
        <v>#REF!</v>
      </c>
      <c r="DX202" t="e">
        <f>AND(#REF!,"AAAAAG9++n8=")</f>
        <v>#REF!</v>
      </c>
      <c r="DY202" t="e">
        <f>AND(#REF!,"AAAAAG9++oA=")</f>
        <v>#REF!</v>
      </c>
      <c r="DZ202" t="e">
        <f>AND(#REF!,"AAAAAG9++oE=")</f>
        <v>#REF!</v>
      </c>
      <c r="EA202" t="e">
        <f>AND(#REF!,"AAAAAG9++oI=")</f>
        <v>#REF!</v>
      </c>
      <c r="EB202" t="e">
        <f>AND(#REF!,"AAAAAG9++oM=")</f>
        <v>#REF!</v>
      </c>
      <c r="EC202" t="e">
        <f>AND(#REF!,"AAAAAG9++oQ=")</f>
        <v>#REF!</v>
      </c>
      <c r="ED202" t="e">
        <f>AND(#REF!,"AAAAAG9++oU=")</f>
        <v>#REF!</v>
      </c>
      <c r="EE202" t="e">
        <f>AND(#REF!,"AAAAAG9++oY=")</f>
        <v>#REF!</v>
      </c>
      <c r="EF202" t="e">
        <f>AND(#REF!,"AAAAAG9++oc=")</f>
        <v>#REF!</v>
      </c>
      <c r="EG202" t="e">
        <f>AND(#REF!,"AAAAAG9++og=")</f>
        <v>#REF!</v>
      </c>
      <c r="EH202" t="e">
        <f>AND(#REF!,"AAAAAG9++ok=")</f>
        <v>#REF!</v>
      </c>
      <c r="EI202" t="e">
        <f>AND(#REF!,"AAAAAG9++oo=")</f>
        <v>#REF!</v>
      </c>
      <c r="EJ202" t="e">
        <f>AND(#REF!,"AAAAAG9++os=")</f>
        <v>#REF!</v>
      </c>
      <c r="EK202" t="e">
        <f>AND(#REF!,"AAAAAG9++ow=")</f>
        <v>#REF!</v>
      </c>
      <c r="EL202" t="e">
        <f>AND(#REF!,"AAAAAG9++o0=")</f>
        <v>#REF!</v>
      </c>
      <c r="EM202" t="e">
        <f>AND(#REF!,"AAAAAG9++o4=")</f>
        <v>#REF!</v>
      </c>
      <c r="EN202" t="e">
        <f>AND(#REF!,"AAAAAG9++o8=")</f>
        <v>#REF!</v>
      </c>
      <c r="EO202" t="e">
        <f>AND(#REF!,"AAAAAG9++pA=")</f>
        <v>#REF!</v>
      </c>
      <c r="EP202" t="e">
        <f>AND(#REF!,"AAAAAG9++pE=")</f>
        <v>#REF!</v>
      </c>
      <c r="EQ202" t="e">
        <f>AND(#REF!,"AAAAAG9++pI=")</f>
        <v>#REF!</v>
      </c>
      <c r="ER202" t="e">
        <f>AND(#REF!,"AAAAAG9++pM=")</f>
        <v>#REF!</v>
      </c>
      <c r="ES202" t="e">
        <f>AND(#REF!,"AAAAAG9++pQ=")</f>
        <v>#REF!</v>
      </c>
      <c r="ET202" t="e">
        <f>AND(#REF!,"AAAAAG9++pU=")</f>
        <v>#REF!</v>
      </c>
      <c r="EU202" t="e">
        <f>AND(#REF!,"AAAAAG9++pY=")</f>
        <v>#REF!</v>
      </c>
      <c r="EV202" t="e">
        <f>AND(#REF!,"AAAAAG9++pc=")</f>
        <v>#REF!</v>
      </c>
      <c r="EW202" t="e">
        <f>AND(#REF!,"AAAAAG9++pg=")</f>
        <v>#REF!</v>
      </c>
      <c r="EX202" t="e">
        <f>AND(#REF!,"AAAAAG9++pk=")</f>
        <v>#REF!</v>
      </c>
      <c r="EY202" t="e">
        <f>AND(#REF!,"AAAAAG9++po=")</f>
        <v>#REF!</v>
      </c>
      <c r="EZ202" t="e">
        <f>AND(#REF!,"AAAAAG9++ps=")</f>
        <v>#REF!</v>
      </c>
      <c r="FA202" t="e">
        <f>AND(#REF!,"AAAAAG9++pw=")</f>
        <v>#REF!</v>
      </c>
      <c r="FB202" t="e">
        <f>AND(#REF!,"AAAAAG9++p0=")</f>
        <v>#REF!</v>
      </c>
      <c r="FC202" t="e">
        <f>AND(#REF!,"AAAAAG9++p4=")</f>
        <v>#REF!</v>
      </c>
      <c r="FD202" t="e">
        <f>AND(#REF!,"AAAAAG9++p8=")</f>
        <v>#REF!</v>
      </c>
      <c r="FE202" t="e">
        <f>AND(#REF!,"AAAAAG9++qA=")</f>
        <v>#REF!</v>
      </c>
      <c r="FF202" t="e">
        <f>AND(#REF!,"AAAAAG9++qE=")</f>
        <v>#REF!</v>
      </c>
      <c r="FG202" t="e">
        <f>AND(#REF!,"AAAAAG9++qI=")</f>
        <v>#REF!</v>
      </c>
      <c r="FH202" t="e">
        <f>AND(#REF!,"AAAAAG9++qM=")</f>
        <v>#REF!</v>
      </c>
      <c r="FI202" t="e">
        <f>AND(#REF!,"AAAAAG9++qQ=")</f>
        <v>#REF!</v>
      </c>
      <c r="FJ202" t="e">
        <f>AND(#REF!,"AAAAAG9++qU=")</f>
        <v>#REF!</v>
      </c>
      <c r="FK202" t="e">
        <f>AND(#REF!,"AAAAAG9++qY=")</f>
        <v>#REF!</v>
      </c>
      <c r="FL202" t="e">
        <f>AND(#REF!,"AAAAAG9++qc=")</f>
        <v>#REF!</v>
      </c>
      <c r="FM202" t="e">
        <f>AND(#REF!,"AAAAAG9++qg=")</f>
        <v>#REF!</v>
      </c>
      <c r="FN202" t="e">
        <f>AND(#REF!,"AAAAAG9++qk=")</f>
        <v>#REF!</v>
      </c>
      <c r="FO202" t="e">
        <f>AND(#REF!,"AAAAAG9++qo=")</f>
        <v>#REF!</v>
      </c>
      <c r="FP202" t="e">
        <f>AND(#REF!,"AAAAAG9++qs=")</f>
        <v>#REF!</v>
      </c>
      <c r="FQ202" t="e">
        <f>AND(#REF!,"AAAAAG9++qw=")</f>
        <v>#REF!</v>
      </c>
      <c r="FR202" t="e">
        <f>AND(#REF!,"AAAAAG9++q0=")</f>
        <v>#REF!</v>
      </c>
      <c r="FS202" t="e">
        <f>AND(#REF!,"AAAAAG9++q4=")</f>
        <v>#REF!</v>
      </c>
      <c r="FT202" t="e">
        <f>AND(#REF!,"AAAAAG9++q8=")</f>
        <v>#REF!</v>
      </c>
      <c r="FU202" t="e">
        <f>AND(#REF!,"AAAAAG9++rA=")</f>
        <v>#REF!</v>
      </c>
      <c r="FV202" t="e">
        <f>AND(#REF!,"AAAAAG9++rE=")</f>
        <v>#REF!</v>
      </c>
      <c r="FW202" t="e">
        <f>AND(#REF!,"AAAAAG9++rI=")</f>
        <v>#REF!</v>
      </c>
      <c r="FX202" t="e">
        <f>AND(#REF!,"AAAAAG9++rM=")</f>
        <v>#REF!</v>
      </c>
      <c r="FY202" t="e">
        <f>AND(#REF!,"AAAAAG9++rQ=")</f>
        <v>#REF!</v>
      </c>
      <c r="FZ202" t="e">
        <f>AND(#REF!,"AAAAAG9++rU=")</f>
        <v>#REF!</v>
      </c>
      <c r="GA202" t="e">
        <f>AND(#REF!,"AAAAAG9++rY=")</f>
        <v>#REF!</v>
      </c>
      <c r="GB202" t="e">
        <f>AND(#REF!,"AAAAAG9++rc=")</f>
        <v>#REF!</v>
      </c>
      <c r="GC202" t="e">
        <f>AND(#REF!,"AAAAAG9++rg=")</f>
        <v>#REF!</v>
      </c>
      <c r="GD202" t="e">
        <f>AND(#REF!,"AAAAAG9++rk=")</f>
        <v>#REF!</v>
      </c>
      <c r="GE202" t="e">
        <f>AND(#REF!,"AAAAAG9++ro=")</f>
        <v>#REF!</v>
      </c>
      <c r="GF202" t="e">
        <f>AND(#REF!,"AAAAAG9++rs=")</f>
        <v>#REF!</v>
      </c>
      <c r="GG202" t="e">
        <f>AND(#REF!,"AAAAAG9++rw=")</f>
        <v>#REF!</v>
      </c>
      <c r="GH202" t="e">
        <f>AND(#REF!,"AAAAAG9++r0=")</f>
        <v>#REF!</v>
      </c>
      <c r="GI202" t="e">
        <f>AND(#REF!,"AAAAAG9++r4=")</f>
        <v>#REF!</v>
      </c>
      <c r="GJ202" t="e">
        <f>AND(#REF!,"AAAAAG9++r8=")</f>
        <v>#REF!</v>
      </c>
      <c r="GK202" t="e">
        <f>AND(#REF!,"AAAAAG9++sA=")</f>
        <v>#REF!</v>
      </c>
      <c r="GL202" t="e">
        <f>AND(#REF!,"AAAAAG9++sE=")</f>
        <v>#REF!</v>
      </c>
      <c r="GM202" t="e">
        <f>AND(#REF!,"AAAAAG9++sI=")</f>
        <v>#REF!</v>
      </c>
      <c r="GN202" t="e">
        <f>AND(#REF!,"AAAAAG9++sM=")</f>
        <v>#REF!</v>
      </c>
      <c r="GO202" t="e">
        <f>AND(#REF!,"AAAAAG9++sQ=")</f>
        <v>#REF!</v>
      </c>
      <c r="GP202" t="e">
        <f>AND(#REF!,"AAAAAG9++sU=")</f>
        <v>#REF!</v>
      </c>
      <c r="GQ202" t="e">
        <f>AND(#REF!,"AAAAAG9++sY=")</f>
        <v>#REF!</v>
      </c>
      <c r="GR202" t="e">
        <f>AND(#REF!,"AAAAAG9++sc=")</f>
        <v>#REF!</v>
      </c>
      <c r="GS202" t="e">
        <f>AND(#REF!,"AAAAAG9++sg=")</f>
        <v>#REF!</v>
      </c>
      <c r="GT202" t="e">
        <f>AND(#REF!,"AAAAAG9++sk=")</f>
        <v>#REF!</v>
      </c>
      <c r="GU202" t="e">
        <f>AND(#REF!,"AAAAAG9++so=")</f>
        <v>#REF!</v>
      </c>
      <c r="GV202" t="e">
        <f>AND(#REF!,"AAAAAG9++ss=")</f>
        <v>#REF!</v>
      </c>
      <c r="GW202" t="e">
        <f>AND(#REF!,"AAAAAG9++sw=")</f>
        <v>#REF!</v>
      </c>
      <c r="GX202" t="e">
        <f>AND(#REF!,"AAAAAG9++s0=")</f>
        <v>#REF!</v>
      </c>
      <c r="GY202" t="e">
        <f>AND(#REF!,"AAAAAG9++s4=")</f>
        <v>#REF!</v>
      </c>
      <c r="GZ202" t="e">
        <f>AND(#REF!,"AAAAAG9++s8=")</f>
        <v>#REF!</v>
      </c>
      <c r="HA202" t="e">
        <f>AND(#REF!,"AAAAAG9++tA=")</f>
        <v>#REF!</v>
      </c>
      <c r="HB202" t="e">
        <f>AND(#REF!,"AAAAAG9++tE=")</f>
        <v>#REF!</v>
      </c>
      <c r="HC202" t="e">
        <f>AND(#REF!,"AAAAAG9++tI=")</f>
        <v>#REF!</v>
      </c>
      <c r="HD202" t="e">
        <f>AND(#REF!,"AAAAAG9++tM=")</f>
        <v>#REF!</v>
      </c>
      <c r="HE202" t="e">
        <f>AND(#REF!,"AAAAAG9++tQ=")</f>
        <v>#REF!</v>
      </c>
      <c r="HF202" t="e">
        <f>AND(#REF!,"AAAAAG9++tU=")</f>
        <v>#REF!</v>
      </c>
      <c r="HG202" t="e">
        <f>AND(#REF!,"AAAAAG9++tY=")</f>
        <v>#REF!</v>
      </c>
      <c r="HH202" t="e">
        <f>AND(#REF!,"AAAAAG9++tc=")</f>
        <v>#REF!</v>
      </c>
      <c r="HI202" t="e">
        <f>AND(#REF!,"AAAAAG9++tg=")</f>
        <v>#REF!</v>
      </c>
      <c r="HJ202" t="e">
        <f>AND(#REF!,"AAAAAG9++tk=")</f>
        <v>#REF!</v>
      </c>
      <c r="HK202" t="e">
        <f>AND(#REF!,"AAAAAG9++to=")</f>
        <v>#REF!</v>
      </c>
      <c r="HL202" t="e">
        <f>AND(#REF!,"AAAAAG9++ts=")</f>
        <v>#REF!</v>
      </c>
      <c r="HM202" t="e">
        <f>AND(#REF!,"AAAAAG9++tw=")</f>
        <v>#REF!</v>
      </c>
      <c r="HN202" t="e">
        <f>AND(#REF!,"AAAAAG9++t0=")</f>
        <v>#REF!</v>
      </c>
      <c r="HO202" t="e">
        <f>AND(#REF!,"AAAAAG9++t4=")</f>
        <v>#REF!</v>
      </c>
      <c r="HP202" t="e">
        <f>AND(#REF!,"AAAAAG9++t8=")</f>
        <v>#REF!</v>
      </c>
      <c r="HQ202" t="e">
        <f>AND(#REF!,"AAAAAG9++uA=")</f>
        <v>#REF!</v>
      </c>
      <c r="HR202" t="e">
        <f>AND(#REF!,"AAAAAG9++uE=")</f>
        <v>#REF!</v>
      </c>
      <c r="HS202" t="e">
        <f>AND(#REF!,"AAAAAG9++uI=")</f>
        <v>#REF!</v>
      </c>
      <c r="HT202" t="e">
        <f>AND(#REF!,"AAAAAG9++uM=")</f>
        <v>#REF!</v>
      </c>
      <c r="HU202" t="e">
        <f>AND(#REF!,"AAAAAG9++uQ=")</f>
        <v>#REF!</v>
      </c>
      <c r="HV202" t="e">
        <f>AND(#REF!,"AAAAAG9++uU=")</f>
        <v>#REF!</v>
      </c>
      <c r="HW202" t="e">
        <f>AND(#REF!,"AAAAAG9++uY=")</f>
        <v>#REF!</v>
      </c>
      <c r="HX202" t="e">
        <f>AND(#REF!,"AAAAAG9++uc=")</f>
        <v>#REF!</v>
      </c>
      <c r="HY202" t="e">
        <f>AND(#REF!,"AAAAAG9++ug=")</f>
        <v>#REF!</v>
      </c>
      <c r="HZ202" t="e">
        <f>AND(#REF!,"AAAAAG9++uk=")</f>
        <v>#REF!</v>
      </c>
      <c r="IA202" t="e">
        <f>AND(#REF!,"AAAAAG9++uo=")</f>
        <v>#REF!</v>
      </c>
      <c r="IB202" t="e">
        <f>AND(#REF!,"AAAAAG9++us=")</f>
        <v>#REF!</v>
      </c>
      <c r="IC202" t="e">
        <f>AND(#REF!,"AAAAAG9++uw=")</f>
        <v>#REF!</v>
      </c>
      <c r="ID202" t="e">
        <f>AND(#REF!,"AAAAAG9++u0=")</f>
        <v>#REF!</v>
      </c>
      <c r="IE202" t="e">
        <f>AND(#REF!,"AAAAAG9++u4=")</f>
        <v>#REF!</v>
      </c>
      <c r="IF202" t="e">
        <f>AND(#REF!,"AAAAAG9++u8=")</f>
        <v>#REF!</v>
      </c>
      <c r="IG202" t="e">
        <f>AND(#REF!,"AAAAAG9++vA=")</f>
        <v>#REF!</v>
      </c>
      <c r="IH202" t="e">
        <f>AND(#REF!,"AAAAAG9++vE=")</f>
        <v>#REF!</v>
      </c>
      <c r="II202" t="e">
        <f>IF(#REF!,"AAAAAG9++vI=",0)</f>
        <v>#REF!</v>
      </c>
      <c r="IJ202" t="e">
        <f>AND(#REF!,"AAAAAG9++vM=")</f>
        <v>#REF!</v>
      </c>
      <c r="IK202" t="e">
        <f>AND(#REF!,"AAAAAG9++vQ=")</f>
        <v>#REF!</v>
      </c>
      <c r="IL202" t="e">
        <f>AND(#REF!,"AAAAAG9++vU=")</f>
        <v>#REF!</v>
      </c>
      <c r="IM202" t="e">
        <f>AND(#REF!,"AAAAAG9++vY=")</f>
        <v>#REF!</v>
      </c>
      <c r="IN202" t="e">
        <f>AND(#REF!,"AAAAAG9++vc=")</f>
        <v>#REF!</v>
      </c>
      <c r="IO202" t="e">
        <f>AND(#REF!,"AAAAAG9++vg=")</f>
        <v>#REF!</v>
      </c>
      <c r="IP202" t="e">
        <f>AND(#REF!,"AAAAAG9++vk=")</f>
        <v>#REF!</v>
      </c>
      <c r="IQ202" t="e">
        <f>AND(#REF!,"AAAAAG9++vo=")</f>
        <v>#REF!</v>
      </c>
      <c r="IR202" t="e">
        <f>AND(#REF!,"AAAAAG9++vs=")</f>
        <v>#REF!</v>
      </c>
      <c r="IS202" t="e">
        <f>AND(#REF!,"AAAAAG9++vw=")</f>
        <v>#REF!</v>
      </c>
      <c r="IT202" t="e">
        <f>AND(#REF!,"AAAAAG9++v0=")</f>
        <v>#REF!</v>
      </c>
      <c r="IU202" t="e">
        <f>AND(#REF!,"AAAAAG9++v4=")</f>
        <v>#REF!</v>
      </c>
      <c r="IV202" t="e">
        <f>AND(#REF!,"AAAAAG9++v8=")</f>
        <v>#REF!</v>
      </c>
    </row>
    <row r="203" spans="1:256">
      <c r="A203" t="e">
        <f>AND(#REF!,"AAAAAHr7fgA=")</f>
        <v>#REF!</v>
      </c>
      <c r="B203" t="e">
        <f>AND(#REF!,"AAAAAHr7fgE=")</f>
        <v>#REF!</v>
      </c>
      <c r="C203" t="e">
        <f>AND(#REF!,"AAAAAHr7fgI=")</f>
        <v>#REF!</v>
      </c>
      <c r="D203" t="e">
        <f>AND(#REF!,"AAAAAHr7fgM=")</f>
        <v>#REF!</v>
      </c>
      <c r="E203" t="e">
        <f>AND(#REF!,"AAAAAHr7fgQ=")</f>
        <v>#REF!</v>
      </c>
      <c r="F203" t="e">
        <f>AND(#REF!,"AAAAAHr7fgU=")</f>
        <v>#REF!</v>
      </c>
      <c r="G203" t="e">
        <f>AND(#REF!,"AAAAAHr7fgY=")</f>
        <v>#REF!</v>
      </c>
      <c r="H203" t="e">
        <f>AND(#REF!,"AAAAAHr7fgc=")</f>
        <v>#REF!</v>
      </c>
      <c r="I203" t="e">
        <f>AND(#REF!,"AAAAAHr7fgg=")</f>
        <v>#REF!</v>
      </c>
      <c r="J203" t="e">
        <f>AND(#REF!,"AAAAAHr7fgk=")</f>
        <v>#REF!</v>
      </c>
      <c r="K203" t="e">
        <f>AND(#REF!,"AAAAAHr7fgo=")</f>
        <v>#REF!</v>
      </c>
      <c r="L203" t="e">
        <f>AND(#REF!,"AAAAAHr7fgs=")</f>
        <v>#REF!</v>
      </c>
      <c r="M203" t="e">
        <f>AND(#REF!,"AAAAAHr7fgw=")</f>
        <v>#REF!</v>
      </c>
      <c r="N203" t="e">
        <f>AND(#REF!,"AAAAAHr7fg0=")</f>
        <v>#REF!</v>
      </c>
      <c r="O203" t="e">
        <f>AND(#REF!,"AAAAAHr7fg4=")</f>
        <v>#REF!</v>
      </c>
      <c r="P203" t="e">
        <f>AND(#REF!,"AAAAAHr7fg8=")</f>
        <v>#REF!</v>
      </c>
      <c r="Q203" t="e">
        <f>AND(#REF!,"AAAAAHr7fhA=")</f>
        <v>#REF!</v>
      </c>
      <c r="R203" t="e">
        <f>AND(#REF!,"AAAAAHr7fhE=")</f>
        <v>#REF!</v>
      </c>
      <c r="S203" t="e">
        <f>AND(#REF!,"AAAAAHr7fhI=")</f>
        <v>#REF!</v>
      </c>
      <c r="T203" t="e">
        <f>AND(#REF!,"AAAAAHr7fhM=")</f>
        <v>#REF!</v>
      </c>
      <c r="U203" t="e">
        <f>AND(#REF!,"AAAAAHr7fhQ=")</f>
        <v>#REF!</v>
      </c>
      <c r="V203" t="e">
        <f>AND(#REF!,"AAAAAHr7fhU=")</f>
        <v>#REF!</v>
      </c>
      <c r="W203" t="e">
        <f>AND(#REF!,"AAAAAHr7fhY=")</f>
        <v>#REF!</v>
      </c>
      <c r="X203" t="e">
        <f>AND(#REF!,"AAAAAHr7fhc=")</f>
        <v>#REF!</v>
      </c>
      <c r="Y203" t="e">
        <f>AND(#REF!,"AAAAAHr7fhg=")</f>
        <v>#REF!</v>
      </c>
      <c r="Z203" t="e">
        <f>AND(#REF!,"AAAAAHr7fhk=")</f>
        <v>#REF!</v>
      </c>
      <c r="AA203" t="e">
        <f>AND(#REF!,"AAAAAHr7fho=")</f>
        <v>#REF!</v>
      </c>
      <c r="AB203" t="e">
        <f>AND(#REF!,"AAAAAHr7fhs=")</f>
        <v>#REF!</v>
      </c>
      <c r="AC203" t="e">
        <f>AND(#REF!,"AAAAAHr7fhw=")</f>
        <v>#REF!</v>
      </c>
      <c r="AD203" t="e">
        <f>AND(#REF!,"AAAAAHr7fh0=")</f>
        <v>#REF!</v>
      </c>
      <c r="AE203" t="e">
        <f>AND(#REF!,"AAAAAHr7fh4=")</f>
        <v>#REF!</v>
      </c>
      <c r="AF203" t="e">
        <f>AND(#REF!,"AAAAAHr7fh8=")</f>
        <v>#REF!</v>
      </c>
      <c r="AG203" t="e">
        <f>AND(#REF!,"AAAAAHr7fiA=")</f>
        <v>#REF!</v>
      </c>
      <c r="AH203" t="e">
        <f>AND(#REF!,"AAAAAHr7fiE=")</f>
        <v>#REF!</v>
      </c>
      <c r="AI203" t="e">
        <f>AND(#REF!,"AAAAAHr7fiI=")</f>
        <v>#REF!</v>
      </c>
      <c r="AJ203" t="e">
        <f>AND(#REF!,"AAAAAHr7fiM=")</f>
        <v>#REF!</v>
      </c>
      <c r="AK203" t="e">
        <f>AND(#REF!,"AAAAAHr7fiQ=")</f>
        <v>#REF!</v>
      </c>
      <c r="AL203" t="e">
        <f>AND(#REF!,"AAAAAHr7fiU=")</f>
        <v>#REF!</v>
      </c>
      <c r="AM203" t="e">
        <f>AND(#REF!,"AAAAAHr7fiY=")</f>
        <v>#REF!</v>
      </c>
      <c r="AN203" t="e">
        <f>AND(#REF!,"AAAAAHr7fic=")</f>
        <v>#REF!</v>
      </c>
      <c r="AO203" t="e">
        <f>AND(#REF!,"AAAAAHr7fig=")</f>
        <v>#REF!</v>
      </c>
      <c r="AP203" t="e">
        <f>AND(#REF!,"AAAAAHr7fik=")</f>
        <v>#REF!</v>
      </c>
      <c r="AQ203" t="e">
        <f>AND(#REF!,"AAAAAHr7fio=")</f>
        <v>#REF!</v>
      </c>
      <c r="AR203" t="e">
        <f>AND(#REF!,"AAAAAHr7fis=")</f>
        <v>#REF!</v>
      </c>
      <c r="AS203" t="e">
        <f>AND(#REF!,"AAAAAHr7fiw=")</f>
        <v>#REF!</v>
      </c>
      <c r="AT203" t="e">
        <f>AND(#REF!,"AAAAAHr7fi0=")</f>
        <v>#REF!</v>
      </c>
      <c r="AU203" t="e">
        <f>AND(#REF!,"AAAAAHr7fi4=")</f>
        <v>#REF!</v>
      </c>
      <c r="AV203" t="e">
        <f>AND(#REF!,"AAAAAHr7fi8=")</f>
        <v>#REF!</v>
      </c>
      <c r="AW203" t="e">
        <f>AND(#REF!,"AAAAAHr7fjA=")</f>
        <v>#REF!</v>
      </c>
      <c r="AX203" t="e">
        <f>AND(#REF!,"AAAAAHr7fjE=")</f>
        <v>#REF!</v>
      </c>
      <c r="AY203" t="e">
        <f>AND(#REF!,"AAAAAHr7fjI=")</f>
        <v>#REF!</v>
      </c>
      <c r="AZ203" t="e">
        <f>AND(#REF!,"AAAAAHr7fjM=")</f>
        <v>#REF!</v>
      </c>
      <c r="BA203" t="e">
        <f>AND(#REF!,"AAAAAHr7fjQ=")</f>
        <v>#REF!</v>
      </c>
      <c r="BB203" t="e">
        <f>AND(#REF!,"AAAAAHr7fjU=")</f>
        <v>#REF!</v>
      </c>
      <c r="BC203" t="e">
        <f>AND(#REF!,"AAAAAHr7fjY=")</f>
        <v>#REF!</v>
      </c>
      <c r="BD203" t="e">
        <f>AND(#REF!,"AAAAAHr7fjc=")</f>
        <v>#REF!</v>
      </c>
      <c r="BE203" t="e">
        <f>AND(#REF!,"AAAAAHr7fjg=")</f>
        <v>#REF!</v>
      </c>
      <c r="BF203" t="e">
        <f>AND(#REF!,"AAAAAHr7fjk=")</f>
        <v>#REF!</v>
      </c>
      <c r="BG203" t="e">
        <f>AND(#REF!,"AAAAAHr7fjo=")</f>
        <v>#REF!</v>
      </c>
      <c r="BH203" t="e">
        <f>AND(#REF!,"AAAAAHr7fjs=")</f>
        <v>#REF!</v>
      </c>
      <c r="BI203" t="e">
        <f>AND(#REF!,"AAAAAHr7fjw=")</f>
        <v>#REF!</v>
      </c>
      <c r="BJ203" t="e">
        <f>AND(#REF!,"AAAAAHr7fj0=")</f>
        <v>#REF!</v>
      </c>
      <c r="BK203" t="e">
        <f>AND(#REF!,"AAAAAHr7fj4=")</f>
        <v>#REF!</v>
      </c>
      <c r="BL203" t="e">
        <f>AND(#REF!,"AAAAAHr7fj8=")</f>
        <v>#REF!</v>
      </c>
      <c r="BM203" t="e">
        <f>AND(#REF!,"AAAAAHr7fkA=")</f>
        <v>#REF!</v>
      </c>
      <c r="BN203" t="e">
        <f>AND(#REF!,"AAAAAHr7fkE=")</f>
        <v>#REF!</v>
      </c>
      <c r="BO203" t="e">
        <f>AND(#REF!,"AAAAAHr7fkI=")</f>
        <v>#REF!</v>
      </c>
      <c r="BP203" t="e">
        <f>AND(#REF!,"AAAAAHr7fkM=")</f>
        <v>#REF!</v>
      </c>
      <c r="BQ203" t="e">
        <f>AND(#REF!,"AAAAAHr7fkQ=")</f>
        <v>#REF!</v>
      </c>
      <c r="BR203" t="e">
        <f>AND(#REF!,"AAAAAHr7fkU=")</f>
        <v>#REF!</v>
      </c>
      <c r="BS203" t="e">
        <f>AND(#REF!,"AAAAAHr7fkY=")</f>
        <v>#REF!</v>
      </c>
      <c r="BT203" t="e">
        <f>AND(#REF!,"AAAAAHr7fkc=")</f>
        <v>#REF!</v>
      </c>
      <c r="BU203" t="e">
        <f>AND(#REF!,"AAAAAHr7fkg=")</f>
        <v>#REF!</v>
      </c>
      <c r="BV203" t="e">
        <f>AND(#REF!,"AAAAAHr7fkk=")</f>
        <v>#REF!</v>
      </c>
      <c r="BW203" t="e">
        <f>AND(#REF!,"AAAAAHr7fko=")</f>
        <v>#REF!</v>
      </c>
      <c r="BX203" t="e">
        <f>AND(#REF!,"AAAAAHr7fks=")</f>
        <v>#REF!</v>
      </c>
      <c r="BY203" t="e">
        <f>AND(#REF!,"AAAAAHr7fkw=")</f>
        <v>#REF!</v>
      </c>
      <c r="BZ203" t="e">
        <f>AND(#REF!,"AAAAAHr7fk0=")</f>
        <v>#REF!</v>
      </c>
      <c r="CA203" t="e">
        <f>AND(#REF!,"AAAAAHr7fk4=")</f>
        <v>#REF!</v>
      </c>
      <c r="CB203" t="e">
        <f>AND(#REF!,"AAAAAHr7fk8=")</f>
        <v>#REF!</v>
      </c>
      <c r="CC203" t="e">
        <f>AND(#REF!,"AAAAAHr7flA=")</f>
        <v>#REF!</v>
      </c>
      <c r="CD203" t="e">
        <f>AND(#REF!,"AAAAAHr7flE=")</f>
        <v>#REF!</v>
      </c>
      <c r="CE203" t="e">
        <f>AND(#REF!,"AAAAAHr7flI=")</f>
        <v>#REF!</v>
      </c>
      <c r="CF203" t="e">
        <f>AND(#REF!,"AAAAAHr7flM=")</f>
        <v>#REF!</v>
      </c>
      <c r="CG203" t="e">
        <f>AND(#REF!,"AAAAAHr7flQ=")</f>
        <v>#REF!</v>
      </c>
      <c r="CH203" t="e">
        <f>AND(#REF!,"AAAAAHr7flU=")</f>
        <v>#REF!</v>
      </c>
      <c r="CI203" t="e">
        <f>AND(#REF!,"AAAAAHr7flY=")</f>
        <v>#REF!</v>
      </c>
      <c r="CJ203" t="e">
        <f>AND(#REF!,"AAAAAHr7flc=")</f>
        <v>#REF!</v>
      </c>
      <c r="CK203" t="e">
        <f>AND(#REF!,"AAAAAHr7flg=")</f>
        <v>#REF!</v>
      </c>
      <c r="CL203" t="e">
        <f>AND(#REF!,"AAAAAHr7flk=")</f>
        <v>#REF!</v>
      </c>
      <c r="CM203" t="e">
        <f>AND(#REF!,"AAAAAHr7flo=")</f>
        <v>#REF!</v>
      </c>
      <c r="CN203" t="e">
        <f>AND(#REF!,"AAAAAHr7fls=")</f>
        <v>#REF!</v>
      </c>
      <c r="CO203" t="e">
        <f>AND(#REF!,"AAAAAHr7flw=")</f>
        <v>#REF!</v>
      </c>
      <c r="CP203" t="e">
        <f>AND(#REF!,"AAAAAHr7fl0=")</f>
        <v>#REF!</v>
      </c>
      <c r="CQ203" t="e">
        <f>AND(#REF!,"AAAAAHr7fl4=")</f>
        <v>#REF!</v>
      </c>
      <c r="CR203" t="e">
        <f>AND(#REF!,"AAAAAHr7fl8=")</f>
        <v>#REF!</v>
      </c>
      <c r="CS203" t="e">
        <f>AND(#REF!,"AAAAAHr7fmA=")</f>
        <v>#REF!</v>
      </c>
      <c r="CT203" t="e">
        <f>AND(#REF!,"AAAAAHr7fmE=")</f>
        <v>#REF!</v>
      </c>
      <c r="CU203" t="e">
        <f>AND(#REF!,"AAAAAHr7fmI=")</f>
        <v>#REF!</v>
      </c>
      <c r="CV203" t="e">
        <f>AND(#REF!,"AAAAAHr7fmM=")</f>
        <v>#REF!</v>
      </c>
      <c r="CW203" t="e">
        <f>AND(#REF!,"AAAAAHr7fmQ=")</f>
        <v>#REF!</v>
      </c>
      <c r="CX203" t="e">
        <f>AND(#REF!,"AAAAAHr7fmU=")</f>
        <v>#REF!</v>
      </c>
      <c r="CY203" t="e">
        <f>AND(#REF!,"AAAAAHr7fmY=")</f>
        <v>#REF!</v>
      </c>
      <c r="CZ203" t="e">
        <f>AND(#REF!,"AAAAAHr7fmc=")</f>
        <v>#REF!</v>
      </c>
      <c r="DA203" t="e">
        <f>AND(#REF!,"AAAAAHr7fmg=")</f>
        <v>#REF!</v>
      </c>
      <c r="DB203" t="e">
        <f>AND(#REF!,"AAAAAHr7fmk=")</f>
        <v>#REF!</v>
      </c>
      <c r="DC203" t="e">
        <f>AND(#REF!,"AAAAAHr7fmo=")</f>
        <v>#REF!</v>
      </c>
      <c r="DD203" t="e">
        <f>AND(#REF!,"AAAAAHr7fms=")</f>
        <v>#REF!</v>
      </c>
      <c r="DE203" t="e">
        <f>AND(#REF!,"AAAAAHr7fmw=")</f>
        <v>#REF!</v>
      </c>
      <c r="DF203" t="e">
        <f>AND(#REF!,"AAAAAHr7fm0=")</f>
        <v>#REF!</v>
      </c>
      <c r="DG203" t="e">
        <f>AND(#REF!,"AAAAAHr7fm4=")</f>
        <v>#REF!</v>
      </c>
      <c r="DH203" t="e">
        <f>AND(#REF!,"AAAAAHr7fm8=")</f>
        <v>#REF!</v>
      </c>
      <c r="DI203" t="e">
        <f>AND(#REF!,"AAAAAHr7fnA=")</f>
        <v>#REF!</v>
      </c>
      <c r="DJ203" t="e">
        <f>AND(#REF!,"AAAAAHr7fnE=")</f>
        <v>#REF!</v>
      </c>
      <c r="DK203" t="e">
        <f>AND(#REF!,"AAAAAHr7fnI=")</f>
        <v>#REF!</v>
      </c>
      <c r="DL203" t="e">
        <f>AND(#REF!,"AAAAAHr7fnM=")</f>
        <v>#REF!</v>
      </c>
      <c r="DM203" t="e">
        <f>AND(#REF!,"AAAAAHr7fnQ=")</f>
        <v>#REF!</v>
      </c>
      <c r="DN203" t="e">
        <f>AND(#REF!,"AAAAAHr7fnU=")</f>
        <v>#REF!</v>
      </c>
      <c r="DO203" t="e">
        <f>AND(#REF!,"AAAAAHr7fnY=")</f>
        <v>#REF!</v>
      </c>
      <c r="DP203" t="e">
        <f>AND(#REF!,"AAAAAHr7fnc=")</f>
        <v>#REF!</v>
      </c>
      <c r="DQ203" t="e">
        <f>AND(#REF!,"AAAAAHr7fng=")</f>
        <v>#REF!</v>
      </c>
      <c r="DR203" t="e">
        <f>AND(#REF!,"AAAAAHr7fnk=")</f>
        <v>#REF!</v>
      </c>
      <c r="DS203" t="e">
        <f>AND(#REF!,"AAAAAHr7fno=")</f>
        <v>#REF!</v>
      </c>
      <c r="DT203" t="e">
        <f>AND(#REF!,"AAAAAHr7fns=")</f>
        <v>#REF!</v>
      </c>
      <c r="DU203" t="e">
        <f>AND(#REF!,"AAAAAHr7fnw=")</f>
        <v>#REF!</v>
      </c>
      <c r="DV203" t="e">
        <f>AND(#REF!,"AAAAAHr7fn0=")</f>
        <v>#REF!</v>
      </c>
      <c r="DW203" t="e">
        <f>AND(#REF!,"AAAAAHr7fn4=")</f>
        <v>#REF!</v>
      </c>
      <c r="DX203" t="e">
        <f>AND(#REF!,"AAAAAHr7fn8=")</f>
        <v>#REF!</v>
      </c>
      <c r="DY203" t="e">
        <f>AND(#REF!,"AAAAAHr7foA=")</f>
        <v>#REF!</v>
      </c>
      <c r="DZ203" t="e">
        <f>AND(#REF!,"AAAAAHr7foE=")</f>
        <v>#REF!</v>
      </c>
      <c r="EA203" t="e">
        <f>AND(#REF!,"AAAAAHr7foI=")</f>
        <v>#REF!</v>
      </c>
      <c r="EB203" t="e">
        <f>AND(#REF!,"AAAAAHr7foM=")</f>
        <v>#REF!</v>
      </c>
      <c r="EC203" t="e">
        <f>AND(#REF!,"AAAAAHr7foQ=")</f>
        <v>#REF!</v>
      </c>
      <c r="ED203" t="e">
        <f>AND(#REF!,"AAAAAHr7foU=")</f>
        <v>#REF!</v>
      </c>
      <c r="EE203" t="e">
        <f>AND(#REF!,"AAAAAHr7foY=")</f>
        <v>#REF!</v>
      </c>
      <c r="EF203" t="e">
        <f>AND(#REF!,"AAAAAHr7foc=")</f>
        <v>#REF!</v>
      </c>
      <c r="EG203" t="e">
        <f>AND(#REF!,"AAAAAHr7fog=")</f>
        <v>#REF!</v>
      </c>
      <c r="EH203" t="e">
        <f>AND(#REF!,"AAAAAHr7fok=")</f>
        <v>#REF!</v>
      </c>
      <c r="EI203" t="e">
        <f>AND(#REF!,"AAAAAHr7foo=")</f>
        <v>#REF!</v>
      </c>
      <c r="EJ203" t="e">
        <f>AND(#REF!,"AAAAAHr7fos=")</f>
        <v>#REF!</v>
      </c>
      <c r="EK203" t="e">
        <f>AND(#REF!,"AAAAAHr7fow=")</f>
        <v>#REF!</v>
      </c>
      <c r="EL203" t="e">
        <f>AND(#REF!,"AAAAAHr7fo0=")</f>
        <v>#REF!</v>
      </c>
      <c r="EM203" t="e">
        <f>AND(#REF!,"AAAAAHr7fo4=")</f>
        <v>#REF!</v>
      </c>
      <c r="EN203" t="e">
        <f>AND(#REF!,"AAAAAHr7fo8=")</f>
        <v>#REF!</v>
      </c>
      <c r="EO203" t="e">
        <f>AND(#REF!,"AAAAAHr7fpA=")</f>
        <v>#REF!</v>
      </c>
      <c r="EP203" t="e">
        <f>AND(#REF!,"AAAAAHr7fpE=")</f>
        <v>#REF!</v>
      </c>
      <c r="EQ203" t="e">
        <f>AND(#REF!,"AAAAAHr7fpI=")</f>
        <v>#REF!</v>
      </c>
      <c r="ER203" t="e">
        <f>AND(#REF!,"AAAAAHr7fpM=")</f>
        <v>#REF!</v>
      </c>
      <c r="ES203" t="e">
        <f>AND(#REF!,"AAAAAHr7fpQ=")</f>
        <v>#REF!</v>
      </c>
      <c r="ET203" t="e">
        <f>AND(#REF!,"AAAAAHr7fpU=")</f>
        <v>#REF!</v>
      </c>
      <c r="EU203" t="e">
        <f>AND(#REF!,"AAAAAHr7fpY=")</f>
        <v>#REF!</v>
      </c>
      <c r="EV203" t="e">
        <f>AND(#REF!,"AAAAAHr7fpc=")</f>
        <v>#REF!</v>
      </c>
      <c r="EW203" t="e">
        <f>AND(#REF!,"AAAAAHr7fpg=")</f>
        <v>#REF!</v>
      </c>
      <c r="EX203" t="e">
        <f>AND(#REF!,"AAAAAHr7fpk=")</f>
        <v>#REF!</v>
      </c>
      <c r="EY203" t="e">
        <f>AND(#REF!,"AAAAAHr7fpo=")</f>
        <v>#REF!</v>
      </c>
      <c r="EZ203" t="e">
        <f>AND(#REF!,"AAAAAHr7fps=")</f>
        <v>#REF!</v>
      </c>
      <c r="FA203" t="e">
        <f>AND(#REF!,"AAAAAHr7fpw=")</f>
        <v>#REF!</v>
      </c>
      <c r="FB203" t="e">
        <f>AND(#REF!,"AAAAAHr7fp0=")</f>
        <v>#REF!</v>
      </c>
      <c r="FC203" t="e">
        <f>AND(#REF!,"AAAAAHr7fp4=")</f>
        <v>#REF!</v>
      </c>
      <c r="FD203" t="e">
        <f>AND(#REF!,"AAAAAHr7fp8=")</f>
        <v>#REF!</v>
      </c>
      <c r="FE203" t="e">
        <f>AND(#REF!,"AAAAAHr7fqA=")</f>
        <v>#REF!</v>
      </c>
      <c r="FF203" t="e">
        <f>AND(#REF!,"AAAAAHr7fqE=")</f>
        <v>#REF!</v>
      </c>
      <c r="FG203" t="e">
        <f>AND(#REF!,"AAAAAHr7fqI=")</f>
        <v>#REF!</v>
      </c>
      <c r="FH203" t="e">
        <f>AND(#REF!,"AAAAAHr7fqM=")</f>
        <v>#REF!</v>
      </c>
      <c r="FI203" t="e">
        <f>AND(#REF!,"AAAAAHr7fqQ=")</f>
        <v>#REF!</v>
      </c>
      <c r="FJ203" t="e">
        <f>AND(#REF!,"AAAAAHr7fqU=")</f>
        <v>#REF!</v>
      </c>
      <c r="FK203" t="e">
        <f>AND(#REF!,"AAAAAHr7fqY=")</f>
        <v>#REF!</v>
      </c>
      <c r="FL203" t="e">
        <f>AND(#REF!,"AAAAAHr7fqc=")</f>
        <v>#REF!</v>
      </c>
      <c r="FM203" t="e">
        <f>AND(#REF!,"AAAAAHr7fqg=")</f>
        <v>#REF!</v>
      </c>
      <c r="FN203" t="e">
        <f>AND(#REF!,"AAAAAHr7fqk=")</f>
        <v>#REF!</v>
      </c>
      <c r="FO203" t="e">
        <f>AND(#REF!,"AAAAAHr7fqo=")</f>
        <v>#REF!</v>
      </c>
      <c r="FP203" t="e">
        <f>AND(#REF!,"AAAAAHr7fqs=")</f>
        <v>#REF!</v>
      </c>
      <c r="FQ203" t="e">
        <f>AND(#REF!,"AAAAAHr7fqw=")</f>
        <v>#REF!</v>
      </c>
      <c r="FR203" t="e">
        <f>AND(#REF!,"AAAAAHr7fq0=")</f>
        <v>#REF!</v>
      </c>
      <c r="FS203" t="e">
        <f>AND(#REF!,"AAAAAHr7fq4=")</f>
        <v>#REF!</v>
      </c>
      <c r="FT203" t="e">
        <f>AND(#REF!,"AAAAAHr7fq8=")</f>
        <v>#REF!</v>
      </c>
      <c r="FU203" t="e">
        <f>AND(#REF!,"AAAAAHr7frA=")</f>
        <v>#REF!</v>
      </c>
      <c r="FV203" t="e">
        <f>AND(#REF!,"AAAAAHr7frE=")</f>
        <v>#REF!</v>
      </c>
      <c r="FW203" t="e">
        <f>AND(#REF!,"AAAAAHr7frI=")</f>
        <v>#REF!</v>
      </c>
      <c r="FX203" t="e">
        <f>AND(#REF!,"AAAAAHr7frM=")</f>
        <v>#REF!</v>
      </c>
      <c r="FY203" t="e">
        <f>AND(#REF!,"AAAAAHr7frQ=")</f>
        <v>#REF!</v>
      </c>
      <c r="FZ203" t="e">
        <f>AND(#REF!,"AAAAAHr7frU=")</f>
        <v>#REF!</v>
      </c>
      <c r="GA203" t="e">
        <f>AND(#REF!,"AAAAAHr7frY=")</f>
        <v>#REF!</v>
      </c>
      <c r="GB203" t="e">
        <f>AND(#REF!,"AAAAAHr7frc=")</f>
        <v>#REF!</v>
      </c>
      <c r="GC203" t="e">
        <f>AND(#REF!,"AAAAAHr7frg=")</f>
        <v>#REF!</v>
      </c>
      <c r="GD203" t="e">
        <f>AND(#REF!,"AAAAAHr7frk=")</f>
        <v>#REF!</v>
      </c>
      <c r="GE203" t="e">
        <f>AND(#REF!,"AAAAAHr7fro=")</f>
        <v>#REF!</v>
      </c>
      <c r="GF203" t="e">
        <f>AND(#REF!,"AAAAAHr7frs=")</f>
        <v>#REF!</v>
      </c>
      <c r="GG203" t="e">
        <f>AND(#REF!,"AAAAAHr7frw=")</f>
        <v>#REF!</v>
      </c>
      <c r="GH203" t="e">
        <f>AND(#REF!,"AAAAAHr7fr0=")</f>
        <v>#REF!</v>
      </c>
      <c r="GI203" t="e">
        <f>AND(#REF!,"AAAAAHr7fr4=")</f>
        <v>#REF!</v>
      </c>
      <c r="GJ203" t="e">
        <f>AND(#REF!,"AAAAAHr7fr8=")</f>
        <v>#REF!</v>
      </c>
      <c r="GK203" t="e">
        <f>AND(#REF!,"AAAAAHr7fsA=")</f>
        <v>#REF!</v>
      </c>
      <c r="GL203" t="e">
        <f>AND(#REF!,"AAAAAHr7fsE=")</f>
        <v>#REF!</v>
      </c>
      <c r="GM203" t="e">
        <f>AND(#REF!,"AAAAAHr7fsI=")</f>
        <v>#REF!</v>
      </c>
      <c r="GN203" t="e">
        <f>AND(#REF!,"AAAAAHr7fsM=")</f>
        <v>#REF!</v>
      </c>
      <c r="GO203" t="e">
        <f>AND(#REF!,"AAAAAHr7fsQ=")</f>
        <v>#REF!</v>
      </c>
      <c r="GP203" t="e">
        <f>AND(#REF!,"AAAAAHr7fsU=")</f>
        <v>#REF!</v>
      </c>
      <c r="GQ203" t="e">
        <f>AND(#REF!,"AAAAAHr7fsY=")</f>
        <v>#REF!</v>
      </c>
      <c r="GR203" t="e">
        <f>AND(#REF!,"AAAAAHr7fsc=")</f>
        <v>#REF!</v>
      </c>
      <c r="GS203" t="e">
        <f>AND(#REF!,"AAAAAHr7fsg=")</f>
        <v>#REF!</v>
      </c>
      <c r="GT203" t="e">
        <f>AND(#REF!,"AAAAAHr7fsk=")</f>
        <v>#REF!</v>
      </c>
      <c r="GU203" t="e">
        <f>AND(#REF!,"AAAAAHr7fso=")</f>
        <v>#REF!</v>
      </c>
      <c r="GV203" t="e">
        <f>AND(#REF!,"AAAAAHr7fss=")</f>
        <v>#REF!</v>
      </c>
      <c r="GW203" t="e">
        <f>AND(#REF!,"AAAAAHr7fsw=")</f>
        <v>#REF!</v>
      </c>
      <c r="GX203" t="e">
        <f>AND(#REF!,"AAAAAHr7fs0=")</f>
        <v>#REF!</v>
      </c>
      <c r="GY203" t="e">
        <f>AND(#REF!,"AAAAAHr7fs4=")</f>
        <v>#REF!</v>
      </c>
      <c r="GZ203" t="e">
        <f>AND(#REF!,"AAAAAHr7fs8=")</f>
        <v>#REF!</v>
      </c>
      <c r="HA203" t="e">
        <f>AND(#REF!,"AAAAAHr7ftA=")</f>
        <v>#REF!</v>
      </c>
      <c r="HB203" t="e">
        <f>AND(#REF!,"AAAAAHr7ftE=")</f>
        <v>#REF!</v>
      </c>
      <c r="HC203" t="e">
        <f>AND(#REF!,"AAAAAHr7ftI=")</f>
        <v>#REF!</v>
      </c>
      <c r="HD203" t="e">
        <f>AND(#REF!,"AAAAAHr7ftM=")</f>
        <v>#REF!</v>
      </c>
      <c r="HE203" t="e">
        <f>AND(#REF!,"AAAAAHr7ftQ=")</f>
        <v>#REF!</v>
      </c>
      <c r="HF203" t="e">
        <f>AND(#REF!,"AAAAAHr7ftU=")</f>
        <v>#REF!</v>
      </c>
      <c r="HG203" t="e">
        <f>IF(#REF!,"AAAAAHr7ftY=",0)</f>
        <v>#REF!</v>
      </c>
      <c r="HH203" t="e">
        <f>AND(#REF!,"AAAAAHr7ftc=")</f>
        <v>#REF!</v>
      </c>
      <c r="HI203" t="e">
        <f>AND(#REF!,"AAAAAHr7ftg=")</f>
        <v>#REF!</v>
      </c>
      <c r="HJ203" t="e">
        <f>AND(#REF!,"AAAAAHr7ftk=")</f>
        <v>#REF!</v>
      </c>
      <c r="HK203" t="e">
        <f>AND(#REF!,"AAAAAHr7fto=")</f>
        <v>#REF!</v>
      </c>
      <c r="HL203" t="e">
        <f>AND(#REF!,"AAAAAHr7fts=")</f>
        <v>#REF!</v>
      </c>
      <c r="HM203" t="e">
        <f>AND(#REF!,"AAAAAHr7ftw=")</f>
        <v>#REF!</v>
      </c>
      <c r="HN203" t="e">
        <f>AND(#REF!,"AAAAAHr7ft0=")</f>
        <v>#REF!</v>
      </c>
      <c r="HO203" t="e">
        <f>AND(#REF!,"AAAAAHr7ft4=")</f>
        <v>#REF!</v>
      </c>
      <c r="HP203" t="e">
        <f>AND(#REF!,"AAAAAHr7ft8=")</f>
        <v>#REF!</v>
      </c>
      <c r="HQ203" t="e">
        <f>AND(#REF!,"AAAAAHr7fuA=")</f>
        <v>#REF!</v>
      </c>
      <c r="HR203" t="e">
        <f>AND(#REF!,"AAAAAHr7fuE=")</f>
        <v>#REF!</v>
      </c>
      <c r="HS203" t="e">
        <f>AND(#REF!,"AAAAAHr7fuI=")</f>
        <v>#REF!</v>
      </c>
      <c r="HT203" t="e">
        <f>AND(#REF!,"AAAAAHr7fuM=")</f>
        <v>#REF!</v>
      </c>
      <c r="HU203" t="e">
        <f>AND(#REF!,"AAAAAHr7fuQ=")</f>
        <v>#REF!</v>
      </c>
      <c r="HV203" t="e">
        <f>AND(#REF!,"AAAAAHr7fuU=")</f>
        <v>#REF!</v>
      </c>
      <c r="HW203" t="e">
        <f>AND(#REF!,"AAAAAHr7fuY=")</f>
        <v>#REF!</v>
      </c>
      <c r="HX203" t="e">
        <f>AND(#REF!,"AAAAAHr7fuc=")</f>
        <v>#REF!</v>
      </c>
      <c r="HY203" t="e">
        <f>AND(#REF!,"AAAAAHr7fug=")</f>
        <v>#REF!</v>
      </c>
      <c r="HZ203" t="e">
        <f>AND(#REF!,"AAAAAHr7fuk=")</f>
        <v>#REF!</v>
      </c>
      <c r="IA203" t="e">
        <f>AND(#REF!,"AAAAAHr7fuo=")</f>
        <v>#REF!</v>
      </c>
      <c r="IB203" t="e">
        <f>AND(#REF!,"AAAAAHr7fus=")</f>
        <v>#REF!</v>
      </c>
      <c r="IC203" t="e">
        <f>AND(#REF!,"AAAAAHr7fuw=")</f>
        <v>#REF!</v>
      </c>
      <c r="ID203" t="e">
        <f>AND(#REF!,"AAAAAHr7fu0=")</f>
        <v>#REF!</v>
      </c>
      <c r="IE203" t="e">
        <f>AND(#REF!,"AAAAAHr7fu4=")</f>
        <v>#REF!</v>
      </c>
      <c r="IF203" t="e">
        <f>AND(#REF!,"AAAAAHr7fu8=")</f>
        <v>#REF!</v>
      </c>
      <c r="IG203" t="e">
        <f>AND(#REF!,"AAAAAHr7fvA=")</f>
        <v>#REF!</v>
      </c>
      <c r="IH203" t="e">
        <f>AND(#REF!,"AAAAAHr7fvE=")</f>
        <v>#REF!</v>
      </c>
      <c r="II203" t="e">
        <f>AND(#REF!,"AAAAAHr7fvI=")</f>
        <v>#REF!</v>
      </c>
      <c r="IJ203" t="e">
        <f>AND(#REF!,"AAAAAHr7fvM=")</f>
        <v>#REF!</v>
      </c>
      <c r="IK203" t="e">
        <f>AND(#REF!,"AAAAAHr7fvQ=")</f>
        <v>#REF!</v>
      </c>
      <c r="IL203" t="e">
        <f>AND(#REF!,"AAAAAHr7fvU=")</f>
        <v>#REF!</v>
      </c>
      <c r="IM203" t="e">
        <f>AND(#REF!,"AAAAAHr7fvY=")</f>
        <v>#REF!</v>
      </c>
      <c r="IN203" t="e">
        <f>AND(#REF!,"AAAAAHr7fvc=")</f>
        <v>#REF!</v>
      </c>
      <c r="IO203" t="e">
        <f>AND(#REF!,"AAAAAHr7fvg=")</f>
        <v>#REF!</v>
      </c>
      <c r="IP203" t="e">
        <f>AND(#REF!,"AAAAAHr7fvk=")</f>
        <v>#REF!</v>
      </c>
      <c r="IQ203" t="e">
        <f>AND(#REF!,"AAAAAHr7fvo=")</f>
        <v>#REF!</v>
      </c>
      <c r="IR203" t="e">
        <f>AND(#REF!,"AAAAAHr7fvs=")</f>
        <v>#REF!</v>
      </c>
      <c r="IS203" t="e">
        <f>AND(#REF!,"AAAAAHr7fvw=")</f>
        <v>#REF!</v>
      </c>
      <c r="IT203" t="e">
        <f>AND(#REF!,"AAAAAHr7fv0=")</f>
        <v>#REF!</v>
      </c>
      <c r="IU203" t="e">
        <f>AND(#REF!,"AAAAAHr7fv4=")</f>
        <v>#REF!</v>
      </c>
      <c r="IV203" t="e">
        <f>AND(#REF!,"AAAAAHr7fv8=")</f>
        <v>#REF!</v>
      </c>
    </row>
    <row r="204" spans="1:256">
      <c r="A204" t="e">
        <f>AND(#REF!,"AAAAAB7fuwA=")</f>
        <v>#REF!</v>
      </c>
      <c r="B204" t="e">
        <f>AND(#REF!,"AAAAAB7fuwE=")</f>
        <v>#REF!</v>
      </c>
      <c r="C204" t="e">
        <f>AND(#REF!,"AAAAAB7fuwI=")</f>
        <v>#REF!</v>
      </c>
      <c r="D204" t="e">
        <f>AND(#REF!,"AAAAAB7fuwM=")</f>
        <v>#REF!</v>
      </c>
      <c r="E204" t="e">
        <f>AND(#REF!,"AAAAAB7fuwQ=")</f>
        <v>#REF!</v>
      </c>
      <c r="F204" t="e">
        <f>AND(#REF!,"AAAAAB7fuwU=")</f>
        <v>#REF!</v>
      </c>
      <c r="G204" t="e">
        <f>AND(#REF!,"AAAAAB7fuwY=")</f>
        <v>#REF!</v>
      </c>
      <c r="H204" t="e">
        <f>AND(#REF!,"AAAAAB7fuwc=")</f>
        <v>#REF!</v>
      </c>
      <c r="I204" t="e">
        <f>AND(#REF!,"AAAAAB7fuwg=")</f>
        <v>#REF!</v>
      </c>
      <c r="J204" t="e">
        <f>AND(#REF!,"AAAAAB7fuwk=")</f>
        <v>#REF!</v>
      </c>
      <c r="K204" t="e">
        <f>AND(#REF!,"AAAAAB7fuwo=")</f>
        <v>#REF!</v>
      </c>
      <c r="L204" t="e">
        <f>AND(#REF!,"AAAAAB7fuws=")</f>
        <v>#REF!</v>
      </c>
      <c r="M204" t="e">
        <f>AND(#REF!,"AAAAAB7fuww=")</f>
        <v>#REF!</v>
      </c>
      <c r="N204" t="e">
        <f>AND(#REF!,"AAAAAB7fuw0=")</f>
        <v>#REF!</v>
      </c>
      <c r="O204" t="e">
        <f>AND(#REF!,"AAAAAB7fuw4=")</f>
        <v>#REF!</v>
      </c>
      <c r="P204" t="e">
        <f>AND(#REF!,"AAAAAB7fuw8=")</f>
        <v>#REF!</v>
      </c>
      <c r="Q204" t="e">
        <f>AND(#REF!,"AAAAAB7fuxA=")</f>
        <v>#REF!</v>
      </c>
      <c r="R204" t="e">
        <f>AND(#REF!,"AAAAAB7fuxE=")</f>
        <v>#REF!</v>
      </c>
      <c r="S204" t="e">
        <f>AND(#REF!,"AAAAAB7fuxI=")</f>
        <v>#REF!</v>
      </c>
      <c r="T204" t="e">
        <f>AND(#REF!,"AAAAAB7fuxM=")</f>
        <v>#REF!</v>
      </c>
      <c r="U204" t="e">
        <f>AND(#REF!,"AAAAAB7fuxQ=")</f>
        <v>#REF!</v>
      </c>
      <c r="V204" t="e">
        <f>AND(#REF!,"AAAAAB7fuxU=")</f>
        <v>#REF!</v>
      </c>
      <c r="W204" t="e">
        <f>AND(#REF!,"AAAAAB7fuxY=")</f>
        <v>#REF!</v>
      </c>
      <c r="X204" t="e">
        <f>AND(#REF!,"AAAAAB7fuxc=")</f>
        <v>#REF!</v>
      </c>
      <c r="Y204" t="e">
        <f>AND(#REF!,"AAAAAB7fuxg=")</f>
        <v>#REF!</v>
      </c>
      <c r="Z204" t="e">
        <f>AND(#REF!,"AAAAAB7fuxk=")</f>
        <v>#REF!</v>
      </c>
      <c r="AA204" t="e">
        <f>AND(#REF!,"AAAAAB7fuxo=")</f>
        <v>#REF!</v>
      </c>
      <c r="AB204" t="e">
        <f>AND(#REF!,"AAAAAB7fuxs=")</f>
        <v>#REF!</v>
      </c>
      <c r="AC204" t="e">
        <f>AND(#REF!,"AAAAAB7fuxw=")</f>
        <v>#REF!</v>
      </c>
      <c r="AD204" t="e">
        <f>AND(#REF!,"AAAAAB7fux0=")</f>
        <v>#REF!</v>
      </c>
      <c r="AE204" t="e">
        <f>AND(#REF!,"AAAAAB7fux4=")</f>
        <v>#REF!</v>
      </c>
      <c r="AF204" t="e">
        <f>AND(#REF!,"AAAAAB7fux8=")</f>
        <v>#REF!</v>
      </c>
      <c r="AG204" t="e">
        <f>AND(#REF!,"AAAAAB7fuyA=")</f>
        <v>#REF!</v>
      </c>
      <c r="AH204" t="e">
        <f>AND(#REF!,"AAAAAB7fuyE=")</f>
        <v>#REF!</v>
      </c>
      <c r="AI204" t="e">
        <f>AND(#REF!,"AAAAAB7fuyI=")</f>
        <v>#REF!</v>
      </c>
      <c r="AJ204" t="e">
        <f>AND(#REF!,"AAAAAB7fuyM=")</f>
        <v>#REF!</v>
      </c>
      <c r="AK204" t="e">
        <f>AND(#REF!,"AAAAAB7fuyQ=")</f>
        <v>#REF!</v>
      </c>
      <c r="AL204" t="e">
        <f>AND(#REF!,"AAAAAB7fuyU=")</f>
        <v>#REF!</v>
      </c>
      <c r="AM204" t="e">
        <f>AND(#REF!,"AAAAAB7fuyY=")</f>
        <v>#REF!</v>
      </c>
      <c r="AN204" t="e">
        <f>AND(#REF!,"AAAAAB7fuyc=")</f>
        <v>#REF!</v>
      </c>
      <c r="AO204" t="e">
        <f>AND(#REF!,"AAAAAB7fuyg=")</f>
        <v>#REF!</v>
      </c>
      <c r="AP204" t="e">
        <f>AND(#REF!,"AAAAAB7fuyk=")</f>
        <v>#REF!</v>
      </c>
      <c r="AQ204" t="e">
        <f>AND(#REF!,"AAAAAB7fuyo=")</f>
        <v>#REF!</v>
      </c>
      <c r="AR204" t="e">
        <f>AND(#REF!,"AAAAAB7fuys=")</f>
        <v>#REF!</v>
      </c>
      <c r="AS204" t="e">
        <f>AND(#REF!,"AAAAAB7fuyw=")</f>
        <v>#REF!</v>
      </c>
      <c r="AT204" t="e">
        <f>AND(#REF!,"AAAAAB7fuy0=")</f>
        <v>#REF!</v>
      </c>
      <c r="AU204" t="e">
        <f>AND(#REF!,"AAAAAB7fuy4=")</f>
        <v>#REF!</v>
      </c>
      <c r="AV204" t="e">
        <f>AND(#REF!,"AAAAAB7fuy8=")</f>
        <v>#REF!</v>
      </c>
      <c r="AW204" t="e">
        <f>AND(#REF!,"AAAAAB7fuzA=")</f>
        <v>#REF!</v>
      </c>
      <c r="AX204" t="e">
        <f>AND(#REF!,"AAAAAB7fuzE=")</f>
        <v>#REF!</v>
      </c>
      <c r="AY204" t="e">
        <f>AND(#REF!,"AAAAAB7fuzI=")</f>
        <v>#REF!</v>
      </c>
      <c r="AZ204" t="e">
        <f>AND(#REF!,"AAAAAB7fuzM=")</f>
        <v>#REF!</v>
      </c>
      <c r="BA204" t="e">
        <f>AND(#REF!,"AAAAAB7fuzQ=")</f>
        <v>#REF!</v>
      </c>
      <c r="BB204" t="e">
        <f>AND(#REF!,"AAAAAB7fuzU=")</f>
        <v>#REF!</v>
      </c>
      <c r="BC204" t="e">
        <f>AND(#REF!,"AAAAAB7fuzY=")</f>
        <v>#REF!</v>
      </c>
      <c r="BD204" t="e">
        <f>AND(#REF!,"AAAAAB7fuzc=")</f>
        <v>#REF!</v>
      </c>
      <c r="BE204" t="e">
        <f>AND(#REF!,"AAAAAB7fuzg=")</f>
        <v>#REF!</v>
      </c>
      <c r="BF204" t="e">
        <f>AND(#REF!,"AAAAAB7fuzk=")</f>
        <v>#REF!</v>
      </c>
      <c r="BG204" t="e">
        <f>AND(#REF!,"AAAAAB7fuzo=")</f>
        <v>#REF!</v>
      </c>
      <c r="BH204" t="e">
        <f>AND(#REF!,"AAAAAB7fuzs=")</f>
        <v>#REF!</v>
      </c>
      <c r="BI204" t="e">
        <f>AND(#REF!,"AAAAAB7fuzw=")</f>
        <v>#REF!</v>
      </c>
      <c r="BJ204" t="e">
        <f>AND(#REF!,"AAAAAB7fuz0=")</f>
        <v>#REF!</v>
      </c>
      <c r="BK204" t="e">
        <f>AND(#REF!,"AAAAAB7fuz4=")</f>
        <v>#REF!</v>
      </c>
      <c r="BL204" t="e">
        <f>AND(#REF!,"AAAAAB7fuz8=")</f>
        <v>#REF!</v>
      </c>
      <c r="BM204" t="e">
        <f>AND(#REF!,"AAAAAB7fu0A=")</f>
        <v>#REF!</v>
      </c>
      <c r="BN204" t="e">
        <f>AND(#REF!,"AAAAAB7fu0E=")</f>
        <v>#REF!</v>
      </c>
      <c r="BO204" t="e">
        <f>AND(#REF!,"AAAAAB7fu0I=")</f>
        <v>#REF!</v>
      </c>
      <c r="BP204" t="e">
        <f>AND(#REF!,"AAAAAB7fu0M=")</f>
        <v>#REF!</v>
      </c>
      <c r="BQ204" t="e">
        <f>AND(#REF!,"AAAAAB7fu0Q=")</f>
        <v>#REF!</v>
      </c>
      <c r="BR204" t="e">
        <f>AND(#REF!,"AAAAAB7fu0U=")</f>
        <v>#REF!</v>
      </c>
      <c r="BS204" t="e">
        <f>AND(#REF!,"AAAAAB7fu0Y=")</f>
        <v>#REF!</v>
      </c>
      <c r="BT204" t="e">
        <f>AND(#REF!,"AAAAAB7fu0c=")</f>
        <v>#REF!</v>
      </c>
      <c r="BU204" t="e">
        <f>AND(#REF!,"AAAAAB7fu0g=")</f>
        <v>#REF!</v>
      </c>
      <c r="BV204" t="e">
        <f>AND(#REF!,"AAAAAB7fu0k=")</f>
        <v>#REF!</v>
      </c>
      <c r="BW204" t="e">
        <f>AND(#REF!,"AAAAAB7fu0o=")</f>
        <v>#REF!</v>
      </c>
      <c r="BX204" t="e">
        <f>AND(#REF!,"AAAAAB7fu0s=")</f>
        <v>#REF!</v>
      </c>
      <c r="BY204" t="e">
        <f>AND(#REF!,"AAAAAB7fu0w=")</f>
        <v>#REF!</v>
      </c>
      <c r="BZ204" t="e">
        <f>AND(#REF!,"AAAAAB7fu00=")</f>
        <v>#REF!</v>
      </c>
      <c r="CA204" t="e">
        <f>AND(#REF!,"AAAAAB7fu04=")</f>
        <v>#REF!</v>
      </c>
      <c r="CB204" t="e">
        <f>AND(#REF!,"AAAAAB7fu08=")</f>
        <v>#REF!</v>
      </c>
      <c r="CC204" t="e">
        <f>AND(#REF!,"AAAAAB7fu1A=")</f>
        <v>#REF!</v>
      </c>
      <c r="CD204" t="e">
        <f>AND(#REF!,"AAAAAB7fu1E=")</f>
        <v>#REF!</v>
      </c>
      <c r="CE204" t="e">
        <f>AND(#REF!,"AAAAAB7fu1I=")</f>
        <v>#REF!</v>
      </c>
      <c r="CF204" t="e">
        <f>AND(#REF!,"AAAAAB7fu1M=")</f>
        <v>#REF!</v>
      </c>
      <c r="CG204" t="e">
        <f>AND(#REF!,"AAAAAB7fu1Q=")</f>
        <v>#REF!</v>
      </c>
      <c r="CH204" t="e">
        <f>AND(#REF!,"AAAAAB7fu1U=")</f>
        <v>#REF!</v>
      </c>
      <c r="CI204" t="e">
        <f>AND(#REF!,"AAAAAB7fu1Y=")</f>
        <v>#REF!</v>
      </c>
      <c r="CJ204" t="e">
        <f>AND(#REF!,"AAAAAB7fu1c=")</f>
        <v>#REF!</v>
      </c>
      <c r="CK204" t="e">
        <f>AND(#REF!,"AAAAAB7fu1g=")</f>
        <v>#REF!</v>
      </c>
      <c r="CL204" t="e">
        <f>AND(#REF!,"AAAAAB7fu1k=")</f>
        <v>#REF!</v>
      </c>
      <c r="CM204" t="e">
        <f>AND(#REF!,"AAAAAB7fu1o=")</f>
        <v>#REF!</v>
      </c>
      <c r="CN204" t="e">
        <f>AND(#REF!,"AAAAAB7fu1s=")</f>
        <v>#REF!</v>
      </c>
      <c r="CO204" t="e">
        <f>AND(#REF!,"AAAAAB7fu1w=")</f>
        <v>#REF!</v>
      </c>
      <c r="CP204" t="e">
        <f>AND(#REF!,"AAAAAB7fu10=")</f>
        <v>#REF!</v>
      </c>
      <c r="CQ204" t="e">
        <f>AND(#REF!,"AAAAAB7fu14=")</f>
        <v>#REF!</v>
      </c>
      <c r="CR204" t="e">
        <f>AND(#REF!,"AAAAAB7fu18=")</f>
        <v>#REF!</v>
      </c>
      <c r="CS204" t="e">
        <f>AND(#REF!,"AAAAAB7fu2A=")</f>
        <v>#REF!</v>
      </c>
      <c r="CT204" t="e">
        <f>AND(#REF!,"AAAAAB7fu2E=")</f>
        <v>#REF!</v>
      </c>
      <c r="CU204" t="e">
        <f>AND(#REF!,"AAAAAB7fu2I=")</f>
        <v>#REF!</v>
      </c>
      <c r="CV204" t="e">
        <f>AND(#REF!,"AAAAAB7fu2M=")</f>
        <v>#REF!</v>
      </c>
      <c r="CW204" t="e">
        <f>AND(#REF!,"AAAAAB7fu2Q=")</f>
        <v>#REF!</v>
      </c>
      <c r="CX204" t="e">
        <f>AND(#REF!,"AAAAAB7fu2U=")</f>
        <v>#REF!</v>
      </c>
      <c r="CY204" t="e">
        <f>AND(#REF!,"AAAAAB7fu2Y=")</f>
        <v>#REF!</v>
      </c>
      <c r="CZ204" t="e">
        <f>AND(#REF!,"AAAAAB7fu2c=")</f>
        <v>#REF!</v>
      </c>
      <c r="DA204" t="e">
        <f>AND(#REF!,"AAAAAB7fu2g=")</f>
        <v>#REF!</v>
      </c>
      <c r="DB204" t="e">
        <f>AND(#REF!,"AAAAAB7fu2k=")</f>
        <v>#REF!</v>
      </c>
      <c r="DC204" t="e">
        <f>AND(#REF!,"AAAAAB7fu2o=")</f>
        <v>#REF!</v>
      </c>
      <c r="DD204" t="e">
        <f>AND(#REF!,"AAAAAB7fu2s=")</f>
        <v>#REF!</v>
      </c>
      <c r="DE204" t="e">
        <f>AND(#REF!,"AAAAAB7fu2w=")</f>
        <v>#REF!</v>
      </c>
      <c r="DF204" t="e">
        <f>AND(#REF!,"AAAAAB7fu20=")</f>
        <v>#REF!</v>
      </c>
      <c r="DG204" t="e">
        <f>AND(#REF!,"AAAAAB7fu24=")</f>
        <v>#REF!</v>
      </c>
      <c r="DH204" t="e">
        <f>AND(#REF!,"AAAAAB7fu28=")</f>
        <v>#REF!</v>
      </c>
      <c r="DI204" t="e">
        <f>AND(#REF!,"AAAAAB7fu3A=")</f>
        <v>#REF!</v>
      </c>
      <c r="DJ204" t="e">
        <f>AND(#REF!,"AAAAAB7fu3E=")</f>
        <v>#REF!</v>
      </c>
      <c r="DK204" t="e">
        <f>AND(#REF!,"AAAAAB7fu3I=")</f>
        <v>#REF!</v>
      </c>
      <c r="DL204" t="e">
        <f>AND(#REF!,"AAAAAB7fu3M=")</f>
        <v>#REF!</v>
      </c>
      <c r="DM204" t="e">
        <f>AND(#REF!,"AAAAAB7fu3Q=")</f>
        <v>#REF!</v>
      </c>
      <c r="DN204" t="e">
        <f>AND(#REF!,"AAAAAB7fu3U=")</f>
        <v>#REF!</v>
      </c>
      <c r="DO204" t="e">
        <f>AND(#REF!,"AAAAAB7fu3Y=")</f>
        <v>#REF!</v>
      </c>
      <c r="DP204" t="e">
        <f>AND(#REF!,"AAAAAB7fu3c=")</f>
        <v>#REF!</v>
      </c>
      <c r="DQ204" t="e">
        <f>AND(#REF!,"AAAAAB7fu3g=")</f>
        <v>#REF!</v>
      </c>
      <c r="DR204" t="e">
        <f>AND(#REF!,"AAAAAB7fu3k=")</f>
        <v>#REF!</v>
      </c>
      <c r="DS204" t="e">
        <f>AND(#REF!,"AAAAAB7fu3o=")</f>
        <v>#REF!</v>
      </c>
      <c r="DT204" t="e">
        <f>AND(#REF!,"AAAAAB7fu3s=")</f>
        <v>#REF!</v>
      </c>
      <c r="DU204" t="e">
        <f>AND(#REF!,"AAAAAB7fu3w=")</f>
        <v>#REF!</v>
      </c>
      <c r="DV204" t="e">
        <f>AND(#REF!,"AAAAAB7fu30=")</f>
        <v>#REF!</v>
      </c>
      <c r="DW204" t="e">
        <f>AND(#REF!,"AAAAAB7fu34=")</f>
        <v>#REF!</v>
      </c>
      <c r="DX204" t="e">
        <f>AND(#REF!,"AAAAAB7fu38=")</f>
        <v>#REF!</v>
      </c>
      <c r="DY204" t="e">
        <f>AND(#REF!,"AAAAAB7fu4A=")</f>
        <v>#REF!</v>
      </c>
      <c r="DZ204" t="e">
        <f>AND(#REF!,"AAAAAB7fu4E=")</f>
        <v>#REF!</v>
      </c>
      <c r="EA204" t="e">
        <f>AND(#REF!,"AAAAAB7fu4I=")</f>
        <v>#REF!</v>
      </c>
      <c r="EB204" t="e">
        <f>AND(#REF!,"AAAAAB7fu4M=")</f>
        <v>#REF!</v>
      </c>
      <c r="EC204" t="e">
        <f>AND(#REF!,"AAAAAB7fu4Q=")</f>
        <v>#REF!</v>
      </c>
      <c r="ED204" t="e">
        <f>AND(#REF!,"AAAAAB7fu4U=")</f>
        <v>#REF!</v>
      </c>
      <c r="EE204" t="e">
        <f>AND(#REF!,"AAAAAB7fu4Y=")</f>
        <v>#REF!</v>
      </c>
      <c r="EF204" t="e">
        <f>AND(#REF!,"AAAAAB7fu4c=")</f>
        <v>#REF!</v>
      </c>
      <c r="EG204" t="e">
        <f>AND(#REF!,"AAAAAB7fu4g=")</f>
        <v>#REF!</v>
      </c>
      <c r="EH204" t="e">
        <f>AND(#REF!,"AAAAAB7fu4k=")</f>
        <v>#REF!</v>
      </c>
      <c r="EI204" t="e">
        <f>AND(#REF!,"AAAAAB7fu4o=")</f>
        <v>#REF!</v>
      </c>
      <c r="EJ204" t="e">
        <f>AND(#REF!,"AAAAAB7fu4s=")</f>
        <v>#REF!</v>
      </c>
      <c r="EK204" t="e">
        <f>AND(#REF!,"AAAAAB7fu4w=")</f>
        <v>#REF!</v>
      </c>
      <c r="EL204" t="e">
        <f>AND(#REF!,"AAAAAB7fu40=")</f>
        <v>#REF!</v>
      </c>
      <c r="EM204" t="e">
        <f>AND(#REF!,"AAAAAB7fu44=")</f>
        <v>#REF!</v>
      </c>
      <c r="EN204" t="e">
        <f>AND(#REF!,"AAAAAB7fu48=")</f>
        <v>#REF!</v>
      </c>
      <c r="EO204" t="e">
        <f>AND(#REF!,"AAAAAB7fu5A=")</f>
        <v>#REF!</v>
      </c>
      <c r="EP204" t="e">
        <f>AND(#REF!,"AAAAAB7fu5E=")</f>
        <v>#REF!</v>
      </c>
      <c r="EQ204" t="e">
        <f>AND(#REF!,"AAAAAB7fu5I=")</f>
        <v>#REF!</v>
      </c>
      <c r="ER204" t="e">
        <f>AND(#REF!,"AAAAAB7fu5M=")</f>
        <v>#REF!</v>
      </c>
      <c r="ES204" t="e">
        <f>AND(#REF!,"AAAAAB7fu5Q=")</f>
        <v>#REF!</v>
      </c>
      <c r="ET204" t="e">
        <f>AND(#REF!,"AAAAAB7fu5U=")</f>
        <v>#REF!</v>
      </c>
      <c r="EU204" t="e">
        <f>AND(#REF!,"AAAAAB7fu5Y=")</f>
        <v>#REF!</v>
      </c>
      <c r="EV204" t="e">
        <f>AND(#REF!,"AAAAAB7fu5c=")</f>
        <v>#REF!</v>
      </c>
      <c r="EW204" t="e">
        <f>AND(#REF!,"AAAAAB7fu5g=")</f>
        <v>#REF!</v>
      </c>
      <c r="EX204" t="e">
        <f>AND(#REF!,"AAAAAB7fu5k=")</f>
        <v>#REF!</v>
      </c>
      <c r="EY204" t="e">
        <f>AND(#REF!,"AAAAAB7fu5o=")</f>
        <v>#REF!</v>
      </c>
      <c r="EZ204" t="e">
        <f>AND(#REF!,"AAAAAB7fu5s=")</f>
        <v>#REF!</v>
      </c>
      <c r="FA204" t="e">
        <f>AND(#REF!,"AAAAAB7fu5w=")</f>
        <v>#REF!</v>
      </c>
      <c r="FB204" t="e">
        <f>AND(#REF!,"AAAAAB7fu50=")</f>
        <v>#REF!</v>
      </c>
      <c r="FC204" t="e">
        <f>AND(#REF!,"AAAAAB7fu54=")</f>
        <v>#REF!</v>
      </c>
      <c r="FD204" t="e">
        <f>AND(#REF!,"AAAAAB7fu58=")</f>
        <v>#REF!</v>
      </c>
      <c r="FE204" t="e">
        <f>AND(#REF!,"AAAAAB7fu6A=")</f>
        <v>#REF!</v>
      </c>
      <c r="FF204" t="e">
        <f>AND(#REF!,"AAAAAB7fu6E=")</f>
        <v>#REF!</v>
      </c>
      <c r="FG204" t="e">
        <f>AND(#REF!,"AAAAAB7fu6I=")</f>
        <v>#REF!</v>
      </c>
      <c r="FH204" t="e">
        <f>AND(#REF!,"AAAAAB7fu6M=")</f>
        <v>#REF!</v>
      </c>
      <c r="FI204" t="e">
        <f>AND(#REF!,"AAAAAB7fu6Q=")</f>
        <v>#REF!</v>
      </c>
      <c r="FJ204" t="e">
        <f>AND(#REF!,"AAAAAB7fu6U=")</f>
        <v>#REF!</v>
      </c>
      <c r="FK204" t="e">
        <f>AND(#REF!,"AAAAAB7fu6Y=")</f>
        <v>#REF!</v>
      </c>
      <c r="FL204" t="e">
        <f>AND(#REF!,"AAAAAB7fu6c=")</f>
        <v>#REF!</v>
      </c>
      <c r="FM204" t="e">
        <f>AND(#REF!,"AAAAAB7fu6g=")</f>
        <v>#REF!</v>
      </c>
      <c r="FN204" t="e">
        <f>AND(#REF!,"AAAAAB7fu6k=")</f>
        <v>#REF!</v>
      </c>
      <c r="FO204" t="e">
        <f>AND(#REF!,"AAAAAB7fu6o=")</f>
        <v>#REF!</v>
      </c>
      <c r="FP204" t="e">
        <f>AND(#REF!,"AAAAAB7fu6s=")</f>
        <v>#REF!</v>
      </c>
      <c r="FQ204" t="e">
        <f>AND(#REF!,"AAAAAB7fu6w=")</f>
        <v>#REF!</v>
      </c>
      <c r="FR204" t="e">
        <f>AND(#REF!,"AAAAAB7fu60=")</f>
        <v>#REF!</v>
      </c>
      <c r="FS204" t="e">
        <f>AND(#REF!,"AAAAAB7fu64=")</f>
        <v>#REF!</v>
      </c>
      <c r="FT204" t="e">
        <f>AND(#REF!,"AAAAAB7fu68=")</f>
        <v>#REF!</v>
      </c>
      <c r="FU204" t="e">
        <f>AND(#REF!,"AAAAAB7fu7A=")</f>
        <v>#REF!</v>
      </c>
      <c r="FV204" t="e">
        <f>AND(#REF!,"AAAAAB7fu7E=")</f>
        <v>#REF!</v>
      </c>
      <c r="FW204" t="e">
        <f>AND(#REF!,"AAAAAB7fu7I=")</f>
        <v>#REF!</v>
      </c>
      <c r="FX204" t="e">
        <f>AND(#REF!,"AAAAAB7fu7M=")</f>
        <v>#REF!</v>
      </c>
      <c r="FY204" t="e">
        <f>AND(#REF!,"AAAAAB7fu7Q=")</f>
        <v>#REF!</v>
      </c>
      <c r="FZ204" t="e">
        <f>AND(#REF!,"AAAAAB7fu7U=")</f>
        <v>#REF!</v>
      </c>
      <c r="GA204" t="e">
        <f>AND(#REF!,"AAAAAB7fu7Y=")</f>
        <v>#REF!</v>
      </c>
      <c r="GB204" t="e">
        <f>AND(#REF!,"AAAAAB7fu7c=")</f>
        <v>#REF!</v>
      </c>
      <c r="GC204" t="e">
        <f>AND(#REF!,"AAAAAB7fu7g=")</f>
        <v>#REF!</v>
      </c>
      <c r="GD204" t="e">
        <f>AND(#REF!,"AAAAAB7fu7k=")</f>
        <v>#REF!</v>
      </c>
      <c r="GE204" t="e">
        <f>IF(#REF!,"AAAAAB7fu7o=",0)</f>
        <v>#REF!</v>
      </c>
      <c r="GF204" t="e">
        <f>AND(#REF!,"AAAAAB7fu7s=")</f>
        <v>#REF!</v>
      </c>
      <c r="GG204" t="e">
        <f>AND(#REF!,"AAAAAB7fu7w=")</f>
        <v>#REF!</v>
      </c>
      <c r="GH204" t="e">
        <f>AND(#REF!,"AAAAAB7fu70=")</f>
        <v>#REF!</v>
      </c>
      <c r="GI204" t="e">
        <f>AND(#REF!,"AAAAAB7fu74=")</f>
        <v>#REF!</v>
      </c>
      <c r="GJ204" t="e">
        <f>AND(#REF!,"AAAAAB7fu78=")</f>
        <v>#REF!</v>
      </c>
      <c r="GK204" t="e">
        <f>AND(#REF!,"AAAAAB7fu8A=")</f>
        <v>#REF!</v>
      </c>
      <c r="GL204" t="e">
        <f>AND(#REF!,"AAAAAB7fu8E=")</f>
        <v>#REF!</v>
      </c>
      <c r="GM204" t="e">
        <f>AND(#REF!,"AAAAAB7fu8I=")</f>
        <v>#REF!</v>
      </c>
      <c r="GN204" t="e">
        <f>AND(#REF!,"AAAAAB7fu8M=")</f>
        <v>#REF!</v>
      </c>
      <c r="GO204" t="e">
        <f>AND(#REF!,"AAAAAB7fu8Q=")</f>
        <v>#REF!</v>
      </c>
      <c r="GP204" t="e">
        <f>AND(#REF!,"AAAAAB7fu8U=")</f>
        <v>#REF!</v>
      </c>
      <c r="GQ204" t="e">
        <f>AND(#REF!,"AAAAAB7fu8Y=")</f>
        <v>#REF!</v>
      </c>
      <c r="GR204" t="e">
        <f>AND(#REF!,"AAAAAB7fu8c=")</f>
        <v>#REF!</v>
      </c>
      <c r="GS204" t="e">
        <f>AND(#REF!,"AAAAAB7fu8g=")</f>
        <v>#REF!</v>
      </c>
      <c r="GT204" t="e">
        <f>AND(#REF!,"AAAAAB7fu8k=")</f>
        <v>#REF!</v>
      </c>
      <c r="GU204" t="e">
        <f>AND(#REF!,"AAAAAB7fu8o=")</f>
        <v>#REF!</v>
      </c>
      <c r="GV204" t="e">
        <f>AND(#REF!,"AAAAAB7fu8s=")</f>
        <v>#REF!</v>
      </c>
      <c r="GW204" t="e">
        <f>AND(#REF!,"AAAAAB7fu8w=")</f>
        <v>#REF!</v>
      </c>
      <c r="GX204" t="e">
        <f>AND(#REF!,"AAAAAB7fu80=")</f>
        <v>#REF!</v>
      </c>
      <c r="GY204" t="e">
        <f>AND(#REF!,"AAAAAB7fu84=")</f>
        <v>#REF!</v>
      </c>
      <c r="GZ204" t="e">
        <f>AND(#REF!,"AAAAAB7fu88=")</f>
        <v>#REF!</v>
      </c>
      <c r="HA204" t="e">
        <f>AND(#REF!,"AAAAAB7fu9A=")</f>
        <v>#REF!</v>
      </c>
      <c r="HB204" t="e">
        <f>AND(#REF!,"AAAAAB7fu9E=")</f>
        <v>#REF!</v>
      </c>
      <c r="HC204" t="e">
        <f>AND(#REF!,"AAAAAB7fu9I=")</f>
        <v>#REF!</v>
      </c>
      <c r="HD204" t="e">
        <f>AND(#REF!,"AAAAAB7fu9M=")</f>
        <v>#REF!</v>
      </c>
      <c r="HE204" t="e">
        <f>AND(#REF!,"AAAAAB7fu9Q=")</f>
        <v>#REF!</v>
      </c>
      <c r="HF204" t="e">
        <f>AND(#REF!,"AAAAAB7fu9U=")</f>
        <v>#REF!</v>
      </c>
      <c r="HG204" t="e">
        <f>AND(#REF!,"AAAAAB7fu9Y=")</f>
        <v>#REF!</v>
      </c>
      <c r="HH204" t="e">
        <f>AND(#REF!,"AAAAAB7fu9c=")</f>
        <v>#REF!</v>
      </c>
      <c r="HI204" t="e">
        <f>AND(#REF!,"AAAAAB7fu9g=")</f>
        <v>#REF!</v>
      </c>
      <c r="HJ204" t="e">
        <f>AND(#REF!,"AAAAAB7fu9k=")</f>
        <v>#REF!</v>
      </c>
      <c r="HK204" t="e">
        <f>AND(#REF!,"AAAAAB7fu9o=")</f>
        <v>#REF!</v>
      </c>
      <c r="HL204" t="e">
        <f>AND(#REF!,"AAAAAB7fu9s=")</f>
        <v>#REF!</v>
      </c>
      <c r="HM204" t="e">
        <f>AND(#REF!,"AAAAAB7fu9w=")</f>
        <v>#REF!</v>
      </c>
      <c r="HN204" t="e">
        <f>AND(#REF!,"AAAAAB7fu90=")</f>
        <v>#REF!</v>
      </c>
      <c r="HO204" t="e">
        <f>AND(#REF!,"AAAAAB7fu94=")</f>
        <v>#REF!</v>
      </c>
      <c r="HP204" t="e">
        <f>AND(#REF!,"AAAAAB7fu98=")</f>
        <v>#REF!</v>
      </c>
      <c r="HQ204" t="e">
        <f>AND(#REF!,"AAAAAB7fu+A=")</f>
        <v>#REF!</v>
      </c>
      <c r="HR204" t="e">
        <f>AND(#REF!,"AAAAAB7fu+E=")</f>
        <v>#REF!</v>
      </c>
      <c r="HS204" t="e">
        <f>AND(#REF!,"AAAAAB7fu+I=")</f>
        <v>#REF!</v>
      </c>
      <c r="HT204" t="e">
        <f>AND(#REF!,"AAAAAB7fu+M=")</f>
        <v>#REF!</v>
      </c>
      <c r="HU204" t="e">
        <f>AND(#REF!,"AAAAAB7fu+Q=")</f>
        <v>#REF!</v>
      </c>
      <c r="HV204" t="e">
        <f>AND(#REF!,"AAAAAB7fu+U=")</f>
        <v>#REF!</v>
      </c>
      <c r="HW204" t="e">
        <f>AND(#REF!,"AAAAAB7fu+Y=")</f>
        <v>#REF!</v>
      </c>
      <c r="HX204" t="e">
        <f>AND(#REF!,"AAAAAB7fu+c=")</f>
        <v>#REF!</v>
      </c>
      <c r="HY204" t="e">
        <f>AND(#REF!,"AAAAAB7fu+g=")</f>
        <v>#REF!</v>
      </c>
      <c r="HZ204" t="e">
        <f>AND(#REF!,"AAAAAB7fu+k=")</f>
        <v>#REF!</v>
      </c>
      <c r="IA204" t="e">
        <f>AND(#REF!,"AAAAAB7fu+o=")</f>
        <v>#REF!</v>
      </c>
      <c r="IB204" t="e">
        <f>AND(#REF!,"AAAAAB7fu+s=")</f>
        <v>#REF!</v>
      </c>
      <c r="IC204" t="e">
        <f>AND(#REF!,"AAAAAB7fu+w=")</f>
        <v>#REF!</v>
      </c>
      <c r="ID204" t="e">
        <f>AND(#REF!,"AAAAAB7fu+0=")</f>
        <v>#REF!</v>
      </c>
      <c r="IE204" t="e">
        <f>AND(#REF!,"AAAAAB7fu+4=")</f>
        <v>#REF!</v>
      </c>
      <c r="IF204" t="e">
        <f>AND(#REF!,"AAAAAB7fu+8=")</f>
        <v>#REF!</v>
      </c>
      <c r="IG204" t="e">
        <f>AND(#REF!,"AAAAAB7fu/A=")</f>
        <v>#REF!</v>
      </c>
      <c r="IH204" t="e">
        <f>AND(#REF!,"AAAAAB7fu/E=")</f>
        <v>#REF!</v>
      </c>
      <c r="II204" t="e">
        <f>AND(#REF!,"AAAAAB7fu/I=")</f>
        <v>#REF!</v>
      </c>
      <c r="IJ204" t="e">
        <f>AND(#REF!,"AAAAAB7fu/M=")</f>
        <v>#REF!</v>
      </c>
      <c r="IK204" t="e">
        <f>AND(#REF!,"AAAAAB7fu/Q=")</f>
        <v>#REF!</v>
      </c>
      <c r="IL204" t="e">
        <f>AND(#REF!,"AAAAAB7fu/U=")</f>
        <v>#REF!</v>
      </c>
      <c r="IM204" t="e">
        <f>AND(#REF!,"AAAAAB7fu/Y=")</f>
        <v>#REF!</v>
      </c>
      <c r="IN204" t="e">
        <f>AND(#REF!,"AAAAAB7fu/c=")</f>
        <v>#REF!</v>
      </c>
      <c r="IO204" t="e">
        <f>AND(#REF!,"AAAAAB7fu/g=")</f>
        <v>#REF!</v>
      </c>
      <c r="IP204" t="e">
        <f>AND(#REF!,"AAAAAB7fu/k=")</f>
        <v>#REF!</v>
      </c>
      <c r="IQ204" t="e">
        <f>AND(#REF!,"AAAAAB7fu/o=")</f>
        <v>#REF!</v>
      </c>
      <c r="IR204" t="e">
        <f>AND(#REF!,"AAAAAB7fu/s=")</f>
        <v>#REF!</v>
      </c>
      <c r="IS204" t="e">
        <f>AND(#REF!,"AAAAAB7fu/w=")</f>
        <v>#REF!</v>
      </c>
      <c r="IT204" t="e">
        <f>AND(#REF!,"AAAAAB7fu/0=")</f>
        <v>#REF!</v>
      </c>
      <c r="IU204" t="e">
        <f>AND(#REF!,"AAAAAB7fu/4=")</f>
        <v>#REF!</v>
      </c>
      <c r="IV204" t="e">
        <f>AND(#REF!,"AAAAAB7fu/8=")</f>
        <v>#REF!</v>
      </c>
    </row>
    <row r="205" spans="1:256">
      <c r="A205" t="e">
        <f>AND(#REF!,"AAAAAG/2DwA=")</f>
        <v>#REF!</v>
      </c>
      <c r="B205" t="e">
        <f>AND(#REF!,"AAAAAG/2DwE=")</f>
        <v>#REF!</v>
      </c>
      <c r="C205" t="e">
        <f>AND(#REF!,"AAAAAG/2DwI=")</f>
        <v>#REF!</v>
      </c>
      <c r="D205" t="e">
        <f>AND(#REF!,"AAAAAG/2DwM=")</f>
        <v>#REF!</v>
      </c>
      <c r="E205" t="e">
        <f>AND(#REF!,"AAAAAG/2DwQ=")</f>
        <v>#REF!</v>
      </c>
      <c r="F205" t="e">
        <f>AND(#REF!,"AAAAAG/2DwU=")</f>
        <v>#REF!</v>
      </c>
      <c r="G205" t="e">
        <f>AND(#REF!,"AAAAAG/2DwY=")</f>
        <v>#REF!</v>
      </c>
      <c r="H205" t="e">
        <f>AND(#REF!,"AAAAAG/2Dwc=")</f>
        <v>#REF!</v>
      </c>
      <c r="I205" t="e">
        <f>AND(#REF!,"AAAAAG/2Dwg=")</f>
        <v>#REF!</v>
      </c>
      <c r="J205" t="e">
        <f>AND(#REF!,"AAAAAG/2Dwk=")</f>
        <v>#REF!</v>
      </c>
      <c r="K205" t="e">
        <f>AND(#REF!,"AAAAAG/2Dwo=")</f>
        <v>#REF!</v>
      </c>
      <c r="L205" t="e">
        <f>AND(#REF!,"AAAAAG/2Dws=")</f>
        <v>#REF!</v>
      </c>
      <c r="M205" t="e">
        <f>AND(#REF!,"AAAAAG/2Dww=")</f>
        <v>#REF!</v>
      </c>
      <c r="N205" t="e">
        <f>AND(#REF!,"AAAAAG/2Dw0=")</f>
        <v>#REF!</v>
      </c>
      <c r="O205" t="e">
        <f>AND(#REF!,"AAAAAG/2Dw4=")</f>
        <v>#REF!</v>
      </c>
      <c r="P205" t="e">
        <f>AND(#REF!,"AAAAAG/2Dw8=")</f>
        <v>#REF!</v>
      </c>
      <c r="Q205" t="e">
        <f>AND(#REF!,"AAAAAG/2DxA=")</f>
        <v>#REF!</v>
      </c>
      <c r="R205" t="e">
        <f>AND(#REF!,"AAAAAG/2DxE=")</f>
        <v>#REF!</v>
      </c>
      <c r="S205" t="e">
        <f>AND(#REF!,"AAAAAG/2DxI=")</f>
        <v>#REF!</v>
      </c>
      <c r="T205" t="e">
        <f>AND(#REF!,"AAAAAG/2DxM=")</f>
        <v>#REF!</v>
      </c>
      <c r="U205" t="e">
        <f>AND(#REF!,"AAAAAG/2DxQ=")</f>
        <v>#REF!</v>
      </c>
      <c r="V205" t="e">
        <f>AND(#REF!,"AAAAAG/2DxU=")</f>
        <v>#REF!</v>
      </c>
      <c r="W205" t="e">
        <f>AND(#REF!,"AAAAAG/2DxY=")</f>
        <v>#REF!</v>
      </c>
      <c r="X205" t="e">
        <f>AND(#REF!,"AAAAAG/2Dxc=")</f>
        <v>#REF!</v>
      </c>
      <c r="Y205" t="e">
        <f>AND(#REF!,"AAAAAG/2Dxg=")</f>
        <v>#REF!</v>
      </c>
      <c r="Z205" t="e">
        <f>AND(#REF!,"AAAAAG/2Dxk=")</f>
        <v>#REF!</v>
      </c>
      <c r="AA205" t="e">
        <f>AND(#REF!,"AAAAAG/2Dxo=")</f>
        <v>#REF!</v>
      </c>
      <c r="AB205" t="e">
        <f>AND(#REF!,"AAAAAG/2Dxs=")</f>
        <v>#REF!</v>
      </c>
      <c r="AC205" t="e">
        <f>AND(#REF!,"AAAAAG/2Dxw=")</f>
        <v>#REF!</v>
      </c>
      <c r="AD205" t="e">
        <f>AND(#REF!,"AAAAAG/2Dx0=")</f>
        <v>#REF!</v>
      </c>
      <c r="AE205" t="e">
        <f>AND(#REF!,"AAAAAG/2Dx4=")</f>
        <v>#REF!</v>
      </c>
      <c r="AF205" t="e">
        <f>AND(#REF!,"AAAAAG/2Dx8=")</f>
        <v>#REF!</v>
      </c>
      <c r="AG205" t="e">
        <f>AND(#REF!,"AAAAAG/2DyA=")</f>
        <v>#REF!</v>
      </c>
      <c r="AH205" t="e">
        <f>AND(#REF!,"AAAAAG/2DyE=")</f>
        <v>#REF!</v>
      </c>
      <c r="AI205" t="e">
        <f>AND(#REF!,"AAAAAG/2DyI=")</f>
        <v>#REF!</v>
      </c>
      <c r="AJ205" t="e">
        <f>AND(#REF!,"AAAAAG/2DyM=")</f>
        <v>#REF!</v>
      </c>
      <c r="AK205" t="e">
        <f>AND(#REF!,"AAAAAG/2DyQ=")</f>
        <v>#REF!</v>
      </c>
      <c r="AL205" t="e">
        <f>AND(#REF!,"AAAAAG/2DyU=")</f>
        <v>#REF!</v>
      </c>
      <c r="AM205" t="e">
        <f>AND(#REF!,"AAAAAG/2DyY=")</f>
        <v>#REF!</v>
      </c>
      <c r="AN205" t="e">
        <f>AND(#REF!,"AAAAAG/2Dyc=")</f>
        <v>#REF!</v>
      </c>
      <c r="AO205" t="e">
        <f>AND(#REF!,"AAAAAG/2Dyg=")</f>
        <v>#REF!</v>
      </c>
      <c r="AP205" t="e">
        <f>AND(#REF!,"AAAAAG/2Dyk=")</f>
        <v>#REF!</v>
      </c>
      <c r="AQ205" t="e">
        <f>AND(#REF!,"AAAAAG/2Dyo=")</f>
        <v>#REF!</v>
      </c>
      <c r="AR205" t="e">
        <f>AND(#REF!,"AAAAAG/2Dys=")</f>
        <v>#REF!</v>
      </c>
      <c r="AS205" t="e">
        <f>AND(#REF!,"AAAAAG/2Dyw=")</f>
        <v>#REF!</v>
      </c>
      <c r="AT205" t="e">
        <f>AND(#REF!,"AAAAAG/2Dy0=")</f>
        <v>#REF!</v>
      </c>
      <c r="AU205" t="e">
        <f>AND(#REF!,"AAAAAG/2Dy4=")</f>
        <v>#REF!</v>
      </c>
      <c r="AV205" t="e">
        <f>AND(#REF!,"AAAAAG/2Dy8=")</f>
        <v>#REF!</v>
      </c>
      <c r="AW205" t="e">
        <f>AND(#REF!,"AAAAAG/2DzA=")</f>
        <v>#REF!</v>
      </c>
      <c r="AX205" t="e">
        <f>AND(#REF!,"AAAAAG/2DzE=")</f>
        <v>#REF!</v>
      </c>
      <c r="AY205" t="e">
        <f>AND(#REF!,"AAAAAG/2DzI=")</f>
        <v>#REF!</v>
      </c>
      <c r="AZ205" t="e">
        <f>AND(#REF!,"AAAAAG/2DzM=")</f>
        <v>#REF!</v>
      </c>
      <c r="BA205" t="e">
        <f>AND(#REF!,"AAAAAG/2DzQ=")</f>
        <v>#REF!</v>
      </c>
      <c r="BB205" t="e">
        <f>AND(#REF!,"AAAAAG/2DzU=")</f>
        <v>#REF!</v>
      </c>
      <c r="BC205" t="e">
        <f>AND(#REF!,"AAAAAG/2DzY=")</f>
        <v>#REF!</v>
      </c>
      <c r="BD205" t="e">
        <f>AND(#REF!,"AAAAAG/2Dzc=")</f>
        <v>#REF!</v>
      </c>
      <c r="BE205" t="e">
        <f>AND(#REF!,"AAAAAG/2Dzg=")</f>
        <v>#REF!</v>
      </c>
      <c r="BF205" t="e">
        <f>AND(#REF!,"AAAAAG/2Dzk=")</f>
        <v>#REF!</v>
      </c>
      <c r="BG205" t="e">
        <f>AND(#REF!,"AAAAAG/2Dzo=")</f>
        <v>#REF!</v>
      </c>
      <c r="BH205" t="e">
        <f>AND(#REF!,"AAAAAG/2Dzs=")</f>
        <v>#REF!</v>
      </c>
      <c r="BI205" t="e">
        <f>AND(#REF!,"AAAAAG/2Dzw=")</f>
        <v>#REF!</v>
      </c>
      <c r="BJ205" t="e">
        <f>AND(#REF!,"AAAAAG/2Dz0=")</f>
        <v>#REF!</v>
      </c>
      <c r="BK205" t="e">
        <f>AND(#REF!,"AAAAAG/2Dz4=")</f>
        <v>#REF!</v>
      </c>
      <c r="BL205" t="e">
        <f>AND(#REF!,"AAAAAG/2Dz8=")</f>
        <v>#REF!</v>
      </c>
      <c r="BM205" t="e">
        <f>AND(#REF!,"AAAAAG/2D0A=")</f>
        <v>#REF!</v>
      </c>
      <c r="BN205" t="e">
        <f>AND(#REF!,"AAAAAG/2D0E=")</f>
        <v>#REF!</v>
      </c>
      <c r="BO205" t="e">
        <f>AND(#REF!,"AAAAAG/2D0I=")</f>
        <v>#REF!</v>
      </c>
      <c r="BP205" t="e">
        <f>AND(#REF!,"AAAAAG/2D0M=")</f>
        <v>#REF!</v>
      </c>
      <c r="BQ205" t="e">
        <f>AND(#REF!,"AAAAAG/2D0Q=")</f>
        <v>#REF!</v>
      </c>
      <c r="BR205" t="e">
        <f>AND(#REF!,"AAAAAG/2D0U=")</f>
        <v>#REF!</v>
      </c>
      <c r="BS205" t="e">
        <f>AND(#REF!,"AAAAAG/2D0Y=")</f>
        <v>#REF!</v>
      </c>
      <c r="BT205" t="e">
        <f>AND(#REF!,"AAAAAG/2D0c=")</f>
        <v>#REF!</v>
      </c>
      <c r="BU205" t="e">
        <f>AND(#REF!,"AAAAAG/2D0g=")</f>
        <v>#REF!</v>
      </c>
      <c r="BV205" t="e">
        <f>AND(#REF!,"AAAAAG/2D0k=")</f>
        <v>#REF!</v>
      </c>
      <c r="BW205" t="e">
        <f>AND(#REF!,"AAAAAG/2D0o=")</f>
        <v>#REF!</v>
      </c>
      <c r="BX205" t="e">
        <f>AND(#REF!,"AAAAAG/2D0s=")</f>
        <v>#REF!</v>
      </c>
      <c r="BY205" t="e">
        <f>AND(#REF!,"AAAAAG/2D0w=")</f>
        <v>#REF!</v>
      </c>
      <c r="BZ205" t="e">
        <f>AND(#REF!,"AAAAAG/2D00=")</f>
        <v>#REF!</v>
      </c>
      <c r="CA205" t="e">
        <f>AND(#REF!,"AAAAAG/2D04=")</f>
        <v>#REF!</v>
      </c>
      <c r="CB205" t="e">
        <f>AND(#REF!,"AAAAAG/2D08=")</f>
        <v>#REF!</v>
      </c>
      <c r="CC205" t="e">
        <f>AND(#REF!,"AAAAAG/2D1A=")</f>
        <v>#REF!</v>
      </c>
      <c r="CD205" t="e">
        <f>AND(#REF!,"AAAAAG/2D1E=")</f>
        <v>#REF!</v>
      </c>
      <c r="CE205" t="e">
        <f>AND(#REF!,"AAAAAG/2D1I=")</f>
        <v>#REF!</v>
      </c>
      <c r="CF205" t="e">
        <f>AND(#REF!,"AAAAAG/2D1M=")</f>
        <v>#REF!</v>
      </c>
      <c r="CG205" t="e">
        <f>AND(#REF!,"AAAAAG/2D1Q=")</f>
        <v>#REF!</v>
      </c>
      <c r="CH205" t="e">
        <f>AND(#REF!,"AAAAAG/2D1U=")</f>
        <v>#REF!</v>
      </c>
      <c r="CI205" t="e">
        <f>AND(#REF!,"AAAAAG/2D1Y=")</f>
        <v>#REF!</v>
      </c>
      <c r="CJ205" t="e">
        <f>AND(#REF!,"AAAAAG/2D1c=")</f>
        <v>#REF!</v>
      </c>
      <c r="CK205" t="e">
        <f>AND(#REF!,"AAAAAG/2D1g=")</f>
        <v>#REF!</v>
      </c>
      <c r="CL205" t="e">
        <f>AND(#REF!,"AAAAAG/2D1k=")</f>
        <v>#REF!</v>
      </c>
      <c r="CM205" t="e">
        <f>AND(#REF!,"AAAAAG/2D1o=")</f>
        <v>#REF!</v>
      </c>
      <c r="CN205" t="e">
        <f>AND(#REF!,"AAAAAG/2D1s=")</f>
        <v>#REF!</v>
      </c>
      <c r="CO205" t="e">
        <f>AND(#REF!,"AAAAAG/2D1w=")</f>
        <v>#REF!</v>
      </c>
      <c r="CP205" t="e">
        <f>AND(#REF!,"AAAAAG/2D10=")</f>
        <v>#REF!</v>
      </c>
      <c r="CQ205" t="e">
        <f>AND(#REF!,"AAAAAG/2D14=")</f>
        <v>#REF!</v>
      </c>
      <c r="CR205" t="e">
        <f>AND(#REF!,"AAAAAG/2D18=")</f>
        <v>#REF!</v>
      </c>
      <c r="CS205" t="e">
        <f>AND(#REF!,"AAAAAG/2D2A=")</f>
        <v>#REF!</v>
      </c>
      <c r="CT205" t="e">
        <f>AND(#REF!,"AAAAAG/2D2E=")</f>
        <v>#REF!</v>
      </c>
      <c r="CU205" t="e">
        <f>AND(#REF!,"AAAAAG/2D2I=")</f>
        <v>#REF!</v>
      </c>
      <c r="CV205" t="e">
        <f>AND(#REF!,"AAAAAG/2D2M=")</f>
        <v>#REF!</v>
      </c>
      <c r="CW205" t="e">
        <f>AND(#REF!,"AAAAAG/2D2Q=")</f>
        <v>#REF!</v>
      </c>
      <c r="CX205" t="e">
        <f>AND(#REF!,"AAAAAG/2D2U=")</f>
        <v>#REF!</v>
      </c>
      <c r="CY205" t="e">
        <f>AND(#REF!,"AAAAAG/2D2Y=")</f>
        <v>#REF!</v>
      </c>
      <c r="CZ205" t="e">
        <f>AND(#REF!,"AAAAAG/2D2c=")</f>
        <v>#REF!</v>
      </c>
      <c r="DA205" t="e">
        <f>AND(#REF!,"AAAAAG/2D2g=")</f>
        <v>#REF!</v>
      </c>
      <c r="DB205" t="e">
        <f>AND(#REF!,"AAAAAG/2D2k=")</f>
        <v>#REF!</v>
      </c>
      <c r="DC205" t="e">
        <f>AND(#REF!,"AAAAAG/2D2o=")</f>
        <v>#REF!</v>
      </c>
      <c r="DD205" t="e">
        <f>AND(#REF!,"AAAAAG/2D2s=")</f>
        <v>#REF!</v>
      </c>
      <c r="DE205" t="e">
        <f>AND(#REF!,"AAAAAG/2D2w=")</f>
        <v>#REF!</v>
      </c>
      <c r="DF205" t="e">
        <f>AND(#REF!,"AAAAAG/2D20=")</f>
        <v>#REF!</v>
      </c>
      <c r="DG205" t="e">
        <f>AND(#REF!,"AAAAAG/2D24=")</f>
        <v>#REF!</v>
      </c>
      <c r="DH205" t="e">
        <f>AND(#REF!,"AAAAAG/2D28=")</f>
        <v>#REF!</v>
      </c>
      <c r="DI205" t="e">
        <f>AND(#REF!,"AAAAAG/2D3A=")</f>
        <v>#REF!</v>
      </c>
      <c r="DJ205" t="e">
        <f>AND(#REF!,"AAAAAG/2D3E=")</f>
        <v>#REF!</v>
      </c>
      <c r="DK205" t="e">
        <f>AND(#REF!,"AAAAAG/2D3I=")</f>
        <v>#REF!</v>
      </c>
      <c r="DL205" t="e">
        <f>AND(#REF!,"AAAAAG/2D3M=")</f>
        <v>#REF!</v>
      </c>
      <c r="DM205" t="e">
        <f>AND(#REF!,"AAAAAG/2D3Q=")</f>
        <v>#REF!</v>
      </c>
      <c r="DN205" t="e">
        <f>AND(#REF!,"AAAAAG/2D3U=")</f>
        <v>#REF!</v>
      </c>
      <c r="DO205" t="e">
        <f>AND(#REF!,"AAAAAG/2D3Y=")</f>
        <v>#REF!</v>
      </c>
      <c r="DP205" t="e">
        <f>AND(#REF!,"AAAAAG/2D3c=")</f>
        <v>#REF!</v>
      </c>
      <c r="DQ205" t="e">
        <f>AND(#REF!,"AAAAAG/2D3g=")</f>
        <v>#REF!</v>
      </c>
      <c r="DR205" t="e">
        <f>AND(#REF!,"AAAAAG/2D3k=")</f>
        <v>#REF!</v>
      </c>
      <c r="DS205" t="e">
        <f>AND(#REF!,"AAAAAG/2D3o=")</f>
        <v>#REF!</v>
      </c>
      <c r="DT205" t="e">
        <f>AND(#REF!,"AAAAAG/2D3s=")</f>
        <v>#REF!</v>
      </c>
      <c r="DU205" t="e">
        <f>AND(#REF!,"AAAAAG/2D3w=")</f>
        <v>#REF!</v>
      </c>
      <c r="DV205" t="e">
        <f>AND(#REF!,"AAAAAG/2D30=")</f>
        <v>#REF!</v>
      </c>
      <c r="DW205" t="e">
        <f>AND(#REF!,"AAAAAG/2D34=")</f>
        <v>#REF!</v>
      </c>
      <c r="DX205" t="e">
        <f>AND(#REF!,"AAAAAG/2D38=")</f>
        <v>#REF!</v>
      </c>
      <c r="DY205" t="e">
        <f>AND(#REF!,"AAAAAG/2D4A=")</f>
        <v>#REF!</v>
      </c>
      <c r="DZ205" t="e">
        <f>AND(#REF!,"AAAAAG/2D4E=")</f>
        <v>#REF!</v>
      </c>
      <c r="EA205" t="e">
        <f>AND(#REF!,"AAAAAG/2D4I=")</f>
        <v>#REF!</v>
      </c>
      <c r="EB205" t="e">
        <f>AND(#REF!,"AAAAAG/2D4M=")</f>
        <v>#REF!</v>
      </c>
      <c r="EC205" t="e">
        <f>AND(#REF!,"AAAAAG/2D4Q=")</f>
        <v>#REF!</v>
      </c>
      <c r="ED205" t="e">
        <f>AND(#REF!,"AAAAAG/2D4U=")</f>
        <v>#REF!</v>
      </c>
      <c r="EE205" t="e">
        <f>AND(#REF!,"AAAAAG/2D4Y=")</f>
        <v>#REF!</v>
      </c>
      <c r="EF205" t="e">
        <f>AND(#REF!,"AAAAAG/2D4c=")</f>
        <v>#REF!</v>
      </c>
      <c r="EG205" t="e">
        <f>AND(#REF!,"AAAAAG/2D4g=")</f>
        <v>#REF!</v>
      </c>
      <c r="EH205" t="e">
        <f>AND(#REF!,"AAAAAG/2D4k=")</f>
        <v>#REF!</v>
      </c>
      <c r="EI205" t="e">
        <f>AND(#REF!,"AAAAAG/2D4o=")</f>
        <v>#REF!</v>
      </c>
      <c r="EJ205" t="e">
        <f>AND(#REF!,"AAAAAG/2D4s=")</f>
        <v>#REF!</v>
      </c>
      <c r="EK205" t="e">
        <f>AND(#REF!,"AAAAAG/2D4w=")</f>
        <v>#REF!</v>
      </c>
      <c r="EL205" t="e">
        <f>AND(#REF!,"AAAAAG/2D40=")</f>
        <v>#REF!</v>
      </c>
      <c r="EM205" t="e">
        <f>AND(#REF!,"AAAAAG/2D44=")</f>
        <v>#REF!</v>
      </c>
      <c r="EN205" t="e">
        <f>AND(#REF!,"AAAAAG/2D48=")</f>
        <v>#REF!</v>
      </c>
      <c r="EO205" t="e">
        <f>AND(#REF!,"AAAAAG/2D5A=")</f>
        <v>#REF!</v>
      </c>
      <c r="EP205" t="e">
        <f>AND(#REF!,"AAAAAG/2D5E=")</f>
        <v>#REF!</v>
      </c>
      <c r="EQ205" t="e">
        <f>AND(#REF!,"AAAAAG/2D5I=")</f>
        <v>#REF!</v>
      </c>
      <c r="ER205" t="e">
        <f>AND(#REF!,"AAAAAG/2D5M=")</f>
        <v>#REF!</v>
      </c>
      <c r="ES205" t="e">
        <f>AND(#REF!,"AAAAAG/2D5Q=")</f>
        <v>#REF!</v>
      </c>
      <c r="ET205" t="e">
        <f>AND(#REF!,"AAAAAG/2D5U=")</f>
        <v>#REF!</v>
      </c>
      <c r="EU205" t="e">
        <f>AND(#REF!,"AAAAAG/2D5Y=")</f>
        <v>#REF!</v>
      </c>
      <c r="EV205" t="e">
        <f>AND(#REF!,"AAAAAG/2D5c=")</f>
        <v>#REF!</v>
      </c>
      <c r="EW205" t="e">
        <f>AND(#REF!,"AAAAAG/2D5g=")</f>
        <v>#REF!</v>
      </c>
      <c r="EX205" t="e">
        <f>AND(#REF!,"AAAAAG/2D5k=")</f>
        <v>#REF!</v>
      </c>
      <c r="EY205" t="e">
        <f>AND(#REF!,"AAAAAG/2D5o=")</f>
        <v>#REF!</v>
      </c>
      <c r="EZ205" t="e">
        <f>AND(#REF!,"AAAAAG/2D5s=")</f>
        <v>#REF!</v>
      </c>
      <c r="FA205" t="e">
        <f>AND(#REF!,"AAAAAG/2D5w=")</f>
        <v>#REF!</v>
      </c>
      <c r="FB205" t="e">
        <f>AND(#REF!,"AAAAAG/2D50=")</f>
        <v>#REF!</v>
      </c>
      <c r="FC205" t="e">
        <f>IF(#REF!,"AAAAAG/2D54=",0)</f>
        <v>#REF!</v>
      </c>
      <c r="FD205" t="e">
        <f>AND(#REF!,"AAAAAG/2D58=")</f>
        <v>#REF!</v>
      </c>
      <c r="FE205" t="e">
        <f>AND(#REF!,"AAAAAG/2D6A=")</f>
        <v>#REF!</v>
      </c>
      <c r="FF205" t="e">
        <f>AND(#REF!,"AAAAAG/2D6E=")</f>
        <v>#REF!</v>
      </c>
      <c r="FG205" t="e">
        <f>AND(#REF!,"AAAAAG/2D6I=")</f>
        <v>#REF!</v>
      </c>
      <c r="FH205" t="e">
        <f>AND(#REF!,"AAAAAG/2D6M=")</f>
        <v>#REF!</v>
      </c>
      <c r="FI205" t="e">
        <f>AND(#REF!,"AAAAAG/2D6Q=")</f>
        <v>#REF!</v>
      </c>
      <c r="FJ205" t="e">
        <f>AND(#REF!,"AAAAAG/2D6U=")</f>
        <v>#REF!</v>
      </c>
      <c r="FK205" t="e">
        <f>AND(#REF!,"AAAAAG/2D6Y=")</f>
        <v>#REF!</v>
      </c>
      <c r="FL205" t="e">
        <f>AND(#REF!,"AAAAAG/2D6c=")</f>
        <v>#REF!</v>
      </c>
      <c r="FM205" t="e">
        <f>AND(#REF!,"AAAAAG/2D6g=")</f>
        <v>#REF!</v>
      </c>
      <c r="FN205" t="e">
        <f>AND(#REF!,"AAAAAG/2D6k=")</f>
        <v>#REF!</v>
      </c>
      <c r="FO205" t="e">
        <f>AND(#REF!,"AAAAAG/2D6o=")</f>
        <v>#REF!</v>
      </c>
      <c r="FP205" t="e">
        <f>AND(#REF!,"AAAAAG/2D6s=")</f>
        <v>#REF!</v>
      </c>
      <c r="FQ205" t="e">
        <f>AND(#REF!,"AAAAAG/2D6w=")</f>
        <v>#REF!</v>
      </c>
      <c r="FR205" t="e">
        <f>AND(#REF!,"AAAAAG/2D60=")</f>
        <v>#REF!</v>
      </c>
      <c r="FS205" t="e">
        <f>AND(#REF!,"AAAAAG/2D64=")</f>
        <v>#REF!</v>
      </c>
      <c r="FT205" t="e">
        <f>AND(#REF!,"AAAAAG/2D68=")</f>
        <v>#REF!</v>
      </c>
      <c r="FU205" t="e">
        <f>AND(#REF!,"AAAAAG/2D7A=")</f>
        <v>#REF!</v>
      </c>
      <c r="FV205" t="e">
        <f>AND(#REF!,"AAAAAG/2D7E=")</f>
        <v>#REF!</v>
      </c>
      <c r="FW205" t="e">
        <f>AND(#REF!,"AAAAAG/2D7I=")</f>
        <v>#REF!</v>
      </c>
      <c r="FX205" t="e">
        <f>AND(#REF!,"AAAAAG/2D7M=")</f>
        <v>#REF!</v>
      </c>
      <c r="FY205" t="e">
        <f>AND(#REF!,"AAAAAG/2D7Q=")</f>
        <v>#REF!</v>
      </c>
      <c r="FZ205" t="e">
        <f>AND(#REF!,"AAAAAG/2D7U=")</f>
        <v>#REF!</v>
      </c>
      <c r="GA205" t="e">
        <f>AND(#REF!,"AAAAAG/2D7Y=")</f>
        <v>#REF!</v>
      </c>
      <c r="GB205" t="e">
        <f>AND(#REF!,"AAAAAG/2D7c=")</f>
        <v>#REF!</v>
      </c>
      <c r="GC205" t="e">
        <f>AND(#REF!,"AAAAAG/2D7g=")</f>
        <v>#REF!</v>
      </c>
      <c r="GD205" t="e">
        <f>AND(#REF!,"AAAAAG/2D7k=")</f>
        <v>#REF!</v>
      </c>
      <c r="GE205" t="e">
        <f>AND(#REF!,"AAAAAG/2D7o=")</f>
        <v>#REF!</v>
      </c>
      <c r="GF205" t="e">
        <f>AND(#REF!,"AAAAAG/2D7s=")</f>
        <v>#REF!</v>
      </c>
      <c r="GG205" t="e">
        <f>AND(#REF!,"AAAAAG/2D7w=")</f>
        <v>#REF!</v>
      </c>
      <c r="GH205" t="e">
        <f>AND(#REF!,"AAAAAG/2D70=")</f>
        <v>#REF!</v>
      </c>
      <c r="GI205" t="e">
        <f>AND(#REF!,"AAAAAG/2D74=")</f>
        <v>#REF!</v>
      </c>
      <c r="GJ205" t="e">
        <f>AND(#REF!,"AAAAAG/2D78=")</f>
        <v>#REF!</v>
      </c>
      <c r="GK205" t="e">
        <f>AND(#REF!,"AAAAAG/2D8A=")</f>
        <v>#REF!</v>
      </c>
      <c r="GL205" t="e">
        <f>AND(#REF!,"AAAAAG/2D8E=")</f>
        <v>#REF!</v>
      </c>
      <c r="GM205" t="e">
        <f>AND(#REF!,"AAAAAG/2D8I=")</f>
        <v>#REF!</v>
      </c>
      <c r="GN205" t="e">
        <f>AND(#REF!,"AAAAAG/2D8M=")</f>
        <v>#REF!</v>
      </c>
      <c r="GO205" t="e">
        <f>AND(#REF!,"AAAAAG/2D8Q=")</f>
        <v>#REF!</v>
      </c>
      <c r="GP205" t="e">
        <f>AND(#REF!,"AAAAAG/2D8U=")</f>
        <v>#REF!</v>
      </c>
      <c r="GQ205" t="e">
        <f>AND(#REF!,"AAAAAG/2D8Y=")</f>
        <v>#REF!</v>
      </c>
      <c r="GR205" t="e">
        <f>AND(#REF!,"AAAAAG/2D8c=")</f>
        <v>#REF!</v>
      </c>
      <c r="GS205" t="e">
        <f>AND(#REF!,"AAAAAG/2D8g=")</f>
        <v>#REF!</v>
      </c>
      <c r="GT205" t="e">
        <f>AND(#REF!,"AAAAAG/2D8k=")</f>
        <v>#REF!</v>
      </c>
      <c r="GU205" t="e">
        <f>AND(#REF!,"AAAAAG/2D8o=")</f>
        <v>#REF!</v>
      </c>
      <c r="GV205" t="e">
        <f>AND(#REF!,"AAAAAG/2D8s=")</f>
        <v>#REF!</v>
      </c>
      <c r="GW205" t="e">
        <f>AND(#REF!,"AAAAAG/2D8w=")</f>
        <v>#REF!</v>
      </c>
      <c r="GX205" t="e">
        <f>AND(#REF!,"AAAAAG/2D80=")</f>
        <v>#REF!</v>
      </c>
      <c r="GY205" t="e">
        <f>AND(#REF!,"AAAAAG/2D84=")</f>
        <v>#REF!</v>
      </c>
      <c r="GZ205" t="e">
        <f>AND(#REF!,"AAAAAG/2D88=")</f>
        <v>#REF!</v>
      </c>
      <c r="HA205" t="e">
        <f>AND(#REF!,"AAAAAG/2D9A=")</f>
        <v>#REF!</v>
      </c>
      <c r="HB205" t="e">
        <f>AND(#REF!,"AAAAAG/2D9E=")</f>
        <v>#REF!</v>
      </c>
      <c r="HC205" t="e">
        <f>AND(#REF!,"AAAAAG/2D9I=")</f>
        <v>#REF!</v>
      </c>
      <c r="HD205" t="e">
        <f>AND(#REF!,"AAAAAG/2D9M=")</f>
        <v>#REF!</v>
      </c>
      <c r="HE205" t="e">
        <f>AND(#REF!,"AAAAAG/2D9Q=")</f>
        <v>#REF!</v>
      </c>
      <c r="HF205" t="e">
        <f>AND(#REF!,"AAAAAG/2D9U=")</f>
        <v>#REF!</v>
      </c>
      <c r="HG205" t="e">
        <f>AND(#REF!,"AAAAAG/2D9Y=")</f>
        <v>#REF!</v>
      </c>
      <c r="HH205" t="e">
        <f>AND(#REF!,"AAAAAG/2D9c=")</f>
        <v>#REF!</v>
      </c>
      <c r="HI205" t="e">
        <f>AND(#REF!,"AAAAAG/2D9g=")</f>
        <v>#REF!</v>
      </c>
      <c r="HJ205" t="e">
        <f>AND(#REF!,"AAAAAG/2D9k=")</f>
        <v>#REF!</v>
      </c>
      <c r="HK205" t="e">
        <f>AND(#REF!,"AAAAAG/2D9o=")</f>
        <v>#REF!</v>
      </c>
      <c r="HL205" t="e">
        <f>AND(#REF!,"AAAAAG/2D9s=")</f>
        <v>#REF!</v>
      </c>
      <c r="HM205" t="e">
        <f>AND(#REF!,"AAAAAG/2D9w=")</f>
        <v>#REF!</v>
      </c>
      <c r="HN205" t="e">
        <f>AND(#REF!,"AAAAAG/2D90=")</f>
        <v>#REF!</v>
      </c>
      <c r="HO205" t="e">
        <f>AND(#REF!,"AAAAAG/2D94=")</f>
        <v>#REF!</v>
      </c>
      <c r="HP205" t="e">
        <f>AND(#REF!,"AAAAAG/2D98=")</f>
        <v>#REF!</v>
      </c>
      <c r="HQ205" t="e">
        <f>AND(#REF!,"AAAAAG/2D+A=")</f>
        <v>#REF!</v>
      </c>
      <c r="HR205" t="e">
        <f>AND(#REF!,"AAAAAG/2D+E=")</f>
        <v>#REF!</v>
      </c>
      <c r="HS205" t="e">
        <f>AND(#REF!,"AAAAAG/2D+I=")</f>
        <v>#REF!</v>
      </c>
      <c r="HT205" t="e">
        <f>AND(#REF!,"AAAAAG/2D+M=")</f>
        <v>#REF!</v>
      </c>
      <c r="HU205" t="e">
        <f>AND(#REF!,"AAAAAG/2D+Q=")</f>
        <v>#REF!</v>
      </c>
      <c r="HV205" t="e">
        <f>AND(#REF!,"AAAAAG/2D+U=")</f>
        <v>#REF!</v>
      </c>
      <c r="HW205" t="e">
        <f>AND(#REF!,"AAAAAG/2D+Y=")</f>
        <v>#REF!</v>
      </c>
      <c r="HX205" t="e">
        <f>AND(#REF!,"AAAAAG/2D+c=")</f>
        <v>#REF!</v>
      </c>
      <c r="HY205" t="e">
        <f>AND(#REF!,"AAAAAG/2D+g=")</f>
        <v>#REF!</v>
      </c>
      <c r="HZ205" t="e">
        <f>AND(#REF!,"AAAAAG/2D+k=")</f>
        <v>#REF!</v>
      </c>
      <c r="IA205" t="e">
        <f>AND(#REF!,"AAAAAG/2D+o=")</f>
        <v>#REF!</v>
      </c>
      <c r="IB205" t="e">
        <f>AND(#REF!,"AAAAAG/2D+s=")</f>
        <v>#REF!</v>
      </c>
      <c r="IC205" t="e">
        <f>AND(#REF!,"AAAAAG/2D+w=")</f>
        <v>#REF!</v>
      </c>
      <c r="ID205" t="e">
        <f>AND(#REF!,"AAAAAG/2D+0=")</f>
        <v>#REF!</v>
      </c>
      <c r="IE205" t="e">
        <f>AND(#REF!,"AAAAAG/2D+4=")</f>
        <v>#REF!</v>
      </c>
      <c r="IF205" t="e">
        <f>AND(#REF!,"AAAAAG/2D+8=")</f>
        <v>#REF!</v>
      </c>
      <c r="IG205" t="e">
        <f>AND(#REF!,"AAAAAG/2D/A=")</f>
        <v>#REF!</v>
      </c>
      <c r="IH205" t="e">
        <f>AND(#REF!,"AAAAAG/2D/E=")</f>
        <v>#REF!</v>
      </c>
      <c r="II205" t="e">
        <f>AND(#REF!,"AAAAAG/2D/I=")</f>
        <v>#REF!</v>
      </c>
      <c r="IJ205" t="e">
        <f>AND(#REF!,"AAAAAG/2D/M=")</f>
        <v>#REF!</v>
      </c>
      <c r="IK205" t="e">
        <f>AND(#REF!,"AAAAAG/2D/Q=")</f>
        <v>#REF!</v>
      </c>
      <c r="IL205" t="e">
        <f>AND(#REF!,"AAAAAG/2D/U=")</f>
        <v>#REF!</v>
      </c>
      <c r="IM205" t="e">
        <f>AND(#REF!,"AAAAAG/2D/Y=")</f>
        <v>#REF!</v>
      </c>
      <c r="IN205" t="e">
        <f>AND(#REF!,"AAAAAG/2D/c=")</f>
        <v>#REF!</v>
      </c>
      <c r="IO205" t="e">
        <f>AND(#REF!,"AAAAAG/2D/g=")</f>
        <v>#REF!</v>
      </c>
      <c r="IP205" t="e">
        <f>AND(#REF!,"AAAAAG/2D/k=")</f>
        <v>#REF!</v>
      </c>
      <c r="IQ205" t="e">
        <f>AND(#REF!,"AAAAAG/2D/o=")</f>
        <v>#REF!</v>
      </c>
      <c r="IR205" t="e">
        <f>AND(#REF!,"AAAAAG/2D/s=")</f>
        <v>#REF!</v>
      </c>
      <c r="IS205" t="e">
        <f>AND(#REF!,"AAAAAG/2D/w=")</f>
        <v>#REF!</v>
      </c>
      <c r="IT205" t="e">
        <f>AND(#REF!,"AAAAAG/2D/0=")</f>
        <v>#REF!</v>
      </c>
      <c r="IU205" t="e">
        <f>AND(#REF!,"AAAAAG/2D/4=")</f>
        <v>#REF!</v>
      </c>
      <c r="IV205" t="e">
        <f>AND(#REF!,"AAAAAG/2D/8=")</f>
        <v>#REF!</v>
      </c>
    </row>
    <row r="206" spans="1:256">
      <c r="A206" t="e">
        <f>AND(#REF!,"AAAAAD9//QA=")</f>
        <v>#REF!</v>
      </c>
      <c r="B206" t="e">
        <f>AND(#REF!,"AAAAAD9//QE=")</f>
        <v>#REF!</v>
      </c>
      <c r="C206" t="e">
        <f>AND(#REF!,"AAAAAD9//QI=")</f>
        <v>#REF!</v>
      </c>
      <c r="D206" t="e">
        <f>AND(#REF!,"AAAAAD9//QM=")</f>
        <v>#REF!</v>
      </c>
      <c r="E206" t="e">
        <f>AND(#REF!,"AAAAAD9//QQ=")</f>
        <v>#REF!</v>
      </c>
      <c r="F206" t="e">
        <f>AND(#REF!,"AAAAAD9//QU=")</f>
        <v>#REF!</v>
      </c>
      <c r="G206" t="e">
        <f>AND(#REF!,"AAAAAD9//QY=")</f>
        <v>#REF!</v>
      </c>
      <c r="H206" t="e">
        <f>AND(#REF!,"AAAAAD9//Qc=")</f>
        <v>#REF!</v>
      </c>
      <c r="I206" t="e">
        <f>AND(#REF!,"AAAAAD9//Qg=")</f>
        <v>#REF!</v>
      </c>
      <c r="J206" t="e">
        <f>AND(#REF!,"AAAAAD9//Qk=")</f>
        <v>#REF!</v>
      </c>
      <c r="K206" t="e">
        <f>AND(#REF!,"AAAAAD9//Qo=")</f>
        <v>#REF!</v>
      </c>
      <c r="L206" t="e">
        <f>AND(#REF!,"AAAAAD9//Qs=")</f>
        <v>#REF!</v>
      </c>
      <c r="M206" t="e">
        <f>AND(#REF!,"AAAAAD9//Qw=")</f>
        <v>#REF!</v>
      </c>
      <c r="N206" t="e">
        <f>AND(#REF!,"AAAAAD9//Q0=")</f>
        <v>#REF!</v>
      </c>
      <c r="O206" t="e">
        <f>AND(#REF!,"AAAAAD9//Q4=")</f>
        <v>#REF!</v>
      </c>
      <c r="P206" t="e">
        <f>AND(#REF!,"AAAAAD9//Q8=")</f>
        <v>#REF!</v>
      </c>
      <c r="Q206" t="e">
        <f>AND(#REF!,"AAAAAD9//RA=")</f>
        <v>#REF!</v>
      </c>
      <c r="R206" t="e">
        <f>AND(#REF!,"AAAAAD9//RE=")</f>
        <v>#REF!</v>
      </c>
      <c r="S206" t="e">
        <f>AND(#REF!,"AAAAAD9//RI=")</f>
        <v>#REF!</v>
      </c>
      <c r="T206" t="e">
        <f>AND(#REF!,"AAAAAD9//RM=")</f>
        <v>#REF!</v>
      </c>
      <c r="U206" t="e">
        <f>AND(#REF!,"AAAAAD9//RQ=")</f>
        <v>#REF!</v>
      </c>
      <c r="V206" t="e">
        <f>AND(#REF!,"AAAAAD9//RU=")</f>
        <v>#REF!</v>
      </c>
      <c r="W206" t="e">
        <f>AND(#REF!,"AAAAAD9//RY=")</f>
        <v>#REF!</v>
      </c>
      <c r="X206" t="e">
        <f>AND(#REF!,"AAAAAD9//Rc=")</f>
        <v>#REF!</v>
      </c>
      <c r="Y206" t="e">
        <f>AND(#REF!,"AAAAAD9//Rg=")</f>
        <v>#REF!</v>
      </c>
      <c r="Z206" t="e">
        <f>AND(#REF!,"AAAAAD9//Rk=")</f>
        <v>#REF!</v>
      </c>
      <c r="AA206" t="e">
        <f>AND(#REF!,"AAAAAD9//Ro=")</f>
        <v>#REF!</v>
      </c>
      <c r="AB206" t="e">
        <f>AND(#REF!,"AAAAAD9//Rs=")</f>
        <v>#REF!</v>
      </c>
      <c r="AC206" t="e">
        <f>AND(#REF!,"AAAAAD9//Rw=")</f>
        <v>#REF!</v>
      </c>
      <c r="AD206" t="e">
        <f>AND(#REF!,"AAAAAD9//R0=")</f>
        <v>#REF!</v>
      </c>
      <c r="AE206" t="e">
        <f>AND(#REF!,"AAAAAD9//R4=")</f>
        <v>#REF!</v>
      </c>
      <c r="AF206" t="e">
        <f>AND(#REF!,"AAAAAD9//R8=")</f>
        <v>#REF!</v>
      </c>
      <c r="AG206" t="e">
        <f>AND(#REF!,"AAAAAD9//SA=")</f>
        <v>#REF!</v>
      </c>
      <c r="AH206" t="e">
        <f>AND(#REF!,"AAAAAD9//SE=")</f>
        <v>#REF!</v>
      </c>
      <c r="AI206" t="e">
        <f>AND(#REF!,"AAAAAD9//SI=")</f>
        <v>#REF!</v>
      </c>
      <c r="AJ206" t="e">
        <f>AND(#REF!,"AAAAAD9//SM=")</f>
        <v>#REF!</v>
      </c>
      <c r="AK206" t="e">
        <f>AND(#REF!,"AAAAAD9//SQ=")</f>
        <v>#REF!</v>
      </c>
      <c r="AL206" t="e">
        <f>AND(#REF!,"AAAAAD9//SU=")</f>
        <v>#REF!</v>
      </c>
      <c r="AM206" t="e">
        <f>AND(#REF!,"AAAAAD9//SY=")</f>
        <v>#REF!</v>
      </c>
      <c r="AN206" t="e">
        <f>AND(#REF!,"AAAAAD9//Sc=")</f>
        <v>#REF!</v>
      </c>
      <c r="AO206" t="e">
        <f>AND(#REF!,"AAAAAD9//Sg=")</f>
        <v>#REF!</v>
      </c>
      <c r="AP206" t="e">
        <f>AND(#REF!,"AAAAAD9//Sk=")</f>
        <v>#REF!</v>
      </c>
      <c r="AQ206" t="e">
        <f>AND(#REF!,"AAAAAD9//So=")</f>
        <v>#REF!</v>
      </c>
      <c r="AR206" t="e">
        <f>AND(#REF!,"AAAAAD9//Ss=")</f>
        <v>#REF!</v>
      </c>
      <c r="AS206" t="e">
        <f>AND(#REF!,"AAAAAD9//Sw=")</f>
        <v>#REF!</v>
      </c>
      <c r="AT206" t="e">
        <f>AND(#REF!,"AAAAAD9//S0=")</f>
        <v>#REF!</v>
      </c>
      <c r="AU206" t="e">
        <f>AND(#REF!,"AAAAAD9//S4=")</f>
        <v>#REF!</v>
      </c>
      <c r="AV206" t="e">
        <f>AND(#REF!,"AAAAAD9//S8=")</f>
        <v>#REF!</v>
      </c>
      <c r="AW206" t="e">
        <f>AND(#REF!,"AAAAAD9//TA=")</f>
        <v>#REF!</v>
      </c>
      <c r="AX206" t="e">
        <f>AND(#REF!,"AAAAAD9//TE=")</f>
        <v>#REF!</v>
      </c>
      <c r="AY206" t="e">
        <f>AND(#REF!,"AAAAAD9//TI=")</f>
        <v>#REF!</v>
      </c>
      <c r="AZ206" t="e">
        <f>AND(#REF!,"AAAAAD9//TM=")</f>
        <v>#REF!</v>
      </c>
      <c r="BA206" t="e">
        <f>AND(#REF!,"AAAAAD9//TQ=")</f>
        <v>#REF!</v>
      </c>
      <c r="BB206" t="e">
        <f>AND(#REF!,"AAAAAD9//TU=")</f>
        <v>#REF!</v>
      </c>
      <c r="BC206" t="e">
        <f>AND(#REF!,"AAAAAD9//TY=")</f>
        <v>#REF!</v>
      </c>
      <c r="BD206" t="e">
        <f>AND(#REF!,"AAAAAD9//Tc=")</f>
        <v>#REF!</v>
      </c>
      <c r="BE206" t="e">
        <f>AND(#REF!,"AAAAAD9//Tg=")</f>
        <v>#REF!</v>
      </c>
      <c r="BF206" t="e">
        <f>AND(#REF!,"AAAAAD9//Tk=")</f>
        <v>#REF!</v>
      </c>
      <c r="BG206" t="e">
        <f>AND(#REF!,"AAAAAD9//To=")</f>
        <v>#REF!</v>
      </c>
      <c r="BH206" t="e">
        <f>AND(#REF!,"AAAAAD9//Ts=")</f>
        <v>#REF!</v>
      </c>
      <c r="BI206" t="e">
        <f>AND(#REF!,"AAAAAD9//Tw=")</f>
        <v>#REF!</v>
      </c>
      <c r="BJ206" t="e">
        <f>AND(#REF!,"AAAAAD9//T0=")</f>
        <v>#REF!</v>
      </c>
      <c r="BK206" t="e">
        <f>AND(#REF!,"AAAAAD9//T4=")</f>
        <v>#REF!</v>
      </c>
      <c r="BL206" t="e">
        <f>AND(#REF!,"AAAAAD9//T8=")</f>
        <v>#REF!</v>
      </c>
      <c r="BM206" t="e">
        <f>AND(#REF!,"AAAAAD9//UA=")</f>
        <v>#REF!</v>
      </c>
      <c r="BN206" t="e">
        <f>AND(#REF!,"AAAAAD9//UE=")</f>
        <v>#REF!</v>
      </c>
      <c r="BO206" t="e">
        <f>AND(#REF!,"AAAAAD9//UI=")</f>
        <v>#REF!</v>
      </c>
      <c r="BP206" t="e">
        <f>AND(#REF!,"AAAAAD9//UM=")</f>
        <v>#REF!</v>
      </c>
      <c r="BQ206" t="e">
        <f>AND(#REF!,"AAAAAD9//UQ=")</f>
        <v>#REF!</v>
      </c>
      <c r="BR206" t="e">
        <f>AND(#REF!,"AAAAAD9//UU=")</f>
        <v>#REF!</v>
      </c>
      <c r="BS206" t="e">
        <f>AND(#REF!,"AAAAAD9//UY=")</f>
        <v>#REF!</v>
      </c>
      <c r="BT206" t="e">
        <f>AND(#REF!,"AAAAAD9//Uc=")</f>
        <v>#REF!</v>
      </c>
      <c r="BU206" t="e">
        <f>AND(#REF!,"AAAAAD9//Ug=")</f>
        <v>#REF!</v>
      </c>
      <c r="BV206" t="e">
        <f>AND(#REF!,"AAAAAD9//Uk=")</f>
        <v>#REF!</v>
      </c>
      <c r="BW206" t="e">
        <f>AND(#REF!,"AAAAAD9//Uo=")</f>
        <v>#REF!</v>
      </c>
      <c r="BX206" t="e">
        <f>AND(#REF!,"AAAAAD9//Us=")</f>
        <v>#REF!</v>
      </c>
      <c r="BY206" t="e">
        <f>AND(#REF!,"AAAAAD9//Uw=")</f>
        <v>#REF!</v>
      </c>
      <c r="BZ206" t="e">
        <f>AND(#REF!,"AAAAAD9//U0=")</f>
        <v>#REF!</v>
      </c>
      <c r="CA206" t="e">
        <f>AND(#REF!,"AAAAAD9//U4=")</f>
        <v>#REF!</v>
      </c>
      <c r="CB206" t="e">
        <f>AND(#REF!,"AAAAAD9//U8=")</f>
        <v>#REF!</v>
      </c>
      <c r="CC206" t="e">
        <f>AND(#REF!,"AAAAAD9//VA=")</f>
        <v>#REF!</v>
      </c>
      <c r="CD206" t="e">
        <f>AND(#REF!,"AAAAAD9//VE=")</f>
        <v>#REF!</v>
      </c>
      <c r="CE206" t="e">
        <f>AND(#REF!,"AAAAAD9//VI=")</f>
        <v>#REF!</v>
      </c>
      <c r="CF206" t="e">
        <f>AND(#REF!,"AAAAAD9//VM=")</f>
        <v>#REF!</v>
      </c>
      <c r="CG206" t="e">
        <f>AND(#REF!,"AAAAAD9//VQ=")</f>
        <v>#REF!</v>
      </c>
      <c r="CH206" t="e">
        <f>AND(#REF!,"AAAAAD9//VU=")</f>
        <v>#REF!</v>
      </c>
      <c r="CI206" t="e">
        <f>AND(#REF!,"AAAAAD9//VY=")</f>
        <v>#REF!</v>
      </c>
      <c r="CJ206" t="e">
        <f>AND(#REF!,"AAAAAD9//Vc=")</f>
        <v>#REF!</v>
      </c>
      <c r="CK206" t="e">
        <f>AND(#REF!,"AAAAAD9//Vg=")</f>
        <v>#REF!</v>
      </c>
      <c r="CL206" t="e">
        <f>AND(#REF!,"AAAAAD9//Vk=")</f>
        <v>#REF!</v>
      </c>
      <c r="CM206" t="e">
        <f>AND(#REF!,"AAAAAD9//Vo=")</f>
        <v>#REF!</v>
      </c>
      <c r="CN206" t="e">
        <f>AND(#REF!,"AAAAAD9//Vs=")</f>
        <v>#REF!</v>
      </c>
      <c r="CO206" t="e">
        <f>AND(#REF!,"AAAAAD9//Vw=")</f>
        <v>#REF!</v>
      </c>
      <c r="CP206" t="e">
        <f>AND(#REF!,"AAAAAD9//V0=")</f>
        <v>#REF!</v>
      </c>
      <c r="CQ206" t="e">
        <f>AND(#REF!,"AAAAAD9//V4=")</f>
        <v>#REF!</v>
      </c>
      <c r="CR206" t="e">
        <f>AND(#REF!,"AAAAAD9//V8=")</f>
        <v>#REF!</v>
      </c>
      <c r="CS206" t="e">
        <f>AND(#REF!,"AAAAAD9//WA=")</f>
        <v>#REF!</v>
      </c>
      <c r="CT206" t="e">
        <f>AND(#REF!,"AAAAAD9//WE=")</f>
        <v>#REF!</v>
      </c>
      <c r="CU206" t="e">
        <f>AND(#REF!,"AAAAAD9//WI=")</f>
        <v>#REF!</v>
      </c>
      <c r="CV206" t="e">
        <f>AND(#REF!,"AAAAAD9//WM=")</f>
        <v>#REF!</v>
      </c>
      <c r="CW206" t="e">
        <f>AND(#REF!,"AAAAAD9//WQ=")</f>
        <v>#REF!</v>
      </c>
      <c r="CX206" t="e">
        <f>AND(#REF!,"AAAAAD9//WU=")</f>
        <v>#REF!</v>
      </c>
      <c r="CY206" t="e">
        <f>AND(#REF!,"AAAAAD9//WY=")</f>
        <v>#REF!</v>
      </c>
      <c r="CZ206" t="e">
        <f>AND(#REF!,"AAAAAD9//Wc=")</f>
        <v>#REF!</v>
      </c>
      <c r="DA206" t="e">
        <f>AND(#REF!,"AAAAAD9//Wg=")</f>
        <v>#REF!</v>
      </c>
      <c r="DB206" t="e">
        <f>AND(#REF!,"AAAAAD9//Wk=")</f>
        <v>#REF!</v>
      </c>
      <c r="DC206" t="e">
        <f>AND(#REF!,"AAAAAD9//Wo=")</f>
        <v>#REF!</v>
      </c>
      <c r="DD206" t="e">
        <f>AND(#REF!,"AAAAAD9//Ws=")</f>
        <v>#REF!</v>
      </c>
      <c r="DE206" t="e">
        <f>AND(#REF!,"AAAAAD9//Ww=")</f>
        <v>#REF!</v>
      </c>
      <c r="DF206" t="e">
        <f>AND(#REF!,"AAAAAD9//W0=")</f>
        <v>#REF!</v>
      </c>
      <c r="DG206" t="e">
        <f>AND(#REF!,"AAAAAD9//W4=")</f>
        <v>#REF!</v>
      </c>
      <c r="DH206" t="e">
        <f>AND(#REF!,"AAAAAD9//W8=")</f>
        <v>#REF!</v>
      </c>
      <c r="DI206" t="e">
        <f>AND(#REF!,"AAAAAD9//XA=")</f>
        <v>#REF!</v>
      </c>
      <c r="DJ206" t="e">
        <f>AND(#REF!,"AAAAAD9//XE=")</f>
        <v>#REF!</v>
      </c>
      <c r="DK206" t="e">
        <f>AND(#REF!,"AAAAAD9//XI=")</f>
        <v>#REF!</v>
      </c>
      <c r="DL206" t="e">
        <f>AND(#REF!,"AAAAAD9//XM=")</f>
        <v>#REF!</v>
      </c>
      <c r="DM206" t="e">
        <f>AND(#REF!,"AAAAAD9//XQ=")</f>
        <v>#REF!</v>
      </c>
      <c r="DN206" t="e">
        <f>AND(#REF!,"AAAAAD9//XU=")</f>
        <v>#REF!</v>
      </c>
      <c r="DO206" t="e">
        <f>AND(#REF!,"AAAAAD9//XY=")</f>
        <v>#REF!</v>
      </c>
      <c r="DP206" t="e">
        <f>AND(#REF!,"AAAAAD9//Xc=")</f>
        <v>#REF!</v>
      </c>
      <c r="DQ206" t="e">
        <f>AND(#REF!,"AAAAAD9//Xg=")</f>
        <v>#REF!</v>
      </c>
      <c r="DR206" t="e">
        <f>AND(#REF!,"AAAAAD9//Xk=")</f>
        <v>#REF!</v>
      </c>
      <c r="DS206" t="e">
        <f>AND(#REF!,"AAAAAD9//Xo=")</f>
        <v>#REF!</v>
      </c>
      <c r="DT206" t="e">
        <f>AND(#REF!,"AAAAAD9//Xs=")</f>
        <v>#REF!</v>
      </c>
      <c r="DU206" t="e">
        <f>AND(#REF!,"AAAAAD9//Xw=")</f>
        <v>#REF!</v>
      </c>
      <c r="DV206" t="e">
        <f>AND(#REF!,"AAAAAD9//X0=")</f>
        <v>#REF!</v>
      </c>
      <c r="DW206" t="e">
        <f>AND(#REF!,"AAAAAD9//X4=")</f>
        <v>#REF!</v>
      </c>
      <c r="DX206" t="e">
        <f>AND(#REF!,"AAAAAD9//X8=")</f>
        <v>#REF!</v>
      </c>
      <c r="DY206" t="e">
        <f>AND(#REF!,"AAAAAD9//YA=")</f>
        <v>#REF!</v>
      </c>
      <c r="DZ206" t="e">
        <f>AND(#REF!,"AAAAAD9//YE=")</f>
        <v>#REF!</v>
      </c>
      <c r="EA206" t="e">
        <f>IF(#REF!,"AAAAAD9//YI=",0)</f>
        <v>#REF!</v>
      </c>
      <c r="EB206" t="e">
        <f>AND(#REF!,"AAAAAD9//YM=")</f>
        <v>#REF!</v>
      </c>
      <c r="EC206" t="e">
        <f>AND(#REF!,"AAAAAD9//YQ=")</f>
        <v>#REF!</v>
      </c>
      <c r="ED206" t="e">
        <f>AND(#REF!,"AAAAAD9//YU=")</f>
        <v>#REF!</v>
      </c>
      <c r="EE206" t="e">
        <f>AND(#REF!,"AAAAAD9//YY=")</f>
        <v>#REF!</v>
      </c>
      <c r="EF206" t="e">
        <f>AND(#REF!,"AAAAAD9//Yc=")</f>
        <v>#REF!</v>
      </c>
      <c r="EG206" t="e">
        <f>AND(#REF!,"AAAAAD9//Yg=")</f>
        <v>#REF!</v>
      </c>
      <c r="EH206" t="e">
        <f>AND(#REF!,"AAAAAD9//Yk=")</f>
        <v>#REF!</v>
      </c>
      <c r="EI206" t="e">
        <f>AND(#REF!,"AAAAAD9//Yo=")</f>
        <v>#REF!</v>
      </c>
      <c r="EJ206" t="e">
        <f>AND(#REF!,"AAAAAD9//Ys=")</f>
        <v>#REF!</v>
      </c>
      <c r="EK206" t="e">
        <f>AND(#REF!,"AAAAAD9//Yw=")</f>
        <v>#REF!</v>
      </c>
      <c r="EL206" t="e">
        <f>AND(#REF!,"AAAAAD9//Y0=")</f>
        <v>#REF!</v>
      </c>
      <c r="EM206" t="e">
        <f>AND(#REF!,"AAAAAD9//Y4=")</f>
        <v>#REF!</v>
      </c>
      <c r="EN206" t="e">
        <f>AND(#REF!,"AAAAAD9//Y8=")</f>
        <v>#REF!</v>
      </c>
      <c r="EO206" t="e">
        <f>AND(#REF!,"AAAAAD9//ZA=")</f>
        <v>#REF!</v>
      </c>
      <c r="EP206" t="e">
        <f>AND(#REF!,"AAAAAD9//ZE=")</f>
        <v>#REF!</v>
      </c>
      <c r="EQ206" t="e">
        <f>AND(#REF!,"AAAAAD9//ZI=")</f>
        <v>#REF!</v>
      </c>
      <c r="ER206" t="e">
        <f>AND(#REF!,"AAAAAD9//ZM=")</f>
        <v>#REF!</v>
      </c>
      <c r="ES206" t="e">
        <f>AND(#REF!,"AAAAAD9//ZQ=")</f>
        <v>#REF!</v>
      </c>
      <c r="ET206" t="e">
        <f>AND(#REF!,"AAAAAD9//ZU=")</f>
        <v>#REF!</v>
      </c>
      <c r="EU206" t="e">
        <f>AND(#REF!,"AAAAAD9//ZY=")</f>
        <v>#REF!</v>
      </c>
      <c r="EV206" t="e">
        <f>AND(#REF!,"AAAAAD9//Zc=")</f>
        <v>#REF!</v>
      </c>
      <c r="EW206" t="e">
        <f>AND(#REF!,"AAAAAD9//Zg=")</f>
        <v>#REF!</v>
      </c>
      <c r="EX206" t="e">
        <f>AND(#REF!,"AAAAAD9//Zk=")</f>
        <v>#REF!</v>
      </c>
      <c r="EY206" t="e">
        <f>AND(#REF!,"AAAAAD9//Zo=")</f>
        <v>#REF!</v>
      </c>
      <c r="EZ206" t="e">
        <f>AND(#REF!,"AAAAAD9//Zs=")</f>
        <v>#REF!</v>
      </c>
      <c r="FA206" t="e">
        <f>AND(#REF!,"AAAAAD9//Zw=")</f>
        <v>#REF!</v>
      </c>
      <c r="FB206" t="e">
        <f>AND(#REF!,"AAAAAD9//Z0=")</f>
        <v>#REF!</v>
      </c>
      <c r="FC206" t="e">
        <f>AND(#REF!,"AAAAAD9//Z4=")</f>
        <v>#REF!</v>
      </c>
      <c r="FD206" t="e">
        <f>AND(#REF!,"AAAAAD9//Z8=")</f>
        <v>#REF!</v>
      </c>
      <c r="FE206" t="e">
        <f>AND(#REF!,"AAAAAD9//aA=")</f>
        <v>#REF!</v>
      </c>
      <c r="FF206" t="e">
        <f>AND(#REF!,"AAAAAD9//aE=")</f>
        <v>#REF!</v>
      </c>
      <c r="FG206" t="e">
        <f>AND(#REF!,"AAAAAD9//aI=")</f>
        <v>#REF!</v>
      </c>
      <c r="FH206" t="e">
        <f>AND(#REF!,"AAAAAD9//aM=")</f>
        <v>#REF!</v>
      </c>
      <c r="FI206" t="e">
        <f>AND(#REF!,"AAAAAD9//aQ=")</f>
        <v>#REF!</v>
      </c>
      <c r="FJ206" t="e">
        <f>AND(#REF!,"AAAAAD9//aU=")</f>
        <v>#REF!</v>
      </c>
      <c r="FK206" t="e">
        <f>AND(#REF!,"AAAAAD9//aY=")</f>
        <v>#REF!</v>
      </c>
      <c r="FL206" t="e">
        <f>AND(#REF!,"AAAAAD9//ac=")</f>
        <v>#REF!</v>
      </c>
      <c r="FM206" t="e">
        <f>AND(#REF!,"AAAAAD9//ag=")</f>
        <v>#REF!</v>
      </c>
      <c r="FN206" t="e">
        <f>AND(#REF!,"AAAAAD9//ak=")</f>
        <v>#REF!</v>
      </c>
      <c r="FO206" t="e">
        <f>AND(#REF!,"AAAAAD9//ao=")</f>
        <v>#REF!</v>
      </c>
      <c r="FP206" t="e">
        <f>AND(#REF!,"AAAAAD9//as=")</f>
        <v>#REF!</v>
      </c>
      <c r="FQ206" t="e">
        <f>AND(#REF!,"AAAAAD9//aw=")</f>
        <v>#REF!</v>
      </c>
      <c r="FR206" t="e">
        <f>AND(#REF!,"AAAAAD9//a0=")</f>
        <v>#REF!</v>
      </c>
      <c r="FS206" t="e">
        <f>AND(#REF!,"AAAAAD9//a4=")</f>
        <v>#REF!</v>
      </c>
      <c r="FT206" t="e">
        <f>AND(#REF!,"AAAAAD9//a8=")</f>
        <v>#REF!</v>
      </c>
      <c r="FU206" t="e">
        <f>AND(#REF!,"AAAAAD9//bA=")</f>
        <v>#REF!</v>
      </c>
      <c r="FV206" t="e">
        <f>AND(#REF!,"AAAAAD9//bE=")</f>
        <v>#REF!</v>
      </c>
      <c r="FW206" t="e">
        <f>AND(#REF!,"AAAAAD9//bI=")</f>
        <v>#REF!</v>
      </c>
      <c r="FX206" t="e">
        <f>AND(#REF!,"AAAAAD9//bM=")</f>
        <v>#REF!</v>
      </c>
      <c r="FY206" t="e">
        <f>AND(#REF!,"AAAAAD9//bQ=")</f>
        <v>#REF!</v>
      </c>
      <c r="FZ206" t="e">
        <f>AND(#REF!,"AAAAAD9//bU=")</f>
        <v>#REF!</v>
      </c>
      <c r="GA206" t="e">
        <f>AND(#REF!,"AAAAAD9//bY=")</f>
        <v>#REF!</v>
      </c>
      <c r="GB206" t="e">
        <f>AND(#REF!,"AAAAAD9//bc=")</f>
        <v>#REF!</v>
      </c>
      <c r="GC206" t="e">
        <f>AND(#REF!,"AAAAAD9//bg=")</f>
        <v>#REF!</v>
      </c>
      <c r="GD206" t="e">
        <f>AND(#REF!,"AAAAAD9//bk=")</f>
        <v>#REF!</v>
      </c>
      <c r="GE206" t="e">
        <f>AND(#REF!,"AAAAAD9//bo=")</f>
        <v>#REF!</v>
      </c>
      <c r="GF206" t="e">
        <f>AND(#REF!,"AAAAAD9//bs=")</f>
        <v>#REF!</v>
      </c>
      <c r="GG206" t="e">
        <f>AND(#REF!,"AAAAAD9//bw=")</f>
        <v>#REF!</v>
      </c>
      <c r="GH206" t="e">
        <f>AND(#REF!,"AAAAAD9//b0=")</f>
        <v>#REF!</v>
      </c>
      <c r="GI206" t="e">
        <f>AND(#REF!,"AAAAAD9//b4=")</f>
        <v>#REF!</v>
      </c>
      <c r="GJ206" t="e">
        <f>AND(#REF!,"AAAAAD9//b8=")</f>
        <v>#REF!</v>
      </c>
      <c r="GK206" t="e">
        <f>AND(#REF!,"AAAAAD9//cA=")</f>
        <v>#REF!</v>
      </c>
      <c r="GL206" t="e">
        <f>AND(#REF!,"AAAAAD9//cE=")</f>
        <v>#REF!</v>
      </c>
      <c r="GM206" t="e">
        <f>AND(#REF!,"AAAAAD9//cI=")</f>
        <v>#REF!</v>
      </c>
      <c r="GN206" t="e">
        <f>AND(#REF!,"AAAAAD9//cM=")</f>
        <v>#REF!</v>
      </c>
      <c r="GO206" t="e">
        <f>AND(#REF!,"AAAAAD9//cQ=")</f>
        <v>#REF!</v>
      </c>
      <c r="GP206" t="e">
        <f>AND(#REF!,"AAAAAD9//cU=")</f>
        <v>#REF!</v>
      </c>
      <c r="GQ206" t="e">
        <f>AND(#REF!,"AAAAAD9//cY=")</f>
        <v>#REF!</v>
      </c>
      <c r="GR206" t="e">
        <f>AND(#REF!,"AAAAAD9//cc=")</f>
        <v>#REF!</v>
      </c>
      <c r="GS206" t="e">
        <f>AND(#REF!,"AAAAAD9//cg=")</f>
        <v>#REF!</v>
      </c>
      <c r="GT206" t="e">
        <f>AND(#REF!,"AAAAAD9//ck=")</f>
        <v>#REF!</v>
      </c>
      <c r="GU206" t="e">
        <f>AND(#REF!,"AAAAAD9//co=")</f>
        <v>#REF!</v>
      </c>
      <c r="GV206" t="e">
        <f>AND(#REF!,"AAAAAD9//cs=")</f>
        <v>#REF!</v>
      </c>
      <c r="GW206" t="e">
        <f>AND(#REF!,"AAAAAD9//cw=")</f>
        <v>#REF!</v>
      </c>
      <c r="GX206" t="e">
        <f>AND(#REF!,"AAAAAD9//c0=")</f>
        <v>#REF!</v>
      </c>
      <c r="GY206" t="e">
        <f>AND(#REF!,"AAAAAD9//c4=")</f>
        <v>#REF!</v>
      </c>
      <c r="GZ206" t="e">
        <f>AND(#REF!,"AAAAAD9//c8=")</f>
        <v>#REF!</v>
      </c>
      <c r="HA206" t="e">
        <f>AND(#REF!,"AAAAAD9//dA=")</f>
        <v>#REF!</v>
      </c>
      <c r="HB206" t="e">
        <f>AND(#REF!,"AAAAAD9//dE=")</f>
        <v>#REF!</v>
      </c>
      <c r="HC206" t="e">
        <f>AND(#REF!,"AAAAAD9//dI=")</f>
        <v>#REF!</v>
      </c>
      <c r="HD206" t="e">
        <f>AND(#REF!,"AAAAAD9//dM=")</f>
        <v>#REF!</v>
      </c>
      <c r="HE206" t="e">
        <f>AND(#REF!,"AAAAAD9//dQ=")</f>
        <v>#REF!</v>
      </c>
      <c r="HF206" t="e">
        <f>AND(#REF!,"AAAAAD9//dU=")</f>
        <v>#REF!</v>
      </c>
      <c r="HG206" t="e">
        <f>AND(#REF!,"AAAAAD9//dY=")</f>
        <v>#REF!</v>
      </c>
      <c r="HH206" t="e">
        <f>AND(#REF!,"AAAAAD9//dc=")</f>
        <v>#REF!</v>
      </c>
      <c r="HI206" t="e">
        <f>AND(#REF!,"AAAAAD9//dg=")</f>
        <v>#REF!</v>
      </c>
      <c r="HJ206" t="e">
        <f>AND(#REF!,"AAAAAD9//dk=")</f>
        <v>#REF!</v>
      </c>
      <c r="HK206" t="e">
        <f>AND(#REF!,"AAAAAD9//do=")</f>
        <v>#REF!</v>
      </c>
      <c r="HL206" t="e">
        <f>AND(#REF!,"AAAAAD9//ds=")</f>
        <v>#REF!</v>
      </c>
      <c r="HM206" t="e">
        <f>AND(#REF!,"AAAAAD9//dw=")</f>
        <v>#REF!</v>
      </c>
      <c r="HN206" t="e">
        <f>AND(#REF!,"AAAAAD9//d0=")</f>
        <v>#REF!</v>
      </c>
      <c r="HO206" t="e">
        <f>AND(#REF!,"AAAAAD9//d4=")</f>
        <v>#REF!</v>
      </c>
      <c r="HP206" t="e">
        <f>AND(#REF!,"AAAAAD9//d8=")</f>
        <v>#REF!</v>
      </c>
      <c r="HQ206" t="e">
        <f>AND(#REF!,"AAAAAD9//eA=")</f>
        <v>#REF!</v>
      </c>
      <c r="HR206" t="e">
        <f>AND(#REF!,"AAAAAD9//eE=")</f>
        <v>#REF!</v>
      </c>
      <c r="HS206" t="e">
        <f>AND(#REF!,"AAAAAD9//eI=")</f>
        <v>#REF!</v>
      </c>
      <c r="HT206" t="e">
        <f>AND(#REF!,"AAAAAD9//eM=")</f>
        <v>#REF!</v>
      </c>
      <c r="HU206" t="e">
        <f>AND(#REF!,"AAAAAD9//eQ=")</f>
        <v>#REF!</v>
      </c>
      <c r="HV206" t="e">
        <f>AND(#REF!,"AAAAAD9//eU=")</f>
        <v>#REF!</v>
      </c>
      <c r="HW206" t="e">
        <f>AND(#REF!,"AAAAAD9//eY=")</f>
        <v>#REF!</v>
      </c>
      <c r="HX206" t="e">
        <f>AND(#REF!,"AAAAAD9//ec=")</f>
        <v>#REF!</v>
      </c>
      <c r="HY206" t="e">
        <f>AND(#REF!,"AAAAAD9//eg=")</f>
        <v>#REF!</v>
      </c>
      <c r="HZ206" t="e">
        <f>AND(#REF!,"AAAAAD9//ek=")</f>
        <v>#REF!</v>
      </c>
      <c r="IA206" t="e">
        <f>AND(#REF!,"AAAAAD9//eo=")</f>
        <v>#REF!</v>
      </c>
      <c r="IB206" t="e">
        <f>AND(#REF!,"AAAAAD9//es=")</f>
        <v>#REF!</v>
      </c>
      <c r="IC206" t="e">
        <f>AND(#REF!,"AAAAAD9//ew=")</f>
        <v>#REF!</v>
      </c>
      <c r="ID206" t="e">
        <f>AND(#REF!,"AAAAAD9//e0=")</f>
        <v>#REF!</v>
      </c>
      <c r="IE206" t="e">
        <f>AND(#REF!,"AAAAAD9//e4=")</f>
        <v>#REF!</v>
      </c>
      <c r="IF206" t="e">
        <f>AND(#REF!,"AAAAAD9//e8=")</f>
        <v>#REF!</v>
      </c>
      <c r="IG206" t="e">
        <f>AND(#REF!,"AAAAAD9//fA=")</f>
        <v>#REF!</v>
      </c>
      <c r="IH206" t="e">
        <f>AND(#REF!,"AAAAAD9//fE=")</f>
        <v>#REF!</v>
      </c>
      <c r="II206" t="e">
        <f>AND(#REF!,"AAAAAD9//fI=")</f>
        <v>#REF!</v>
      </c>
      <c r="IJ206" t="e">
        <f>AND(#REF!,"AAAAAD9//fM=")</f>
        <v>#REF!</v>
      </c>
      <c r="IK206" t="e">
        <f>AND(#REF!,"AAAAAD9//fQ=")</f>
        <v>#REF!</v>
      </c>
      <c r="IL206" t="e">
        <f>AND(#REF!,"AAAAAD9//fU=")</f>
        <v>#REF!</v>
      </c>
      <c r="IM206" t="e">
        <f>AND(#REF!,"AAAAAD9//fY=")</f>
        <v>#REF!</v>
      </c>
      <c r="IN206" t="e">
        <f>AND(#REF!,"AAAAAD9//fc=")</f>
        <v>#REF!</v>
      </c>
      <c r="IO206" t="e">
        <f>AND(#REF!,"AAAAAD9//fg=")</f>
        <v>#REF!</v>
      </c>
      <c r="IP206" t="e">
        <f>AND(#REF!,"AAAAAD9//fk=")</f>
        <v>#REF!</v>
      </c>
      <c r="IQ206" t="e">
        <f>AND(#REF!,"AAAAAD9//fo=")</f>
        <v>#REF!</v>
      </c>
      <c r="IR206" t="e">
        <f>AND(#REF!,"AAAAAD9//fs=")</f>
        <v>#REF!</v>
      </c>
      <c r="IS206" t="e">
        <f>AND(#REF!,"AAAAAD9//fw=")</f>
        <v>#REF!</v>
      </c>
      <c r="IT206" t="e">
        <f>AND(#REF!,"AAAAAD9//f0=")</f>
        <v>#REF!</v>
      </c>
      <c r="IU206" t="e">
        <f>AND(#REF!,"AAAAAD9//f4=")</f>
        <v>#REF!</v>
      </c>
      <c r="IV206" t="e">
        <f>AND(#REF!,"AAAAAD9//f8=")</f>
        <v>#REF!</v>
      </c>
    </row>
    <row r="207" spans="1:256">
      <c r="A207" t="e">
        <f>AND(#REF!,"AAAAAC/7fwA=")</f>
        <v>#REF!</v>
      </c>
      <c r="B207" t="e">
        <f>AND(#REF!,"AAAAAC/7fwE=")</f>
        <v>#REF!</v>
      </c>
      <c r="C207" t="e">
        <f>AND(#REF!,"AAAAAC/7fwI=")</f>
        <v>#REF!</v>
      </c>
      <c r="D207" t="e">
        <f>AND(#REF!,"AAAAAC/7fwM=")</f>
        <v>#REF!</v>
      </c>
      <c r="E207" t="e">
        <f>AND(#REF!,"AAAAAC/7fwQ=")</f>
        <v>#REF!</v>
      </c>
      <c r="F207" t="e">
        <f>AND(#REF!,"AAAAAC/7fwU=")</f>
        <v>#REF!</v>
      </c>
      <c r="G207" t="e">
        <f>AND(#REF!,"AAAAAC/7fwY=")</f>
        <v>#REF!</v>
      </c>
      <c r="H207" t="e">
        <f>AND(#REF!,"AAAAAC/7fwc=")</f>
        <v>#REF!</v>
      </c>
      <c r="I207" t="e">
        <f>AND(#REF!,"AAAAAC/7fwg=")</f>
        <v>#REF!</v>
      </c>
      <c r="J207" t="e">
        <f>AND(#REF!,"AAAAAC/7fwk=")</f>
        <v>#REF!</v>
      </c>
      <c r="K207" t="e">
        <f>AND(#REF!,"AAAAAC/7fwo=")</f>
        <v>#REF!</v>
      </c>
      <c r="L207" t="e">
        <f>AND(#REF!,"AAAAAC/7fws=")</f>
        <v>#REF!</v>
      </c>
      <c r="M207" t="e">
        <f>AND(#REF!,"AAAAAC/7fww=")</f>
        <v>#REF!</v>
      </c>
      <c r="N207" t="e">
        <f>AND(#REF!,"AAAAAC/7fw0=")</f>
        <v>#REF!</v>
      </c>
      <c r="O207" t="e">
        <f>AND(#REF!,"AAAAAC/7fw4=")</f>
        <v>#REF!</v>
      </c>
      <c r="P207" t="e">
        <f>AND(#REF!,"AAAAAC/7fw8=")</f>
        <v>#REF!</v>
      </c>
      <c r="Q207" t="e">
        <f>AND(#REF!,"AAAAAC/7fxA=")</f>
        <v>#REF!</v>
      </c>
      <c r="R207" t="e">
        <f>AND(#REF!,"AAAAAC/7fxE=")</f>
        <v>#REF!</v>
      </c>
      <c r="S207" t="e">
        <f>AND(#REF!,"AAAAAC/7fxI=")</f>
        <v>#REF!</v>
      </c>
      <c r="T207" t="e">
        <f>AND(#REF!,"AAAAAC/7fxM=")</f>
        <v>#REF!</v>
      </c>
      <c r="U207" t="e">
        <f>AND(#REF!,"AAAAAC/7fxQ=")</f>
        <v>#REF!</v>
      </c>
      <c r="V207" t="e">
        <f>AND(#REF!,"AAAAAC/7fxU=")</f>
        <v>#REF!</v>
      </c>
      <c r="W207" t="e">
        <f>AND(#REF!,"AAAAAC/7fxY=")</f>
        <v>#REF!</v>
      </c>
      <c r="X207" t="e">
        <f>AND(#REF!,"AAAAAC/7fxc=")</f>
        <v>#REF!</v>
      </c>
      <c r="Y207" t="e">
        <f>AND(#REF!,"AAAAAC/7fxg=")</f>
        <v>#REF!</v>
      </c>
      <c r="Z207" t="e">
        <f>AND(#REF!,"AAAAAC/7fxk=")</f>
        <v>#REF!</v>
      </c>
      <c r="AA207" t="e">
        <f>AND(#REF!,"AAAAAC/7fxo=")</f>
        <v>#REF!</v>
      </c>
      <c r="AB207" t="e">
        <f>AND(#REF!,"AAAAAC/7fxs=")</f>
        <v>#REF!</v>
      </c>
      <c r="AC207" t="e">
        <f>AND(#REF!,"AAAAAC/7fxw=")</f>
        <v>#REF!</v>
      </c>
      <c r="AD207" t="e">
        <f>AND(#REF!,"AAAAAC/7fx0=")</f>
        <v>#REF!</v>
      </c>
      <c r="AE207" t="e">
        <f>AND(#REF!,"AAAAAC/7fx4=")</f>
        <v>#REF!</v>
      </c>
      <c r="AF207" t="e">
        <f>AND(#REF!,"AAAAAC/7fx8=")</f>
        <v>#REF!</v>
      </c>
      <c r="AG207" t="e">
        <f>AND(#REF!,"AAAAAC/7fyA=")</f>
        <v>#REF!</v>
      </c>
      <c r="AH207" t="e">
        <f>AND(#REF!,"AAAAAC/7fyE=")</f>
        <v>#REF!</v>
      </c>
      <c r="AI207" t="e">
        <f>AND(#REF!,"AAAAAC/7fyI=")</f>
        <v>#REF!</v>
      </c>
      <c r="AJ207" t="e">
        <f>AND(#REF!,"AAAAAC/7fyM=")</f>
        <v>#REF!</v>
      </c>
      <c r="AK207" t="e">
        <f>AND(#REF!,"AAAAAC/7fyQ=")</f>
        <v>#REF!</v>
      </c>
      <c r="AL207" t="e">
        <f>AND(#REF!,"AAAAAC/7fyU=")</f>
        <v>#REF!</v>
      </c>
      <c r="AM207" t="e">
        <f>AND(#REF!,"AAAAAC/7fyY=")</f>
        <v>#REF!</v>
      </c>
      <c r="AN207" t="e">
        <f>AND(#REF!,"AAAAAC/7fyc=")</f>
        <v>#REF!</v>
      </c>
      <c r="AO207" t="e">
        <f>AND(#REF!,"AAAAAC/7fyg=")</f>
        <v>#REF!</v>
      </c>
      <c r="AP207" t="e">
        <f>AND(#REF!,"AAAAAC/7fyk=")</f>
        <v>#REF!</v>
      </c>
      <c r="AQ207" t="e">
        <f>AND(#REF!,"AAAAAC/7fyo=")</f>
        <v>#REF!</v>
      </c>
      <c r="AR207" t="e">
        <f>AND(#REF!,"AAAAAC/7fys=")</f>
        <v>#REF!</v>
      </c>
      <c r="AS207" t="e">
        <f>AND(#REF!,"AAAAAC/7fyw=")</f>
        <v>#REF!</v>
      </c>
      <c r="AT207" t="e">
        <f>AND(#REF!,"AAAAAC/7fy0=")</f>
        <v>#REF!</v>
      </c>
      <c r="AU207" t="e">
        <f>AND(#REF!,"AAAAAC/7fy4=")</f>
        <v>#REF!</v>
      </c>
      <c r="AV207" t="e">
        <f>AND(#REF!,"AAAAAC/7fy8=")</f>
        <v>#REF!</v>
      </c>
      <c r="AW207" t="e">
        <f>AND(#REF!,"AAAAAC/7fzA=")</f>
        <v>#REF!</v>
      </c>
      <c r="AX207" t="e">
        <f>AND(#REF!,"AAAAAC/7fzE=")</f>
        <v>#REF!</v>
      </c>
      <c r="AY207" t="e">
        <f>AND(#REF!,"AAAAAC/7fzI=")</f>
        <v>#REF!</v>
      </c>
      <c r="AZ207" t="e">
        <f>AND(#REF!,"AAAAAC/7fzM=")</f>
        <v>#REF!</v>
      </c>
      <c r="BA207" t="e">
        <f>AND(#REF!,"AAAAAC/7fzQ=")</f>
        <v>#REF!</v>
      </c>
      <c r="BB207" t="e">
        <f>AND(#REF!,"AAAAAC/7fzU=")</f>
        <v>#REF!</v>
      </c>
      <c r="BC207" t="e">
        <f>AND(#REF!,"AAAAAC/7fzY=")</f>
        <v>#REF!</v>
      </c>
      <c r="BD207" t="e">
        <f>AND(#REF!,"AAAAAC/7fzc=")</f>
        <v>#REF!</v>
      </c>
      <c r="BE207" t="e">
        <f>AND(#REF!,"AAAAAC/7fzg=")</f>
        <v>#REF!</v>
      </c>
      <c r="BF207" t="e">
        <f>AND(#REF!,"AAAAAC/7fzk=")</f>
        <v>#REF!</v>
      </c>
      <c r="BG207" t="e">
        <f>AND(#REF!,"AAAAAC/7fzo=")</f>
        <v>#REF!</v>
      </c>
      <c r="BH207" t="e">
        <f>AND(#REF!,"AAAAAC/7fzs=")</f>
        <v>#REF!</v>
      </c>
      <c r="BI207" t="e">
        <f>AND(#REF!,"AAAAAC/7fzw=")</f>
        <v>#REF!</v>
      </c>
      <c r="BJ207" t="e">
        <f>AND(#REF!,"AAAAAC/7fz0=")</f>
        <v>#REF!</v>
      </c>
      <c r="BK207" t="e">
        <f>AND(#REF!,"AAAAAC/7fz4=")</f>
        <v>#REF!</v>
      </c>
      <c r="BL207" t="e">
        <f>AND(#REF!,"AAAAAC/7fz8=")</f>
        <v>#REF!</v>
      </c>
      <c r="BM207" t="e">
        <f>AND(#REF!,"AAAAAC/7f0A=")</f>
        <v>#REF!</v>
      </c>
      <c r="BN207" t="e">
        <f>AND(#REF!,"AAAAAC/7f0E=")</f>
        <v>#REF!</v>
      </c>
      <c r="BO207" t="e">
        <f>AND(#REF!,"AAAAAC/7f0I=")</f>
        <v>#REF!</v>
      </c>
      <c r="BP207" t="e">
        <f>AND(#REF!,"AAAAAC/7f0M=")</f>
        <v>#REF!</v>
      </c>
      <c r="BQ207" t="e">
        <f>AND(#REF!,"AAAAAC/7f0Q=")</f>
        <v>#REF!</v>
      </c>
      <c r="BR207" t="e">
        <f>AND(#REF!,"AAAAAC/7f0U=")</f>
        <v>#REF!</v>
      </c>
      <c r="BS207" t="e">
        <f>AND(#REF!,"AAAAAC/7f0Y=")</f>
        <v>#REF!</v>
      </c>
      <c r="BT207" t="e">
        <f>AND(#REF!,"AAAAAC/7f0c=")</f>
        <v>#REF!</v>
      </c>
      <c r="BU207" t="e">
        <f>AND(#REF!,"AAAAAC/7f0g=")</f>
        <v>#REF!</v>
      </c>
      <c r="BV207" t="e">
        <f>AND(#REF!,"AAAAAC/7f0k=")</f>
        <v>#REF!</v>
      </c>
      <c r="BW207" t="e">
        <f>AND(#REF!,"AAAAAC/7f0o=")</f>
        <v>#REF!</v>
      </c>
      <c r="BX207" t="e">
        <f>AND(#REF!,"AAAAAC/7f0s=")</f>
        <v>#REF!</v>
      </c>
      <c r="BY207" t="e">
        <f>AND(#REF!,"AAAAAC/7f0w=")</f>
        <v>#REF!</v>
      </c>
      <c r="BZ207" t="e">
        <f>AND(#REF!,"AAAAAC/7f00=")</f>
        <v>#REF!</v>
      </c>
      <c r="CA207" t="e">
        <f>AND(#REF!,"AAAAAC/7f04=")</f>
        <v>#REF!</v>
      </c>
      <c r="CB207" t="e">
        <f>AND(#REF!,"AAAAAC/7f08=")</f>
        <v>#REF!</v>
      </c>
      <c r="CC207" t="e">
        <f>AND(#REF!,"AAAAAC/7f1A=")</f>
        <v>#REF!</v>
      </c>
      <c r="CD207" t="e">
        <f>AND(#REF!,"AAAAAC/7f1E=")</f>
        <v>#REF!</v>
      </c>
      <c r="CE207" t="e">
        <f>AND(#REF!,"AAAAAC/7f1I=")</f>
        <v>#REF!</v>
      </c>
      <c r="CF207" t="e">
        <f>AND(#REF!,"AAAAAC/7f1M=")</f>
        <v>#REF!</v>
      </c>
      <c r="CG207" t="e">
        <f>AND(#REF!,"AAAAAC/7f1Q=")</f>
        <v>#REF!</v>
      </c>
      <c r="CH207" t="e">
        <f>AND(#REF!,"AAAAAC/7f1U=")</f>
        <v>#REF!</v>
      </c>
      <c r="CI207" t="e">
        <f>AND(#REF!,"AAAAAC/7f1Y=")</f>
        <v>#REF!</v>
      </c>
      <c r="CJ207" t="e">
        <f>AND(#REF!,"AAAAAC/7f1c=")</f>
        <v>#REF!</v>
      </c>
      <c r="CK207" t="e">
        <f>AND(#REF!,"AAAAAC/7f1g=")</f>
        <v>#REF!</v>
      </c>
      <c r="CL207" t="e">
        <f>AND(#REF!,"AAAAAC/7f1k=")</f>
        <v>#REF!</v>
      </c>
      <c r="CM207" t="e">
        <f>AND(#REF!,"AAAAAC/7f1o=")</f>
        <v>#REF!</v>
      </c>
      <c r="CN207" t="e">
        <f>AND(#REF!,"AAAAAC/7f1s=")</f>
        <v>#REF!</v>
      </c>
      <c r="CO207" t="e">
        <f>AND(#REF!,"AAAAAC/7f1w=")</f>
        <v>#REF!</v>
      </c>
      <c r="CP207" t="e">
        <f>AND(#REF!,"AAAAAC/7f10=")</f>
        <v>#REF!</v>
      </c>
      <c r="CQ207" t="e">
        <f>AND(#REF!,"AAAAAC/7f14=")</f>
        <v>#REF!</v>
      </c>
      <c r="CR207" t="e">
        <f>AND(#REF!,"AAAAAC/7f18=")</f>
        <v>#REF!</v>
      </c>
      <c r="CS207" t="e">
        <f>AND(#REF!,"AAAAAC/7f2A=")</f>
        <v>#REF!</v>
      </c>
      <c r="CT207" t="e">
        <f>AND(#REF!,"AAAAAC/7f2E=")</f>
        <v>#REF!</v>
      </c>
      <c r="CU207" t="e">
        <f>AND(#REF!,"AAAAAC/7f2I=")</f>
        <v>#REF!</v>
      </c>
      <c r="CV207" t="e">
        <f>AND(#REF!,"AAAAAC/7f2M=")</f>
        <v>#REF!</v>
      </c>
      <c r="CW207" t="e">
        <f>AND(#REF!,"AAAAAC/7f2Q=")</f>
        <v>#REF!</v>
      </c>
      <c r="CX207" t="e">
        <f>AND(#REF!,"AAAAAC/7f2U=")</f>
        <v>#REF!</v>
      </c>
      <c r="CY207" t="e">
        <f>IF(#REF!,"AAAAAC/7f2Y=",0)</f>
        <v>#REF!</v>
      </c>
      <c r="CZ207" t="e">
        <f>AND(#REF!,"AAAAAC/7f2c=")</f>
        <v>#REF!</v>
      </c>
      <c r="DA207" t="e">
        <f>AND(#REF!,"AAAAAC/7f2g=")</f>
        <v>#REF!</v>
      </c>
      <c r="DB207" t="e">
        <f>AND(#REF!,"AAAAAC/7f2k=")</f>
        <v>#REF!</v>
      </c>
      <c r="DC207" t="e">
        <f>AND(#REF!,"AAAAAC/7f2o=")</f>
        <v>#REF!</v>
      </c>
      <c r="DD207" t="e">
        <f>AND(#REF!,"AAAAAC/7f2s=")</f>
        <v>#REF!</v>
      </c>
      <c r="DE207" t="e">
        <f>AND(#REF!,"AAAAAC/7f2w=")</f>
        <v>#REF!</v>
      </c>
      <c r="DF207" t="e">
        <f>AND(#REF!,"AAAAAC/7f20=")</f>
        <v>#REF!</v>
      </c>
      <c r="DG207" t="e">
        <f>AND(#REF!,"AAAAAC/7f24=")</f>
        <v>#REF!</v>
      </c>
      <c r="DH207" t="e">
        <f>AND(#REF!,"AAAAAC/7f28=")</f>
        <v>#REF!</v>
      </c>
      <c r="DI207" t="e">
        <f>AND(#REF!,"AAAAAC/7f3A=")</f>
        <v>#REF!</v>
      </c>
      <c r="DJ207" t="e">
        <f>AND(#REF!,"AAAAAC/7f3E=")</f>
        <v>#REF!</v>
      </c>
      <c r="DK207" t="e">
        <f>AND(#REF!,"AAAAAC/7f3I=")</f>
        <v>#REF!</v>
      </c>
      <c r="DL207" t="e">
        <f>AND(#REF!,"AAAAAC/7f3M=")</f>
        <v>#REF!</v>
      </c>
      <c r="DM207" t="e">
        <f>AND(#REF!,"AAAAAC/7f3Q=")</f>
        <v>#REF!</v>
      </c>
      <c r="DN207" t="e">
        <f>AND(#REF!,"AAAAAC/7f3U=")</f>
        <v>#REF!</v>
      </c>
      <c r="DO207" t="e">
        <f>AND(#REF!,"AAAAAC/7f3Y=")</f>
        <v>#REF!</v>
      </c>
      <c r="DP207" t="e">
        <f>AND(#REF!,"AAAAAC/7f3c=")</f>
        <v>#REF!</v>
      </c>
      <c r="DQ207" t="e">
        <f>AND(#REF!,"AAAAAC/7f3g=")</f>
        <v>#REF!</v>
      </c>
      <c r="DR207" t="e">
        <f>AND(#REF!,"AAAAAC/7f3k=")</f>
        <v>#REF!</v>
      </c>
      <c r="DS207" t="e">
        <f>AND(#REF!,"AAAAAC/7f3o=")</f>
        <v>#REF!</v>
      </c>
      <c r="DT207" t="e">
        <f>AND(#REF!,"AAAAAC/7f3s=")</f>
        <v>#REF!</v>
      </c>
      <c r="DU207" t="e">
        <f>AND(#REF!,"AAAAAC/7f3w=")</f>
        <v>#REF!</v>
      </c>
      <c r="DV207" t="e">
        <f>AND(#REF!,"AAAAAC/7f30=")</f>
        <v>#REF!</v>
      </c>
      <c r="DW207" t="e">
        <f>AND(#REF!,"AAAAAC/7f34=")</f>
        <v>#REF!</v>
      </c>
      <c r="DX207" t="e">
        <f>AND(#REF!,"AAAAAC/7f38=")</f>
        <v>#REF!</v>
      </c>
      <c r="DY207" t="e">
        <f>AND(#REF!,"AAAAAC/7f4A=")</f>
        <v>#REF!</v>
      </c>
      <c r="DZ207" t="e">
        <f>AND(#REF!,"AAAAAC/7f4E=")</f>
        <v>#REF!</v>
      </c>
      <c r="EA207" t="e">
        <f>AND(#REF!,"AAAAAC/7f4I=")</f>
        <v>#REF!</v>
      </c>
      <c r="EB207" t="e">
        <f>AND(#REF!,"AAAAAC/7f4M=")</f>
        <v>#REF!</v>
      </c>
      <c r="EC207" t="e">
        <f>AND(#REF!,"AAAAAC/7f4Q=")</f>
        <v>#REF!</v>
      </c>
      <c r="ED207" t="e">
        <f>AND(#REF!,"AAAAAC/7f4U=")</f>
        <v>#REF!</v>
      </c>
      <c r="EE207" t="e">
        <f>AND(#REF!,"AAAAAC/7f4Y=")</f>
        <v>#REF!</v>
      </c>
      <c r="EF207" t="e">
        <f>AND(#REF!,"AAAAAC/7f4c=")</f>
        <v>#REF!</v>
      </c>
      <c r="EG207" t="e">
        <f>AND(#REF!,"AAAAAC/7f4g=")</f>
        <v>#REF!</v>
      </c>
      <c r="EH207" t="e">
        <f>AND(#REF!,"AAAAAC/7f4k=")</f>
        <v>#REF!</v>
      </c>
      <c r="EI207" t="e">
        <f>AND(#REF!,"AAAAAC/7f4o=")</f>
        <v>#REF!</v>
      </c>
      <c r="EJ207" t="e">
        <f>AND(#REF!,"AAAAAC/7f4s=")</f>
        <v>#REF!</v>
      </c>
      <c r="EK207" t="e">
        <f>AND(#REF!,"AAAAAC/7f4w=")</f>
        <v>#REF!</v>
      </c>
      <c r="EL207" t="e">
        <f>AND(#REF!,"AAAAAC/7f40=")</f>
        <v>#REF!</v>
      </c>
      <c r="EM207" t="e">
        <f>AND(#REF!,"AAAAAC/7f44=")</f>
        <v>#REF!</v>
      </c>
      <c r="EN207" t="e">
        <f>AND(#REF!,"AAAAAC/7f48=")</f>
        <v>#REF!</v>
      </c>
      <c r="EO207" t="e">
        <f>AND(#REF!,"AAAAAC/7f5A=")</f>
        <v>#REF!</v>
      </c>
      <c r="EP207" t="e">
        <f>AND(#REF!,"AAAAAC/7f5E=")</f>
        <v>#REF!</v>
      </c>
      <c r="EQ207" t="e">
        <f>AND(#REF!,"AAAAAC/7f5I=")</f>
        <v>#REF!</v>
      </c>
      <c r="ER207" t="e">
        <f>AND(#REF!,"AAAAAC/7f5M=")</f>
        <v>#REF!</v>
      </c>
      <c r="ES207" t="e">
        <f>AND(#REF!,"AAAAAC/7f5Q=")</f>
        <v>#REF!</v>
      </c>
      <c r="ET207" t="e">
        <f>AND(#REF!,"AAAAAC/7f5U=")</f>
        <v>#REF!</v>
      </c>
      <c r="EU207" t="e">
        <f>AND(#REF!,"AAAAAC/7f5Y=")</f>
        <v>#REF!</v>
      </c>
      <c r="EV207" t="e">
        <f>AND(#REF!,"AAAAAC/7f5c=")</f>
        <v>#REF!</v>
      </c>
      <c r="EW207" t="e">
        <f>AND(#REF!,"AAAAAC/7f5g=")</f>
        <v>#REF!</v>
      </c>
      <c r="EX207" t="e">
        <f>AND(#REF!,"AAAAAC/7f5k=")</f>
        <v>#REF!</v>
      </c>
      <c r="EY207" t="e">
        <f>AND(#REF!,"AAAAAC/7f5o=")</f>
        <v>#REF!</v>
      </c>
      <c r="EZ207" t="e">
        <f>AND(#REF!,"AAAAAC/7f5s=")</f>
        <v>#REF!</v>
      </c>
      <c r="FA207" t="e">
        <f>AND(#REF!,"AAAAAC/7f5w=")</f>
        <v>#REF!</v>
      </c>
      <c r="FB207" t="e">
        <f>AND(#REF!,"AAAAAC/7f50=")</f>
        <v>#REF!</v>
      </c>
      <c r="FC207" t="e">
        <f>AND(#REF!,"AAAAAC/7f54=")</f>
        <v>#REF!</v>
      </c>
      <c r="FD207" t="e">
        <f>AND(#REF!,"AAAAAC/7f58=")</f>
        <v>#REF!</v>
      </c>
      <c r="FE207" t="e">
        <f>AND(#REF!,"AAAAAC/7f6A=")</f>
        <v>#REF!</v>
      </c>
      <c r="FF207" t="e">
        <f>AND(#REF!,"AAAAAC/7f6E=")</f>
        <v>#REF!</v>
      </c>
      <c r="FG207" t="e">
        <f>AND(#REF!,"AAAAAC/7f6I=")</f>
        <v>#REF!</v>
      </c>
      <c r="FH207" t="e">
        <f>AND(#REF!,"AAAAAC/7f6M=")</f>
        <v>#REF!</v>
      </c>
      <c r="FI207" t="e">
        <f>AND(#REF!,"AAAAAC/7f6Q=")</f>
        <v>#REF!</v>
      </c>
      <c r="FJ207" t="e">
        <f>AND(#REF!,"AAAAAC/7f6U=")</f>
        <v>#REF!</v>
      </c>
      <c r="FK207" t="e">
        <f>AND(#REF!,"AAAAAC/7f6Y=")</f>
        <v>#REF!</v>
      </c>
      <c r="FL207" t="e">
        <f>AND(#REF!,"AAAAAC/7f6c=")</f>
        <v>#REF!</v>
      </c>
      <c r="FM207" t="e">
        <f>AND(#REF!,"AAAAAC/7f6g=")</f>
        <v>#REF!</v>
      </c>
      <c r="FN207" t="e">
        <f>AND(#REF!,"AAAAAC/7f6k=")</f>
        <v>#REF!</v>
      </c>
      <c r="FO207" t="e">
        <f>AND(#REF!,"AAAAAC/7f6o=")</f>
        <v>#REF!</v>
      </c>
      <c r="FP207" t="e">
        <f>AND(#REF!,"AAAAAC/7f6s=")</f>
        <v>#REF!</v>
      </c>
      <c r="FQ207" t="e">
        <f>AND(#REF!,"AAAAAC/7f6w=")</f>
        <v>#REF!</v>
      </c>
      <c r="FR207" t="e">
        <f>AND(#REF!,"AAAAAC/7f60=")</f>
        <v>#REF!</v>
      </c>
      <c r="FS207" t="e">
        <f>AND(#REF!,"AAAAAC/7f64=")</f>
        <v>#REF!</v>
      </c>
      <c r="FT207" t="e">
        <f>AND(#REF!,"AAAAAC/7f68=")</f>
        <v>#REF!</v>
      </c>
      <c r="FU207" t="e">
        <f>AND(#REF!,"AAAAAC/7f7A=")</f>
        <v>#REF!</v>
      </c>
      <c r="FV207" t="e">
        <f>AND(#REF!,"AAAAAC/7f7E=")</f>
        <v>#REF!</v>
      </c>
      <c r="FW207" t="e">
        <f>AND(#REF!,"AAAAAC/7f7I=")</f>
        <v>#REF!</v>
      </c>
      <c r="FX207" t="e">
        <f>AND(#REF!,"AAAAAC/7f7M=")</f>
        <v>#REF!</v>
      </c>
      <c r="FY207" t="e">
        <f>AND(#REF!,"AAAAAC/7f7Q=")</f>
        <v>#REF!</v>
      </c>
      <c r="FZ207" t="e">
        <f>AND(#REF!,"AAAAAC/7f7U=")</f>
        <v>#REF!</v>
      </c>
      <c r="GA207" t="e">
        <f>AND(#REF!,"AAAAAC/7f7Y=")</f>
        <v>#REF!</v>
      </c>
      <c r="GB207" t="e">
        <f>AND(#REF!,"AAAAAC/7f7c=")</f>
        <v>#REF!</v>
      </c>
      <c r="GC207" t="e">
        <f>AND(#REF!,"AAAAAC/7f7g=")</f>
        <v>#REF!</v>
      </c>
      <c r="GD207" t="e">
        <f>AND(#REF!,"AAAAAC/7f7k=")</f>
        <v>#REF!</v>
      </c>
      <c r="GE207" t="e">
        <f>AND(#REF!,"AAAAAC/7f7o=")</f>
        <v>#REF!</v>
      </c>
      <c r="GF207" t="e">
        <f>AND(#REF!,"AAAAAC/7f7s=")</f>
        <v>#REF!</v>
      </c>
      <c r="GG207" t="e">
        <f>AND(#REF!,"AAAAAC/7f7w=")</f>
        <v>#REF!</v>
      </c>
      <c r="GH207" t="e">
        <f>AND(#REF!,"AAAAAC/7f70=")</f>
        <v>#REF!</v>
      </c>
      <c r="GI207" t="e">
        <f>AND(#REF!,"AAAAAC/7f74=")</f>
        <v>#REF!</v>
      </c>
      <c r="GJ207" t="e">
        <f>AND(#REF!,"AAAAAC/7f78=")</f>
        <v>#REF!</v>
      </c>
      <c r="GK207" t="e">
        <f>AND(#REF!,"AAAAAC/7f8A=")</f>
        <v>#REF!</v>
      </c>
      <c r="GL207" t="e">
        <f>AND(#REF!,"AAAAAC/7f8E=")</f>
        <v>#REF!</v>
      </c>
      <c r="GM207" t="e">
        <f>AND(#REF!,"AAAAAC/7f8I=")</f>
        <v>#REF!</v>
      </c>
      <c r="GN207" t="e">
        <f>AND(#REF!,"AAAAAC/7f8M=")</f>
        <v>#REF!</v>
      </c>
      <c r="GO207" t="e">
        <f>AND(#REF!,"AAAAAC/7f8Q=")</f>
        <v>#REF!</v>
      </c>
      <c r="GP207" t="e">
        <f>AND(#REF!,"AAAAAC/7f8U=")</f>
        <v>#REF!</v>
      </c>
      <c r="GQ207" t="e">
        <f>AND(#REF!,"AAAAAC/7f8Y=")</f>
        <v>#REF!</v>
      </c>
      <c r="GR207" t="e">
        <f>AND(#REF!,"AAAAAC/7f8c=")</f>
        <v>#REF!</v>
      </c>
      <c r="GS207" t="e">
        <f>AND(#REF!,"AAAAAC/7f8g=")</f>
        <v>#REF!</v>
      </c>
      <c r="GT207" t="e">
        <f>AND(#REF!,"AAAAAC/7f8k=")</f>
        <v>#REF!</v>
      </c>
      <c r="GU207" t="e">
        <f>AND(#REF!,"AAAAAC/7f8o=")</f>
        <v>#REF!</v>
      </c>
      <c r="GV207" t="e">
        <f>AND(#REF!,"AAAAAC/7f8s=")</f>
        <v>#REF!</v>
      </c>
      <c r="GW207" t="e">
        <f>AND(#REF!,"AAAAAC/7f8w=")</f>
        <v>#REF!</v>
      </c>
      <c r="GX207" t="e">
        <f>AND(#REF!,"AAAAAC/7f80=")</f>
        <v>#REF!</v>
      </c>
      <c r="GY207" t="e">
        <f>AND(#REF!,"AAAAAC/7f84=")</f>
        <v>#REF!</v>
      </c>
      <c r="GZ207" t="e">
        <f>AND(#REF!,"AAAAAC/7f88=")</f>
        <v>#REF!</v>
      </c>
      <c r="HA207" t="e">
        <f>AND(#REF!,"AAAAAC/7f9A=")</f>
        <v>#REF!</v>
      </c>
      <c r="HB207" t="e">
        <f>AND(#REF!,"AAAAAC/7f9E=")</f>
        <v>#REF!</v>
      </c>
      <c r="HC207" t="e">
        <f>AND(#REF!,"AAAAAC/7f9I=")</f>
        <v>#REF!</v>
      </c>
      <c r="HD207" t="e">
        <f>AND(#REF!,"AAAAAC/7f9M=")</f>
        <v>#REF!</v>
      </c>
      <c r="HE207" t="e">
        <f>AND(#REF!,"AAAAAC/7f9Q=")</f>
        <v>#REF!</v>
      </c>
      <c r="HF207" t="e">
        <f>AND(#REF!,"AAAAAC/7f9U=")</f>
        <v>#REF!</v>
      </c>
      <c r="HG207" t="e">
        <f>AND(#REF!,"AAAAAC/7f9Y=")</f>
        <v>#REF!</v>
      </c>
      <c r="HH207" t="e">
        <f>AND(#REF!,"AAAAAC/7f9c=")</f>
        <v>#REF!</v>
      </c>
      <c r="HI207" t="e">
        <f>AND(#REF!,"AAAAAC/7f9g=")</f>
        <v>#REF!</v>
      </c>
      <c r="HJ207" t="e">
        <f>AND(#REF!,"AAAAAC/7f9k=")</f>
        <v>#REF!</v>
      </c>
      <c r="HK207" t="e">
        <f>AND(#REF!,"AAAAAC/7f9o=")</f>
        <v>#REF!</v>
      </c>
      <c r="HL207" t="e">
        <f>AND(#REF!,"AAAAAC/7f9s=")</f>
        <v>#REF!</v>
      </c>
      <c r="HM207" t="e">
        <f>AND(#REF!,"AAAAAC/7f9w=")</f>
        <v>#REF!</v>
      </c>
      <c r="HN207" t="e">
        <f>AND(#REF!,"AAAAAC/7f90=")</f>
        <v>#REF!</v>
      </c>
      <c r="HO207" t="e">
        <f>AND(#REF!,"AAAAAC/7f94=")</f>
        <v>#REF!</v>
      </c>
      <c r="HP207" t="e">
        <f>AND(#REF!,"AAAAAC/7f98=")</f>
        <v>#REF!</v>
      </c>
      <c r="HQ207" t="e">
        <f>AND(#REF!,"AAAAAC/7f+A=")</f>
        <v>#REF!</v>
      </c>
      <c r="HR207" t="e">
        <f>AND(#REF!,"AAAAAC/7f+E=")</f>
        <v>#REF!</v>
      </c>
      <c r="HS207" t="e">
        <f>AND(#REF!,"AAAAAC/7f+I=")</f>
        <v>#REF!</v>
      </c>
      <c r="HT207" t="e">
        <f>AND(#REF!,"AAAAAC/7f+M=")</f>
        <v>#REF!</v>
      </c>
      <c r="HU207" t="e">
        <f>AND(#REF!,"AAAAAC/7f+Q=")</f>
        <v>#REF!</v>
      </c>
      <c r="HV207" t="e">
        <f>AND(#REF!,"AAAAAC/7f+U=")</f>
        <v>#REF!</v>
      </c>
      <c r="HW207" t="e">
        <f>AND(#REF!,"AAAAAC/7f+Y=")</f>
        <v>#REF!</v>
      </c>
      <c r="HX207" t="e">
        <f>AND(#REF!,"AAAAAC/7f+c=")</f>
        <v>#REF!</v>
      </c>
      <c r="HY207" t="e">
        <f>AND(#REF!,"AAAAAC/7f+g=")</f>
        <v>#REF!</v>
      </c>
      <c r="HZ207" t="e">
        <f>AND(#REF!,"AAAAAC/7f+k=")</f>
        <v>#REF!</v>
      </c>
      <c r="IA207" t="e">
        <f>AND(#REF!,"AAAAAC/7f+o=")</f>
        <v>#REF!</v>
      </c>
      <c r="IB207" t="e">
        <f>AND(#REF!,"AAAAAC/7f+s=")</f>
        <v>#REF!</v>
      </c>
      <c r="IC207" t="e">
        <f>AND(#REF!,"AAAAAC/7f+w=")</f>
        <v>#REF!</v>
      </c>
      <c r="ID207" t="e">
        <f>AND(#REF!,"AAAAAC/7f+0=")</f>
        <v>#REF!</v>
      </c>
      <c r="IE207" t="e">
        <f>AND(#REF!,"AAAAAC/7f+4=")</f>
        <v>#REF!</v>
      </c>
      <c r="IF207" t="e">
        <f>AND(#REF!,"AAAAAC/7f+8=")</f>
        <v>#REF!</v>
      </c>
      <c r="IG207" t="e">
        <f>AND(#REF!,"AAAAAC/7f/A=")</f>
        <v>#REF!</v>
      </c>
      <c r="IH207" t="e">
        <f>AND(#REF!,"AAAAAC/7f/E=")</f>
        <v>#REF!</v>
      </c>
      <c r="II207" t="e">
        <f>AND(#REF!,"AAAAAC/7f/I=")</f>
        <v>#REF!</v>
      </c>
      <c r="IJ207" t="e">
        <f>AND(#REF!,"AAAAAC/7f/M=")</f>
        <v>#REF!</v>
      </c>
      <c r="IK207" t="e">
        <f>AND(#REF!,"AAAAAC/7f/Q=")</f>
        <v>#REF!</v>
      </c>
      <c r="IL207" t="e">
        <f>AND(#REF!,"AAAAAC/7f/U=")</f>
        <v>#REF!</v>
      </c>
      <c r="IM207" t="e">
        <f>AND(#REF!,"AAAAAC/7f/Y=")</f>
        <v>#REF!</v>
      </c>
      <c r="IN207" t="e">
        <f>AND(#REF!,"AAAAAC/7f/c=")</f>
        <v>#REF!</v>
      </c>
      <c r="IO207" t="e">
        <f>AND(#REF!,"AAAAAC/7f/g=")</f>
        <v>#REF!</v>
      </c>
      <c r="IP207" t="e">
        <f>AND(#REF!,"AAAAAC/7f/k=")</f>
        <v>#REF!</v>
      </c>
      <c r="IQ207" t="e">
        <f>AND(#REF!,"AAAAAC/7f/o=")</f>
        <v>#REF!</v>
      </c>
      <c r="IR207" t="e">
        <f>AND(#REF!,"AAAAAC/7f/s=")</f>
        <v>#REF!</v>
      </c>
      <c r="IS207" t="e">
        <f>AND(#REF!,"AAAAAC/7f/w=")</f>
        <v>#REF!</v>
      </c>
      <c r="IT207" t="e">
        <f>AND(#REF!,"AAAAAC/7f/0=")</f>
        <v>#REF!</v>
      </c>
      <c r="IU207" t="e">
        <f>AND(#REF!,"AAAAAC/7f/4=")</f>
        <v>#REF!</v>
      </c>
      <c r="IV207" t="e">
        <f>AND(#REF!,"AAAAAC/7f/8=")</f>
        <v>#REF!</v>
      </c>
    </row>
    <row r="208" spans="1:256">
      <c r="A208" t="e">
        <f>AND(#REF!,"AAAAAH/2fwA=")</f>
        <v>#REF!</v>
      </c>
      <c r="B208" t="e">
        <f>AND(#REF!,"AAAAAH/2fwE=")</f>
        <v>#REF!</v>
      </c>
      <c r="C208" t="e">
        <f>AND(#REF!,"AAAAAH/2fwI=")</f>
        <v>#REF!</v>
      </c>
      <c r="D208" t="e">
        <f>AND(#REF!,"AAAAAH/2fwM=")</f>
        <v>#REF!</v>
      </c>
      <c r="E208" t="e">
        <f>AND(#REF!,"AAAAAH/2fwQ=")</f>
        <v>#REF!</v>
      </c>
      <c r="F208" t="e">
        <f>AND(#REF!,"AAAAAH/2fwU=")</f>
        <v>#REF!</v>
      </c>
      <c r="G208" t="e">
        <f>AND(#REF!,"AAAAAH/2fwY=")</f>
        <v>#REF!</v>
      </c>
      <c r="H208" t="e">
        <f>AND(#REF!,"AAAAAH/2fwc=")</f>
        <v>#REF!</v>
      </c>
      <c r="I208" t="e">
        <f>AND(#REF!,"AAAAAH/2fwg=")</f>
        <v>#REF!</v>
      </c>
      <c r="J208" t="e">
        <f>AND(#REF!,"AAAAAH/2fwk=")</f>
        <v>#REF!</v>
      </c>
      <c r="K208" t="e">
        <f>AND(#REF!,"AAAAAH/2fwo=")</f>
        <v>#REF!</v>
      </c>
      <c r="L208" t="e">
        <f>AND(#REF!,"AAAAAH/2fws=")</f>
        <v>#REF!</v>
      </c>
      <c r="M208" t="e">
        <f>AND(#REF!,"AAAAAH/2fww=")</f>
        <v>#REF!</v>
      </c>
      <c r="N208" t="e">
        <f>AND(#REF!,"AAAAAH/2fw0=")</f>
        <v>#REF!</v>
      </c>
      <c r="O208" t="e">
        <f>AND(#REF!,"AAAAAH/2fw4=")</f>
        <v>#REF!</v>
      </c>
      <c r="P208" t="e">
        <f>AND(#REF!,"AAAAAH/2fw8=")</f>
        <v>#REF!</v>
      </c>
      <c r="Q208" t="e">
        <f>AND(#REF!,"AAAAAH/2fxA=")</f>
        <v>#REF!</v>
      </c>
      <c r="R208" t="e">
        <f>AND(#REF!,"AAAAAH/2fxE=")</f>
        <v>#REF!</v>
      </c>
      <c r="S208" t="e">
        <f>AND(#REF!,"AAAAAH/2fxI=")</f>
        <v>#REF!</v>
      </c>
      <c r="T208" t="e">
        <f>AND(#REF!,"AAAAAH/2fxM=")</f>
        <v>#REF!</v>
      </c>
      <c r="U208" t="e">
        <f>AND(#REF!,"AAAAAH/2fxQ=")</f>
        <v>#REF!</v>
      </c>
      <c r="V208" t="e">
        <f>AND(#REF!,"AAAAAH/2fxU=")</f>
        <v>#REF!</v>
      </c>
      <c r="W208" t="e">
        <f>AND(#REF!,"AAAAAH/2fxY=")</f>
        <v>#REF!</v>
      </c>
      <c r="X208" t="e">
        <f>AND(#REF!,"AAAAAH/2fxc=")</f>
        <v>#REF!</v>
      </c>
      <c r="Y208" t="e">
        <f>AND(#REF!,"AAAAAH/2fxg=")</f>
        <v>#REF!</v>
      </c>
      <c r="Z208" t="e">
        <f>AND(#REF!,"AAAAAH/2fxk=")</f>
        <v>#REF!</v>
      </c>
      <c r="AA208" t="e">
        <f>AND(#REF!,"AAAAAH/2fxo=")</f>
        <v>#REF!</v>
      </c>
      <c r="AB208" t="e">
        <f>AND(#REF!,"AAAAAH/2fxs=")</f>
        <v>#REF!</v>
      </c>
      <c r="AC208" t="e">
        <f>AND(#REF!,"AAAAAH/2fxw=")</f>
        <v>#REF!</v>
      </c>
      <c r="AD208" t="e">
        <f>AND(#REF!,"AAAAAH/2fx0=")</f>
        <v>#REF!</v>
      </c>
      <c r="AE208" t="e">
        <f>AND(#REF!,"AAAAAH/2fx4=")</f>
        <v>#REF!</v>
      </c>
      <c r="AF208" t="e">
        <f>AND(#REF!,"AAAAAH/2fx8=")</f>
        <v>#REF!</v>
      </c>
      <c r="AG208" t="e">
        <f>AND(#REF!,"AAAAAH/2fyA=")</f>
        <v>#REF!</v>
      </c>
      <c r="AH208" t="e">
        <f>AND(#REF!,"AAAAAH/2fyE=")</f>
        <v>#REF!</v>
      </c>
      <c r="AI208" t="e">
        <f>AND(#REF!,"AAAAAH/2fyI=")</f>
        <v>#REF!</v>
      </c>
      <c r="AJ208" t="e">
        <f>AND(#REF!,"AAAAAH/2fyM=")</f>
        <v>#REF!</v>
      </c>
      <c r="AK208" t="e">
        <f>AND(#REF!,"AAAAAH/2fyQ=")</f>
        <v>#REF!</v>
      </c>
      <c r="AL208" t="e">
        <f>AND(#REF!,"AAAAAH/2fyU=")</f>
        <v>#REF!</v>
      </c>
      <c r="AM208" t="e">
        <f>AND(#REF!,"AAAAAH/2fyY=")</f>
        <v>#REF!</v>
      </c>
      <c r="AN208" t="e">
        <f>AND(#REF!,"AAAAAH/2fyc=")</f>
        <v>#REF!</v>
      </c>
      <c r="AO208" t="e">
        <f>AND(#REF!,"AAAAAH/2fyg=")</f>
        <v>#REF!</v>
      </c>
      <c r="AP208" t="e">
        <f>AND(#REF!,"AAAAAH/2fyk=")</f>
        <v>#REF!</v>
      </c>
      <c r="AQ208" t="e">
        <f>AND(#REF!,"AAAAAH/2fyo=")</f>
        <v>#REF!</v>
      </c>
      <c r="AR208" t="e">
        <f>AND(#REF!,"AAAAAH/2fys=")</f>
        <v>#REF!</v>
      </c>
      <c r="AS208" t="e">
        <f>AND(#REF!,"AAAAAH/2fyw=")</f>
        <v>#REF!</v>
      </c>
      <c r="AT208" t="e">
        <f>AND(#REF!,"AAAAAH/2fy0=")</f>
        <v>#REF!</v>
      </c>
      <c r="AU208" t="e">
        <f>AND(#REF!,"AAAAAH/2fy4=")</f>
        <v>#REF!</v>
      </c>
      <c r="AV208" t="e">
        <f>AND(#REF!,"AAAAAH/2fy8=")</f>
        <v>#REF!</v>
      </c>
      <c r="AW208" t="e">
        <f>AND(#REF!,"AAAAAH/2fzA=")</f>
        <v>#REF!</v>
      </c>
      <c r="AX208" t="e">
        <f>AND(#REF!,"AAAAAH/2fzE=")</f>
        <v>#REF!</v>
      </c>
      <c r="AY208" t="e">
        <f>AND(#REF!,"AAAAAH/2fzI=")</f>
        <v>#REF!</v>
      </c>
      <c r="AZ208" t="e">
        <f>AND(#REF!,"AAAAAH/2fzM=")</f>
        <v>#REF!</v>
      </c>
      <c r="BA208" t="e">
        <f>AND(#REF!,"AAAAAH/2fzQ=")</f>
        <v>#REF!</v>
      </c>
      <c r="BB208" t="e">
        <f>AND(#REF!,"AAAAAH/2fzU=")</f>
        <v>#REF!</v>
      </c>
      <c r="BC208" t="e">
        <f>AND(#REF!,"AAAAAH/2fzY=")</f>
        <v>#REF!</v>
      </c>
      <c r="BD208" t="e">
        <f>AND(#REF!,"AAAAAH/2fzc=")</f>
        <v>#REF!</v>
      </c>
      <c r="BE208" t="e">
        <f>AND(#REF!,"AAAAAH/2fzg=")</f>
        <v>#REF!</v>
      </c>
      <c r="BF208" t="e">
        <f>AND(#REF!,"AAAAAH/2fzk=")</f>
        <v>#REF!</v>
      </c>
      <c r="BG208" t="e">
        <f>AND(#REF!,"AAAAAH/2fzo=")</f>
        <v>#REF!</v>
      </c>
      <c r="BH208" t="e">
        <f>AND(#REF!,"AAAAAH/2fzs=")</f>
        <v>#REF!</v>
      </c>
      <c r="BI208" t="e">
        <f>AND(#REF!,"AAAAAH/2fzw=")</f>
        <v>#REF!</v>
      </c>
      <c r="BJ208" t="e">
        <f>AND(#REF!,"AAAAAH/2fz0=")</f>
        <v>#REF!</v>
      </c>
      <c r="BK208" t="e">
        <f>AND(#REF!,"AAAAAH/2fz4=")</f>
        <v>#REF!</v>
      </c>
      <c r="BL208" t="e">
        <f>AND(#REF!,"AAAAAH/2fz8=")</f>
        <v>#REF!</v>
      </c>
      <c r="BM208" t="e">
        <f>AND(#REF!,"AAAAAH/2f0A=")</f>
        <v>#REF!</v>
      </c>
      <c r="BN208" t="e">
        <f>AND(#REF!,"AAAAAH/2f0E=")</f>
        <v>#REF!</v>
      </c>
      <c r="BO208" t="e">
        <f>AND(#REF!,"AAAAAH/2f0I=")</f>
        <v>#REF!</v>
      </c>
      <c r="BP208" t="e">
        <f>AND(#REF!,"AAAAAH/2f0M=")</f>
        <v>#REF!</v>
      </c>
      <c r="BQ208" t="e">
        <f>AND(#REF!,"AAAAAH/2f0Q=")</f>
        <v>#REF!</v>
      </c>
      <c r="BR208" t="e">
        <f>AND(#REF!,"AAAAAH/2f0U=")</f>
        <v>#REF!</v>
      </c>
      <c r="BS208" t="e">
        <f>AND(#REF!,"AAAAAH/2f0Y=")</f>
        <v>#REF!</v>
      </c>
      <c r="BT208" t="e">
        <f>AND(#REF!,"AAAAAH/2f0c=")</f>
        <v>#REF!</v>
      </c>
      <c r="BU208" t="e">
        <f>AND(#REF!,"AAAAAH/2f0g=")</f>
        <v>#REF!</v>
      </c>
      <c r="BV208" t="e">
        <f>AND(#REF!,"AAAAAH/2f0k=")</f>
        <v>#REF!</v>
      </c>
      <c r="BW208" t="e">
        <f>IF(#REF!,"AAAAAH/2f0o=",0)</f>
        <v>#REF!</v>
      </c>
      <c r="BX208" t="e">
        <f>AND(#REF!,"AAAAAH/2f0s=")</f>
        <v>#REF!</v>
      </c>
      <c r="BY208" t="e">
        <f>AND(#REF!,"AAAAAH/2f0w=")</f>
        <v>#REF!</v>
      </c>
      <c r="BZ208" t="e">
        <f>AND(#REF!,"AAAAAH/2f00=")</f>
        <v>#REF!</v>
      </c>
      <c r="CA208" t="e">
        <f>AND(#REF!,"AAAAAH/2f04=")</f>
        <v>#REF!</v>
      </c>
      <c r="CB208" t="e">
        <f>AND(#REF!,"AAAAAH/2f08=")</f>
        <v>#REF!</v>
      </c>
      <c r="CC208" t="e">
        <f>AND(#REF!,"AAAAAH/2f1A=")</f>
        <v>#REF!</v>
      </c>
      <c r="CD208" t="e">
        <f>AND(#REF!,"AAAAAH/2f1E=")</f>
        <v>#REF!</v>
      </c>
      <c r="CE208" t="e">
        <f>AND(#REF!,"AAAAAH/2f1I=")</f>
        <v>#REF!</v>
      </c>
      <c r="CF208" t="e">
        <f>AND(#REF!,"AAAAAH/2f1M=")</f>
        <v>#REF!</v>
      </c>
      <c r="CG208" t="e">
        <f>AND(#REF!,"AAAAAH/2f1Q=")</f>
        <v>#REF!</v>
      </c>
      <c r="CH208" t="e">
        <f>AND(#REF!,"AAAAAH/2f1U=")</f>
        <v>#REF!</v>
      </c>
      <c r="CI208" t="e">
        <f>AND(#REF!,"AAAAAH/2f1Y=")</f>
        <v>#REF!</v>
      </c>
      <c r="CJ208" t="e">
        <f>AND(#REF!,"AAAAAH/2f1c=")</f>
        <v>#REF!</v>
      </c>
      <c r="CK208" t="e">
        <f>AND(#REF!,"AAAAAH/2f1g=")</f>
        <v>#REF!</v>
      </c>
      <c r="CL208" t="e">
        <f>AND(#REF!,"AAAAAH/2f1k=")</f>
        <v>#REF!</v>
      </c>
      <c r="CM208" t="e">
        <f>AND(#REF!,"AAAAAH/2f1o=")</f>
        <v>#REF!</v>
      </c>
      <c r="CN208" t="e">
        <f>AND(#REF!,"AAAAAH/2f1s=")</f>
        <v>#REF!</v>
      </c>
      <c r="CO208" t="e">
        <f>AND(#REF!,"AAAAAH/2f1w=")</f>
        <v>#REF!</v>
      </c>
      <c r="CP208" t="e">
        <f>AND(#REF!,"AAAAAH/2f10=")</f>
        <v>#REF!</v>
      </c>
      <c r="CQ208" t="e">
        <f>AND(#REF!,"AAAAAH/2f14=")</f>
        <v>#REF!</v>
      </c>
      <c r="CR208" t="e">
        <f>AND(#REF!,"AAAAAH/2f18=")</f>
        <v>#REF!</v>
      </c>
      <c r="CS208" t="e">
        <f>AND(#REF!,"AAAAAH/2f2A=")</f>
        <v>#REF!</v>
      </c>
      <c r="CT208" t="e">
        <f>AND(#REF!,"AAAAAH/2f2E=")</f>
        <v>#REF!</v>
      </c>
      <c r="CU208" t="e">
        <f>AND(#REF!,"AAAAAH/2f2I=")</f>
        <v>#REF!</v>
      </c>
      <c r="CV208" t="e">
        <f>AND(#REF!,"AAAAAH/2f2M=")</f>
        <v>#REF!</v>
      </c>
      <c r="CW208" t="e">
        <f>AND(#REF!,"AAAAAH/2f2Q=")</f>
        <v>#REF!</v>
      </c>
      <c r="CX208" t="e">
        <f>AND(#REF!,"AAAAAH/2f2U=")</f>
        <v>#REF!</v>
      </c>
      <c r="CY208" t="e">
        <f>AND(#REF!,"AAAAAH/2f2Y=")</f>
        <v>#REF!</v>
      </c>
      <c r="CZ208" t="e">
        <f>AND(#REF!,"AAAAAH/2f2c=")</f>
        <v>#REF!</v>
      </c>
      <c r="DA208" t="e">
        <f>AND(#REF!,"AAAAAH/2f2g=")</f>
        <v>#REF!</v>
      </c>
      <c r="DB208" t="e">
        <f>AND(#REF!,"AAAAAH/2f2k=")</f>
        <v>#REF!</v>
      </c>
      <c r="DC208" t="e">
        <f>AND(#REF!,"AAAAAH/2f2o=")</f>
        <v>#REF!</v>
      </c>
      <c r="DD208" t="e">
        <f>AND(#REF!,"AAAAAH/2f2s=")</f>
        <v>#REF!</v>
      </c>
      <c r="DE208" t="e">
        <f>AND(#REF!,"AAAAAH/2f2w=")</f>
        <v>#REF!</v>
      </c>
      <c r="DF208" t="e">
        <f>AND(#REF!,"AAAAAH/2f20=")</f>
        <v>#REF!</v>
      </c>
      <c r="DG208" t="e">
        <f>AND(#REF!,"AAAAAH/2f24=")</f>
        <v>#REF!</v>
      </c>
      <c r="DH208" t="e">
        <f>AND(#REF!,"AAAAAH/2f28=")</f>
        <v>#REF!</v>
      </c>
      <c r="DI208" t="e">
        <f>AND(#REF!,"AAAAAH/2f3A=")</f>
        <v>#REF!</v>
      </c>
      <c r="DJ208" t="e">
        <f>AND(#REF!,"AAAAAH/2f3E=")</f>
        <v>#REF!</v>
      </c>
      <c r="DK208" t="e">
        <f>AND(#REF!,"AAAAAH/2f3I=")</f>
        <v>#REF!</v>
      </c>
      <c r="DL208" t="e">
        <f>AND(#REF!,"AAAAAH/2f3M=")</f>
        <v>#REF!</v>
      </c>
      <c r="DM208" t="e">
        <f>AND(#REF!,"AAAAAH/2f3Q=")</f>
        <v>#REF!</v>
      </c>
      <c r="DN208" t="e">
        <f>AND(#REF!,"AAAAAH/2f3U=")</f>
        <v>#REF!</v>
      </c>
      <c r="DO208" t="e">
        <f>AND(#REF!,"AAAAAH/2f3Y=")</f>
        <v>#REF!</v>
      </c>
      <c r="DP208" t="e">
        <f>AND(#REF!,"AAAAAH/2f3c=")</f>
        <v>#REF!</v>
      </c>
      <c r="DQ208" t="e">
        <f>AND(#REF!,"AAAAAH/2f3g=")</f>
        <v>#REF!</v>
      </c>
      <c r="DR208" t="e">
        <f>AND(#REF!,"AAAAAH/2f3k=")</f>
        <v>#REF!</v>
      </c>
      <c r="DS208" t="e">
        <f>AND(#REF!,"AAAAAH/2f3o=")</f>
        <v>#REF!</v>
      </c>
      <c r="DT208" t="e">
        <f>AND(#REF!,"AAAAAH/2f3s=")</f>
        <v>#REF!</v>
      </c>
      <c r="DU208" t="e">
        <f>AND(#REF!,"AAAAAH/2f3w=")</f>
        <v>#REF!</v>
      </c>
      <c r="DV208" t="e">
        <f>AND(#REF!,"AAAAAH/2f30=")</f>
        <v>#REF!</v>
      </c>
      <c r="DW208" t="e">
        <f>AND(#REF!,"AAAAAH/2f34=")</f>
        <v>#REF!</v>
      </c>
      <c r="DX208" t="e">
        <f>AND(#REF!,"AAAAAH/2f38=")</f>
        <v>#REF!</v>
      </c>
      <c r="DY208" t="e">
        <f>AND(#REF!,"AAAAAH/2f4A=")</f>
        <v>#REF!</v>
      </c>
      <c r="DZ208" t="e">
        <f>AND(#REF!,"AAAAAH/2f4E=")</f>
        <v>#REF!</v>
      </c>
      <c r="EA208" t="e">
        <f>AND(#REF!,"AAAAAH/2f4I=")</f>
        <v>#REF!</v>
      </c>
      <c r="EB208" t="e">
        <f>AND(#REF!,"AAAAAH/2f4M=")</f>
        <v>#REF!</v>
      </c>
      <c r="EC208" t="e">
        <f>AND(#REF!,"AAAAAH/2f4Q=")</f>
        <v>#REF!</v>
      </c>
      <c r="ED208" t="e">
        <f>AND(#REF!,"AAAAAH/2f4U=")</f>
        <v>#REF!</v>
      </c>
      <c r="EE208" t="e">
        <f>AND(#REF!,"AAAAAH/2f4Y=")</f>
        <v>#REF!</v>
      </c>
      <c r="EF208" t="e">
        <f>AND(#REF!,"AAAAAH/2f4c=")</f>
        <v>#REF!</v>
      </c>
      <c r="EG208" t="e">
        <f>AND(#REF!,"AAAAAH/2f4g=")</f>
        <v>#REF!</v>
      </c>
      <c r="EH208" t="e">
        <f>AND(#REF!,"AAAAAH/2f4k=")</f>
        <v>#REF!</v>
      </c>
      <c r="EI208" t="e">
        <f>AND(#REF!,"AAAAAH/2f4o=")</f>
        <v>#REF!</v>
      </c>
      <c r="EJ208" t="e">
        <f>AND(#REF!,"AAAAAH/2f4s=")</f>
        <v>#REF!</v>
      </c>
      <c r="EK208" t="e">
        <f>AND(#REF!,"AAAAAH/2f4w=")</f>
        <v>#REF!</v>
      </c>
      <c r="EL208" t="e">
        <f>AND(#REF!,"AAAAAH/2f40=")</f>
        <v>#REF!</v>
      </c>
      <c r="EM208" t="e">
        <f>AND(#REF!,"AAAAAH/2f44=")</f>
        <v>#REF!</v>
      </c>
      <c r="EN208" t="e">
        <f>AND(#REF!,"AAAAAH/2f48=")</f>
        <v>#REF!</v>
      </c>
      <c r="EO208" t="e">
        <f>AND(#REF!,"AAAAAH/2f5A=")</f>
        <v>#REF!</v>
      </c>
      <c r="EP208" t="e">
        <f>AND(#REF!,"AAAAAH/2f5E=")</f>
        <v>#REF!</v>
      </c>
      <c r="EQ208" t="e">
        <f>AND(#REF!,"AAAAAH/2f5I=")</f>
        <v>#REF!</v>
      </c>
      <c r="ER208" t="e">
        <f>AND(#REF!,"AAAAAH/2f5M=")</f>
        <v>#REF!</v>
      </c>
      <c r="ES208" t="e">
        <f>AND(#REF!,"AAAAAH/2f5Q=")</f>
        <v>#REF!</v>
      </c>
      <c r="ET208" t="e">
        <f>AND(#REF!,"AAAAAH/2f5U=")</f>
        <v>#REF!</v>
      </c>
      <c r="EU208" t="e">
        <f>AND(#REF!,"AAAAAH/2f5Y=")</f>
        <v>#REF!</v>
      </c>
      <c r="EV208" t="e">
        <f>AND(#REF!,"AAAAAH/2f5c=")</f>
        <v>#REF!</v>
      </c>
      <c r="EW208" t="e">
        <f>AND(#REF!,"AAAAAH/2f5g=")</f>
        <v>#REF!</v>
      </c>
      <c r="EX208" t="e">
        <f>AND(#REF!,"AAAAAH/2f5k=")</f>
        <v>#REF!</v>
      </c>
      <c r="EY208" t="e">
        <f>AND(#REF!,"AAAAAH/2f5o=")</f>
        <v>#REF!</v>
      </c>
      <c r="EZ208" t="e">
        <f>AND(#REF!,"AAAAAH/2f5s=")</f>
        <v>#REF!</v>
      </c>
      <c r="FA208" t="e">
        <f>AND(#REF!,"AAAAAH/2f5w=")</f>
        <v>#REF!</v>
      </c>
      <c r="FB208" t="e">
        <f>AND(#REF!,"AAAAAH/2f50=")</f>
        <v>#REF!</v>
      </c>
      <c r="FC208" t="e">
        <f>AND(#REF!,"AAAAAH/2f54=")</f>
        <v>#REF!</v>
      </c>
      <c r="FD208" t="e">
        <f>AND(#REF!,"AAAAAH/2f58=")</f>
        <v>#REF!</v>
      </c>
      <c r="FE208" t="e">
        <f>AND(#REF!,"AAAAAH/2f6A=")</f>
        <v>#REF!</v>
      </c>
      <c r="FF208" t="e">
        <f>AND(#REF!,"AAAAAH/2f6E=")</f>
        <v>#REF!</v>
      </c>
      <c r="FG208" t="e">
        <f>AND(#REF!,"AAAAAH/2f6I=")</f>
        <v>#REF!</v>
      </c>
      <c r="FH208" t="e">
        <f>AND(#REF!,"AAAAAH/2f6M=")</f>
        <v>#REF!</v>
      </c>
      <c r="FI208" t="e">
        <f>AND(#REF!,"AAAAAH/2f6Q=")</f>
        <v>#REF!</v>
      </c>
      <c r="FJ208" t="e">
        <f>AND(#REF!,"AAAAAH/2f6U=")</f>
        <v>#REF!</v>
      </c>
      <c r="FK208" t="e">
        <f>AND(#REF!,"AAAAAH/2f6Y=")</f>
        <v>#REF!</v>
      </c>
      <c r="FL208" t="e">
        <f>AND(#REF!,"AAAAAH/2f6c=")</f>
        <v>#REF!</v>
      </c>
      <c r="FM208" t="e">
        <f>AND(#REF!,"AAAAAH/2f6g=")</f>
        <v>#REF!</v>
      </c>
      <c r="FN208" t="e">
        <f>AND(#REF!,"AAAAAH/2f6k=")</f>
        <v>#REF!</v>
      </c>
      <c r="FO208" t="e">
        <f>AND(#REF!,"AAAAAH/2f6o=")</f>
        <v>#REF!</v>
      </c>
      <c r="FP208" t="e">
        <f>AND(#REF!,"AAAAAH/2f6s=")</f>
        <v>#REF!</v>
      </c>
      <c r="FQ208" t="e">
        <f>AND(#REF!,"AAAAAH/2f6w=")</f>
        <v>#REF!</v>
      </c>
      <c r="FR208" t="e">
        <f>AND(#REF!,"AAAAAH/2f60=")</f>
        <v>#REF!</v>
      </c>
      <c r="FS208" t="e">
        <f>AND(#REF!,"AAAAAH/2f64=")</f>
        <v>#REF!</v>
      </c>
      <c r="FT208" t="e">
        <f>AND(#REF!,"AAAAAH/2f68=")</f>
        <v>#REF!</v>
      </c>
      <c r="FU208" t="e">
        <f>AND(#REF!,"AAAAAH/2f7A=")</f>
        <v>#REF!</v>
      </c>
      <c r="FV208" t="e">
        <f>AND(#REF!,"AAAAAH/2f7E=")</f>
        <v>#REF!</v>
      </c>
      <c r="FW208" t="e">
        <f>AND(#REF!,"AAAAAH/2f7I=")</f>
        <v>#REF!</v>
      </c>
      <c r="FX208" t="e">
        <f>AND(#REF!,"AAAAAH/2f7M=")</f>
        <v>#REF!</v>
      </c>
      <c r="FY208" t="e">
        <f>AND(#REF!,"AAAAAH/2f7Q=")</f>
        <v>#REF!</v>
      </c>
      <c r="FZ208" t="e">
        <f>AND(#REF!,"AAAAAH/2f7U=")</f>
        <v>#REF!</v>
      </c>
      <c r="GA208" t="e">
        <f>AND(#REF!,"AAAAAH/2f7Y=")</f>
        <v>#REF!</v>
      </c>
      <c r="GB208" t="e">
        <f>AND(#REF!,"AAAAAH/2f7c=")</f>
        <v>#REF!</v>
      </c>
      <c r="GC208" t="e">
        <f>AND(#REF!,"AAAAAH/2f7g=")</f>
        <v>#REF!</v>
      </c>
      <c r="GD208" t="e">
        <f>AND(#REF!,"AAAAAH/2f7k=")</f>
        <v>#REF!</v>
      </c>
      <c r="GE208" t="e">
        <f>AND(#REF!,"AAAAAH/2f7o=")</f>
        <v>#REF!</v>
      </c>
      <c r="GF208" t="e">
        <f>AND(#REF!,"AAAAAH/2f7s=")</f>
        <v>#REF!</v>
      </c>
      <c r="GG208" t="e">
        <f>AND(#REF!,"AAAAAH/2f7w=")</f>
        <v>#REF!</v>
      </c>
      <c r="GH208" t="e">
        <f>AND(#REF!,"AAAAAH/2f70=")</f>
        <v>#REF!</v>
      </c>
      <c r="GI208" t="e">
        <f>AND(#REF!,"AAAAAH/2f74=")</f>
        <v>#REF!</v>
      </c>
      <c r="GJ208" t="e">
        <f>AND(#REF!,"AAAAAH/2f78=")</f>
        <v>#REF!</v>
      </c>
      <c r="GK208" t="e">
        <f>AND(#REF!,"AAAAAH/2f8A=")</f>
        <v>#REF!</v>
      </c>
      <c r="GL208" t="e">
        <f>AND(#REF!,"AAAAAH/2f8E=")</f>
        <v>#REF!</v>
      </c>
      <c r="GM208" t="e">
        <f>AND(#REF!,"AAAAAH/2f8I=")</f>
        <v>#REF!</v>
      </c>
      <c r="GN208" t="e">
        <f>AND(#REF!,"AAAAAH/2f8M=")</f>
        <v>#REF!</v>
      </c>
      <c r="GO208" t="e">
        <f>AND(#REF!,"AAAAAH/2f8Q=")</f>
        <v>#REF!</v>
      </c>
      <c r="GP208" t="e">
        <f>AND(#REF!,"AAAAAH/2f8U=")</f>
        <v>#REF!</v>
      </c>
      <c r="GQ208" t="e">
        <f>AND(#REF!,"AAAAAH/2f8Y=")</f>
        <v>#REF!</v>
      </c>
      <c r="GR208" t="e">
        <f>AND(#REF!,"AAAAAH/2f8c=")</f>
        <v>#REF!</v>
      </c>
      <c r="GS208" t="e">
        <f>AND(#REF!,"AAAAAH/2f8g=")</f>
        <v>#REF!</v>
      </c>
      <c r="GT208" t="e">
        <f>AND(#REF!,"AAAAAH/2f8k=")</f>
        <v>#REF!</v>
      </c>
      <c r="GU208" t="e">
        <f>AND(#REF!,"AAAAAH/2f8o=")</f>
        <v>#REF!</v>
      </c>
      <c r="GV208" t="e">
        <f>AND(#REF!,"AAAAAH/2f8s=")</f>
        <v>#REF!</v>
      </c>
      <c r="GW208" t="e">
        <f>AND(#REF!,"AAAAAH/2f8w=")</f>
        <v>#REF!</v>
      </c>
      <c r="GX208" t="e">
        <f>AND(#REF!,"AAAAAH/2f80=")</f>
        <v>#REF!</v>
      </c>
      <c r="GY208" t="e">
        <f>AND(#REF!,"AAAAAH/2f84=")</f>
        <v>#REF!</v>
      </c>
      <c r="GZ208" t="e">
        <f>AND(#REF!,"AAAAAH/2f88=")</f>
        <v>#REF!</v>
      </c>
      <c r="HA208" t="e">
        <f>AND(#REF!,"AAAAAH/2f9A=")</f>
        <v>#REF!</v>
      </c>
      <c r="HB208" t="e">
        <f>AND(#REF!,"AAAAAH/2f9E=")</f>
        <v>#REF!</v>
      </c>
      <c r="HC208" t="e">
        <f>AND(#REF!,"AAAAAH/2f9I=")</f>
        <v>#REF!</v>
      </c>
      <c r="HD208" t="e">
        <f>AND(#REF!,"AAAAAH/2f9M=")</f>
        <v>#REF!</v>
      </c>
      <c r="HE208" t="e">
        <f>AND(#REF!,"AAAAAH/2f9Q=")</f>
        <v>#REF!</v>
      </c>
      <c r="HF208" t="e">
        <f>AND(#REF!,"AAAAAH/2f9U=")</f>
        <v>#REF!</v>
      </c>
      <c r="HG208" t="e">
        <f>AND(#REF!,"AAAAAH/2f9Y=")</f>
        <v>#REF!</v>
      </c>
      <c r="HH208" t="e">
        <f>AND(#REF!,"AAAAAH/2f9c=")</f>
        <v>#REF!</v>
      </c>
      <c r="HI208" t="e">
        <f>AND(#REF!,"AAAAAH/2f9g=")</f>
        <v>#REF!</v>
      </c>
      <c r="HJ208" t="e">
        <f>AND(#REF!,"AAAAAH/2f9k=")</f>
        <v>#REF!</v>
      </c>
      <c r="HK208" t="e">
        <f>AND(#REF!,"AAAAAH/2f9o=")</f>
        <v>#REF!</v>
      </c>
      <c r="HL208" t="e">
        <f>AND(#REF!,"AAAAAH/2f9s=")</f>
        <v>#REF!</v>
      </c>
      <c r="HM208" t="e">
        <f>AND(#REF!,"AAAAAH/2f9w=")</f>
        <v>#REF!</v>
      </c>
      <c r="HN208" t="e">
        <f>AND(#REF!,"AAAAAH/2f90=")</f>
        <v>#REF!</v>
      </c>
      <c r="HO208" t="e">
        <f>AND(#REF!,"AAAAAH/2f94=")</f>
        <v>#REF!</v>
      </c>
      <c r="HP208" t="e">
        <f>AND(#REF!,"AAAAAH/2f98=")</f>
        <v>#REF!</v>
      </c>
      <c r="HQ208" t="e">
        <f>AND(#REF!,"AAAAAH/2f+A=")</f>
        <v>#REF!</v>
      </c>
      <c r="HR208" t="e">
        <f>AND(#REF!,"AAAAAH/2f+E=")</f>
        <v>#REF!</v>
      </c>
      <c r="HS208" t="e">
        <f>AND(#REF!,"AAAAAH/2f+I=")</f>
        <v>#REF!</v>
      </c>
      <c r="HT208" t="e">
        <f>AND(#REF!,"AAAAAH/2f+M=")</f>
        <v>#REF!</v>
      </c>
      <c r="HU208" t="e">
        <f>AND(#REF!,"AAAAAH/2f+Q=")</f>
        <v>#REF!</v>
      </c>
      <c r="HV208" t="e">
        <f>AND(#REF!,"AAAAAH/2f+U=")</f>
        <v>#REF!</v>
      </c>
      <c r="HW208" t="e">
        <f>AND(#REF!,"AAAAAH/2f+Y=")</f>
        <v>#REF!</v>
      </c>
      <c r="HX208" t="e">
        <f>AND(#REF!,"AAAAAH/2f+c=")</f>
        <v>#REF!</v>
      </c>
      <c r="HY208" t="e">
        <f>AND(#REF!,"AAAAAH/2f+g=")</f>
        <v>#REF!</v>
      </c>
      <c r="HZ208" t="e">
        <f>AND(#REF!,"AAAAAH/2f+k=")</f>
        <v>#REF!</v>
      </c>
      <c r="IA208" t="e">
        <f>AND(#REF!,"AAAAAH/2f+o=")</f>
        <v>#REF!</v>
      </c>
      <c r="IB208" t="e">
        <f>AND(#REF!,"AAAAAH/2f+s=")</f>
        <v>#REF!</v>
      </c>
      <c r="IC208" t="e">
        <f>AND(#REF!,"AAAAAH/2f+w=")</f>
        <v>#REF!</v>
      </c>
      <c r="ID208" t="e">
        <f>AND(#REF!,"AAAAAH/2f+0=")</f>
        <v>#REF!</v>
      </c>
      <c r="IE208" t="e">
        <f>AND(#REF!,"AAAAAH/2f+4=")</f>
        <v>#REF!</v>
      </c>
      <c r="IF208" t="e">
        <f>AND(#REF!,"AAAAAH/2f+8=")</f>
        <v>#REF!</v>
      </c>
      <c r="IG208" t="e">
        <f>AND(#REF!,"AAAAAH/2f/A=")</f>
        <v>#REF!</v>
      </c>
      <c r="IH208" t="e">
        <f>AND(#REF!,"AAAAAH/2f/E=")</f>
        <v>#REF!</v>
      </c>
      <c r="II208" t="e">
        <f>AND(#REF!,"AAAAAH/2f/I=")</f>
        <v>#REF!</v>
      </c>
      <c r="IJ208" t="e">
        <f>AND(#REF!,"AAAAAH/2f/M=")</f>
        <v>#REF!</v>
      </c>
      <c r="IK208" t="e">
        <f>AND(#REF!,"AAAAAH/2f/Q=")</f>
        <v>#REF!</v>
      </c>
      <c r="IL208" t="e">
        <f>AND(#REF!,"AAAAAH/2f/U=")</f>
        <v>#REF!</v>
      </c>
      <c r="IM208" t="e">
        <f>AND(#REF!,"AAAAAH/2f/Y=")</f>
        <v>#REF!</v>
      </c>
      <c r="IN208" t="e">
        <f>AND(#REF!,"AAAAAH/2f/c=")</f>
        <v>#REF!</v>
      </c>
      <c r="IO208" t="e">
        <f>AND(#REF!,"AAAAAH/2f/g=")</f>
        <v>#REF!</v>
      </c>
      <c r="IP208" t="e">
        <f>AND(#REF!,"AAAAAH/2f/k=")</f>
        <v>#REF!</v>
      </c>
      <c r="IQ208" t="e">
        <f>AND(#REF!,"AAAAAH/2f/o=")</f>
        <v>#REF!</v>
      </c>
      <c r="IR208" t="e">
        <f>AND(#REF!,"AAAAAH/2f/s=")</f>
        <v>#REF!</v>
      </c>
      <c r="IS208" t="e">
        <f>AND(#REF!,"AAAAAH/2f/w=")</f>
        <v>#REF!</v>
      </c>
      <c r="IT208" t="e">
        <f>AND(#REF!,"AAAAAH/2f/0=")</f>
        <v>#REF!</v>
      </c>
      <c r="IU208" t="e">
        <f>AND(#REF!,"AAAAAH/2f/4=")</f>
        <v>#REF!</v>
      </c>
      <c r="IV208" t="e">
        <f>AND(#REF!,"AAAAAH/2f/8=")</f>
        <v>#REF!</v>
      </c>
    </row>
    <row r="209" spans="1:256">
      <c r="A209" t="e">
        <f>AND(#REF!,"AAAAADp+ngA=")</f>
        <v>#REF!</v>
      </c>
      <c r="B209" t="e">
        <f>AND(#REF!,"AAAAADp+ngE=")</f>
        <v>#REF!</v>
      </c>
      <c r="C209" t="e">
        <f>AND(#REF!,"AAAAADp+ngI=")</f>
        <v>#REF!</v>
      </c>
      <c r="D209" t="e">
        <f>AND(#REF!,"AAAAADp+ngM=")</f>
        <v>#REF!</v>
      </c>
      <c r="E209" t="e">
        <f>AND(#REF!,"AAAAADp+ngQ=")</f>
        <v>#REF!</v>
      </c>
      <c r="F209" t="e">
        <f>AND(#REF!,"AAAAADp+ngU=")</f>
        <v>#REF!</v>
      </c>
      <c r="G209" t="e">
        <f>AND(#REF!,"AAAAADp+ngY=")</f>
        <v>#REF!</v>
      </c>
      <c r="H209" t="e">
        <f>AND(#REF!,"AAAAADp+ngc=")</f>
        <v>#REF!</v>
      </c>
      <c r="I209" t="e">
        <f>AND(#REF!,"AAAAADp+ngg=")</f>
        <v>#REF!</v>
      </c>
      <c r="J209" t="e">
        <f>AND(#REF!,"AAAAADp+ngk=")</f>
        <v>#REF!</v>
      </c>
      <c r="K209" t="e">
        <f>AND(#REF!,"AAAAADp+ngo=")</f>
        <v>#REF!</v>
      </c>
      <c r="L209" t="e">
        <f>AND(#REF!,"AAAAADp+ngs=")</f>
        <v>#REF!</v>
      </c>
      <c r="M209" t="e">
        <f>AND(#REF!,"AAAAADp+ngw=")</f>
        <v>#REF!</v>
      </c>
      <c r="N209" t="e">
        <f>AND(#REF!,"AAAAADp+ng0=")</f>
        <v>#REF!</v>
      </c>
      <c r="O209" t="e">
        <f>AND(#REF!,"AAAAADp+ng4=")</f>
        <v>#REF!</v>
      </c>
      <c r="P209" t="e">
        <f>AND(#REF!,"AAAAADp+ng8=")</f>
        <v>#REF!</v>
      </c>
      <c r="Q209" t="e">
        <f>AND(#REF!,"AAAAADp+nhA=")</f>
        <v>#REF!</v>
      </c>
      <c r="R209" t="e">
        <f>AND(#REF!,"AAAAADp+nhE=")</f>
        <v>#REF!</v>
      </c>
      <c r="S209" t="e">
        <f>AND(#REF!,"AAAAADp+nhI=")</f>
        <v>#REF!</v>
      </c>
      <c r="T209" t="e">
        <f>AND(#REF!,"AAAAADp+nhM=")</f>
        <v>#REF!</v>
      </c>
      <c r="U209" t="e">
        <f>AND(#REF!,"AAAAADp+nhQ=")</f>
        <v>#REF!</v>
      </c>
      <c r="V209" t="e">
        <f>AND(#REF!,"AAAAADp+nhU=")</f>
        <v>#REF!</v>
      </c>
      <c r="W209" t="e">
        <f>AND(#REF!,"AAAAADp+nhY=")</f>
        <v>#REF!</v>
      </c>
      <c r="X209" t="e">
        <f>AND(#REF!,"AAAAADp+nhc=")</f>
        <v>#REF!</v>
      </c>
      <c r="Y209" t="e">
        <f>AND(#REF!,"AAAAADp+nhg=")</f>
        <v>#REF!</v>
      </c>
      <c r="Z209" t="e">
        <f>AND(#REF!,"AAAAADp+nhk=")</f>
        <v>#REF!</v>
      </c>
      <c r="AA209" t="e">
        <f>AND(#REF!,"AAAAADp+nho=")</f>
        <v>#REF!</v>
      </c>
      <c r="AB209" t="e">
        <f>AND(#REF!,"AAAAADp+nhs=")</f>
        <v>#REF!</v>
      </c>
      <c r="AC209" t="e">
        <f>AND(#REF!,"AAAAADp+nhw=")</f>
        <v>#REF!</v>
      </c>
      <c r="AD209" t="e">
        <f>AND(#REF!,"AAAAADp+nh0=")</f>
        <v>#REF!</v>
      </c>
      <c r="AE209" t="e">
        <f>AND(#REF!,"AAAAADp+nh4=")</f>
        <v>#REF!</v>
      </c>
      <c r="AF209" t="e">
        <f>AND(#REF!,"AAAAADp+nh8=")</f>
        <v>#REF!</v>
      </c>
      <c r="AG209" t="e">
        <f>AND(#REF!,"AAAAADp+niA=")</f>
        <v>#REF!</v>
      </c>
      <c r="AH209" t="e">
        <f>AND(#REF!,"AAAAADp+niE=")</f>
        <v>#REF!</v>
      </c>
      <c r="AI209" t="e">
        <f>AND(#REF!,"AAAAADp+niI=")</f>
        <v>#REF!</v>
      </c>
      <c r="AJ209" t="e">
        <f>AND(#REF!,"AAAAADp+niM=")</f>
        <v>#REF!</v>
      </c>
      <c r="AK209" t="e">
        <f>AND(#REF!,"AAAAADp+niQ=")</f>
        <v>#REF!</v>
      </c>
      <c r="AL209" t="e">
        <f>AND(#REF!,"AAAAADp+niU=")</f>
        <v>#REF!</v>
      </c>
      <c r="AM209" t="e">
        <f>AND(#REF!,"AAAAADp+niY=")</f>
        <v>#REF!</v>
      </c>
      <c r="AN209" t="e">
        <f>AND(#REF!,"AAAAADp+nic=")</f>
        <v>#REF!</v>
      </c>
      <c r="AO209" t="e">
        <f>AND(#REF!,"AAAAADp+nig=")</f>
        <v>#REF!</v>
      </c>
      <c r="AP209" t="e">
        <f>AND(#REF!,"AAAAADp+nik=")</f>
        <v>#REF!</v>
      </c>
      <c r="AQ209" t="e">
        <f>AND(#REF!,"AAAAADp+nio=")</f>
        <v>#REF!</v>
      </c>
      <c r="AR209" t="e">
        <f>AND(#REF!,"AAAAADp+nis=")</f>
        <v>#REF!</v>
      </c>
      <c r="AS209" t="e">
        <f>AND(#REF!,"AAAAADp+niw=")</f>
        <v>#REF!</v>
      </c>
      <c r="AT209" t="e">
        <f>AND(#REF!,"AAAAADp+ni0=")</f>
        <v>#REF!</v>
      </c>
      <c r="AU209" t="e">
        <f>IF(#REF!,"AAAAADp+ni4=",0)</f>
        <v>#REF!</v>
      </c>
      <c r="AV209" t="e">
        <f>AND(#REF!,"AAAAADp+ni8=")</f>
        <v>#REF!</v>
      </c>
      <c r="AW209" t="e">
        <f>AND(#REF!,"AAAAADp+njA=")</f>
        <v>#REF!</v>
      </c>
      <c r="AX209" t="e">
        <f>AND(#REF!,"AAAAADp+njE=")</f>
        <v>#REF!</v>
      </c>
      <c r="AY209" t="e">
        <f>AND(#REF!,"AAAAADp+njI=")</f>
        <v>#REF!</v>
      </c>
      <c r="AZ209" t="e">
        <f>AND(#REF!,"AAAAADp+njM=")</f>
        <v>#REF!</v>
      </c>
      <c r="BA209" t="e">
        <f>AND(#REF!,"AAAAADp+njQ=")</f>
        <v>#REF!</v>
      </c>
      <c r="BB209" t="e">
        <f>AND(#REF!,"AAAAADp+njU=")</f>
        <v>#REF!</v>
      </c>
      <c r="BC209" t="e">
        <f>AND(#REF!,"AAAAADp+njY=")</f>
        <v>#REF!</v>
      </c>
      <c r="BD209" t="e">
        <f>AND(#REF!,"AAAAADp+njc=")</f>
        <v>#REF!</v>
      </c>
      <c r="BE209" t="e">
        <f>AND(#REF!,"AAAAADp+njg=")</f>
        <v>#REF!</v>
      </c>
      <c r="BF209" t="e">
        <f>AND(#REF!,"AAAAADp+njk=")</f>
        <v>#REF!</v>
      </c>
      <c r="BG209" t="e">
        <f>AND(#REF!,"AAAAADp+njo=")</f>
        <v>#REF!</v>
      </c>
      <c r="BH209" t="e">
        <f>AND(#REF!,"AAAAADp+njs=")</f>
        <v>#REF!</v>
      </c>
      <c r="BI209" t="e">
        <f>AND(#REF!,"AAAAADp+njw=")</f>
        <v>#REF!</v>
      </c>
      <c r="BJ209" t="e">
        <f>AND(#REF!,"AAAAADp+nj0=")</f>
        <v>#REF!</v>
      </c>
      <c r="BK209" t="e">
        <f>AND(#REF!,"AAAAADp+nj4=")</f>
        <v>#REF!</v>
      </c>
      <c r="BL209" t="e">
        <f>AND(#REF!,"AAAAADp+nj8=")</f>
        <v>#REF!</v>
      </c>
      <c r="BM209" t="e">
        <f>AND(#REF!,"AAAAADp+nkA=")</f>
        <v>#REF!</v>
      </c>
      <c r="BN209" t="e">
        <f>AND(#REF!,"AAAAADp+nkE=")</f>
        <v>#REF!</v>
      </c>
      <c r="BO209" t="e">
        <f>AND(#REF!,"AAAAADp+nkI=")</f>
        <v>#REF!</v>
      </c>
      <c r="BP209" t="e">
        <f>AND(#REF!,"AAAAADp+nkM=")</f>
        <v>#REF!</v>
      </c>
      <c r="BQ209" t="e">
        <f>AND(#REF!,"AAAAADp+nkQ=")</f>
        <v>#REF!</v>
      </c>
      <c r="BR209" t="e">
        <f>AND(#REF!,"AAAAADp+nkU=")</f>
        <v>#REF!</v>
      </c>
      <c r="BS209" t="e">
        <f>AND(#REF!,"AAAAADp+nkY=")</f>
        <v>#REF!</v>
      </c>
      <c r="BT209" t="e">
        <f>AND(#REF!,"AAAAADp+nkc=")</f>
        <v>#REF!</v>
      </c>
      <c r="BU209" t="e">
        <f>AND(#REF!,"AAAAADp+nkg=")</f>
        <v>#REF!</v>
      </c>
      <c r="BV209" t="e">
        <f>AND(#REF!,"AAAAADp+nkk=")</f>
        <v>#REF!</v>
      </c>
      <c r="BW209" t="e">
        <f>AND(#REF!,"AAAAADp+nko=")</f>
        <v>#REF!</v>
      </c>
      <c r="BX209" t="e">
        <f>AND(#REF!,"AAAAADp+nks=")</f>
        <v>#REF!</v>
      </c>
      <c r="BY209" t="e">
        <f>AND(#REF!,"AAAAADp+nkw=")</f>
        <v>#REF!</v>
      </c>
      <c r="BZ209" t="e">
        <f>AND(#REF!,"AAAAADp+nk0=")</f>
        <v>#REF!</v>
      </c>
      <c r="CA209" t="e">
        <f>AND(#REF!,"AAAAADp+nk4=")</f>
        <v>#REF!</v>
      </c>
      <c r="CB209" t="e">
        <f>AND(#REF!,"AAAAADp+nk8=")</f>
        <v>#REF!</v>
      </c>
      <c r="CC209" t="e">
        <f>AND(#REF!,"AAAAADp+nlA=")</f>
        <v>#REF!</v>
      </c>
      <c r="CD209" t="e">
        <f>AND(#REF!,"AAAAADp+nlE=")</f>
        <v>#REF!</v>
      </c>
      <c r="CE209" t="e">
        <f>AND(#REF!,"AAAAADp+nlI=")</f>
        <v>#REF!</v>
      </c>
      <c r="CF209" t="e">
        <f>AND(#REF!,"AAAAADp+nlM=")</f>
        <v>#REF!</v>
      </c>
      <c r="CG209" t="e">
        <f>AND(#REF!,"AAAAADp+nlQ=")</f>
        <v>#REF!</v>
      </c>
      <c r="CH209" t="e">
        <f>AND(#REF!,"AAAAADp+nlU=")</f>
        <v>#REF!</v>
      </c>
      <c r="CI209" t="e">
        <f>AND(#REF!,"AAAAADp+nlY=")</f>
        <v>#REF!</v>
      </c>
      <c r="CJ209" t="e">
        <f>AND(#REF!,"AAAAADp+nlc=")</f>
        <v>#REF!</v>
      </c>
      <c r="CK209" t="e">
        <f>AND(#REF!,"AAAAADp+nlg=")</f>
        <v>#REF!</v>
      </c>
      <c r="CL209" t="e">
        <f>AND(#REF!,"AAAAADp+nlk=")</f>
        <v>#REF!</v>
      </c>
      <c r="CM209" t="e">
        <f>AND(#REF!,"AAAAADp+nlo=")</f>
        <v>#REF!</v>
      </c>
      <c r="CN209" t="e">
        <f>AND(#REF!,"AAAAADp+nls=")</f>
        <v>#REF!</v>
      </c>
      <c r="CO209" t="e">
        <f>AND(#REF!,"AAAAADp+nlw=")</f>
        <v>#REF!</v>
      </c>
      <c r="CP209" t="e">
        <f>AND(#REF!,"AAAAADp+nl0=")</f>
        <v>#REF!</v>
      </c>
      <c r="CQ209" t="e">
        <f>AND(#REF!,"AAAAADp+nl4=")</f>
        <v>#REF!</v>
      </c>
      <c r="CR209" t="e">
        <f>AND(#REF!,"AAAAADp+nl8=")</f>
        <v>#REF!</v>
      </c>
      <c r="CS209" t="e">
        <f>AND(#REF!,"AAAAADp+nmA=")</f>
        <v>#REF!</v>
      </c>
      <c r="CT209" t="e">
        <f>AND(#REF!,"AAAAADp+nmE=")</f>
        <v>#REF!</v>
      </c>
      <c r="CU209" t="e">
        <f>AND(#REF!,"AAAAADp+nmI=")</f>
        <v>#REF!</v>
      </c>
      <c r="CV209" t="e">
        <f>AND(#REF!,"AAAAADp+nmM=")</f>
        <v>#REF!</v>
      </c>
      <c r="CW209" t="e">
        <f>AND(#REF!,"AAAAADp+nmQ=")</f>
        <v>#REF!</v>
      </c>
      <c r="CX209" t="e">
        <f>AND(#REF!,"AAAAADp+nmU=")</f>
        <v>#REF!</v>
      </c>
      <c r="CY209" t="e">
        <f>AND(#REF!,"AAAAADp+nmY=")</f>
        <v>#REF!</v>
      </c>
      <c r="CZ209" t="e">
        <f>AND(#REF!,"AAAAADp+nmc=")</f>
        <v>#REF!</v>
      </c>
      <c r="DA209" t="e">
        <f>AND(#REF!,"AAAAADp+nmg=")</f>
        <v>#REF!</v>
      </c>
      <c r="DB209" t="e">
        <f>AND(#REF!,"AAAAADp+nmk=")</f>
        <v>#REF!</v>
      </c>
      <c r="DC209" t="e">
        <f>AND(#REF!,"AAAAADp+nmo=")</f>
        <v>#REF!</v>
      </c>
      <c r="DD209" t="e">
        <f>AND(#REF!,"AAAAADp+nms=")</f>
        <v>#REF!</v>
      </c>
      <c r="DE209" t="e">
        <f>AND(#REF!,"AAAAADp+nmw=")</f>
        <v>#REF!</v>
      </c>
      <c r="DF209" t="e">
        <f>AND(#REF!,"AAAAADp+nm0=")</f>
        <v>#REF!</v>
      </c>
      <c r="DG209" t="e">
        <f>AND(#REF!,"AAAAADp+nm4=")</f>
        <v>#REF!</v>
      </c>
      <c r="DH209" t="e">
        <f>AND(#REF!,"AAAAADp+nm8=")</f>
        <v>#REF!</v>
      </c>
      <c r="DI209" t="e">
        <f>AND(#REF!,"AAAAADp+nnA=")</f>
        <v>#REF!</v>
      </c>
      <c r="DJ209" t="e">
        <f>AND(#REF!,"AAAAADp+nnE=")</f>
        <v>#REF!</v>
      </c>
      <c r="DK209" t="e">
        <f>AND(#REF!,"AAAAADp+nnI=")</f>
        <v>#REF!</v>
      </c>
      <c r="DL209" t="e">
        <f>AND(#REF!,"AAAAADp+nnM=")</f>
        <v>#REF!</v>
      </c>
      <c r="DM209" t="e">
        <f>AND(#REF!,"AAAAADp+nnQ=")</f>
        <v>#REF!</v>
      </c>
      <c r="DN209" t="e">
        <f>AND(#REF!,"AAAAADp+nnU=")</f>
        <v>#REF!</v>
      </c>
      <c r="DO209" t="e">
        <f>AND(#REF!,"AAAAADp+nnY=")</f>
        <v>#REF!</v>
      </c>
      <c r="DP209" t="e">
        <f>AND(#REF!,"AAAAADp+nnc=")</f>
        <v>#REF!</v>
      </c>
      <c r="DQ209" t="e">
        <f>AND(#REF!,"AAAAADp+nng=")</f>
        <v>#REF!</v>
      </c>
      <c r="DR209" t="e">
        <f>AND(#REF!,"AAAAADp+nnk=")</f>
        <v>#REF!</v>
      </c>
      <c r="DS209" t="e">
        <f>AND(#REF!,"AAAAADp+nno=")</f>
        <v>#REF!</v>
      </c>
      <c r="DT209" t="e">
        <f>AND(#REF!,"AAAAADp+nns=")</f>
        <v>#REF!</v>
      </c>
      <c r="DU209" t="e">
        <f>AND(#REF!,"AAAAADp+nnw=")</f>
        <v>#REF!</v>
      </c>
      <c r="DV209" t="e">
        <f>AND(#REF!,"AAAAADp+nn0=")</f>
        <v>#REF!</v>
      </c>
      <c r="DW209" t="e">
        <f>AND(#REF!,"AAAAADp+nn4=")</f>
        <v>#REF!</v>
      </c>
      <c r="DX209" t="e">
        <f>AND(#REF!,"AAAAADp+nn8=")</f>
        <v>#REF!</v>
      </c>
      <c r="DY209" t="e">
        <f>AND(#REF!,"AAAAADp+noA=")</f>
        <v>#REF!</v>
      </c>
      <c r="DZ209" t="e">
        <f>AND(#REF!,"AAAAADp+noE=")</f>
        <v>#REF!</v>
      </c>
      <c r="EA209" t="e">
        <f>AND(#REF!,"AAAAADp+noI=")</f>
        <v>#REF!</v>
      </c>
      <c r="EB209" t="e">
        <f>AND(#REF!,"AAAAADp+noM=")</f>
        <v>#REF!</v>
      </c>
      <c r="EC209" t="e">
        <f>AND(#REF!,"AAAAADp+noQ=")</f>
        <v>#REF!</v>
      </c>
      <c r="ED209" t="e">
        <f>AND(#REF!,"AAAAADp+noU=")</f>
        <v>#REF!</v>
      </c>
      <c r="EE209" t="e">
        <f>AND(#REF!,"AAAAADp+noY=")</f>
        <v>#REF!</v>
      </c>
      <c r="EF209" t="e">
        <f>AND(#REF!,"AAAAADp+noc=")</f>
        <v>#REF!</v>
      </c>
      <c r="EG209" t="e">
        <f>AND(#REF!,"AAAAADp+nog=")</f>
        <v>#REF!</v>
      </c>
      <c r="EH209" t="e">
        <f>AND(#REF!,"AAAAADp+nok=")</f>
        <v>#REF!</v>
      </c>
      <c r="EI209" t="e">
        <f>AND(#REF!,"AAAAADp+noo=")</f>
        <v>#REF!</v>
      </c>
      <c r="EJ209" t="e">
        <f>AND(#REF!,"AAAAADp+nos=")</f>
        <v>#REF!</v>
      </c>
      <c r="EK209" t="e">
        <f>AND(#REF!,"AAAAADp+now=")</f>
        <v>#REF!</v>
      </c>
      <c r="EL209" t="e">
        <f>AND(#REF!,"AAAAADp+no0=")</f>
        <v>#REF!</v>
      </c>
      <c r="EM209" t="e">
        <f>AND(#REF!,"AAAAADp+no4=")</f>
        <v>#REF!</v>
      </c>
      <c r="EN209" t="e">
        <f>AND(#REF!,"AAAAADp+no8=")</f>
        <v>#REF!</v>
      </c>
      <c r="EO209" t="e">
        <f>AND(#REF!,"AAAAADp+npA=")</f>
        <v>#REF!</v>
      </c>
      <c r="EP209" t="e">
        <f>AND(#REF!,"AAAAADp+npE=")</f>
        <v>#REF!</v>
      </c>
      <c r="EQ209" t="e">
        <f>AND(#REF!,"AAAAADp+npI=")</f>
        <v>#REF!</v>
      </c>
      <c r="ER209" t="e">
        <f>AND(#REF!,"AAAAADp+npM=")</f>
        <v>#REF!</v>
      </c>
      <c r="ES209" t="e">
        <f>AND(#REF!,"AAAAADp+npQ=")</f>
        <v>#REF!</v>
      </c>
      <c r="ET209" t="e">
        <f>AND(#REF!,"AAAAADp+npU=")</f>
        <v>#REF!</v>
      </c>
      <c r="EU209" t="e">
        <f>AND(#REF!,"AAAAADp+npY=")</f>
        <v>#REF!</v>
      </c>
      <c r="EV209" t="e">
        <f>AND(#REF!,"AAAAADp+npc=")</f>
        <v>#REF!</v>
      </c>
      <c r="EW209" t="e">
        <f>AND(#REF!,"AAAAADp+npg=")</f>
        <v>#REF!</v>
      </c>
      <c r="EX209" t="e">
        <f>AND(#REF!,"AAAAADp+npk=")</f>
        <v>#REF!</v>
      </c>
      <c r="EY209" t="e">
        <f>AND(#REF!,"AAAAADp+npo=")</f>
        <v>#REF!</v>
      </c>
      <c r="EZ209" t="e">
        <f>AND(#REF!,"AAAAADp+nps=")</f>
        <v>#REF!</v>
      </c>
      <c r="FA209" t="e">
        <f>AND(#REF!,"AAAAADp+npw=")</f>
        <v>#REF!</v>
      </c>
      <c r="FB209" t="e">
        <f>AND(#REF!,"AAAAADp+np0=")</f>
        <v>#REF!</v>
      </c>
      <c r="FC209" t="e">
        <f>AND(#REF!,"AAAAADp+np4=")</f>
        <v>#REF!</v>
      </c>
      <c r="FD209" t="e">
        <f>AND(#REF!,"AAAAADp+np8=")</f>
        <v>#REF!</v>
      </c>
      <c r="FE209" t="e">
        <f>AND(#REF!,"AAAAADp+nqA=")</f>
        <v>#REF!</v>
      </c>
      <c r="FF209" t="e">
        <f>AND(#REF!,"AAAAADp+nqE=")</f>
        <v>#REF!</v>
      </c>
      <c r="FG209" t="e">
        <f>AND(#REF!,"AAAAADp+nqI=")</f>
        <v>#REF!</v>
      </c>
      <c r="FH209" t="e">
        <f>AND(#REF!,"AAAAADp+nqM=")</f>
        <v>#REF!</v>
      </c>
      <c r="FI209" t="e">
        <f>AND(#REF!,"AAAAADp+nqQ=")</f>
        <v>#REF!</v>
      </c>
      <c r="FJ209" t="e">
        <f>AND(#REF!,"AAAAADp+nqU=")</f>
        <v>#REF!</v>
      </c>
      <c r="FK209" t="e">
        <f>AND(#REF!,"AAAAADp+nqY=")</f>
        <v>#REF!</v>
      </c>
      <c r="FL209" t="e">
        <f>AND(#REF!,"AAAAADp+nqc=")</f>
        <v>#REF!</v>
      </c>
      <c r="FM209" t="e">
        <f>AND(#REF!,"AAAAADp+nqg=")</f>
        <v>#REF!</v>
      </c>
      <c r="FN209" t="e">
        <f>AND(#REF!,"AAAAADp+nqk=")</f>
        <v>#REF!</v>
      </c>
      <c r="FO209" t="e">
        <f>AND(#REF!,"AAAAADp+nqo=")</f>
        <v>#REF!</v>
      </c>
      <c r="FP209" t="e">
        <f>AND(#REF!,"AAAAADp+nqs=")</f>
        <v>#REF!</v>
      </c>
      <c r="FQ209" t="e">
        <f>AND(#REF!,"AAAAADp+nqw=")</f>
        <v>#REF!</v>
      </c>
      <c r="FR209" t="e">
        <f>AND(#REF!,"AAAAADp+nq0=")</f>
        <v>#REF!</v>
      </c>
      <c r="FS209" t="e">
        <f>AND(#REF!,"AAAAADp+nq4=")</f>
        <v>#REF!</v>
      </c>
      <c r="FT209" t="e">
        <f>AND(#REF!,"AAAAADp+nq8=")</f>
        <v>#REF!</v>
      </c>
      <c r="FU209" t="e">
        <f>AND(#REF!,"AAAAADp+nrA=")</f>
        <v>#REF!</v>
      </c>
      <c r="FV209" t="e">
        <f>AND(#REF!,"AAAAADp+nrE=")</f>
        <v>#REF!</v>
      </c>
      <c r="FW209" t="e">
        <f>AND(#REF!,"AAAAADp+nrI=")</f>
        <v>#REF!</v>
      </c>
      <c r="FX209" t="e">
        <f>AND(#REF!,"AAAAADp+nrM=")</f>
        <v>#REF!</v>
      </c>
      <c r="FY209" t="e">
        <f>AND(#REF!,"AAAAADp+nrQ=")</f>
        <v>#REF!</v>
      </c>
      <c r="FZ209" t="e">
        <f>AND(#REF!,"AAAAADp+nrU=")</f>
        <v>#REF!</v>
      </c>
      <c r="GA209" t="e">
        <f>AND(#REF!,"AAAAADp+nrY=")</f>
        <v>#REF!</v>
      </c>
      <c r="GB209" t="e">
        <f>AND(#REF!,"AAAAADp+nrc=")</f>
        <v>#REF!</v>
      </c>
      <c r="GC209" t="e">
        <f>AND(#REF!,"AAAAADp+nrg=")</f>
        <v>#REF!</v>
      </c>
      <c r="GD209" t="e">
        <f>AND(#REF!,"AAAAADp+nrk=")</f>
        <v>#REF!</v>
      </c>
      <c r="GE209" t="e">
        <f>AND(#REF!,"AAAAADp+nro=")</f>
        <v>#REF!</v>
      </c>
      <c r="GF209" t="e">
        <f>AND(#REF!,"AAAAADp+nrs=")</f>
        <v>#REF!</v>
      </c>
      <c r="GG209" t="e">
        <f>AND(#REF!,"AAAAADp+nrw=")</f>
        <v>#REF!</v>
      </c>
      <c r="GH209" t="e">
        <f>AND(#REF!,"AAAAADp+nr0=")</f>
        <v>#REF!</v>
      </c>
      <c r="GI209" t="e">
        <f>AND(#REF!,"AAAAADp+nr4=")</f>
        <v>#REF!</v>
      </c>
      <c r="GJ209" t="e">
        <f>AND(#REF!,"AAAAADp+nr8=")</f>
        <v>#REF!</v>
      </c>
      <c r="GK209" t="e">
        <f>AND(#REF!,"AAAAADp+nsA=")</f>
        <v>#REF!</v>
      </c>
      <c r="GL209" t="e">
        <f>AND(#REF!,"AAAAADp+nsE=")</f>
        <v>#REF!</v>
      </c>
      <c r="GM209" t="e">
        <f>AND(#REF!,"AAAAADp+nsI=")</f>
        <v>#REF!</v>
      </c>
      <c r="GN209" t="e">
        <f>AND(#REF!,"AAAAADp+nsM=")</f>
        <v>#REF!</v>
      </c>
      <c r="GO209" t="e">
        <f>AND(#REF!,"AAAAADp+nsQ=")</f>
        <v>#REF!</v>
      </c>
      <c r="GP209" t="e">
        <f>AND(#REF!,"AAAAADp+nsU=")</f>
        <v>#REF!</v>
      </c>
      <c r="GQ209" t="e">
        <f>AND(#REF!,"AAAAADp+nsY=")</f>
        <v>#REF!</v>
      </c>
      <c r="GR209" t="e">
        <f>AND(#REF!,"AAAAADp+nsc=")</f>
        <v>#REF!</v>
      </c>
      <c r="GS209" t="e">
        <f>AND(#REF!,"AAAAADp+nsg=")</f>
        <v>#REF!</v>
      </c>
      <c r="GT209" t="e">
        <f>AND(#REF!,"AAAAADp+nsk=")</f>
        <v>#REF!</v>
      </c>
      <c r="GU209" t="e">
        <f>AND(#REF!,"AAAAADp+nso=")</f>
        <v>#REF!</v>
      </c>
      <c r="GV209" t="e">
        <f>AND(#REF!,"AAAAADp+nss=")</f>
        <v>#REF!</v>
      </c>
      <c r="GW209" t="e">
        <f>AND(#REF!,"AAAAADp+nsw=")</f>
        <v>#REF!</v>
      </c>
      <c r="GX209" t="e">
        <f>AND(#REF!,"AAAAADp+ns0=")</f>
        <v>#REF!</v>
      </c>
      <c r="GY209" t="e">
        <f>AND(#REF!,"AAAAADp+ns4=")</f>
        <v>#REF!</v>
      </c>
      <c r="GZ209" t="e">
        <f>AND(#REF!,"AAAAADp+ns8=")</f>
        <v>#REF!</v>
      </c>
      <c r="HA209" t="e">
        <f>AND(#REF!,"AAAAADp+ntA=")</f>
        <v>#REF!</v>
      </c>
      <c r="HB209" t="e">
        <f>AND(#REF!,"AAAAADp+ntE=")</f>
        <v>#REF!</v>
      </c>
      <c r="HC209" t="e">
        <f>AND(#REF!,"AAAAADp+ntI=")</f>
        <v>#REF!</v>
      </c>
      <c r="HD209" t="e">
        <f>AND(#REF!,"AAAAADp+ntM=")</f>
        <v>#REF!</v>
      </c>
      <c r="HE209" t="e">
        <f>AND(#REF!,"AAAAADp+ntQ=")</f>
        <v>#REF!</v>
      </c>
      <c r="HF209" t="e">
        <f>AND(#REF!,"AAAAADp+ntU=")</f>
        <v>#REF!</v>
      </c>
      <c r="HG209" t="e">
        <f>AND(#REF!,"AAAAADp+ntY=")</f>
        <v>#REF!</v>
      </c>
      <c r="HH209" t="e">
        <f>AND(#REF!,"AAAAADp+ntc=")</f>
        <v>#REF!</v>
      </c>
      <c r="HI209" t="e">
        <f>AND(#REF!,"AAAAADp+ntg=")</f>
        <v>#REF!</v>
      </c>
      <c r="HJ209" t="e">
        <f>AND(#REF!,"AAAAADp+ntk=")</f>
        <v>#REF!</v>
      </c>
      <c r="HK209" t="e">
        <f>AND(#REF!,"AAAAADp+nto=")</f>
        <v>#REF!</v>
      </c>
      <c r="HL209" t="e">
        <f>AND(#REF!,"AAAAADp+nts=")</f>
        <v>#REF!</v>
      </c>
      <c r="HM209" t="e">
        <f>AND(#REF!,"AAAAADp+ntw=")</f>
        <v>#REF!</v>
      </c>
      <c r="HN209" t="e">
        <f>AND(#REF!,"AAAAADp+nt0=")</f>
        <v>#REF!</v>
      </c>
      <c r="HO209" t="e">
        <f>AND(#REF!,"AAAAADp+nt4=")</f>
        <v>#REF!</v>
      </c>
      <c r="HP209" t="e">
        <f>AND(#REF!,"AAAAADp+nt8=")</f>
        <v>#REF!</v>
      </c>
      <c r="HQ209" t="e">
        <f>AND(#REF!,"AAAAADp+nuA=")</f>
        <v>#REF!</v>
      </c>
      <c r="HR209" t="e">
        <f>AND(#REF!,"AAAAADp+nuE=")</f>
        <v>#REF!</v>
      </c>
      <c r="HS209" t="e">
        <f>AND(#REF!,"AAAAADp+nuI=")</f>
        <v>#REF!</v>
      </c>
      <c r="HT209" t="e">
        <f>AND(#REF!,"AAAAADp+nuM=")</f>
        <v>#REF!</v>
      </c>
      <c r="HU209" t="e">
        <f>AND(#REF!,"AAAAADp+nuQ=")</f>
        <v>#REF!</v>
      </c>
      <c r="HV209" t="e">
        <f>AND(#REF!,"AAAAADp+nuU=")</f>
        <v>#REF!</v>
      </c>
      <c r="HW209" t="e">
        <f>AND(#REF!,"AAAAADp+nuY=")</f>
        <v>#REF!</v>
      </c>
      <c r="HX209" t="e">
        <f>AND(#REF!,"AAAAADp+nuc=")</f>
        <v>#REF!</v>
      </c>
      <c r="HY209" t="e">
        <f>AND(#REF!,"AAAAADp+nug=")</f>
        <v>#REF!</v>
      </c>
      <c r="HZ209" t="e">
        <f>AND(#REF!,"AAAAADp+nuk=")</f>
        <v>#REF!</v>
      </c>
      <c r="IA209" t="e">
        <f>AND(#REF!,"AAAAADp+nuo=")</f>
        <v>#REF!</v>
      </c>
      <c r="IB209" t="e">
        <f>AND(#REF!,"AAAAADp+nus=")</f>
        <v>#REF!</v>
      </c>
      <c r="IC209" t="e">
        <f>AND(#REF!,"AAAAADp+nuw=")</f>
        <v>#REF!</v>
      </c>
      <c r="ID209" t="e">
        <f>AND(#REF!,"AAAAADp+nu0=")</f>
        <v>#REF!</v>
      </c>
      <c r="IE209" t="e">
        <f>AND(#REF!,"AAAAADp+nu4=")</f>
        <v>#REF!</v>
      </c>
      <c r="IF209" t="e">
        <f>AND(#REF!,"AAAAADp+nu8=")</f>
        <v>#REF!</v>
      </c>
      <c r="IG209" t="e">
        <f>AND(#REF!,"AAAAADp+nvA=")</f>
        <v>#REF!</v>
      </c>
      <c r="IH209" t="e">
        <f>AND(#REF!,"AAAAADp+nvE=")</f>
        <v>#REF!</v>
      </c>
      <c r="II209" t="e">
        <f>AND(#REF!,"AAAAADp+nvI=")</f>
        <v>#REF!</v>
      </c>
      <c r="IJ209" t="e">
        <f>AND(#REF!,"AAAAADp+nvM=")</f>
        <v>#REF!</v>
      </c>
      <c r="IK209" t="e">
        <f>AND(#REF!,"AAAAADp+nvQ=")</f>
        <v>#REF!</v>
      </c>
      <c r="IL209" t="e">
        <f>AND(#REF!,"AAAAADp+nvU=")</f>
        <v>#REF!</v>
      </c>
      <c r="IM209" t="e">
        <f>AND(#REF!,"AAAAADp+nvY=")</f>
        <v>#REF!</v>
      </c>
      <c r="IN209" t="e">
        <f>AND(#REF!,"AAAAADp+nvc=")</f>
        <v>#REF!</v>
      </c>
      <c r="IO209" t="e">
        <f>AND(#REF!,"AAAAADp+nvg=")</f>
        <v>#REF!</v>
      </c>
      <c r="IP209" t="e">
        <f>AND(#REF!,"AAAAADp+nvk=")</f>
        <v>#REF!</v>
      </c>
      <c r="IQ209" t="e">
        <f>AND(#REF!,"AAAAADp+nvo=")</f>
        <v>#REF!</v>
      </c>
      <c r="IR209" t="e">
        <f>AND(#REF!,"AAAAADp+nvs=")</f>
        <v>#REF!</v>
      </c>
      <c r="IS209" t="e">
        <f>AND(#REF!,"AAAAADp+nvw=")</f>
        <v>#REF!</v>
      </c>
      <c r="IT209" t="e">
        <f>AND(#REF!,"AAAAADp+nv0=")</f>
        <v>#REF!</v>
      </c>
      <c r="IU209" t="e">
        <f>AND(#REF!,"AAAAADp+nv4=")</f>
        <v>#REF!</v>
      </c>
      <c r="IV209" t="e">
        <f>AND(#REF!,"AAAAADp+nv8=")</f>
        <v>#REF!</v>
      </c>
    </row>
    <row r="210" spans="1:256">
      <c r="A210" t="e">
        <f>AND(#REF!,"AAAAAB//fwA=")</f>
        <v>#REF!</v>
      </c>
      <c r="B210" t="e">
        <f>AND(#REF!,"AAAAAB//fwE=")</f>
        <v>#REF!</v>
      </c>
      <c r="C210" t="e">
        <f>AND(#REF!,"AAAAAB//fwI=")</f>
        <v>#REF!</v>
      </c>
      <c r="D210" t="e">
        <f>AND(#REF!,"AAAAAB//fwM=")</f>
        <v>#REF!</v>
      </c>
      <c r="E210" t="e">
        <f>AND(#REF!,"AAAAAB//fwQ=")</f>
        <v>#REF!</v>
      </c>
      <c r="F210" t="e">
        <f>AND(#REF!,"AAAAAB//fwU=")</f>
        <v>#REF!</v>
      </c>
      <c r="G210" t="e">
        <f>AND(#REF!,"AAAAAB//fwY=")</f>
        <v>#REF!</v>
      </c>
      <c r="H210" t="e">
        <f>AND(#REF!,"AAAAAB//fwc=")</f>
        <v>#REF!</v>
      </c>
      <c r="I210" t="e">
        <f>AND(#REF!,"AAAAAB//fwg=")</f>
        <v>#REF!</v>
      </c>
      <c r="J210" t="e">
        <f>AND(#REF!,"AAAAAB//fwk=")</f>
        <v>#REF!</v>
      </c>
      <c r="K210" t="e">
        <f>AND(#REF!,"AAAAAB//fwo=")</f>
        <v>#REF!</v>
      </c>
      <c r="L210" t="e">
        <f>AND(#REF!,"AAAAAB//fws=")</f>
        <v>#REF!</v>
      </c>
      <c r="M210" t="e">
        <f>AND(#REF!,"AAAAAB//fww=")</f>
        <v>#REF!</v>
      </c>
      <c r="N210" t="e">
        <f>AND(#REF!,"AAAAAB//fw0=")</f>
        <v>#REF!</v>
      </c>
      <c r="O210" t="e">
        <f>AND(#REF!,"AAAAAB//fw4=")</f>
        <v>#REF!</v>
      </c>
      <c r="P210" t="e">
        <f>AND(#REF!,"AAAAAB//fw8=")</f>
        <v>#REF!</v>
      </c>
      <c r="Q210" t="e">
        <f>AND(#REF!,"AAAAAB//fxA=")</f>
        <v>#REF!</v>
      </c>
      <c r="R210" t="e">
        <f>AND(#REF!,"AAAAAB//fxE=")</f>
        <v>#REF!</v>
      </c>
      <c r="S210" t="e">
        <f>IF(#REF!,"AAAAAB//fxI=",0)</f>
        <v>#REF!</v>
      </c>
      <c r="T210" t="e">
        <f>AND(#REF!,"AAAAAB//fxM=")</f>
        <v>#REF!</v>
      </c>
      <c r="U210" t="e">
        <f>AND(#REF!,"AAAAAB//fxQ=")</f>
        <v>#REF!</v>
      </c>
      <c r="V210" t="e">
        <f>AND(#REF!,"AAAAAB//fxU=")</f>
        <v>#REF!</v>
      </c>
      <c r="W210" t="e">
        <f>AND(#REF!,"AAAAAB//fxY=")</f>
        <v>#REF!</v>
      </c>
      <c r="X210" t="e">
        <f>AND(#REF!,"AAAAAB//fxc=")</f>
        <v>#REF!</v>
      </c>
      <c r="Y210" t="e">
        <f>AND(#REF!,"AAAAAB//fxg=")</f>
        <v>#REF!</v>
      </c>
      <c r="Z210" t="e">
        <f>AND(#REF!,"AAAAAB//fxk=")</f>
        <v>#REF!</v>
      </c>
      <c r="AA210" t="e">
        <f>AND(#REF!,"AAAAAB//fxo=")</f>
        <v>#REF!</v>
      </c>
      <c r="AB210" t="e">
        <f>AND(#REF!,"AAAAAB//fxs=")</f>
        <v>#REF!</v>
      </c>
      <c r="AC210" t="e">
        <f>AND(#REF!,"AAAAAB//fxw=")</f>
        <v>#REF!</v>
      </c>
      <c r="AD210" t="e">
        <f>AND(#REF!,"AAAAAB//fx0=")</f>
        <v>#REF!</v>
      </c>
      <c r="AE210" t="e">
        <f>AND(#REF!,"AAAAAB//fx4=")</f>
        <v>#REF!</v>
      </c>
      <c r="AF210" t="e">
        <f>AND(#REF!,"AAAAAB//fx8=")</f>
        <v>#REF!</v>
      </c>
      <c r="AG210" t="e">
        <f>AND(#REF!,"AAAAAB//fyA=")</f>
        <v>#REF!</v>
      </c>
      <c r="AH210" t="e">
        <f>AND(#REF!,"AAAAAB//fyE=")</f>
        <v>#REF!</v>
      </c>
      <c r="AI210" t="e">
        <f>AND(#REF!,"AAAAAB//fyI=")</f>
        <v>#REF!</v>
      </c>
      <c r="AJ210" t="e">
        <f>AND(#REF!,"AAAAAB//fyM=")</f>
        <v>#REF!</v>
      </c>
      <c r="AK210" t="e">
        <f>AND(#REF!,"AAAAAB//fyQ=")</f>
        <v>#REF!</v>
      </c>
      <c r="AL210" t="e">
        <f>AND(#REF!,"AAAAAB//fyU=")</f>
        <v>#REF!</v>
      </c>
      <c r="AM210" t="e">
        <f>AND(#REF!,"AAAAAB//fyY=")</f>
        <v>#REF!</v>
      </c>
      <c r="AN210" t="e">
        <f>AND(#REF!,"AAAAAB//fyc=")</f>
        <v>#REF!</v>
      </c>
      <c r="AO210" t="e">
        <f>AND(#REF!,"AAAAAB//fyg=")</f>
        <v>#REF!</v>
      </c>
      <c r="AP210" t="e">
        <f>AND(#REF!,"AAAAAB//fyk=")</f>
        <v>#REF!</v>
      </c>
      <c r="AQ210" t="e">
        <f>AND(#REF!,"AAAAAB//fyo=")</f>
        <v>#REF!</v>
      </c>
      <c r="AR210" t="e">
        <f>AND(#REF!,"AAAAAB//fys=")</f>
        <v>#REF!</v>
      </c>
      <c r="AS210" t="e">
        <f>AND(#REF!,"AAAAAB//fyw=")</f>
        <v>#REF!</v>
      </c>
      <c r="AT210" t="e">
        <f>AND(#REF!,"AAAAAB//fy0=")</f>
        <v>#REF!</v>
      </c>
      <c r="AU210" t="e">
        <f>AND(#REF!,"AAAAAB//fy4=")</f>
        <v>#REF!</v>
      </c>
      <c r="AV210" t="e">
        <f>AND(#REF!,"AAAAAB//fy8=")</f>
        <v>#REF!</v>
      </c>
      <c r="AW210" t="e">
        <f>AND(#REF!,"AAAAAB//fzA=")</f>
        <v>#REF!</v>
      </c>
      <c r="AX210" t="e">
        <f>AND(#REF!,"AAAAAB//fzE=")</f>
        <v>#REF!</v>
      </c>
      <c r="AY210" t="e">
        <f>AND(#REF!,"AAAAAB//fzI=")</f>
        <v>#REF!</v>
      </c>
      <c r="AZ210" t="e">
        <f>AND(#REF!,"AAAAAB//fzM=")</f>
        <v>#REF!</v>
      </c>
      <c r="BA210" t="e">
        <f>AND(#REF!,"AAAAAB//fzQ=")</f>
        <v>#REF!</v>
      </c>
      <c r="BB210" t="e">
        <f>AND(#REF!,"AAAAAB//fzU=")</f>
        <v>#REF!</v>
      </c>
      <c r="BC210" t="e">
        <f>AND(#REF!,"AAAAAB//fzY=")</f>
        <v>#REF!</v>
      </c>
      <c r="BD210" t="e">
        <f>AND(#REF!,"AAAAAB//fzc=")</f>
        <v>#REF!</v>
      </c>
      <c r="BE210" t="e">
        <f>AND(#REF!,"AAAAAB//fzg=")</f>
        <v>#REF!</v>
      </c>
      <c r="BF210" t="e">
        <f>AND(#REF!,"AAAAAB//fzk=")</f>
        <v>#REF!</v>
      </c>
      <c r="BG210" t="e">
        <f>AND(#REF!,"AAAAAB//fzo=")</f>
        <v>#REF!</v>
      </c>
      <c r="BH210" t="e">
        <f>AND(#REF!,"AAAAAB//fzs=")</f>
        <v>#REF!</v>
      </c>
      <c r="BI210" t="e">
        <f>AND(#REF!,"AAAAAB//fzw=")</f>
        <v>#REF!</v>
      </c>
      <c r="BJ210" t="e">
        <f>AND(#REF!,"AAAAAB//fz0=")</f>
        <v>#REF!</v>
      </c>
      <c r="BK210" t="e">
        <f>AND(#REF!,"AAAAAB//fz4=")</f>
        <v>#REF!</v>
      </c>
      <c r="BL210" t="e">
        <f>AND(#REF!,"AAAAAB//fz8=")</f>
        <v>#REF!</v>
      </c>
      <c r="BM210" t="e">
        <f>AND(#REF!,"AAAAAB//f0A=")</f>
        <v>#REF!</v>
      </c>
      <c r="BN210" t="e">
        <f>AND(#REF!,"AAAAAB//f0E=")</f>
        <v>#REF!</v>
      </c>
      <c r="BO210" t="e">
        <f>AND(#REF!,"AAAAAB//f0I=")</f>
        <v>#REF!</v>
      </c>
      <c r="BP210" t="e">
        <f>AND(#REF!,"AAAAAB//f0M=")</f>
        <v>#REF!</v>
      </c>
      <c r="BQ210" t="e">
        <f>AND(#REF!,"AAAAAB//f0Q=")</f>
        <v>#REF!</v>
      </c>
      <c r="BR210" t="e">
        <f>AND(#REF!,"AAAAAB//f0U=")</f>
        <v>#REF!</v>
      </c>
      <c r="BS210" t="e">
        <f>AND(#REF!,"AAAAAB//f0Y=")</f>
        <v>#REF!</v>
      </c>
      <c r="BT210" t="e">
        <f>AND(#REF!,"AAAAAB//f0c=")</f>
        <v>#REF!</v>
      </c>
      <c r="BU210" t="e">
        <f>AND(#REF!,"AAAAAB//f0g=")</f>
        <v>#REF!</v>
      </c>
      <c r="BV210" t="e">
        <f>AND(#REF!,"AAAAAB//f0k=")</f>
        <v>#REF!</v>
      </c>
      <c r="BW210" t="e">
        <f>AND(#REF!,"AAAAAB//f0o=")</f>
        <v>#REF!</v>
      </c>
      <c r="BX210" t="e">
        <f>AND(#REF!,"AAAAAB//f0s=")</f>
        <v>#REF!</v>
      </c>
      <c r="BY210" t="e">
        <f>AND(#REF!,"AAAAAB//f0w=")</f>
        <v>#REF!</v>
      </c>
      <c r="BZ210" t="e">
        <f>AND(#REF!,"AAAAAB//f00=")</f>
        <v>#REF!</v>
      </c>
      <c r="CA210" t="e">
        <f>AND(#REF!,"AAAAAB//f04=")</f>
        <v>#REF!</v>
      </c>
      <c r="CB210" t="e">
        <f>AND(#REF!,"AAAAAB//f08=")</f>
        <v>#REF!</v>
      </c>
      <c r="CC210" t="e">
        <f>AND(#REF!,"AAAAAB//f1A=")</f>
        <v>#REF!</v>
      </c>
      <c r="CD210" t="e">
        <f>AND(#REF!,"AAAAAB//f1E=")</f>
        <v>#REF!</v>
      </c>
      <c r="CE210" t="e">
        <f>AND(#REF!,"AAAAAB//f1I=")</f>
        <v>#REF!</v>
      </c>
      <c r="CF210" t="e">
        <f>AND(#REF!,"AAAAAB//f1M=")</f>
        <v>#REF!</v>
      </c>
      <c r="CG210" t="e">
        <f>AND(#REF!,"AAAAAB//f1Q=")</f>
        <v>#REF!</v>
      </c>
      <c r="CH210" t="e">
        <f>AND(#REF!,"AAAAAB//f1U=")</f>
        <v>#REF!</v>
      </c>
      <c r="CI210" t="e">
        <f>AND(#REF!,"AAAAAB//f1Y=")</f>
        <v>#REF!</v>
      </c>
      <c r="CJ210" t="e">
        <f>AND(#REF!,"AAAAAB//f1c=")</f>
        <v>#REF!</v>
      </c>
      <c r="CK210" t="e">
        <f>AND(#REF!,"AAAAAB//f1g=")</f>
        <v>#REF!</v>
      </c>
      <c r="CL210" t="e">
        <f>AND(#REF!,"AAAAAB//f1k=")</f>
        <v>#REF!</v>
      </c>
      <c r="CM210" t="e">
        <f>AND(#REF!,"AAAAAB//f1o=")</f>
        <v>#REF!</v>
      </c>
      <c r="CN210" t="e">
        <f>AND(#REF!,"AAAAAB//f1s=")</f>
        <v>#REF!</v>
      </c>
      <c r="CO210" t="e">
        <f>AND(#REF!,"AAAAAB//f1w=")</f>
        <v>#REF!</v>
      </c>
      <c r="CP210" t="e">
        <f>AND(#REF!,"AAAAAB//f10=")</f>
        <v>#REF!</v>
      </c>
      <c r="CQ210" t="e">
        <f>AND(#REF!,"AAAAAB//f14=")</f>
        <v>#REF!</v>
      </c>
      <c r="CR210" t="e">
        <f>AND(#REF!,"AAAAAB//f18=")</f>
        <v>#REF!</v>
      </c>
      <c r="CS210" t="e">
        <f>AND(#REF!,"AAAAAB//f2A=")</f>
        <v>#REF!</v>
      </c>
      <c r="CT210" t="e">
        <f>AND(#REF!,"AAAAAB//f2E=")</f>
        <v>#REF!</v>
      </c>
      <c r="CU210" t="e">
        <f>AND(#REF!,"AAAAAB//f2I=")</f>
        <v>#REF!</v>
      </c>
      <c r="CV210" t="e">
        <f>AND(#REF!,"AAAAAB//f2M=")</f>
        <v>#REF!</v>
      </c>
      <c r="CW210" t="e">
        <f>AND(#REF!,"AAAAAB//f2Q=")</f>
        <v>#REF!</v>
      </c>
      <c r="CX210" t="e">
        <f>AND(#REF!,"AAAAAB//f2U=")</f>
        <v>#REF!</v>
      </c>
      <c r="CY210" t="e">
        <f>AND(#REF!,"AAAAAB//f2Y=")</f>
        <v>#REF!</v>
      </c>
      <c r="CZ210" t="e">
        <f>AND(#REF!,"AAAAAB//f2c=")</f>
        <v>#REF!</v>
      </c>
      <c r="DA210" t="e">
        <f>AND(#REF!,"AAAAAB//f2g=")</f>
        <v>#REF!</v>
      </c>
      <c r="DB210" t="e">
        <f>AND(#REF!,"AAAAAB//f2k=")</f>
        <v>#REF!</v>
      </c>
      <c r="DC210" t="e">
        <f>AND(#REF!,"AAAAAB//f2o=")</f>
        <v>#REF!</v>
      </c>
      <c r="DD210" t="e">
        <f>AND(#REF!,"AAAAAB//f2s=")</f>
        <v>#REF!</v>
      </c>
      <c r="DE210" t="e">
        <f>AND(#REF!,"AAAAAB//f2w=")</f>
        <v>#REF!</v>
      </c>
      <c r="DF210" t="e">
        <f>AND(#REF!,"AAAAAB//f20=")</f>
        <v>#REF!</v>
      </c>
      <c r="DG210" t="e">
        <f>AND(#REF!,"AAAAAB//f24=")</f>
        <v>#REF!</v>
      </c>
      <c r="DH210" t="e">
        <f>AND(#REF!,"AAAAAB//f28=")</f>
        <v>#REF!</v>
      </c>
      <c r="DI210" t="e">
        <f>AND(#REF!,"AAAAAB//f3A=")</f>
        <v>#REF!</v>
      </c>
      <c r="DJ210" t="e">
        <f>AND(#REF!,"AAAAAB//f3E=")</f>
        <v>#REF!</v>
      </c>
      <c r="DK210" t="e">
        <f>AND(#REF!,"AAAAAB//f3I=")</f>
        <v>#REF!</v>
      </c>
      <c r="DL210" t="e">
        <f>AND(#REF!,"AAAAAB//f3M=")</f>
        <v>#REF!</v>
      </c>
      <c r="DM210" t="e">
        <f>AND(#REF!,"AAAAAB//f3Q=")</f>
        <v>#REF!</v>
      </c>
      <c r="DN210" t="e">
        <f>AND(#REF!,"AAAAAB//f3U=")</f>
        <v>#REF!</v>
      </c>
      <c r="DO210" t="e">
        <f>AND(#REF!,"AAAAAB//f3Y=")</f>
        <v>#REF!</v>
      </c>
      <c r="DP210" t="e">
        <f>AND(#REF!,"AAAAAB//f3c=")</f>
        <v>#REF!</v>
      </c>
      <c r="DQ210" t="e">
        <f>AND(#REF!,"AAAAAB//f3g=")</f>
        <v>#REF!</v>
      </c>
      <c r="DR210" t="e">
        <f>AND(#REF!,"AAAAAB//f3k=")</f>
        <v>#REF!</v>
      </c>
      <c r="DS210" t="e">
        <f>AND(#REF!,"AAAAAB//f3o=")</f>
        <v>#REF!</v>
      </c>
      <c r="DT210" t="e">
        <f>AND(#REF!,"AAAAAB//f3s=")</f>
        <v>#REF!</v>
      </c>
      <c r="DU210" t="e">
        <f>AND(#REF!,"AAAAAB//f3w=")</f>
        <v>#REF!</v>
      </c>
      <c r="DV210" t="e">
        <f>AND(#REF!,"AAAAAB//f30=")</f>
        <v>#REF!</v>
      </c>
      <c r="DW210" t="e">
        <f>AND(#REF!,"AAAAAB//f34=")</f>
        <v>#REF!</v>
      </c>
      <c r="DX210" t="e">
        <f>AND(#REF!,"AAAAAB//f38=")</f>
        <v>#REF!</v>
      </c>
      <c r="DY210" t="e">
        <f>AND(#REF!,"AAAAAB//f4A=")</f>
        <v>#REF!</v>
      </c>
      <c r="DZ210" t="e">
        <f>AND(#REF!,"AAAAAB//f4E=")</f>
        <v>#REF!</v>
      </c>
      <c r="EA210" t="e">
        <f>AND(#REF!,"AAAAAB//f4I=")</f>
        <v>#REF!</v>
      </c>
      <c r="EB210" t="e">
        <f>AND(#REF!,"AAAAAB//f4M=")</f>
        <v>#REF!</v>
      </c>
      <c r="EC210" t="e">
        <f>AND(#REF!,"AAAAAB//f4Q=")</f>
        <v>#REF!</v>
      </c>
      <c r="ED210" t="e">
        <f>AND(#REF!,"AAAAAB//f4U=")</f>
        <v>#REF!</v>
      </c>
      <c r="EE210" t="e">
        <f>AND(#REF!,"AAAAAB//f4Y=")</f>
        <v>#REF!</v>
      </c>
      <c r="EF210" t="e">
        <f>AND(#REF!,"AAAAAB//f4c=")</f>
        <v>#REF!</v>
      </c>
      <c r="EG210" t="e">
        <f>AND(#REF!,"AAAAAB//f4g=")</f>
        <v>#REF!</v>
      </c>
      <c r="EH210" t="e">
        <f>AND(#REF!,"AAAAAB//f4k=")</f>
        <v>#REF!</v>
      </c>
      <c r="EI210" t="e">
        <f>AND(#REF!,"AAAAAB//f4o=")</f>
        <v>#REF!</v>
      </c>
      <c r="EJ210" t="e">
        <f>AND(#REF!,"AAAAAB//f4s=")</f>
        <v>#REF!</v>
      </c>
      <c r="EK210" t="e">
        <f>AND(#REF!,"AAAAAB//f4w=")</f>
        <v>#REF!</v>
      </c>
      <c r="EL210" t="e">
        <f>AND(#REF!,"AAAAAB//f40=")</f>
        <v>#REF!</v>
      </c>
      <c r="EM210" t="e">
        <f>AND(#REF!,"AAAAAB//f44=")</f>
        <v>#REF!</v>
      </c>
      <c r="EN210" t="e">
        <f>AND(#REF!,"AAAAAB//f48=")</f>
        <v>#REF!</v>
      </c>
      <c r="EO210" t="e">
        <f>AND(#REF!,"AAAAAB//f5A=")</f>
        <v>#REF!</v>
      </c>
      <c r="EP210" t="e">
        <f>AND(#REF!,"AAAAAB//f5E=")</f>
        <v>#REF!</v>
      </c>
      <c r="EQ210" t="e">
        <f>AND(#REF!,"AAAAAB//f5I=")</f>
        <v>#REF!</v>
      </c>
      <c r="ER210" t="e">
        <f>AND(#REF!,"AAAAAB//f5M=")</f>
        <v>#REF!</v>
      </c>
      <c r="ES210" t="e">
        <f>AND(#REF!,"AAAAAB//f5Q=")</f>
        <v>#REF!</v>
      </c>
      <c r="ET210" t="e">
        <f>AND(#REF!,"AAAAAB//f5U=")</f>
        <v>#REF!</v>
      </c>
      <c r="EU210" t="e">
        <f>AND(#REF!,"AAAAAB//f5Y=")</f>
        <v>#REF!</v>
      </c>
      <c r="EV210" t="e">
        <f>AND(#REF!,"AAAAAB//f5c=")</f>
        <v>#REF!</v>
      </c>
      <c r="EW210" t="e">
        <f>AND(#REF!,"AAAAAB//f5g=")</f>
        <v>#REF!</v>
      </c>
      <c r="EX210" t="e">
        <f>AND(#REF!,"AAAAAB//f5k=")</f>
        <v>#REF!</v>
      </c>
      <c r="EY210" t="e">
        <f>AND(#REF!,"AAAAAB//f5o=")</f>
        <v>#REF!</v>
      </c>
      <c r="EZ210" t="e">
        <f>AND(#REF!,"AAAAAB//f5s=")</f>
        <v>#REF!</v>
      </c>
      <c r="FA210" t="e">
        <f>AND(#REF!,"AAAAAB//f5w=")</f>
        <v>#REF!</v>
      </c>
      <c r="FB210" t="e">
        <f>AND(#REF!,"AAAAAB//f50=")</f>
        <v>#REF!</v>
      </c>
      <c r="FC210" t="e">
        <f>AND(#REF!,"AAAAAB//f54=")</f>
        <v>#REF!</v>
      </c>
      <c r="FD210" t="e">
        <f>AND(#REF!,"AAAAAB//f58=")</f>
        <v>#REF!</v>
      </c>
      <c r="FE210" t="e">
        <f>AND(#REF!,"AAAAAB//f6A=")</f>
        <v>#REF!</v>
      </c>
      <c r="FF210" t="e">
        <f>AND(#REF!,"AAAAAB//f6E=")</f>
        <v>#REF!</v>
      </c>
      <c r="FG210" t="e">
        <f>AND(#REF!,"AAAAAB//f6I=")</f>
        <v>#REF!</v>
      </c>
      <c r="FH210" t="e">
        <f>AND(#REF!,"AAAAAB//f6M=")</f>
        <v>#REF!</v>
      </c>
      <c r="FI210" t="e">
        <f>AND(#REF!,"AAAAAB//f6Q=")</f>
        <v>#REF!</v>
      </c>
      <c r="FJ210" t="e">
        <f>AND(#REF!,"AAAAAB//f6U=")</f>
        <v>#REF!</v>
      </c>
      <c r="FK210" t="e">
        <f>AND(#REF!,"AAAAAB//f6Y=")</f>
        <v>#REF!</v>
      </c>
      <c r="FL210" t="e">
        <f>AND(#REF!,"AAAAAB//f6c=")</f>
        <v>#REF!</v>
      </c>
      <c r="FM210" t="e">
        <f>AND(#REF!,"AAAAAB//f6g=")</f>
        <v>#REF!</v>
      </c>
      <c r="FN210" t="e">
        <f>AND(#REF!,"AAAAAB//f6k=")</f>
        <v>#REF!</v>
      </c>
      <c r="FO210" t="e">
        <f>AND(#REF!,"AAAAAB//f6o=")</f>
        <v>#REF!</v>
      </c>
      <c r="FP210" t="e">
        <f>AND(#REF!,"AAAAAB//f6s=")</f>
        <v>#REF!</v>
      </c>
      <c r="FQ210" t="e">
        <f>AND(#REF!,"AAAAAB//f6w=")</f>
        <v>#REF!</v>
      </c>
      <c r="FR210" t="e">
        <f>AND(#REF!,"AAAAAB//f60=")</f>
        <v>#REF!</v>
      </c>
      <c r="FS210" t="e">
        <f>AND(#REF!,"AAAAAB//f64=")</f>
        <v>#REF!</v>
      </c>
      <c r="FT210" t="e">
        <f>AND(#REF!,"AAAAAB//f68=")</f>
        <v>#REF!</v>
      </c>
      <c r="FU210" t="e">
        <f>AND(#REF!,"AAAAAB//f7A=")</f>
        <v>#REF!</v>
      </c>
      <c r="FV210" t="e">
        <f>AND(#REF!,"AAAAAB//f7E=")</f>
        <v>#REF!</v>
      </c>
      <c r="FW210" t="e">
        <f>AND(#REF!,"AAAAAB//f7I=")</f>
        <v>#REF!</v>
      </c>
      <c r="FX210" t="e">
        <f>AND(#REF!,"AAAAAB//f7M=")</f>
        <v>#REF!</v>
      </c>
      <c r="FY210" t="e">
        <f>AND(#REF!,"AAAAAB//f7Q=")</f>
        <v>#REF!</v>
      </c>
      <c r="FZ210" t="e">
        <f>AND(#REF!,"AAAAAB//f7U=")</f>
        <v>#REF!</v>
      </c>
      <c r="GA210" t="e">
        <f>AND(#REF!,"AAAAAB//f7Y=")</f>
        <v>#REF!</v>
      </c>
      <c r="GB210" t="e">
        <f>AND(#REF!,"AAAAAB//f7c=")</f>
        <v>#REF!</v>
      </c>
      <c r="GC210" t="e">
        <f>AND(#REF!,"AAAAAB//f7g=")</f>
        <v>#REF!</v>
      </c>
      <c r="GD210" t="e">
        <f>AND(#REF!,"AAAAAB//f7k=")</f>
        <v>#REF!</v>
      </c>
      <c r="GE210" t="e">
        <f>AND(#REF!,"AAAAAB//f7o=")</f>
        <v>#REF!</v>
      </c>
      <c r="GF210" t="e">
        <f>AND(#REF!,"AAAAAB//f7s=")</f>
        <v>#REF!</v>
      </c>
      <c r="GG210" t="e">
        <f>AND(#REF!,"AAAAAB//f7w=")</f>
        <v>#REF!</v>
      </c>
      <c r="GH210" t="e">
        <f>AND(#REF!,"AAAAAB//f70=")</f>
        <v>#REF!</v>
      </c>
      <c r="GI210" t="e">
        <f>AND(#REF!,"AAAAAB//f74=")</f>
        <v>#REF!</v>
      </c>
      <c r="GJ210" t="e">
        <f>AND(#REF!,"AAAAAB//f78=")</f>
        <v>#REF!</v>
      </c>
      <c r="GK210" t="e">
        <f>AND(#REF!,"AAAAAB//f8A=")</f>
        <v>#REF!</v>
      </c>
      <c r="GL210" t="e">
        <f>AND(#REF!,"AAAAAB//f8E=")</f>
        <v>#REF!</v>
      </c>
      <c r="GM210" t="e">
        <f>AND(#REF!,"AAAAAB//f8I=")</f>
        <v>#REF!</v>
      </c>
      <c r="GN210" t="e">
        <f>AND(#REF!,"AAAAAB//f8M=")</f>
        <v>#REF!</v>
      </c>
      <c r="GO210" t="e">
        <f>AND(#REF!,"AAAAAB//f8Q=")</f>
        <v>#REF!</v>
      </c>
      <c r="GP210" t="e">
        <f>AND(#REF!,"AAAAAB//f8U=")</f>
        <v>#REF!</v>
      </c>
      <c r="GQ210" t="e">
        <f>AND(#REF!,"AAAAAB//f8Y=")</f>
        <v>#REF!</v>
      </c>
      <c r="GR210" t="e">
        <f>AND(#REF!,"AAAAAB//f8c=")</f>
        <v>#REF!</v>
      </c>
      <c r="GS210" t="e">
        <f>AND(#REF!,"AAAAAB//f8g=")</f>
        <v>#REF!</v>
      </c>
      <c r="GT210" t="e">
        <f>AND(#REF!,"AAAAAB//f8k=")</f>
        <v>#REF!</v>
      </c>
      <c r="GU210" t="e">
        <f>AND(#REF!,"AAAAAB//f8o=")</f>
        <v>#REF!</v>
      </c>
      <c r="GV210" t="e">
        <f>AND(#REF!,"AAAAAB//f8s=")</f>
        <v>#REF!</v>
      </c>
      <c r="GW210" t="e">
        <f>AND(#REF!,"AAAAAB//f8w=")</f>
        <v>#REF!</v>
      </c>
      <c r="GX210" t="e">
        <f>AND(#REF!,"AAAAAB//f80=")</f>
        <v>#REF!</v>
      </c>
      <c r="GY210" t="e">
        <f>AND(#REF!,"AAAAAB//f84=")</f>
        <v>#REF!</v>
      </c>
      <c r="GZ210" t="e">
        <f>AND(#REF!,"AAAAAB//f88=")</f>
        <v>#REF!</v>
      </c>
      <c r="HA210" t="e">
        <f>AND(#REF!,"AAAAAB//f9A=")</f>
        <v>#REF!</v>
      </c>
      <c r="HB210" t="e">
        <f>AND(#REF!,"AAAAAB//f9E=")</f>
        <v>#REF!</v>
      </c>
      <c r="HC210" t="e">
        <f>AND(#REF!,"AAAAAB//f9I=")</f>
        <v>#REF!</v>
      </c>
      <c r="HD210" t="e">
        <f>AND(#REF!,"AAAAAB//f9M=")</f>
        <v>#REF!</v>
      </c>
      <c r="HE210" t="e">
        <f>AND(#REF!,"AAAAAB//f9Q=")</f>
        <v>#REF!</v>
      </c>
      <c r="HF210" t="e">
        <f>AND(#REF!,"AAAAAB//f9U=")</f>
        <v>#REF!</v>
      </c>
      <c r="HG210" t="e">
        <f>AND(#REF!,"AAAAAB//f9Y=")</f>
        <v>#REF!</v>
      </c>
      <c r="HH210" t="e">
        <f>AND(#REF!,"AAAAAB//f9c=")</f>
        <v>#REF!</v>
      </c>
      <c r="HI210" t="e">
        <f>AND(#REF!,"AAAAAB//f9g=")</f>
        <v>#REF!</v>
      </c>
      <c r="HJ210" t="e">
        <f>AND(#REF!,"AAAAAB//f9k=")</f>
        <v>#REF!</v>
      </c>
      <c r="HK210" t="e">
        <f>AND(#REF!,"AAAAAB//f9o=")</f>
        <v>#REF!</v>
      </c>
      <c r="HL210" t="e">
        <f>AND(#REF!,"AAAAAB//f9s=")</f>
        <v>#REF!</v>
      </c>
      <c r="HM210" t="e">
        <f>AND(#REF!,"AAAAAB//f9w=")</f>
        <v>#REF!</v>
      </c>
      <c r="HN210" t="e">
        <f>AND(#REF!,"AAAAAB//f90=")</f>
        <v>#REF!</v>
      </c>
      <c r="HO210" t="e">
        <f>AND(#REF!,"AAAAAB//f94=")</f>
        <v>#REF!</v>
      </c>
      <c r="HP210" t="e">
        <f>AND(#REF!,"AAAAAB//f98=")</f>
        <v>#REF!</v>
      </c>
      <c r="HQ210" t="e">
        <f>AND(#REF!,"AAAAAB//f+A=")</f>
        <v>#REF!</v>
      </c>
      <c r="HR210" t="e">
        <f>AND(#REF!,"AAAAAB//f+E=")</f>
        <v>#REF!</v>
      </c>
      <c r="HS210" t="e">
        <f>AND(#REF!,"AAAAAB//f+I=")</f>
        <v>#REF!</v>
      </c>
      <c r="HT210" t="e">
        <f>AND(#REF!,"AAAAAB//f+M=")</f>
        <v>#REF!</v>
      </c>
      <c r="HU210" t="e">
        <f>AND(#REF!,"AAAAAB//f+Q=")</f>
        <v>#REF!</v>
      </c>
      <c r="HV210" t="e">
        <f>AND(#REF!,"AAAAAB//f+U=")</f>
        <v>#REF!</v>
      </c>
      <c r="HW210" t="e">
        <f>AND(#REF!,"AAAAAB//f+Y=")</f>
        <v>#REF!</v>
      </c>
      <c r="HX210" t="e">
        <f>AND(#REF!,"AAAAAB//f+c=")</f>
        <v>#REF!</v>
      </c>
      <c r="HY210" t="e">
        <f>AND(#REF!,"AAAAAB//f+g=")</f>
        <v>#REF!</v>
      </c>
      <c r="HZ210" t="e">
        <f>AND(#REF!,"AAAAAB//f+k=")</f>
        <v>#REF!</v>
      </c>
      <c r="IA210" t="e">
        <f>AND(#REF!,"AAAAAB//f+o=")</f>
        <v>#REF!</v>
      </c>
      <c r="IB210" t="e">
        <f>AND(#REF!,"AAAAAB//f+s=")</f>
        <v>#REF!</v>
      </c>
      <c r="IC210" t="e">
        <f>AND(#REF!,"AAAAAB//f+w=")</f>
        <v>#REF!</v>
      </c>
      <c r="ID210" t="e">
        <f>AND(#REF!,"AAAAAB//f+0=")</f>
        <v>#REF!</v>
      </c>
      <c r="IE210" t="e">
        <f>AND(#REF!,"AAAAAB//f+4=")</f>
        <v>#REF!</v>
      </c>
      <c r="IF210" t="e">
        <f>AND(#REF!,"AAAAAB//f+8=")</f>
        <v>#REF!</v>
      </c>
      <c r="IG210" t="e">
        <f>AND(#REF!,"AAAAAB//f/A=")</f>
        <v>#REF!</v>
      </c>
      <c r="IH210" t="e">
        <f>AND(#REF!,"AAAAAB//f/E=")</f>
        <v>#REF!</v>
      </c>
      <c r="II210" t="e">
        <f>AND(#REF!,"AAAAAB//f/I=")</f>
        <v>#REF!</v>
      </c>
      <c r="IJ210" t="e">
        <f>AND(#REF!,"AAAAAB//f/M=")</f>
        <v>#REF!</v>
      </c>
      <c r="IK210" t="e">
        <f>AND(#REF!,"AAAAAB//f/Q=")</f>
        <v>#REF!</v>
      </c>
      <c r="IL210" t="e">
        <f>AND(#REF!,"AAAAAB//f/U=")</f>
        <v>#REF!</v>
      </c>
      <c r="IM210" t="e">
        <f>IF(#REF!,"AAAAAB//f/Y=",0)</f>
        <v>#REF!</v>
      </c>
      <c r="IN210" t="e">
        <f>AND(#REF!,"AAAAAB//f/c=")</f>
        <v>#REF!</v>
      </c>
      <c r="IO210" t="e">
        <f>AND(#REF!,"AAAAAB//f/g=")</f>
        <v>#REF!</v>
      </c>
      <c r="IP210" t="e">
        <f>AND(#REF!,"AAAAAB//f/k=")</f>
        <v>#REF!</v>
      </c>
      <c r="IQ210" t="e">
        <f>AND(#REF!,"AAAAAB//f/o=")</f>
        <v>#REF!</v>
      </c>
      <c r="IR210" t="e">
        <f>AND(#REF!,"AAAAAB//f/s=")</f>
        <v>#REF!</v>
      </c>
      <c r="IS210" t="e">
        <f>AND(#REF!,"AAAAAB//f/w=")</f>
        <v>#REF!</v>
      </c>
      <c r="IT210" t="e">
        <f>AND(#REF!,"AAAAAB//f/0=")</f>
        <v>#REF!</v>
      </c>
      <c r="IU210" t="e">
        <f>AND(#REF!,"AAAAAB//f/4=")</f>
        <v>#REF!</v>
      </c>
      <c r="IV210" t="e">
        <f>AND(#REF!,"AAAAAB//f/8=")</f>
        <v>#REF!</v>
      </c>
    </row>
    <row r="211" spans="1:256">
      <c r="A211" t="e">
        <f>AND(#REF!,"AAAAAE/8nwA=")</f>
        <v>#REF!</v>
      </c>
      <c r="B211" t="e">
        <f>AND(#REF!,"AAAAAE/8nwE=")</f>
        <v>#REF!</v>
      </c>
      <c r="C211" t="e">
        <f>AND(#REF!,"AAAAAE/8nwI=")</f>
        <v>#REF!</v>
      </c>
      <c r="D211" t="e">
        <f>AND(#REF!,"AAAAAE/8nwM=")</f>
        <v>#REF!</v>
      </c>
      <c r="E211" t="e">
        <f>AND(#REF!,"AAAAAE/8nwQ=")</f>
        <v>#REF!</v>
      </c>
      <c r="F211" t="e">
        <f>AND(#REF!,"AAAAAE/8nwU=")</f>
        <v>#REF!</v>
      </c>
      <c r="G211" t="e">
        <f>AND(#REF!,"AAAAAE/8nwY=")</f>
        <v>#REF!</v>
      </c>
      <c r="H211" t="e">
        <f>AND(#REF!,"AAAAAE/8nwc=")</f>
        <v>#REF!</v>
      </c>
      <c r="I211" t="e">
        <f>AND(#REF!,"AAAAAE/8nwg=")</f>
        <v>#REF!</v>
      </c>
      <c r="J211" t="e">
        <f>AND(#REF!,"AAAAAE/8nwk=")</f>
        <v>#REF!</v>
      </c>
      <c r="K211" t="e">
        <f>AND(#REF!,"AAAAAE/8nwo=")</f>
        <v>#REF!</v>
      </c>
      <c r="L211" t="e">
        <f>AND(#REF!,"AAAAAE/8nws=")</f>
        <v>#REF!</v>
      </c>
      <c r="M211" t="e">
        <f>AND(#REF!,"AAAAAE/8nww=")</f>
        <v>#REF!</v>
      </c>
      <c r="N211" t="e">
        <f>AND(#REF!,"AAAAAE/8nw0=")</f>
        <v>#REF!</v>
      </c>
      <c r="O211" t="e">
        <f>AND(#REF!,"AAAAAE/8nw4=")</f>
        <v>#REF!</v>
      </c>
      <c r="P211" t="e">
        <f>AND(#REF!,"AAAAAE/8nw8=")</f>
        <v>#REF!</v>
      </c>
      <c r="Q211" t="e">
        <f>AND(#REF!,"AAAAAE/8nxA=")</f>
        <v>#REF!</v>
      </c>
      <c r="R211" t="e">
        <f>AND(#REF!,"AAAAAE/8nxE=")</f>
        <v>#REF!</v>
      </c>
      <c r="S211" t="e">
        <f>AND(#REF!,"AAAAAE/8nxI=")</f>
        <v>#REF!</v>
      </c>
      <c r="T211" t="e">
        <f>AND(#REF!,"AAAAAE/8nxM=")</f>
        <v>#REF!</v>
      </c>
      <c r="U211" t="e">
        <f>AND(#REF!,"AAAAAE/8nxQ=")</f>
        <v>#REF!</v>
      </c>
      <c r="V211" t="e">
        <f>AND(#REF!,"AAAAAE/8nxU=")</f>
        <v>#REF!</v>
      </c>
      <c r="W211" t="e">
        <f>AND(#REF!,"AAAAAE/8nxY=")</f>
        <v>#REF!</v>
      </c>
      <c r="X211" t="e">
        <f>AND(#REF!,"AAAAAE/8nxc=")</f>
        <v>#REF!</v>
      </c>
      <c r="Y211" t="e">
        <f>AND(#REF!,"AAAAAE/8nxg=")</f>
        <v>#REF!</v>
      </c>
      <c r="Z211" t="e">
        <f>AND(#REF!,"AAAAAE/8nxk=")</f>
        <v>#REF!</v>
      </c>
      <c r="AA211" t="e">
        <f>AND(#REF!,"AAAAAE/8nxo=")</f>
        <v>#REF!</v>
      </c>
      <c r="AB211" t="e">
        <f>AND(#REF!,"AAAAAE/8nxs=")</f>
        <v>#REF!</v>
      </c>
      <c r="AC211" t="e">
        <f>AND(#REF!,"AAAAAE/8nxw=")</f>
        <v>#REF!</v>
      </c>
      <c r="AD211" t="e">
        <f>AND(#REF!,"AAAAAE/8nx0=")</f>
        <v>#REF!</v>
      </c>
      <c r="AE211" t="e">
        <f>AND(#REF!,"AAAAAE/8nx4=")</f>
        <v>#REF!</v>
      </c>
      <c r="AF211" t="e">
        <f>AND(#REF!,"AAAAAE/8nx8=")</f>
        <v>#REF!</v>
      </c>
      <c r="AG211" t="e">
        <f>AND(#REF!,"AAAAAE/8nyA=")</f>
        <v>#REF!</v>
      </c>
      <c r="AH211" t="e">
        <f>AND(#REF!,"AAAAAE/8nyE=")</f>
        <v>#REF!</v>
      </c>
      <c r="AI211" t="e">
        <f>AND(#REF!,"AAAAAE/8nyI=")</f>
        <v>#REF!</v>
      </c>
      <c r="AJ211" t="e">
        <f>AND(#REF!,"AAAAAE/8nyM=")</f>
        <v>#REF!</v>
      </c>
      <c r="AK211" t="e">
        <f>AND(#REF!,"AAAAAE/8nyQ=")</f>
        <v>#REF!</v>
      </c>
      <c r="AL211" t="e">
        <f>AND(#REF!,"AAAAAE/8nyU=")</f>
        <v>#REF!</v>
      </c>
      <c r="AM211" t="e">
        <f>AND(#REF!,"AAAAAE/8nyY=")</f>
        <v>#REF!</v>
      </c>
      <c r="AN211" t="e">
        <f>AND(#REF!,"AAAAAE/8nyc=")</f>
        <v>#REF!</v>
      </c>
      <c r="AO211" t="e">
        <f>AND(#REF!,"AAAAAE/8nyg=")</f>
        <v>#REF!</v>
      </c>
      <c r="AP211" t="e">
        <f>AND(#REF!,"AAAAAE/8nyk=")</f>
        <v>#REF!</v>
      </c>
      <c r="AQ211" t="e">
        <f>AND(#REF!,"AAAAAE/8nyo=")</f>
        <v>#REF!</v>
      </c>
      <c r="AR211" t="e">
        <f>AND(#REF!,"AAAAAE/8nys=")</f>
        <v>#REF!</v>
      </c>
      <c r="AS211" t="e">
        <f>AND(#REF!,"AAAAAE/8nyw=")</f>
        <v>#REF!</v>
      </c>
      <c r="AT211" t="e">
        <f>AND(#REF!,"AAAAAE/8ny0=")</f>
        <v>#REF!</v>
      </c>
      <c r="AU211" t="e">
        <f>AND(#REF!,"AAAAAE/8ny4=")</f>
        <v>#REF!</v>
      </c>
      <c r="AV211" t="e">
        <f>AND(#REF!,"AAAAAE/8ny8=")</f>
        <v>#REF!</v>
      </c>
      <c r="AW211" t="e">
        <f>AND(#REF!,"AAAAAE/8nzA=")</f>
        <v>#REF!</v>
      </c>
      <c r="AX211" t="e">
        <f>AND(#REF!,"AAAAAE/8nzE=")</f>
        <v>#REF!</v>
      </c>
      <c r="AY211" t="e">
        <f>AND(#REF!,"AAAAAE/8nzI=")</f>
        <v>#REF!</v>
      </c>
      <c r="AZ211" t="e">
        <f>AND(#REF!,"AAAAAE/8nzM=")</f>
        <v>#REF!</v>
      </c>
      <c r="BA211" t="e">
        <f>AND(#REF!,"AAAAAE/8nzQ=")</f>
        <v>#REF!</v>
      </c>
      <c r="BB211" t="e">
        <f>AND(#REF!,"AAAAAE/8nzU=")</f>
        <v>#REF!</v>
      </c>
      <c r="BC211" t="e">
        <f>AND(#REF!,"AAAAAE/8nzY=")</f>
        <v>#REF!</v>
      </c>
      <c r="BD211" t="e">
        <f>AND(#REF!,"AAAAAE/8nzc=")</f>
        <v>#REF!</v>
      </c>
      <c r="BE211" t="e">
        <f>AND(#REF!,"AAAAAE/8nzg=")</f>
        <v>#REF!</v>
      </c>
      <c r="BF211" t="e">
        <f>AND(#REF!,"AAAAAE/8nzk=")</f>
        <v>#REF!</v>
      </c>
      <c r="BG211" t="e">
        <f>AND(#REF!,"AAAAAE/8nzo=")</f>
        <v>#REF!</v>
      </c>
      <c r="BH211" t="e">
        <f>AND(#REF!,"AAAAAE/8nzs=")</f>
        <v>#REF!</v>
      </c>
      <c r="BI211" t="e">
        <f>AND(#REF!,"AAAAAE/8nzw=")</f>
        <v>#REF!</v>
      </c>
      <c r="BJ211" t="e">
        <f>AND(#REF!,"AAAAAE/8nz0=")</f>
        <v>#REF!</v>
      </c>
      <c r="BK211" t="e">
        <f>AND(#REF!,"AAAAAE/8nz4=")</f>
        <v>#REF!</v>
      </c>
      <c r="BL211" t="e">
        <f>AND(#REF!,"AAAAAE/8nz8=")</f>
        <v>#REF!</v>
      </c>
      <c r="BM211" t="e">
        <f>AND(#REF!,"AAAAAE/8n0A=")</f>
        <v>#REF!</v>
      </c>
      <c r="BN211" t="e">
        <f>AND(#REF!,"AAAAAE/8n0E=")</f>
        <v>#REF!</v>
      </c>
      <c r="BO211" t="e">
        <f>AND(#REF!,"AAAAAE/8n0I=")</f>
        <v>#REF!</v>
      </c>
      <c r="BP211" t="e">
        <f>AND(#REF!,"AAAAAE/8n0M=")</f>
        <v>#REF!</v>
      </c>
      <c r="BQ211" t="e">
        <f>AND(#REF!,"AAAAAE/8n0Q=")</f>
        <v>#REF!</v>
      </c>
      <c r="BR211" t="e">
        <f>AND(#REF!,"AAAAAE/8n0U=")</f>
        <v>#REF!</v>
      </c>
      <c r="BS211" t="e">
        <f>AND(#REF!,"AAAAAE/8n0Y=")</f>
        <v>#REF!</v>
      </c>
      <c r="BT211" t="e">
        <f>AND(#REF!,"AAAAAE/8n0c=")</f>
        <v>#REF!</v>
      </c>
      <c r="BU211" t="e">
        <f>AND(#REF!,"AAAAAE/8n0g=")</f>
        <v>#REF!</v>
      </c>
      <c r="BV211" t="e">
        <f>AND(#REF!,"AAAAAE/8n0k=")</f>
        <v>#REF!</v>
      </c>
      <c r="BW211" t="e">
        <f>AND(#REF!,"AAAAAE/8n0o=")</f>
        <v>#REF!</v>
      </c>
      <c r="BX211" t="e">
        <f>AND(#REF!,"AAAAAE/8n0s=")</f>
        <v>#REF!</v>
      </c>
      <c r="BY211" t="e">
        <f>AND(#REF!,"AAAAAE/8n0w=")</f>
        <v>#REF!</v>
      </c>
      <c r="BZ211" t="e">
        <f>AND(#REF!,"AAAAAE/8n00=")</f>
        <v>#REF!</v>
      </c>
      <c r="CA211" t="e">
        <f>AND(#REF!,"AAAAAE/8n04=")</f>
        <v>#REF!</v>
      </c>
      <c r="CB211" t="e">
        <f>AND(#REF!,"AAAAAE/8n08=")</f>
        <v>#REF!</v>
      </c>
      <c r="CC211" t="e">
        <f>AND(#REF!,"AAAAAE/8n1A=")</f>
        <v>#REF!</v>
      </c>
      <c r="CD211" t="e">
        <f>AND(#REF!,"AAAAAE/8n1E=")</f>
        <v>#REF!</v>
      </c>
      <c r="CE211" t="e">
        <f>AND(#REF!,"AAAAAE/8n1I=")</f>
        <v>#REF!</v>
      </c>
      <c r="CF211" t="e">
        <f>AND(#REF!,"AAAAAE/8n1M=")</f>
        <v>#REF!</v>
      </c>
      <c r="CG211" t="e">
        <f>AND(#REF!,"AAAAAE/8n1Q=")</f>
        <v>#REF!</v>
      </c>
      <c r="CH211" t="e">
        <f>AND(#REF!,"AAAAAE/8n1U=")</f>
        <v>#REF!</v>
      </c>
      <c r="CI211" t="e">
        <f>AND(#REF!,"AAAAAE/8n1Y=")</f>
        <v>#REF!</v>
      </c>
      <c r="CJ211" t="e">
        <f>AND(#REF!,"AAAAAE/8n1c=")</f>
        <v>#REF!</v>
      </c>
      <c r="CK211" t="e">
        <f>AND(#REF!,"AAAAAE/8n1g=")</f>
        <v>#REF!</v>
      </c>
      <c r="CL211" t="e">
        <f>AND(#REF!,"AAAAAE/8n1k=")</f>
        <v>#REF!</v>
      </c>
      <c r="CM211" t="e">
        <f>AND(#REF!,"AAAAAE/8n1o=")</f>
        <v>#REF!</v>
      </c>
      <c r="CN211" t="e">
        <f>AND(#REF!,"AAAAAE/8n1s=")</f>
        <v>#REF!</v>
      </c>
      <c r="CO211" t="e">
        <f>AND(#REF!,"AAAAAE/8n1w=")</f>
        <v>#REF!</v>
      </c>
      <c r="CP211" t="e">
        <f>AND(#REF!,"AAAAAE/8n10=")</f>
        <v>#REF!</v>
      </c>
      <c r="CQ211" t="e">
        <f>AND(#REF!,"AAAAAE/8n14=")</f>
        <v>#REF!</v>
      </c>
      <c r="CR211" t="e">
        <f>AND(#REF!,"AAAAAE/8n18=")</f>
        <v>#REF!</v>
      </c>
      <c r="CS211" t="e">
        <f>AND(#REF!,"AAAAAE/8n2A=")</f>
        <v>#REF!</v>
      </c>
      <c r="CT211" t="e">
        <f>AND(#REF!,"AAAAAE/8n2E=")</f>
        <v>#REF!</v>
      </c>
      <c r="CU211" t="e">
        <f>AND(#REF!,"AAAAAE/8n2I=")</f>
        <v>#REF!</v>
      </c>
      <c r="CV211" t="e">
        <f>AND(#REF!,"AAAAAE/8n2M=")</f>
        <v>#REF!</v>
      </c>
      <c r="CW211" t="e">
        <f>AND(#REF!,"AAAAAE/8n2Q=")</f>
        <v>#REF!</v>
      </c>
      <c r="CX211" t="e">
        <f>AND(#REF!,"AAAAAE/8n2U=")</f>
        <v>#REF!</v>
      </c>
      <c r="CY211" t="e">
        <f>AND(#REF!,"AAAAAE/8n2Y=")</f>
        <v>#REF!</v>
      </c>
      <c r="CZ211" t="e">
        <f>AND(#REF!,"AAAAAE/8n2c=")</f>
        <v>#REF!</v>
      </c>
      <c r="DA211" t="e">
        <f>AND(#REF!,"AAAAAE/8n2g=")</f>
        <v>#REF!</v>
      </c>
      <c r="DB211" t="e">
        <f>AND(#REF!,"AAAAAE/8n2k=")</f>
        <v>#REF!</v>
      </c>
      <c r="DC211" t="e">
        <f>AND(#REF!,"AAAAAE/8n2o=")</f>
        <v>#REF!</v>
      </c>
      <c r="DD211" t="e">
        <f>AND(#REF!,"AAAAAE/8n2s=")</f>
        <v>#REF!</v>
      </c>
      <c r="DE211" t="e">
        <f>AND(#REF!,"AAAAAE/8n2w=")</f>
        <v>#REF!</v>
      </c>
      <c r="DF211" t="e">
        <f>AND(#REF!,"AAAAAE/8n20=")</f>
        <v>#REF!</v>
      </c>
      <c r="DG211" t="e">
        <f>AND(#REF!,"AAAAAE/8n24=")</f>
        <v>#REF!</v>
      </c>
      <c r="DH211" t="e">
        <f>AND(#REF!,"AAAAAE/8n28=")</f>
        <v>#REF!</v>
      </c>
      <c r="DI211" t="e">
        <f>AND(#REF!,"AAAAAE/8n3A=")</f>
        <v>#REF!</v>
      </c>
      <c r="DJ211" t="e">
        <f>AND(#REF!,"AAAAAE/8n3E=")</f>
        <v>#REF!</v>
      </c>
      <c r="DK211" t="e">
        <f>AND(#REF!,"AAAAAE/8n3I=")</f>
        <v>#REF!</v>
      </c>
      <c r="DL211" t="e">
        <f>AND(#REF!,"AAAAAE/8n3M=")</f>
        <v>#REF!</v>
      </c>
      <c r="DM211" t="e">
        <f>AND(#REF!,"AAAAAE/8n3Q=")</f>
        <v>#REF!</v>
      </c>
      <c r="DN211" t="e">
        <f>AND(#REF!,"AAAAAE/8n3U=")</f>
        <v>#REF!</v>
      </c>
      <c r="DO211" t="e">
        <f>AND(#REF!,"AAAAAE/8n3Y=")</f>
        <v>#REF!</v>
      </c>
      <c r="DP211" t="e">
        <f>AND(#REF!,"AAAAAE/8n3c=")</f>
        <v>#REF!</v>
      </c>
      <c r="DQ211" t="e">
        <f>AND(#REF!,"AAAAAE/8n3g=")</f>
        <v>#REF!</v>
      </c>
      <c r="DR211" t="e">
        <f>AND(#REF!,"AAAAAE/8n3k=")</f>
        <v>#REF!</v>
      </c>
      <c r="DS211" t="e">
        <f>AND(#REF!,"AAAAAE/8n3o=")</f>
        <v>#REF!</v>
      </c>
      <c r="DT211" t="e">
        <f>AND(#REF!,"AAAAAE/8n3s=")</f>
        <v>#REF!</v>
      </c>
      <c r="DU211" t="e">
        <f>AND(#REF!,"AAAAAE/8n3w=")</f>
        <v>#REF!</v>
      </c>
      <c r="DV211" t="e">
        <f>AND(#REF!,"AAAAAE/8n30=")</f>
        <v>#REF!</v>
      </c>
      <c r="DW211" t="e">
        <f>AND(#REF!,"AAAAAE/8n34=")</f>
        <v>#REF!</v>
      </c>
      <c r="DX211" t="e">
        <f>AND(#REF!,"AAAAAE/8n38=")</f>
        <v>#REF!</v>
      </c>
      <c r="DY211" t="e">
        <f>AND(#REF!,"AAAAAE/8n4A=")</f>
        <v>#REF!</v>
      </c>
      <c r="DZ211" t="e">
        <f>AND(#REF!,"AAAAAE/8n4E=")</f>
        <v>#REF!</v>
      </c>
      <c r="EA211" t="e">
        <f>AND(#REF!,"AAAAAE/8n4I=")</f>
        <v>#REF!</v>
      </c>
      <c r="EB211" t="e">
        <f>AND(#REF!,"AAAAAE/8n4M=")</f>
        <v>#REF!</v>
      </c>
      <c r="EC211" t="e">
        <f>AND(#REF!,"AAAAAE/8n4Q=")</f>
        <v>#REF!</v>
      </c>
      <c r="ED211" t="e">
        <f>AND(#REF!,"AAAAAE/8n4U=")</f>
        <v>#REF!</v>
      </c>
      <c r="EE211" t="e">
        <f>AND(#REF!,"AAAAAE/8n4Y=")</f>
        <v>#REF!</v>
      </c>
      <c r="EF211" t="e">
        <f>AND(#REF!,"AAAAAE/8n4c=")</f>
        <v>#REF!</v>
      </c>
      <c r="EG211" t="e">
        <f>AND(#REF!,"AAAAAE/8n4g=")</f>
        <v>#REF!</v>
      </c>
      <c r="EH211" t="e">
        <f>AND(#REF!,"AAAAAE/8n4k=")</f>
        <v>#REF!</v>
      </c>
      <c r="EI211" t="e">
        <f>AND(#REF!,"AAAAAE/8n4o=")</f>
        <v>#REF!</v>
      </c>
      <c r="EJ211" t="e">
        <f>AND(#REF!,"AAAAAE/8n4s=")</f>
        <v>#REF!</v>
      </c>
      <c r="EK211" t="e">
        <f>AND(#REF!,"AAAAAE/8n4w=")</f>
        <v>#REF!</v>
      </c>
      <c r="EL211" t="e">
        <f>AND(#REF!,"AAAAAE/8n40=")</f>
        <v>#REF!</v>
      </c>
      <c r="EM211" t="e">
        <f>AND(#REF!,"AAAAAE/8n44=")</f>
        <v>#REF!</v>
      </c>
      <c r="EN211" t="e">
        <f>AND(#REF!,"AAAAAE/8n48=")</f>
        <v>#REF!</v>
      </c>
      <c r="EO211" t="e">
        <f>AND(#REF!,"AAAAAE/8n5A=")</f>
        <v>#REF!</v>
      </c>
      <c r="EP211" t="e">
        <f>AND(#REF!,"AAAAAE/8n5E=")</f>
        <v>#REF!</v>
      </c>
      <c r="EQ211" t="e">
        <f>AND(#REF!,"AAAAAE/8n5I=")</f>
        <v>#REF!</v>
      </c>
      <c r="ER211" t="e">
        <f>AND(#REF!,"AAAAAE/8n5M=")</f>
        <v>#REF!</v>
      </c>
      <c r="ES211" t="e">
        <f>AND(#REF!,"AAAAAE/8n5Q=")</f>
        <v>#REF!</v>
      </c>
      <c r="ET211" t="e">
        <f>AND(#REF!,"AAAAAE/8n5U=")</f>
        <v>#REF!</v>
      </c>
      <c r="EU211" t="e">
        <f>AND(#REF!,"AAAAAE/8n5Y=")</f>
        <v>#REF!</v>
      </c>
      <c r="EV211" t="e">
        <f>AND(#REF!,"AAAAAE/8n5c=")</f>
        <v>#REF!</v>
      </c>
      <c r="EW211" t="e">
        <f>AND(#REF!,"AAAAAE/8n5g=")</f>
        <v>#REF!</v>
      </c>
      <c r="EX211" t="e">
        <f>AND(#REF!,"AAAAAE/8n5k=")</f>
        <v>#REF!</v>
      </c>
      <c r="EY211" t="e">
        <f>AND(#REF!,"AAAAAE/8n5o=")</f>
        <v>#REF!</v>
      </c>
      <c r="EZ211" t="e">
        <f>AND(#REF!,"AAAAAE/8n5s=")</f>
        <v>#REF!</v>
      </c>
      <c r="FA211" t="e">
        <f>AND(#REF!,"AAAAAE/8n5w=")</f>
        <v>#REF!</v>
      </c>
      <c r="FB211" t="e">
        <f>AND(#REF!,"AAAAAE/8n50=")</f>
        <v>#REF!</v>
      </c>
      <c r="FC211" t="e">
        <f>AND(#REF!,"AAAAAE/8n54=")</f>
        <v>#REF!</v>
      </c>
      <c r="FD211" t="e">
        <f>AND(#REF!,"AAAAAE/8n58=")</f>
        <v>#REF!</v>
      </c>
      <c r="FE211" t="e">
        <f>AND(#REF!,"AAAAAE/8n6A=")</f>
        <v>#REF!</v>
      </c>
      <c r="FF211" t="e">
        <f>AND(#REF!,"AAAAAE/8n6E=")</f>
        <v>#REF!</v>
      </c>
      <c r="FG211" t="e">
        <f>AND(#REF!,"AAAAAE/8n6I=")</f>
        <v>#REF!</v>
      </c>
      <c r="FH211" t="e">
        <f>AND(#REF!,"AAAAAE/8n6M=")</f>
        <v>#REF!</v>
      </c>
      <c r="FI211" t="e">
        <f>AND(#REF!,"AAAAAE/8n6Q=")</f>
        <v>#REF!</v>
      </c>
      <c r="FJ211" t="e">
        <f>AND(#REF!,"AAAAAE/8n6U=")</f>
        <v>#REF!</v>
      </c>
      <c r="FK211" t="e">
        <f>AND(#REF!,"AAAAAE/8n6Y=")</f>
        <v>#REF!</v>
      </c>
      <c r="FL211" t="e">
        <f>AND(#REF!,"AAAAAE/8n6c=")</f>
        <v>#REF!</v>
      </c>
      <c r="FM211" t="e">
        <f>AND(#REF!,"AAAAAE/8n6g=")</f>
        <v>#REF!</v>
      </c>
      <c r="FN211" t="e">
        <f>AND(#REF!,"AAAAAE/8n6k=")</f>
        <v>#REF!</v>
      </c>
      <c r="FO211" t="e">
        <f>AND(#REF!,"AAAAAE/8n6o=")</f>
        <v>#REF!</v>
      </c>
      <c r="FP211" t="e">
        <f>AND(#REF!,"AAAAAE/8n6s=")</f>
        <v>#REF!</v>
      </c>
      <c r="FQ211" t="e">
        <f>AND(#REF!,"AAAAAE/8n6w=")</f>
        <v>#REF!</v>
      </c>
      <c r="FR211" t="e">
        <f>AND(#REF!,"AAAAAE/8n60=")</f>
        <v>#REF!</v>
      </c>
      <c r="FS211" t="e">
        <f>AND(#REF!,"AAAAAE/8n64=")</f>
        <v>#REF!</v>
      </c>
      <c r="FT211" t="e">
        <f>AND(#REF!,"AAAAAE/8n68=")</f>
        <v>#REF!</v>
      </c>
      <c r="FU211" t="e">
        <f>AND(#REF!,"AAAAAE/8n7A=")</f>
        <v>#REF!</v>
      </c>
      <c r="FV211" t="e">
        <f>AND(#REF!,"AAAAAE/8n7E=")</f>
        <v>#REF!</v>
      </c>
      <c r="FW211" t="e">
        <f>AND(#REF!,"AAAAAE/8n7I=")</f>
        <v>#REF!</v>
      </c>
      <c r="FX211" t="e">
        <f>AND(#REF!,"AAAAAE/8n7M=")</f>
        <v>#REF!</v>
      </c>
      <c r="FY211" t="e">
        <f>AND(#REF!,"AAAAAE/8n7Q=")</f>
        <v>#REF!</v>
      </c>
      <c r="FZ211" t="e">
        <f>AND(#REF!,"AAAAAE/8n7U=")</f>
        <v>#REF!</v>
      </c>
      <c r="GA211" t="e">
        <f>AND(#REF!,"AAAAAE/8n7Y=")</f>
        <v>#REF!</v>
      </c>
      <c r="GB211" t="e">
        <f>AND(#REF!,"AAAAAE/8n7c=")</f>
        <v>#REF!</v>
      </c>
      <c r="GC211" t="e">
        <f>AND(#REF!,"AAAAAE/8n7g=")</f>
        <v>#REF!</v>
      </c>
      <c r="GD211" t="e">
        <f>AND(#REF!,"AAAAAE/8n7k=")</f>
        <v>#REF!</v>
      </c>
      <c r="GE211" t="e">
        <f>AND(#REF!,"AAAAAE/8n7o=")</f>
        <v>#REF!</v>
      </c>
      <c r="GF211" t="e">
        <f>AND(#REF!,"AAAAAE/8n7s=")</f>
        <v>#REF!</v>
      </c>
      <c r="GG211" t="e">
        <f>AND(#REF!,"AAAAAE/8n7w=")</f>
        <v>#REF!</v>
      </c>
      <c r="GH211" t="e">
        <f>AND(#REF!,"AAAAAE/8n70=")</f>
        <v>#REF!</v>
      </c>
      <c r="GI211" t="e">
        <f>AND(#REF!,"AAAAAE/8n74=")</f>
        <v>#REF!</v>
      </c>
      <c r="GJ211" t="e">
        <f>AND(#REF!,"AAAAAE/8n78=")</f>
        <v>#REF!</v>
      </c>
      <c r="GK211" t="e">
        <f>AND(#REF!,"AAAAAE/8n8A=")</f>
        <v>#REF!</v>
      </c>
      <c r="GL211" t="e">
        <f>AND(#REF!,"AAAAAE/8n8E=")</f>
        <v>#REF!</v>
      </c>
      <c r="GM211" t="e">
        <f>AND(#REF!,"AAAAAE/8n8I=")</f>
        <v>#REF!</v>
      </c>
      <c r="GN211" t="e">
        <f>AND(#REF!,"AAAAAE/8n8M=")</f>
        <v>#REF!</v>
      </c>
      <c r="GO211" t="e">
        <f>AND(#REF!,"AAAAAE/8n8Q=")</f>
        <v>#REF!</v>
      </c>
      <c r="GP211" t="e">
        <f>AND(#REF!,"AAAAAE/8n8U=")</f>
        <v>#REF!</v>
      </c>
      <c r="GQ211" t="e">
        <f>AND(#REF!,"AAAAAE/8n8Y=")</f>
        <v>#REF!</v>
      </c>
      <c r="GR211" t="e">
        <f>AND(#REF!,"AAAAAE/8n8c=")</f>
        <v>#REF!</v>
      </c>
      <c r="GS211" t="e">
        <f>AND(#REF!,"AAAAAE/8n8g=")</f>
        <v>#REF!</v>
      </c>
      <c r="GT211" t="e">
        <f>AND(#REF!,"AAAAAE/8n8k=")</f>
        <v>#REF!</v>
      </c>
      <c r="GU211" t="e">
        <f>AND(#REF!,"AAAAAE/8n8o=")</f>
        <v>#REF!</v>
      </c>
      <c r="GV211" t="e">
        <f>AND(#REF!,"AAAAAE/8n8s=")</f>
        <v>#REF!</v>
      </c>
      <c r="GW211" t="e">
        <f>AND(#REF!,"AAAAAE/8n8w=")</f>
        <v>#REF!</v>
      </c>
      <c r="GX211" t="e">
        <f>AND(#REF!,"AAAAAE/8n80=")</f>
        <v>#REF!</v>
      </c>
      <c r="GY211" t="e">
        <f>AND(#REF!,"AAAAAE/8n84=")</f>
        <v>#REF!</v>
      </c>
      <c r="GZ211" t="e">
        <f>AND(#REF!,"AAAAAE/8n88=")</f>
        <v>#REF!</v>
      </c>
      <c r="HA211" t="e">
        <f>AND(#REF!,"AAAAAE/8n9A=")</f>
        <v>#REF!</v>
      </c>
      <c r="HB211" t="e">
        <f>AND(#REF!,"AAAAAE/8n9E=")</f>
        <v>#REF!</v>
      </c>
      <c r="HC211" t="e">
        <f>AND(#REF!,"AAAAAE/8n9I=")</f>
        <v>#REF!</v>
      </c>
      <c r="HD211" t="e">
        <f>AND(#REF!,"AAAAAE/8n9M=")</f>
        <v>#REF!</v>
      </c>
      <c r="HE211" t="e">
        <f>AND(#REF!,"AAAAAE/8n9Q=")</f>
        <v>#REF!</v>
      </c>
      <c r="HF211" t="e">
        <f>AND(#REF!,"AAAAAE/8n9U=")</f>
        <v>#REF!</v>
      </c>
      <c r="HG211" t="e">
        <f>AND(#REF!,"AAAAAE/8n9Y=")</f>
        <v>#REF!</v>
      </c>
      <c r="HH211" t="e">
        <f>AND(#REF!,"AAAAAE/8n9c=")</f>
        <v>#REF!</v>
      </c>
      <c r="HI211" t="e">
        <f>AND(#REF!,"AAAAAE/8n9g=")</f>
        <v>#REF!</v>
      </c>
      <c r="HJ211" t="e">
        <f>AND(#REF!,"AAAAAE/8n9k=")</f>
        <v>#REF!</v>
      </c>
      <c r="HK211" t="e">
        <f>IF(#REF!,"AAAAAE/8n9o=",0)</f>
        <v>#REF!</v>
      </c>
      <c r="HL211" t="e">
        <f>AND(#REF!,"AAAAAE/8n9s=")</f>
        <v>#REF!</v>
      </c>
      <c r="HM211" t="e">
        <f>AND(#REF!,"AAAAAE/8n9w=")</f>
        <v>#REF!</v>
      </c>
      <c r="HN211" t="e">
        <f>AND(#REF!,"AAAAAE/8n90=")</f>
        <v>#REF!</v>
      </c>
      <c r="HO211" t="e">
        <f>AND(#REF!,"AAAAAE/8n94=")</f>
        <v>#REF!</v>
      </c>
      <c r="HP211" t="e">
        <f>AND(#REF!,"AAAAAE/8n98=")</f>
        <v>#REF!</v>
      </c>
      <c r="HQ211" t="e">
        <f>AND(#REF!,"AAAAAE/8n+A=")</f>
        <v>#REF!</v>
      </c>
      <c r="HR211" t="e">
        <f>AND(#REF!,"AAAAAE/8n+E=")</f>
        <v>#REF!</v>
      </c>
      <c r="HS211" t="e">
        <f>AND(#REF!,"AAAAAE/8n+I=")</f>
        <v>#REF!</v>
      </c>
      <c r="HT211" t="e">
        <f>AND(#REF!,"AAAAAE/8n+M=")</f>
        <v>#REF!</v>
      </c>
      <c r="HU211" t="e">
        <f>AND(#REF!,"AAAAAE/8n+Q=")</f>
        <v>#REF!</v>
      </c>
      <c r="HV211" t="e">
        <f>AND(#REF!,"AAAAAE/8n+U=")</f>
        <v>#REF!</v>
      </c>
      <c r="HW211" t="e">
        <f>AND(#REF!,"AAAAAE/8n+Y=")</f>
        <v>#REF!</v>
      </c>
      <c r="HX211" t="e">
        <f>AND(#REF!,"AAAAAE/8n+c=")</f>
        <v>#REF!</v>
      </c>
      <c r="HY211" t="e">
        <f>AND(#REF!,"AAAAAE/8n+g=")</f>
        <v>#REF!</v>
      </c>
      <c r="HZ211" t="e">
        <f>AND(#REF!,"AAAAAE/8n+k=")</f>
        <v>#REF!</v>
      </c>
      <c r="IA211" t="e">
        <f>AND(#REF!,"AAAAAE/8n+o=")</f>
        <v>#REF!</v>
      </c>
      <c r="IB211" t="e">
        <f>AND(#REF!,"AAAAAE/8n+s=")</f>
        <v>#REF!</v>
      </c>
      <c r="IC211" t="e">
        <f>AND(#REF!,"AAAAAE/8n+w=")</f>
        <v>#REF!</v>
      </c>
      <c r="ID211" t="e">
        <f>AND(#REF!,"AAAAAE/8n+0=")</f>
        <v>#REF!</v>
      </c>
      <c r="IE211" t="e">
        <f>AND(#REF!,"AAAAAE/8n+4=")</f>
        <v>#REF!</v>
      </c>
      <c r="IF211" t="e">
        <f>AND(#REF!,"AAAAAE/8n+8=")</f>
        <v>#REF!</v>
      </c>
      <c r="IG211" t="e">
        <f>AND(#REF!,"AAAAAE/8n/A=")</f>
        <v>#REF!</v>
      </c>
      <c r="IH211" t="e">
        <f>AND(#REF!,"AAAAAE/8n/E=")</f>
        <v>#REF!</v>
      </c>
      <c r="II211" t="e">
        <f>AND(#REF!,"AAAAAE/8n/I=")</f>
        <v>#REF!</v>
      </c>
      <c r="IJ211" t="e">
        <f>AND(#REF!,"AAAAAE/8n/M=")</f>
        <v>#REF!</v>
      </c>
      <c r="IK211" t="e">
        <f>AND(#REF!,"AAAAAE/8n/Q=")</f>
        <v>#REF!</v>
      </c>
      <c r="IL211" t="e">
        <f>AND(#REF!,"AAAAAE/8n/U=")</f>
        <v>#REF!</v>
      </c>
      <c r="IM211" t="e">
        <f>AND(#REF!,"AAAAAE/8n/Y=")</f>
        <v>#REF!</v>
      </c>
      <c r="IN211" t="e">
        <f>AND(#REF!,"AAAAAE/8n/c=")</f>
        <v>#REF!</v>
      </c>
      <c r="IO211" t="e">
        <f>AND(#REF!,"AAAAAE/8n/g=")</f>
        <v>#REF!</v>
      </c>
      <c r="IP211" t="e">
        <f>AND(#REF!,"AAAAAE/8n/k=")</f>
        <v>#REF!</v>
      </c>
      <c r="IQ211" t="e">
        <f>AND(#REF!,"AAAAAE/8n/o=")</f>
        <v>#REF!</v>
      </c>
      <c r="IR211" t="e">
        <f>AND(#REF!,"AAAAAE/8n/s=")</f>
        <v>#REF!</v>
      </c>
      <c r="IS211" t="e">
        <f>AND(#REF!,"AAAAAE/8n/w=")</f>
        <v>#REF!</v>
      </c>
      <c r="IT211" t="e">
        <f>AND(#REF!,"AAAAAE/8n/0=")</f>
        <v>#REF!</v>
      </c>
      <c r="IU211" t="e">
        <f>AND(#REF!,"AAAAAE/8n/4=")</f>
        <v>#REF!</v>
      </c>
      <c r="IV211" t="e">
        <f>AND(#REF!,"AAAAAE/8n/8=")</f>
        <v>#REF!</v>
      </c>
    </row>
    <row r="212" spans="1:256">
      <c r="A212" t="e">
        <f>AND(#REF!,"AAAAAD/ukgA=")</f>
        <v>#REF!</v>
      </c>
      <c r="B212" t="e">
        <f>AND(#REF!,"AAAAAD/ukgE=")</f>
        <v>#REF!</v>
      </c>
      <c r="C212" t="e">
        <f>AND(#REF!,"AAAAAD/ukgI=")</f>
        <v>#REF!</v>
      </c>
      <c r="D212" t="e">
        <f>AND(#REF!,"AAAAAD/ukgM=")</f>
        <v>#REF!</v>
      </c>
      <c r="E212" t="e">
        <f>AND(#REF!,"AAAAAD/ukgQ=")</f>
        <v>#REF!</v>
      </c>
      <c r="F212" t="e">
        <f>AND(#REF!,"AAAAAD/ukgU=")</f>
        <v>#REF!</v>
      </c>
      <c r="G212" t="e">
        <f>AND(#REF!,"AAAAAD/ukgY=")</f>
        <v>#REF!</v>
      </c>
      <c r="H212" t="e">
        <f>AND(#REF!,"AAAAAD/ukgc=")</f>
        <v>#REF!</v>
      </c>
      <c r="I212" t="e">
        <f>AND(#REF!,"AAAAAD/ukgg=")</f>
        <v>#REF!</v>
      </c>
      <c r="J212" t="e">
        <f>AND(#REF!,"AAAAAD/ukgk=")</f>
        <v>#REF!</v>
      </c>
      <c r="K212" t="e">
        <f>AND(#REF!,"AAAAAD/ukgo=")</f>
        <v>#REF!</v>
      </c>
      <c r="L212" t="e">
        <f>AND(#REF!,"AAAAAD/ukgs=")</f>
        <v>#REF!</v>
      </c>
      <c r="M212" t="e">
        <f>AND(#REF!,"AAAAAD/ukgw=")</f>
        <v>#REF!</v>
      </c>
      <c r="N212" t="e">
        <f>AND(#REF!,"AAAAAD/ukg0=")</f>
        <v>#REF!</v>
      </c>
      <c r="O212" t="e">
        <f>AND(#REF!,"AAAAAD/ukg4=")</f>
        <v>#REF!</v>
      </c>
      <c r="P212" t="e">
        <f>AND(#REF!,"AAAAAD/ukg8=")</f>
        <v>#REF!</v>
      </c>
      <c r="Q212" t="e">
        <f>AND(#REF!,"AAAAAD/ukhA=")</f>
        <v>#REF!</v>
      </c>
      <c r="R212" t="e">
        <f>AND(#REF!,"AAAAAD/ukhE=")</f>
        <v>#REF!</v>
      </c>
      <c r="S212" t="e">
        <f>AND(#REF!,"AAAAAD/ukhI=")</f>
        <v>#REF!</v>
      </c>
      <c r="T212" t="e">
        <f>AND(#REF!,"AAAAAD/ukhM=")</f>
        <v>#REF!</v>
      </c>
      <c r="U212" t="e">
        <f>AND(#REF!,"AAAAAD/ukhQ=")</f>
        <v>#REF!</v>
      </c>
      <c r="V212" t="e">
        <f>AND(#REF!,"AAAAAD/ukhU=")</f>
        <v>#REF!</v>
      </c>
      <c r="W212" t="e">
        <f>AND(#REF!,"AAAAAD/ukhY=")</f>
        <v>#REF!</v>
      </c>
      <c r="X212" t="e">
        <f>AND(#REF!,"AAAAAD/ukhc=")</f>
        <v>#REF!</v>
      </c>
      <c r="Y212" t="e">
        <f>AND(#REF!,"AAAAAD/ukhg=")</f>
        <v>#REF!</v>
      </c>
      <c r="Z212" t="e">
        <f>AND(#REF!,"AAAAAD/ukhk=")</f>
        <v>#REF!</v>
      </c>
      <c r="AA212" t="e">
        <f>AND(#REF!,"AAAAAD/ukho=")</f>
        <v>#REF!</v>
      </c>
      <c r="AB212" t="e">
        <f>AND(#REF!,"AAAAAD/ukhs=")</f>
        <v>#REF!</v>
      </c>
      <c r="AC212" t="e">
        <f>AND(#REF!,"AAAAAD/ukhw=")</f>
        <v>#REF!</v>
      </c>
      <c r="AD212" t="e">
        <f>AND(#REF!,"AAAAAD/ukh0=")</f>
        <v>#REF!</v>
      </c>
      <c r="AE212" t="e">
        <f>AND(#REF!,"AAAAAD/ukh4=")</f>
        <v>#REF!</v>
      </c>
      <c r="AF212" t="e">
        <f>AND(#REF!,"AAAAAD/ukh8=")</f>
        <v>#REF!</v>
      </c>
      <c r="AG212" t="e">
        <f>AND(#REF!,"AAAAAD/ukiA=")</f>
        <v>#REF!</v>
      </c>
      <c r="AH212" t="e">
        <f>AND(#REF!,"AAAAAD/ukiE=")</f>
        <v>#REF!</v>
      </c>
      <c r="AI212" t="e">
        <f>AND(#REF!,"AAAAAD/ukiI=")</f>
        <v>#REF!</v>
      </c>
      <c r="AJ212" t="e">
        <f>AND(#REF!,"AAAAAD/ukiM=")</f>
        <v>#REF!</v>
      </c>
      <c r="AK212" t="e">
        <f>AND(#REF!,"AAAAAD/ukiQ=")</f>
        <v>#REF!</v>
      </c>
      <c r="AL212" t="e">
        <f>AND(#REF!,"AAAAAD/ukiU=")</f>
        <v>#REF!</v>
      </c>
      <c r="AM212" t="e">
        <f>AND(#REF!,"AAAAAD/ukiY=")</f>
        <v>#REF!</v>
      </c>
      <c r="AN212" t="e">
        <f>AND(#REF!,"AAAAAD/ukic=")</f>
        <v>#REF!</v>
      </c>
      <c r="AO212" t="e">
        <f>AND(#REF!,"AAAAAD/ukig=")</f>
        <v>#REF!</v>
      </c>
      <c r="AP212" t="e">
        <f>AND(#REF!,"AAAAAD/ukik=")</f>
        <v>#REF!</v>
      </c>
      <c r="AQ212" t="e">
        <f>AND(#REF!,"AAAAAD/ukio=")</f>
        <v>#REF!</v>
      </c>
      <c r="AR212" t="e">
        <f>AND(#REF!,"AAAAAD/ukis=")</f>
        <v>#REF!</v>
      </c>
      <c r="AS212" t="e">
        <f>AND(#REF!,"AAAAAD/ukiw=")</f>
        <v>#REF!</v>
      </c>
      <c r="AT212" t="e">
        <f>AND(#REF!,"AAAAAD/uki0=")</f>
        <v>#REF!</v>
      </c>
      <c r="AU212" t="e">
        <f>AND(#REF!,"AAAAAD/uki4=")</f>
        <v>#REF!</v>
      </c>
      <c r="AV212" t="e">
        <f>AND(#REF!,"AAAAAD/uki8=")</f>
        <v>#REF!</v>
      </c>
      <c r="AW212" t="e">
        <f>AND(#REF!,"AAAAAD/ukjA=")</f>
        <v>#REF!</v>
      </c>
      <c r="AX212" t="e">
        <f>AND(#REF!,"AAAAAD/ukjE=")</f>
        <v>#REF!</v>
      </c>
      <c r="AY212" t="e">
        <f>AND(#REF!,"AAAAAD/ukjI=")</f>
        <v>#REF!</v>
      </c>
      <c r="AZ212" t="e">
        <f>AND(#REF!,"AAAAAD/ukjM=")</f>
        <v>#REF!</v>
      </c>
      <c r="BA212" t="e">
        <f>AND(#REF!,"AAAAAD/ukjQ=")</f>
        <v>#REF!</v>
      </c>
      <c r="BB212" t="e">
        <f>AND(#REF!,"AAAAAD/ukjU=")</f>
        <v>#REF!</v>
      </c>
      <c r="BC212" t="e">
        <f>AND(#REF!,"AAAAAD/ukjY=")</f>
        <v>#REF!</v>
      </c>
      <c r="BD212" t="e">
        <f>AND(#REF!,"AAAAAD/ukjc=")</f>
        <v>#REF!</v>
      </c>
      <c r="BE212" t="e">
        <f>AND(#REF!,"AAAAAD/ukjg=")</f>
        <v>#REF!</v>
      </c>
      <c r="BF212" t="e">
        <f>AND(#REF!,"AAAAAD/ukjk=")</f>
        <v>#REF!</v>
      </c>
      <c r="BG212" t="e">
        <f>AND(#REF!,"AAAAAD/ukjo=")</f>
        <v>#REF!</v>
      </c>
      <c r="BH212" t="e">
        <f>AND(#REF!,"AAAAAD/ukjs=")</f>
        <v>#REF!</v>
      </c>
      <c r="BI212" t="e">
        <f>AND(#REF!,"AAAAAD/ukjw=")</f>
        <v>#REF!</v>
      </c>
      <c r="BJ212" t="e">
        <f>AND(#REF!,"AAAAAD/ukj0=")</f>
        <v>#REF!</v>
      </c>
      <c r="BK212" t="e">
        <f>AND(#REF!,"AAAAAD/ukj4=")</f>
        <v>#REF!</v>
      </c>
      <c r="BL212" t="e">
        <f>AND(#REF!,"AAAAAD/ukj8=")</f>
        <v>#REF!</v>
      </c>
      <c r="BM212" t="e">
        <f>AND(#REF!,"AAAAAD/ukkA=")</f>
        <v>#REF!</v>
      </c>
      <c r="BN212" t="e">
        <f>AND(#REF!,"AAAAAD/ukkE=")</f>
        <v>#REF!</v>
      </c>
      <c r="BO212" t="e">
        <f>AND(#REF!,"AAAAAD/ukkI=")</f>
        <v>#REF!</v>
      </c>
      <c r="BP212" t="e">
        <f>AND(#REF!,"AAAAAD/ukkM=")</f>
        <v>#REF!</v>
      </c>
      <c r="BQ212" t="e">
        <f>AND(#REF!,"AAAAAD/ukkQ=")</f>
        <v>#REF!</v>
      </c>
      <c r="BR212" t="e">
        <f>AND(#REF!,"AAAAAD/ukkU=")</f>
        <v>#REF!</v>
      </c>
      <c r="BS212" t="e">
        <f>AND(#REF!,"AAAAAD/ukkY=")</f>
        <v>#REF!</v>
      </c>
      <c r="BT212" t="e">
        <f>AND(#REF!,"AAAAAD/ukkc=")</f>
        <v>#REF!</v>
      </c>
      <c r="BU212" t="e">
        <f>AND(#REF!,"AAAAAD/ukkg=")</f>
        <v>#REF!</v>
      </c>
      <c r="BV212" t="e">
        <f>AND(#REF!,"AAAAAD/ukkk=")</f>
        <v>#REF!</v>
      </c>
      <c r="BW212" t="e">
        <f>AND(#REF!,"AAAAAD/ukko=")</f>
        <v>#REF!</v>
      </c>
      <c r="BX212" t="e">
        <f>AND(#REF!,"AAAAAD/ukks=")</f>
        <v>#REF!</v>
      </c>
      <c r="BY212" t="e">
        <f>AND(#REF!,"AAAAAD/ukkw=")</f>
        <v>#REF!</v>
      </c>
      <c r="BZ212" t="e">
        <f>AND(#REF!,"AAAAAD/ukk0=")</f>
        <v>#REF!</v>
      </c>
      <c r="CA212" t="e">
        <f>AND(#REF!,"AAAAAD/ukk4=")</f>
        <v>#REF!</v>
      </c>
      <c r="CB212" t="e">
        <f>AND(#REF!,"AAAAAD/ukk8=")</f>
        <v>#REF!</v>
      </c>
      <c r="CC212" t="e">
        <f>AND(#REF!,"AAAAAD/uklA=")</f>
        <v>#REF!</v>
      </c>
      <c r="CD212" t="e">
        <f>AND(#REF!,"AAAAAD/uklE=")</f>
        <v>#REF!</v>
      </c>
      <c r="CE212" t="e">
        <f>AND(#REF!,"AAAAAD/uklI=")</f>
        <v>#REF!</v>
      </c>
      <c r="CF212" t="e">
        <f>AND(#REF!,"AAAAAD/uklM=")</f>
        <v>#REF!</v>
      </c>
      <c r="CG212" t="e">
        <f>AND(#REF!,"AAAAAD/uklQ=")</f>
        <v>#REF!</v>
      </c>
      <c r="CH212" t="e">
        <f>AND(#REF!,"AAAAAD/uklU=")</f>
        <v>#REF!</v>
      </c>
      <c r="CI212" t="e">
        <f>AND(#REF!,"AAAAAD/uklY=")</f>
        <v>#REF!</v>
      </c>
      <c r="CJ212" t="e">
        <f>AND(#REF!,"AAAAAD/uklc=")</f>
        <v>#REF!</v>
      </c>
      <c r="CK212" t="e">
        <f>AND(#REF!,"AAAAAD/uklg=")</f>
        <v>#REF!</v>
      </c>
      <c r="CL212" t="e">
        <f>AND(#REF!,"AAAAAD/uklk=")</f>
        <v>#REF!</v>
      </c>
      <c r="CM212" t="e">
        <f>AND(#REF!,"AAAAAD/uklo=")</f>
        <v>#REF!</v>
      </c>
      <c r="CN212" t="e">
        <f>AND(#REF!,"AAAAAD/ukls=")</f>
        <v>#REF!</v>
      </c>
      <c r="CO212" t="e">
        <f>AND(#REF!,"AAAAAD/uklw=")</f>
        <v>#REF!</v>
      </c>
      <c r="CP212" t="e">
        <f>AND(#REF!,"AAAAAD/ukl0=")</f>
        <v>#REF!</v>
      </c>
      <c r="CQ212" t="e">
        <f>AND(#REF!,"AAAAAD/ukl4=")</f>
        <v>#REF!</v>
      </c>
      <c r="CR212" t="e">
        <f>AND(#REF!,"AAAAAD/ukl8=")</f>
        <v>#REF!</v>
      </c>
      <c r="CS212" t="e">
        <f>AND(#REF!,"AAAAAD/ukmA=")</f>
        <v>#REF!</v>
      </c>
      <c r="CT212" t="e">
        <f>AND(#REF!,"AAAAAD/ukmE=")</f>
        <v>#REF!</v>
      </c>
      <c r="CU212" t="e">
        <f>AND(#REF!,"AAAAAD/ukmI=")</f>
        <v>#REF!</v>
      </c>
      <c r="CV212" t="e">
        <f>AND(#REF!,"AAAAAD/ukmM=")</f>
        <v>#REF!</v>
      </c>
      <c r="CW212" t="e">
        <f>AND(#REF!,"AAAAAD/ukmQ=")</f>
        <v>#REF!</v>
      </c>
      <c r="CX212" t="e">
        <f>AND(#REF!,"AAAAAD/ukmU=")</f>
        <v>#REF!</v>
      </c>
      <c r="CY212" t="e">
        <f>AND(#REF!,"AAAAAD/ukmY=")</f>
        <v>#REF!</v>
      </c>
      <c r="CZ212" t="e">
        <f>AND(#REF!,"AAAAAD/ukmc=")</f>
        <v>#REF!</v>
      </c>
      <c r="DA212" t="e">
        <f>AND(#REF!,"AAAAAD/ukmg=")</f>
        <v>#REF!</v>
      </c>
      <c r="DB212" t="e">
        <f>AND(#REF!,"AAAAAD/ukmk=")</f>
        <v>#REF!</v>
      </c>
      <c r="DC212" t="e">
        <f>AND(#REF!,"AAAAAD/ukmo=")</f>
        <v>#REF!</v>
      </c>
      <c r="DD212" t="e">
        <f>AND(#REF!,"AAAAAD/ukms=")</f>
        <v>#REF!</v>
      </c>
      <c r="DE212" t="e">
        <f>AND(#REF!,"AAAAAD/ukmw=")</f>
        <v>#REF!</v>
      </c>
      <c r="DF212" t="e">
        <f>AND(#REF!,"AAAAAD/ukm0=")</f>
        <v>#REF!</v>
      </c>
      <c r="DG212" t="e">
        <f>AND(#REF!,"AAAAAD/ukm4=")</f>
        <v>#REF!</v>
      </c>
      <c r="DH212" t="e">
        <f>AND(#REF!,"AAAAAD/ukm8=")</f>
        <v>#REF!</v>
      </c>
      <c r="DI212" t="e">
        <f>AND(#REF!,"AAAAAD/uknA=")</f>
        <v>#REF!</v>
      </c>
      <c r="DJ212" t="e">
        <f>AND(#REF!,"AAAAAD/uknE=")</f>
        <v>#REF!</v>
      </c>
      <c r="DK212" t="e">
        <f>AND(#REF!,"AAAAAD/uknI=")</f>
        <v>#REF!</v>
      </c>
      <c r="DL212" t="e">
        <f>AND(#REF!,"AAAAAD/uknM=")</f>
        <v>#REF!</v>
      </c>
      <c r="DM212" t="e">
        <f>AND(#REF!,"AAAAAD/uknQ=")</f>
        <v>#REF!</v>
      </c>
      <c r="DN212" t="e">
        <f>AND(#REF!,"AAAAAD/uknU=")</f>
        <v>#REF!</v>
      </c>
      <c r="DO212" t="e">
        <f>AND(#REF!,"AAAAAD/uknY=")</f>
        <v>#REF!</v>
      </c>
      <c r="DP212" t="e">
        <f>AND(#REF!,"AAAAAD/uknc=")</f>
        <v>#REF!</v>
      </c>
      <c r="DQ212" t="e">
        <f>AND(#REF!,"AAAAAD/ukng=")</f>
        <v>#REF!</v>
      </c>
      <c r="DR212" t="e">
        <f>AND(#REF!,"AAAAAD/uknk=")</f>
        <v>#REF!</v>
      </c>
      <c r="DS212" t="e">
        <f>AND(#REF!,"AAAAAD/ukno=")</f>
        <v>#REF!</v>
      </c>
      <c r="DT212" t="e">
        <f>AND(#REF!,"AAAAAD/ukns=")</f>
        <v>#REF!</v>
      </c>
      <c r="DU212" t="e">
        <f>AND(#REF!,"AAAAAD/uknw=")</f>
        <v>#REF!</v>
      </c>
      <c r="DV212" t="e">
        <f>AND(#REF!,"AAAAAD/ukn0=")</f>
        <v>#REF!</v>
      </c>
      <c r="DW212" t="e">
        <f>AND(#REF!,"AAAAAD/ukn4=")</f>
        <v>#REF!</v>
      </c>
      <c r="DX212" t="e">
        <f>AND(#REF!,"AAAAAD/ukn8=")</f>
        <v>#REF!</v>
      </c>
      <c r="DY212" t="e">
        <f>AND(#REF!,"AAAAAD/ukoA=")</f>
        <v>#REF!</v>
      </c>
      <c r="DZ212" t="e">
        <f>AND(#REF!,"AAAAAD/ukoE=")</f>
        <v>#REF!</v>
      </c>
      <c r="EA212" t="e">
        <f>AND(#REF!,"AAAAAD/ukoI=")</f>
        <v>#REF!</v>
      </c>
      <c r="EB212" t="e">
        <f>AND(#REF!,"AAAAAD/ukoM=")</f>
        <v>#REF!</v>
      </c>
      <c r="EC212" t="e">
        <f>AND(#REF!,"AAAAAD/ukoQ=")</f>
        <v>#REF!</v>
      </c>
      <c r="ED212" t="e">
        <f>AND(#REF!,"AAAAAD/ukoU=")</f>
        <v>#REF!</v>
      </c>
      <c r="EE212" t="e">
        <f>AND(#REF!,"AAAAAD/ukoY=")</f>
        <v>#REF!</v>
      </c>
      <c r="EF212" t="e">
        <f>AND(#REF!,"AAAAAD/ukoc=")</f>
        <v>#REF!</v>
      </c>
      <c r="EG212" t="e">
        <f>AND(#REF!,"AAAAAD/ukog=")</f>
        <v>#REF!</v>
      </c>
      <c r="EH212" t="e">
        <f>AND(#REF!,"AAAAAD/ukok=")</f>
        <v>#REF!</v>
      </c>
      <c r="EI212" t="e">
        <f>AND(#REF!,"AAAAAD/ukoo=")</f>
        <v>#REF!</v>
      </c>
      <c r="EJ212" t="e">
        <f>AND(#REF!,"AAAAAD/ukos=")</f>
        <v>#REF!</v>
      </c>
      <c r="EK212" t="e">
        <f>AND(#REF!,"AAAAAD/ukow=")</f>
        <v>#REF!</v>
      </c>
      <c r="EL212" t="e">
        <f>AND(#REF!,"AAAAAD/uko0=")</f>
        <v>#REF!</v>
      </c>
      <c r="EM212" t="e">
        <f>AND(#REF!,"AAAAAD/uko4=")</f>
        <v>#REF!</v>
      </c>
      <c r="EN212" t="e">
        <f>AND(#REF!,"AAAAAD/uko8=")</f>
        <v>#REF!</v>
      </c>
      <c r="EO212" t="e">
        <f>AND(#REF!,"AAAAAD/ukpA=")</f>
        <v>#REF!</v>
      </c>
      <c r="EP212" t="e">
        <f>AND(#REF!,"AAAAAD/ukpE=")</f>
        <v>#REF!</v>
      </c>
      <c r="EQ212" t="e">
        <f>AND(#REF!,"AAAAAD/ukpI=")</f>
        <v>#REF!</v>
      </c>
      <c r="ER212" t="e">
        <f>AND(#REF!,"AAAAAD/ukpM=")</f>
        <v>#REF!</v>
      </c>
      <c r="ES212" t="e">
        <f>AND(#REF!,"AAAAAD/ukpQ=")</f>
        <v>#REF!</v>
      </c>
      <c r="ET212" t="e">
        <f>AND(#REF!,"AAAAAD/ukpU=")</f>
        <v>#REF!</v>
      </c>
      <c r="EU212" t="e">
        <f>AND(#REF!,"AAAAAD/ukpY=")</f>
        <v>#REF!</v>
      </c>
      <c r="EV212" t="e">
        <f>AND(#REF!,"AAAAAD/ukpc=")</f>
        <v>#REF!</v>
      </c>
      <c r="EW212" t="e">
        <f>AND(#REF!,"AAAAAD/ukpg=")</f>
        <v>#REF!</v>
      </c>
      <c r="EX212" t="e">
        <f>AND(#REF!,"AAAAAD/ukpk=")</f>
        <v>#REF!</v>
      </c>
      <c r="EY212" t="e">
        <f>AND(#REF!,"AAAAAD/ukpo=")</f>
        <v>#REF!</v>
      </c>
      <c r="EZ212" t="e">
        <f>AND(#REF!,"AAAAAD/ukps=")</f>
        <v>#REF!</v>
      </c>
      <c r="FA212" t="e">
        <f>AND(#REF!,"AAAAAD/ukpw=")</f>
        <v>#REF!</v>
      </c>
      <c r="FB212" t="e">
        <f>AND(#REF!,"AAAAAD/ukp0=")</f>
        <v>#REF!</v>
      </c>
      <c r="FC212" t="e">
        <f>AND(#REF!,"AAAAAD/ukp4=")</f>
        <v>#REF!</v>
      </c>
      <c r="FD212" t="e">
        <f>AND(#REF!,"AAAAAD/ukp8=")</f>
        <v>#REF!</v>
      </c>
      <c r="FE212" t="e">
        <f>AND(#REF!,"AAAAAD/ukqA=")</f>
        <v>#REF!</v>
      </c>
      <c r="FF212" t="e">
        <f>AND(#REF!,"AAAAAD/ukqE=")</f>
        <v>#REF!</v>
      </c>
      <c r="FG212" t="e">
        <f>AND(#REF!,"AAAAAD/ukqI=")</f>
        <v>#REF!</v>
      </c>
      <c r="FH212" t="e">
        <f>AND(#REF!,"AAAAAD/ukqM=")</f>
        <v>#REF!</v>
      </c>
      <c r="FI212" t="e">
        <f>AND(#REF!,"AAAAAD/ukqQ=")</f>
        <v>#REF!</v>
      </c>
      <c r="FJ212" t="e">
        <f>AND(#REF!,"AAAAAD/ukqU=")</f>
        <v>#REF!</v>
      </c>
      <c r="FK212" t="e">
        <f>AND(#REF!,"AAAAAD/ukqY=")</f>
        <v>#REF!</v>
      </c>
      <c r="FL212" t="e">
        <f>AND(#REF!,"AAAAAD/ukqc=")</f>
        <v>#REF!</v>
      </c>
      <c r="FM212" t="e">
        <f>AND(#REF!,"AAAAAD/ukqg=")</f>
        <v>#REF!</v>
      </c>
      <c r="FN212" t="e">
        <f>AND(#REF!,"AAAAAD/ukqk=")</f>
        <v>#REF!</v>
      </c>
      <c r="FO212" t="e">
        <f>AND(#REF!,"AAAAAD/ukqo=")</f>
        <v>#REF!</v>
      </c>
      <c r="FP212" t="e">
        <f>AND(#REF!,"AAAAAD/ukqs=")</f>
        <v>#REF!</v>
      </c>
      <c r="FQ212" t="e">
        <f>AND(#REF!,"AAAAAD/ukqw=")</f>
        <v>#REF!</v>
      </c>
      <c r="FR212" t="e">
        <f>AND(#REF!,"AAAAAD/ukq0=")</f>
        <v>#REF!</v>
      </c>
      <c r="FS212" t="e">
        <f>AND(#REF!,"AAAAAD/ukq4=")</f>
        <v>#REF!</v>
      </c>
      <c r="FT212" t="e">
        <f>AND(#REF!,"AAAAAD/ukq8=")</f>
        <v>#REF!</v>
      </c>
      <c r="FU212" t="e">
        <f>AND(#REF!,"AAAAAD/ukrA=")</f>
        <v>#REF!</v>
      </c>
      <c r="FV212" t="e">
        <f>AND(#REF!,"AAAAAD/ukrE=")</f>
        <v>#REF!</v>
      </c>
      <c r="FW212" t="e">
        <f>AND(#REF!,"AAAAAD/ukrI=")</f>
        <v>#REF!</v>
      </c>
      <c r="FX212" t="e">
        <f>AND(#REF!,"AAAAAD/ukrM=")</f>
        <v>#REF!</v>
      </c>
      <c r="FY212" t="e">
        <f>AND(#REF!,"AAAAAD/ukrQ=")</f>
        <v>#REF!</v>
      </c>
      <c r="FZ212" t="e">
        <f>AND(#REF!,"AAAAAD/ukrU=")</f>
        <v>#REF!</v>
      </c>
      <c r="GA212" t="e">
        <f>AND(#REF!,"AAAAAD/ukrY=")</f>
        <v>#REF!</v>
      </c>
      <c r="GB212" t="e">
        <f>AND(#REF!,"AAAAAD/ukrc=")</f>
        <v>#REF!</v>
      </c>
      <c r="GC212" t="e">
        <f>AND(#REF!,"AAAAAD/ukrg=")</f>
        <v>#REF!</v>
      </c>
      <c r="GD212" t="e">
        <f>AND(#REF!,"AAAAAD/ukrk=")</f>
        <v>#REF!</v>
      </c>
      <c r="GE212" t="e">
        <f>AND(#REF!,"AAAAAD/ukro=")</f>
        <v>#REF!</v>
      </c>
      <c r="GF212" t="e">
        <f>AND(#REF!,"AAAAAD/ukrs=")</f>
        <v>#REF!</v>
      </c>
      <c r="GG212" t="e">
        <f>AND(#REF!,"AAAAAD/ukrw=")</f>
        <v>#REF!</v>
      </c>
      <c r="GH212" t="e">
        <f>AND(#REF!,"AAAAAD/ukr0=")</f>
        <v>#REF!</v>
      </c>
      <c r="GI212" t="e">
        <f>IF(#REF!,"AAAAAD/ukr4=",0)</f>
        <v>#REF!</v>
      </c>
      <c r="GJ212" t="e">
        <f>AND(#REF!,"AAAAAD/ukr8=")</f>
        <v>#REF!</v>
      </c>
      <c r="GK212" t="e">
        <f>AND(#REF!,"AAAAAD/uksA=")</f>
        <v>#REF!</v>
      </c>
      <c r="GL212" t="e">
        <f>AND(#REF!,"AAAAAD/uksE=")</f>
        <v>#REF!</v>
      </c>
      <c r="GM212" t="e">
        <f>AND(#REF!,"AAAAAD/uksI=")</f>
        <v>#REF!</v>
      </c>
      <c r="GN212" t="e">
        <f>AND(#REF!,"AAAAAD/uksM=")</f>
        <v>#REF!</v>
      </c>
      <c r="GO212" t="e">
        <f>AND(#REF!,"AAAAAD/uksQ=")</f>
        <v>#REF!</v>
      </c>
      <c r="GP212" t="e">
        <f>AND(#REF!,"AAAAAD/uksU=")</f>
        <v>#REF!</v>
      </c>
      <c r="GQ212" t="e">
        <f>AND(#REF!,"AAAAAD/uksY=")</f>
        <v>#REF!</v>
      </c>
      <c r="GR212" t="e">
        <f>AND(#REF!,"AAAAAD/uksc=")</f>
        <v>#REF!</v>
      </c>
      <c r="GS212" t="e">
        <f>AND(#REF!,"AAAAAD/uksg=")</f>
        <v>#REF!</v>
      </c>
      <c r="GT212" t="e">
        <f>AND(#REF!,"AAAAAD/uksk=")</f>
        <v>#REF!</v>
      </c>
      <c r="GU212" t="e">
        <f>AND(#REF!,"AAAAAD/ukso=")</f>
        <v>#REF!</v>
      </c>
      <c r="GV212" t="e">
        <f>AND(#REF!,"AAAAAD/ukss=")</f>
        <v>#REF!</v>
      </c>
      <c r="GW212" t="e">
        <f>AND(#REF!,"AAAAAD/uksw=")</f>
        <v>#REF!</v>
      </c>
      <c r="GX212" t="e">
        <f>AND(#REF!,"AAAAAD/uks0=")</f>
        <v>#REF!</v>
      </c>
      <c r="GY212" t="e">
        <f>AND(#REF!,"AAAAAD/uks4=")</f>
        <v>#REF!</v>
      </c>
      <c r="GZ212" t="e">
        <f>AND(#REF!,"AAAAAD/uks8=")</f>
        <v>#REF!</v>
      </c>
      <c r="HA212" t="e">
        <f>AND(#REF!,"AAAAAD/uktA=")</f>
        <v>#REF!</v>
      </c>
      <c r="HB212" t="e">
        <f>AND(#REF!,"AAAAAD/uktE=")</f>
        <v>#REF!</v>
      </c>
      <c r="HC212" t="e">
        <f>AND(#REF!,"AAAAAD/uktI=")</f>
        <v>#REF!</v>
      </c>
      <c r="HD212" t="e">
        <f>AND(#REF!,"AAAAAD/uktM=")</f>
        <v>#REF!</v>
      </c>
      <c r="HE212" t="e">
        <f>AND(#REF!,"AAAAAD/uktQ=")</f>
        <v>#REF!</v>
      </c>
      <c r="HF212" t="e">
        <f>AND(#REF!,"AAAAAD/uktU=")</f>
        <v>#REF!</v>
      </c>
      <c r="HG212" t="e">
        <f>AND(#REF!,"AAAAAD/uktY=")</f>
        <v>#REF!</v>
      </c>
      <c r="HH212" t="e">
        <f>AND(#REF!,"AAAAAD/uktc=")</f>
        <v>#REF!</v>
      </c>
      <c r="HI212" t="e">
        <f>AND(#REF!,"AAAAAD/uktg=")</f>
        <v>#REF!</v>
      </c>
      <c r="HJ212" t="e">
        <f>AND(#REF!,"AAAAAD/uktk=")</f>
        <v>#REF!</v>
      </c>
      <c r="HK212" t="e">
        <f>AND(#REF!,"AAAAAD/ukto=")</f>
        <v>#REF!</v>
      </c>
      <c r="HL212" t="e">
        <f>AND(#REF!,"AAAAAD/ukts=")</f>
        <v>#REF!</v>
      </c>
      <c r="HM212" t="e">
        <f>AND(#REF!,"AAAAAD/uktw=")</f>
        <v>#REF!</v>
      </c>
      <c r="HN212" t="e">
        <f>AND(#REF!,"AAAAAD/ukt0=")</f>
        <v>#REF!</v>
      </c>
      <c r="HO212" t="e">
        <f>AND(#REF!,"AAAAAD/ukt4=")</f>
        <v>#REF!</v>
      </c>
      <c r="HP212" t="e">
        <f>AND(#REF!,"AAAAAD/ukt8=")</f>
        <v>#REF!</v>
      </c>
      <c r="HQ212" t="e">
        <f>AND(#REF!,"AAAAAD/ukuA=")</f>
        <v>#REF!</v>
      </c>
      <c r="HR212" t="e">
        <f>AND(#REF!,"AAAAAD/ukuE=")</f>
        <v>#REF!</v>
      </c>
      <c r="HS212" t="e">
        <f>AND(#REF!,"AAAAAD/ukuI=")</f>
        <v>#REF!</v>
      </c>
      <c r="HT212" t="e">
        <f>AND(#REF!,"AAAAAD/ukuM=")</f>
        <v>#REF!</v>
      </c>
      <c r="HU212" t="e">
        <f>AND(#REF!,"AAAAAD/ukuQ=")</f>
        <v>#REF!</v>
      </c>
      <c r="HV212" t="e">
        <f>AND(#REF!,"AAAAAD/ukuU=")</f>
        <v>#REF!</v>
      </c>
      <c r="HW212" t="e">
        <f>AND(#REF!,"AAAAAD/ukuY=")</f>
        <v>#REF!</v>
      </c>
      <c r="HX212" t="e">
        <f>AND(#REF!,"AAAAAD/ukuc=")</f>
        <v>#REF!</v>
      </c>
      <c r="HY212" t="e">
        <f>AND(#REF!,"AAAAAD/ukug=")</f>
        <v>#REF!</v>
      </c>
      <c r="HZ212" t="e">
        <f>AND(#REF!,"AAAAAD/ukuk=")</f>
        <v>#REF!</v>
      </c>
      <c r="IA212" t="e">
        <f>AND(#REF!,"AAAAAD/ukuo=")</f>
        <v>#REF!</v>
      </c>
      <c r="IB212" t="e">
        <f>AND(#REF!,"AAAAAD/ukus=")</f>
        <v>#REF!</v>
      </c>
      <c r="IC212" t="e">
        <f>AND(#REF!,"AAAAAD/ukuw=")</f>
        <v>#REF!</v>
      </c>
      <c r="ID212" t="e">
        <f>AND(#REF!,"AAAAAD/uku0=")</f>
        <v>#REF!</v>
      </c>
      <c r="IE212" t="e">
        <f>AND(#REF!,"AAAAAD/uku4=")</f>
        <v>#REF!</v>
      </c>
      <c r="IF212" t="e">
        <f>AND(#REF!,"AAAAAD/uku8=")</f>
        <v>#REF!</v>
      </c>
      <c r="IG212" t="e">
        <f>AND(#REF!,"AAAAAD/ukvA=")</f>
        <v>#REF!</v>
      </c>
      <c r="IH212" t="e">
        <f>AND(#REF!,"AAAAAD/ukvE=")</f>
        <v>#REF!</v>
      </c>
      <c r="II212" t="e">
        <f>AND(#REF!,"AAAAAD/ukvI=")</f>
        <v>#REF!</v>
      </c>
      <c r="IJ212" t="e">
        <f>AND(#REF!,"AAAAAD/ukvM=")</f>
        <v>#REF!</v>
      </c>
      <c r="IK212" t="e">
        <f>AND(#REF!,"AAAAAD/ukvQ=")</f>
        <v>#REF!</v>
      </c>
      <c r="IL212" t="e">
        <f>AND(#REF!,"AAAAAD/ukvU=")</f>
        <v>#REF!</v>
      </c>
      <c r="IM212" t="e">
        <f>AND(#REF!,"AAAAAD/ukvY=")</f>
        <v>#REF!</v>
      </c>
      <c r="IN212" t="e">
        <f>AND(#REF!,"AAAAAD/ukvc=")</f>
        <v>#REF!</v>
      </c>
      <c r="IO212" t="e">
        <f>AND(#REF!,"AAAAAD/ukvg=")</f>
        <v>#REF!</v>
      </c>
      <c r="IP212" t="e">
        <f>AND(#REF!,"AAAAAD/ukvk=")</f>
        <v>#REF!</v>
      </c>
      <c r="IQ212" t="e">
        <f>AND(#REF!,"AAAAAD/ukvo=")</f>
        <v>#REF!</v>
      </c>
      <c r="IR212" t="e">
        <f>AND(#REF!,"AAAAAD/ukvs=")</f>
        <v>#REF!</v>
      </c>
      <c r="IS212" t="e">
        <f>AND(#REF!,"AAAAAD/ukvw=")</f>
        <v>#REF!</v>
      </c>
      <c r="IT212" t="e">
        <f>AND(#REF!,"AAAAAD/ukv0=")</f>
        <v>#REF!</v>
      </c>
      <c r="IU212" t="e">
        <f>AND(#REF!,"AAAAAD/ukv4=")</f>
        <v>#REF!</v>
      </c>
      <c r="IV212" t="e">
        <f>AND(#REF!,"AAAAAD/ukv8=")</f>
        <v>#REF!</v>
      </c>
    </row>
    <row r="213" spans="1:256">
      <c r="A213" t="e">
        <f>AND(#REF!,"AAAAAH7r7wA=")</f>
        <v>#REF!</v>
      </c>
      <c r="B213" t="e">
        <f>AND(#REF!,"AAAAAH7r7wE=")</f>
        <v>#REF!</v>
      </c>
      <c r="C213" t="e">
        <f>AND(#REF!,"AAAAAH7r7wI=")</f>
        <v>#REF!</v>
      </c>
      <c r="D213" t="e">
        <f>AND(#REF!,"AAAAAH7r7wM=")</f>
        <v>#REF!</v>
      </c>
      <c r="E213" t="e">
        <f>AND(#REF!,"AAAAAH7r7wQ=")</f>
        <v>#REF!</v>
      </c>
      <c r="F213" t="e">
        <f>AND(#REF!,"AAAAAH7r7wU=")</f>
        <v>#REF!</v>
      </c>
      <c r="G213" t="e">
        <f>AND(#REF!,"AAAAAH7r7wY=")</f>
        <v>#REF!</v>
      </c>
      <c r="H213" t="e">
        <f>AND(#REF!,"AAAAAH7r7wc=")</f>
        <v>#REF!</v>
      </c>
      <c r="I213" t="e">
        <f>AND(#REF!,"AAAAAH7r7wg=")</f>
        <v>#REF!</v>
      </c>
      <c r="J213" t="e">
        <f>AND(#REF!,"AAAAAH7r7wk=")</f>
        <v>#REF!</v>
      </c>
      <c r="K213" t="e">
        <f>AND(#REF!,"AAAAAH7r7wo=")</f>
        <v>#REF!</v>
      </c>
      <c r="L213" t="e">
        <f>AND(#REF!,"AAAAAH7r7ws=")</f>
        <v>#REF!</v>
      </c>
      <c r="M213" t="e">
        <f>AND(#REF!,"AAAAAH7r7ww=")</f>
        <v>#REF!</v>
      </c>
      <c r="N213" t="e">
        <f>AND(#REF!,"AAAAAH7r7w0=")</f>
        <v>#REF!</v>
      </c>
      <c r="O213" t="e">
        <f>AND(#REF!,"AAAAAH7r7w4=")</f>
        <v>#REF!</v>
      </c>
      <c r="P213" t="e">
        <f>AND(#REF!,"AAAAAH7r7w8=")</f>
        <v>#REF!</v>
      </c>
      <c r="Q213" t="e">
        <f>AND(#REF!,"AAAAAH7r7xA=")</f>
        <v>#REF!</v>
      </c>
      <c r="R213" t="e">
        <f>AND(#REF!,"AAAAAH7r7xE=")</f>
        <v>#REF!</v>
      </c>
      <c r="S213" t="e">
        <f>AND(#REF!,"AAAAAH7r7xI=")</f>
        <v>#REF!</v>
      </c>
      <c r="T213" t="e">
        <f>AND(#REF!,"AAAAAH7r7xM=")</f>
        <v>#REF!</v>
      </c>
      <c r="U213" t="e">
        <f>AND(#REF!,"AAAAAH7r7xQ=")</f>
        <v>#REF!</v>
      </c>
      <c r="V213" t="e">
        <f>AND(#REF!,"AAAAAH7r7xU=")</f>
        <v>#REF!</v>
      </c>
      <c r="W213" t="e">
        <f>AND(#REF!,"AAAAAH7r7xY=")</f>
        <v>#REF!</v>
      </c>
      <c r="X213" t="e">
        <f>AND(#REF!,"AAAAAH7r7xc=")</f>
        <v>#REF!</v>
      </c>
      <c r="Y213" t="e">
        <f>AND(#REF!,"AAAAAH7r7xg=")</f>
        <v>#REF!</v>
      </c>
      <c r="Z213" t="e">
        <f>AND(#REF!,"AAAAAH7r7xk=")</f>
        <v>#REF!</v>
      </c>
      <c r="AA213" t="e">
        <f>AND(#REF!,"AAAAAH7r7xo=")</f>
        <v>#REF!</v>
      </c>
      <c r="AB213" t="e">
        <f>AND(#REF!,"AAAAAH7r7xs=")</f>
        <v>#REF!</v>
      </c>
      <c r="AC213" t="e">
        <f>AND(#REF!,"AAAAAH7r7xw=")</f>
        <v>#REF!</v>
      </c>
      <c r="AD213" t="e">
        <f>AND(#REF!,"AAAAAH7r7x0=")</f>
        <v>#REF!</v>
      </c>
      <c r="AE213" t="e">
        <f>AND(#REF!,"AAAAAH7r7x4=")</f>
        <v>#REF!</v>
      </c>
      <c r="AF213" t="e">
        <f>AND(#REF!,"AAAAAH7r7x8=")</f>
        <v>#REF!</v>
      </c>
      <c r="AG213" t="e">
        <f>AND(#REF!,"AAAAAH7r7yA=")</f>
        <v>#REF!</v>
      </c>
      <c r="AH213" t="e">
        <f>AND(#REF!,"AAAAAH7r7yE=")</f>
        <v>#REF!</v>
      </c>
      <c r="AI213" t="e">
        <f>AND(#REF!,"AAAAAH7r7yI=")</f>
        <v>#REF!</v>
      </c>
      <c r="AJ213" t="e">
        <f>AND(#REF!,"AAAAAH7r7yM=")</f>
        <v>#REF!</v>
      </c>
      <c r="AK213" t="e">
        <f>AND(#REF!,"AAAAAH7r7yQ=")</f>
        <v>#REF!</v>
      </c>
      <c r="AL213" t="e">
        <f>AND(#REF!,"AAAAAH7r7yU=")</f>
        <v>#REF!</v>
      </c>
      <c r="AM213" t="e">
        <f>AND(#REF!,"AAAAAH7r7yY=")</f>
        <v>#REF!</v>
      </c>
      <c r="AN213" t="e">
        <f>AND(#REF!,"AAAAAH7r7yc=")</f>
        <v>#REF!</v>
      </c>
      <c r="AO213" t="e">
        <f>AND(#REF!,"AAAAAH7r7yg=")</f>
        <v>#REF!</v>
      </c>
      <c r="AP213" t="e">
        <f>AND(#REF!,"AAAAAH7r7yk=")</f>
        <v>#REF!</v>
      </c>
      <c r="AQ213" t="e">
        <f>AND(#REF!,"AAAAAH7r7yo=")</f>
        <v>#REF!</v>
      </c>
      <c r="AR213" t="e">
        <f>AND(#REF!,"AAAAAH7r7ys=")</f>
        <v>#REF!</v>
      </c>
      <c r="AS213" t="e">
        <f>AND(#REF!,"AAAAAH7r7yw=")</f>
        <v>#REF!</v>
      </c>
      <c r="AT213" t="e">
        <f>AND(#REF!,"AAAAAH7r7y0=")</f>
        <v>#REF!</v>
      </c>
      <c r="AU213" t="e">
        <f>AND(#REF!,"AAAAAH7r7y4=")</f>
        <v>#REF!</v>
      </c>
      <c r="AV213" t="e">
        <f>AND(#REF!,"AAAAAH7r7y8=")</f>
        <v>#REF!</v>
      </c>
      <c r="AW213" t="e">
        <f>AND(#REF!,"AAAAAH7r7zA=")</f>
        <v>#REF!</v>
      </c>
      <c r="AX213" t="e">
        <f>AND(#REF!,"AAAAAH7r7zE=")</f>
        <v>#REF!</v>
      </c>
      <c r="AY213" t="e">
        <f>AND(#REF!,"AAAAAH7r7zI=")</f>
        <v>#REF!</v>
      </c>
      <c r="AZ213" t="e">
        <f>AND(#REF!,"AAAAAH7r7zM=")</f>
        <v>#REF!</v>
      </c>
      <c r="BA213" t="e">
        <f>AND(#REF!,"AAAAAH7r7zQ=")</f>
        <v>#REF!</v>
      </c>
      <c r="BB213" t="e">
        <f>AND(#REF!,"AAAAAH7r7zU=")</f>
        <v>#REF!</v>
      </c>
      <c r="BC213" t="e">
        <f>AND(#REF!,"AAAAAH7r7zY=")</f>
        <v>#REF!</v>
      </c>
      <c r="BD213" t="e">
        <f>AND(#REF!,"AAAAAH7r7zc=")</f>
        <v>#REF!</v>
      </c>
      <c r="BE213" t="e">
        <f>AND(#REF!,"AAAAAH7r7zg=")</f>
        <v>#REF!</v>
      </c>
      <c r="BF213" t="e">
        <f>AND(#REF!,"AAAAAH7r7zk=")</f>
        <v>#REF!</v>
      </c>
      <c r="BG213" t="e">
        <f>AND(#REF!,"AAAAAH7r7zo=")</f>
        <v>#REF!</v>
      </c>
      <c r="BH213" t="e">
        <f>AND(#REF!,"AAAAAH7r7zs=")</f>
        <v>#REF!</v>
      </c>
      <c r="BI213" t="e">
        <f>AND(#REF!,"AAAAAH7r7zw=")</f>
        <v>#REF!</v>
      </c>
      <c r="BJ213" t="e">
        <f>AND(#REF!,"AAAAAH7r7z0=")</f>
        <v>#REF!</v>
      </c>
      <c r="BK213" t="e">
        <f>AND(#REF!,"AAAAAH7r7z4=")</f>
        <v>#REF!</v>
      </c>
      <c r="BL213" t="e">
        <f>AND(#REF!,"AAAAAH7r7z8=")</f>
        <v>#REF!</v>
      </c>
      <c r="BM213" t="e">
        <f>AND(#REF!,"AAAAAH7r70A=")</f>
        <v>#REF!</v>
      </c>
      <c r="BN213" t="e">
        <f>AND(#REF!,"AAAAAH7r70E=")</f>
        <v>#REF!</v>
      </c>
      <c r="BO213" t="e">
        <f>AND(#REF!,"AAAAAH7r70I=")</f>
        <v>#REF!</v>
      </c>
      <c r="BP213" t="e">
        <f>AND(#REF!,"AAAAAH7r70M=")</f>
        <v>#REF!</v>
      </c>
      <c r="BQ213" t="e">
        <f>AND(#REF!,"AAAAAH7r70Q=")</f>
        <v>#REF!</v>
      </c>
      <c r="BR213" t="e">
        <f>AND(#REF!,"AAAAAH7r70U=")</f>
        <v>#REF!</v>
      </c>
      <c r="BS213" t="e">
        <f>AND(#REF!,"AAAAAH7r70Y=")</f>
        <v>#REF!</v>
      </c>
      <c r="BT213" t="e">
        <f>AND(#REF!,"AAAAAH7r70c=")</f>
        <v>#REF!</v>
      </c>
      <c r="BU213" t="e">
        <f>AND(#REF!,"AAAAAH7r70g=")</f>
        <v>#REF!</v>
      </c>
      <c r="BV213" t="e">
        <f>AND(#REF!,"AAAAAH7r70k=")</f>
        <v>#REF!</v>
      </c>
      <c r="BW213" t="e">
        <f>AND(#REF!,"AAAAAH7r70o=")</f>
        <v>#REF!</v>
      </c>
      <c r="BX213" t="e">
        <f>AND(#REF!,"AAAAAH7r70s=")</f>
        <v>#REF!</v>
      </c>
      <c r="BY213" t="e">
        <f>AND(#REF!,"AAAAAH7r70w=")</f>
        <v>#REF!</v>
      </c>
      <c r="BZ213" t="e">
        <f>AND(#REF!,"AAAAAH7r700=")</f>
        <v>#REF!</v>
      </c>
      <c r="CA213" t="e">
        <f>AND(#REF!,"AAAAAH7r704=")</f>
        <v>#REF!</v>
      </c>
      <c r="CB213" t="e">
        <f>AND(#REF!,"AAAAAH7r708=")</f>
        <v>#REF!</v>
      </c>
      <c r="CC213" t="e">
        <f>AND(#REF!,"AAAAAH7r71A=")</f>
        <v>#REF!</v>
      </c>
      <c r="CD213" t="e">
        <f>AND(#REF!,"AAAAAH7r71E=")</f>
        <v>#REF!</v>
      </c>
      <c r="CE213" t="e">
        <f>AND(#REF!,"AAAAAH7r71I=")</f>
        <v>#REF!</v>
      </c>
      <c r="CF213" t="e">
        <f>AND(#REF!,"AAAAAH7r71M=")</f>
        <v>#REF!</v>
      </c>
      <c r="CG213" t="e">
        <f>AND(#REF!,"AAAAAH7r71Q=")</f>
        <v>#REF!</v>
      </c>
      <c r="CH213" t="e">
        <f>AND(#REF!,"AAAAAH7r71U=")</f>
        <v>#REF!</v>
      </c>
      <c r="CI213" t="e">
        <f>AND(#REF!,"AAAAAH7r71Y=")</f>
        <v>#REF!</v>
      </c>
      <c r="CJ213" t="e">
        <f>AND(#REF!,"AAAAAH7r71c=")</f>
        <v>#REF!</v>
      </c>
      <c r="CK213" t="e">
        <f>AND(#REF!,"AAAAAH7r71g=")</f>
        <v>#REF!</v>
      </c>
      <c r="CL213" t="e">
        <f>AND(#REF!,"AAAAAH7r71k=")</f>
        <v>#REF!</v>
      </c>
      <c r="CM213" t="e">
        <f>AND(#REF!,"AAAAAH7r71o=")</f>
        <v>#REF!</v>
      </c>
      <c r="CN213" t="e">
        <f>AND(#REF!,"AAAAAH7r71s=")</f>
        <v>#REF!</v>
      </c>
      <c r="CO213" t="e">
        <f>AND(#REF!,"AAAAAH7r71w=")</f>
        <v>#REF!</v>
      </c>
      <c r="CP213" t="e">
        <f>AND(#REF!,"AAAAAH7r710=")</f>
        <v>#REF!</v>
      </c>
      <c r="CQ213" t="e">
        <f>AND(#REF!,"AAAAAH7r714=")</f>
        <v>#REF!</v>
      </c>
      <c r="CR213" t="e">
        <f>AND(#REF!,"AAAAAH7r718=")</f>
        <v>#REF!</v>
      </c>
      <c r="CS213" t="e">
        <f>AND(#REF!,"AAAAAH7r72A=")</f>
        <v>#REF!</v>
      </c>
      <c r="CT213" t="e">
        <f>AND(#REF!,"AAAAAH7r72E=")</f>
        <v>#REF!</v>
      </c>
      <c r="CU213" t="e">
        <f>AND(#REF!,"AAAAAH7r72I=")</f>
        <v>#REF!</v>
      </c>
      <c r="CV213" t="e">
        <f>AND(#REF!,"AAAAAH7r72M=")</f>
        <v>#REF!</v>
      </c>
      <c r="CW213" t="e">
        <f>AND(#REF!,"AAAAAH7r72Q=")</f>
        <v>#REF!</v>
      </c>
      <c r="CX213" t="e">
        <f>AND(#REF!,"AAAAAH7r72U=")</f>
        <v>#REF!</v>
      </c>
      <c r="CY213" t="e">
        <f>AND(#REF!,"AAAAAH7r72Y=")</f>
        <v>#REF!</v>
      </c>
      <c r="CZ213" t="e">
        <f>AND(#REF!,"AAAAAH7r72c=")</f>
        <v>#REF!</v>
      </c>
      <c r="DA213" t="e">
        <f>AND(#REF!,"AAAAAH7r72g=")</f>
        <v>#REF!</v>
      </c>
      <c r="DB213" t="e">
        <f>AND(#REF!,"AAAAAH7r72k=")</f>
        <v>#REF!</v>
      </c>
      <c r="DC213" t="e">
        <f>AND(#REF!,"AAAAAH7r72o=")</f>
        <v>#REF!</v>
      </c>
      <c r="DD213" t="e">
        <f>AND(#REF!,"AAAAAH7r72s=")</f>
        <v>#REF!</v>
      </c>
      <c r="DE213" t="e">
        <f>AND(#REF!,"AAAAAH7r72w=")</f>
        <v>#REF!</v>
      </c>
      <c r="DF213" t="e">
        <f>AND(#REF!,"AAAAAH7r720=")</f>
        <v>#REF!</v>
      </c>
      <c r="DG213" t="e">
        <f>AND(#REF!,"AAAAAH7r724=")</f>
        <v>#REF!</v>
      </c>
      <c r="DH213" t="e">
        <f>AND(#REF!,"AAAAAH7r728=")</f>
        <v>#REF!</v>
      </c>
      <c r="DI213" t="e">
        <f>AND(#REF!,"AAAAAH7r73A=")</f>
        <v>#REF!</v>
      </c>
      <c r="DJ213" t="e">
        <f>AND(#REF!,"AAAAAH7r73E=")</f>
        <v>#REF!</v>
      </c>
      <c r="DK213" t="e">
        <f>AND(#REF!,"AAAAAH7r73I=")</f>
        <v>#REF!</v>
      </c>
      <c r="DL213" t="e">
        <f>AND(#REF!,"AAAAAH7r73M=")</f>
        <v>#REF!</v>
      </c>
      <c r="DM213" t="e">
        <f>AND(#REF!,"AAAAAH7r73Q=")</f>
        <v>#REF!</v>
      </c>
      <c r="DN213" t="e">
        <f>AND(#REF!,"AAAAAH7r73U=")</f>
        <v>#REF!</v>
      </c>
      <c r="DO213" t="e">
        <f>AND(#REF!,"AAAAAH7r73Y=")</f>
        <v>#REF!</v>
      </c>
      <c r="DP213" t="e">
        <f>AND(#REF!,"AAAAAH7r73c=")</f>
        <v>#REF!</v>
      </c>
      <c r="DQ213" t="e">
        <f>AND(#REF!,"AAAAAH7r73g=")</f>
        <v>#REF!</v>
      </c>
      <c r="DR213" t="e">
        <f>AND(#REF!,"AAAAAH7r73k=")</f>
        <v>#REF!</v>
      </c>
      <c r="DS213" t="e">
        <f>AND(#REF!,"AAAAAH7r73o=")</f>
        <v>#REF!</v>
      </c>
      <c r="DT213" t="e">
        <f>AND(#REF!,"AAAAAH7r73s=")</f>
        <v>#REF!</v>
      </c>
      <c r="DU213" t="e">
        <f>AND(#REF!,"AAAAAH7r73w=")</f>
        <v>#REF!</v>
      </c>
      <c r="DV213" t="e">
        <f>AND(#REF!,"AAAAAH7r730=")</f>
        <v>#REF!</v>
      </c>
      <c r="DW213" t="e">
        <f>AND(#REF!,"AAAAAH7r734=")</f>
        <v>#REF!</v>
      </c>
      <c r="DX213" t="e">
        <f>AND(#REF!,"AAAAAH7r738=")</f>
        <v>#REF!</v>
      </c>
      <c r="DY213" t="e">
        <f>AND(#REF!,"AAAAAH7r74A=")</f>
        <v>#REF!</v>
      </c>
      <c r="DZ213" t="e">
        <f>AND(#REF!,"AAAAAH7r74E=")</f>
        <v>#REF!</v>
      </c>
      <c r="EA213" t="e">
        <f>AND(#REF!,"AAAAAH7r74I=")</f>
        <v>#REF!</v>
      </c>
      <c r="EB213" t="e">
        <f>AND(#REF!,"AAAAAH7r74M=")</f>
        <v>#REF!</v>
      </c>
      <c r="EC213" t="e">
        <f>AND(#REF!,"AAAAAH7r74Q=")</f>
        <v>#REF!</v>
      </c>
      <c r="ED213" t="e">
        <f>AND(#REF!,"AAAAAH7r74U=")</f>
        <v>#REF!</v>
      </c>
      <c r="EE213" t="e">
        <f>AND(#REF!,"AAAAAH7r74Y=")</f>
        <v>#REF!</v>
      </c>
      <c r="EF213" t="e">
        <f>AND(#REF!,"AAAAAH7r74c=")</f>
        <v>#REF!</v>
      </c>
      <c r="EG213" t="e">
        <f>AND(#REF!,"AAAAAH7r74g=")</f>
        <v>#REF!</v>
      </c>
      <c r="EH213" t="e">
        <f>AND(#REF!,"AAAAAH7r74k=")</f>
        <v>#REF!</v>
      </c>
      <c r="EI213" t="e">
        <f>AND(#REF!,"AAAAAH7r74o=")</f>
        <v>#REF!</v>
      </c>
      <c r="EJ213" t="e">
        <f>AND(#REF!,"AAAAAH7r74s=")</f>
        <v>#REF!</v>
      </c>
      <c r="EK213" t="e">
        <f>AND(#REF!,"AAAAAH7r74w=")</f>
        <v>#REF!</v>
      </c>
      <c r="EL213" t="e">
        <f>AND(#REF!,"AAAAAH7r740=")</f>
        <v>#REF!</v>
      </c>
      <c r="EM213" t="e">
        <f>AND(#REF!,"AAAAAH7r744=")</f>
        <v>#REF!</v>
      </c>
      <c r="EN213" t="e">
        <f>AND(#REF!,"AAAAAH7r748=")</f>
        <v>#REF!</v>
      </c>
      <c r="EO213" t="e">
        <f>AND(#REF!,"AAAAAH7r75A=")</f>
        <v>#REF!</v>
      </c>
      <c r="EP213" t="e">
        <f>AND(#REF!,"AAAAAH7r75E=")</f>
        <v>#REF!</v>
      </c>
      <c r="EQ213" t="e">
        <f>AND(#REF!,"AAAAAH7r75I=")</f>
        <v>#REF!</v>
      </c>
      <c r="ER213" t="e">
        <f>AND(#REF!,"AAAAAH7r75M=")</f>
        <v>#REF!</v>
      </c>
      <c r="ES213" t="e">
        <f>AND(#REF!,"AAAAAH7r75Q=")</f>
        <v>#REF!</v>
      </c>
      <c r="ET213" t="e">
        <f>AND(#REF!,"AAAAAH7r75U=")</f>
        <v>#REF!</v>
      </c>
      <c r="EU213" t="e">
        <f>AND(#REF!,"AAAAAH7r75Y=")</f>
        <v>#REF!</v>
      </c>
      <c r="EV213" t="e">
        <f>AND(#REF!,"AAAAAH7r75c=")</f>
        <v>#REF!</v>
      </c>
      <c r="EW213" t="e">
        <f>AND(#REF!,"AAAAAH7r75g=")</f>
        <v>#REF!</v>
      </c>
      <c r="EX213" t="e">
        <f>AND(#REF!,"AAAAAH7r75k=")</f>
        <v>#REF!</v>
      </c>
      <c r="EY213" t="e">
        <f>AND(#REF!,"AAAAAH7r75o=")</f>
        <v>#REF!</v>
      </c>
      <c r="EZ213" t="e">
        <f>AND(#REF!,"AAAAAH7r75s=")</f>
        <v>#REF!</v>
      </c>
      <c r="FA213" t="e">
        <f>AND(#REF!,"AAAAAH7r75w=")</f>
        <v>#REF!</v>
      </c>
      <c r="FB213" t="e">
        <f>AND(#REF!,"AAAAAH7r750=")</f>
        <v>#REF!</v>
      </c>
      <c r="FC213" t="e">
        <f>AND(#REF!,"AAAAAH7r754=")</f>
        <v>#REF!</v>
      </c>
      <c r="FD213" t="e">
        <f>AND(#REF!,"AAAAAH7r758=")</f>
        <v>#REF!</v>
      </c>
      <c r="FE213" t="e">
        <f>AND(#REF!,"AAAAAH7r76A=")</f>
        <v>#REF!</v>
      </c>
      <c r="FF213" t="e">
        <f>AND(#REF!,"AAAAAH7r76E=")</f>
        <v>#REF!</v>
      </c>
      <c r="FG213" t="e">
        <f>IF(#REF!,"AAAAAH7r76I=",0)</f>
        <v>#REF!</v>
      </c>
      <c r="FH213" t="e">
        <f>AND(#REF!,"AAAAAH7r76M=")</f>
        <v>#REF!</v>
      </c>
      <c r="FI213" t="e">
        <f>AND(#REF!,"AAAAAH7r76Q=")</f>
        <v>#REF!</v>
      </c>
      <c r="FJ213" t="e">
        <f>AND(#REF!,"AAAAAH7r76U=")</f>
        <v>#REF!</v>
      </c>
      <c r="FK213" t="e">
        <f>AND(#REF!,"AAAAAH7r76Y=")</f>
        <v>#REF!</v>
      </c>
      <c r="FL213" t="e">
        <f>AND(#REF!,"AAAAAH7r76c=")</f>
        <v>#REF!</v>
      </c>
      <c r="FM213" t="e">
        <f>AND(#REF!,"AAAAAH7r76g=")</f>
        <v>#REF!</v>
      </c>
      <c r="FN213" t="e">
        <f>AND(#REF!,"AAAAAH7r76k=")</f>
        <v>#REF!</v>
      </c>
      <c r="FO213" t="e">
        <f>AND(#REF!,"AAAAAH7r76o=")</f>
        <v>#REF!</v>
      </c>
      <c r="FP213" t="e">
        <f>AND(#REF!,"AAAAAH7r76s=")</f>
        <v>#REF!</v>
      </c>
      <c r="FQ213" t="e">
        <f>AND(#REF!,"AAAAAH7r76w=")</f>
        <v>#REF!</v>
      </c>
      <c r="FR213" t="e">
        <f>AND(#REF!,"AAAAAH7r760=")</f>
        <v>#REF!</v>
      </c>
      <c r="FS213" t="e">
        <f>AND(#REF!,"AAAAAH7r764=")</f>
        <v>#REF!</v>
      </c>
      <c r="FT213" t="e">
        <f>AND(#REF!,"AAAAAH7r768=")</f>
        <v>#REF!</v>
      </c>
      <c r="FU213" t="e">
        <f>AND(#REF!,"AAAAAH7r77A=")</f>
        <v>#REF!</v>
      </c>
      <c r="FV213" t="e">
        <f>AND(#REF!,"AAAAAH7r77E=")</f>
        <v>#REF!</v>
      </c>
      <c r="FW213" t="e">
        <f>AND(#REF!,"AAAAAH7r77I=")</f>
        <v>#REF!</v>
      </c>
      <c r="FX213" t="e">
        <f>AND(#REF!,"AAAAAH7r77M=")</f>
        <v>#REF!</v>
      </c>
      <c r="FY213" t="e">
        <f>AND(#REF!,"AAAAAH7r77Q=")</f>
        <v>#REF!</v>
      </c>
      <c r="FZ213" t="e">
        <f>AND(#REF!,"AAAAAH7r77U=")</f>
        <v>#REF!</v>
      </c>
      <c r="GA213" t="e">
        <f>AND(#REF!,"AAAAAH7r77Y=")</f>
        <v>#REF!</v>
      </c>
      <c r="GB213" t="e">
        <f>AND(#REF!,"AAAAAH7r77c=")</f>
        <v>#REF!</v>
      </c>
      <c r="GC213" t="e">
        <f>AND(#REF!,"AAAAAH7r77g=")</f>
        <v>#REF!</v>
      </c>
      <c r="GD213" t="e">
        <f>AND(#REF!,"AAAAAH7r77k=")</f>
        <v>#REF!</v>
      </c>
      <c r="GE213" t="e">
        <f>AND(#REF!,"AAAAAH7r77o=")</f>
        <v>#REF!</v>
      </c>
      <c r="GF213" t="e">
        <f>AND(#REF!,"AAAAAH7r77s=")</f>
        <v>#REF!</v>
      </c>
      <c r="GG213" t="e">
        <f>AND(#REF!,"AAAAAH7r77w=")</f>
        <v>#REF!</v>
      </c>
      <c r="GH213" t="e">
        <f>AND(#REF!,"AAAAAH7r770=")</f>
        <v>#REF!</v>
      </c>
      <c r="GI213" t="e">
        <f>AND(#REF!,"AAAAAH7r774=")</f>
        <v>#REF!</v>
      </c>
      <c r="GJ213" t="e">
        <f>AND(#REF!,"AAAAAH7r778=")</f>
        <v>#REF!</v>
      </c>
      <c r="GK213" t="e">
        <f>AND(#REF!,"AAAAAH7r78A=")</f>
        <v>#REF!</v>
      </c>
      <c r="GL213" t="e">
        <f>AND(#REF!,"AAAAAH7r78E=")</f>
        <v>#REF!</v>
      </c>
      <c r="GM213" t="e">
        <f>AND(#REF!,"AAAAAH7r78I=")</f>
        <v>#REF!</v>
      </c>
      <c r="GN213" t="e">
        <f>AND(#REF!,"AAAAAH7r78M=")</f>
        <v>#REF!</v>
      </c>
      <c r="GO213" t="e">
        <f>AND(#REF!,"AAAAAH7r78Q=")</f>
        <v>#REF!</v>
      </c>
      <c r="GP213" t="e">
        <f>AND(#REF!,"AAAAAH7r78U=")</f>
        <v>#REF!</v>
      </c>
      <c r="GQ213" t="e">
        <f>AND(#REF!,"AAAAAH7r78Y=")</f>
        <v>#REF!</v>
      </c>
      <c r="GR213" t="e">
        <f>AND(#REF!,"AAAAAH7r78c=")</f>
        <v>#REF!</v>
      </c>
      <c r="GS213" t="e">
        <f>AND(#REF!,"AAAAAH7r78g=")</f>
        <v>#REF!</v>
      </c>
      <c r="GT213" t="e">
        <f>AND(#REF!,"AAAAAH7r78k=")</f>
        <v>#REF!</v>
      </c>
      <c r="GU213" t="e">
        <f>AND(#REF!,"AAAAAH7r78o=")</f>
        <v>#REF!</v>
      </c>
      <c r="GV213" t="e">
        <f>AND(#REF!,"AAAAAH7r78s=")</f>
        <v>#REF!</v>
      </c>
      <c r="GW213" t="e">
        <f>AND(#REF!,"AAAAAH7r78w=")</f>
        <v>#REF!</v>
      </c>
      <c r="GX213" t="e">
        <f>AND(#REF!,"AAAAAH7r780=")</f>
        <v>#REF!</v>
      </c>
      <c r="GY213" t="e">
        <f>AND(#REF!,"AAAAAH7r784=")</f>
        <v>#REF!</v>
      </c>
      <c r="GZ213" t="e">
        <f>AND(#REF!,"AAAAAH7r788=")</f>
        <v>#REF!</v>
      </c>
      <c r="HA213" t="e">
        <f>AND(#REF!,"AAAAAH7r79A=")</f>
        <v>#REF!</v>
      </c>
      <c r="HB213" t="e">
        <f>AND(#REF!,"AAAAAH7r79E=")</f>
        <v>#REF!</v>
      </c>
      <c r="HC213" t="e">
        <f>AND(#REF!,"AAAAAH7r79I=")</f>
        <v>#REF!</v>
      </c>
      <c r="HD213" t="e">
        <f>AND(#REF!,"AAAAAH7r79M=")</f>
        <v>#REF!</v>
      </c>
      <c r="HE213" t="e">
        <f>AND(#REF!,"AAAAAH7r79Q=")</f>
        <v>#REF!</v>
      </c>
      <c r="HF213" t="e">
        <f>AND(#REF!,"AAAAAH7r79U=")</f>
        <v>#REF!</v>
      </c>
      <c r="HG213" t="e">
        <f>AND(#REF!,"AAAAAH7r79Y=")</f>
        <v>#REF!</v>
      </c>
      <c r="HH213" t="e">
        <f>AND(#REF!,"AAAAAH7r79c=")</f>
        <v>#REF!</v>
      </c>
      <c r="HI213" t="e">
        <f>AND(#REF!,"AAAAAH7r79g=")</f>
        <v>#REF!</v>
      </c>
      <c r="HJ213" t="e">
        <f>AND(#REF!,"AAAAAH7r79k=")</f>
        <v>#REF!</v>
      </c>
      <c r="HK213" t="e">
        <f>AND(#REF!,"AAAAAH7r79o=")</f>
        <v>#REF!</v>
      </c>
      <c r="HL213" t="e">
        <f>AND(#REF!,"AAAAAH7r79s=")</f>
        <v>#REF!</v>
      </c>
      <c r="HM213" t="e">
        <f>AND(#REF!,"AAAAAH7r79w=")</f>
        <v>#REF!</v>
      </c>
      <c r="HN213" t="e">
        <f>AND(#REF!,"AAAAAH7r790=")</f>
        <v>#REF!</v>
      </c>
      <c r="HO213" t="e">
        <f>AND(#REF!,"AAAAAH7r794=")</f>
        <v>#REF!</v>
      </c>
      <c r="HP213" t="e">
        <f>AND(#REF!,"AAAAAH7r798=")</f>
        <v>#REF!</v>
      </c>
      <c r="HQ213" t="e">
        <f>AND(#REF!,"AAAAAH7r7+A=")</f>
        <v>#REF!</v>
      </c>
      <c r="HR213" t="e">
        <f>AND(#REF!,"AAAAAH7r7+E=")</f>
        <v>#REF!</v>
      </c>
      <c r="HS213" t="e">
        <f>AND(#REF!,"AAAAAH7r7+I=")</f>
        <v>#REF!</v>
      </c>
      <c r="HT213" t="e">
        <f>AND(#REF!,"AAAAAH7r7+M=")</f>
        <v>#REF!</v>
      </c>
      <c r="HU213" t="e">
        <f>AND(#REF!,"AAAAAH7r7+Q=")</f>
        <v>#REF!</v>
      </c>
      <c r="HV213" t="e">
        <f>AND(#REF!,"AAAAAH7r7+U=")</f>
        <v>#REF!</v>
      </c>
      <c r="HW213" t="e">
        <f>AND(#REF!,"AAAAAH7r7+Y=")</f>
        <v>#REF!</v>
      </c>
      <c r="HX213" t="e">
        <f>AND(#REF!,"AAAAAH7r7+c=")</f>
        <v>#REF!</v>
      </c>
      <c r="HY213" t="e">
        <f>AND(#REF!,"AAAAAH7r7+g=")</f>
        <v>#REF!</v>
      </c>
      <c r="HZ213" t="e">
        <f>AND(#REF!,"AAAAAH7r7+k=")</f>
        <v>#REF!</v>
      </c>
      <c r="IA213" t="e">
        <f>AND(#REF!,"AAAAAH7r7+o=")</f>
        <v>#REF!</v>
      </c>
      <c r="IB213" t="e">
        <f>AND(#REF!,"AAAAAH7r7+s=")</f>
        <v>#REF!</v>
      </c>
      <c r="IC213" t="e">
        <f>AND(#REF!,"AAAAAH7r7+w=")</f>
        <v>#REF!</v>
      </c>
      <c r="ID213" t="e">
        <f>AND(#REF!,"AAAAAH7r7+0=")</f>
        <v>#REF!</v>
      </c>
      <c r="IE213" t="e">
        <f>AND(#REF!,"AAAAAH7r7+4=")</f>
        <v>#REF!</v>
      </c>
      <c r="IF213" t="e">
        <f>AND(#REF!,"AAAAAH7r7+8=")</f>
        <v>#REF!</v>
      </c>
      <c r="IG213" t="e">
        <f>AND(#REF!,"AAAAAH7r7/A=")</f>
        <v>#REF!</v>
      </c>
      <c r="IH213" t="e">
        <f>AND(#REF!,"AAAAAH7r7/E=")</f>
        <v>#REF!</v>
      </c>
      <c r="II213" t="e">
        <f>AND(#REF!,"AAAAAH7r7/I=")</f>
        <v>#REF!</v>
      </c>
      <c r="IJ213" t="e">
        <f>AND(#REF!,"AAAAAH7r7/M=")</f>
        <v>#REF!</v>
      </c>
      <c r="IK213" t="e">
        <f>AND(#REF!,"AAAAAH7r7/Q=")</f>
        <v>#REF!</v>
      </c>
      <c r="IL213" t="e">
        <f>AND(#REF!,"AAAAAH7r7/U=")</f>
        <v>#REF!</v>
      </c>
      <c r="IM213" t="e">
        <f>AND(#REF!,"AAAAAH7r7/Y=")</f>
        <v>#REF!</v>
      </c>
      <c r="IN213" t="e">
        <f>AND(#REF!,"AAAAAH7r7/c=")</f>
        <v>#REF!</v>
      </c>
      <c r="IO213" t="e">
        <f>AND(#REF!,"AAAAAH7r7/g=")</f>
        <v>#REF!</v>
      </c>
      <c r="IP213" t="e">
        <f>AND(#REF!,"AAAAAH7r7/k=")</f>
        <v>#REF!</v>
      </c>
      <c r="IQ213" t="e">
        <f>AND(#REF!,"AAAAAH7r7/o=")</f>
        <v>#REF!</v>
      </c>
      <c r="IR213" t="e">
        <f>AND(#REF!,"AAAAAH7r7/s=")</f>
        <v>#REF!</v>
      </c>
      <c r="IS213" t="e">
        <f>AND(#REF!,"AAAAAH7r7/w=")</f>
        <v>#REF!</v>
      </c>
      <c r="IT213" t="e">
        <f>AND(#REF!,"AAAAAH7r7/0=")</f>
        <v>#REF!</v>
      </c>
      <c r="IU213" t="e">
        <f>AND(#REF!,"AAAAAH7r7/4=")</f>
        <v>#REF!</v>
      </c>
      <c r="IV213" t="e">
        <f>AND(#REF!,"AAAAAH7r7/8=")</f>
        <v>#REF!</v>
      </c>
    </row>
    <row r="214" spans="1:256">
      <c r="A214" t="e">
        <f>AND(#REF!,"AAAAAH0/xQA=")</f>
        <v>#REF!</v>
      </c>
      <c r="B214" t="e">
        <f>AND(#REF!,"AAAAAH0/xQE=")</f>
        <v>#REF!</v>
      </c>
      <c r="C214" t="e">
        <f>AND(#REF!,"AAAAAH0/xQI=")</f>
        <v>#REF!</v>
      </c>
      <c r="D214" t="e">
        <f>AND(#REF!,"AAAAAH0/xQM=")</f>
        <v>#REF!</v>
      </c>
      <c r="E214" t="e">
        <f>AND(#REF!,"AAAAAH0/xQQ=")</f>
        <v>#REF!</v>
      </c>
      <c r="F214" t="e">
        <f>AND(#REF!,"AAAAAH0/xQU=")</f>
        <v>#REF!</v>
      </c>
      <c r="G214" t="e">
        <f>AND(#REF!,"AAAAAH0/xQY=")</f>
        <v>#REF!</v>
      </c>
      <c r="H214" t="e">
        <f>AND(#REF!,"AAAAAH0/xQc=")</f>
        <v>#REF!</v>
      </c>
      <c r="I214" t="e">
        <f>AND(#REF!,"AAAAAH0/xQg=")</f>
        <v>#REF!</v>
      </c>
      <c r="J214" t="e">
        <f>AND(#REF!,"AAAAAH0/xQk=")</f>
        <v>#REF!</v>
      </c>
      <c r="K214" t="e">
        <f>AND(#REF!,"AAAAAH0/xQo=")</f>
        <v>#REF!</v>
      </c>
      <c r="L214" t="e">
        <f>AND(#REF!,"AAAAAH0/xQs=")</f>
        <v>#REF!</v>
      </c>
      <c r="M214" t="e">
        <f>AND(#REF!,"AAAAAH0/xQw=")</f>
        <v>#REF!</v>
      </c>
      <c r="N214" t="e">
        <f>AND(#REF!,"AAAAAH0/xQ0=")</f>
        <v>#REF!</v>
      </c>
      <c r="O214" t="e">
        <f>AND(#REF!,"AAAAAH0/xQ4=")</f>
        <v>#REF!</v>
      </c>
      <c r="P214" t="e">
        <f>AND(#REF!,"AAAAAH0/xQ8=")</f>
        <v>#REF!</v>
      </c>
      <c r="Q214" t="e">
        <f>AND(#REF!,"AAAAAH0/xRA=")</f>
        <v>#REF!</v>
      </c>
      <c r="R214" t="e">
        <f>AND(#REF!,"AAAAAH0/xRE=")</f>
        <v>#REF!</v>
      </c>
      <c r="S214" t="e">
        <f>AND(#REF!,"AAAAAH0/xRI=")</f>
        <v>#REF!</v>
      </c>
      <c r="T214" t="e">
        <f>AND(#REF!,"AAAAAH0/xRM=")</f>
        <v>#REF!</v>
      </c>
      <c r="U214" t="e">
        <f>AND(#REF!,"AAAAAH0/xRQ=")</f>
        <v>#REF!</v>
      </c>
      <c r="V214" t="e">
        <f>AND(#REF!,"AAAAAH0/xRU=")</f>
        <v>#REF!</v>
      </c>
      <c r="W214" t="e">
        <f>AND(#REF!,"AAAAAH0/xRY=")</f>
        <v>#REF!</v>
      </c>
      <c r="X214" t="e">
        <f>AND(#REF!,"AAAAAH0/xRc=")</f>
        <v>#REF!</v>
      </c>
      <c r="Y214" t="e">
        <f>AND(#REF!,"AAAAAH0/xRg=")</f>
        <v>#REF!</v>
      </c>
      <c r="Z214" t="e">
        <f>AND(#REF!,"AAAAAH0/xRk=")</f>
        <v>#REF!</v>
      </c>
      <c r="AA214" t="e">
        <f>AND(#REF!,"AAAAAH0/xRo=")</f>
        <v>#REF!</v>
      </c>
      <c r="AB214" t="e">
        <f>AND(#REF!,"AAAAAH0/xRs=")</f>
        <v>#REF!</v>
      </c>
      <c r="AC214" t="e">
        <f>AND(#REF!,"AAAAAH0/xRw=")</f>
        <v>#REF!</v>
      </c>
      <c r="AD214" t="e">
        <f>AND(#REF!,"AAAAAH0/xR0=")</f>
        <v>#REF!</v>
      </c>
      <c r="AE214" t="e">
        <f>AND(#REF!,"AAAAAH0/xR4=")</f>
        <v>#REF!</v>
      </c>
      <c r="AF214" t="e">
        <f>AND(#REF!,"AAAAAH0/xR8=")</f>
        <v>#REF!</v>
      </c>
      <c r="AG214" t="e">
        <f>AND(#REF!,"AAAAAH0/xSA=")</f>
        <v>#REF!</v>
      </c>
      <c r="AH214" t="e">
        <f>AND(#REF!,"AAAAAH0/xSE=")</f>
        <v>#REF!</v>
      </c>
      <c r="AI214" t="e">
        <f>AND(#REF!,"AAAAAH0/xSI=")</f>
        <v>#REF!</v>
      </c>
      <c r="AJ214" t="e">
        <f>AND(#REF!,"AAAAAH0/xSM=")</f>
        <v>#REF!</v>
      </c>
      <c r="AK214" t="e">
        <f>AND(#REF!,"AAAAAH0/xSQ=")</f>
        <v>#REF!</v>
      </c>
      <c r="AL214" t="e">
        <f>AND(#REF!,"AAAAAH0/xSU=")</f>
        <v>#REF!</v>
      </c>
      <c r="AM214" t="e">
        <f>AND(#REF!,"AAAAAH0/xSY=")</f>
        <v>#REF!</v>
      </c>
      <c r="AN214" t="e">
        <f>AND(#REF!,"AAAAAH0/xSc=")</f>
        <v>#REF!</v>
      </c>
      <c r="AO214" t="e">
        <f>AND(#REF!,"AAAAAH0/xSg=")</f>
        <v>#REF!</v>
      </c>
      <c r="AP214" t="e">
        <f>AND(#REF!,"AAAAAH0/xSk=")</f>
        <v>#REF!</v>
      </c>
      <c r="AQ214" t="e">
        <f>AND(#REF!,"AAAAAH0/xSo=")</f>
        <v>#REF!</v>
      </c>
      <c r="AR214" t="e">
        <f>AND(#REF!,"AAAAAH0/xSs=")</f>
        <v>#REF!</v>
      </c>
      <c r="AS214" t="e">
        <f>AND(#REF!,"AAAAAH0/xSw=")</f>
        <v>#REF!</v>
      </c>
      <c r="AT214" t="e">
        <f>AND(#REF!,"AAAAAH0/xS0=")</f>
        <v>#REF!</v>
      </c>
      <c r="AU214" t="e">
        <f>AND(#REF!,"AAAAAH0/xS4=")</f>
        <v>#REF!</v>
      </c>
      <c r="AV214" t="e">
        <f>AND(#REF!,"AAAAAH0/xS8=")</f>
        <v>#REF!</v>
      </c>
      <c r="AW214" t="e">
        <f>AND(#REF!,"AAAAAH0/xTA=")</f>
        <v>#REF!</v>
      </c>
      <c r="AX214" t="e">
        <f>AND(#REF!,"AAAAAH0/xTE=")</f>
        <v>#REF!</v>
      </c>
      <c r="AY214" t="e">
        <f>AND(#REF!,"AAAAAH0/xTI=")</f>
        <v>#REF!</v>
      </c>
      <c r="AZ214" t="e">
        <f>AND(#REF!,"AAAAAH0/xTM=")</f>
        <v>#REF!</v>
      </c>
      <c r="BA214" t="e">
        <f>AND(#REF!,"AAAAAH0/xTQ=")</f>
        <v>#REF!</v>
      </c>
      <c r="BB214" t="e">
        <f>AND(#REF!,"AAAAAH0/xTU=")</f>
        <v>#REF!</v>
      </c>
      <c r="BC214" t="e">
        <f>AND(#REF!,"AAAAAH0/xTY=")</f>
        <v>#REF!</v>
      </c>
      <c r="BD214" t="e">
        <f>AND(#REF!,"AAAAAH0/xTc=")</f>
        <v>#REF!</v>
      </c>
      <c r="BE214" t="e">
        <f>AND(#REF!,"AAAAAH0/xTg=")</f>
        <v>#REF!</v>
      </c>
      <c r="BF214" t="e">
        <f>AND(#REF!,"AAAAAH0/xTk=")</f>
        <v>#REF!</v>
      </c>
      <c r="BG214" t="e">
        <f>AND(#REF!,"AAAAAH0/xTo=")</f>
        <v>#REF!</v>
      </c>
      <c r="BH214" t="e">
        <f>AND(#REF!,"AAAAAH0/xTs=")</f>
        <v>#REF!</v>
      </c>
      <c r="BI214" t="e">
        <f>AND(#REF!,"AAAAAH0/xTw=")</f>
        <v>#REF!</v>
      </c>
      <c r="BJ214" t="e">
        <f>AND(#REF!,"AAAAAH0/xT0=")</f>
        <v>#REF!</v>
      </c>
      <c r="BK214" t="e">
        <f>AND(#REF!,"AAAAAH0/xT4=")</f>
        <v>#REF!</v>
      </c>
      <c r="BL214" t="e">
        <f>AND(#REF!,"AAAAAH0/xT8=")</f>
        <v>#REF!</v>
      </c>
      <c r="BM214" t="e">
        <f>AND(#REF!,"AAAAAH0/xUA=")</f>
        <v>#REF!</v>
      </c>
      <c r="BN214" t="e">
        <f>AND(#REF!,"AAAAAH0/xUE=")</f>
        <v>#REF!</v>
      </c>
      <c r="BO214" t="e">
        <f>AND(#REF!,"AAAAAH0/xUI=")</f>
        <v>#REF!</v>
      </c>
      <c r="BP214" t="e">
        <f>AND(#REF!,"AAAAAH0/xUM=")</f>
        <v>#REF!</v>
      </c>
      <c r="BQ214" t="e">
        <f>AND(#REF!,"AAAAAH0/xUQ=")</f>
        <v>#REF!</v>
      </c>
      <c r="BR214" t="e">
        <f>AND(#REF!,"AAAAAH0/xUU=")</f>
        <v>#REF!</v>
      </c>
      <c r="BS214" t="e">
        <f>AND(#REF!,"AAAAAH0/xUY=")</f>
        <v>#REF!</v>
      </c>
      <c r="BT214" t="e">
        <f>AND(#REF!,"AAAAAH0/xUc=")</f>
        <v>#REF!</v>
      </c>
      <c r="BU214" t="e">
        <f>AND(#REF!,"AAAAAH0/xUg=")</f>
        <v>#REF!</v>
      </c>
      <c r="BV214" t="e">
        <f>AND(#REF!,"AAAAAH0/xUk=")</f>
        <v>#REF!</v>
      </c>
      <c r="BW214" t="e">
        <f>AND(#REF!,"AAAAAH0/xUo=")</f>
        <v>#REF!</v>
      </c>
      <c r="BX214" t="e">
        <f>AND(#REF!,"AAAAAH0/xUs=")</f>
        <v>#REF!</v>
      </c>
      <c r="BY214" t="e">
        <f>AND(#REF!,"AAAAAH0/xUw=")</f>
        <v>#REF!</v>
      </c>
      <c r="BZ214" t="e">
        <f>AND(#REF!,"AAAAAH0/xU0=")</f>
        <v>#REF!</v>
      </c>
      <c r="CA214" t="e">
        <f>AND(#REF!,"AAAAAH0/xU4=")</f>
        <v>#REF!</v>
      </c>
      <c r="CB214" t="e">
        <f>AND(#REF!,"AAAAAH0/xU8=")</f>
        <v>#REF!</v>
      </c>
      <c r="CC214" t="e">
        <f>AND(#REF!,"AAAAAH0/xVA=")</f>
        <v>#REF!</v>
      </c>
      <c r="CD214" t="e">
        <f>AND(#REF!,"AAAAAH0/xVE=")</f>
        <v>#REF!</v>
      </c>
      <c r="CE214" t="e">
        <f>AND(#REF!,"AAAAAH0/xVI=")</f>
        <v>#REF!</v>
      </c>
      <c r="CF214" t="e">
        <f>AND(#REF!,"AAAAAH0/xVM=")</f>
        <v>#REF!</v>
      </c>
      <c r="CG214" t="e">
        <f>AND(#REF!,"AAAAAH0/xVQ=")</f>
        <v>#REF!</v>
      </c>
      <c r="CH214" t="e">
        <f>AND(#REF!,"AAAAAH0/xVU=")</f>
        <v>#REF!</v>
      </c>
      <c r="CI214" t="e">
        <f>AND(#REF!,"AAAAAH0/xVY=")</f>
        <v>#REF!</v>
      </c>
      <c r="CJ214" t="e">
        <f>AND(#REF!,"AAAAAH0/xVc=")</f>
        <v>#REF!</v>
      </c>
      <c r="CK214" t="e">
        <f>AND(#REF!,"AAAAAH0/xVg=")</f>
        <v>#REF!</v>
      </c>
      <c r="CL214" t="e">
        <f>AND(#REF!,"AAAAAH0/xVk=")</f>
        <v>#REF!</v>
      </c>
      <c r="CM214" t="e">
        <f>AND(#REF!,"AAAAAH0/xVo=")</f>
        <v>#REF!</v>
      </c>
      <c r="CN214" t="e">
        <f>AND(#REF!,"AAAAAH0/xVs=")</f>
        <v>#REF!</v>
      </c>
      <c r="CO214" t="e">
        <f>AND(#REF!,"AAAAAH0/xVw=")</f>
        <v>#REF!</v>
      </c>
      <c r="CP214" t="e">
        <f>AND(#REF!,"AAAAAH0/xV0=")</f>
        <v>#REF!</v>
      </c>
      <c r="CQ214" t="e">
        <f>AND(#REF!,"AAAAAH0/xV4=")</f>
        <v>#REF!</v>
      </c>
      <c r="CR214" t="e">
        <f>AND(#REF!,"AAAAAH0/xV8=")</f>
        <v>#REF!</v>
      </c>
      <c r="CS214" t="e">
        <f>AND(#REF!,"AAAAAH0/xWA=")</f>
        <v>#REF!</v>
      </c>
      <c r="CT214" t="e">
        <f>AND(#REF!,"AAAAAH0/xWE=")</f>
        <v>#REF!</v>
      </c>
      <c r="CU214" t="e">
        <f>AND(#REF!,"AAAAAH0/xWI=")</f>
        <v>#REF!</v>
      </c>
      <c r="CV214" t="e">
        <f>AND(#REF!,"AAAAAH0/xWM=")</f>
        <v>#REF!</v>
      </c>
      <c r="CW214" t="e">
        <f>AND(#REF!,"AAAAAH0/xWQ=")</f>
        <v>#REF!</v>
      </c>
      <c r="CX214" t="e">
        <f>AND(#REF!,"AAAAAH0/xWU=")</f>
        <v>#REF!</v>
      </c>
      <c r="CY214" t="e">
        <f>AND(#REF!,"AAAAAH0/xWY=")</f>
        <v>#REF!</v>
      </c>
      <c r="CZ214" t="e">
        <f>AND(#REF!,"AAAAAH0/xWc=")</f>
        <v>#REF!</v>
      </c>
      <c r="DA214" t="e">
        <f>AND(#REF!,"AAAAAH0/xWg=")</f>
        <v>#REF!</v>
      </c>
      <c r="DB214" t="e">
        <f>AND(#REF!,"AAAAAH0/xWk=")</f>
        <v>#REF!</v>
      </c>
      <c r="DC214" t="e">
        <f>AND(#REF!,"AAAAAH0/xWo=")</f>
        <v>#REF!</v>
      </c>
      <c r="DD214" t="e">
        <f>AND(#REF!,"AAAAAH0/xWs=")</f>
        <v>#REF!</v>
      </c>
      <c r="DE214" t="e">
        <f>AND(#REF!,"AAAAAH0/xWw=")</f>
        <v>#REF!</v>
      </c>
      <c r="DF214" t="e">
        <f>AND(#REF!,"AAAAAH0/xW0=")</f>
        <v>#REF!</v>
      </c>
      <c r="DG214" t="e">
        <f>AND(#REF!,"AAAAAH0/xW4=")</f>
        <v>#REF!</v>
      </c>
      <c r="DH214" t="e">
        <f>AND(#REF!,"AAAAAH0/xW8=")</f>
        <v>#REF!</v>
      </c>
      <c r="DI214" t="e">
        <f>AND(#REF!,"AAAAAH0/xXA=")</f>
        <v>#REF!</v>
      </c>
      <c r="DJ214" t="e">
        <f>AND(#REF!,"AAAAAH0/xXE=")</f>
        <v>#REF!</v>
      </c>
      <c r="DK214" t="e">
        <f>AND(#REF!,"AAAAAH0/xXI=")</f>
        <v>#REF!</v>
      </c>
      <c r="DL214" t="e">
        <f>AND(#REF!,"AAAAAH0/xXM=")</f>
        <v>#REF!</v>
      </c>
      <c r="DM214" t="e">
        <f>AND(#REF!,"AAAAAH0/xXQ=")</f>
        <v>#REF!</v>
      </c>
      <c r="DN214" t="e">
        <f>AND(#REF!,"AAAAAH0/xXU=")</f>
        <v>#REF!</v>
      </c>
      <c r="DO214" t="e">
        <f>AND(#REF!,"AAAAAH0/xXY=")</f>
        <v>#REF!</v>
      </c>
      <c r="DP214" t="e">
        <f>AND(#REF!,"AAAAAH0/xXc=")</f>
        <v>#REF!</v>
      </c>
      <c r="DQ214" t="e">
        <f>AND(#REF!,"AAAAAH0/xXg=")</f>
        <v>#REF!</v>
      </c>
      <c r="DR214" t="e">
        <f>AND(#REF!,"AAAAAH0/xXk=")</f>
        <v>#REF!</v>
      </c>
      <c r="DS214" t="e">
        <f>AND(#REF!,"AAAAAH0/xXo=")</f>
        <v>#REF!</v>
      </c>
      <c r="DT214" t="e">
        <f>AND(#REF!,"AAAAAH0/xXs=")</f>
        <v>#REF!</v>
      </c>
      <c r="DU214" t="e">
        <f>AND(#REF!,"AAAAAH0/xXw=")</f>
        <v>#REF!</v>
      </c>
      <c r="DV214" t="e">
        <f>AND(#REF!,"AAAAAH0/xX0=")</f>
        <v>#REF!</v>
      </c>
      <c r="DW214" t="e">
        <f>AND(#REF!,"AAAAAH0/xX4=")</f>
        <v>#REF!</v>
      </c>
      <c r="DX214" t="e">
        <f>AND(#REF!,"AAAAAH0/xX8=")</f>
        <v>#REF!</v>
      </c>
      <c r="DY214" t="e">
        <f>AND(#REF!,"AAAAAH0/xYA=")</f>
        <v>#REF!</v>
      </c>
      <c r="DZ214" t="e">
        <f>AND(#REF!,"AAAAAH0/xYE=")</f>
        <v>#REF!</v>
      </c>
      <c r="EA214" t="e">
        <f>AND(#REF!,"AAAAAH0/xYI=")</f>
        <v>#REF!</v>
      </c>
      <c r="EB214" t="e">
        <f>AND(#REF!,"AAAAAH0/xYM=")</f>
        <v>#REF!</v>
      </c>
      <c r="EC214" t="e">
        <f>AND(#REF!,"AAAAAH0/xYQ=")</f>
        <v>#REF!</v>
      </c>
      <c r="ED214" t="e">
        <f>AND(#REF!,"AAAAAH0/xYU=")</f>
        <v>#REF!</v>
      </c>
      <c r="EE214" t="e">
        <f>IF(#REF!,"AAAAAH0/xYY=",0)</f>
        <v>#REF!</v>
      </c>
      <c r="EF214" t="e">
        <f>AND(#REF!,"AAAAAH0/xYc=")</f>
        <v>#REF!</v>
      </c>
      <c r="EG214" t="e">
        <f>AND(#REF!,"AAAAAH0/xYg=")</f>
        <v>#REF!</v>
      </c>
      <c r="EH214" t="e">
        <f>AND(#REF!,"AAAAAH0/xYk=")</f>
        <v>#REF!</v>
      </c>
      <c r="EI214" t="e">
        <f>AND(#REF!,"AAAAAH0/xYo=")</f>
        <v>#REF!</v>
      </c>
      <c r="EJ214" t="e">
        <f>AND(#REF!,"AAAAAH0/xYs=")</f>
        <v>#REF!</v>
      </c>
      <c r="EK214" t="e">
        <f>AND(#REF!,"AAAAAH0/xYw=")</f>
        <v>#REF!</v>
      </c>
      <c r="EL214" t="e">
        <f>AND(#REF!,"AAAAAH0/xY0=")</f>
        <v>#REF!</v>
      </c>
      <c r="EM214" t="e">
        <f>AND(#REF!,"AAAAAH0/xY4=")</f>
        <v>#REF!</v>
      </c>
      <c r="EN214" t="e">
        <f>AND(#REF!,"AAAAAH0/xY8=")</f>
        <v>#REF!</v>
      </c>
      <c r="EO214" t="e">
        <f>AND(#REF!,"AAAAAH0/xZA=")</f>
        <v>#REF!</v>
      </c>
      <c r="EP214" t="e">
        <f>AND(#REF!,"AAAAAH0/xZE=")</f>
        <v>#REF!</v>
      </c>
      <c r="EQ214" t="e">
        <f>AND(#REF!,"AAAAAH0/xZI=")</f>
        <v>#REF!</v>
      </c>
      <c r="ER214" t="e">
        <f>AND(#REF!,"AAAAAH0/xZM=")</f>
        <v>#REF!</v>
      </c>
      <c r="ES214" t="e">
        <f>AND(#REF!,"AAAAAH0/xZQ=")</f>
        <v>#REF!</v>
      </c>
      <c r="ET214" t="e">
        <f>AND(#REF!,"AAAAAH0/xZU=")</f>
        <v>#REF!</v>
      </c>
      <c r="EU214" t="e">
        <f>AND(#REF!,"AAAAAH0/xZY=")</f>
        <v>#REF!</v>
      </c>
      <c r="EV214" t="e">
        <f>AND(#REF!,"AAAAAH0/xZc=")</f>
        <v>#REF!</v>
      </c>
      <c r="EW214" t="e">
        <f>AND(#REF!,"AAAAAH0/xZg=")</f>
        <v>#REF!</v>
      </c>
      <c r="EX214" t="e">
        <f>AND(#REF!,"AAAAAH0/xZk=")</f>
        <v>#REF!</v>
      </c>
      <c r="EY214" t="e">
        <f>AND(#REF!,"AAAAAH0/xZo=")</f>
        <v>#REF!</v>
      </c>
      <c r="EZ214" t="e">
        <f>AND(#REF!,"AAAAAH0/xZs=")</f>
        <v>#REF!</v>
      </c>
      <c r="FA214" t="e">
        <f>AND(#REF!,"AAAAAH0/xZw=")</f>
        <v>#REF!</v>
      </c>
      <c r="FB214" t="e">
        <f>AND(#REF!,"AAAAAH0/xZ0=")</f>
        <v>#REF!</v>
      </c>
      <c r="FC214" t="e">
        <f>AND(#REF!,"AAAAAH0/xZ4=")</f>
        <v>#REF!</v>
      </c>
      <c r="FD214" t="e">
        <f>AND(#REF!,"AAAAAH0/xZ8=")</f>
        <v>#REF!</v>
      </c>
      <c r="FE214" t="e">
        <f>AND(#REF!,"AAAAAH0/xaA=")</f>
        <v>#REF!</v>
      </c>
      <c r="FF214" t="e">
        <f>AND(#REF!,"AAAAAH0/xaE=")</f>
        <v>#REF!</v>
      </c>
      <c r="FG214" t="e">
        <f>AND(#REF!,"AAAAAH0/xaI=")</f>
        <v>#REF!</v>
      </c>
      <c r="FH214" t="e">
        <f>AND(#REF!,"AAAAAH0/xaM=")</f>
        <v>#REF!</v>
      </c>
      <c r="FI214" t="e">
        <f>AND(#REF!,"AAAAAH0/xaQ=")</f>
        <v>#REF!</v>
      </c>
      <c r="FJ214" t="e">
        <f>AND(#REF!,"AAAAAH0/xaU=")</f>
        <v>#REF!</v>
      </c>
      <c r="FK214" t="e">
        <f>AND(#REF!,"AAAAAH0/xaY=")</f>
        <v>#REF!</v>
      </c>
      <c r="FL214" t="e">
        <f>AND(#REF!,"AAAAAH0/xac=")</f>
        <v>#REF!</v>
      </c>
      <c r="FM214" t="e">
        <f>AND(#REF!,"AAAAAH0/xag=")</f>
        <v>#REF!</v>
      </c>
      <c r="FN214" t="e">
        <f>AND(#REF!,"AAAAAH0/xak=")</f>
        <v>#REF!</v>
      </c>
      <c r="FO214" t="e">
        <f>AND(#REF!,"AAAAAH0/xao=")</f>
        <v>#REF!</v>
      </c>
      <c r="FP214" t="e">
        <f>AND(#REF!,"AAAAAH0/xas=")</f>
        <v>#REF!</v>
      </c>
      <c r="FQ214" t="e">
        <f>AND(#REF!,"AAAAAH0/xaw=")</f>
        <v>#REF!</v>
      </c>
      <c r="FR214" t="e">
        <f>AND(#REF!,"AAAAAH0/xa0=")</f>
        <v>#REF!</v>
      </c>
      <c r="FS214" t="e">
        <f>AND(#REF!,"AAAAAH0/xa4=")</f>
        <v>#REF!</v>
      </c>
      <c r="FT214" t="e">
        <f>AND(#REF!,"AAAAAH0/xa8=")</f>
        <v>#REF!</v>
      </c>
      <c r="FU214" t="e">
        <f>AND(#REF!,"AAAAAH0/xbA=")</f>
        <v>#REF!</v>
      </c>
      <c r="FV214" t="e">
        <f>AND(#REF!,"AAAAAH0/xbE=")</f>
        <v>#REF!</v>
      </c>
      <c r="FW214" t="e">
        <f>AND(#REF!,"AAAAAH0/xbI=")</f>
        <v>#REF!</v>
      </c>
      <c r="FX214" t="e">
        <f>AND(#REF!,"AAAAAH0/xbM=")</f>
        <v>#REF!</v>
      </c>
      <c r="FY214" t="e">
        <f>AND(#REF!,"AAAAAH0/xbQ=")</f>
        <v>#REF!</v>
      </c>
      <c r="FZ214" t="e">
        <f>AND(#REF!,"AAAAAH0/xbU=")</f>
        <v>#REF!</v>
      </c>
      <c r="GA214" t="e">
        <f>AND(#REF!,"AAAAAH0/xbY=")</f>
        <v>#REF!</v>
      </c>
      <c r="GB214" t="e">
        <f>AND(#REF!,"AAAAAH0/xbc=")</f>
        <v>#REF!</v>
      </c>
      <c r="GC214" t="e">
        <f>AND(#REF!,"AAAAAH0/xbg=")</f>
        <v>#REF!</v>
      </c>
      <c r="GD214" t="e">
        <f>AND(#REF!,"AAAAAH0/xbk=")</f>
        <v>#REF!</v>
      </c>
      <c r="GE214" t="e">
        <f>AND(#REF!,"AAAAAH0/xbo=")</f>
        <v>#REF!</v>
      </c>
      <c r="GF214" t="e">
        <f>AND(#REF!,"AAAAAH0/xbs=")</f>
        <v>#REF!</v>
      </c>
      <c r="GG214" t="e">
        <f>AND(#REF!,"AAAAAH0/xbw=")</f>
        <v>#REF!</v>
      </c>
      <c r="GH214" t="e">
        <f>AND(#REF!,"AAAAAH0/xb0=")</f>
        <v>#REF!</v>
      </c>
      <c r="GI214" t="e">
        <f>AND(#REF!,"AAAAAH0/xb4=")</f>
        <v>#REF!</v>
      </c>
      <c r="GJ214" t="e">
        <f>AND(#REF!,"AAAAAH0/xb8=")</f>
        <v>#REF!</v>
      </c>
      <c r="GK214" t="e">
        <f>AND(#REF!,"AAAAAH0/xcA=")</f>
        <v>#REF!</v>
      </c>
      <c r="GL214" t="e">
        <f>AND(#REF!,"AAAAAH0/xcE=")</f>
        <v>#REF!</v>
      </c>
      <c r="GM214" t="e">
        <f>AND(#REF!,"AAAAAH0/xcI=")</f>
        <v>#REF!</v>
      </c>
      <c r="GN214" t="e">
        <f>AND(#REF!,"AAAAAH0/xcM=")</f>
        <v>#REF!</v>
      </c>
      <c r="GO214" t="e">
        <f>AND(#REF!,"AAAAAH0/xcQ=")</f>
        <v>#REF!</v>
      </c>
      <c r="GP214" t="e">
        <f>AND(#REF!,"AAAAAH0/xcU=")</f>
        <v>#REF!</v>
      </c>
      <c r="GQ214" t="e">
        <f>AND(#REF!,"AAAAAH0/xcY=")</f>
        <v>#REF!</v>
      </c>
      <c r="GR214" t="e">
        <f>AND(#REF!,"AAAAAH0/xcc=")</f>
        <v>#REF!</v>
      </c>
      <c r="GS214" t="e">
        <f>AND(#REF!,"AAAAAH0/xcg=")</f>
        <v>#REF!</v>
      </c>
      <c r="GT214" t="e">
        <f>AND(#REF!,"AAAAAH0/xck=")</f>
        <v>#REF!</v>
      </c>
      <c r="GU214" t="e">
        <f>AND(#REF!,"AAAAAH0/xco=")</f>
        <v>#REF!</v>
      </c>
      <c r="GV214" t="e">
        <f>AND(#REF!,"AAAAAH0/xcs=")</f>
        <v>#REF!</v>
      </c>
      <c r="GW214" t="e">
        <f>AND(#REF!,"AAAAAH0/xcw=")</f>
        <v>#REF!</v>
      </c>
      <c r="GX214" t="e">
        <f>AND(#REF!,"AAAAAH0/xc0=")</f>
        <v>#REF!</v>
      </c>
      <c r="GY214" t="e">
        <f>AND(#REF!,"AAAAAH0/xc4=")</f>
        <v>#REF!</v>
      </c>
      <c r="GZ214" t="e">
        <f>AND(#REF!,"AAAAAH0/xc8=")</f>
        <v>#REF!</v>
      </c>
      <c r="HA214" t="e">
        <f>AND(#REF!,"AAAAAH0/xdA=")</f>
        <v>#REF!</v>
      </c>
      <c r="HB214" t="e">
        <f>AND(#REF!,"AAAAAH0/xdE=")</f>
        <v>#REF!</v>
      </c>
      <c r="HC214" t="e">
        <f>AND(#REF!,"AAAAAH0/xdI=")</f>
        <v>#REF!</v>
      </c>
      <c r="HD214" t="e">
        <f>AND(#REF!,"AAAAAH0/xdM=")</f>
        <v>#REF!</v>
      </c>
      <c r="HE214" t="e">
        <f>AND(#REF!,"AAAAAH0/xdQ=")</f>
        <v>#REF!</v>
      </c>
      <c r="HF214" t="e">
        <f>AND(#REF!,"AAAAAH0/xdU=")</f>
        <v>#REF!</v>
      </c>
      <c r="HG214" t="e">
        <f>AND(#REF!,"AAAAAH0/xdY=")</f>
        <v>#REF!</v>
      </c>
      <c r="HH214" t="e">
        <f>AND(#REF!,"AAAAAH0/xdc=")</f>
        <v>#REF!</v>
      </c>
      <c r="HI214" t="e">
        <f>AND(#REF!,"AAAAAH0/xdg=")</f>
        <v>#REF!</v>
      </c>
      <c r="HJ214" t="e">
        <f>AND(#REF!,"AAAAAH0/xdk=")</f>
        <v>#REF!</v>
      </c>
      <c r="HK214" t="e">
        <f>AND(#REF!,"AAAAAH0/xdo=")</f>
        <v>#REF!</v>
      </c>
      <c r="HL214" t="e">
        <f>AND(#REF!,"AAAAAH0/xds=")</f>
        <v>#REF!</v>
      </c>
      <c r="HM214" t="e">
        <f>AND(#REF!,"AAAAAH0/xdw=")</f>
        <v>#REF!</v>
      </c>
      <c r="HN214" t="e">
        <f>AND(#REF!,"AAAAAH0/xd0=")</f>
        <v>#REF!</v>
      </c>
      <c r="HO214" t="e">
        <f>AND(#REF!,"AAAAAH0/xd4=")</f>
        <v>#REF!</v>
      </c>
      <c r="HP214" t="e">
        <f>AND(#REF!,"AAAAAH0/xd8=")</f>
        <v>#REF!</v>
      </c>
      <c r="HQ214" t="e">
        <f>AND(#REF!,"AAAAAH0/xeA=")</f>
        <v>#REF!</v>
      </c>
      <c r="HR214" t="e">
        <f>AND(#REF!,"AAAAAH0/xeE=")</f>
        <v>#REF!</v>
      </c>
      <c r="HS214" t="e">
        <f>AND(#REF!,"AAAAAH0/xeI=")</f>
        <v>#REF!</v>
      </c>
      <c r="HT214" t="e">
        <f>AND(#REF!,"AAAAAH0/xeM=")</f>
        <v>#REF!</v>
      </c>
      <c r="HU214" t="e">
        <f>AND(#REF!,"AAAAAH0/xeQ=")</f>
        <v>#REF!</v>
      </c>
      <c r="HV214" t="e">
        <f>AND(#REF!,"AAAAAH0/xeU=")</f>
        <v>#REF!</v>
      </c>
      <c r="HW214" t="e">
        <f>AND(#REF!,"AAAAAH0/xeY=")</f>
        <v>#REF!</v>
      </c>
      <c r="HX214" t="e">
        <f>AND(#REF!,"AAAAAH0/xec=")</f>
        <v>#REF!</v>
      </c>
      <c r="HY214" t="e">
        <f>AND(#REF!,"AAAAAH0/xeg=")</f>
        <v>#REF!</v>
      </c>
      <c r="HZ214" t="e">
        <f>AND(#REF!,"AAAAAH0/xek=")</f>
        <v>#REF!</v>
      </c>
      <c r="IA214" t="e">
        <f>AND(#REF!,"AAAAAH0/xeo=")</f>
        <v>#REF!</v>
      </c>
      <c r="IB214" t="e">
        <f>AND(#REF!,"AAAAAH0/xes=")</f>
        <v>#REF!</v>
      </c>
      <c r="IC214" t="e">
        <f>AND(#REF!,"AAAAAH0/xew=")</f>
        <v>#REF!</v>
      </c>
      <c r="ID214" t="e">
        <f>AND(#REF!,"AAAAAH0/xe0=")</f>
        <v>#REF!</v>
      </c>
      <c r="IE214" t="e">
        <f>AND(#REF!,"AAAAAH0/xe4=")</f>
        <v>#REF!</v>
      </c>
      <c r="IF214" t="e">
        <f>AND(#REF!,"AAAAAH0/xe8=")</f>
        <v>#REF!</v>
      </c>
      <c r="IG214" t="e">
        <f>AND(#REF!,"AAAAAH0/xfA=")</f>
        <v>#REF!</v>
      </c>
      <c r="IH214" t="e">
        <f>AND(#REF!,"AAAAAH0/xfE=")</f>
        <v>#REF!</v>
      </c>
      <c r="II214" t="e">
        <f>AND(#REF!,"AAAAAH0/xfI=")</f>
        <v>#REF!</v>
      </c>
      <c r="IJ214" t="e">
        <f>AND(#REF!,"AAAAAH0/xfM=")</f>
        <v>#REF!</v>
      </c>
      <c r="IK214" t="e">
        <f>AND(#REF!,"AAAAAH0/xfQ=")</f>
        <v>#REF!</v>
      </c>
      <c r="IL214" t="e">
        <f>AND(#REF!,"AAAAAH0/xfU=")</f>
        <v>#REF!</v>
      </c>
      <c r="IM214" t="e">
        <f>AND(#REF!,"AAAAAH0/xfY=")</f>
        <v>#REF!</v>
      </c>
      <c r="IN214" t="e">
        <f>AND(#REF!,"AAAAAH0/xfc=")</f>
        <v>#REF!</v>
      </c>
      <c r="IO214" t="e">
        <f>AND(#REF!,"AAAAAH0/xfg=")</f>
        <v>#REF!</v>
      </c>
      <c r="IP214" t="e">
        <f>AND(#REF!,"AAAAAH0/xfk=")</f>
        <v>#REF!</v>
      </c>
      <c r="IQ214" t="e">
        <f>AND(#REF!,"AAAAAH0/xfo=")</f>
        <v>#REF!</v>
      </c>
      <c r="IR214" t="e">
        <f>AND(#REF!,"AAAAAH0/xfs=")</f>
        <v>#REF!</v>
      </c>
      <c r="IS214" t="e">
        <f>AND(#REF!,"AAAAAH0/xfw=")</f>
        <v>#REF!</v>
      </c>
      <c r="IT214" t="e">
        <f>AND(#REF!,"AAAAAH0/xf0=")</f>
        <v>#REF!</v>
      </c>
      <c r="IU214" t="e">
        <f>AND(#REF!,"AAAAAH0/xf4=")</f>
        <v>#REF!</v>
      </c>
      <c r="IV214" t="e">
        <f>AND(#REF!,"AAAAAH0/xf8=")</f>
        <v>#REF!</v>
      </c>
    </row>
    <row r="215" spans="1:256">
      <c r="A215" t="e">
        <f>AND(#REF!,"AAAAAEf3WwA=")</f>
        <v>#REF!</v>
      </c>
      <c r="B215" t="e">
        <f>AND(#REF!,"AAAAAEf3WwE=")</f>
        <v>#REF!</v>
      </c>
      <c r="C215" t="e">
        <f>AND(#REF!,"AAAAAEf3WwI=")</f>
        <v>#REF!</v>
      </c>
      <c r="D215" t="e">
        <f>AND(#REF!,"AAAAAEf3WwM=")</f>
        <v>#REF!</v>
      </c>
      <c r="E215" t="e">
        <f>AND(#REF!,"AAAAAEf3WwQ=")</f>
        <v>#REF!</v>
      </c>
      <c r="F215" t="e">
        <f>AND(#REF!,"AAAAAEf3WwU=")</f>
        <v>#REF!</v>
      </c>
      <c r="G215" t="e">
        <f>AND(#REF!,"AAAAAEf3WwY=")</f>
        <v>#REF!</v>
      </c>
      <c r="H215" t="e">
        <f>AND(#REF!,"AAAAAEf3Wwc=")</f>
        <v>#REF!</v>
      </c>
      <c r="I215" t="e">
        <f>AND(#REF!,"AAAAAEf3Wwg=")</f>
        <v>#REF!</v>
      </c>
      <c r="J215" t="e">
        <f>AND(#REF!,"AAAAAEf3Wwk=")</f>
        <v>#REF!</v>
      </c>
      <c r="K215" t="e">
        <f>AND(#REF!,"AAAAAEf3Wwo=")</f>
        <v>#REF!</v>
      </c>
      <c r="L215" t="e">
        <f>AND(#REF!,"AAAAAEf3Wws=")</f>
        <v>#REF!</v>
      </c>
      <c r="M215" t="e">
        <f>AND(#REF!,"AAAAAEf3Www=")</f>
        <v>#REF!</v>
      </c>
      <c r="N215" t="e">
        <f>AND(#REF!,"AAAAAEf3Ww0=")</f>
        <v>#REF!</v>
      </c>
      <c r="O215" t="e">
        <f>AND(#REF!,"AAAAAEf3Ww4=")</f>
        <v>#REF!</v>
      </c>
      <c r="P215" t="e">
        <f>AND(#REF!,"AAAAAEf3Ww8=")</f>
        <v>#REF!</v>
      </c>
      <c r="Q215" t="e">
        <f>AND(#REF!,"AAAAAEf3WxA=")</f>
        <v>#REF!</v>
      </c>
      <c r="R215" t="e">
        <f>AND(#REF!,"AAAAAEf3WxE=")</f>
        <v>#REF!</v>
      </c>
      <c r="S215" t="e">
        <f>AND(#REF!,"AAAAAEf3WxI=")</f>
        <v>#REF!</v>
      </c>
      <c r="T215" t="e">
        <f>AND(#REF!,"AAAAAEf3WxM=")</f>
        <v>#REF!</v>
      </c>
      <c r="U215" t="e">
        <f>AND(#REF!,"AAAAAEf3WxQ=")</f>
        <v>#REF!</v>
      </c>
      <c r="V215" t="e">
        <f>AND(#REF!,"AAAAAEf3WxU=")</f>
        <v>#REF!</v>
      </c>
      <c r="W215" t="e">
        <f>AND(#REF!,"AAAAAEf3WxY=")</f>
        <v>#REF!</v>
      </c>
      <c r="X215" t="e">
        <f>AND(#REF!,"AAAAAEf3Wxc=")</f>
        <v>#REF!</v>
      </c>
      <c r="Y215" t="e">
        <f>AND(#REF!,"AAAAAEf3Wxg=")</f>
        <v>#REF!</v>
      </c>
      <c r="Z215" t="e">
        <f>AND(#REF!,"AAAAAEf3Wxk=")</f>
        <v>#REF!</v>
      </c>
      <c r="AA215" t="e">
        <f>AND(#REF!,"AAAAAEf3Wxo=")</f>
        <v>#REF!</v>
      </c>
      <c r="AB215" t="e">
        <f>AND(#REF!,"AAAAAEf3Wxs=")</f>
        <v>#REF!</v>
      </c>
      <c r="AC215" t="e">
        <f>AND(#REF!,"AAAAAEf3Wxw=")</f>
        <v>#REF!</v>
      </c>
      <c r="AD215" t="e">
        <f>AND(#REF!,"AAAAAEf3Wx0=")</f>
        <v>#REF!</v>
      </c>
      <c r="AE215" t="e">
        <f>AND(#REF!,"AAAAAEf3Wx4=")</f>
        <v>#REF!</v>
      </c>
      <c r="AF215" t="e">
        <f>AND(#REF!,"AAAAAEf3Wx8=")</f>
        <v>#REF!</v>
      </c>
      <c r="AG215" t="e">
        <f>AND(#REF!,"AAAAAEf3WyA=")</f>
        <v>#REF!</v>
      </c>
      <c r="AH215" t="e">
        <f>AND(#REF!,"AAAAAEf3WyE=")</f>
        <v>#REF!</v>
      </c>
      <c r="AI215" t="e">
        <f>AND(#REF!,"AAAAAEf3WyI=")</f>
        <v>#REF!</v>
      </c>
      <c r="AJ215" t="e">
        <f>AND(#REF!,"AAAAAEf3WyM=")</f>
        <v>#REF!</v>
      </c>
      <c r="AK215" t="e">
        <f>AND(#REF!,"AAAAAEf3WyQ=")</f>
        <v>#REF!</v>
      </c>
      <c r="AL215" t="e">
        <f>AND(#REF!,"AAAAAEf3WyU=")</f>
        <v>#REF!</v>
      </c>
      <c r="AM215" t="e">
        <f>AND(#REF!,"AAAAAEf3WyY=")</f>
        <v>#REF!</v>
      </c>
      <c r="AN215" t="e">
        <f>AND(#REF!,"AAAAAEf3Wyc=")</f>
        <v>#REF!</v>
      </c>
      <c r="AO215" t="e">
        <f>AND(#REF!,"AAAAAEf3Wyg=")</f>
        <v>#REF!</v>
      </c>
      <c r="AP215" t="e">
        <f>AND(#REF!,"AAAAAEf3Wyk=")</f>
        <v>#REF!</v>
      </c>
      <c r="AQ215" t="e">
        <f>AND(#REF!,"AAAAAEf3Wyo=")</f>
        <v>#REF!</v>
      </c>
      <c r="AR215" t="e">
        <f>AND(#REF!,"AAAAAEf3Wys=")</f>
        <v>#REF!</v>
      </c>
      <c r="AS215" t="e">
        <f>AND(#REF!,"AAAAAEf3Wyw=")</f>
        <v>#REF!</v>
      </c>
      <c r="AT215" t="e">
        <f>AND(#REF!,"AAAAAEf3Wy0=")</f>
        <v>#REF!</v>
      </c>
      <c r="AU215" t="e">
        <f>AND(#REF!,"AAAAAEf3Wy4=")</f>
        <v>#REF!</v>
      </c>
      <c r="AV215" t="e">
        <f>AND(#REF!,"AAAAAEf3Wy8=")</f>
        <v>#REF!</v>
      </c>
      <c r="AW215" t="e">
        <f>AND(#REF!,"AAAAAEf3WzA=")</f>
        <v>#REF!</v>
      </c>
      <c r="AX215" t="e">
        <f>AND(#REF!,"AAAAAEf3WzE=")</f>
        <v>#REF!</v>
      </c>
      <c r="AY215" t="e">
        <f>AND(#REF!,"AAAAAEf3WzI=")</f>
        <v>#REF!</v>
      </c>
      <c r="AZ215" t="e">
        <f>AND(#REF!,"AAAAAEf3WzM=")</f>
        <v>#REF!</v>
      </c>
      <c r="BA215" t="e">
        <f>AND(#REF!,"AAAAAEf3WzQ=")</f>
        <v>#REF!</v>
      </c>
      <c r="BB215" t="e">
        <f>AND(#REF!,"AAAAAEf3WzU=")</f>
        <v>#REF!</v>
      </c>
      <c r="BC215" t="e">
        <f>AND(#REF!,"AAAAAEf3WzY=")</f>
        <v>#REF!</v>
      </c>
      <c r="BD215" t="e">
        <f>AND(#REF!,"AAAAAEf3Wzc=")</f>
        <v>#REF!</v>
      </c>
      <c r="BE215" t="e">
        <f>AND(#REF!,"AAAAAEf3Wzg=")</f>
        <v>#REF!</v>
      </c>
      <c r="BF215" t="e">
        <f>AND(#REF!,"AAAAAEf3Wzk=")</f>
        <v>#REF!</v>
      </c>
      <c r="BG215" t="e">
        <f>AND(#REF!,"AAAAAEf3Wzo=")</f>
        <v>#REF!</v>
      </c>
      <c r="BH215" t="e">
        <f>AND(#REF!,"AAAAAEf3Wzs=")</f>
        <v>#REF!</v>
      </c>
      <c r="BI215" t="e">
        <f>AND(#REF!,"AAAAAEf3Wzw=")</f>
        <v>#REF!</v>
      </c>
      <c r="BJ215" t="e">
        <f>AND(#REF!,"AAAAAEf3Wz0=")</f>
        <v>#REF!</v>
      </c>
      <c r="BK215" t="e">
        <f>AND(#REF!,"AAAAAEf3Wz4=")</f>
        <v>#REF!</v>
      </c>
      <c r="BL215" t="e">
        <f>AND(#REF!,"AAAAAEf3Wz8=")</f>
        <v>#REF!</v>
      </c>
      <c r="BM215" t="e">
        <f>AND(#REF!,"AAAAAEf3W0A=")</f>
        <v>#REF!</v>
      </c>
      <c r="BN215" t="e">
        <f>AND(#REF!,"AAAAAEf3W0E=")</f>
        <v>#REF!</v>
      </c>
      <c r="BO215" t="e">
        <f>AND(#REF!,"AAAAAEf3W0I=")</f>
        <v>#REF!</v>
      </c>
      <c r="BP215" t="e">
        <f>AND(#REF!,"AAAAAEf3W0M=")</f>
        <v>#REF!</v>
      </c>
      <c r="BQ215" t="e">
        <f>AND(#REF!,"AAAAAEf3W0Q=")</f>
        <v>#REF!</v>
      </c>
      <c r="BR215" t="e">
        <f>AND(#REF!,"AAAAAEf3W0U=")</f>
        <v>#REF!</v>
      </c>
      <c r="BS215" t="e">
        <f>AND(#REF!,"AAAAAEf3W0Y=")</f>
        <v>#REF!</v>
      </c>
      <c r="BT215" t="e">
        <f>AND(#REF!,"AAAAAEf3W0c=")</f>
        <v>#REF!</v>
      </c>
      <c r="BU215" t="e">
        <f>AND(#REF!,"AAAAAEf3W0g=")</f>
        <v>#REF!</v>
      </c>
      <c r="BV215" t="e">
        <f>AND(#REF!,"AAAAAEf3W0k=")</f>
        <v>#REF!</v>
      </c>
      <c r="BW215" t="e">
        <f>AND(#REF!,"AAAAAEf3W0o=")</f>
        <v>#REF!</v>
      </c>
      <c r="BX215" t="e">
        <f>AND(#REF!,"AAAAAEf3W0s=")</f>
        <v>#REF!</v>
      </c>
      <c r="BY215" t="e">
        <f>AND(#REF!,"AAAAAEf3W0w=")</f>
        <v>#REF!</v>
      </c>
      <c r="BZ215" t="e">
        <f>AND(#REF!,"AAAAAEf3W00=")</f>
        <v>#REF!</v>
      </c>
      <c r="CA215" t="e">
        <f>AND(#REF!,"AAAAAEf3W04=")</f>
        <v>#REF!</v>
      </c>
      <c r="CB215" t="e">
        <f>AND(#REF!,"AAAAAEf3W08=")</f>
        <v>#REF!</v>
      </c>
      <c r="CC215" t="e">
        <f>AND(#REF!,"AAAAAEf3W1A=")</f>
        <v>#REF!</v>
      </c>
      <c r="CD215" t="e">
        <f>AND(#REF!,"AAAAAEf3W1E=")</f>
        <v>#REF!</v>
      </c>
      <c r="CE215" t="e">
        <f>AND(#REF!,"AAAAAEf3W1I=")</f>
        <v>#REF!</v>
      </c>
      <c r="CF215" t="e">
        <f>AND(#REF!,"AAAAAEf3W1M=")</f>
        <v>#REF!</v>
      </c>
      <c r="CG215" t="e">
        <f>AND(#REF!,"AAAAAEf3W1Q=")</f>
        <v>#REF!</v>
      </c>
      <c r="CH215" t="e">
        <f>AND(#REF!,"AAAAAEf3W1U=")</f>
        <v>#REF!</v>
      </c>
      <c r="CI215" t="e">
        <f>AND(#REF!,"AAAAAEf3W1Y=")</f>
        <v>#REF!</v>
      </c>
      <c r="CJ215" t="e">
        <f>AND(#REF!,"AAAAAEf3W1c=")</f>
        <v>#REF!</v>
      </c>
      <c r="CK215" t="e">
        <f>AND(#REF!,"AAAAAEf3W1g=")</f>
        <v>#REF!</v>
      </c>
      <c r="CL215" t="e">
        <f>AND(#REF!,"AAAAAEf3W1k=")</f>
        <v>#REF!</v>
      </c>
      <c r="CM215" t="e">
        <f>AND(#REF!,"AAAAAEf3W1o=")</f>
        <v>#REF!</v>
      </c>
      <c r="CN215" t="e">
        <f>AND(#REF!,"AAAAAEf3W1s=")</f>
        <v>#REF!</v>
      </c>
      <c r="CO215" t="e">
        <f>AND(#REF!,"AAAAAEf3W1w=")</f>
        <v>#REF!</v>
      </c>
      <c r="CP215" t="e">
        <f>AND(#REF!,"AAAAAEf3W10=")</f>
        <v>#REF!</v>
      </c>
      <c r="CQ215" t="e">
        <f>AND(#REF!,"AAAAAEf3W14=")</f>
        <v>#REF!</v>
      </c>
      <c r="CR215" t="e">
        <f>AND(#REF!,"AAAAAEf3W18=")</f>
        <v>#REF!</v>
      </c>
      <c r="CS215" t="e">
        <f>AND(#REF!,"AAAAAEf3W2A=")</f>
        <v>#REF!</v>
      </c>
      <c r="CT215" t="e">
        <f>AND(#REF!,"AAAAAEf3W2E=")</f>
        <v>#REF!</v>
      </c>
      <c r="CU215" t="e">
        <f>AND(#REF!,"AAAAAEf3W2I=")</f>
        <v>#REF!</v>
      </c>
      <c r="CV215" t="e">
        <f>AND(#REF!,"AAAAAEf3W2M=")</f>
        <v>#REF!</v>
      </c>
      <c r="CW215" t="e">
        <f>AND(#REF!,"AAAAAEf3W2Q=")</f>
        <v>#REF!</v>
      </c>
      <c r="CX215" t="e">
        <f>AND(#REF!,"AAAAAEf3W2U=")</f>
        <v>#REF!</v>
      </c>
      <c r="CY215" t="e">
        <f>AND(#REF!,"AAAAAEf3W2Y=")</f>
        <v>#REF!</v>
      </c>
      <c r="CZ215" t="e">
        <f>AND(#REF!,"AAAAAEf3W2c=")</f>
        <v>#REF!</v>
      </c>
      <c r="DA215" t="e">
        <f>AND(#REF!,"AAAAAEf3W2g=")</f>
        <v>#REF!</v>
      </c>
      <c r="DB215" t="e">
        <f>AND(#REF!,"AAAAAEf3W2k=")</f>
        <v>#REF!</v>
      </c>
      <c r="DC215" t="e">
        <f>IF(#REF!,"AAAAAEf3W2o=",0)</f>
        <v>#REF!</v>
      </c>
      <c r="DD215" t="e">
        <f>AND(#REF!,"AAAAAEf3W2s=")</f>
        <v>#REF!</v>
      </c>
      <c r="DE215" t="e">
        <f>AND(#REF!,"AAAAAEf3W2w=")</f>
        <v>#REF!</v>
      </c>
      <c r="DF215" t="e">
        <f>AND(#REF!,"AAAAAEf3W20=")</f>
        <v>#REF!</v>
      </c>
      <c r="DG215" t="e">
        <f>AND(#REF!,"AAAAAEf3W24=")</f>
        <v>#REF!</v>
      </c>
      <c r="DH215" t="e">
        <f>AND(#REF!,"AAAAAEf3W28=")</f>
        <v>#REF!</v>
      </c>
      <c r="DI215" t="e">
        <f>AND(#REF!,"AAAAAEf3W3A=")</f>
        <v>#REF!</v>
      </c>
      <c r="DJ215" t="e">
        <f>AND(#REF!,"AAAAAEf3W3E=")</f>
        <v>#REF!</v>
      </c>
      <c r="DK215" t="e">
        <f>AND(#REF!,"AAAAAEf3W3I=")</f>
        <v>#REF!</v>
      </c>
      <c r="DL215" t="e">
        <f>AND(#REF!,"AAAAAEf3W3M=")</f>
        <v>#REF!</v>
      </c>
      <c r="DM215" t="e">
        <f>AND(#REF!,"AAAAAEf3W3Q=")</f>
        <v>#REF!</v>
      </c>
      <c r="DN215" t="e">
        <f>AND(#REF!,"AAAAAEf3W3U=")</f>
        <v>#REF!</v>
      </c>
      <c r="DO215" t="e">
        <f>AND(#REF!,"AAAAAEf3W3Y=")</f>
        <v>#REF!</v>
      </c>
      <c r="DP215" t="e">
        <f>AND(#REF!,"AAAAAEf3W3c=")</f>
        <v>#REF!</v>
      </c>
      <c r="DQ215" t="e">
        <f>AND(#REF!,"AAAAAEf3W3g=")</f>
        <v>#REF!</v>
      </c>
      <c r="DR215" t="e">
        <f>AND(#REF!,"AAAAAEf3W3k=")</f>
        <v>#REF!</v>
      </c>
      <c r="DS215" t="e">
        <f>AND(#REF!,"AAAAAEf3W3o=")</f>
        <v>#REF!</v>
      </c>
      <c r="DT215" t="e">
        <f>AND(#REF!,"AAAAAEf3W3s=")</f>
        <v>#REF!</v>
      </c>
      <c r="DU215" t="e">
        <f>AND(#REF!,"AAAAAEf3W3w=")</f>
        <v>#REF!</v>
      </c>
      <c r="DV215" t="e">
        <f>AND(#REF!,"AAAAAEf3W30=")</f>
        <v>#REF!</v>
      </c>
      <c r="DW215" t="e">
        <f>AND(#REF!,"AAAAAEf3W34=")</f>
        <v>#REF!</v>
      </c>
      <c r="DX215" t="e">
        <f>AND(#REF!,"AAAAAEf3W38=")</f>
        <v>#REF!</v>
      </c>
      <c r="DY215" t="e">
        <f>AND(#REF!,"AAAAAEf3W4A=")</f>
        <v>#REF!</v>
      </c>
      <c r="DZ215" t="e">
        <f>AND(#REF!,"AAAAAEf3W4E=")</f>
        <v>#REF!</v>
      </c>
      <c r="EA215" t="e">
        <f>AND(#REF!,"AAAAAEf3W4I=")</f>
        <v>#REF!</v>
      </c>
      <c r="EB215" t="e">
        <f>AND(#REF!,"AAAAAEf3W4M=")</f>
        <v>#REF!</v>
      </c>
      <c r="EC215" t="e">
        <f>AND(#REF!,"AAAAAEf3W4Q=")</f>
        <v>#REF!</v>
      </c>
      <c r="ED215" t="e">
        <f>AND(#REF!,"AAAAAEf3W4U=")</f>
        <v>#REF!</v>
      </c>
      <c r="EE215" t="e">
        <f>AND(#REF!,"AAAAAEf3W4Y=")</f>
        <v>#REF!</v>
      </c>
      <c r="EF215" t="e">
        <f>AND(#REF!,"AAAAAEf3W4c=")</f>
        <v>#REF!</v>
      </c>
      <c r="EG215" t="e">
        <f>AND(#REF!,"AAAAAEf3W4g=")</f>
        <v>#REF!</v>
      </c>
      <c r="EH215" t="e">
        <f>AND(#REF!,"AAAAAEf3W4k=")</f>
        <v>#REF!</v>
      </c>
      <c r="EI215" t="e">
        <f>AND(#REF!,"AAAAAEf3W4o=")</f>
        <v>#REF!</v>
      </c>
      <c r="EJ215" t="e">
        <f>AND(#REF!,"AAAAAEf3W4s=")</f>
        <v>#REF!</v>
      </c>
      <c r="EK215" t="e">
        <f>AND(#REF!,"AAAAAEf3W4w=")</f>
        <v>#REF!</v>
      </c>
      <c r="EL215" t="e">
        <f>AND(#REF!,"AAAAAEf3W40=")</f>
        <v>#REF!</v>
      </c>
      <c r="EM215" t="e">
        <f>AND(#REF!,"AAAAAEf3W44=")</f>
        <v>#REF!</v>
      </c>
      <c r="EN215" t="e">
        <f>AND(#REF!,"AAAAAEf3W48=")</f>
        <v>#REF!</v>
      </c>
      <c r="EO215" t="e">
        <f>AND(#REF!,"AAAAAEf3W5A=")</f>
        <v>#REF!</v>
      </c>
      <c r="EP215" t="e">
        <f>AND(#REF!,"AAAAAEf3W5E=")</f>
        <v>#REF!</v>
      </c>
      <c r="EQ215" t="e">
        <f>AND(#REF!,"AAAAAEf3W5I=")</f>
        <v>#REF!</v>
      </c>
      <c r="ER215" t="e">
        <f>AND(#REF!,"AAAAAEf3W5M=")</f>
        <v>#REF!</v>
      </c>
      <c r="ES215" t="e">
        <f>AND(#REF!,"AAAAAEf3W5Q=")</f>
        <v>#REF!</v>
      </c>
      <c r="ET215" t="e">
        <f>AND(#REF!,"AAAAAEf3W5U=")</f>
        <v>#REF!</v>
      </c>
      <c r="EU215" t="e">
        <f>AND(#REF!,"AAAAAEf3W5Y=")</f>
        <v>#REF!</v>
      </c>
      <c r="EV215" t="e">
        <f>AND(#REF!,"AAAAAEf3W5c=")</f>
        <v>#REF!</v>
      </c>
      <c r="EW215" t="e">
        <f>AND(#REF!,"AAAAAEf3W5g=")</f>
        <v>#REF!</v>
      </c>
      <c r="EX215" t="e">
        <f>AND(#REF!,"AAAAAEf3W5k=")</f>
        <v>#REF!</v>
      </c>
      <c r="EY215" t="e">
        <f>AND(#REF!,"AAAAAEf3W5o=")</f>
        <v>#REF!</v>
      </c>
      <c r="EZ215" t="e">
        <f>AND(#REF!,"AAAAAEf3W5s=")</f>
        <v>#REF!</v>
      </c>
      <c r="FA215" t="e">
        <f>AND(#REF!,"AAAAAEf3W5w=")</f>
        <v>#REF!</v>
      </c>
      <c r="FB215" t="e">
        <f>AND(#REF!,"AAAAAEf3W50=")</f>
        <v>#REF!</v>
      </c>
      <c r="FC215" t="e">
        <f>AND(#REF!,"AAAAAEf3W54=")</f>
        <v>#REF!</v>
      </c>
      <c r="FD215" t="e">
        <f>AND(#REF!,"AAAAAEf3W58=")</f>
        <v>#REF!</v>
      </c>
      <c r="FE215" t="e">
        <f>AND(#REF!,"AAAAAEf3W6A=")</f>
        <v>#REF!</v>
      </c>
      <c r="FF215" t="e">
        <f>AND(#REF!,"AAAAAEf3W6E=")</f>
        <v>#REF!</v>
      </c>
      <c r="FG215" t="e">
        <f>AND(#REF!,"AAAAAEf3W6I=")</f>
        <v>#REF!</v>
      </c>
      <c r="FH215" t="e">
        <f>AND(#REF!,"AAAAAEf3W6M=")</f>
        <v>#REF!</v>
      </c>
      <c r="FI215" t="e">
        <f>AND(#REF!,"AAAAAEf3W6Q=")</f>
        <v>#REF!</v>
      </c>
      <c r="FJ215" t="e">
        <f>AND(#REF!,"AAAAAEf3W6U=")</f>
        <v>#REF!</v>
      </c>
      <c r="FK215" t="e">
        <f>AND(#REF!,"AAAAAEf3W6Y=")</f>
        <v>#REF!</v>
      </c>
      <c r="FL215" t="e">
        <f>AND(#REF!,"AAAAAEf3W6c=")</f>
        <v>#REF!</v>
      </c>
      <c r="FM215" t="e">
        <f>AND(#REF!,"AAAAAEf3W6g=")</f>
        <v>#REF!</v>
      </c>
      <c r="FN215" t="e">
        <f>AND(#REF!,"AAAAAEf3W6k=")</f>
        <v>#REF!</v>
      </c>
      <c r="FO215" t="e">
        <f>AND(#REF!,"AAAAAEf3W6o=")</f>
        <v>#REF!</v>
      </c>
      <c r="FP215" t="e">
        <f>AND(#REF!,"AAAAAEf3W6s=")</f>
        <v>#REF!</v>
      </c>
      <c r="FQ215" t="e">
        <f>AND(#REF!,"AAAAAEf3W6w=")</f>
        <v>#REF!</v>
      </c>
      <c r="FR215" t="e">
        <f>AND(#REF!,"AAAAAEf3W60=")</f>
        <v>#REF!</v>
      </c>
      <c r="FS215" t="e">
        <f>AND(#REF!,"AAAAAEf3W64=")</f>
        <v>#REF!</v>
      </c>
      <c r="FT215" t="e">
        <f>AND(#REF!,"AAAAAEf3W68=")</f>
        <v>#REF!</v>
      </c>
      <c r="FU215" t="e">
        <f>AND(#REF!,"AAAAAEf3W7A=")</f>
        <v>#REF!</v>
      </c>
      <c r="FV215" t="e">
        <f>AND(#REF!,"AAAAAEf3W7E=")</f>
        <v>#REF!</v>
      </c>
      <c r="FW215" t="e">
        <f>AND(#REF!,"AAAAAEf3W7I=")</f>
        <v>#REF!</v>
      </c>
      <c r="FX215" t="e">
        <f>AND(#REF!,"AAAAAEf3W7M=")</f>
        <v>#REF!</v>
      </c>
      <c r="FY215" t="e">
        <f>AND(#REF!,"AAAAAEf3W7Q=")</f>
        <v>#REF!</v>
      </c>
      <c r="FZ215" t="e">
        <f>AND(#REF!,"AAAAAEf3W7U=")</f>
        <v>#REF!</v>
      </c>
      <c r="GA215" t="e">
        <f>AND(#REF!,"AAAAAEf3W7Y=")</f>
        <v>#REF!</v>
      </c>
      <c r="GB215" t="e">
        <f>AND(#REF!,"AAAAAEf3W7c=")</f>
        <v>#REF!</v>
      </c>
      <c r="GC215" t="e">
        <f>AND(#REF!,"AAAAAEf3W7g=")</f>
        <v>#REF!</v>
      </c>
      <c r="GD215" t="e">
        <f>AND(#REF!,"AAAAAEf3W7k=")</f>
        <v>#REF!</v>
      </c>
      <c r="GE215" t="e">
        <f>AND(#REF!,"AAAAAEf3W7o=")</f>
        <v>#REF!</v>
      </c>
      <c r="GF215" t="e">
        <f>AND(#REF!,"AAAAAEf3W7s=")</f>
        <v>#REF!</v>
      </c>
      <c r="GG215" t="e">
        <f>AND(#REF!,"AAAAAEf3W7w=")</f>
        <v>#REF!</v>
      </c>
      <c r="GH215" t="e">
        <f>AND(#REF!,"AAAAAEf3W70=")</f>
        <v>#REF!</v>
      </c>
      <c r="GI215" t="e">
        <f>AND(#REF!,"AAAAAEf3W74=")</f>
        <v>#REF!</v>
      </c>
      <c r="GJ215" t="e">
        <f>AND(#REF!,"AAAAAEf3W78=")</f>
        <v>#REF!</v>
      </c>
      <c r="GK215" t="e">
        <f>AND(#REF!,"AAAAAEf3W8A=")</f>
        <v>#REF!</v>
      </c>
      <c r="GL215" t="e">
        <f>AND(#REF!,"AAAAAEf3W8E=")</f>
        <v>#REF!</v>
      </c>
      <c r="GM215" t="e">
        <f>AND(#REF!,"AAAAAEf3W8I=")</f>
        <v>#REF!</v>
      </c>
      <c r="GN215" t="e">
        <f>AND(#REF!,"AAAAAEf3W8M=")</f>
        <v>#REF!</v>
      </c>
      <c r="GO215" t="e">
        <f>AND(#REF!,"AAAAAEf3W8Q=")</f>
        <v>#REF!</v>
      </c>
      <c r="GP215" t="e">
        <f>AND(#REF!,"AAAAAEf3W8U=")</f>
        <v>#REF!</v>
      </c>
      <c r="GQ215" t="e">
        <f>AND(#REF!,"AAAAAEf3W8Y=")</f>
        <v>#REF!</v>
      </c>
      <c r="GR215" t="e">
        <f>AND(#REF!,"AAAAAEf3W8c=")</f>
        <v>#REF!</v>
      </c>
      <c r="GS215" t="e">
        <f>AND(#REF!,"AAAAAEf3W8g=")</f>
        <v>#REF!</v>
      </c>
      <c r="GT215" t="e">
        <f>AND(#REF!,"AAAAAEf3W8k=")</f>
        <v>#REF!</v>
      </c>
      <c r="GU215" t="e">
        <f>AND(#REF!,"AAAAAEf3W8o=")</f>
        <v>#REF!</v>
      </c>
      <c r="GV215" t="e">
        <f>AND(#REF!,"AAAAAEf3W8s=")</f>
        <v>#REF!</v>
      </c>
      <c r="GW215" t="e">
        <f>AND(#REF!,"AAAAAEf3W8w=")</f>
        <v>#REF!</v>
      </c>
      <c r="GX215" t="e">
        <f>AND(#REF!,"AAAAAEf3W80=")</f>
        <v>#REF!</v>
      </c>
      <c r="GY215" t="e">
        <f>AND(#REF!,"AAAAAEf3W84=")</f>
        <v>#REF!</v>
      </c>
      <c r="GZ215" t="e">
        <f>AND(#REF!,"AAAAAEf3W88=")</f>
        <v>#REF!</v>
      </c>
      <c r="HA215" t="e">
        <f>AND(#REF!,"AAAAAEf3W9A=")</f>
        <v>#REF!</v>
      </c>
      <c r="HB215" t="e">
        <f>AND(#REF!,"AAAAAEf3W9E=")</f>
        <v>#REF!</v>
      </c>
      <c r="HC215" t="e">
        <f>AND(#REF!,"AAAAAEf3W9I=")</f>
        <v>#REF!</v>
      </c>
      <c r="HD215" t="e">
        <f>AND(#REF!,"AAAAAEf3W9M=")</f>
        <v>#REF!</v>
      </c>
      <c r="HE215" t="e">
        <f>AND(#REF!,"AAAAAEf3W9Q=")</f>
        <v>#REF!</v>
      </c>
      <c r="HF215" t="e">
        <f>AND(#REF!,"AAAAAEf3W9U=")</f>
        <v>#REF!</v>
      </c>
      <c r="HG215" t="e">
        <f>AND(#REF!,"AAAAAEf3W9Y=")</f>
        <v>#REF!</v>
      </c>
      <c r="HH215" t="e">
        <f>AND(#REF!,"AAAAAEf3W9c=")</f>
        <v>#REF!</v>
      </c>
      <c r="HI215" t="e">
        <f>AND(#REF!,"AAAAAEf3W9g=")</f>
        <v>#REF!</v>
      </c>
      <c r="HJ215" t="e">
        <f>AND(#REF!,"AAAAAEf3W9k=")</f>
        <v>#REF!</v>
      </c>
      <c r="HK215" t="e">
        <f>AND(#REF!,"AAAAAEf3W9o=")</f>
        <v>#REF!</v>
      </c>
      <c r="HL215" t="e">
        <f>AND(#REF!,"AAAAAEf3W9s=")</f>
        <v>#REF!</v>
      </c>
      <c r="HM215" t="e">
        <f>AND(#REF!,"AAAAAEf3W9w=")</f>
        <v>#REF!</v>
      </c>
      <c r="HN215" t="e">
        <f>AND(#REF!,"AAAAAEf3W90=")</f>
        <v>#REF!</v>
      </c>
      <c r="HO215" t="e">
        <f>AND(#REF!,"AAAAAEf3W94=")</f>
        <v>#REF!</v>
      </c>
      <c r="HP215" t="e">
        <f>AND(#REF!,"AAAAAEf3W98=")</f>
        <v>#REF!</v>
      </c>
      <c r="HQ215" t="e">
        <f>AND(#REF!,"AAAAAEf3W+A=")</f>
        <v>#REF!</v>
      </c>
      <c r="HR215" t="e">
        <f>AND(#REF!,"AAAAAEf3W+E=")</f>
        <v>#REF!</v>
      </c>
      <c r="HS215" t="e">
        <f>AND(#REF!,"AAAAAEf3W+I=")</f>
        <v>#REF!</v>
      </c>
      <c r="HT215" t="e">
        <f>AND(#REF!,"AAAAAEf3W+M=")</f>
        <v>#REF!</v>
      </c>
      <c r="HU215" t="e">
        <f>AND(#REF!,"AAAAAEf3W+Q=")</f>
        <v>#REF!</v>
      </c>
      <c r="HV215" t="e">
        <f>AND(#REF!,"AAAAAEf3W+U=")</f>
        <v>#REF!</v>
      </c>
      <c r="HW215" t="e">
        <f>AND(#REF!,"AAAAAEf3W+Y=")</f>
        <v>#REF!</v>
      </c>
      <c r="HX215" t="e">
        <f>AND(#REF!,"AAAAAEf3W+c=")</f>
        <v>#REF!</v>
      </c>
      <c r="HY215" t="e">
        <f>AND(#REF!,"AAAAAEf3W+g=")</f>
        <v>#REF!</v>
      </c>
      <c r="HZ215" t="e">
        <f>AND(#REF!,"AAAAAEf3W+k=")</f>
        <v>#REF!</v>
      </c>
      <c r="IA215" t="e">
        <f>AND(#REF!,"AAAAAEf3W+o=")</f>
        <v>#REF!</v>
      </c>
      <c r="IB215" t="e">
        <f>AND(#REF!,"AAAAAEf3W+s=")</f>
        <v>#REF!</v>
      </c>
      <c r="IC215" t="e">
        <f>AND(#REF!,"AAAAAEf3W+w=")</f>
        <v>#REF!</v>
      </c>
      <c r="ID215" t="e">
        <f>AND(#REF!,"AAAAAEf3W+0=")</f>
        <v>#REF!</v>
      </c>
      <c r="IE215" t="e">
        <f>AND(#REF!,"AAAAAEf3W+4=")</f>
        <v>#REF!</v>
      </c>
      <c r="IF215" t="e">
        <f>AND(#REF!,"AAAAAEf3W+8=")</f>
        <v>#REF!</v>
      </c>
      <c r="IG215" t="e">
        <f>AND(#REF!,"AAAAAEf3W/A=")</f>
        <v>#REF!</v>
      </c>
      <c r="IH215" t="e">
        <f>AND(#REF!,"AAAAAEf3W/E=")</f>
        <v>#REF!</v>
      </c>
      <c r="II215" t="e">
        <f>AND(#REF!,"AAAAAEf3W/I=")</f>
        <v>#REF!</v>
      </c>
      <c r="IJ215" t="e">
        <f>AND(#REF!,"AAAAAEf3W/M=")</f>
        <v>#REF!</v>
      </c>
      <c r="IK215" t="e">
        <f>AND(#REF!,"AAAAAEf3W/Q=")</f>
        <v>#REF!</v>
      </c>
      <c r="IL215" t="e">
        <f>AND(#REF!,"AAAAAEf3W/U=")</f>
        <v>#REF!</v>
      </c>
      <c r="IM215" t="e">
        <f>AND(#REF!,"AAAAAEf3W/Y=")</f>
        <v>#REF!</v>
      </c>
      <c r="IN215" t="e">
        <f>AND(#REF!,"AAAAAEf3W/c=")</f>
        <v>#REF!</v>
      </c>
      <c r="IO215" t="e">
        <f>AND(#REF!,"AAAAAEf3W/g=")</f>
        <v>#REF!</v>
      </c>
      <c r="IP215" t="e">
        <f>AND(#REF!,"AAAAAEf3W/k=")</f>
        <v>#REF!</v>
      </c>
      <c r="IQ215" t="e">
        <f>AND(#REF!,"AAAAAEf3W/o=")</f>
        <v>#REF!</v>
      </c>
      <c r="IR215" t="e">
        <f>AND(#REF!,"AAAAAEf3W/s=")</f>
        <v>#REF!</v>
      </c>
      <c r="IS215" t="e">
        <f>AND(#REF!,"AAAAAEf3W/w=")</f>
        <v>#REF!</v>
      </c>
      <c r="IT215" t="e">
        <f>AND(#REF!,"AAAAAEf3W/0=")</f>
        <v>#REF!</v>
      </c>
      <c r="IU215" t="e">
        <f>AND(#REF!,"AAAAAEf3W/4=")</f>
        <v>#REF!</v>
      </c>
      <c r="IV215" t="e">
        <f>AND(#REF!,"AAAAAEf3W/8=")</f>
        <v>#REF!</v>
      </c>
    </row>
    <row r="216" spans="1:256">
      <c r="A216" t="e">
        <f>AND(#REF!,"AAAAAGttOwA=")</f>
        <v>#REF!</v>
      </c>
      <c r="B216" t="e">
        <f>AND(#REF!,"AAAAAGttOwE=")</f>
        <v>#REF!</v>
      </c>
      <c r="C216" t="e">
        <f>AND(#REF!,"AAAAAGttOwI=")</f>
        <v>#REF!</v>
      </c>
      <c r="D216" t="e">
        <f>AND(#REF!,"AAAAAGttOwM=")</f>
        <v>#REF!</v>
      </c>
      <c r="E216" t="e">
        <f>AND(#REF!,"AAAAAGttOwQ=")</f>
        <v>#REF!</v>
      </c>
      <c r="F216" t="e">
        <f>AND(#REF!,"AAAAAGttOwU=")</f>
        <v>#REF!</v>
      </c>
      <c r="G216" t="e">
        <f>AND(#REF!,"AAAAAGttOwY=")</f>
        <v>#REF!</v>
      </c>
      <c r="H216" t="e">
        <f>AND(#REF!,"AAAAAGttOwc=")</f>
        <v>#REF!</v>
      </c>
      <c r="I216" t="e">
        <f>AND(#REF!,"AAAAAGttOwg=")</f>
        <v>#REF!</v>
      </c>
      <c r="J216" t="e">
        <f>AND(#REF!,"AAAAAGttOwk=")</f>
        <v>#REF!</v>
      </c>
      <c r="K216" t="e">
        <f>AND(#REF!,"AAAAAGttOwo=")</f>
        <v>#REF!</v>
      </c>
      <c r="L216" t="e">
        <f>AND(#REF!,"AAAAAGttOws=")</f>
        <v>#REF!</v>
      </c>
      <c r="M216" t="e">
        <f>AND(#REF!,"AAAAAGttOww=")</f>
        <v>#REF!</v>
      </c>
      <c r="N216" t="e">
        <f>AND(#REF!,"AAAAAGttOw0=")</f>
        <v>#REF!</v>
      </c>
      <c r="O216" t="e">
        <f>AND(#REF!,"AAAAAGttOw4=")</f>
        <v>#REF!</v>
      </c>
      <c r="P216" t="e">
        <f>AND(#REF!,"AAAAAGttOw8=")</f>
        <v>#REF!</v>
      </c>
      <c r="Q216" t="e">
        <f>AND(#REF!,"AAAAAGttOxA=")</f>
        <v>#REF!</v>
      </c>
      <c r="R216" t="e">
        <f>AND(#REF!,"AAAAAGttOxE=")</f>
        <v>#REF!</v>
      </c>
      <c r="S216" t="e">
        <f>AND(#REF!,"AAAAAGttOxI=")</f>
        <v>#REF!</v>
      </c>
      <c r="T216" t="e">
        <f>AND(#REF!,"AAAAAGttOxM=")</f>
        <v>#REF!</v>
      </c>
      <c r="U216" t="e">
        <f>AND(#REF!,"AAAAAGttOxQ=")</f>
        <v>#REF!</v>
      </c>
      <c r="V216" t="e">
        <f>AND(#REF!,"AAAAAGttOxU=")</f>
        <v>#REF!</v>
      </c>
      <c r="W216" t="e">
        <f>AND(#REF!,"AAAAAGttOxY=")</f>
        <v>#REF!</v>
      </c>
      <c r="X216" t="e">
        <f>AND(#REF!,"AAAAAGttOxc=")</f>
        <v>#REF!</v>
      </c>
      <c r="Y216" t="e">
        <f>AND(#REF!,"AAAAAGttOxg=")</f>
        <v>#REF!</v>
      </c>
      <c r="Z216" t="e">
        <f>AND(#REF!,"AAAAAGttOxk=")</f>
        <v>#REF!</v>
      </c>
      <c r="AA216" t="e">
        <f>AND(#REF!,"AAAAAGttOxo=")</f>
        <v>#REF!</v>
      </c>
      <c r="AB216" t="e">
        <f>AND(#REF!,"AAAAAGttOxs=")</f>
        <v>#REF!</v>
      </c>
      <c r="AC216" t="e">
        <f>AND(#REF!,"AAAAAGttOxw=")</f>
        <v>#REF!</v>
      </c>
      <c r="AD216" t="e">
        <f>AND(#REF!,"AAAAAGttOx0=")</f>
        <v>#REF!</v>
      </c>
      <c r="AE216" t="e">
        <f>AND(#REF!,"AAAAAGttOx4=")</f>
        <v>#REF!</v>
      </c>
      <c r="AF216" t="e">
        <f>AND(#REF!,"AAAAAGttOx8=")</f>
        <v>#REF!</v>
      </c>
      <c r="AG216" t="e">
        <f>AND(#REF!,"AAAAAGttOyA=")</f>
        <v>#REF!</v>
      </c>
      <c r="AH216" t="e">
        <f>AND(#REF!,"AAAAAGttOyE=")</f>
        <v>#REF!</v>
      </c>
      <c r="AI216" t="e">
        <f>AND(#REF!,"AAAAAGttOyI=")</f>
        <v>#REF!</v>
      </c>
      <c r="AJ216" t="e">
        <f>AND(#REF!,"AAAAAGttOyM=")</f>
        <v>#REF!</v>
      </c>
      <c r="AK216" t="e">
        <f>AND(#REF!,"AAAAAGttOyQ=")</f>
        <v>#REF!</v>
      </c>
      <c r="AL216" t="e">
        <f>AND(#REF!,"AAAAAGttOyU=")</f>
        <v>#REF!</v>
      </c>
      <c r="AM216" t="e">
        <f>AND(#REF!,"AAAAAGttOyY=")</f>
        <v>#REF!</v>
      </c>
      <c r="AN216" t="e">
        <f>AND(#REF!,"AAAAAGttOyc=")</f>
        <v>#REF!</v>
      </c>
      <c r="AO216" t="e">
        <f>AND(#REF!,"AAAAAGttOyg=")</f>
        <v>#REF!</v>
      </c>
      <c r="AP216" t="e">
        <f>AND(#REF!,"AAAAAGttOyk=")</f>
        <v>#REF!</v>
      </c>
      <c r="AQ216" t="e">
        <f>AND(#REF!,"AAAAAGttOyo=")</f>
        <v>#REF!</v>
      </c>
      <c r="AR216" t="e">
        <f>AND(#REF!,"AAAAAGttOys=")</f>
        <v>#REF!</v>
      </c>
      <c r="AS216" t="e">
        <f>AND(#REF!,"AAAAAGttOyw=")</f>
        <v>#REF!</v>
      </c>
      <c r="AT216" t="e">
        <f>AND(#REF!,"AAAAAGttOy0=")</f>
        <v>#REF!</v>
      </c>
      <c r="AU216" t="e">
        <f>AND(#REF!,"AAAAAGttOy4=")</f>
        <v>#REF!</v>
      </c>
      <c r="AV216" t="e">
        <f>AND(#REF!,"AAAAAGttOy8=")</f>
        <v>#REF!</v>
      </c>
      <c r="AW216" t="e">
        <f>AND(#REF!,"AAAAAGttOzA=")</f>
        <v>#REF!</v>
      </c>
      <c r="AX216" t="e">
        <f>AND(#REF!,"AAAAAGttOzE=")</f>
        <v>#REF!</v>
      </c>
      <c r="AY216" t="e">
        <f>AND(#REF!,"AAAAAGttOzI=")</f>
        <v>#REF!</v>
      </c>
      <c r="AZ216" t="e">
        <f>AND(#REF!,"AAAAAGttOzM=")</f>
        <v>#REF!</v>
      </c>
      <c r="BA216" t="e">
        <f>AND(#REF!,"AAAAAGttOzQ=")</f>
        <v>#REF!</v>
      </c>
      <c r="BB216" t="e">
        <f>AND(#REF!,"AAAAAGttOzU=")</f>
        <v>#REF!</v>
      </c>
      <c r="BC216" t="e">
        <f>AND(#REF!,"AAAAAGttOzY=")</f>
        <v>#REF!</v>
      </c>
      <c r="BD216" t="e">
        <f>AND(#REF!,"AAAAAGttOzc=")</f>
        <v>#REF!</v>
      </c>
      <c r="BE216" t="e">
        <f>AND(#REF!,"AAAAAGttOzg=")</f>
        <v>#REF!</v>
      </c>
      <c r="BF216" t="e">
        <f>AND(#REF!,"AAAAAGttOzk=")</f>
        <v>#REF!</v>
      </c>
      <c r="BG216" t="e">
        <f>AND(#REF!,"AAAAAGttOzo=")</f>
        <v>#REF!</v>
      </c>
      <c r="BH216" t="e">
        <f>AND(#REF!,"AAAAAGttOzs=")</f>
        <v>#REF!</v>
      </c>
      <c r="BI216" t="e">
        <f>AND(#REF!,"AAAAAGttOzw=")</f>
        <v>#REF!</v>
      </c>
      <c r="BJ216" t="e">
        <f>AND(#REF!,"AAAAAGttOz0=")</f>
        <v>#REF!</v>
      </c>
      <c r="BK216" t="e">
        <f>AND(#REF!,"AAAAAGttOz4=")</f>
        <v>#REF!</v>
      </c>
      <c r="BL216" t="e">
        <f>AND(#REF!,"AAAAAGttOz8=")</f>
        <v>#REF!</v>
      </c>
      <c r="BM216" t="e">
        <f>AND(#REF!,"AAAAAGttO0A=")</f>
        <v>#REF!</v>
      </c>
      <c r="BN216" t="e">
        <f>AND(#REF!,"AAAAAGttO0E=")</f>
        <v>#REF!</v>
      </c>
      <c r="BO216" t="e">
        <f>AND(#REF!,"AAAAAGttO0I=")</f>
        <v>#REF!</v>
      </c>
      <c r="BP216" t="e">
        <f>AND(#REF!,"AAAAAGttO0M=")</f>
        <v>#REF!</v>
      </c>
      <c r="BQ216" t="e">
        <f>AND(#REF!,"AAAAAGttO0Q=")</f>
        <v>#REF!</v>
      </c>
      <c r="BR216" t="e">
        <f>AND(#REF!,"AAAAAGttO0U=")</f>
        <v>#REF!</v>
      </c>
      <c r="BS216" t="e">
        <f>AND(#REF!,"AAAAAGttO0Y=")</f>
        <v>#REF!</v>
      </c>
      <c r="BT216" t="e">
        <f>AND(#REF!,"AAAAAGttO0c=")</f>
        <v>#REF!</v>
      </c>
      <c r="BU216" t="e">
        <f>AND(#REF!,"AAAAAGttO0g=")</f>
        <v>#REF!</v>
      </c>
      <c r="BV216" t="e">
        <f>AND(#REF!,"AAAAAGttO0k=")</f>
        <v>#REF!</v>
      </c>
      <c r="BW216" t="e">
        <f>AND(#REF!,"AAAAAGttO0o=")</f>
        <v>#REF!</v>
      </c>
      <c r="BX216" t="e">
        <f>AND(#REF!,"AAAAAGttO0s=")</f>
        <v>#REF!</v>
      </c>
      <c r="BY216" t="e">
        <f>AND(#REF!,"AAAAAGttO0w=")</f>
        <v>#REF!</v>
      </c>
      <c r="BZ216" t="e">
        <f>AND(#REF!,"AAAAAGttO00=")</f>
        <v>#REF!</v>
      </c>
      <c r="CA216" t="e">
        <f>IF(#REF!,"AAAAAGttO04=",0)</f>
        <v>#REF!</v>
      </c>
      <c r="CB216" t="e">
        <f>AND(#REF!,"AAAAAGttO08=")</f>
        <v>#REF!</v>
      </c>
      <c r="CC216" t="e">
        <f>AND(#REF!,"AAAAAGttO1A=")</f>
        <v>#REF!</v>
      </c>
      <c r="CD216" t="e">
        <f>AND(#REF!,"AAAAAGttO1E=")</f>
        <v>#REF!</v>
      </c>
      <c r="CE216" t="e">
        <f>AND(#REF!,"AAAAAGttO1I=")</f>
        <v>#REF!</v>
      </c>
      <c r="CF216" t="e">
        <f>AND(#REF!,"AAAAAGttO1M=")</f>
        <v>#REF!</v>
      </c>
      <c r="CG216" t="e">
        <f>AND(#REF!,"AAAAAGttO1Q=")</f>
        <v>#REF!</v>
      </c>
      <c r="CH216" t="e">
        <f>AND(#REF!,"AAAAAGttO1U=")</f>
        <v>#REF!</v>
      </c>
      <c r="CI216" t="e">
        <f>AND(#REF!,"AAAAAGttO1Y=")</f>
        <v>#REF!</v>
      </c>
      <c r="CJ216" t="e">
        <f>AND(#REF!,"AAAAAGttO1c=")</f>
        <v>#REF!</v>
      </c>
      <c r="CK216" t="e">
        <f>AND(#REF!,"AAAAAGttO1g=")</f>
        <v>#REF!</v>
      </c>
      <c r="CL216" t="e">
        <f>AND(#REF!,"AAAAAGttO1k=")</f>
        <v>#REF!</v>
      </c>
      <c r="CM216" t="e">
        <f>AND(#REF!,"AAAAAGttO1o=")</f>
        <v>#REF!</v>
      </c>
      <c r="CN216" t="e">
        <f>AND(#REF!,"AAAAAGttO1s=")</f>
        <v>#REF!</v>
      </c>
      <c r="CO216" t="e">
        <f>AND(#REF!,"AAAAAGttO1w=")</f>
        <v>#REF!</v>
      </c>
      <c r="CP216" t="e">
        <f>AND(#REF!,"AAAAAGttO10=")</f>
        <v>#REF!</v>
      </c>
      <c r="CQ216" t="e">
        <f>AND(#REF!,"AAAAAGttO14=")</f>
        <v>#REF!</v>
      </c>
      <c r="CR216" t="e">
        <f>AND(#REF!,"AAAAAGttO18=")</f>
        <v>#REF!</v>
      </c>
      <c r="CS216" t="e">
        <f>AND(#REF!,"AAAAAGttO2A=")</f>
        <v>#REF!</v>
      </c>
      <c r="CT216" t="e">
        <f>AND(#REF!,"AAAAAGttO2E=")</f>
        <v>#REF!</v>
      </c>
      <c r="CU216" t="e">
        <f>AND(#REF!,"AAAAAGttO2I=")</f>
        <v>#REF!</v>
      </c>
      <c r="CV216" t="e">
        <f>AND(#REF!,"AAAAAGttO2M=")</f>
        <v>#REF!</v>
      </c>
      <c r="CW216" t="e">
        <f>AND(#REF!,"AAAAAGttO2Q=")</f>
        <v>#REF!</v>
      </c>
      <c r="CX216" t="e">
        <f>AND(#REF!,"AAAAAGttO2U=")</f>
        <v>#REF!</v>
      </c>
      <c r="CY216" t="e">
        <f>AND(#REF!,"AAAAAGttO2Y=")</f>
        <v>#REF!</v>
      </c>
      <c r="CZ216" t="e">
        <f>AND(#REF!,"AAAAAGttO2c=")</f>
        <v>#REF!</v>
      </c>
      <c r="DA216" t="e">
        <f>AND(#REF!,"AAAAAGttO2g=")</f>
        <v>#REF!</v>
      </c>
      <c r="DB216" t="e">
        <f>AND(#REF!,"AAAAAGttO2k=")</f>
        <v>#REF!</v>
      </c>
      <c r="DC216" t="e">
        <f>AND(#REF!,"AAAAAGttO2o=")</f>
        <v>#REF!</v>
      </c>
      <c r="DD216" t="e">
        <f>AND(#REF!,"AAAAAGttO2s=")</f>
        <v>#REF!</v>
      </c>
      <c r="DE216" t="e">
        <f>AND(#REF!,"AAAAAGttO2w=")</f>
        <v>#REF!</v>
      </c>
      <c r="DF216" t="e">
        <f>AND(#REF!,"AAAAAGttO20=")</f>
        <v>#REF!</v>
      </c>
      <c r="DG216" t="e">
        <f>AND(#REF!,"AAAAAGttO24=")</f>
        <v>#REF!</v>
      </c>
      <c r="DH216" t="e">
        <f>AND(#REF!,"AAAAAGttO28=")</f>
        <v>#REF!</v>
      </c>
      <c r="DI216" t="e">
        <f>AND(#REF!,"AAAAAGttO3A=")</f>
        <v>#REF!</v>
      </c>
      <c r="DJ216" t="e">
        <f>AND(#REF!,"AAAAAGttO3E=")</f>
        <v>#REF!</v>
      </c>
      <c r="DK216" t="e">
        <f>AND(#REF!,"AAAAAGttO3I=")</f>
        <v>#REF!</v>
      </c>
      <c r="DL216" t="e">
        <f>AND(#REF!,"AAAAAGttO3M=")</f>
        <v>#REF!</v>
      </c>
      <c r="DM216" t="e">
        <f>AND(#REF!,"AAAAAGttO3Q=")</f>
        <v>#REF!</v>
      </c>
      <c r="DN216" t="e">
        <f>AND(#REF!,"AAAAAGttO3U=")</f>
        <v>#REF!</v>
      </c>
      <c r="DO216" t="e">
        <f>AND(#REF!,"AAAAAGttO3Y=")</f>
        <v>#REF!</v>
      </c>
      <c r="DP216" t="e">
        <f>AND(#REF!,"AAAAAGttO3c=")</f>
        <v>#REF!</v>
      </c>
      <c r="DQ216" t="e">
        <f>AND(#REF!,"AAAAAGttO3g=")</f>
        <v>#REF!</v>
      </c>
      <c r="DR216" t="e">
        <f>AND(#REF!,"AAAAAGttO3k=")</f>
        <v>#REF!</v>
      </c>
      <c r="DS216" t="e">
        <f>AND(#REF!,"AAAAAGttO3o=")</f>
        <v>#REF!</v>
      </c>
      <c r="DT216" t="e">
        <f>AND(#REF!,"AAAAAGttO3s=")</f>
        <v>#REF!</v>
      </c>
      <c r="DU216" t="e">
        <f>AND(#REF!,"AAAAAGttO3w=")</f>
        <v>#REF!</v>
      </c>
      <c r="DV216" t="e">
        <f>AND(#REF!,"AAAAAGttO30=")</f>
        <v>#REF!</v>
      </c>
      <c r="DW216" t="e">
        <f>AND(#REF!,"AAAAAGttO34=")</f>
        <v>#REF!</v>
      </c>
      <c r="DX216" t="e">
        <f>AND(#REF!,"AAAAAGttO38=")</f>
        <v>#REF!</v>
      </c>
      <c r="DY216" t="e">
        <f>AND(#REF!,"AAAAAGttO4A=")</f>
        <v>#REF!</v>
      </c>
      <c r="DZ216" t="e">
        <f>AND(#REF!,"AAAAAGttO4E=")</f>
        <v>#REF!</v>
      </c>
      <c r="EA216" t="e">
        <f>AND(#REF!,"AAAAAGttO4I=")</f>
        <v>#REF!</v>
      </c>
      <c r="EB216" t="e">
        <f>AND(#REF!,"AAAAAGttO4M=")</f>
        <v>#REF!</v>
      </c>
      <c r="EC216" t="e">
        <f>AND(#REF!,"AAAAAGttO4Q=")</f>
        <v>#REF!</v>
      </c>
      <c r="ED216" t="e">
        <f>AND(#REF!,"AAAAAGttO4U=")</f>
        <v>#REF!</v>
      </c>
      <c r="EE216" t="e">
        <f>AND(#REF!,"AAAAAGttO4Y=")</f>
        <v>#REF!</v>
      </c>
      <c r="EF216" t="e">
        <f>AND(#REF!,"AAAAAGttO4c=")</f>
        <v>#REF!</v>
      </c>
      <c r="EG216" t="e">
        <f>AND(#REF!,"AAAAAGttO4g=")</f>
        <v>#REF!</v>
      </c>
      <c r="EH216" t="e">
        <f>AND(#REF!,"AAAAAGttO4k=")</f>
        <v>#REF!</v>
      </c>
      <c r="EI216" t="e">
        <f>AND(#REF!,"AAAAAGttO4o=")</f>
        <v>#REF!</v>
      </c>
      <c r="EJ216" t="e">
        <f>AND(#REF!,"AAAAAGttO4s=")</f>
        <v>#REF!</v>
      </c>
      <c r="EK216" t="e">
        <f>AND(#REF!,"AAAAAGttO4w=")</f>
        <v>#REF!</v>
      </c>
      <c r="EL216" t="e">
        <f>AND(#REF!,"AAAAAGttO40=")</f>
        <v>#REF!</v>
      </c>
      <c r="EM216" t="e">
        <f>AND(#REF!,"AAAAAGttO44=")</f>
        <v>#REF!</v>
      </c>
      <c r="EN216" t="e">
        <f>AND(#REF!,"AAAAAGttO48=")</f>
        <v>#REF!</v>
      </c>
      <c r="EO216" t="e">
        <f>AND(#REF!,"AAAAAGttO5A=")</f>
        <v>#REF!</v>
      </c>
      <c r="EP216" t="e">
        <f>AND(#REF!,"AAAAAGttO5E=")</f>
        <v>#REF!</v>
      </c>
      <c r="EQ216" t="e">
        <f>AND(#REF!,"AAAAAGttO5I=")</f>
        <v>#REF!</v>
      </c>
      <c r="ER216" t="e">
        <f>AND(#REF!,"AAAAAGttO5M=")</f>
        <v>#REF!</v>
      </c>
      <c r="ES216" t="e">
        <f>AND(#REF!,"AAAAAGttO5Q=")</f>
        <v>#REF!</v>
      </c>
      <c r="ET216" t="e">
        <f>AND(#REF!,"AAAAAGttO5U=")</f>
        <v>#REF!</v>
      </c>
      <c r="EU216" t="e">
        <f>AND(#REF!,"AAAAAGttO5Y=")</f>
        <v>#REF!</v>
      </c>
      <c r="EV216" t="e">
        <f>AND(#REF!,"AAAAAGttO5c=")</f>
        <v>#REF!</v>
      </c>
      <c r="EW216" t="e">
        <f>AND(#REF!,"AAAAAGttO5g=")</f>
        <v>#REF!</v>
      </c>
      <c r="EX216" t="e">
        <f>AND(#REF!,"AAAAAGttO5k=")</f>
        <v>#REF!</v>
      </c>
      <c r="EY216" t="e">
        <f>AND(#REF!,"AAAAAGttO5o=")</f>
        <v>#REF!</v>
      </c>
      <c r="EZ216" t="e">
        <f>AND(#REF!,"AAAAAGttO5s=")</f>
        <v>#REF!</v>
      </c>
      <c r="FA216" t="e">
        <f>AND(#REF!,"AAAAAGttO5w=")</f>
        <v>#REF!</v>
      </c>
      <c r="FB216" t="e">
        <f>AND(#REF!,"AAAAAGttO50=")</f>
        <v>#REF!</v>
      </c>
      <c r="FC216" t="e">
        <f>AND(#REF!,"AAAAAGttO54=")</f>
        <v>#REF!</v>
      </c>
      <c r="FD216" t="e">
        <f>AND(#REF!,"AAAAAGttO58=")</f>
        <v>#REF!</v>
      </c>
      <c r="FE216" t="e">
        <f>AND(#REF!,"AAAAAGttO6A=")</f>
        <v>#REF!</v>
      </c>
      <c r="FF216" t="e">
        <f>AND(#REF!,"AAAAAGttO6E=")</f>
        <v>#REF!</v>
      </c>
      <c r="FG216" t="e">
        <f>AND(#REF!,"AAAAAGttO6I=")</f>
        <v>#REF!</v>
      </c>
      <c r="FH216" t="e">
        <f>AND(#REF!,"AAAAAGttO6M=")</f>
        <v>#REF!</v>
      </c>
      <c r="FI216" t="e">
        <f>AND(#REF!,"AAAAAGttO6Q=")</f>
        <v>#REF!</v>
      </c>
      <c r="FJ216" t="e">
        <f>AND(#REF!,"AAAAAGttO6U=")</f>
        <v>#REF!</v>
      </c>
      <c r="FK216" t="e">
        <f>AND(#REF!,"AAAAAGttO6Y=")</f>
        <v>#REF!</v>
      </c>
      <c r="FL216" t="e">
        <f>AND(#REF!,"AAAAAGttO6c=")</f>
        <v>#REF!</v>
      </c>
      <c r="FM216" t="e">
        <f>AND(#REF!,"AAAAAGttO6g=")</f>
        <v>#REF!</v>
      </c>
      <c r="FN216" t="e">
        <f>AND(#REF!,"AAAAAGttO6k=")</f>
        <v>#REF!</v>
      </c>
      <c r="FO216" t="e">
        <f>AND(#REF!,"AAAAAGttO6o=")</f>
        <v>#REF!</v>
      </c>
      <c r="FP216" t="e">
        <f>AND(#REF!,"AAAAAGttO6s=")</f>
        <v>#REF!</v>
      </c>
      <c r="FQ216" t="e">
        <f>AND(#REF!,"AAAAAGttO6w=")</f>
        <v>#REF!</v>
      </c>
      <c r="FR216" t="e">
        <f>AND(#REF!,"AAAAAGttO60=")</f>
        <v>#REF!</v>
      </c>
      <c r="FS216" t="e">
        <f>AND(#REF!,"AAAAAGttO64=")</f>
        <v>#REF!</v>
      </c>
      <c r="FT216" t="e">
        <f>AND(#REF!,"AAAAAGttO68=")</f>
        <v>#REF!</v>
      </c>
      <c r="FU216" t="e">
        <f>AND(#REF!,"AAAAAGttO7A=")</f>
        <v>#REF!</v>
      </c>
      <c r="FV216" t="e">
        <f>AND(#REF!,"AAAAAGttO7E=")</f>
        <v>#REF!</v>
      </c>
      <c r="FW216" t="e">
        <f>AND(#REF!,"AAAAAGttO7I=")</f>
        <v>#REF!</v>
      </c>
      <c r="FX216" t="e">
        <f>AND(#REF!,"AAAAAGttO7M=")</f>
        <v>#REF!</v>
      </c>
      <c r="FY216" t="e">
        <f>AND(#REF!,"AAAAAGttO7Q=")</f>
        <v>#REF!</v>
      </c>
      <c r="FZ216" t="e">
        <f>AND(#REF!,"AAAAAGttO7U=")</f>
        <v>#REF!</v>
      </c>
      <c r="GA216" t="e">
        <f>AND(#REF!,"AAAAAGttO7Y=")</f>
        <v>#REF!</v>
      </c>
      <c r="GB216" t="e">
        <f>AND(#REF!,"AAAAAGttO7c=")</f>
        <v>#REF!</v>
      </c>
      <c r="GC216" t="e">
        <f>AND(#REF!,"AAAAAGttO7g=")</f>
        <v>#REF!</v>
      </c>
      <c r="GD216" t="e">
        <f>AND(#REF!,"AAAAAGttO7k=")</f>
        <v>#REF!</v>
      </c>
      <c r="GE216" t="e">
        <f>AND(#REF!,"AAAAAGttO7o=")</f>
        <v>#REF!</v>
      </c>
      <c r="GF216" t="e">
        <f>AND(#REF!,"AAAAAGttO7s=")</f>
        <v>#REF!</v>
      </c>
      <c r="GG216" t="e">
        <f>AND(#REF!,"AAAAAGttO7w=")</f>
        <v>#REF!</v>
      </c>
      <c r="GH216" t="e">
        <f>AND(#REF!,"AAAAAGttO70=")</f>
        <v>#REF!</v>
      </c>
      <c r="GI216" t="e">
        <f>AND(#REF!,"AAAAAGttO74=")</f>
        <v>#REF!</v>
      </c>
      <c r="GJ216" t="e">
        <f>AND(#REF!,"AAAAAGttO78=")</f>
        <v>#REF!</v>
      </c>
      <c r="GK216" t="e">
        <f>AND(#REF!,"AAAAAGttO8A=")</f>
        <v>#REF!</v>
      </c>
      <c r="GL216" t="e">
        <f>AND(#REF!,"AAAAAGttO8E=")</f>
        <v>#REF!</v>
      </c>
      <c r="GM216" t="e">
        <f>AND(#REF!,"AAAAAGttO8I=")</f>
        <v>#REF!</v>
      </c>
      <c r="GN216" t="e">
        <f>AND(#REF!,"AAAAAGttO8M=")</f>
        <v>#REF!</v>
      </c>
      <c r="GO216" t="e">
        <f>AND(#REF!,"AAAAAGttO8Q=")</f>
        <v>#REF!</v>
      </c>
      <c r="GP216" t="e">
        <f>AND(#REF!,"AAAAAGttO8U=")</f>
        <v>#REF!</v>
      </c>
      <c r="GQ216" t="e">
        <f>AND(#REF!,"AAAAAGttO8Y=")</f>
        <v>#REF!</v>
      </c>
      <c r="GR216" t="e">
        <f>AND(#REF!,"AAAAAGttO8c=")</f>
        <v>#REF!</v>
      </c>
      <c r="GS216" t="e">
        <f>AND(#REF!,"AAAAAGttO8g=")</f>
        <v>#REF!</v>
      </c>
      <c r="GT216" t="e">
        <f>AND(#REF!,"AAAAAGttO8k=")</f>
        <v>#REF!</v>
      </c>
      <c r="GU216" t="e">
        <f>AND(#REF!,"AAAAAGttO8o=")</f>
        <v>#REF!</v>
      </c>
      <c r="GV216" t="e">
        <f>AND(#REF!,"AAAAAGttO8s=")</f>
        <v>#REF!</v>
      </c>
      <c r="GW216" t="e">
        <f>AND(#REF!,"AAAAAGttO8w=")</f>
        <v>#REF!</v>
      </c>
      <c r="GX216" t="e">
        <f>AND(#REF!,"AAAAAGttO80=")</f>
        <v>#REF!</v>
      </c>
      <c r="GY216" t="e">
        <f>AND(#REF!,"AAAAAGttO84=")</f>
        <v>#REF!</v>
      </c>
      <c r="GZ216" t="e">
        <f>AND(#REF!,"AAAAAGttO88=")</f>
        <v>#REF!</v>
      </c>
      <c r="HA216" t="e">
        <f>AND(#REF!,"AAAAAGttO9A=")</f>
        <v>#REF!</v>
      </c>
      <c r="HB216" t="e">
        <f>AND(#REF!,"AAAAAGttO9E=")</f>
        <v>#REF!</v>
      </c>
      <c r="HC216" t="e">
        <f>AND(#REF!,"AAAAAGttO9I=")</f>
        <v>#REF!</v>
      </c>
      <c r="HD216" t="e">
        <f>AND(#REF!,"AAAAAGttO9M=")</f>
        <v>#REF!</v>
      </c>
      <c r="HE216" t="e">
        <f>AND(#REF!,"AAAAAGttO9Q=")</f>
        <v>#REF!</v>
      </c>
      <c r="HF216" t="e">
        <f>AND(#REF!,"AAAAAGttO9U=")</f>
        <v>#REF!</v>
      </c>
      <c r="HG216" t="e">
        <f>AND(#REF!,"AAAAAGttO9Y=")</f>
        <v>#REF!</v>
      </c>
      <c r="HH216" t="e">
        <f>AND(#REF!,"AAAAAGttO9c=")</f>
        <v>#REF!</v>
      </c>
      <c r="HI216" t="e">
        <f>AND(#REF!,"AAAAAGttO9g=")</f>
        <v>#REF!</v>
      </c>
      <c r="HJ216" t="e">
        <f>AND(#REF!,"AAAAAGttO9k=")</f>
        <v>#REF!</v>
      </c>
      <c r="HK216" t="e">
        <f>AND(#REF!,"AAAAAGttO9o=")</f>
        <v>#REF!</v>
      </c>
      <c r="HL216" t="e">
        <f>AND(#REF!,"AAAAAGttO9s=")</f>
        <v>#REF!</v>
      </c>
      <c r="HM216" t="e">
        <f>AND(#REF!,"AAAAAGttO9w=")</f>
        <v>#REF!</v>
      </c>
      <c r="HN216" t="e">
        <f>AND(#REF!,"AAAAAGttO90=")</f>
        <v>#REF!</v>
      </c>
      <c r="HO216" t="e">
        <f>AND(#REF!,"AAAAAGttO94=")</f>
        <v>#REF!</v>
      </c>
      <c r="HP216" t="e">
        <f>AND(#REF!,"AAAAAGttO98=")</f>
        <v>#REF!</v>
      </c>
      <c r="HQ216" t="e">
        <f>AND(#REF!,"AAAAAGttO+A=")</f>
        <v>#REF!</v>
      </c>
      <c r="HR216" t="e">
        <f>AND(#REF!,"AAAAAGttO+E=")</f>
        <v>#REF!</v>
      </c>
      <c r="HS216" t="e">
        <f>AND(#REF!,"AAAAAGttO+I=")</f>
        <v>#REF!</v>
      </c>
      <c r="HT216" t="e">
        <f>AND(#REF!,"AAAAAGttO+M=")</f>
        <v>#REF!</v>
      </c>
      <c r="HU216" t="e">
        <f>AND(#REF!,"AAAAAGttO+Q=")</f>
        <v>#REF!</v>
      </c>
      <c r="HV216" t="e">
        <f>AND(#REF!,"AAAAAGttO+U=")</f>
        <v>#REF!</v>
      </c>
      <c r="HW216" t="e">
        <f>AND(#REF!,"AAAAAGttO+Y=")</f>
        <v>#REF!</v>
      </c>
      <c r="HX216" t="e">
        <f>AND(#REF!,"AAAAAGttO+c=")</f>
        <v>#REF!</v>
      </c>
      <c r="HY216" t="e">
        <f>AND(#REF!,"AAAAAGttO+g=")</f>
        <v>#REF!</v>
      </c>
      <c r="HZ216" t="e">
        <f>AND(#REF!,"AAAAAGttO+k=")</f>
        <v>#REF!</v>
      </c>
      <c r="IA216" t="e">
        <f>AND(#REF!,"AAAAAGttO+o=")</f>
        <v>#REF!</v>
      </c>
      <c r="IB216" t="e">
        <f>AND(#REF!,"AAAAAGttO+s=")</f>
        <v>#REF!</v>
      </c>
      <c r="IC216" t="e">
        <f>AND(#REF!,"AAAAAGttO+w=")</f>
        <v>#REF!</v>
      </c>
      <c r="ID216" t="e">
        <f>AND(#REF!,"AAAAAGttO+0=")</f>
        <v>#REF!</v>
      </c>
      <c r="IE216" t="e">
        <f>AND(#REF!,"AAAAAGttO+4=")</f>
        <v>#REF!</v>
      </c>
      <c r="IF216" t="e">
        <f>AND(#REF!,"AAAAAGttO+8=")</f>
        <v>#REF!</v>
      </c>
      <c r="IG216" t="e">
        <f>AND(#REF!,"AAAAAGttO/A=")</f>
        <v>#REF!</v>
      </c>
      <c r="IH216" t="e">
        <f>AND(#REF!,"AAAAAGttO/E=")</f>
        <v>#REF!</v>
      </c>
      <c r="II216" t="e">
        <f>AND(#REF!,"AAAAAGttO/I=")</f>
        <v>#REF!</v>
      </c>
      <c r="IJ216" t="e">
        <f>AND(#REF!,"AAAAAGttO/M=")</f>
        <v>#REF!</v>
      </c>
      <c r="IK216" t="e">
        <f>AND(#REF!,"AAAAAGttO/Q=")</f>
        <v>#REF!</v>
      </c>
      <c r="IL216" t="e">
        <f>AND(#REF!,"AAAAAGttO/U=")</f>
        <v>#REF!</v>
      </c>
      <c r="IM216" t="e">
        <f>AND(#REF!,"AAAAAGttO/Y=")</f>
        <v>#REF!</v>
      </c>
      <c r="IN216" t="e">
        <f>AND(#REF!,"AAAAAGttO/c=")</f>
        <v>#REF!</v>
      </c>
      <c r="IO216" t="e">
        <f>AND(#REF!,"AAAAAGttO/g=")</f>
        <v>#REF!</v>
      </c>
      <c r="IP216" t="e">
        <f>AND(#REF!,"AAAAAGttO/k=")</f>
        <v>#REF!</v>
      </c>
      <c r="IQ216" t="e">
        <f>AND(#REF!,"AAAAAGttO/o=")</f>
        <v>#REF!</v>
      </c>
      <c r="IR216" t="e">
        <f>AND(#REF!,"AAAAAGttO/s=")</f>
        <v>#REF!</v>
      </c>
      <c r="IS216" t="e">
        <f>AND(#REF!,"AAAAAGttO/w=")</f>
        <v>#REF!</v>
      </c>
      <c r="IT216" t="e">
        <f>AND(#REF!,"AAAAAGttO/0=")</f>
        <v>#REF!</v>
      </c>
      <c r="IU216" t="e">
        <f>AND(#REF!,"AAAAAGttO/4=")</f>
        <v>#REF!</v>
      </c>
      <c r="IV216" t="e">
        <f>AND(#REF!,"AAAAAGttO/8=")</f>
        <v>#REF!</v>
      </c>
    </row>
    <row r="217" spans="1:256">
      <c r="A217" t="e">
        <f>AND(#REF!,"AAAAAAv3awA=")</f>
        <v>#REF!</v>
      </c>
      <c r="B217" t="e">
        <f>AND(#REF!,"AAAAAAv3awE=")</f>
        <v>#REF!</v>
      </c>
      <c r="C217" t="e">
        <f>AND(#REF!,"AAAAAAv3awI=")</f>
        <v>#REF!</v>
      </c>
      <c r="D217" t="e">
        <f>AND(#REF!,"AAAAAAv3awM=")</f>
        <v>#REF!</v>
      </c>
      <c r="E217" t="e">
        <f>AND(#REF!,"AAAAAAv3awQ=")</f>
        <v>#REF!</v>
      </c>
      <c r="F217" t="e">
        <f>AND(#REF!,"AAAAAAv3awU=")</f>
        <v>#REF!</v>
      </c>
      <c r="G217" t="e">
        <f>AND(#REF!,"AAAAAAv3awY=")</f>
        <v>#REF!</v>
      </c>
      <c r="H217" t="e">
        <f>AND(#REF!,"AAAAAAv3awc=")</f>
        <v>#REF!</v>
      </c>
      <c r="I217" t="e">
        <f>AND(#REF!,"AAAAAAv3awg=")</f>
        <v>#REF!</v>
      </c>
      <c r="J217" t="e">
        <f>AND(#REF!,"AAAAAAv3awk=")</f>
        <v>#REF!</v>
      </c>
      <c r="K217" t="e">
        <f>AND(#REF!,"AAAAAAv3awo=")</f>
        <v>#REF!</v>
      </c>
      <c r="L217" t="e">
        <f>AND(#REF!,"AAAAAAv3aws=")</f>
        <v>#REF!</v>
      </c>
      <c r="M217" t="e">
        <f>AND(#REF!,"AAAAAAv3aww=")</f>
        <v>#REF!</v>
      </c>
      <c r="N217" t="e">
        <f>AND(#REF!,"AAAAAAv3aw0=")</f>
        <v>#REF!</v>
      </c>
      <c r="O217" t="e">
        <f>AND(#REF!,"AAAAAAv3aw4=")</f>
        <v>#REF!</v>
      </c>
      <c r="P217" t="e">
        <f>AND(#REF!,"AAAAAAv3aw8=")</f>
        <v>#REF!</v>
      </c>
      <c r="Q217" t="e">
        <f>AND(#REF!,"AAAAAAv3axA=")</f>
        <v>#REF!</v>
      </c>
      <c r="R217" t="e">
        <f>AND(#REF!,"AAAAAAv3axE=")</f>
        <v>#REF!</v>
      </c>
      <c r="S217" t="e">
        <f>AND(#REF!,"AAAAAAv3axI=")</f>
        <v>#REF!</v>
      </c>
      <c r="T217" t="e">
        <f>AND(#REF!,"AAAAAAv3axM=")</f>
        <v>#REF!</v>
      </c>
      <c r="U217" t="e">
        <f>AND(#REF!,"AAAAAAv3axQ=")</f>
        <v>#REF!</v>
      </c>
      <c r="V217" t="e">
        <f>AND(#REF!,"AAAAAAv3axU=")</f>
        <v>#REF!</v>
      </c>
      <c r="W217" t="e">
        <f>AND(#REF!,"AAAAAAv3axY=")</f>
        <v>#REF!</v>
      </c>
      <c r="X217" t="e">
        <f>AND(#REF!,"AAAAAAv3axc=")</f>
        <v>#REF!</v>
      </c>
      <c r="Y217" t="e">
        <f>AND(#REF!,"AAAAAAv3axg=")</f>
        <v>#REF!</v>
      </c>
      <c r="Z217" t="e">
        <f>AND(#REF!,"AAAAAAv3axk=")</f>
        <v>#REF!</v>
      </c>
      <c r="AA217" t="e">
        <f>AND(#REF!,"AAAAAAv3axo=")</f>
        <v>#REF!</v>
      </c>
      <c r="AB217" t="e">
        <f>AND(#REF!,"AAAAAAv3axs=")</f>
        <v>#REF!</v>
      </c>
      <c r="AC217" t="e">
        <f>AND(#REF!,"AAAAAAv3axw=")</f>
        <v>#REF!</v>
      </c>
      <c r="AD217" t="e">
        <f>AND(#REF!,"AAAAAAv3ax0=")</f>
        <v>#REF!</v>
      </c>
      <c r="AE217" t="e">
        <f>AND(#REF!,"AAAAAAv3ax4=")</f>
        <v>#REF!</v>
      </c>
      <c r="AF217" t="e">
        <f>AND(#REF!,"AAAAAAv3ax8=")</f>
        <v>#REF!</v>
      </c>
      <c r="AG217" t="e">
        <f>AND(#REF!,"AAAAAAv3ayA=")</f>
        <v>#REF!</v>
      </c>
      <c r="AH217" t="e">
        <f>AND(#REF!,"AAAAAAv3ayE=")</f>
        <v>#REF!</v>
      </c>
      <c r="AI217" t="e">
        <f>AND(#REF!,"AAAAAAv3ayI=")</f>
        <v>#REF!</v>
      </c>
      <c r="AJ217" t="e">
        <f>AND(#REF!,"AAAAAAv3ayM=")</f>
        <v>#REF!</v>
      </c>
      <c r="AK217" t="e">
        <f>AND(#REF!,"AAAAAAv3ayQ=")</f>
        <v>#REF!</v>
      </c>
      <c r="AL217" t="e">
        <f>AND(#REF!,"AAAAAAv3ayU=")</f>
        <v>#REF!</v>
      </c>
      <c r="AM217" t="e">
        <f>AND(#REF!,"AAAAAAv3ayY=")</f>
        <v>#REF!</v>
      </c>
      <c r="AN217" t="e">
        <f>AND(#REF!,"AAAAAAv3ayc=")</f>
        <v>#REF!</v>
      </c>
      <c r="AO217" t="e">
        <f>AND(#REF!,"AAAAAAv3ayg=")</f>
        <v>#REF!</v>
      </c>
      <c r="AP217" t="e">
        <f>AND(#REF!,"AAAAAAv3ayk=")</f>
        <v>#REF!</v>
      </c>
      <c r="AQ217" t="e">
        <f>AND(#REF!,"AAAAAAv3ayo=")</f>
        <v>#REF!</v>
      </c>
      <c r="AR217" t="e">
        <f>AND(#REF!,"AAAAAAv3ays=")</f>
        <v>#REF!</v>
      </c>
      <c r="AS217" t="e">
        <f>AND(#REF!,"AAAAAAv3ayw=")</f>
        <v>#REF!</v>
      </c>
      <c r="AT217" t="e">
        <f>AND(#REF!,"AAAAAAv3ay0=")</f>
        <v>#REF!</v>
      </c>
      <c r="AU217" t="e">
        <f>AND(#REF!,"AAAAAAv3ay4=")</f>
        <v>#REF!</v>
      </c>
      <c r="AV217" t="e">
        <f>AND(#REF!,"AAAAAAv3ay8=")</f>
        <v>#REF!</v>
      </c>
      <c r="AW217" t="e">
        <f>AND(#REF!,"AAAAAAv3azA=")</f>
        <v>#REF!</v>
      </c>
      <c r="AX217" t="e">
        <f>AND(#REF!,"AAAAAAv3azE=")</f>
        <v>#REF!</v>
      </c>
      <c r="AY217" t="e">
        <f>IF(#REF!,"AAAAAAv3azI=",0)</f>
        <v>#REF!</v>
      </c>
      <c r="AZ217" t="e">
        <f>AND(#REF!,"AAAAAAv3azM=")</f>
        <v>#REF!</v>
      </c>
      <c r="BA217" t="e">
        <f>AND(#REF!,"AAAAAAv3azQ=")</f>
        <v>#REF!</v>
      </c>
      <c r="BB217" t="e">
        <f>AND(#REF!,"AAAAAAv3azU=")</f>
        <v>#REF!</v>
      </c>
      <c r="BC217" t="e">
        <f>AND(#REF!,"AAAAAAv3azY=")</f>
        <v>#REF!</v>
      </c>
      <c r="BD217" t="e">
        <f>AND(#REF!,"AAAAAAv3azc=")</f>
        <v>#REF!</v>
      </c>
      <c r="BE217" t="e">
        <f>AND(#REF!,"AAAAAAv3azg=")</f>
        <v>#REF!</v>
      </c>
      <c r="BF217" t="e">
        <f>AND(#REF!,"AAAAAAv3azk=")</f>
        <v>#REF!</v>
      </c>
      <c r="BG217" t="e">
        <f>AND(#REF!,"AAAAAAv3azo=")</f>
        <v>#REF!</v>
      </c>
      <c r="BH217" t="e">
        <f>AND(#REF!,"AAAAAAv3azs=")</f>
        <v>#REF!</v>
      </c>
      <c r="BI217" t="e">
        <f>AND(#REF!,"AAAAAAv3azw=")</f>
        <v>#REF!</v>
      </c>
      <c r="BJ217" t="e">
        <f>AND(#REF!,"AAAAAAv3az0=")</f>
        <v>#REF!</v>
      </c>
      <c r="BK217" t="e">
        <f>AND(#REF!,"AAAAAAv3az4=")</f>
        <v>#REF!</v>
      </c>
      <c r="BL217" t="e">
        <f>AND(#REF!,"AAAAAAv3az8=")</f>
        <v>#REF!</v>
      </c>
      <c r="BM217" t="e">
        <f>AND(#REF!,"AAAAAAv3a0A=")</f>
        <v>#REF!</v>
      </c>
      <c r="BN217" t="e">
        <f>AND(#REF!,"AAAAAAv3a0E=")</f>
        <v>#REF!</v>
      </c>
      <c r="BO217" t="e">
        <f>AND(#REF!,"AAAAAAv3a0I=")</f>
        <v>#REF!</v>
      </c>
      <c r="BP217" t="e">
        <f>AND(#REF!,"AAAAAAv3a0M=")</f>
        <v>#REF!</v>
      </c>
      <c r="BQ217" t="e">
        <f>AND(#REF!,"AAAAAAv3a0Q=")</f>
        <v>#REF!</v>
      </c>
      <c r="BR217" t="e">
        <f>AND(#REF!,"AAAAAAv3a0U=")</f>
        <v>#REF!</v>
      </c>
      <c r="BS217" t="e">
        <f>AND(#REF!,"AAAAAAv3a0Y=")</f>
        <v>#REF!</v>
      </c>
      <c r="BT217" t="e">
        <f>AND(#REF!,"AAAAAAv3a0c=")</f>
        <v>#REF!</v>
      </c>
      <c r="BU217" t="e">
        <f>AND(#REF!,"AAAAAAv3a0g=")</f>
        <v>#REF!</v>
      </c>
      <c r="BV217" t="e">
        <f>AND(#REF!,"AAAAAAv3a0k=")</f>
        <v>#REF!</v>
      </c>
      <c r="BW217" t="e">
        <f>AND(#REF!,"AAAAAAv3a0o=")</f>
        <v>#REF!</v>
      </c>
      <c r="BX217" t="e">
        <f>AND(#REF!,"AAAAAAv3a0s=")</f>
        <v>#REF!</v>
      </c>
      <c r="BY217" t="e">
        <f>AND(#REF!,"AAAAAAv3a0w=")</f>
        <v>#REF!</v>
      </c>
      <c r="BZ217" t="e">
        <f>AND(#REF!,"AAAAAAv3a00=")</f>
        <v>#REF!</v>
      </c>
      <c r="CA217" t="e">
        <f>AND(#REF!,"AAAAAAv3a04=")</f>
        <v>#REF!</v>
      </c>
      <c r="CB217" t="e">
        <f>AND(#REF!,"AAAAAAv3a08=")</f>
        <v>#REF!</v>
      </c>
      <c r="CC217" t="e">
        <f>AND(#REF!,"AAAAAAv3a1A=")</f>
        <v>#REF!</v>
      </c>
      <c r="CD217" t="e">
        <f>AND(#REF!,"AAAAAAv3a1E=")</f>
        <v>#REF!</v>
      </c>
      <c r="CE217" t="e">
        <f>AND(#REF!,"AAAAAAv3a1I=")</f>
        <v>#REF!</v>
      </c>
      <c r="CF217" t="e">
        <f>AND(#REF!,"AAAAAAv3a1M=")</f>
        <v>#REF!</v>
      </c>
      <c r="CG217" t="e">
        <f>AND(#REF!,"AAAAAAv3a1Q=")</f>
        <v>#REF!</v>
      </c>
      <c r="CH217" t="e">
        <f>AND(#REF!,"AAAAAAv3a1U=")</f>
        <v>#REF!</v>
      </c>
      <c r="CI217" t="e">
        <f>AND(#REF!,"AAAAAAv3a1Y=")</f>
        <v>#REF!</v>
      </c>
      <c r="CJ217" t="e">
        <f>AND(#REF!,"AAAAAAv3a1c=")</f>
        <v>#REF!</v>
      </c>
      <c r="CK217" t="e">
        <f>AND(#REF!,"AAAAAAv3a1g=")</f>
        <v>#REF!</v>
      </c>
      <c r="CL217" t="e">
        <f>AND(#REF!,"AAAAAAv3a1k=")</f>
        <v>#REF!</v>
      </c>
      <c r="CM217" t="e">
        <f>AND(#REF!,"AAAAAAv3a1o=")</f>
        <v>#REF!</v>
      </c>
      <c r="CN217" t="e">
        <f>AND(#REF!,"AAAAAAv3a1s=")</f>
        <v>#REF!</v>
      </c>
      <c r="CO217" t="e">
        <f>AND(#REF!,"AAAAAAv3a1w=")</f>
        <v>#REF!</v>
      </c>
      <c r="CP217" t="e">
        <f>AND(#REF!,"AAAAAAv3a10=")</f>
        <v>#REF!</v>
      </c>
      <c r="CQ217" t="e">
        <f>AND(#REF!,"AAAAAAv3a14=")</f>
        <v>#REF!</v>
      </c>
      <c r="CR217" t="e">
        <f>AND(#REF!,"AAAAAAv3a18=")</f>
        <v>#REF!</v>
      </c>
      <c r="CS217" t="e">
        <f>AND(#REF!,"AAAAAAv3a2A=")</f>
        <v>#REF!</v>
      </c>
      <c r="CT217" t="e">
        <f>AND(#REF!,"AAAAAAv3a2E=")</f>
        <v>#REF!</v>
      </c>
      <c r="CU217" t="e">
        <f>AND(#REF!,"AAAAAAv3a2I=")</f>
        <v>#REF!</v>
      </c>
      <c r="CV217" t="e">
        <f>AND(#REF!,"AAAAAAv3a2M=")</f>
        <v>#REF!</v>
      </c>
      <c r="CW217" t="e">
        <f>AND(#REF!,"AAAAAAv3a2Q=")</f>
        <v>#REF!</v>
      </c>
      <c r="CX217" t="e">
        <f>AND(#REF!,"AAAAAAv3a2U=")</f>
        <v>#REF!</v>
      </c>
      <c r="CY217" t="e">
        <f>AND(#REF!,"AAAAAAv3a2Y=")</f>
        <v>#REF!</v>
      </c>
      <c r="CZ217" t="e">
        <f>AND(#REF!,"AAAAAAv3a2c=")</f>
        <v>#REF!</v>
      </c>
      <c r="DA217" t="e">
        <f>AND(#REF!,"AAAAAAv3a2g=")</f>
        <v>#REF!</v>
      </c>
      <c r="DB217" t="e">
        <f>AND(#REF!,"AAAAAAv3a2k=")</f>
        <v>#REF!</v>
      </c>
      <c r="DC217" t="e">
        <f>AND(#REF!,"AAAAAAv3a2o=")</f>
        <v>#REF!</v>
      </c>
      <c r="DD217" t="e">
        <f>AND(#REF!,"AAAAAAv3a2s=")</f>
        <v>#REF!</v>
      </c>
      <c r="DE217" t="e">
        <f>AND(#REF!,"AAAAAAv3a2w=")</f>
        <v>#REF!</v>
      </c>
      <c r="DF217" t="e">
        <f>AND(#REF!,"AAAAAAv3a20=")</f>
        <v>#REF!</v>
      </c>
      <c r="DG217" t="e">
        <f>AND(#REF!,"AAAAAAv3a24=")</f>
        <v>#REF!</v>
      </c>
      <c r="DH217" t="e">
        <f>AND(#REF!,"AAAAAAv3a28=")</f>
        <v>#REF!</v>
      </c>
      <c r="DI217" t="e">
        <f>AND(#REF!,"AAAAAAv3a3A=")</f>
        <v>#REF!</v>
      </c>
      <c r="DJ217" t="e">
        <f>AND(#REF!,"AAAAAAv3a3E=")</f>
        <v>#REF!</v>
      </c>
      <c r="DK217" t="e">
        <f>AND(#REF!,"AAAAAAv3a3I=")</f>
        <v>#REF!</v>
      </c>
      <c r="DL217" t="e">
        <f>AND(#REF!,"AAAAAAv3a3M=")</f>
        <v>#REF!</v>
      </c>
      <c r="DM217" t="e">
        <f>AND(#REF!,"AAAAAAv3a3Q=")</f>
        <v>#REF!</v>
      </c>
      <c r="DN217" t="e">
        <f>AND(#REF!,"AAAAAAv3a3U=")</f>
        <v>#REF!</v>
      </c>
      <c r="DO217" t="e">
        <f>AND(#REF!,"AAAAAAv3a3Y=")</f>
        <v>#REF!</v>
      </c>
      <c r="DP217" t="e">
        <f>AND(#REF!,"AAAAAAv3a3c=")</f>
        <v>#REF!</v>
      </c>
      <c r="DQ217" t="e">
        <f>AND(#REF!,"AAAAAAv3a3g=")</f>
        <v>#REF!</v>
      </c>
      <c r="DR217" t="e">
        <f>AND(#REF!,"AAAAAAv3a3k=")</f>
        <v>#REF!</v>
      </c>
      <c r="DS217" t="e">
        <f>AND(#REF!,"AAAAAAv3a3o=")</f>
        <v>#REF!</v>
      </c>
      <c r="DT217" t="e">
        <f>AND(#REF!,"AAAAAAv3a3s=")</f>
        <v>#REF!</v>
      </c>
      <c r="DU217" t="e">
        <f>AND(#REF!,"AAAAAAv3a3w=")</f>
        <v>#REF!</v>
      </c>
      <c r="DV217" t="e">
        <f>AND(#REF!,"AAAAAAv3a30=")</f>
        <v>#REF!</v>
      </c>
      <c r="DW217" t="e">
        <f>AND(#REF!,"AAAAAAv3a34=")</f>
        <v>#REF!</v>
      </c>
      <c r="DX217" t="e">
        <f>AND(#REF!,"AAAAAAv3a38=")</f>
        <v>#REF!</v>
      </c>
      <c r="DY217" t="e">
        <f>AND(#REF!,"AAAAAAv3a4A=")</f>
        <v>#REF!</v>
      </c>
      <c r="DZ217" t="e">
        <f>AND(#REF!,"AAAAAAv3a4E=")</f>
        <v>#REF!</v>
      </c>
      <c r="EA217" t="e">
        <f>AND(#REF!,"AAAAAAv3a4I=")</f>
        <v>#REF!</v>
      </c>
      <c r="EB217" t="e">
        <f>AND(#REF!,"AAAAAAv3a4M=")</f>
        <v>#REF!</v>
      </c>
      <c r="EC217" t="e">
        <f>AND(#REF!,"AAAAAAv3a4Q=")</f>
        <v>#REF!</v>
      </c>
      <c r="ED217" t="e">
        <f>AND(#REF!,"AAAAAAv3a4U=")</f>
        <v>#REF!</v>
      </c>
      <c r="EE217" t="e">
        <f>AND(#REF!,"AAAAAAv3a4Y=")</f>
        <v>#REF!</v>
      </c>
      <c r="EF217" t="e">
        <f>AND(#REF!,"AAAAAAv3a4c=")</f>
        <v>#REF!</v>
      </c>
      <c r="EG217" t="e">
        <f>AND(#REF!,"AAAAAAv3a4g=")</f>
        <v>#REF!</v>
      </c>
      <c r="EH217" t="e">
        <f>AND(#REF!,"AAAAAAv3a4k=")</f>
        <v>#REF!</v>
      </c>
      <c r="EI217" t="e">
        <f>AND(#REF!,"AAAAAAv3a4o=")</f>
        <v>#REF!</v>
      </c>
      <c r="EJ217" t="e">
        <f>AND(#REF!,"AAAAAAv3a4s=")</f>
        <v>#REF!</v>
      </c>
      <c r="EK217" t="e">
        <f>AND(#REF!,"AAAAAAv3a4w=")</f>
        <v>#REF!</v>
      </c>
      <c r="EL217" t="e">
        <f>AND(#REF!,"AAAAAAv3a40=")</f>
        <v>#REF!</v>
      </c>
      <c r="EM217" t="e">
        <f>AND(#REF!,"AAAAAAv3a44=")</f>
        <v>#REF!</v>
      </c>
      <c r="EN217" t="e">
        <f>AND(#REF!,"AAAAAAv3a48=")</f>
        <v>#REF!</v>
      </c>
      <c r="EO217" t="e">
        <f>AND(#REF!,"AAAAAAv3a5A=")</f>
        <v>#REF!</v>
      </c>
      <c r="EP217" t="e">
        <f>AND(#REF!,"AAAAAAv3a5E=")</f>
        <v>#REF!</v>
      </c>
      <c r="EQ217" t="e">
        <f>AND(#REF!,"AAAAAAv3a5I=")</f>
        <v>#REF!</v>
      </c>
      <c r="ER217" t="e">
        <f>AND(#REF!,"AAAAAAv3a5M=")</f>
        <v>#REF!</v>
      </c>
      <c r="ES217" t="e">
        <f>AND(#REF!,"AAAAAAv3a5Q=")</f>
        <v>#REF!</v>
      </c>
      <c r="ET217" t="e">
        <f>AND(#REF!,"AAAAAAv3a5U=")</f>
        <v>#REF!</v>
      </c>
      <c r="EU217" t="e">
        <f>AND(#REF!,"AAAAAAv3a5Y=")</f>
        <v>#REF!</v>
      </c>
      <c r="EV217" t="e">
        <f>AND(#REF!,"AAAAAAv3a5c=")</f>
        <v>#REF!</v>
      </c>
      <c r="EW217" t="e">
        <f>AND(#REF!,"AAAAAAv3a5g=")</f>
        <v>#REF!</v>
      </c>
      <c r="EX217" t="e">
        <f>AND(#REF!,"AAAAAAv3a5k=")</f>
        <v>#REF!</v>
      </c>
      <c r="EY217" t="e">
        <f>AND(#REF!,"AAAAAAv3a5o=")</f>
        <v>#REF!</v>
      </c>
      <c r="EZ217" t="e">
        <f>AND(#REF!,"AAAAAAv3a5s=")</f>
        <v>#REF!</v>
      </c>
      <c r="FA217" t="e">
        <f>AND(#REF!,"AAAAAAv3a5w=")</f>
        <v>#REF!</v>
      </c>
      <c r="FB217" t="e">
        <f>AND(#REF!,"AAAAAAv3a50=")</f>
        <v>#REF!</v>
      </c>
      <c r="FC217" t="e">
        <f>AND(#REF!,"AAAAAAv3a54=")</f>
        <v>#REF!</v>
      </c>
      <c r="FD217" t="e">
        <f>AND(#REF!,"AAAAAAv3a58=")</f>
        <v>#REF!</v>
      </c>
      <c r="FE217" t="e">
        <f>AND(#REF!,"AAAAAAv3a6A=")</f>
        <v>#REF!</v>
      </c>
      <c r="FF217" t="e">
        <f>AND(#REF!,"AAAAAAv3a6E=")</f>
        <v>#REF!</v>
      </c>
      <c r="FG217" t="e">
        <f>AND(#REF!,"AAAAAAv3a6I=")</f>
        <v>#REF!</v>
      </c>
      <c r="FH217" t="e">
        <f>AND(#REF!,"AAAAAAv3a6M=")</f>
        <v>#REF!</v>
      </c>
      <c r="FI217" t="e">
        <f>AND(#REF!,"AAAAAAv3a6Q=")</f>
        <v>#REF!</v>
      </c>
      <c r="FJ217" t="e">
        <f>AND(#REF!,"AAAAAAv3a6U=")</f>
        <v>#REF!</v>
      </c>
      <c r="FK217" t="e">
        <f>AND(#REF!,"AAAAAAv3a6Y=")</f>
        <v>#REF!</v>
      </c>
      <c r="FL217" t="e">
        <f>AND(#REF!,"AAAAAAv3a6c=")</f>
        <v>#REF!</v>
      </c>
      <c r="FM217" t="e">
        <f>AND(#REF!,"AAAAAAv3a6g=")</f>
        <v>#REF!</v>
      </c>
      <c r="FN217" t="e">
        <f>AND(#REF!,"AAAAAAv3a6k=")</f>
        <v>#REF!</v>
      </c>
      <c r="FO217" t="e">
        <f>AND(#REF!,"AAAAAAv3a6o=")</f>
        <v>#REF!</v>
      </c>
      <c r="FP217" t="e">
        <f>AND(#REF!,"AAAAAAv3a6s=")</f>
        <v>#REF!</v>
      </c>
      <c r="FQ217" t="e">
        <f>AND(#REF!,"AAAAAAv3a6w=")</f>
        <v>#REF!</v>
      </c>
      <c r="FR217" t="e">
        <f>AND(#REF!,"AAAAAAv3a60=")</f>
        <v>#REF!</v>
      </c>
      <c r="FS217" t="e">
        <f>AND(#REF!,"AAAAAAv3a64=")</f>
        <v>#REF!</v>
      </c>
      <c r="FT217" t="e">
        <f>AND(#REF!,"AAAAAAv3a68=")</f>
        <v>#REF!</v>
      </c>
      <c r="FU217" t="e">
        <f>AND(#REF!,"AAAAAAv3a7A=")</f>
        <v>#REF!</v>
      </c>
      <c r="FV217" t="e">
        <f>AND(#REF!,"AAAAAAv3a7E=")</f>
        <v>#REF!</v>
      </c>
      <c r="FW217" t="e">
        <f>AND(#REF!,"AAAAAAv3a7I=")</f>
        <v>#REF!</v>
      </c>
      <c r="FX217" t="e">
        <f>AND(#REF!,"AAAAAAv3a7M=")</f>
        <v>#REF!</v>
      </c>
      <c r="FY217" t="e">
        <f>AND(#REF!,"AAAAAAv3a7Q=")</f>
        <v>#REF!</v>
      </c>
      <c r="FZ217" t="e">
        <f>AND(#REF!,"AAAAAAv3a7U=")</f>
        <v>#REF!</v>
      </c>
      <c r="GA217" t="e">
        <f>AND(#REF!,"AAAAAAv3a7Y=")</f>
        <v>#REF!</v>
      </c>
      <c r="GB217" t="e">
        <f>AND(#REF!,"AAAAAAv3a7c=")</f>
        <v>#REF!</v>
      </c>
      <c r="GC217" t="e">
        <f>AND(#REF!,"AAAAAAv3a7g=")</f>
        <v>#REF!</v>
      </c>
      <c r="GD217" t="e">
        <f>AND(#REF!,"AAAAAAv3a7k=")</f>
        <v>#REF!</v>
      </c>
      <c r="GE217" t="e">
        <f>AND(#REF!,"AAAAAAv3a7o=")</f>
        <v>#REF!</v>
      </c>
      <c r="GF217" t="e">
        <f>AND(#REF!,"AAAAAAv3a7s=")</f>
        <v>#REF!</v>
      </c>
      <c r="GG217" t="e">
        <f>AND(#REF!,"AAAAAAv3a7w=")</f>
        <v>#REF!</v>
      </c>
      <c r="GH217" t="e">
        <f>AND(#REF!,"AAAAAAv3a70=")</f>
        <v>#REF!</v>
      </c>
      <c r="GI217" t="e">
        <f>AND(#REF!,"AAAAAAv3a74=")</f>
        <v>#REF!</v>
      </c>
      <c r="GJ217" t="e">
        <f>AND(#REF!,"AAAAAAv3a78=")</f>
        <v>#REF!</v>
      </c>
      <c r="GK217" t="e">
        <f>AND(#REF!,"AAAAAAv3a8A=")</f>
        <v>#REF!</v>
      </c>
      <c r="GL217" t="e">
        <f>AND(#REF!,"AAAAAAv3a8E=")</f>
        <v>#REF!</v>
      </c>
      <c r="GM217" t="e">
        <f>AND(#REF!,"AAAAAAv3a8I=")</f>
        <v>#REF!</v>
      </c>
      <c r="GN217" t="e">
        <f>AND(#REF!,"AAAAAAv3a8M=")</f>
        <v>#REF!</v>
      </c>
      <c r="GO217" t="e">
        <f>AND(#REF!,"AAAAAAv3a8Q=")</f>
        <v>#REF!</v>
      </c>
      <c r="GP217" t="e">
        <f>AND(#REF!,"AAAAAAv3a8U=")</f>
        <v>#REF!</v>
      </c>
      <c r="GQ217" t="e">
        <f>AND(#REF!,"AAAAAAv3a8Y=")</f>
        <v>#REF!</v>
      </c>
      <c r="GR217" t="e">
        <f>AND(#REF!,"AAAAAAv3a8c=")</f>
        <v>#REF!</v>
      </c>
      <c r="GS217" t="e">
        <f>AND(#REF!,"AAAAAAv3a8g=")</f>
        <v>#REF!</v>
      </c>
      <c r="GT217" t="e">
        <f>AND(#REF!,"AAAAAAv3a8k=")</f>
        <v>#REF!</v>
      </c>
      <c r="GU217" t="e">
        <f>AND(#REF!,"AAAAAAv3a8o=")</f>
        <v>#REF!</v>
      </c>
      <c r="GV217" t="e">
        <f>AND(#REF!,"AAAAAAv3a8s=")</f>
        <v>#REF!</v>
      </c>
      <c r="GW217" t="e">
        <f>AND(#REF!,"AAAAAAv3a8w=")</f>
        <v>#REF!</v>
      </c>
      <c r="GX217" t="e">
        <f>AND(#REF!,"AAAAAAv3a80=")</f>
        <v>#REF!</v>
      </c>
      <c r="GY217" t="e">
        <f>AND(#REF!,"AAAAAAv3a84=")</f>
        <v>#REF!</v>
      </c>
      <c r="GZ217" t="e">
        <f>AND(#REF!,"AAAAAAv3a88=")</f>
        <v>#REF!</v>
      </c>
      <c r="HA217" t="e">
        <f>AND(#REF!,"AAAAAAv3a9A=")</f>
        <v>#REF!</v>
      </c>
      <c r="HB217" t="e">
        <f>AND(#REF!,"AAAAAAv3a9E=")</f>
        <v>#REF!</v>
      </c>
      <c r="HC217" t="e">
        <f>AND(#REF!,"AAAAAAv3a9I=")</f>
        <v>#REF!</v>
      </c>
      <c r="HD217" t="e">
        <f>AND(#REF!,"AAAAAAv3a9M=")</f>
        <v>#REF!</v>
      </c>
      <c r="HE217" t="e">
        <f>AND(#REF!,"AAAAAAv3a9Q=")</f>
        <v>#REF!</v>
      </c>
      <c r="HF217" t="e">
        <f>AND(#REF!,"AAAAAAv3a9U=")</f>
        <v>#REF!</v>
      </c>
      <c r="HG217" t="e">
        <f>AND(#REF!,"AAAAAAv3a9Y=")</f>
        <v>#REF!</v>
      </c>
      <c r="HH217" t="e">
        <f>AND(#REF!,"AAAAAAv3a9c=")</f>
        <v>#REF!</v>
      </c>
      <c r="HI217" t="e">
        <f>AND(#REF!,"AAAAAAv3a9g=")</f>
        <v>#REF!</v>
      </c>
      <c r="HJ217" t="e">
        <f>AND(#REF!,"AAAAAAv3a9k=")</f>
        <v>#REF!</v>
      </c>
      <c r="HK217" t="e">
        <f>AND(#REF!,"AAAAAAv3a9o=")</f>
        <v>#REF!</v>
      </c>
      <c r="HL217" t="e">
        <f>AND(#REF!,"AAAAAAv3a9s=")</f>
        <v>#REF!</v>
      </c>
      <c r="HM217" t="e">
        <f>AND(#REF!,"AAAAAAv3a9w=")</f>
        <v>#REF!</v>
      </c>
      <c r="HN217" t="e">
        <f>AND(#REF!,"AAAAAAv3a90=")</f>
        <v>#REF!</v>
      </c>
      <c r="HO217" t="e">
        <f>AND(#REF!,"AAAAAAv3a94=")</f>
        <v>#REF!</v>
      </c>
      <c r="HP217" t="e">
        <f>AND(#REF!,"AAAAAAv3a98=")</f>
        <v>#REF!</v>
      </c>
      <c r="HQ217" t="e">
        <f>AND(#REF!,"AAAAAAv3a+A=")</f>
        <v>#REF!</v>
      </c>
      <c r="HR217" t="e">
        <f>AND(#REF!,"AAAAAAv3a+E=")</f>
        <v>#REF!</v>
      </c>
      <c r="HS217" t="e">
        <f>AND(#REF!,"AAAAAAv3a+I=")</f>
        <v>#REF!</v>
      </c>
      <c r="HT217" t="e">
        <f>AND(#REF!,"AAAAAAv3a+M=")</f>
        <v>#REF!</v>
      </c>
      <c r="HU217" t="e">
        <f>AND(#REF!,"AAAAAAv3a+Q=")</f>
        <v>#REF!</v>
      </c>
      <c r="HV217" t="e">
        <f>AND(#REF!,"AAAAAAv3a+U=")</f>
        <v>#REF!</v>
      </c>
      <c r="HW217" t="e">
        <f>AND(#REF!,"AAAAAAv3a+Y=")</f>
        <v>#REF!</v>
      </c>
      <c r="HX217" t="e">
        <f>AND(#REF!,"AAAAAAv3a+c=")</f>
        <v>#REF!</v>
      </c>
      <c r="HY217" t="e">
        <f>AND(#REF!,"AAAAAAv3a+g=")</f>
        <v>#REF!</v>
      </c>
      <c r="HZ217" t="e">
        <f>AND(#REF!,"AAAAAAv3a+k=")</f>
        <v>#REF!</v>
      </c>
      <c r="IA217" t="e">
        <f>AND(#REF!,"AAAAAAv3a+o=")</f>
        <v>#REF!</v>
      </c>
      <c r="IB217" t="e">
        <f>AND(#REF!,"AAAAAAv3a+s=")</f>
        <v>#REF!</v>
      </c>
      <c r="IC217" t="e">
        <f>AND(#REF!,"AAAAAAv3a+w=")</f>
        <v>#REF!</v>
      </c>
      <c r="ID217" t="e">
        <f>AND(#REF!,"AAAAAAv3a+0=")</f>
        <v>#REF!</v>
      </c>
      <c r="IE217" t="e">
        <f>AND(#REF!,"AAAAAAv3a+4=")</f>
        <v>#REF!</v>
      </c>
      <c r="IF217" t="e">
        <f>AND(#REF!,"AAAAAAv3a+8=")</f>
        <v>#REF!</v>
      </c>
      <c r="IG217" t="e">
        <f>AND(#REF!,"AAAAAAv3a/A=")</f>
        <v>#REF!</v>
      </c>
      <c r="IH217" t="e">
        <f>AND(#REF!,"AAAAAAv3a/E=")</f>
        <v>#REF!</v>
      </c>
      <c r="II217" t="e">
        <f>AND(#REF!,"AAAAAAv3a/I=")</f>
        <v>#REF!</v>
      </c>
      <c r="IJ217" t="e">
        <f>AND(#REF!,"AAAAAAv3a/M=")</f>
        <v>#REF!</v>
      </c>
      <c r="IK217" t="e">
        <f>AND(#REF!,"AAAAAAv3a/Q=")</f>
        <v>#REF!</v>
      </c>
      <c r="IL217" t="e">
        <f>AND(#REF!,"AAAAAAv3a/U=")</f>
        <v>#REF!</v>
      </c>
      <c r="IM217" t="e">
        <f>AND(#REF!,"AAAAAAv3a/Y=")</f>
        <v>#REF!</v>
      </c>
      <c r="IN217" t="e">
        <f>AND(#REF!,"AAAAAAv3a/c=")</f>
        <v>#REF!</v>
      </c>
      <c r="IO217" t="e">
        <f>AND(#REF!,"AAAAAAv3a/g=")</f>
        <v>#REF!</v>
      </c>
      <c r="IP217" t="e">
        <f>AND(#REF!,"AAAAAAv3a/k=")</f>
        <v>#REF!</v>
      </c>
      <c r="IQ217" t="e">
        <f>AND(#REF!,"AAAAAAv3a/o=")</f>
        <v>#REF!</v>
      </c>
      <c r="IR217" t="e">
        <f>AND(#REF!,"AAAAAAv3a/s=")</f>
        <v>#REF!</v>
      </c>
      <c r="IS217" t="e">
        <f>AND(#REF!,"AAAAAAv3a/w=")</f>
        <v>#REF!</v>
      </c>
      <c r="IT217" t="e">
        <f>AND(#REF!,"AAAAAAv3a/0=")</f>
        <v>#REF!</v>
      </c>
      <c r="IU217" t="e">
        <f>AND(#REF!,"AAAAAAv3a/4=")</f>
        <v>#REF!</v>
      </c>
      <c r="IV217" t="e">
        <f>AND(#REF!,"AAAAAAv3a/8=")</f>
        <v>#REF!</v>
      </c>
    </row>
    <row r="218" spans="1:256">
      <c r="A218" t="e">
        <f>AND(#REF!,"AAAAAHPfuwA=")</f>
        <v>#REF!</v>
      </c>
      <c r="B218" t="e">
        <f>AND(#REF!,"AAAAAHPfuwE=")</f>
        <v>#REF!</v>
      </c>
      <c r="C218" t="e">
        <f>AND(#REF!,"AAAAAHPfuwI=")</f>
        <v>#REF!</v>
      </c>
      <c r="D218" t="e">
        <f>AND(#REF!,"AAAAAHPfuwM=")</f>
        <v>#REF!</v>
      </c>
      <c r="E218" t="e">
        <f>AND(#REF!,"AAAAAHPfuwQ=")</f>
        <v>#REF!</v>
      </c>
      <c r="F218" t="e">
        <f>AND(#REF!,"AAAAAHPfuwU=")</f>
        <v>#REF!</v>
      </c>
      <c r="G218" t="e">
        <f>AND(#REF!,"AAAAAHPfuwY=")</f>
        <v>#REF!</v>
      </c>
      <c r="H218" t="e">
        <f>AND(#REF!,"AAAAAHPfuwc=")</f>
        <v>#REF!</v>
      </c>
      <c r="I218" t="e">
        <f>AND(#REF!,"AAAAAHPfuwg=")</f>
        <v>#REF!</v>
      </c>
      <c r="J218" t="e">
        <f>AND(#REF!,"AAAAAHPfuwk=")</f>
        <v>#REF!</v>
      </c>
      <c r="K218" t="e">
        <f>AND(#REF!,"AAAAAHPfuwo=")</f>
        <v>#REF!</v>
      </c>
      <c r="L218" t="e">
        <f>AND(#REF!,"AAAAAHPfuws=")</f>
        <v>#REF!</v>
      </c>
      <c r="M218" t="e">
        <f>AND(#REF!,"AAAAAHPfuww=")</f>
        <v>#REF!</v>
      </c>
      <c r="N218" t="e">
        <f>AND(#REF!,"AAAAAHPfuw0=")</f>
        <v>#REF!</v>
      </c>
      <c r="O218" t="e">
        <f>AND(#REF!,"AAAAAHPfuw4=")</f>
        <v>#REF!</v>
      </c>
      <c r="P218" t="e">
        <f>AND(#REF!,"AAAAAHPfuw8=")</f>
        <v>#REF!</v>
      </c>
      <c r="Q218" t="e">
        <f>AND(#REF!,"AAAAAHPfuxA=")</f>
        <v>#REF!</v>
      </c>
      <c r="R218" t="e">
        <f>AND(#REF!,"AAAAAHPfuxE=")</f>
        <v>#REF!</v>
      </c>
      <c r="S218" t="e">
        <f>AND(#REF!,"AAAAAHPfuxI=")</f>
        <v>#REF!</v>
      </c>
      <c r="T218" t="e">
        <f>AND(#REF!,"AAAAAHPfuxM=")</f>
        <v>#REF!</v>
      </c>
      <c r="U218" t="e">
        <f>AND(#REF!,"AAAAAHPfuxQ=")</f>
        <v>#REF!</v>
      </c>
      <c r="V218" t="e">
        <f>AND(#REF!,"AAAAAHPfuxU=")</f>
        <v>#REF!</v>
      </c>
      <c r="W218" t="e">
        <f>IF(#REF!,"AAAAAHPfuxY=",0)</f>
        <v>#REF!</v>
      </c>
      <c r="X218" t="e">
        <f>AND(#REF!,"AAAAAHPfuxc=")</f>
        <v>#REF!</v>
      </c>
      <c r="Y218" t="e">
        <f>AND(#REF!,"AAAAAHPfuxg=")</f>
        <v>#REF!</v>
      </c>
      <c r="Z218" t="e">
        <f>AND(#REF!,"AAAAAHPfuxk=")</f>
        <v>#REF!</v>
      </c>
      <c r="AA218" t="e">
        <f>AND(#REF!,"AAAAAHPfuxo=")</f>
        <v>#REF!</v>
      </c>
      <c r="AB218" t="e">
        <f>AND(#REF!,"AAAAAHPfuxs=")</f>
        <v>#REF!</v>
      </c>
      <c r="AC218" t="e">
        <f>AND(#REF!,"AAAAAHPfuxw=")</f>
        <v>#REF!</v>
      </c>
      <c r="AD218" t="e">
        <f>AND(#REF!,"AAAAAHPfux0=")</f>
        <v>#REF!</v>
      </c>
      <c r="AE218" t="e">
        <f>AND(#REF!,"AAAAAHPfux4=")</f>
        <v>#REF!</v>
      </c>
      <c r="AF218" t="e">
        <f>AND(#REF!,"AAAAAHPfux8=")</f>
        <v>#REF!</v>
      </c>
      <c r="AG218" t="e">
        <f>AND(#REF!,"AAAAAHPfuyA=")</f>
        <v>#REF!</v>
      </c>
      <c r="AH218" t="e">
        <f>AND(#REF!,"AAAAAHPfuyE=")</f>
        <v>#REF!</v>
      </c>
      <c r="AI218" t="e">
        <f>AND(#REF!,"AAAAAHPfuyI=")</f>
        <v>#REF!</v>
      </c>
      <c r="AJ218" t="e">
        <f>AND(#REF!,"AAAAAHPfuyM=")</f>
        <v>#REF!</v>
      </c>
      <c r="AK218" t="e">
        <f>AND(#REF!,"AAAAAHPfuyQ=")</f>
        <v>#REF!</v>
      </c>
      <c r="AL218" t="e">
        <f>AND(#REF!,"AAAAAHPfuyU=")</f>
        <v>#REF!</v>
      </c>
      <c r="AM218" t="e">
        <f>AND(#REF!,"AAAAAHPfuyY=")</f>
        <v>#REF!</v>
      </c>
      <c r="AN218" t="e">
        <f>AND(#REF!,"AAAAAHPfuyc=")</f>
        <v>#REF!</v>
      </c>
      <c r="AO218" t="e">
        <f>AND(#REF!,"AAAAAHPfuyg=")</f>
        <v>#REF!</v>
      </c>
      <c r="AP218" t="e">
        <f>AND(#REF!,"AAAAAHPfuyk=")</f>
        <v>#REF!</v>
      </c>
      <c r="AQ218" t="e">
        <f>AND(#REF!,"AAAAAHPfuyo=")</f>
        <v>#REF!</v>
      </c>
      <c r="AR218" t="e">
        <f>AND(#REF!,"AAAAAHPfuys=")</f>
        <v>#REF!</v>
      </c>
      <c r="AS218" t="e">
        <f>AND(#REF!,"AAAAAHPfuyw=")</f>
        <v>#REF!</v>
      </c>
      <c r="AT218" t="e">
        <f>AND(#REF!,"AAAAAHPfuy0=")</f>
        <v>#REF!</v>
      </c>
      <c r="AU218" t="e">
        <f>AND(#REF!,"AAAAAHPfuy4=")</f>
        <v>#REF!</v>
      </c>
      <c r="AV218" t="e">
        <f>AND(#REF!,"AAAAAHPfuy8=")</f>
        <v>#REF!</v>
      </c>
      <c r="AW218" t="e">
        <f>AND(#REF!,"AAAAAHPfuzA=")</f>
        <v>#REF!</v>
      </c>
      <c r="AX218" t="e">
        <f>AND(#REF!,"AAAAAHPfuzE=")</f>
        <v>#REF!</v>
      </c>
      <c r="AY218" t="e">
        <f>AND(#REF!,"AAAAAHPfuzI=")</f>
        <v>#REF!</v>
      </c>
      <c r="AZ218" t="e">
        <f>AND(#REF!,"AAAAAHPfuzM=")</f>
        <v>#REF!</v>
      </c>
      <c r="BA218" t="e">
        <f>AND(#REF!,"AAAAAHPfuzQ=")</f>
        <v>#REF!</v>
      </c>
      <c r="BB218" t="e">
        <f>AND(#REF!,"AAAAAHPfuzU=")</f>
        <v>#REF!</v>
      </c>
      <c r="BC218" t="e">
        <f>AND(#REF!,"AAAAAHPfuzY=")</f>
        <v>#REF!</v>
      </c>
      <c r="BD218" t="e">
        <f>AND(#REF!,"AAAAAHPfuzc=")</f>
        <v>#REF!</v>
      </c>
      <c r="BE218" t="e">
        <f>AND(#REF!,"AAAAAHPfuzg=")</f>
        <v>#REF!</v>
      </c>
      <c r="BF218" t="e">
        <f>AND(#REF!,"AAAAAHPfuzk=")</f>
        <v>#REF!</v>
      </c>
      <c r="BG218" t="e">
        <f>AND(#REF!,"AAAAAHPfuzo=")</f>
        <v>#REF!</v>
      </c>
      <c r="BH218" t="e">
        <f>AND(#REF!,"AAAAAHPfuzs=")</f>
        <v>#REF!</v>
      </c>
      <c r="BI218" t="e">
        <f>AND(#REF!,"AAAAAHPfuzw=")</f>
        <v>#REF!</v>
      </c>
      <c r="BJ218" t="e">
        <f>AND(#REF!,"AAAAAHPfuz0=")</f>
        <v>#REF!</v>
      </c>
      <c r="BK218" t="e">
        <f>AND(#REF!,"AAAAAHPfuz4=")</f>
        <v>#REF!</v>
      </c>
      <c r="BL218" t="e">
        <f>AND(#REF!,"AAAAAHPfuz8=")</f>
        <v>#REF!</v>
      </c>
      <c r="BM218" t="e">
        <f>AND(#REF!,"AAAAAHPfu0A=")</f>
        <v>#REF!</v>
      </c>
      <c r="BN218" t="e">
        <f>AND(#REF!,"AAAAAHPfu0E=")</f>
        <v>#REF!</v>
      </c>
      <c r="BO218" t="e">
        <f>AND(#REF!,"AAAAAHPfu0I=")</f>
        <v>#REF!</v>
      </c>
      <c r="BP218" t="e">
        <f>AND(#REF!,"AAAAAHPfu0M=")</f>
        <v>#REF!</v>
      </c>
      <c r="BQ218" t="e">
        <f>AND(#REF!,"AAAAAHPfu0Q=")</f>
        <v>#REF!</v>
      </c>
      <c r="BR218" t="e">
        <f>AND(#REF!,"AAAAAHPfu0U=")</f>
        <v>#REF!</v>
      </c>
      <c r="BS218" t="e">
        <f>AND(#REF!,"AAAAAHPfu0Y=")</f>
        <v>#REF!</v>
      </c>
      <c r="BT218" t="e">
        <f>AND(#REF!,"AAAAAHPfu0c=")</f>
        <v>#REF!</v>
      </c>
      <c r="BU218" t="e">
        <f>AND(#REF!,"AAAAAHPfu0g=")</f>
        <v>#REF!</v>
      </c>
      <c r="BV218" t="e">
        <f>AND(#REF!,"AAAAAHPfu0k=")</f>
        <v>#REF!</v>
      </c>
      <c r="BW218" t="e">
        <f>AND(#REF!,"AAAAAHPfu0o=")</f>
        <v>#REF!</v>
      </c>
      <c r="BX218" t="e">
        <f>AND(#REF!,"AAAAAHPfu0s=")</f>
        <v>#REF!</v>
      </c>
      <c r="BY218" t="e">
        <f>AND(#REF!,"AAAAAHPfu0w=")</f>
        <v>#REF!</v>
      </c>
      <c r="BZ218" t="e">
        <f>AND(#REF!,"AAAAAHPfu00=")</f>
        <v>#REF!</v>
      </c>
      <c r="CA218" t="e">
        <f>AND(#REF!,"AAAAAHPfu04=")</f>
        <v>#REF!</v>
      </c>
      <c r="CB218" t="e">
        <f>AND(#REF!,"AAAAAHPfu08=")</f>
        <v>#REF!</v>
      </c>
      <c r="CC218" t="e">
        <f>AND(#REF!,"AAAAAHPfu1A=")</f>
        <v>#REF!</v>
      </c>
      <c r="CD218" t="e">
        <f>AND(#REF!,"AAAAAHPfu1E=")</f>
        <v>#REF!</v>
      </c>
      <c r="CE218" t="e">
        <f>AND(#REF!,"AAAAAHPfu1I=")</f>
        <v>#REF!</v>
      </c>
      <c r="CF218" t="e">
        <f>AND(#REF!,"AAAAAHPfu1M=")</f>
        <v>#REF!</v>
      </c>
      <c r="CG218" t="e">
        <f>AND(#REF!,"AAAAAHPfu1Q=")</f>
        <v>#REF!</v>
      </c>
      <c r="CH218" t="e">
        <f>AND(#REF!,"AAAAAHPfu1U=")</f>
        <v>#REF!</v>
      </c>
      <c r="CI218" t="e">
        <f>AND(#REF!,"AAAAAHPfu1Y=")</f>
        <v>#REF!</v>
      </c>
      <c r="CJ218" t="e">
        <f>AND(#REF!,"AAAAAHPfu1c=")</f>
        <v>#REF!</v>
      </c>
      <c r="CK218" t="e">
        <f>AND(#REF!,"AAAAAHPfu1g=")</f>
        <v>#REF!</v>
      </c>
      <c r="CL218" t="e">
        <f>AND(#REF!,"AAAAAHPfu1k=")</f>
        <v>#REF!</v>
      </c>
      <c r="CM218" t="e">
        <f>AND(#REF!,"AAAAAHPfu1o=")</f>
        <v>#REF!</v>
      </c>
      <c r="CN218" t="e">
        <f>AND(#REF!,"AAAAAHPfu1s=")</f>
        <v>#REF!</v>
      </c>
      <c r="CO218" t="e">
        <f>AND(#REF!,"AAAAAHPfu1w=")</f>
        <v>#REF!</v>
      </c>
      <c r="CP218" t="e">
        <f>AND(#REF!,"AAAAAHPfu10=")</f>
        <v>#REF!</v>
      </c>
      <c r="CQ218" t="e">
        <f>AND(#REF!,"AAAAAHPfu14=")</f>
        <v>#REF!</v>
      </c>
      <c r="CR218" t="e">
        <f>AND(#REF!,"AAAAAHPfu18=")</f>
        <v>#REF!</v>
      </c>
      <c r="CS218" t="e">
        <f>AND(#REF!,"AAAAAHPfu2A=")</f>
        <v>#REF!</v>
      </c>
      <c r="CT218" t="e">
        <f>AND(#REF!,"AAAAAHPfu2E=")</f>
        <v>#REF!</v>
      </c>
      <c r="CU218" t="e">
        <f>AND(#REF!,"AAAAAHPfu2I=")</f>
        <v>#REF!</v>
      </c>
      <c r="CV218" t="e">
        <f>AND(#REF!,"AAAAAHPfu2M=")</f>
        <v>#REF!</v>
      </c>
      <c r="CW218" t="e">
        <f>AND(#REF!,"AAAAAHPfu2Q=")</f>
        <v>#REF!</v>
      </c>
      <c r="CX218" t="e">
        <f>AND(#REF!,"AAAAAHPfu2U=")</f>
        <v>#REF!</v>
      </c>
      <c r="CY218" t="e">
        <f>AND(#REF!,"AAAAAHPfu2Y=")</f>
        <v>#REF!</v>
      </c>
      <c r="CZ218" t="e">
        <f>AND(#REF!,"AAAAAHPfu2c=")</f>
        <v>#REF!</v>
      </c>
      <c r="DA218" t="e">
        <f>AND(#REF!,"AAAAAHPfu2g=")</f>
        <v>#REF!</v>
      </c>
      <c r="DB218" t="e">
        <f>AND(#REF!,"AAAAAHPfu2k=")</f>
        <v>#REF!</v>
      </c>
      <c r="DC218" t="e">
        <f>AND(#REF!,"AAAAAHPfu2o=")</f>
        <v>#REF!</v>
      </c>
      <c r="DD218" t="e">
        <f>AND(#REF!,"AAAAAHPfu2s=")</f>
        <v>#REF!</v>
      </c>
      <c r="DE218" t="e">
        <f>AND(#REF!,"AAAAAHPfu2w=")</f>
        <v>#REF!</v>
      </c>
      <c r="DF218" t="e">
        <f>AND(#REF!,"AAAAAHPfu20=")</f>
        <v>#REF!</v>
      </c>
      <c r="DG218" t="e">
        <f>AND(#REF!,"AAAAAHPfu24=")</f>
        <v>#REF!</v>
      </c>
      <c r="DH218" t="e">
        <f>AND(#REF!,"AAAAAHPfu28=")</f>
        <v>#REF!</v>
      </c>
      <c r="DI218" t="e">
        <f>AND(#REF!,"AAAAAHPfu3A=")</f>
        <v>#REF!</v>
      </c>
      <c r="DJ218" t="e">
        <f>AND(#REF!,"AAAAAHPfu3E=")</f>
        <v>#REF!</v>
      </c>
      <c r="DK218" t="e">
        <f>AND(#REF!,"AAAAAHPfu3I=")</f>
        <v>#REF!</v>
      </c>
      <c r="DL218" t="e">
        <f>AND(#REF!,"AAAAAHPfu3M=")</f>
        <v>#REF!</v>
      </c>
      <c r="DM218" t="e">
        <f>AND(#REF!,"AAAAAHPfu3Q=")</f>
        <v>#REF!</v>
      </c>
      <c r="DN218" t="e">
        <f>AND(#REF!,"AAAAAHPfu3U=")</f>
        <v>#REF!</v>
      </c>
      <c r="DO218" t="e">
        <f>AND(#REF!,"AAAAAHPfu3Y=")</f>
        <v>#REF!</v>
      </c>
      <c r="DP218" t="e">
        <f>AND(#REF!,"AAAAAHPfu3c=")</f>
        <v>#REF!</v>
      </c>
      <c r="DQ218" t="e">
        <f>AND(#REF!,"AAAAAHPfu3g=")</f>
        <v>#REF!</v>
      </c>
      <c r="DR218" t="e">
        <f>AND(#REF!,"AAAAAHPfu3k=")</f>
        <v>#REF!</v>
      </c>
      <c r="DS218" t="e">
        <f>AND(#REF!,"AAAAAHPfu3o=")</f>
        <v>#REF!</v>
      </c>
      <c r="DT218" t="e">
        <f>AND(#REF!,"AAAAAHPfu3s=")</f>
        <v>#REF!</v>
      </c>
      <c r="DU218" t="e">
        <f>AND(#REF!,"AAAAAHPfu3w=")</f>
        <v>#REF!</v>
      </c>
      <c r="DV218" t="e">
        <f>AND(#REF!,"AAAAAHPfu30=")</f>
        <v>#REF!</v>
      </c>
      <c r="DW218" t="e">
        <f>AND(#REF!,"AAAAAHPfu34=")</f>
        <v>#REF!</v>
      </c>
      <c r="DX218" t="e">
        <f>AND(#REF!,"AAAAAHPfu38=")</f>
        <v>#REF!</v>
      </c>
      <c r="DY218" t="e">
        <f>AND(#REF!,"AAAAAHPfu4A=")</f>
        <v>#REF!</v>
      </c>
      <c r="DZ218" t="e">
        <f>AND(#REF!,"AAAAAHPfu4E=")</f>
        <v>#REF!</v>
      </c>
      <c r="EA218" t="e">
        <f>AND(#REF!,"AAAAAHPfu4I=")</f>
        <v>#REF!</v>
      </c>
      <c r="EB218" t="e">
        <f>AND(#REF!,"AAAAAHPfu4M=")</f>
        <v>#REF!</v>
      </c>
      <c r="EC218" t="e">
        <f>AND(#REF!,"AAAAAHPfu4Q=")</f>
        <v>#REF!</v>
      </c>
      <c r="ED218" t="e">
        <f>AND(#REF!,"AAAAAHPfu4U=")</f>
        <v>#REF!</v>
      </c>
      <c r="EE218" t="e">
        <f>AND(#REF!,"AAAAAHPfu4Y=")</f>
        <v>#REF!</v>
      </c>
      <c r="EF218" t="e">
        <f>AND(#REF!,"AAAAAHPfu4c=")</f>
        <v>#REF!</v>
      </c>
      <c r="EG218" t="e">
        <f>AND(#REF!,"AAAAAHPfu4g=")</f>
        <v>#REF!</v>
      </c>
      <c r="EH218" t="e">
        <f>AND(#REF!,"AAAAAHPfu4k=")</f>
        <v>#REF!</v>
      </c>
      <c r="EI218" t="e">
        <f>AND(#REF!,"AAAAAHPfu4o=")</f>
        <v>#REF!</v>
      </c>
      <c r="EJ218" t="e">
        <f>AND(#REF!,"AAAAAHPfu4s=")</f>
        <v>#REF!</v>
      </c>
      <c r="EK218" t="e">
        <f>AND(#REF!,"AAAAAHPfu4w=")</f>
        <v>#REF!</v>
      </c>
      <c r="EL218" t="e">
        <f>AND(#REF!,"AAAAAHPfu40=")</f>
        <v>#REF!</v>
      </c>
      <c r="EM218" t="e">
        <f>AND(#REF!,"AAAAAHPfu44=")</f>
        <v>#REF!</v>
      </c>
      <c r="EN218" t="e">
        <f>AND(#REF!,"AAAAAHPfu48=")</f>
        <v>#REF!</v>
      </c>
      <c r="EO218" t="e">
        <f>AND(#REF!,"AAAAAHPfu5A=")</f>
        <v>#REF!</v>
      </c>
      <c r="EP218" t="e">
        <f>AND(#REF!,"AAAAAHPfu5E=")</f>
        <v>#REF!</v>
      </c>
      <c r="EQ218" t="e">
        <f>AND(#REF!,"AAAAAHPfu5I=")</f>
        <v>#REF!</v>
      </c>
      <c r="ER218" t="e">
        <f>AND(#REF!,"AAAAAHPfu5M=")</f>
        <v>#REF!</v>
      </c>
      <c r="ES218" t="e">
        <f>AND(#REF!,"AAAAAHPfu5Q=")</f>
        <v>#REF!</v>
      </c>
      <c r="ET218" t="e">
        <f>AND(#REF!,"AAAAAHPfu5U=")</f>
        <v>#REF!</v>
      </c>
      <c r="EU218" t="e">
        <f>AND(#REF!,"AAAAAHPfu5Y=")</f>
        <v>#REF!</v>
      </c>
      <c r="EV218" t="e">
        <f>AND(#REF!,"AAAAAHPfu5c=")</f>
        <v>#REF!</v>
      </c>
      <c r="EW218" t="e">
        <f>AND(#REF!,"AAAAAHPfu5g=")</f>
        <v>#REF!</v>
      </c>
      <c r="EX218" t="e">
        <f>AND(#REF!,"AAAAAHPfu5k=")</f>
        <v>#REF!</v>
      </c>
      <c r="EY218" t="e">
        <f>AND(#REF!,"AAAAAHPfu5o=")</f>
        <v>#REF!</v>
      </c>
      <c r="EZ218" t="e">
        <f>AND(#REF!,"AAAAAHPfu5s=")</f>
        <v>#REF!</v>
      </c>
      <c r="FA218" t="e">
        <f>AND(#REF!,"AAAAAHPfu5w=")</f>
        <v>#REF!</v>
      </c>
      <c r="FB218" t="e">
        <f>AND(#REF!,"AAAAAHPfu50=")</f>
        <v>#REF!</v>
      </c>
      <c r="FC218" t="e">
        <f>AND(#REF!,"AAAAAHPfu54=")</f>
        <v>#REF!</v>
      </c>
      <c r="FD218" t="e">
        <f>AND(#REF!,"AAAAAHPfu58=")</f>
        <v>#REF!</v>
      </c>
      <c r="FE218" t="e">
        <f>AND(#REF!,"AAAAAHPfu6A=")</f>
        <v>#REF!</v>
      </c>
      <c r="FF218" t="e">
        <f>AND(#REF!,"AAAAAHPfu6E=")</f>
        <v>#REF!</v>
      </c>
      <c r="FG218" t="e">
        <f>AND(#REF!,"AAAAAHPfu6I=")</f>
        <v>#REF!</v>
      </c>
      <c r="FH218" t="e">
        <f>AND(#REF!,"AAAAAHPfu6M=")</f>
        <v>#REF!</v>
      </c>
      <c r="FI218" t="e">
        <f>AND(#REF!,"AAAAAHPfu6Q=")</f>
        <v>#REF!</v>
      </c>
      <c r="FJ218" t="e">
        <f>AND(#REF!,"AAAAAHPfu6U=")</f>
        <v>#REF!</v>
      </c>
      <c r="FK218" t="e">
        <f>AND(#REF!,"AAAAAHPfu6Y=")</f>
        <v>#REF!</v>
      </c>
      <c r="FL218" t="e">
        <f>AND(#REF!,"AAAAAHPfu6c=")</f>
        <v>#REF!</v>
      </c>
      <c r="FM218" t="e">
        <f>AND(#REF!,"AAAAAHPfu6g=")</f>
        <v>#REF!</v>
      </c>
      <c r="FN218" t="e">
        <f>AND(#REF!,"AAAAAHPfu6k=")</f>
        <v>#REF!</v>
      </c>
      <c r="FO218" t="e">
        <f>AND(#REF!,"AAAAAHPfu6o=")</f>
        <v>#REF!</v>
      </c>
      <c r="FP218" t="e">
        <f>AND(#REF!,"AAAAAHPfu6s=")</f>
        <v>#REF!</v>
      </c>
      <c r="FQ218" t="e">
        <f>AND(#REF!,"AAAAAHPfu6w=")</f>
        <v>#REF!</v>
      </c>
      <c r="FR218" t="e">
        <f>AND(#REF!,"AAAAAHPfu60=")</f>
        <v>#REF!</v>
      </c>
      <c r="FS218" t="e">
        <f>AND(#REF!,"AAAAAHPfu64=")</f>
        <v>#REF!</v>
      </c>
      <c r="FT218" t="e">
        <f>AND(#REF!,"AAAAAHPfu68=")</f>
        <v>#REF!</v>
      </c>
      <c r="FU218" t="e">
        <f>AND(#REF!,"AAAAAHPfu7A=")</f>
        <v>#REF!</v>
      </c>
      <c r="FV218" t="e">
        <f>AND(#REF!,"AAAAAHPfu7E=")</f>
        <v>#REF!</v>
      </c>
      <c r="FW218" t="e">
        <f>AND(#REF!,"AAAAAHPfu7I=")</f>
        <v>#REF!</v>
      </c>
      <c r="FX218" t="e">
        <f>AND(#REF!,"AAAAAHPfu7M=")</f>
        <v>#REF!</v>
      </c>
      <c r="FY218" t="e">
        <f>AND(#REF!,"AAAAAHPfu7Q=")</f>
        <v>#REF!</v>
      </c>
      <c r="FZ218" t="e">
        <f>AND(#REF!,"AAAAAHPfu7U=")</f>
        <v>#REF!</v>
      </c>
      <c r="GA218" t="e">
        <f>AND(#REF!,"AAAAAHPfu7Y=")</f>
        <v>#REF!</v>
      </c>
      <c r="GB218" t="e">
        <f>AND(#REF!,"AAAAAHPfu7c=")</f>
        <v>#REF!</v>
      </c>
      <c r="GC218" t="e">
        <f>AND(#REF!,"AAAAAHPfu7g=")</f>
        <v>#REF!</v>
      </c>
      <c r="GD218" t="e">
        <f>AND(#REF!,"AAAAAHPfu7k=")</f>
        <v>#REF!</v>
      </c>
      <c r="GE218" t="e">
        <f>AND(#REF!,"AAAAAHPfu7o=")</f>
        <v>#REF!</v>
      </c>
      <c r="GF218" t="e">
        <f>AND(#REF!,"AAAAAHPfu7s=")</f>
        <v>#REF!</v>
      </c>
      <c r="GG218" t="e">
        <f>AND(#REF!,"AAAAAHPfu7w=")</f>
        <v>#REF!</v>
      </c>
      <c r="GH218" t="e">
        <f>AND(#REF!,"AAAAAHPfu70=")</f>
        <v>#REF!</v>
      </c>
      <c r="GI218" t="e">
        <f>AND(#REF!,"AAAAAHPfu74=")</f>
        <v>#REF!</v>
      </c>
      <c r="GJ218" t="e">
        <f>AND(#REF!,"AAAAAHPfu78=")</f>
        <v>#REF!</v>
      </c>
      <c r="GK218" t="e">
        <f>AND(#REF!,"AAAAAHPfu8A=")</f>
        <v>#REF!</v>
      </c>
      <c r="GL218" t="e">
        <f>AND(#REF!,"AAAAAHPfu8E=")</f>
        <v>#REF!</v>
      </c>
      <c r="GM218" t="e">
        <f>AND(#REF!,"AAAAAHPfu8I=")</f>
        <v>#REF!</v>
      </c>
      <c r="GN218" t="e">
        <f>AND(#REF!,"AAAAAHPfu8M=")</f>
        <v>#REF!</v>
      </c>
      <c r="GO218" t="e">
        <f>AND(#REF!,"AAAAAHPfu8Q=")</f>
        <v>#REF!</v>
      </c>
      <c r="GP218" t="e">
        <f>AND(#REF!,"AAAAAHPfu8U=")</f>
        <v>#REF!</v>
      </c>
      <c r="GQ218" t="e">
        <f>AND(#REF!,"AAAAAHPfu8Y=")</f>
        <v>#REF!</v>
      </c>
      <c r="GR218" t="e">
        <f>AND(#REF!,"AAAAAHPfu8c=")</f>
        <v>#REF!</v>
      </c>
      <c r="GS218" t="e">
        <f>AND(#REF!,"AAAAAHPfu8g=")</f>
        <v>#REF!</v>
      </c>
      <c r="GT218" t="e">
        <f>AND(#REF!,"AAAAAHPfu8k=")</f>
        <v>#REF!</v>
      </c>
      <c r="GU218" t="e">
        <f>AND(#REF!,"AAAAAHPfu8o=")</f>
        <v>#REF!</v>
      </c>
      <c r="GV218" t="e">
        <f>AND(#REF!,"AAAAAHPfu8s=")</f>
        <v>#REF!</v>
      </c>
      <c r="GW218" t="e">
        <f>AND(#REF!,"AAAAAHPfu8w=")</f>
        <v>#REF!</v>
      </c>
      <c r="GX218" t="e">
        <f>AND(#REF!,"AAAAAHPfu80=")</f>
        <v>#REF!</v>
      </c>
      <c r="GY218" t="e">
        <f>AND(#REF!,"AAAAAHPfu84=")</f>
        <v>#REF!</v>
      </c>
      <c r="GZ218" t="e">
        <f>AND(#REF!,"AAAAAHPfu88=")</f>
        <v>#REF!</v>
      </c>
      <c r="HA218" t="e">
        <f>AND(#REF!,"AAAAAHPfu9A=")</f>
        <v>#REF!</v>
      </c>
      <c r="HB218" t="e">
        <f>AND(#REF!,"AAAAAHPfu9E=")</f>
        <v>#REF!</v>
      </c>
      <c r="HC218" t="e">
        <f>AND(#REF!,"AAAAAHPfu9I=")</f>
        <v>#REF!</v>
      </c>
      <c r="HD218" t="e">
        <f>AND(#REF!,"AAAAAHPfu9M=")</f>
        <v>#REF!</v>
      </c>
      <c r="HE218" t="e">
        <f>AND(#REF!,"AAAAAHPfu9Q=")</f>
        <v>#REF!</v>
      </c>
      <c r="HF218" t="e">
        <f>AND(#REF!,"AAAAAHPfu9U=")</f>
        <v>#REF!</v>
      </c>
      <c r="HG218" t="e">
        <f>AND(#REF!,"AAAAAHPfu9Y=")</f>
        <v>#REF!</v>
      </c>
      <c r="HH218" t="e">
        <f>AND(#REF!,"AAAAAHPfu9c=")</f>
        <v>#REF!</v>
      </c>
      <c r="HI218" t="e">
        <f>AND(#REF!,"AAAAAHPfu9g=")</f>
        <v>#REF!</v>
      </c>
      <c r="HJ218" t="e">
        <f>AND(#REF!,"AAAAAHPfu9k=")</f>
        <v>#REF!</v>
      </c>
      <c r="HK218" t="e">
        <f>AND(#REF!,"AAAAAHPfu9o=")</f>
        <v>#REF!</v>
      </c>
      <c r="HL218" t="e">
        <f>AND(#REF!,"AAAAAHPfu9s=")</f>
        <v>#REF!</v>
      </c>
      <c r="HM218" t="e">
        <f>AND(#REF!,"AAAAAHPfu9w=")</f>
        <v>#REF!</v>
      </c>
      <c r="HN218" t="e">
        <f>AND(#REF!,"AAAAAHPfu90=")</f>
        <v>#REF!</v>
      </c>
      <c r="HO218" t="e">
        <f>AND(#REF!,"AAAAAHPfu94=")</f>
        <v>#REF!</v>
      </c>
      <c r="HP218" t="e">
        <f>AND(#REF!,"AAAAAHPfu98=")</f>
        <v>#REF!</v>
      </c>
      <c r="HQ218" t="e">
        <f>AND(#REF!,"AAAAAHPfu+A=")</f>
        <v>#REF!</v>
      </c>
      <c r="HR218" t="e">
        <f>AND(#REF!,"AAAAAHPfu+E=")</f>
        <v>#REF!</v>
      </c>
      <c r="HS218" t="e">
        <f>AND(#REF!,"AAAAAHPfu+I=")</f>
        <v>#REF!</v>
      </c>
      <c r="HT218" t="e">
        <f>AND(#REF!,"AAAAAHPfu+M=")</f>
        <v>#REF!</v>
      </c>
      <c r="HU218" t="e">
        <f>AND(#REF!,"AAAAAHPfu+Q=")</f>
        <v>#REF!</v>
      </c>
      <c r="HV218" t="e">
        <f>AND(#REF!,"AAAAAHPfu+U=")</f>
        <v>#REF!</v>
      </c>
      <c r="HW218" t="e">
        <f>AND(#REF!,"AAAAAHPfu+Y=")</f>
        <v>#REF!</v>
      </c>
      <c r="HX218" t="e">
        <f>AND(#REF!,"AAAAAHPfu+c=")</f>
        <v>#REF!</v>
      </c>
      <c r="HY218" t="e">
        <f>AND(#REF!,"AAAAAHPfu+g=")</f>
        <v>#REF!</v>
      </c>
      <c r="HZ218" t="e">
        <f>AND(#REF!,"AAAAAHPfu+k=")</f>
        <v>#REF!</v>
      </c>
      <c r="IA218" t="e">
        <f>AND(#REF!,"AAAAAHPfu+o=")</f>
        <v>#REF!</v>
      </c>
      <c r="IB218" t="e">
        <f>AND(#REF!,"AAAAAHPfu+s=")</f>
        <v>#REF!</v>
      </c>
      <c r="IC218" t="e">
        <f>AND(#REF!,"AAAAAHPfu+w=")</f>
        <v>#REF!</v>
      </c>
      <c r="ID218" t="e">
        <f>AND(#REF!,"AAAAAHPfu+0=")</f>
        <v>#REF!</v>
      </c>
      <c r="IE218" t="e">
        <f>AND(#REF!,"AAAAAHPfu+4=")</f>
        <v>#REF!</v>
      </c>
      <c r="IF218" t="e">
        <f>AND(#REF!,"AAAAAHPfu+8=")</f>
        <v>#REF!</v>
      </c>
      <c r="IG218" t="e">
        <f>AND(#REF!,"AAAAAHPfu/A=")</f>
        <v>#REF!</v>
      </c>
      <c r="IH218" t="e">
        <f>AND(#REF!,"AAAAAHPfu/E=")</f>
        <v>#REF!</v>
      </c>
      <c r="II218" t="e">
        <f>AND(#REF!,"AAAAAHPfu/I=")</f>
        <v>#REF!</v>
      </c>
      <c r="IJ218" t="e">
        <f>AND(#REF!,"AAAAAHPfu/M=")</f>
        <v>#REF!</v>
      </c>
      <c r="IK218" t="e">
        <f>AND(#REF!,"AAAAAHPfu/Q=")</f>
        <v>#REF!</v>
      </c>
      <c r="IL218" t="e">
        <f>AND(#REF!,"AAAAAHPfu/U=")</f>
        <v>#REF!</v>
      </c>
      <c r="IM218" t="e">
        <f>AND(#REF!,"AAAAAHPfu/Y=")</f>
        <v>#REF!</v>
      </c>
      <c r="IN218" t="e">
        <f>AND(#REF!,"AAAAAHPfu/c=")</f>
        <v>#REF!</v>
      </c>
      <c r="IO218" t="e">
        <f>AND(#REF!,"AAAAAHPfu/g=")</f>
        <v>#REF!</v>
      </c>
      <c r="IP218" t="e">
        <f>AND(#REF!,"AAAAAHPfu/k=")</f>
        <v>#REF!</v>
      </c>
      <c r="IQ218" t="e">
        <f>IF(#REF!,"AAAAAHPfu/o=",0)</f>
        <v>#REF!</v>
      </c>
      <c r="IR218" t="e">
        <f>AND(#REF!,"AAAAAHPfu/s=")</f>
        <v>#REF!</v>
      </c>
      <c r="IS218" t="e">
        <f>AND(#REF!,"AAAAAHPfu/w=")</f>
        <v>#REF!</v>
      </c>
      <c r="IT218" t="e">
        <f>AND(#REF!,"AAAAAHPfu/0=")</f>
        <v>#REF!</v>
      </c>
      <c r="IU218" t="e">
        <f>AND(#REF!,"AAAAAHPfu/4=")</f>
        <v>#REF!</v>
      </c>
      <c r="IV218" t="e">
        <f>AND(#REF!,"AAAAAHPfu/8=")</f>
        <v>#REF!</v>
      </c>
    </row>
    <row r="219" spans="1:256">
      <c r="A219" t="e">
        <f>AND(#REF!,"AAAAAH83ewA=")</f>
        <v>#REF!</v>
      </c>
      <c r="B219" t="e">
        <f>AND(#REF!,"AAAAAH83ewE=")</f>
        <v>#REF!</v>
      </c>
      <c r="C219" t="e">
        <f>AND(#REF!,"AAAAAH83ewI=")</f>
        <v>#REF!</v>
      </c>
      <c r="D219" t="e">
        <f>AND(#REF!,"AAAAAH83ewM=")</f>
        <v>#REF!</v>
      </c>
      <c r="E219" t="e">
        <f>AND(#REF!,"AAAAAH83ewQ=")</f>
        <v>#REF!</v>
      </c>
      <c r="F219" t="e">
        <f>AND(#REF!,"AAAAAH83ewU=")</f>
        <v>#REF!</v>
      </c>
      <c r="G219" t="e">
        <f>AND(#REF!,"AAAAAH83ewY=")</f>
        <v>#REF!</v>
      </c>
      <c r="H219" t="e">
        <f>AND(#REF!,"AAAAAH83ewc=")</f>
        <v>#REF!</v>
      </c>
      <c r="I219" t="e">
        <f>AND(#REF!,"AAAAAH83ewg=")</f>
        <v>#REF!</v>
      </c>
      <c r="J219" t="e">
        <f>AND(#REF!,"AAAAAH83ewk=")</f>
        <v>#REF!</v>
      </c>
      <c r="K219" t="e">
        <f>AND(#REF!,"AAAAAH83ewo=")</f>
        <v>#REF!</v>
      </c>
      <c r="L219" t="e">
        <f>AND(#REF!,"AAAAAH83ews=")</f>
        <v>#REF!</v>
      </c>
      <c r="M219" t="e">
        <f>AND(#REF!,"AAAAAH83eww=")</f>
        <v>#REF!</v>
      </c>
      <c r="N219" t="e">
        <f>AND(#REF!,"AAAAAH83ew0=")</f>
        <v>#REF!</v>
      </c>
      <c r="O219" t="e">
        <f>AND(#REF!,"AAAAAH83ew4=")</f>
        <v>#REF!</v>
      </c>
      <c r="P219" t="e">
        <f>AND(#REF!,"AAAAAH83ew8=")</f>
        <v>#REF!</v>
      </c>
      <c r="Q219" t="e">
        <f>AND(#REF!,"AAAAAH83exA=")</f>
        <v>#REF!</v>
      </c>
      <c r="R219" t="e">
        <f>AND(#REF!,"AAAAAH83exE=")</f>
        <v>#REF!</v>
      </c>
      <c r="S219" t="e">
        <f>AND(#REF!,"AAAAAH83exI=")</f>
        <v>#REF!</v>
      </c>
      <c r="T219" t="e">
        <f>AND(#REF!,"AAAAAH83exM=")</f>
        <v>#REF!</v>
      </c>
      <c r="U219" t="e">
        <f>AND(#REF!,"AAAAAH83exQ=")</f>
        <v>#REF!</v>
      </c>
      <c r="V219" t="e">
        <f>AND(#REF!,"AAAAAH83exU=")</f>
        <v>#REF!</v>
      </c>
      <c r="W219" t="e">
        <f>AND(#REF!,"AAAAAH83exY=")</f>
        <v>#REF!</v>
      </c>
      <c r="X219" t="e">
        <f>AND(#REF!,"AAAAAH83exc=")</f>
        <v>#REF!</v>
      </c>
      <c r="Y219" t="e">
        <f>AND(#REF!,"AAAAAH83exg=")</f>
        <v>#REF!</v>
      </c>
      <c r="Z219" t="e">
        <f>AND(#REF!,"AAAAAH83exk=")</f>
        <v>#REF!</v>
      </c>
      <c r="AA219" t="e">
        <f>AND(#REF!,"AAAAAH83exo=")</f>
        <v>#REF!</v>
      </c>
      <c r="AB219" t="e">
        <f>AND(#REF!,"AAAAAH83exs=")</f>
        <v>#REF!</v>
      </c>
      <c r="AC219" t="e">
        <f>AND(#REF!,"AAAAAH83exw=")</f>
        <v>#REF!</v>
      </c>
      <c r="AD219" t="e">
        <f>AND(#REF!,"AAAAAH83ex0=")</f>
        <v>#REF!</v>
      </c>
      <c r="AE219" t="e">
        <f>AND(#REF!,"AAAAAH83ex4=")</f>
        <v>#REF!</v>
      </c>
      <c r="AF219" t="e">
        <f>AND(#REF!,"AAAAAH83ex8=")</f>
        <v>#REF!</v>
      </c>
      <c r="AG219" t="e">
        <f>AND(#REF!,"AAAAAH83eyA=")</f>
        <v>#REF!</v>
      </c>
      <c r="AH219" t="e">
        <f>AND(#REF!,"AAAAAH83eyE=")</f>
        <v>#REF!</v>
      </c>
      <c r="AI219" t="e">
        <f>AND(#REF!,"AAAAAH83eyI=")</f>
        <v>#REF!</v>
      </c>
      <c r="AJ219" t="e">
        <f>AND(#REF!,"AAAAAH83eyM=")</f>
        <v>#REF!</v>
      </c>
      <c r="AK219" t="e">
        <f>AND(#REF!,"AAAAAH83eyQ=")</f>
        <v>#REF!</v>
      </c>
      <c r="AL219" t="e">
        <f>AND(#REF!,"AAAAAH83eyU=")</f>
        <v>#REF!</v>
      </c>
      <c r="AM219" t="e">
        <f>AND(#REF!,"AAAAAH83eyY=")</f>
        <v>#REF!</v>
      </c>
      <c r="AN219" t="e">
        <f>AND(#REF!,"AAAAAH83eyc=")</f>
        <v>#REF!</v>
      </c>
      <c r="AO219" t="e">
        <f>AND(#REF!,"AAAAAH83eyg=")</f>
        <v>#REF!</v>
      </c>
      <c r="AP219" t="e">
        <f>AND(#REF!,"AAAAAH83eyk=")</f>
        <v>#REF!</v>
      </c>
      <c r="AQ219" t="e">
        <f>AND(#REF!,"AAAAAH83eyo=")</f>
        <v>#REF!</v>
      </c>
      <c r="AR219" t="e">
        <f>AND(#REF!,"AAAAAH83eys=")</f>
        <v>#REF!</v>
      </c>
      <c r="AS219" t="e">
        <f>AND(#REF!,"AAAAAH83eyw=")</f>
        <v>#REF!</v>
      </c>
      <c r="AT219" t="e">
        <f>AND(#REF!,"AAAAAH83ey0=")</f>
        <v>#REF!</v>
      </c>
      <c r="AU219" t="e">
        <f>AND(#REF!,"AAAAAH83ey4=")</f>
        <v>#REF!</v>
      </c>
      <c r="AV219" t="e">
        <f>AND(#REF!,"AAAAAH83ey8=")</f>
        <v>#REF!</v>
      </c>
      <c r="AW219" t="e">
        <f>AND(#REF!,"AAAAAH83ezA=")</f>
        <v>#REF!</v>
      </c>
      <c r="AX219" t="e">
        <f>AND(#REF!,"AAAAAH83ezE=")</f>
        <v>#REF!</v>
      </c>
      <c r="AY219" t="e">
        <f>AND(#REF!,"AAAAAH83ezI=")</f>
        <v>#REF!</v>
      </c>
      <c r="AZ219" t="e">
        <f>AND(#REF!,"AAAAAH83ezM=")</f>
        <v>#REF!</v>
      </c>
      <c r="BA219" t="e">
        <f>AND(#REF!,"AAAAAH83ezQ=")</f>
        <v>#REF!</v>
      </c>
      <c r="BB219" t="e">
        <f>AND(#REF!,"AAAAAH83ezU=")</f>
        <v>#REF!</v>
      </c>
      <c r="BC219" t="e">
        <f>AND(#REF!,"AAAAAH83ezY=")</f>
        <v>#REF!</v>
      </c>
      <c r="BD219" t="e">
        <f>AND(#REF!,"AAAAAH83ezc=")</f>
        <v>#REF!</v>
      </c>
      <c r="BE219" t="e">
        <f>AND(#REF!,"AAAAAH83ezg=")</f>
        <v>#REF!</v>
      </c>
      <c r="BF219" t="e">
        <f>AND(#REF!,"AAAAAH83ezk=")</f>
        <v>#REF!</v>
      </c>
      <c r="BG219" t="e">
        <f>AND(#REF!,"AAAAAH83ezo=")</f>
        <v>#REF!</v>
      </c>
      <c r="BH219" t="e">
        <f>AND(#REF!,"AAAAAH83ezs=")</f>
        <v>#REF!</v>
      </c>
      <c r="BI219" t="e">
        <f>AND(#REF!,"AAAAAH83ezw=")</f>
        <v>#REF!</v>
      </c>
      <c r="BJ219" t="e">
        <f>AND(#REF!,"AAAAAH83ez0=")</f>
        <v>#REF!</v>
      </c>
      <c r="BK219" t="e">
        <f>AND(#REF!,"AAAAAH83ez4=")</f>
        <v>#REF!</v>
      </c>
      <c r="BL219" t="e">
        <f>AND(#REF!,"AAAAAH83ez8=")</f>
        <v>#REF!</v>
      </c>
      <c r="BM219" t="e">
        <f>AND(#REF!,"AAAAAH83e0A=")</f>
        <v>#REF!</v>
      </c>
      <c r="BN219" t="e">
        <f>AND(#REF!,"AAAAAH83e0E=")</f>
        <v>#REF!</v>
      </c>
      <c r="BO219" t="e">
        <f>AND(#REF!,"AAAAAH83e0I=")</f>
        <v>#REF!</v>
      </c>
      <c r="BP219" t="e">
        <f>AND(#REF!,"AAAAAH83e0M=")</f>
        <v>#REF!</v>
      </c>
      <c r="BQ219" t="e">
        <f>AND(#REF!,"AAAAAH83e0Q=")</f>
        <v>#REF!</v>
      </c>
      <c r="BR219" t="e">
        <f>AND(#REF!,"AAAAAH83e0U=")</f>
        <v>#REF!</v>
      </c>
      <c r="BS219" t="e">
        <f>AND(#REF!,"AAAAAH83e0Y=")</f>
        <v>#REF!</v>
      </c>
      <c r="BT219" t="e">
        <f>AND(#REF!,"AAAAAH83e0c=")</f>
        <v>#REF!</v>
      </c>
      <c r="BU219" t="e">
        <f>AND(#REF!,"AAAAAH83e0g=")</f>
        <v>#REF!</v>
      </c>
      <c r="BV219" t="e">
        <f>AND(#REF!,"AAAAAH83e0k=")</f>
        <v>#REF!</v>
      </c>
      <c r="BW219" t="e">
        <f>AND(#REF!,"AAAAAH83e0o=")</f>
        <v>#REF!</v>
      </c>
      <c r="BX219" t="e">
        <f>AND(#REF!,"AAAAAH83e0s=")</f>
        <v>#REF!</v>
      </c>
      <c r="BY219" t="e">
        <f>AND(#REF!,"AAAAAH83e0w=")</f>
        <v>#REF!</v>
      </c>
      <c r="BZ219" t="e">
        <f>AND(#REF!,"AAAAAH83e00=")</f>
        <v>#REF!</v>
      </c>
      <c r="CA219" t="e">
        <f>AND(#REF!,"AAAAAH83e04=")</f>
        <v>#REF!</v>
      </c>
      <c r="CB219" t="e">
        <f>AND(#REF!,"AAAAAH83e08=")</f>
        <v>#REF!</v>
      </c>
      <c r="CC219" t="e">
        <f>AND(#REF!,"AAAAAH83e1A=")</f>
        <v>#REF!</v>
      </c>
      <c r="CD219" t="e">
        <f>AND(#REF!,"AAAAAH83e1E=")</f>
        <v>#REF!</v>
      </c>
      <c r="CE219" t="e">
        <f>AND(#REF!,"AAAAAH83e1I=")</f>
        <v>#REF!</v>
      </c>
      <c r="CF219" t="e">
        <f>AND(#REF!,"AAAAAH83e1M=")</f>
        <v>#REF!</v>
      </c>
      <c r="CG219" t="e">
        <f>AND(#REF!,"AAAAAH83e1Q=")</f>
        <v>#REF!</v>
      </c>
      <c r="CH219" t="e">
        <f>AND(#REF!,"AAAAAH83e1U=")</f>
        <v>#REF!</v>
      </c>
      <c r="CI219" t="e">
        <f>AND(#REF!,"AAAAAH83e1Y=")</f>
        <v>#REF!</v>
      </c>
      <c r="CJ219" t="e">
        <f>AND(#REF!,"AAAAAH83e1c=")</f>
        <v>#REF!</v>
      </c>
      <c r="CK219" t="e">
        <f>AND(#REF!,"AAAAAH83e1g=")</f>
        <v>#REF!</v>
      </c>
      <c r="CL219" t="e">
        <f>AND(#REF!,"AAAAAH83e1k=")</f>
        <v>#REF!</v>
      </c>
      <c r="CM219" t="e">
        <f>AND(#REF!,"AAAAAH83e1o=")</f>
        <v>#REF!</v>
      </c>
      <c r="CN219" t="e">
        <f>AND(#REF!,"AAAAAH83e1s=")</f>
        <v>#REF!</v>
      </c>
      <c r="CO219" t="e">
        <f>AND(#REF!,"AAAAAH83e1w=")</f>
        <v>#REF!</v>
      </c>
      <c r="CP219" t="e">
        <f>AND(#REF!,"AAAAAH83e10=")</f>
        <v>#REF!</v>
      </c>
      <c r="CQ219" t="e">
        <f>AND(#REF!,"AAAAAH83e14=")</f>
        <v>#REF!</v>
      </c>
      <c r="CR219" t="e">
        <f>AND(#REF!,"AAAAAH83e18=")</f>
        <v>#REF!</v>
      </c>
      <c r="CS219" t="e">
        <f>AND(#REF!,"AAAAAH83e2A=")</f>
        <v>#REF!</v>
      </c>
      <c r="CT219" t="e">
        <f>AND(#REF!,"AAAAAH83e2E=")</f>
        <v>#REF!</v>
      </c>
      <c r="CU219" t="e">
        <f>AND(#REF!,"AAAAAH83e2I=")</f>
        <v>#REF!</v>
      </c>
      <c r="CV219" t="e">
        <f>AND(#REF!,"AAAAAH83e2M=")</f>
        <v>#REF!</v>
      </c>
      <c r="CW219" t="e">
        <f>AND(#REF!,"AAAAAH83e2Q=")</f>
        <v>#REF!</v>
      </c>
      <c r="CX219" t="e">
        <f>AND(#REF!,"AAAAAH83e2U=")</f>
        <v>#REF!</v>
      </c>
      <c r="CY219" t="e">
        <f>AND(#REF!,"AAAAAH83e2Y=")</f>
        <v>#REF!</v>
      </c>
      <c r="CZ219" t="e">
        <f>AND(#REF!,"AAAAAH83e2c=")</f>
        <v>#REF!</v>
      </c>
      <c r="DA219" t="e">
        <f>AND(#REF!,"AAAAAH83e2g=")</f>
        <v>#REF!</v>
      </c>
      <c r="DB219" t="e">
        <f>AND(#REF!,"AAAAAH83e2k=")</f>
        <v>#REF!</v>
      </c>
      <c r="DC219" t="e">
        <f>AND(#REF!,"AAAAAH83e2o=")</f>
        <v>#REF!</v>
      </c>
      <c r="DD219" t="e">
        <f>AND(#REF!,"AAAAAH83e2s=")</f>
        <v>#REF!</v>
      </c>
      <c r="DE219" t="e">
        <f>AND(#REF!,"AAAAAH83e2w=")</f>
        <v>#REF!</v>
      </c>
      <c r="DF219" t="e">
        <f>AND(#REF!,"AAAAAH83e20=")</f>
        <v>#REF!</v>
      </c>
      <c r="DG219" t="e">
        <f>AND(#REF!,"AAAAAH83e24=")</f>
        <v>#REF!</v>
      </c>
      <c r="DH219" t="e">
        <f>AND(#REF!,"AAAAAH83e28=")</f>
        <v>#REF!</v>
      </c>
      <c r="DI219" t="e">
        <f>AND(#REF!,"AAAAAH83e3A=")</f>
        <v>#REF!</v>
      </c>
      <c r="DJ219" t="e">
        <f>AND(#REF!,"AAAAAH83e3E=")</f>
        <v>#REF!</v>
      </c>
      <c r="DK219" t="e">
        <f>AND(#REF!,"AAAAAH83e3I=")</f>
        <v>#REF!</v>
      </c>
      <c r="DL219" t="e">
        <f>AND(#REF!,"AAAAAH83e3M=")</f>
        <v>#REF!</v>
      </c>
      <c r="DM219" t="e">
        <f>AND(#REF!,"AAAAAH83e3Q=")</f>
        <v>#REF!</v>
      </c>
      <c r="DN219" t="e">
        <f>AND(#REF!,"AAAAAH83e3U=")</f>
        <v>#REF!</v>
      </c>
      <c r="DO219" t="e">
        <f>AND(#REF!,"AAAAAH83e3Y=")</f>
        <v>#REF!</v>
      </c>
      <c r="DP219" t="e">
        <f>AND(#REF!,"AAAAAH83e3c=")</f>
        <v>#REF!</v>
      </c>
      <c r="DQ219" t="e">
        <f>AND(#REF!,"AAAAAH83e3g=")</f>
        <v>#REF!</v>
      </c>
      <c r="DR219" t="e">
        <f>AND(#REF!,"AAAAAH83e3k=")</f>
        <v>#REF!</v>
      </c>
      <c r="DS219" t="e">
        <f>AND(#REF!,"AAAAAH83e3o=")</f>
        <v>#REF!</v>
      </c>
      <c r="DT219" t="e">
        <f>AND(#REF!,"AAAAAH83e3s=")</f>
        <v>#REF!</v>
      </c>
      <c r="DU219" t="e">
        <f>AND(#REF!,"AAAAAH83e3w=")</f>
        <v>#REF!</v>
      </c>
      <c r="DV219" t="e">
        <f>AND(#REF!,"AAAAAH83e30=")</f>
        <v>#REF!</v>
      </c>
      <c r="DW219" t="e">
        <f>AND(#REF!,"AAAAAH83e34=")</f>
        <v>#REF!</v>
      </c>
      <c r="DX219" t="e">
        <f>AND(#REF!,"AAAAAH83e38=")</f>
        <v>#REF!</v>
      </c>
      <c r="DY219" t="e">
        <f>AND(#REF!,"AAAAAH83e4A=")</f>
        <v>#REF!</v>
      </c>
      <c r="DZ219" t="e">
        <f>AND(#REF!,"AAAAAH83e4E=")</f>
        <v>#REF!</v>
      </c>
      <c r="EA219" t="e">
        <f>AND(#REF!,"AAAAAH83e4I=")</f>
        <v>#REF!</v>
      </c>
      <c r="EB219" t="e">
        <f>AND(#REF!,"AAAAAH83e4M=")</f>
        <v>#REF!</v>
      </c>
      <c r="EC219" t="e">
        <f>AND(#REF!,"AAAAAH83e4Q=")</f>
        <v>#REF!</v>
      </c>
      <c r="ED219" t="e">
        <f>AND(#REF!,"AAAAAH83e4U=")</f>
        <v>#REF!</v>
      </c>
      <c r="EE219" t="e">
        <f>AND(#REF!,"AAAAAH83e4Y=")</f>
        <v>#REF!</v>
      </c>
      <c r="EF219" t="e">
        <f>AND(#REF!,"AAAAAH83e4c=")</f>
        <v>#REF!</v>
      </c>
      <c r="EG219" t="e">
        <f>AND(#REF!,"AAAAAH83e4g=")</f>
        <v>#REF!</v>
      </c>
      <c r="EH219" t="e">
        <f>AND(#REF!,"AAAAAH83e4k=")</f>
        <v>#REF!</v>
      </c>
      <c r="EI219" t="e">
        <f>AND(#REF!,"AAAAAH83e4o=")</f>
        <v>#REF!</v>
      </c>
      <c r="EJ219" t="e">
        <f>AND(#REF!,"AAAAAH83e4s=")</f>
        <v>#REF!</v>
      </c>
      <c r="EK219" t="e">
        <f>AND(#REF!,"AAAAAH83e4w=")</f>
        <v>#REF!</v>
      </c>
      <c r="EL219" t="e">
        <f>AND(#REF!,"AAAAAH83e40=")</f>
        <v>#REF!</v>
      </c>
      <c r="EM219" t="e">
        <f>AND(#REF!,"AAAAAH83e44=")</f>
        <v>#REF!</v>
      </c>
      <c r="EN219" t="e">
        <f>AND(#REF!,"AAAAAH83e48=")</f>
        <v>#REF!</v>
      </c>
      <c r="EO219" t="e">
        <f>AND(#REF!,"AAAAAH83e5A=")</f>
        <v>#REF!</v>
      </c>
      <c r="EP219" t="e">
        <f>AND(#REF!,"AAAAAH83e5E=")</f>
        <v>#REF!</v>
      </c>
      <c r="EQ219" t="e">
        <f>AND(#REF!,"AAAAAH83e5I=")</f>
        <v>#REF!</v>
      </c>
      <c r="ER219" t="e">
        <f>AND(#REF!,"AAAAAH83e5M=")</f>
        <v>#REF!</v>
      </c>
      <c r="ES219" t="e">
        <f>AND(#REF!,"AAAAAH83e5Q=")</f>
        <v>#REF!</v>
      </c>
      <c r="ET219" t="e">
        <f>AND(#REF!,"AAAAAH83e5U=")</f>
        <v>#REF!</v>
      </c>
      <c r="EU219" t="e">
        <f>AND(#REF!,"AAAAAH83e5Y=")</f>
        <v>#REF!</v>
      </c>
      <c r="EV219" t="e">
        <f>AND(#REF!,"AAAAAH83e5c=")</f>
        <v>#REF!</v>
      </c>
      <c r="EW219" t="e">
        <f>AND(#REF!,"AAAAAH83e5g=")</f>
        <v>#REF!</v>
      </c>
      <c r="EX219" t="e">
        <f>AND(#REF!,"AAAAAH83e5k=")</f>
        <v>#REF!</v>
      </c>
      <c r="EY219" t="e">
        <f>AND(#REF!,"AAAAAH83e5o=")</f>
        <v>#REF!</v>
      </c>
      <c r="EZ219" t="e">
        <f>AND(#REF!,"AAAAAH83e5s=")</f>
        <v>#REF!</v>
      </c>
      <c r="FA219" t="e">
        <f>AND(#REF!,"AAAAAH83e5w=")</f>
        <v>#REF!</v>
      </c>
      <c r="FB219" t="e">
        <f>AND(#REF!,"AAAAAH83e50=")</f>
        <v>#REF!</v>
      </c>
      <c r="FC219" t="e">
        <f>AND(#REF!,"AAAAAH83e54=")</f>
        <v>#REF!</v>
      </c>
      <c r="FD219" t="e">
        <f>AND(#REF!,"AAAAAH83e58=")</f>
        <v>#REF!</v>
      </c>
      <c r="FE219" t="e">
        <f>AND(#REF!,"AAAAAH83e6A=")</f>
        <v>#REF!</v>
      </c>
      <c r="FF219" t="e">
        <f>AND(#REF!,"AAAAAH83e6E=")</f>
        <v>#REF!</v>
      </c>
      <c r="FG219" t="e">
        <f>AND(#REF!,"AAAAAH83e6I=")</f>
        <v>#REF!</v>
      </c>
      <c r="FH219" t="e">
        <f>AND(#REF!,"AAAAAH83e6M=")</f>
        <v>#REF!</v>
      </c>
      <c r="FI219" t="e">
        <f>AND(#REF!,"AAAAAH83e6Q=")</f>
        <v>#REF!</v>
      </c>
      <c r="FJ219" t="e">
        <f>AND(#REF!,"AAAAAH83e6U=")</f>
        <v>#REF!</v>
      </c>
      <c r="FK219" t="e">
        <f>AND(#REF!,"AAAAAH83e6Y=")</f>
        <v>#REF!</v>
      </c>
      <c r="FL219" t="e">
        <f>AND(#REF!,"AAAAAH83e6c=")</f>
        <v>#REF!</v>
      </c>
      <c r="FM219" t="e">
        <f>AND(#REF!,"AAAAAH83e6g=")</f>
        <v>#REF!</v>
      </c>
      <c r="FN219" t="e">
        <f>AND(#REF!,"AAAAAH83e6k=")</f>
        <v>#REF!</v>
      </c>
      <c r="FO219" t="e">
        <f>AND(#REF!,"AAAAAH83e6o=")</f>
        <v>#REF!</v>
      </c>
      <c r="FP219" t="e">
        <f>AND(#REF!,"AAAAAH83e6s=")</f>
        <v>#REF!</v>
      </c>
      <c r="FQ219" t="e">
        <f>AND(#REF!,"AAAAAH83e6w=")</f>
        <v>#REF!</v>
      </c>
      <c r="FR219" t="e">
        <f>AND(#REF!,"AAAAAH83e60=")</f>
        <v>#REF!</v>
      </c>
      <c r="FS219" t="e">
        <f>AND(#REF!,"AAAAAH83e64=")</f>
        <v>#REF!</v>
      </c>
      <c r="FT219" t="e">
        <f>AND(#REF!,"AAAAAH83e68=")</f>
        <v>#REF!</v>
      </c>
      <c r="FU219" t="e">
        <f>AND(#REF!,"AAAAAH83e7A=")</f>
        <v>#REF!</v>
      </c>
      <c r="FV219" t="e">
        <f>AND(#REF!,"AAAAAH83e7E=")</f>
        <v>#REF!</v>
      </c>
      <c r="FW219" t="e">
        <f>AND(#REF!,"AAAAAH83e7I=")</f>
        <v>#REF!</v>
      </c>
      <c r="FX219" t="e">
        <f>AND(#REF!,"AAAAAH83e7M=")</f>
        <v>#REF!</v>
      </c>
      <c r="FY219" t="e">
        <f>AND(#REF!,"AAAAAH83e7Q=")</f>
        <v>#REF!</v>
      </c>
      <c r="FZ219" t="e">
        <f>AND(#REF!,"AAAAAH83e7U=")</f>
        <v>#REF!</v>
      </c>
      <c r="GA219" t="e">
        <f>AND(#REF!,"AAAAAH83e7Y=")</f>
        <v>#REF!</v>
      </c>
      <c r="GB219" t="e">
        <f>AND(#REF!,"AAAAAH83e7c=")</f>
        <v>#REF!</v>
      </c>
      <c r="GC219" t="e">
        <f>AND(#REF!,"AAAAAH83e7g=")</f>
        <v>#REF!</v>
      </c>
      <c r="GD219" t="e">
        <f>AND(#REF!,"AAAAAH83e7k=")</f>
        <v>#REF!</v>
      </c>
      <c r="GE219" t="e">
        <f>AND(#REF!,"AAAAAH83e7o=")</f>
        <v>#REF!</v>
      </c>
      <c r="GF219" t="e">
        <f>AND(#REF!,"AAAAAH83e7s=")</f>
        <v>#REF!</v>
      </c>
      <c r="GG219" t="e">
        <f>AND(#REF!,"AAAAAH83e7w=")</f>
        <v>#REF!</v>
      </c>
      <c r="GH219" t="e">
        <f>AND(#REF!,"AAAAAH83e70=")</f>
        <v>#REF!</v>
      </c>
      <c r="GI219" t="e">
        <f>AND(#REF!,"AAAAAH83e74=")</f>
        <v>#REF!</v>
      </c>
      <c r="GJ219" t="e">
        <f>AND(#REF!,"AAAAAH83e78=")</f>
        <v>#REF!</v>
      </c>
      <c r="GK219" t="e">
        <f>AND(#REF!,"AAAAAH83e8A=")</f>
        <v>#REF!</v>
      </c>
      <c r="GL219" t="e">
        <f>AND(#REF!,"AAAAAH83e8E=")</f>
        <v>#REF!</v>
      </c>
      <c r="GM219" t="e">
        <f>AND(#REF!,"AAAAAH83e8I=")</f>
        <v>#REF!</v>
      </c>
      <c r="GN219" t="e">
        <f>AND(#REF!,"AAAAAH83e8M=")</f>
        <v>#REF!</v>
      </c>
      <c r="GO219" t="e">
        <f>AND(#REF!,"AAAAAH83e8Q=")</f>
        <v>#REF!</v>
      </c>
      <c r="GP219" t="e">
        <f>AND(#REF!,"AAAAAH83e8U=")</f>
        <v>#REF!</v>
      </c>
      <c r="GQ219" t="e">
        <f>AND(#REF!,"AAAAAH83e8Y=")</f>
        <v>#REF!</v>
      </c>
      <c r="GR219" t="e">
        <f>AND(#REF!,"AAAAAH83e8c=")</f>
        <v>#REF!</v>
      </c>
      <c r="GS219" t="e">
        <f>AND(#REF!,"AAAAAH83e8g=")</f>
        <v>#REF!</v>
      </c>
      <c r="GT219" t="e">
        <f>AND(#REF!,"AAAAAH83e8k=")</f>
        <v>#REF!</v>
      </c>
      <c r="GU219" t="e">
        <f>AND(#REF!,"AAAAAH83e8o=")</f>
        <v>#REF!</v>
      </c>
      <c r="GV219" t="e">
        <f>AND(#REF!,"AAAAAH83e8s=")</f>
        <v>#REF!</v>
      </c>
      <c r="GW219" t="e">
        <f>AND(#REF!,"AAAAAH83e8w=")</f>
        <v>#REF!</v>
      </c>
      <c r="GX219" t="e">
        <f>AND(#REF!,"AAAAAH83e80=")</f>
        <v>#REF!</v>
      </c>
      <c r="GY219" t="e">
        <f>AND(#REF!,"AAAAAH83e84=")</f>
        <v>#REF!</v>
      </c>
      <c r="GZ219" t="e">
        <f>AND(#REF!,"AAAAAH83e88=")</f>
        <v>#REF!</v>
      </c>
      <c r="HA219" t="e">
        <f>AND(#REF!,"AAAAAH83e9A=")</f>
        <v>#REF!</v>
      </c>
      <c r="HB219" t="e">
        <f>AND(#REF!,"AAAAAH83e9E=")</f>
        <v>#REF!</v>
      </c>
      <c r="HC219" t="e">
        <f>AND(#REF!,"AAAAAH83e9I=")</f>
        <v>#REF!</v>
      </c>
      <c r="HD219" t="e">
        <f>AND(#REF!,"AAAAAH83e9M=")</f>
        <v>#REF!</v>
      </c>
      <c r="HE219" t="e">
        <f>AND(#REF!,"AAAAAH83e9Q=")</f>
        <v>#REF!</v>
      </c>
      <c r="HF219" t="e">
        <f>AND(#REF!,"AAAAAH83e9U=")</f>
        <v>#REF!</v>
      </c>
      <c r="HG219" t="e">
        <f>AND(#REF!,"AAAAAH83e9Y=")</f>
        <v>#REF!</v>
      </c>
      <c r="HH219" t="e">
        <f>AND(#REF!,"AAAAAH83e9c=")</f>
        <v>#REF!</v>
      </c>
      <c r="HI219" t="e">
        <f>AND(#REF!,"AAAAAH83e9g=")</f>
        <v>#REF!</v>
      </c>
      <c r="HJ219" t="e">
        <f>AND(#REF!,"AAAAAH83e9k=")</f>
        <v>#REF!</v>
      </c>
      <c r="HK219" t="e">
        <f>AND(#REF!,"AAAAAH83e9o=")</f>
        <v>#REF!</v>
      </c>
      <c r="HL219" t="e">
        <f>AND(#REF!,"AAAAAH83e9s=")</f>
        <v>#REF!</v>
      </c>
      <c r="HM219" t="e">
        <f>AND(#REF!,"AAAAAH83e9w=")</f>
        <v>#REF!</v>
      </c>
      <c r="HN219" t="e">
        <f>AND(#REF!,"AAAAAH83e90=")</f>
        <v>#REF!</v>
      </c>
      <c r="HO219" t="e">
        <f>IF(#REF!,"AAAAAH83e94=",0)</f>
        <v>#REF!</v>
      </c>
      <c r="HP219" t="e">
        <f>AND(#REF!,"AAAAAH83e98=")</f>
        <v>#REF!</v>
      </c>
      <c r="HQ219" t="e">
        <f>AND(#REF!,"AAAAAH83e+A=")</f>
        <v>#REF!</v>
      </c>
      <c r="HR219" t="e">
        <f>AND(#REF!,"AAAAAH83e+E=")</f>
        <v>#REF!</v>
      </c>
      <c r="HS219" t="e">
        <f>AND(#REF!,"AAAAAH83e+I=")</f>
        <v>#REF!</v>
      </c>
      <c r="HT219" t="e">
        <f>AND(#REF!,"AAAAAH83e+M=")</f>
        <v>#REF!</v>
      </c>
      <c r="HU219" t="e">
        <f>AND(#REF!,"AAAAAH83e+Q=")</f>
        <v>#REF!</v>
      </c>
      <c r="HV219" t="e">
        <f>AND(#REF!,"AAAAAH83e+U=")</f>
        <v>#REF!</v>
      </c>
      <c r="HW219" t="e">
        <f>AND(#REF!,"AAAAAH83e+Y=")</f>
        <v>#REF!</v>
      </c>
      <c r="HX219" t="e">
        <f>AND(#REF!,"AAAAAH83e+c=")</f>
        <v>#REF!</v>
      </c>
      <c r="HY219" t="e">
        <f>AND(#REF!,"AAAAAH83e+g=")</f>
        <v>#REF!</v>
      </c>
      <c r="HZ219" t="e">
        <f>AND(#REF!,"AAAAAH83e+k=")</f>
        <v>#REF!</v>
      </c>
      <c r="IA219" t="e">
        <f>AND(#REF!,"AAAAAH83e+o=")</f>
        <v>#REF!</v>
      </c>
      <c r="IB219" t="e">
        <f>AND(#REF!,"AAAAAH83e+s=")</f>
        <v>#REF!</v>
      </c>
      <c r="IC219" t="e">
        <f>AND(#REF!,"AAAAAH83e+w=")</f>
        <v>#REF!</v>
      </c>
      <c r="ID219" t="e">
        <f>AND(#REF!,"AAAAAH83e+0=")</f>
        <v>#REF!</v>
      </c>
      <c r="IE219" t="e">
        <f>AND(#REF!,"AAAAAH83e+4=")</f>
        <v>#REF!</v>
      </c>
      <c r="IF219" t="e">
        <f>AND(#REF!,"AAAAAH83e+8=")</f>
        <v>#REF!</v>
      </c>
      <c r="IG219" t="e">
        <f>AND(#REF!,"AAAAAH83e/A=")</f>
        <v>#REF!</v>
      </c>
      <c r="IH219" t="e">
        <f>AND(#REF!,"AAAAAH83e/E=")</f>
        <v>#REF!</v>
      </c>
      <c r="II219" t="e">
        <f>AND(#REF!,"AAAAAH83e/I=")</f>
        <v>#REF!</v>
      </c>
      <c r="IJ219" t="e">
        <f>AND(#REF!,"AAAAAH83e/M=")</f>
        <v>#REF!</v>
      </c>
      <c r="IK219" t="e">
        <f>AND(#REF!,"AAAAAH83e/Q=")</f>
        <v>#REF!</v>
      </c>
      <c r="IL219" t="e">
        <f>AND(#REF!,"AAAAAH83e/U=")</f>
        <v>#REF!</v>
      </c>
      <c r="IM219" t="e">
        <f>AND(#REF!,"AAAAAH83e/Y=")</f>
        <v>#REF!</v>
      </c>
      <c r="IN219" t="e">
        <f>AND(#REF!,"AAAAAH83e/c=")</f>
        <v>#REF!</v>
      </c>
      <c r="IO219" t="e">
        <f>AND(#REF!,"AAAAAH83e/g=")</f>
        <v>#REF!</v>
      </c>
      <c r="IP219" t="e">
        <f>AND(#REF!,"AAAAAH83e/k=")</f>
        <v>#REF!</v>
      </c>
      <c r="IQ219" t="e">
        <f>AND(#REF!,"AAAAAH83e/o=")</f>
        <v>#REF!</v>
      </c>
      <c r="IR219" t="e">
        <f>AND(#REF!,"AAAAAH83e/s=")</f>
        <v>#REF!</v>
      </c>
      <c r="IS219" t="e">
        <f>AND(#REF!,"AAAAAH83e/w=")</f>
        <v>#REF!</v>
      </c>
      <c r="IT219" t="e">
        <f>AND(#REF!,"AAAAAH83e/0=")</f>
        <v>#REF!</v>
      </c>
      <c r="IU219" t="e">
        <f>AND(#REF!,"AAAAAH83e/4=")</f>
        <v>#REF!</v>
      </c>
      <c r="IV219" t="e">
        <f>AND(#REF!,"AAAAAH83e/8=")</f>
        <v>#REF!</v>
      </c>
    </row>
    <row r="220" spans="1:256">
      <c r="A220" t="e">
        <f>AND(#REF!,"AAAAAH//egA=")</f>
        <v>#REF!</v>
      </c>
      <c r="B220" t="e">
        <f>AND(#REF!,"AAAAAH//egE=")</f>
        <v>#REF!</v>
      </c>
      <c r="C220" t="e">
        <f>AND(#REF!,"AAAAAH//egI=")</f>
        <v>#REF!</v>
      </c>
      <c r="D220" t="e">
        <f>AND(#REF!,"AAAAAH//egM=")</f>
        <v>#REF!</v>
      </c>
      <c r="E220" t="e">
        <f>AND(#REF!,"AAAAAH//egQ=")</f>
        <v>#REF!</v>
      </c>
      <c r="F220" t="e">
        <f>AND(#REF!,"AAAAAH//egU=")</f>
        <v>#REF!</v>
      </c>
      <c r="G220" t="e">
        <f>AND(#REF!,"AAAAAH//egY=")</f>
        <v>#REF!</v>
      </c>
      <c r="H220" t="e">
        <f>AND(#REF!,"AAAAAH//egc=")</f>
        <v>#REF!</v>
      </c>
      <c r="I220" t="e">
        <f>AND(#REF!,"AAAAAH//egg=")</f>
        <v>#REF!</v>
      </c>
      <c r="J220" t="e">
        <f>AND(#REF!,"AAAAAH//egk=")</f>
        <v>#REF!</v>
      </c>
      <c r="K220" t="e">
        <f>AND(#REF!,"AAAAAH//ego=")</f>
        <v>#REF!</v>
      </c>
      <c r="L220" t="e">
        <f>AND(#REF!,"AAAAAH//egs=")</f>
        <v>#REF!</v>
      </c>
      <c r="M220" t="e">
        <f>AND(#REF!,"AAAAAH//egw=")</f>
        <v>#REF!</v>
      </c>
      <c r="N220" t="e">
        <f>AND(#REF!,"AAAAAH//eg0=")</f>
        <v>#REF!</v>
      </c>
      <c r="O220" t="e">
        <f>AND(#REF!,"AAAAAH//eg4=")</f>
        <v>#REF!</v>
      </c>
      <c r="P220" t="e">
        <f>AND(#REF!,"AAAAAH//eg8=")</f>
        <v>#REF!</v>
      </c>
      <c r="Q220" t="e">
        <f>AND(#REF!,"AAAAAH//ehA=")</f>
        <v>#REF!</v>
      </c>
      <c r="R220" t="e">
        <f>AND(#REF!,"AAAAAH//ehE=")</f>
        <v>#REF!</v>
      </c>
      <c r="S220" t="e">
        <f>AND(#REF!,"AAAAAH//ehI=")</f>
        <v>#REF!</v>
      </c>
      <c r="T220" t="e">
        <f>AND(#REF!,"AAAAAH//ehM=")</f>
        <v>#REF!</v>
      </c>
      <c r="U220" t="e">
        <f>AND(#REF!,"AAAAAH//ehQ=")</f>
        <v>#REF!</v>
      </c>
      <c r="V220" t="e">
        <f>AND(#REF!,"AAAAAH//ehU=")</f>
        <v>#REF!</v>
      </c>
      <c r="W220" t="e">
        <f>AND(#REF!,"AAAAAH//ehY=")</f>
        <v>#REF!</v>
      </c>
      <c r="X220" t="e">
        <f>AND(#REF!,"AAAAAH//ehc=")</f>
        <v>#REF!</v>
      </c>
      <c r="Y220" t="e">
        <f>AND(#REF!,"AAAAAH//ehg=")</f>
        <v>#REF!</v>
      </c>
      <c r="Z220" t="e">
        <f>AND(#REF!,"AAAAAH//ehk=")</f>
        <v>#REF!</v>
      </c>
      <c r="AA220" t="e">
        <f>AND(#REF!,"AAAAAH//eho=")</f>
        <v>#REF!</v>
      </c>
      <c r="AB220" t="e">
        <f>AND(#REF!,"AAAAAH//ehs=")</f>
        <v>#REF!</v>
      </c>
      <c r="AC220" t="e">
        <f>AND(#REF!,"AAAAAH//ehw=")</f>
        <v>#REF!</v>
      </c>
      <c r="AD220" t="e">
        <f>AND(#REF!,"AAAAAH//eh0=")</f>
        <v>#REF!</v>
      </c>
      <c r="AE220" t="e">
        <f>AND(#REF!,"AAAAAH//eh4=")</f>
        <v>#REF!</v>
      </c>
      <c r="AF220" t="e">
        <f>AND(#REF!,"AAAAAH//eh8=")</f>
        <v>#REF!</v>
      </c>
      <c r="AG220" t="e">
        <f>AND(#REF!,"AAAAAH//eiA=")</f>
        <v>#REF!</v>
      </c>
      <c r="AH220" t="e">
        <f>AND(#REF!,"AAAAAH//eiE=")</f>
        <v>#REF!</v>
      </c>
      <c r="AI220" t="e">
        <f>AND(#REF!,"AAAAAH//eiI=")</f>
        <v>#REF!</v>
      </c>
      <c r="AJ220" t="e">
        <f>AND(#REF!,"AAAAAH//eiM=")</f>
        <v>#REF!</v>
      </c>
      <c r="AK220" t="e">
        <f>AND(#REF!,"AAAAAH//eiQ=")</f>
        <v>#REF!</v>
      </c>
      <c r="AL220" t="e">
        <f>AND(#REF!,"AAAAAH//eiU=")</f>
        <v>#REF!</v>
      </c>
      <c r="AM220" t="e">
        <f>AND(#REF!,"AAAAAH//eiY=")</f>
        <v>#REF!</v>
      </c>
      <c r="AN220" t="e">
        <f>AND(#REF!,"AAAAAH//eic=")</f>
        <v>#REF!</v>
      </c>
      <c r="AO220" t="e">
        <f>AND(#REF!,"AAAAAH//eig=")</f>
        <v>#REF!</v>
      </c>
      <c r="AP220" t="e">
        <f>AND(#REF!,"AAAAAH//eik=")</f>
        <v>#REF!</v>
      </c>
      <c r="AQ220" t="e">
        <f>AND(#REF!,"AAAAAH//eio=")</f>
        <v>#REF!</v>
      </c>
      <c r="AR220" t="e">
        <f>AND(#REF!,"AAAAAH//eis=")</f>
        <v>#REF!</v>
      </c>
      <c r="AS220" t="e">
        <f>AND(#REF!,"AAAAAH//eiw=")</f>
        <v>#REF!</v>
      </c>
      <c r="AT220" t="e">
        <f>AND(#REF!,"AAAAAH//ei0=")</f>
        <v>#REF!</v>
      </c>
      <c r="AU220" t="e">
        <f>AND(#REF!,"AAAAAH//ei4=")</f>
        <v>#REF!</v>
      </c>
      <c r="AV220" t="e">
        <f>AND(#REF!,"AAAAAH//ei8=")</f>
        <v>#REF!</v>
      </c>
      <c r="AW220" t="e">
        <f>AND(#REF!,"AAAAAH//ejA=")</f>
        <v>#REF!</v>
      </c>
      <c r="AX220" t="e">
        <f>AND(#REF!,"AAAAAH//ejE=")</f>
        <v>#REF!</v>
      </c>
      <c r="AY220" t="e">
        <f>AND(#REF!,"AAAAAH//ejI=")</f>
        <v>#REF!</v>
      </c>
      <c r="AZ220" t="e">
        <f>AND(#REF!,"AAAAAH//ejM=")</f>
        <v>#REF!</v>
      </c>
      <c r="BA220" t="e">
        <f>AND(#REF!,"AAAAAH//ejQ=")</f>
        <v>#REF!</v>
      </c>
      <c r="BB220" t="e">
        <f>AND(#REF!,"AAAAAH//ejU=")</f>
        <v>#REF!</v>
      </c>
      <c r="BC220" t="e">
        <f>AND(#REF!,"AAAAAH//ejY=")</f>
        <v>#REF!</v>
      </c>
      <c r="BD220" t="e">
        <f>AND(#REF!,"AAAAAH//ejc=")</f>
        <v>#REF!</v>
      </c>
      <c r="BE220" t="e">
        <f>AND(#REF!,"AAAAAH//ejg=")</f>
        <v>#REF!</v>
      </c>
      <c r="BF220" t="e">
        <f>AND(#REF!,"AAAAAH//ejk=")</f>
        <v>#REF!</v>
      </c>
      <c r="BG220" t="e">
        <f>AND(#REF!,"AAAAAH//ejo=")</f>
        <v>#REF!</v>
      </c>
      <c r="BH220" t="e">
        <f>AND(#REF!,"AAAAAH//ejs=")</f>
        <v>#REF!</v>
      </c>
      <c r="BI220" t="e">
        <f>AND(#REF!,"AAAAAH//ejw=")</f>
        <v>#REF!</v>
      </c>
      <c r="BJ220" t="e">
        <f>AND(#REF!,"AAAAAH//ej0=")</f>
        <v>#REF!</v>
      </c>
      <c r="BK220" t="e">
        <f>AND(#REF!,"AAAAAH//ej4=")</f>
        <v>#REF!</v>
      </c>
      <c r="BL220" t="e">
        <f>AND(#REF!,"AAAAAH//ej8=")</f>
        <v>#REF!</v>
      </c>
      <c r="BM220" t="e">
        <f>AND(#REF!,"AAAAAH//ekA=")</f>
        <v>#REF!</v>
      </c>
      <c r="BN220" t="e">
        <f>AND(#REF!,"AAAAAH//ekE=")</f>
        <v>#REF!</v>
      </c>
      <c r="BO220" t="e">
        <f>AND(#REF!,"AAAAAH//ekI=")</f>
        <v>#REF!</v>
      </c>
      <c r="BP220" t="e">
        <f>AND(#REF!,"AAAAAH//ekM=")</f>
        <v>#REF!</v>
      </c>
      <c r="BQ220" t="e">
        <f>AND(#REF!,"AAAAAH//ekQ=")</f>
        <v>#REF!</v>
      </c>
      <c r="BR220" t="e">
        <f>AND(#REF!,"AAAAAH//ekU=")</f>
        <v>#REF!</v>
      </c>
      <c r="BS220" t="e">
        <f>AND(#REF!,"AAAAAH//ekY=")</f>
        <v>#REF!</v>
      </c>
      <c r="BT220" t="e">
        <f>AND(#REF!,"AAAAAH//ekc=")</f>
        <v>#REF!</v>
      </c>
      <c r="BU220" t="e">
        <f>AND(#REF!,"AAAAAH//ekg=")</f>
        <v>#REF!</v>
      </c>
      <c r="BV220" t="e">
        <f>AND(#REF!,"AAAAAH//ekk=")</f>
        <v>#REF!</v>
      </c>
      <c r="BW220" t="e">
        <f>AND(#REF!,"AAAAAH//eko=")</f>
        <v>#REF!</v>
      </c>
      <c r="BX220" t="e">
        <f>AND(#REF!,"AAAAAH//eks=")</f>
        <v>#REF!</v>
      </c>
      <c r="BY220" t="e">
        <f>AND(#REF!,"AAAAAH//ekw=")</f>
        <v>#REF!</v>
      </c>
      <c r="BZ220" t="e">
        <f>AND(#REF!,"AAAAAH//ek0=")</f>
        <v>#REF!</v>
      </c>
      <c r="CA220" t="e">
        <f>AND(#REF!,"AAAAAH//ek4=")</f>
        <v>#REF!</v>
      </c>
      <c r="CB220" t="e">
        <f>AND(#REF!,"AAAAAH//ek8=")</f>
        <v>#REF!</v>
      </c>
      <c r="CC220" t="e">
        <f>AND(#REF!,"AAAAAH//elA=")</f>
        <v>#REF!</v>
      </c>
      <c r="CD220" t="e">
        <f>AND(#REF!,"AAAAAH//elE=")</f>
        <v>#REF!</v>
      </c>
      <c r="CE220" t="e">
        <f>AND(#REF!,"AAAAAH//elI=")</f>
        <v>#REF!</v>
      </c>
      <c r="CF220" t="e">
        <f>AND(#REF!,"AAAAAH//elM=")</f>
        <v>#REF!</v>
      </c>
      <c r="CG220" t="e">
        <f>AND(#REF!,"AAAAAH//elQ=")</f>
        <v>#REF!</v>
      </c>
      <c r="CH220" t="e">
        <f>AND(#REF!,"AAAAAH//elU=")</f>
        <v>#REF!</v>
      </c>
      <c r="CI220" t="e">
        <f>AND(#REF!,"AAAAAH//elY=")</f>
        <v>#REF!</v>
      </c>
      <c r="CJ220" t="e">
        <f>AND(#REF!,"AAAAAH//elc=")</f>
        <v>#REF!</v>
      </c>
      <c r="CK220" t="e">
        <f>AND(#REF!,"AAAAAH//elg=")</f>
        <v>#REF!</v>
      </c>
      <c r="CL220" t="e">
        <f>AND(#REF!,"AAAAAH//elk=")</f>
        <v>#REF!</v>
      </c>
      <c r="CM220" t="e">
        <f>AND(#REF!,"AAAAAH//elo=")</f>
        <v>#REF!</v>
      </c>
      <c r="CN220" t="e">
        <f>AND(#REF!,"AAAAAH//els=")</f>
        <v>#REF!</v>
      </c>
      <c r="CO220" t="e">
        <f>AND(#REF!,"AAAAAH//elw=")</f>
        <v>#REF!</v>
      </c>
      <c r="CP220" t="e">
        <f>AND(#REF!,"AAAAAH//el0=")</f>
        <v>#REF!</v>
      </c>
      <c r="CQ220" t="e">
        <f>AND(#REF!,"AAAAAH//el4=")</f>
        <v>#REF!</v>
      </c>
      <c r="CR220" t="e">
        <f>AND(#REF!,"AAAAAH//el8=")</f>
        <v>#REF!</v>
      </c>
      <c r="CS220" t="e">
        <f>AND(#REF!,"AAAAAH//emA=")</f>
        <v>#REF!</v>
      </c>
      <c r="CT220" t="e">
        <f>AND(#REF!,"AAAAAH//emE=")</f>
        <v>#REF!</v>
      </c>
      <c r="CU220" t="e">
        <f>AND(#REF!,"AAAAAH//emI=")</f>
        <v>#REF!</v>
      </c>
      <c r="CV220" t="e">
        <f>AND(#REF!,"AAAAAH//emM=")</f>
        <v>#REF!</v>
      </c>
      <c r="CW220" t="e">
        <f>AND(#REF!,"AAAAAH//emQ=")</f>
        <v>#REF!</v>
      </c>
      <c r="CX220" t="e">
        <f>AND(#REF!,"AAAAAH//emU=")</f>
        <v>#REF!</v>
      </c>
      <c r="CY220" t="e">
        <f>AND(#REF!,"AAAAAH//emY=")</f>
        <v>#REF!</v>
      </c>
      <c r="CZ220" t="e">
        <f>AND(#REF!,"AAAAAH//emc=")</f>
        <v>#REF!</v>
      </c>
      <c r="DA220" t="e">
        <f>AND(#REF!,"AAAAAH//emg=")</f>
        <v>#REF!</v>
      </c>
      <c r="DB220" t="e">
        <f>AND(#REF!,"AAAAAH//emk=")</f>
        <v>#REF!</v>
      </c>
      <c r="DC220" t="e">
        <f>AND(#REF!,"AAAAAH//emo=")</f>
        <v>#REF!</v>
      </c>
      <c r="DD220" t="e">
        <f>AND(#REF!,"AAAAAH//ems=")</f>
        <v>#REF!</v>
      </c>
      <c r="DE220" t="e">
        <f>AND(#REF!,"AAAAAH//emw=")</f>
        <v>#REF!</v>
      </c>
      <c r="DF220" t="e">
        <f>AND(#REF!,"AAAAAH//em0=")</f>
        <v>#REF!</v>
      </c>
      <c r="DG220" t="e">
        <f>AND(#REF!,"AAAAAH//em4=")</f>
        <v>#REF!</v>
      </c>
      <c r="DH220" t="e">
        <f>AND(#REF!,"AAAAAH//em8=")</f>
        <v>#REF!</v>
      </c>
      <c r="DI220" t="e">
        <f>AND(#REF!,"AAAAAH//enA=")</f>
        <v>#REF!</v>
      </c>
      <c r="DJ220" t="e">
        <f>AND(#REF!,"AAAAAH//enE=")</f>
        <v>#REF!</v>
      </c>
      <c r="DK220" t="e">
        <f>AND(#REF!,"AAAAAH//enI=")</f>
        <v>#REF!</v>
      </c>
      <c r="DL220" t="e">
        <f>AND(#REF!,"AAAAAH//enM=")</f>
        <v>#REF!</v>
      </c>
      <c r="DM220" t="e">
        <f>AND(#REF!,"AAAAAH//enQ=")</f>
        <v>#REF!</v>
      </c>
      <c r="DN220" t="e">
        <f>AND(#REF!,"AAAAAH//enU=")</f>
        <v>#REF!</v>
      </c>
      <c r="DO220" t="e">
        <f>AND(#REF!,"AAAAAH//enY=")</f>
        <v>#REF!</v>
      </c>
      <c r="DP220" t="e">
        <f>AND(#REF!,"AAAAAH//enc=")</f>
        <v>#REF!</v>
      </c>
      <c r="DQ220" t="e">
        <f>AND(#REF!,"AAAAAH//eng=")</f>
        <v>#REF!</v>
      </c>
      <c r="DR220" t="e">
        <f>AND(#REF!,"AAAAAH//enk=")</f>
        <v>#REF!</v>
      </c>
      <c r="DS220" t="e">
        <f>AND(#REF!,"AAAAAH//eno=")</f>
        <v>#REF!</v>
      </c>
      <c r="DT220" t="e">
        <f>AND(#REF!,"AAAAAH//ens=")</f>
        <v>#REF!</v>
      </c>
      <c r="DU220" t="e">
        <f>AND(#REF!,"AAAAAH//enw=")</f>
        <v>#REF!</v>
      </c>
      <c r="DV220" t="e">
        <f>AND(#REF!,"AAAAAH//en0=")</f>
        <v>#REF!</v>
      </c>
      <c r="DW220" t="e">
        <f>AND(#REF!,"AAAAAH//en4=")</f>
        <v>#REF!</v>
      </c>
      <c r="DX220" t="e">
        <f>AND(#REF!,"AAAAAH//en8=")</f>
        <v>#REF!</v>
      </c>
      <c r="DY220" t="e">
        <f>AND(#REF!,"AAAAAH//eoA=")</f>
        <v>#REF!</v>
      </c>
      <c r="DZ220" t="e">
        <f>AND(#REF!,"AAAAAH//eoE=")</f>
        <v>#REF!</v>
      </c>
      <c r="EA220" t="e">
        <f>AND(#REF!,"AAAAAH//eoI=")</f>
        <v>#REF!</v>
      </c>
      <c r="EB220" t="e">
        <f>AND(#REF!,"AAAAAH//eoM=")</f>
        <v>#REF!</v>
      </c>
      <c r="EC220" t="e">
        <f>AND(#REF!,"AAAAAH//eoQ=")</f>
        <v>#REF!</v>
      </c>
      <c r="ED220" t="e">
        <f>AND(#REF!,"AAAAAH//eoU=")</f>
        <v>#REF!</v>
      </c>
      <c r="EE220" t="e">
        <f>AND(#REF!,"AAAAAH//eoY=")</f>
        <v>#REF!</v>
      </c>
      <c r="EF220" t="e">
        <f>AND(#REF!,"AAAAAH//eoc=")</f>
        <v>#REF!</v>
      </c>
      <c r="EG220" t="e">
        <f>AND(#REF!,"AAAAAH//eog=")</f>
        <v>#REF!</v>
      </c>
      <c r="EH220" t="e">
        <f>AND(#REF!,"AAAAAH//eok=")</f>
        <v>#REF!</v>
      </c>
      <c r="EI220" t="e">
        <f>AND(#REF!,"AAAAAH//eoo=")</f>
        <v>#REF!</v>
      </c>
      <c r="EJ220" t="e">
        <f>AND(#REF!,"AAAAAH//eos=")</f>
        <v>#REF!</v>
      </c>
      <c r="EK220" t="e">
        <f>AND(#REF!,"AAAAAH//eow=")</f>
        <v>#REF!</v>
      </c>
      <c r="EL220" t="e">
        <f>AND(#REF!,"AAAAAH//eo0=")</f>
        <v>#REF!</v>
      </c>
      <c r="EM220" t="e">
        <f>AND(#REF!,"AAAAAH//eo4=")</f>
        <v>#REF!</v>
      </c>
      <c r="EN220" t="e">
        <f>AND(#REF!,"AAAAAH//eo8=")</f>
        <v>#REF!</v>
      </c>
      <c r="EO220" t="e">
        <f>AND(#REF!,"AAAAAH//epA=")</f>
        <v>#REF!</v>
      </c>
      <c r="EP220" t="e">
        <f>AND(#REF!,"AAAAAH//epE=")</f>
        <v>#REF!</v>
      </c>
      <c r="EQ220" t="e">
        <f>AND(#REF!,"AAAAAH//epI=")</f>
        <v>#REF!</v>
      </c>
      <c r="ER220" t="e">
        <f>AND(#REF!,"AAAAAH//epM=")</f>
        <v>#REF!</v>
      </c>
      <c r="ES220" t="e">
        <f>AND(#REF!,"AAAAAH//epQ=")</f>
        <v>#REF!</v>
      </c>
      <c r="ET220" t="e">
        <f>AND(#REF!,"AAAAAH//epU=")</f>
        <v>#REF!</v>
      </c>
      <c r="EU220" t="e">
        <f>AND(#REF!,"AAAAAH//epY=")</f>
        <v>#REF!</v>
      </c>
      <c r="EV220" t="e">
        <f>AND(#REF!,"AAAAAH//epc=")</f>
        <v>#REF!</v>
      </c>
      <c r="EW220" t="e">
        <f>AND(#REF!,"AAAAAH//epg=")</f>
        <v>#REF!</v>
      </c>
      <c r="EX220" t="e">
        <f>AND(#REF!,"AAAAAH//epk=")</f>
        <v>#REF!</v>
      </c>
      <c r="EY220" t="e">
        <f>AND(#REF!,"AAAAAH//epo=")</f>
        <v>#REF!</v>
      </c>
      <c r="EZ220" t="e">
        <f>AND(#REF!,"AAAAAH//eps=")</f>
        <v>#REF!</v>
      </c>
      <c r="FA220" t="e">
        <f>AND(#REF!,"AAAAAH//epw=")</f>
        <v>#REF!</v>
      </c>
      <c r="FB220" t="e">
        <f>AND(#REF!,"AAAAAH//ep0=")</f>
        <v>#REF!</v>
      </c>
      <c r="FC220" t="e">
        <f>AND(#REF!,"AAAAAH//ep4=")</f>
        <v>#REF!</v>
      </c>
      <c r="FD220" t="e">
        <f>AND(#REF!,"AAAAAH//ep8=")</f>
        <v>#REF!</v>
      </c>
      <c r="FE220" t="e">
        <f>AND(#REF!,"AAAAAH//eqA=")</f>
        <v>#REF!</v>
      </c>
      <c r="FF220" t="e">
        <f>AND(#REF!,"AAAAAH//eqE=")</f>
        <v>#REF!</v>
      </c>
      <c r="FG220" t="e">
        <f>AND(#REF!,"AAAAAH//eqI=")</f>
        <v>#REF!</v>
      </c>
      <c r="FH220" t="e">
        <f>AND(#REF!,"AAAAAH//eqM=")</f>
        <v>#REF!</v>
      </c>
      <c r="FI220" t="e">
        <f>AND(#REF!,"AAAAAH//eqQ=")</f>
        <v>#REF!</v>
      </c>
      <c r="FJ220" t="e">
        <f>AND(#REF!,"AAAAAH//eqU=")</f>
        <v>#REF!</v>
      </c>
      <c r="FK220" t="e">
        <f>AND(#REF!,"AAAAAH//eqY=")</f>
        <v>#REF!</v>
      </c>
      <c r="FL220" t="e">
        <f>AND(#REF!,"AAAAAH//eqc=")</f>
        <v>#REF!</v>
      </c>
      <c r="FM220" t="e">
        <f>AND(#REF!,"AAAAAH//eqg=")</f>
        <v>#REF!</v>
      </c>
      <c r="FN220" t="e">
        <f>AND(#REF!,"AAAAAH//eqk=")</f>
        <v>#REF!</v>
      </c>
      <c r="FO220" t="e">
        <f>AND(#REF!,"AAAAAH//eqo=")</f>
        <v>#REF!</v>
      </c>
      <c r="FP220" t="e">
        <f>AND(#REF!,"AAAAAH//eqs=")</f>
        <v>#REF!</v>
      </c>
      <c r="FQ220" t="e">
        <f>AND(#REF!,"AAAAAH//eqw=")</f>
        <v>#REF!</v>
      </c>
      <c r="FR220" t="e">
        <f>AND(#REF!,"AAAAAH//eq0=")</f>
        <v>#REF!</v>
      </c>
      <c r="FS220" t="e">
        <f>AND(#REF!,"AAAAAH//eq4=")</f>
        <v>#REF!</v>
      </c>
      <c r="FT220" t="e">
        <f>AND(#REF!,"AAAAAH//eq8=")</f>
        <v>#REF!</v>
      </c>
      <c r="FU220" t="e">
        <f>AND(#REF!,"AAAAAH//erA=")</f>
        <v>#REF!</v>
      </c>
      <c r="FV220" t="e">
        <f>AND(#REF!,"AAAAAH//erE=")</f>
        <v>#REF!</v>
      </c>
      <c r="FW220" t="e">
        <f>AND(#REF!,"AAAAAH//erI=")</f>
        <v>#REF!</v>
      </c>
      <c r="FX220" t="e">
        <f>AND(#REF!,"AAAAAH//erM=")</f>
        <v>#REF!</v>
      </c>
      <c r="FY220" t="e">
        <f>AND(#REF!,"AAAAAH//erQ=")</f>
        <v>#REF!</v>
      </c>
      <c r="FZ220" t="e">
        <f>AND(#REF!,"AAAAAH//erU=")</f>
        <v>#REF!</v>
      </c>
      <c r="GA220" t="e">
        <f>AND(#REF!,"AAAAAH//erY=")</f>
        <v>#REF!</v>
      </c>
      <c r="GB220" t="e">
        <f>AND(#REF!,"AAAAAH//erc=")</f>
        <v>#REF!</v>
      </c>
      <c r="GC220" t="e">
        <f>AND(#REF!,"AAAAAH//erg=")</f>
        <v>#REF!</v>
      </c>
      <c r="GD220" t="e">
        <f>AND(#REF!,"AAAAAH//erk=")</f>
        <v>#REF!</v>
      </c>
      <c r="GE220" t="e">
        <f>AND(#REF!,"AAAAAH//ero=")</f>
        <v>#REF!</v>
      </c>
      <c r="GF220" t="e">
        <f>AND(#REF!,"AAAAAH//ers=")</f>
        <v>#REF!</v>
      </c>
      <c r="GG220" t="e">
        <f>AND(#REF!,"AAAAAH//erw=")</f>
        <v>#REF!</v>
      </c>
      <c r="GH220" t="e">
        <f>AND(#REF!,"AAAAAH//er0=")</f>
        <v>#REF!</v>
      </c>
      <c r="GI220" t="e">
        <f>AND(#REF!,"AAAAAH//er4=")</f>
        <v>#REF!</v>
      </c>
      <c r="GJ220" t="e">
        <f>AND(#REF!,"AAAAAH//er8=")</f>
        <v>#REF!</v>
      </c>
      <c r="GK220" t="e">
        <f>AND(#REF!,"AAAAAH//esA=")</f>
        <v>#REF!</v>
      </c>
      <c r="GL220" t="e">
        <f>AND(#REF!,"AAAAAH//esE=")</f>
        <v>#REF!</v>
      </c>
      <c r="GM220" t="e">
        <f>IF(#REF!,"AAAAAH//esI=",0)</f>
        <v>#REF!</v>
      </c>
      <c r="GN220" t="e">
        <f>AND(#REF!,"AAAAAH//esM=")</f>
        <v>#REF!</v>
      </c>
      <c r="GO220" t="e">
        <f>AND(#REF!,"AAAAAH//esQ=")</f>
        <v>#REF!</v>
      </c>
      <c r="GP220" t="e">
        <f>AND(#REF!,"AAAAAH//esU=")</f>
        <v>#REF!</v>
      </c>
      <c r="GQ220" t="e">
        <f>AND(#REF!,"AAAAAH//esY=")</f>
        <v>#REF!</v>
      </c>
      <c r="GR220" t="e">
        <f>AND(#REF!,"AAAAAH//esc=")</f>
        <v>#REF!</v>
      </c>
      <c r="GS220" t="e">
        <f>AND(#REF!,"AAAAAH//esg=")</f>
        <v>#REF!</v>
      </c>
      <c r="GT220" t="e">
        <f>AND(#REF!,"AAAAAH//esk=")</f>
        <v>#REF!</v>
      </c>
      <c r="GU220" t="e">
        <f>AND(#REF!,"AAAAAH//eso=")</f>
        <v>#REF!</v>
      </c>
      <c r="GV220" t="e">
        <f>AND(#REF!,"AAAAAH//ess=")</f>
        <v>#REF!</v>
      </c>
      <c r="GW220" t="e">
        <f>AND(#REF!,"AAAAAH//esw=")</f>
        <v>#REF!</v>
      </c>
      <c r="GX220" t="e">
        <f>AND(#REF!,"AAAAAH//es0=")</f>
        <v>#REF!</v>
      </c>
      <c r="GY220" t="e">
        <f>AND(#REF!,"AAAAAH//es4=")</f>
        <v>#REF!</v>
      </c>
      <c r="GZ220" t="e">
        <f>AND(#REF!,"AAAAAH//es8=")</f>
        <v>#REF!</v>
      </c>
      <c r="HA220" t="e">
        <f>AND(#REF!,"AAAAAH//etA=")</f>
        <v>#REF!</v>
      </c>
      <c r="HB220" t="e">
        <f>AND(#REF!,"AAAAAH//etE=")</f>
        <v>#REF!</v>
      </c>
      <c r="HC220" t="e">
        <f>AND(#REF!,"AAAAAH//etI=")</f>
        <v>#REF!</v>
      </c>
      <c r="HD220" t="e">
        <f>AND(#REF!,"AAAAAH//etM=")</f>
        <v>#REF!</v>
      </c>
      <c r="HE220" t="e">
        <f>AND(#REF!,"AAAAAH//etQ=")</f>
        <v>#REF!</v>
      </c>
      <c r="HF220" t="e">
        <f>AND(#REF!,"AAAAAH//etU=")</f>
        <v>#REF!</v>
      </c>
      <c r="HG220" t="e">
        <f>AND(#REF!,"AAAAAH//etY=")</f>
        <v>#REF!</v>
      </c>
      <c r="HH220" t="e">
        <f>AND(#REF!,"AAAAAH//etc=")</f>
        <v>#REF!</v>
      </c>
      <c r="HI220" t="e">
        <f>AND(#REF!,"AAAAAH//etg=")</f>
        <v>#REF!</v>
      </c>
      <c r="HJ220" t="e">
        <f>AND(#REF!,"AAAAAH//etk=")</f>
        <v>#REF!</v>
      </c>
      <c r="HK220" t="e">
        <f>AND(#REF!,"AAAAAH//eto=")</f>
        <v>#REF!</v>
      </c>
      <c r="HL220" t="e">
        <f>AND(#REF!,"AAAAAH//ets=")</f>
        <v>#REF!</v>
      </c>
      <c r="HM220" t="e">
        <f>AND(#REF!,"AAAAAH//etw=")</f>
        <v>#REF!</v>
      </c>
      <c r="HN220" t="e">
        <f>AND(#REF!,"AAAAAH//et0=")</f>
        <v>#REF!</v>
      </c>
      <c r="HO220" t="e">
        <f>AND(#REF!,"AAAAAH//et4=")</f>
        <v>#REF!</v>
      </c>
      <c r="HP220" t="e">
        <f>AND(#REF!,"AAAAAH//et8=")</f>
        <v>#REF!</v>
      </c>
      <c r="HQ220" t="e">
        <f>AND(#REF!,"AAAAAH//euA=")</f>
        <v>#REF!</v>
      </c>
      <c r="HR220" t="e">
        <f>AND(#REF!,"AAAAAH//euE=")</f>
        <v>#REF!</v>
      </c>
      <c r="HS220" t="e">
        <f>AND(#REF!,"AAAAAH//euI=")</f>
        <v>#REF!</v>
      </c>
      <c r="HT220" t="e">
        <f>AND(#REF!,"AAAAAH//euM=")</f>
        <v>#REF!</v>
      </c>
      <c r="HU220" t="e">
        <f>AND(#REF!,"AAAAAH//euQ=")</f>
        <v>#REF!</v>
      </c>
      <c r="HV220" t="e">
        <f>AND(#REF!,"AAAAAH//euU=")</f>
        <v>#REF!</v>
      </c>
      <c r="HW220" t="e">
        <f>AND(#REF!,"AAAAAH//euY=")</f>
        <v>#REF!</v>
      </c>
      <c r="HX220" t="e">
        <f>AND(#REF!,"AAAAAH//euc=")</f>
        <v>#REF!</v>
      </c>
      <c r="HY220" t="e">
        <f>AND(#REF!,"AAAAAH//eug=")</f>
        <v>#REF!</v>
      </c>
      <c r="HZ220" t="e">
        <f>AND(#REF!,"AAAAAH//euk=")</f>
        <v>#REF!</v>
      </c>
      <c r="IA220" t="e">
        <f>AND(#REF!,"AAAAAH//euo=")</f>
        <v>#REF!</v>
      </c>
      <c r="IB220" t="e">
        <f>AND(#REF!,"AAAAAH//eus=")</f>
        <v>#REF!</v>
      </c>
      <c r="IC220" t="e">
        <f>AND(#REF!,"AAAAAH//euw=")</f>
        <v>#REF!</v>
      </c>
      <c r="ID220" t="e">
        <f>AND(#REF!,"AAAAAH//eu0=")</f>
        <v>#REF!</v>
      </c>
      <c r="IE220" t="e">
        <f>AND(#REF!,"AAAAAH//eu4=")</f>
        <v>#REF!</v>
      </c>
      <c r="IF220" t="e">
        <f>AND(#REF!,"AAAAAH//eu8=")</f>
        <v>#REF!</v>
      </c>
      <c r="IG220" t="e">
        <f>AND(#REF!,"AAAAAH//evA=")</f>
        <v>#REF!</v>
      </c>
      <c r="IH220" t="e">
        <f>AND(#REF!,"AAAAAH//evE=")</f>
        <v>#REF!</v>
      </c>
      <c r="II220" t="e">
        <f>AND(#REF!,"AAAAAH//evI=")</f>
        <v>#REF!</v>
      </c>
      <c r="IJ220" t="e">
        <f>AND(#REF!,"AAAAAH//evM=")</f>
        <v>#REF!</v>
      </c>
      <c r="IK220" t="e">
        <f>AND(#REF!,"AAAAAH//evQ=")</f>
        <v>#REF!</v>
      </c>
      <c r="IL220" t="e">
        <f>AND(#REF!,"AAAAAH//evU=")</f>
        <v>#REF!</v>
      </c>
      <c r="IM220" t="e">
        <f>AND(#REF!,"AAAAAH//evY=")</f>
        <v>#REF!</v>
      </c>
      <c r="IN220" t="e">
        <f>AND(#REF!,"AAAAAH//evc=")</f>
        <v>#REF!</v>
      </c>
      <c r="IO220" t="e">
        <f>AND(#REF!,"AAAAAH//evg=")</f>
        <v>#REF!</v>
      </c>
      <c r="IP220" t="e">
        <f>AND(#REF!,"AAAAAH//evk=")</f>
        <v>#REF!</v>
      </c>
      <c r="IQ220" t="e">
        <f>AND(#REF!,"AAAAAH//evo=")</f>
        <v>#REF!</v>
      </c>
      <c r="IR220" t="e">
        <f>AND(#REF!,"AAAAAH//evs=")</f>
        <v>#REF!</v>
      </c>
      <c r="IS220" t="e">
        <f>AND(#REF!,"AAAAAH//evw=")</f>
        <v>#REF!</v>
      </c>
      <c r="IT220" t="e">
        <f>AND(#REF!,"AAAAAH//ev0=")</f>
        <v>#REF!</v>
      </c>
      <c r="IU220" t="e">
        <f>AND(#REF!,"AAAAAH//ev4=")</f>
        <v>#REF!</v>
      </c>
      <c r="IV220" t="e">
        <f>AND(#REF!,"AAAAAH//ev8=")</f>
        <v>#REF!</v>
      </c>
    </row>
    <row r="221" spans="1:256">
      <c r="A221" t="e">
        <f>AND(#REF!,"AAAAAG7y2QA=")</f>
        <v>#REF!</v>
      </c>
      <c r="B221" t="e">
        <f>AND(#REF!,"AAAAAG7y2QE=")</f>
        <v>#REF!</v>
      </c>
      <c r="C221" t="e">
        <f>AND(#REF!,"AAAAAG7y2QI=")</f>
        <v>#REF!</v>
      </c>
      <c r="D221" t="e">
        <f>AND(#REF!,"AAAAAG7y2QM=")</f>
        <v>#REF!</v>
      </c>
      <c r="E221" t="e">
        <f>AND(#REF!,"AAAAAG7y2QQ=")</f>
        <v>#REF!</v>
      </c>
      <c r="F221" t="e">
        <f>AND(#REF!,"AAAAAG7y2QU=")</f>
        <v>#REF!</v>
      </c>
      <c r="G221" t="e">
        <f>AND(#REF!,"AAAAAG7y2QY=")</f>
        <v>#REF!</v>
      </c>
      <c r="H221" t="e">
        <f>AND(#REF!,"AAAAAG7y2Qc=")</f>
        <v>#REF!</v>
      </c>
      <c r="I221" t="e">
        <f>AND(#REF!,"AAAAAG7y2Qg=")</f>
        <v>#REF!</v>
      </c>
      <c r="J221" t="e">
        <f>AND(#REF!,"AAAAAG7y2Qk=")</f>
        <v>#REF!</v>
      </c>
      <c r="K221" t="e">
        <f>AND(#REF!,"AAAAAG7y2Qo=")</f>
        <v>#REF!</v>
      </c>
      <c r="L221" t="e">
        <f>AND(#REF!,"AAAAAG7y2Qs=")</f>
        <v>#REF!</v>
      </c>
      <c r="M221" t="e">
        <f>AND(#REF!,"AAAAAG7y2Qw=")</f>
        <v>#REF!</v>
      </c>
      <c r="N221" t="e">
        <f>AND(#REF!,"AAAAAG7y2Q0=")</f>
        <v>#REF!</v>
      </c>
      <c r="O221" t="e">
        <f>AND(#REF!,"AAAAAG7y2Q4=")</f>
        <v>#REF!</v>
      </c>
      <c r="P221" t="e">
        <f>AND(#REF!,"AAAAAG7y2Q8=")</f>
        <v>#REF!</v>
      </c>
      <c r="Q221" t="e">
        <f>AND(#REF!,"AAAAAG7y2RA=")</f>
        <v>#REF!</v>
      </c>
      <c r="R221" t="e">
        <f>AND(#REF!,"AAAAAG7y2RE=")</f>
        <v>#REF!</v>
      </c>
      <c r="S221" t="e">
        <f>AND(#REF!,"AAAAAG7y2RI=")</f>
        <v>#REF!</v>
      </c>
      <c r="T221" t="e">
        <f>AND(#REF!,"AAAAAG7y2RM=")</f>
        <v>#REF!</v>
      </c>
      <c r="U221" t="e">
        <f>AND(#REF!,"AAAAAG7y2RQ=")</f>
        <v>#REF!</v>
      </c>
      <c r="V221" t="e">
        <f>AND(#REF!,"AAAAAG7y2RU=")</f>
        <v>#REF!</v>
      </c>
      <c r="W221" t="e">
        <f>AND(#REF!,"AAAAAG7y2RY=")</f>
        <v>#REF!</v>
      </c>
      <c r="X221" t="e">
        <f>AND(#REF!,"AAAAAG7y2Rc=")</f>
        <v>#REF!</v>
      </c>
      <c r="Y221" t="e">
        <f>AND(#REF!,"AAAAAG7y2Rg=")</f>
        <v>#REF!</v>
      </c>
      <c r="Z221" t="e">
        <f>AND(#REF!,"AAAAAG7y2Rk=")</f>
        <v>#REF!</v>
      </c>
      <c r="AA221" t="e">
        <f>AND(#REF!,"AAAAAG7y2Ro=")</f>
        <v>#REF!</v>
      </c>
      <c r="AB221" t="e">
        <f>AND(#REF!,"AAAAAG7y2Rs=")</f>
        <v>#REF!</v>
      </c>
      <c r="AC221" t="e">
        <f>AND(#REF!,"AAAAAG7y2Rw=")</f>
        <v>#REF!</v>
      </c>
      <c r="AD221" t="e">
        <f>AND(#REF!,"AAAAAG7y2R0=")</f>
        <v>#REF!</v>
      </c>
      <c r="AE221" t="e">
        <f>AND(#REF!,"AAAAAG7y2R4=")</f>
        <v>#REF!</v>
      </c>
      <c r="AF221" t="e">
        <f>AND(#REF!,"AAAAAG7y2R8=")</f>
        <v>#REF!</v>
      </c>
      <c r="AG221" t="e">
        <f>AND(#REF!,"AAAAAG7y2SA=")</f>
        <v>#REF!</v>
      </c>
      <c r="AH221" t="e">
        <f>AND(#REF!,"AAAAAG7y2SE=")</f>
        <v>#REF!</v>
      </c>
      <c r="AI221" t="e">
        <f>AND(#REF!,"AAAAAG7y2SI=")</f>
        <v>#REF!</v>
      </c>
      <c r="AJ221" t="e">
        <f>AND(#REF!,"AAAAAG7y2SM=")</f>
        <v>#REF!</v>
      </c>
      <c r="AK221" t="e">
        <f>AND(#REF!,"AAAAAG7y2SQ=")</f>
        <v>#REF!</v>
      </c>
      <c r="AL221" t="e">
        <f>AND(#REF!,"AAAAAG7y2SU=")</f>
        <v>#REF!</v>
      </c>
      <c r="AM221" t="e">
        <f>AND(#REF!,"AAAAAG7y2SY=")</f>
        <v>#REF!</v>
      </c>
      <c r="AN221" t="e">
        <f>AND(#REF!,"AAAAAG7y2Sc=")</f>
        <v>#REF!</v>
      </c>
      <c r="AO221" t="e">
        <f>AND(#REF!,"AAAAAG7y2Sg=")</f>
        <v>#REF!</v>
      </c>
      <c r="AP221" t="e">
        <f>AND(#REF!,"AAAAAG7y2Sk=")</f>
        <v>#REF!</v>
      </c>
      <c r="AQ221" t="e">
        <f>AND(#REF!,"AAAAAG7y2So=")</f>
        <v>#REF!</v>
      </c>
      <c r="AR221" t="e">
        <f>AND(#REF!,"AAAAAG7y2Ss=")</f>
        <v>#REF!</v>
      </c>
      <c r="AS221" t="e">
        <f>AND(#REF!,"AAAAAG7y2Sw=")</f>
        <v>#REF!</v>
      </c>
      <c r="AT221" t="e">
        <f>AND(#REF!,"AAAAAG7y2S0=")</f>
        <v>#REF!</v>
      </c>
      <c r="AU221" t="e">
        <f>AND(#REF!,"AAAAAG7y2S4=")</f>
        <v>#REF!</v>
      </c>
      <c r="AV221" t="e">
        <f>AND(#REF!,"AAAAAG7y2S8=")</f>
        <v>#REF!</v>
      </c>
      <c r="AW221" t="e">
        <f>AND(#REF!,"AAAAAG7y2TA=")</f>
        <v>#REF!</v>
      </c>
      <c r="AX221" t="e">
        <f>AND(#REF!,"AAAAAG7y2TE=")</f>
        <v>#REF!</v>
      </c>
      <c r="AY221" t="e">
        <f>AND(#REF!,"AAAAAG7y2TI=")</f>
        <v>#REF!</v>
      </c>
      <c r="AZ221" t="e">
        <f>AND(#REF!,"AAAAAG7y2TM=")</f>
        <v>#REF!</v>
      </c>
      <c r="BA221" t="e">
        <f>AND(#REF!,"AAAAAG7y2TQ=")</f>
        <v>#REF!</v>
      </c>
      <c r="BB221" t="e">
        <f>AND(#REF!,"AAAAAG7y2TU=")</f>
        <v>#REF!</v>
      </c>
      <c r="BC221" t="e">
        <f>AND(#REF!,"AAAAAG7y2TY=")</f>
        <v>#REF!</v>
      </c>
      <c r="BD221" t="e">
        <f>AND(#REF!,"AAAAAG7y2Tc=")</f>
        <v>#REF!</v>
      </c>
      <c r="BE221" t="e">
        <f>AND(#REF!,"AAAAAG7y2Tg=")</f>
        <v>#REF!</v>
      </c>
      <c r="BF221" t="e">
        <f>AND(#REF!,"AAAAAG7y2Tk=")</f>
        <v>#REF!</v>
      </c>
      <c r="BG221" t="e">
        <f>AND(#REF!,"AAAAAG7y2To=")</f>
        <v>#REF!</v>
      </c>
      <c r="BH221" t="e">
        <f>AND(#REF!,"AAAAAG7y2Ts=")</f>
        <v>#REF!</v>
      </c>
      <c r="BI221" t="e">
        <f>AND(#REF!,"AAAAAG7y2Tw=")</f>
        <v>#REF!</v>
      </c>
      <c r="BJ221" t="e">
        <f>AND(#REF!,"AAAAAG7y2T0=")</f>
        <v>#REF!</v>
      </c>
      <c r="BK221" t="e">
        <f>AND(#REF!,"AAAAAG7y2T4=")</f>
        <v>#REF!</v>
      </c>
      <c r="BL221" t="e">
        <f>AND(#REF!,"AAAAAG7y2T8=")</f>
        <v>#REF!</v>
      </c>
      <c r="BM221" t="e">
        <f>AND(#REF!,"AAAAAG7y2UA=")</f>
        <v>#REF!</v>
      </c>
      <c r="BN221" t="e">
        <f>AND(#REF!,"AAAAAG7y2UE=")</f>
        <v>#REF!</v>
      </c>
      <c r="BO221" t="e">
        <f>AND(#REF!,"AAAAAG7y2UI=")</f>
        <v>#REF!</v>
      </c>
      <c r="BP221" t="e">
        <f>AND(#REF!,"AAAAAG7y2UM=")</f>
        <v>#REF!</v>
      </c>
      <c r="BQ221" t="e">
        <f>AND(#REF!,"AAAAAG7y2UQ=")</f>
        <v>#REF!</v>
      </c>
      <c r="BR221" t="e">
        <f>AND(#REF!,"AAAAAG7y2UU=")</f>
        <v>#REF!</v>
      </c>
      <c r="BS221" t="e">
        <f>AND(#REF!,"AAAAAG7y2UY=")</f>
        <v>#REF!</v>
      </c>
      <c r="BT221" t="e">
        <f>AND(#REF!,"AAAAAG7y2Uc=")</f>
        <v>#REF!</v>
      </c>
      <c r="BU221" t="e">
        <f>AND(#REF!,"AAAAAG7y2Ug=")</f>
        <v>#REF!</v>
      </c>
      <c r="BV221" t="e">
        <f>AND(#REF!,"AAAAAG7y2Uk=")</f>
        <v>#REF!</v>
      </c>
      <c r="BW221" t="e">
        <f>AND(#REF!,"AAAAAG7y2Uo=")</f>
        <v>#REF!</v>
      </c>
      <c r="BX221" t="e">
        <f>AND(#REF!,"AAAAAG7y2Us=")</f>
        <v>#REF!</v>
      </c>
      <c r="BY221" t="e">
        <f>AND(#REF!,"AAAAAG7y2Uw=")</f>
        <v>#REF!</v>
      </c>
      <c r="BZ221" t="e">
        <f>AND(#REF!,"AAAAAG7y2U0=")</f>
        <v>#REF!</v>
      </c>
      <c r="CA221" t="e">
        <f>AND(#REF!,"AAAAAG7y2U4=")</f>
        <v>#REF!</v>
      </c>
      <c r="CB221" t="e">
        <f>AND(#REF!,"AAAAAG7y2U8=")</f>
        <v>#REF!</v>
      </c>
      <c r="CC221" t="e">
        <f>AND(#REF!,"AAAAAG7y2VA=")</f>
        <v>#REF!</v>
      </c>
      <c r="CD221" t="e">
        <f>AND(#REF!,"AAAAAG7y2VE=")</f>
        <v>#REF!</v>
      </c>
      <c r="CE221" t="e">
        <f>AND(#REF!,"AAAAAG7y2VI=")</f>
        <v>#REF!</v>
      </c>
      <c r="CF221" t="e">
        <f>AND(#REF!,"AAAAAG7y2VM=")</f>
        <v>#REF!</v>
      </c>
      <c r="CG221" t="e">
        <f>AND(#REF!,"AAAAAG7y2VQ=")</f>
        <v>#REF!</v>
      </c>
      <c r="CH221" t="e">
        <f>AND(#REF!,"AAAAAG7y2VU=")</f>
        <v>#REF!</v>
      </c>
      <c r="CI221" t="e">
        <f>AND(#REF!,"AAAAAG7y2VY=")</f>
        <v>#REF!</v>
      </c>
      <c r="CJ221" t="e">
        <f>AND(#REF!,"AAAAAG7y2Vc=")</f>
        <v>#REF!</v>
      </c>
      <c r="CK221" t="e">
        <f>AND(#REF!,"AAAAAG7y2Vg=")</f>
        <v>#REF!</v>
      </c>
      <c r="CL221" t="e">
        <f>AND(#REF!,"AAAAAG7y2Vk=")</f>
        <v>#REF!</v>
      </c>
      <c r="CM221" t="e">
        <f>AND(#REF!,"AAAAAG7y2Vo=")</f>
        <v>#REF!</v>
      </c>
      <c r="CN221" t="e">
        <f>AND(#REF!,"AAAAAG7y2Vs=")</f>
        <v>#REF!</v>
      </c>
      <c r="CO221" t="e">
        <f>AND(#REF!,"AAAAAG7y2Vw=")</f>
        <v>#REF!</v>
      </c>
      <c r="CP221" t="e">
        <f>AND(#REF!,"AAAAAG7y2V0=")</f>
        <v>#REF!</v>
      </c>
      <c r="CQ221" t="e">
        <f>AND(#REF!,"AAAAAG7y2V4=")</f>
        <v>#REF!</v>
      </c>
      <c r="CR221" t="e">
        <f>AND(#REF!,"AAAAAG7y2V8=")</f>
        <v>#REF!</v>
      </c>
      <c r="CS221" t="e">
        <f>AND(#REF!,"AAAAAG7y2WA=")</f>
        <v>#REF!</v>
      </c>
      <c r="CT221" t="e">
        <f>AND(#REF!,"AAAAAG7y2WE=")</f>
        <v>#REF!</v>
      </c>
      <c r="CU221" t="e">
        <f>AND(#REF!,"AAAAAG7y2WI=")</f>
        <v>#REF!</v>
      </c>
      <c r="CV221" t="e">
        <f>AND(#REF!,"AAAAAG7y2WM=")</f>
        <v>#REF!</v>
      </c>
      <c r="CW221" t="e">
        <f>AND(#REF!,"AAAAAG7y2WQ=")</f>
        <v>#REF!</v>
      </c>
      <c r="CX221" t="e">
        <f>AND(#REF!,"AAAAAG7y2WU=")</f>
        <v>#REF!</v>
      </c>
      <c r="CY221" t="e">
        <f>AND(#REF!,"AAAAAG7y2WY=")</f>
        <v>#REF!</v>
      </c>
      <c r="CZ221" t="e">
        <f>AND(#REF!,"AAAAAG7y2Wc=")</f>
        <v>#REF!</v>
      </c>
      <c r="DA221" t="e">
        <f>AND(#REF!,"AAAAAG7y2Wg=")</f>
        <v>#REF!</v>
      </c>
      <c r="DB221" t="e">
        <f>AND(#REF!,"AAAAAG7y2Wk=")</f>
        <v>#REF!</v>
      </c>
      <c r="DC221" t="e">
        <f>AND(#REF!,"AAAAAG7y2Wo=")</f>
        <v>#REF!</v>
      </c>
      <c r="DD221" t="e">
        <f>AND(#REF!,"AAAAAG7y2Ws=")</f>
        <v>#REF!</v>
      </c>
      <c r="DE221" t="e">
        <f>AND(#REF!,"AAAAAG7y2Ww=")</f>
        <v>#REF!</v>
      </c>
      <c r="DF221" t="e">
        <f>AND(#REF!,"AAAAAG7y2W0=")</f>
        <v>#REF!</v>
      </c>
      <c r="DG221" t="e">
        <f>AND(#REF!,"AAAAAG7y2W4=")</f>
        <v>#REF!</v>
      </c>
      <c r="DH221" t="e">
        <f>AND(#REF!,"AAAAAG7y2W8=")</f>
        <v>#REF!</v>
      </c>
      <c r="DI221" t="e">
        <f>AND(#REF!,"AAAAAG7y2XA=")</f>
        <v>#REF!</v>
      </c>
      <c r="DJ221" t="e">
        <f>AND(#REF!,"AAAAAG7y2XE=")</f>
        <v>#REF!</v>
      </c>
      <c r="DK221" t="e">
        <f>AND(#REF!,"AAAAAG7y2XI=")</f>
        <v>#REF!</v>
      </c>
      <c r="DL221" t="e">
        <f>AND(#REF!,"AAAAAG7y2XM=")</f>
        <v>#REF!</v>
      </c>
      <c r="DM221" t="e">
        <f>AND(#REF!,"AAAAAG7y2XQ=")</f>
        <v>#REF!</v>
      </c>
      <c r="DN221" t="e">
        <f>AND(#REF!,"AAAAAG7y2XU=")</f>
        <v>#REF!</v>
      </c>
      <c r="DO221" t="e">
        <f>AND(#REF!,"AAAAAG7y2XY=")</f>
        <v>#REF!</v>
      </c>
      <c r="DP221" t="e">
        <f>AND(#REF!,"AAAAAG7y2Xc=")</f>
        <v>#REF!</v>
      </c>
      <c r="DQ221" t="e">
        <f>AND(#REF!,"AAAAAG7y2Xg=")</f>
        <v>#REF!</v>
      </c>
      <c r="DR221" t="e">
        <f>AND(#REF!,"AAAAAG7y2Xk=")</f>
        <v>#REF!</v>
      </c>
      <c r="DS221" t="e">
        <f>AND(#REF!,"AAAAAG7y2Xo=")</f>
        <v>#REF!</v>
      </c>
      <c r="DT221" t="e">
        <f>AND(#REF!,"AAAAAG7y2Xs=")</f>
        <v>#REF!</v>
      </c>
      <c r="DU221" t="e">
        <f>AND(#REF!,"AAAAAG7y2Xw=")</f>
        <v>#REF!</v>
      </c>
      <c r="DV221" t="e">
        <f>AND(#REF!,"AAAAAG7y2X0=")</f>
        <v>#REF!</v>
      </c>
      <c r="DW221" t="e">
        <f>AND(#REF!,"AAAAAG7y2X4=")</f>
        <v>#REF!</v>
      </c>
      <c r="DX221" t="e">
        <f>AND(#REF!,"AAAAAG7y2X8=")</f>
        <v>#REF!</v>
      </c>
      <c r="DY221" t="e">
        <f>AND(#REF!,"AAAAAG7y2YA=")</f>
        <v>#REF!</v>
      </c>
      <c r="DZ221" t="e">
        <f>AND(#REF!,"AAAAAG7y2YE=")</f>
        <v>#REF!</v>
      </c>
      <c r="EA221" t="e">
        <f>AND(#REF!,"AAAAAG7y2YI=")</f>
        <v>#REF!</v>
      </c>
      <c r="EB221" t="e">
        <f>AND(#REF!,"AAAAAG7y2YM=")</f>
        <v>#REF!</v>
      </c>
      <c r="EC221" t="e">
        <f>AND(#REF!,"AAAAAG7y2YQ=")</f>
        <v>#REF!</v>
      </c>
      <c r="ED221" t="e">
        <f>AND(#REF!,"AAAAAG7y2YU=")</f>
        <v>#REF!</v>
      </c>
      <c r="EE221" t="e">
        <f>AND(#REF!,"AAAAAG7y2YY=")</f>
        <v>#REF!</v>
      </c>
      <c r="EF221" t="e">
        <f>AND(#REF!,"AAAAAG7y2Yc=")</f>
        <v>#REF!</v>
      </c>
      <c r="EG221" t="e">
        <f>AND(#REF!,"AAAAAG7y2Yg=")</f>
        <v>#REF!</v>
      </c>
      <c r="EH221" t="e">
        <f>AND(#REF!,"AAAAAG7y2Yk=")</f>
        <v>#REF!</v>
      </c>
      <c r="EI221" t="e">
        <f>AND(#REF!,"AAAAAG7y2Yo=")</f>
        <v>#REF!</v>
      </c>
      <c r="EJ221" t="e">
        <f>AND(#REF!,"AAAAAG7y2Ys=")</f>
        <v>#REF!</v>
      </c>
      <c r="EK221" t="e">
        <f>AND(#REF!,"AAAAAG7y2Yw=")</f>
        <v>#REF!</v>
      </c>
      <c r="EL221" t="e">
        <f>AND(#REF!,"AAAAAG7y2Y0=")</f>
        <v>#REF!</v>
      </c>
      <c r="EM221" t="e">
        <f>AND(#REF!,"AAAAAG7y2Y4=")</f>
        <v>#REF!</v>
      </c>
      <c r="EN221" t="e">
        <f>AND(#REF!,"AAAAAG7y2Y8=")</f>
        <v>#REF!</v>
      </c>
      <c r="EO221" t="e">
        <f>AND(#REF!,"AAAAAG7y2ZA=")</f>
        <v>#REF!</v>
      </c>
      <c r="EP221" t="e">
        <f>AND(#REF!,"AAAAAG7y2ZE=")</f>
        <v>#REF!</v>
      </c>
      <c r="EQ221" t="e">
        <f>AND(#REF!,"AAAAAG7y2ZI=")</f>
        <v>#REF!</v>
      </c>
      <c r="ER221" t="e">
        <f>AND(#REF!,"AAAAAG7y2ZM=")</f>
        <v>#REF!</v>
      </c>
      <c r="ES221" t="e">
        <f>AND(#REF!,"AAAAAG7y2ZQ=")</f>
        <v>#REF!</v>
      </c>
      <c r="ET221" t="e">
        <f>AND(#REF!,"AAAAAG7y2ZU=")</f>
        <v>#REF!</v>
      </c>
      <c r="EU221" t="e">
        <f>AND(#REF!,"AAAAAG7y2ZY=")</f>
        <v>#REF!</v>
      </c>
      <c r="EV221" t="e">
        <f>AND(#REF!,"AAAAAG7y2Zc=")</f>
        <v>#REF!</v>
      </c>
      <c r="EW221" t="e">
        <f>AND(#REF!,"AAAAAG7y2Zg=")</f>
        <v>#REF!</v>
      </c>
      <c r="EX221" t="e">
        <f>AND(#REF!,"AAAAAG7y2Zk=")</f>
        <v>#REF!</v>
      </c>
      <c r="EY221" t="e">
        <f>AND(#REF!,"AAAAAG7y2Zo=")</f>
        <v>#REF!</v>
      </c>
      <c r="EZ221" t="e">
        <f>AND(#REF!,"AAAAAG7y2Zs=")</f>
        <v>#REF!</v>
      </c>
      <c r="FA221" t="e">
        <f>AND(#REF!,"AAAAAG7y2Zw=")</f>
        <v>#REF!</v>
      </c>
      <c r="FB221" t="e">
        <f>AND(#REF!,"AAAAAG7y2Z0=")</f>
        <v>#REF!</v>
      </c>
      <c r="FC221" t="e">
        <f>AND(#REF!,"AAAAAG7y2Z4=")</f>
        <v>#REF!</v>
      </c>
      <c r="FD221" t="e">
        <f>AND(#REF!,"AAAAAG7y2Z8=")</f>
        <v>#REF!</v>
      </c>
      <c r="FE221" t="e">
        <f>AND(#REF!,"AAAAAG7y2aA=")</f>
        <v>#REF!</v>
      </c>
      <c r="FF221" t="e">
        <f>AND(#REF!,"AAAAAG7y2aE=")</f>
        <v>#REF!</v>
      </c>
      <c r="FG221" t="e">
        <f>AND(#REF!,"AAAAAG7y2aI=")</f>
        <v>#REF!</v>
      </c>
      <c r="FH221" t="e">
        <f>AND(#REF!,"AAAAAG7y2aM=")</f>
        <v>#REF!</v>
      </c>
      <c r="FI221" t="e">
        <f>AND(#REF!,"AAAAAG7y2aQ=")</f>
        <v>#REF!</v>
      </c>
      <c r="FJ221" t="e">
        <f>AND(#REF!,"AAAAAG7y2aU=")</f>
        <v>#REF!</v>
      </c>
      <c r="FK221" t="e">
        <f>IF(#REF!,"AAAAAG7y2aY=",0)</f>
        <v>#REF!</v>
      </c>
      <c r="FL221" t="e">
        <f>AND(#REF!,"AAAAAG7y2ac=")</f>
        <v>#REF!</v>
      </c>
      <c r="FM221" t="e">
        <f>AND(#REF!,"AAAAAG7y2ag=")</f>
        <v>#REF!</v>
      </c>
      <c r="FN221" t="e">
        <f>AND(#REF!,"AAAAAG7y2ak=")</f>
        <v>#REF!</v>
      </c>
      <c r="FO221" t="e">
        <f>AND(#REF!,"AAAAAG7y2ao=")</f>
        <v>#REF!</v>
      </c>
      <c r="FP221" t="e">
        <f>AND(#REF!,"AAAAAG7y2as=")</f>
        <v>#REF!</v>
      </c>
      <c r="FQ221" t="e">
        <f>AND(#REF!,"AAAAAG7y2aw=")</f>
        <v>#REF!</v>
      </c>
      <c r="FR221" t="e">
        <f>AND(#REF!,"AAAAAG7y2a0=")</f>
        <v>#REF!</v>
      </c>
      <c r="FS221" t="e">
        <f>AND(#REF!,"AAAAAG7y2a4=")</f>
        <v>#REF!</v>
      </c>
      <c r="FT221" t="e">
        <f>AND(#REF!,"AAAAAG7y2a8=")</f>
        <v>#REF!</v>
      </c>
      <c r="FU221" t="e">
        <f>AND(#REF!,"AAAAAG7y2bA=")</f>
        <v>#REF!</v>
      </c>
      <c r="FV221" t="e">
        <f>AND(#REF!,"AAAAAG7y2bE=")</f>
        <v>#REF!</v>
      </c>
      <c r="FW221" t="e">
        <f>AND(#REF!,"AAAAAG7y2bI=")</f>
        <v>#REF!</v>
      </c>
      <c r="FX221" t="e">
        <f>AND(#REF!,"AAAAAG7y2bM=")</f>
        <v>#REF!</v>
      </c>
      <c r="FY221" t="e">
        <f>AND(#REF!,"AAAAAG7y2bQ=")</f>
        <v>#REF!</v>
      </c>
      <c r="FZ221" t="e">
        <f>AND(#REF!,"AAAAAG7y2bU=")</f>
        <v>#REF!</v>
      </c>
      <c r="GA221" t="e">
        <f>AND(#REF!,"AAAAAG7y2bY=")</f>
        <v>#REF!</v>
      </c>
      <c r="GB221" t="e">
        <f>AND(#REF!,"AAAAAG7y2bc=")</f>
        <v>#REF!</v>
      </c>
      <c r="GC221" t="e">
        <f>AND(#REF!,"AAAAAG7y2bg=")</f>
        <v>#REF!</v>
      </c>
      <c r="GD221" t="e">
        <f>AND(#REF!,"AAAAAG7y2bk=")</f>
        <v>#REF!</v>
      </c>
      <c r="GE221" t="e">
        <f>AND(#REF!,"AAAAAG7y2bo=")</f>
        <v>#REF!</v>
      </c>
      <c r="GF221" t="e">
        <f>AND(#REF!,"AAAAAG7y2bs=")</f>
        <v>#REF!</v>
      </c>
      <c r="GG221" t="e">
        <f>AND(#REF!,"AAAAAG7y2bw=")</f>
        <v>#REF!</v>
      </c>
      <c r="GH221" t="e">
        <f>AND(#REF!,"AAAAAG7y2b0=")</f>
        <v>#REF!</v>
      </c>
      <c r="GI221" t="e">
        <f>AND(#REF!,"AAAAAG7y2b4=")</f>
        <v>#REF!</v>
      </c>
      <c r="GJ221" t="e">
        <f>AND(#REF!,"AAAAAG7y2b8=")</f>
        <v>#REF!</v>
      </c>
      <c r="GK221" t="e">
        <f>AND(#REF!,"AAAAAG7y2cA=")</f>
        <v>#REF!</v>
      </c>
      <c r="GL221" t="e">
        <f>AND(#REF!,"AAAAAG7y2cE=")</f>
        <v>#REF!</v>
      </c>
      <c r="GM221" t="e">
        <f>AND(#REF!,"AAAAAG7y2cI=")</f>
        <v>#REF!</v>
      </c>
      <c r="GN221" t="e">
        <f>AND(#REF!,"AAAAAG7y2cM=")</f>
        <v>#REF!</v>
      </c>
      <c r="GO221" t="e">
        <f>AND(#REF!,"AAAAAG7y2cQ=")</f>
        <v>#REF!</v>
      </c>
      <c r="GP221" t="e">
        <f>AND(#REF!,"AAAAAG7y2cU=")</f>
        <v>#REF!</v>
      </c>
      <c r="GQ221" t="e">
        <f>AND(#REF!,"AAAAAG7y2cY=")</f>
        <v>#REF!</v>
      </c>
      <c r="GR221" t="e">
        <f>AND(#REF!,"AAAAAG7y2cc=")</f>
        <v>#REF!</v>
      </c>
      <c r="GS221" t="e">
        <f>AND(#REF!,"AAAAAG7y2cg=")</f>
        <v>#REF!</v>
      </c>
      <c r="GT221" t="e">
        <f>AND(#REF!,"AAAAAG7y2ck=")</f>
        <v>#REF!</v>
      </c>
      <c r="GU221" t="e">
        <f>AND(#REF!,"AAAAAG7y2co=")</f>
        <v>#REF!</v>
      </c>
      <c r="GV221" t="e">
        <f>AND(#REF!,"AAAAAG7y2cs=")</f>
        <v>#REF!</v>
      </c>
      <c r="GW221" t="e">
        <f>AND(#REF!,"AAAAAG7y2cw=")</f>
        <v>#REF!</v>
      </c>
      <c r="GX221" t="e">
        <f>AND(#REF!,"AAAAAG7y2c0=")</f>
        <v>#REF!</v>
      </c>
      <c r="GY221" t="e">
        <f>AND(#REF!,"AAAAAG7y2c4=")</f>
        <v>#REF!</v>
      </c>
      <c r="GZ221" t="e">
        <f>AND(#REF!,"AAAAAG7y2c8=")</f>
        <v>#REF!</v>
      </c>
      <c r="HA221" t="e">
        <f>AND(#REF!,"AAAAAG7y2dA=")</f>
        <v>#REF!</v>
      </c>
      <c r="HB221" t="e">
        <f>AND(#REF!,"AAAAAG7y2dE=")</f>
        <v>#REF!</v>
      </c>
      <c r="HC221" t="e">
        <f>AND(#REF!,"AAAAAG7y2dI=")</f>
        <v>#REF!</v>
      </c>
      <c r="HD221" t="e">
        <f>AND(#REF!,"AAAAAG7y2dM=")</f>
        <v>#REF!</v>
      </c>
      <c r="HE221" t="e">
        <f>AND(#REF!,"AAAAAG7y2dQ=")</f>
        <v>#REF!</v>
      </c>
      <c r="HF221" t="e">
        <f>AND(#REF!,"AAAAAG7y2dU=")</f>
        <v>#REF!</v>
      </c>
      <c r="HG221" t="e">
        <f>AND(#REF!,"AAAAAG7y2dY=")</f>
        <v>#REF!</v>
      </c>
      <c r="HH221" t="e">
        <f>AND(#REF!,"AAAAAG7y2dc=")</f>
        <v>#REF!</v>
      </c>
      <c r="HI221" t="e">
        <f>AND(#REF!,"AAAAAG7y2dg=")</f>
        <v>#REF!</v>
      </c>
      <c r="HJ221" t="e">
        <f>AND(#REF!,"AAAAAG7y2dk=")</f>
        <v>#REF!</v>
      </c>
      <c r="HK221" t="e">
        <f>AND(#REF!,"AAAAAG7y2do=")</f>
        <v>#REF!</v>
      </c>
      <c r="HL221" t="e">
        <f>AND(#REF!,"AAAAAG7y2ds=")</f>
        <v>#REF!</v>
      </c>
      <c r="HM221" t="e">
        <f>AND(#REF!,"AAAAAG7y2dw=")</f>
        <v>#REF!</v>
      </c>
      <c r="HN221" t="e">
        <f>AND(#REF!,"AAAAAG7y2d0=")</f>
        <v>#REF!</v>
      </c>
      <c r="HO221" t="e">
        <f>AND(#REF!,"AAAAAG7y2d4=")</f>
        <v>#REF!</v>
      </c>
      <c r="HP221" t="e">
        <f>AND(#REF!,"AAAAAG7y2d8=")</f>
        <v>#REF!</v>
      </c>
      <c r="HQ221" t="e">
        <f>AND(#REF!,"AAAAAG7y2eA=")</f>
        <v>#REF!</v>
      </c>
      <c r="HR221" t="e">
        <f>AND(#REF!,"AAAAAG7y2eE=")</f>
        <v>#REF!</v>
      </c>
      <c r="HS221" t="e">
        <f>AND(#REF!,"AAAAAG7y2eI=")</f>
        <v>#REF!</v>
      </c>
      <c r="HT221" t="e">
        <f>AND(#REF!,"AAAAAG7y2eM=")</f>
        <v>#REF!</v>
      </c>
      <c r="HU221" t="e">
        <f>AND(#REF!,"AAAAAG7y2eQ=")</f>
        <v>#REF!</v>
      </c>
      <c r="HV221" t="e">
        <f>AND(#REF!,"AAAAAG7y2eU=")</f>
        <v>#REF!</v>
      </c>
      <c r="HW221" t="e">
        <f>AND(#REF!,"AAAAAG7y2eY=")</f>
        <v>#REF!</v>
      </c>
      <c r="HX221" t="e">
        <f>AND(#REF!,"AAAAAG7y2ec=")</f>
        <v>#REF!</v>
      </c>
      <c r="HY221" t="e">
        <f>AND(#REF!,"AAAAAG7y2eg=")</f>
        <v>#REF!</v>
      </c>
      <c r="HZ221" t="e">
        <f>AND(#REF!,"AAAAAG7y2ek=")</f>
        <v>#REF!</v>
      </c>
      <c r="IA221" t="e">
        <f>AND(#REF!,"AAAAAG7y2eo=")</f>
        <v>#REF!</v>
      </c>
      <c r="IB221" t="e">
        <f>AND(#REF!,"AAAAAG7y2es=")</f>
        <v>#REF!</v>
      </c>
      <c r="IC221" t="e">
        <f>AND(#REF!,"AAAAAG7y2ew=")</f>
        <v>#REF!</v>
      </c>
      <c r="ID221" t="e">
        <f>AND(#REF!,"AAAAAG7y2e0=")</f>
        <v>#REF!</v>
      </c>
      <c r="IE221" t="e">
        <f>AND(#REF!,"AAAAAG7y2e4=")</f>
        <v>#REF!</v>
      </c>
      <c r="IF221" t="e">
        <f>AND(#REF!,"AAAAAG7y2e8=")</f>
        <v>#REF!</v>
      </c>
      <c r="IG221" t="e">
        <f>AND(#REF!,"AAAAAG7y2fA=")</f>
        <v>#REF!</v>
      </c>
      <c r="IH221" t="e">
        <f>AND(#REF!,"AAAAAG7y2fE=")</f>
        <v>#REF!</v>
      </c>
      <c r="II221" t="e">
        <f>AND(#REF!,"AAAAAG7y2fI=")</f>
        <v>#REF!</v>
      </c>
      <c r="IJ221" t="e">
        <f>AND(#REF!,"AAAAAG7y2fM=")</f>
        <v>#REF!</v>
      </c>
      <c r="IK221" t="e">
        <f>AND(#REF!,"AAAAAG7y2fQ=")</f>
        <v>#REF!</v>
      </c>
      <c r="IL221" t="e">
        <f>AND(#REF!,"AAAAAG7y2fU=")</f>
        <v>#REF!</v>
      </c>
      <c r="IM221" t="e">
        <f>AND(#REF!,"AAAAAG7y2fY=")</f>
        <v>#REF!</v>
      </c>
      <c r="IN221" t="e">
        <f>AND(#REF!,"AAAAAG7y2fc=")</f>
        <v>#REF!</v>
      </c>
      <c r="IO221" t="e">
        <f>AND(#REF!,"AAAAAG7y2fg=")</f>
        <v>#REF!</v>
      </c>
      <c r="IP221" t="e">
        <f>AND(#REF!,"AAAAAG7y2fk=")</f>
        <v>#REF!</v>
      </c>
      <c r="IQ221" t="e">
        <f>AND(#REF!,"AAAAAG7y2fo=")</f>
        <v>#REF!</v>
      </c>
      <c r="IR221" t="e">
        <f>AND(#REF!,"AAAAAG7y2fs=")</f>
        <v>#REF!</v>
      </c>
      <c r="IS221" t="e">
        <f>AND(#REF!,"AAAAAG7y2fw=")</f>
        <v>#REF!</v>
      </c>
      <c r="IT221" t="e">
        <f>AND(#REF!,"AAAAAG7y2f0=")</f>
        <v>#REF!</v>
      </c>
      <c r="IU221" t="e">
        <f>AND(#REF!,"AAAAAG7y2f4=")</f>
        <v>#REF!</v>
      </c>
      <c r="IV221" t="e">
        <f>AND(#REF!,"AAAAAG7y2f8=")</f>
        <v>#REF!</v>
      </c>
    </row>
    <row r="222" spans="1:256">
      <c r="A222" t="e">
        <f>AND(#REF!,"AAAAAHrf7AA=")</f>
        <v>#REF!</v>
      </c>
      <c r="B222" t="e">
        <f>AND(#REF!,"AAAAAHrf7AE=")</f>
        <v>#REF!</v>
      </c>
      <c r="C222" t="e">
        <f>AND(#REF!,"AAAAAHrf7AI=")</f>
        <v>#REF!</v>
      </c>
      <c r="D222" t="e">
        <f>AND(#REF!,"AAAAAHrf7AM=")</f>
        <v>#REF!</v>
      </c>
      <c r="E222" t="e">
        <f>AND(#REF!,"AAAAAHrf7AQ=")</f>
        <v>#REF!</v>
      </c>
      <c r="F222" t="e">
        <f>AND(#REF!,"AAAAAHrf7AU=")</f>
        <v>#REF!</v>
      </c>
      <c r="G222" t="e">
        <f>AND(#REF!,"AAAAAHrf7AY=")</f>
        <v>#REF!</v>
      </c>
      <c r="H222" t="e">
        <f>AND(#REF!,"AAAAAHrf7Ac=")</f>
        <v>#REF!</v>
      </c>
      <c r="I222" t="e">
        <f>AND(#REF!,"AAAAAHrf7Ag=")</f>
        <v>#REF!</v>
      </c>
      <c r="J222" t="e">
        <f>AND(#REF!,"AAAAAHrf7Ak=")</f>
        <v>#REF!</v>
      </c>
      <c r="K222" t="e">
        <f>AND(#REF!,"AAAAAHrf7Ao=")</f>
        <v>#REF!</v>
      </c>
      <c r="L222" t="e">
        <f>AND(#REF!,"AAAAAHrf7As=")</f>
        <v>#REF!</v>
      </c>
      <c r="M222" t="e">
        <f>AND(#REF!,"AAAAAHrf7Aw=")</f>
        <v>#REF!</v>
      </c>
      <c r="N222" t="e">
        <f>AND(#REF!,"AAAAAHrf7A0=")</f>
        <v>#REF!</v>
      </c>
      <c r="O222" t="e">
        <f>AND(#REF!,"AAAAAHrf7A4=")</f>
        <v>#REF!</v>
      </c>
      <c r="P222" t="e">
        <f>AND(#REF!,"AAAAAHrf7A8=")</f>
        <v>#REF!</v>
      </c>
      <c r="Q222" t="e">
        <f>AND(#REF!,"AAAAAHrf7BA=")</f>
        <v>#REF!</v>
      </c>
      <c r="R222" t="e">
        <f>AND(#REF!,"AAAAAHrf7BE=")</f>
        <v>#REF!</v>
      </c>
      <c r="S222" t="e">
        <f>AND(#REF!,"AAAAAHrf7BI=")</f>
        <v>#REF!</v>
      </c>
      <c r="T222" t="e">
        <f>AND(#REF!,"AAAAAHrf7BM=")</f>
        <v>#REF!</v>
      </c>
      <c r="U222" t="e">
        <f>AND(#REF!,"AAAAAHrf7BQ=")</f>
        <v>#REF!</v>
      </c>
      <c r="V222" t="e">
        <f>AND(#REF!,"AAAAAHrf7BU=")</f>
        <v>#REF!</v>
      </c>
      <c r="W222" t="e">
        <f>AND(#REF!,"AAAAAHrf7BY=")</f>
        <v>#REF!</v>
      </c>
      <c r="X222" t="e">
        <f>AND(#REF!,"AAAAAHrf7Bc=")</f>
        <v>#REF!</v>
      </c>
      <c r="Y222" t="e">
        <f>AND(#REF!,"AAAAAHrf7Bg=")</f>
        <v>#REF!</v>
      </c>
      <c r="Z222" t="e">
        <f>AND(#REF!,"AAAAAHrf7Bk=")</f>
        <v>#REF!</v>
      </c>
      <c r="AA222" t="e">
        <f>AND(#REF!,"AAAAAHrf7Bo=")</f>
        <v>#REF!</v>
      </c>
      <c r="AB222" t="e">
        <f>AND(#REF!,"AAAAAHrf7Bs=")</f>
        <v>#REF!</v>
      </c>
      <c r="AC222" t="e">
        <f>AND(#REF!,"AAAAAHrf7Bw=")</f>
        <v>#REF!</v>
      </c>
      <c r="AD222" t="e">
        <f>AND(#REF!,"AAAAAHrf7B0=")</f>
        <v>#REF!</v>
      </c>
      <c r="AE222" t="e">
        <f>AND(#REF!,"AAAAAHrf7B4=")</f>
        <v>#REF!</v>
      </c>
      <c r="AF222" t="e">
        <f>AND(#REF!,"AAAAAHrf7B8=")</f>
        <v>#REF!</v>
      </c>
      <c r="AG222" t="e">
        <f>AND(#REF!,"AAAAAHrf7CA=")</f>
        <v>#REF!</v>
      </c>
      <c r="AH222" t="e">
        <f>AND(#REF!,"AAAAAHrf7CE=")</f>
        <v>#REF!</v>
      </c>
      <c r="AI222" t="e">
        <f>AND(#REF!,"AAAAAHrf7CI=")</f>
        <v>#REF!</v>
      </c>
      <c r="AJ222" t="e">
        <f>AND(#REF!,"AAAAAHrf7CM=")</f>
        <v>#REF!</v>
      </c>
      <c r="AK222" t="e">
        <f>AND(#REF!,"AAAAAHrf7CQ=")</f>
        <v>#REF!</v>
      </c>
      <c r="AL222" t="e">
        <f>AND(#REF!,"AAAAAHrf7CU=")</f>
        <v>#REF!</v>
      </c>
      <c r="AM222" t="e">
        <f>AND(#REF!,"AAAAAHrf7CY=")</f>
        <v>#REF!</v>
      </c>
      <c r="AN222" t="e">
        <f>AND(#REF!,"AAAAAHrf7Cc=")</f>
        <v>#REF!</v>
      </c>
      <c r="AO222" t="e">
        <f>AND(#REF!,"AAAAAHrf7Cg=")</f>
        <v>#REF!</v>
      </c>
      <c r="AP222" t="e">
        <f>AND(#REF!,"AAAAAHrf7Ck=")</f>
        <v>#REF!</v>
      </c>
      <c r="AQ222" t="e">
        <f>AND(#REF!,"AAAAAHrf7Co=")</f>
        <v>#REF!</v>
      </c>
      <c r="AR222" t="e">
        <f>AND(#REF!,"AAAAAHrf7Cs=")</f>
        <v>#REF!</v>
      </c>
      <c r="AS222" t="e">
        <f>AND(#REF!,"AAAAAHrf7Cw=")</f>
        <v>#REF!</v>
      </c>
      <c r="AT222" t="e">
        <f>AND(#REF!,"AAAAAHrf7C0=")</f>
        <v>#REF!</v>
      </c>
      <c r="AU222" t="e">
        <f>AND(#REF!,"AAAAAHrf7C4=")</f>
        <v>#REF!</v>
      </c>
      <c r="AV222" t="e">
        <f>AND(#REF!,"AAAAAHrf7C8=")</f>
        <v>#REF!</v>
      </c>
      <c r="AW222" t="e">
        <f>AND(#REF!,"AAAAAHrf7DA=")</f>
        <v>#REF!</v>
      </c>
      <c r="AX222" t="e">
        <f>AND(#REF!,"AAAAAHrf7DE=")</f>
        <v>#REF!</v>
      </c>
      <c r="AY222" t="e">
        <f>AND(#REF!,"AAAAAHrf7DI=")</f>
        <v>#REF!</v>
      </c>
      <c r="AZ222" t="e">
        <f>AND(#REF!,"AAAAAHrf7DM=")</f>
        <v>#REF!</v>
      </c>
      <c r="BA222" t="e">
        <f>AND(#REF!,"AAAAAHrf7DQ=")</f>
        <v>#REF!</v>
      </c>
      <c r="BB222" t="e">
        <f>AND(#REF!,"AAAAAHrf7DU=")</f>
        <v>#REF!</v>
      </c>
      <c r="BC222" t="e">
        <f>AND(#REF!,"AAAAAHrf7DY=")</f>
        <v>#REF!</v>
      </c>
      <c r="BD222" t="e">
        <f>AND(#REF!,"AAAAAHrf7Dc=")</f>
        <v>#REF!</v>
      </c>
      <c r="BE222" t="e">
        <f>AND(#REF!,"AAAAAHrf7Dg=")</f>
        <v>#REF!</v>
      </c>
      <c r="BF222" t="e">
        <f>AND(#REF!,"AAAAAHrf7Dk=")</f>
        <v>#REF!</v>
      </c>
      <c r="BG222" t="e">
        <f>AND(#REF!,"AAAAAHrf7Do=")</f>
        <v>#REF!</v>
      </c>
      <c r="BH222" t="e">
        <f>AND(#REF!,"AAAAAHrf7Ds=")</f>
        <v>#REF!</v>
      </c>
      <c r="BI222" t="e">
        <f>AND(#REF!,"AAAAAHrf7Dw=")</f>
        <v>#REF!</v>
      </c>
      <c r="BJ222" t="e">
        <f>AND(#REF!,"AAAAAHrf7D0=")</f>
        <v>#REF!</v>
      </c>
      <c r="BK222" t="e">
        <f>AND(#REF!,"AAAAAHrf7D4=")</f>
        <v>#REF!</v>
      </c>
      <c r="BL222" t="e">
        <f>AND(#REF!,"AAAAAHrf7D8=")</f>
        <v>#REF!</v>
      </c>
      <c r="BM222" t="e">
        <f>AND(#REF!,"AAAAAHrf7EA=")</f>
        <v>#REF!</v>
      </c>
      <c r="BN222" t="e">
        <f>AND(#REF!,"AAAAAHrf7EE=")</f>
        <v>#REF!</v>
      </c>
      <c r="BO222" t="e">
        <f>AND(#REF!,"AAAAAHrf7EI=")</f>
        <v>#REF!</v>
      </c>
      <c r="BP222" t="e">
        <f>AND(#REF!,"AAAAAHrf7EM=")</f>
        <v>#REF!</v>
      </c>
      <c r="BQ222" t="e">
        <f>AND(#REF!,"AAAAAHrf7EQ=")</f>
        <v>#REF!</v>
      </c>
      <c r="BR222" t="e">
        <f>AND(#REF!,"AAAAAHrf7EU=")</f>
        <v>#REF!</v>
      </c>
      <c r="BS222" t="e">
        <f>AND(#REF!,"AAAAAHrf7EY=")</f>
        <v>#REF!</v>
      </c>
      <c r="BT222" t="e">
        <f>AND(#REF!,"AAAAAHrf7Ec=")</f>
        <v>#REF!</v>
      </c>
      <c r="BU222" t="e">
        <f>AND(#REF!,"AAAAAHrf7Eg=")</f>
        <v>#REF!</v>
      </c>
      <c r="BV222" t="e">
        <f>AND(#REF!,"AAAAAHrf7Ek=")</f>
        <v>#REF!</v>
      </c>
      <c r="BW222" t="e">
        <f>AND(#REF!,"AAAAAHrf7Eo=")</f>
        <v>#REF!</v>
      </c>
      <c r="BX222" t="e">
        <f>AND(#REF!,"AAAAAHrf7Es=")</f>
        <v>#REF!</v>
      </c>
      <c r="BY222" t="e">
        <f>AND(#REF!,"AAAAAHrf7Ew=")</f>
        <v>#REF!</v>
      </c>
      <c r="BZ222" t="e">
        <f>AND(#REF!,"AAAAAHrf7E0=")</f>
        <v>#REF!</v>
      </c>
      <c r="CA222" t="e">
        <f>AND(#REF!,"AAAAAHrf7E4=")</f>
        <v>#REF!</v>
      </c>
      <c r="CB222" t="e">
        <f>AND(#REF!,"AAAAAHrf7E8=")</f>
        <v>#REF!</v>
      </c>
      <c r="CC222" t="e">
        <f>AND(#REF!,"AAAAAHrf7FA=")</f>
        <v>#REF!</v>
      </c>
      <c r="CD222" t="e">
        <f>AND(#REF!,"AAAAAHrf7FE=")</f>
        <v>#REF!</v>
      </c>
      <c r="CE222" t="e">
        <f>AND(#REF!,"AAAAAHrf7FI=")</f>
        <v>#REF!</v>
      </c>
      <c r="CF222" t="e">
        <f>AND(#REF!,"AAAAAHrf7FM=")</f>
        <v>#REF!</v>
      </c>
      <c r="CG222" t="e">
        <f>AND(#REF!,"AAAAAHrf7FQ=")</f>
        <v>#REF!</v>
      </c>
      <c r="CH222" t="e">
        <f>AND(#REF!,"AAAAAHrf7FU=")</f>
        <v>#REF!</v>
      </c>
      <c r="CI222" t="e">
        <f>AND(#REF!,"AAAAAHrf7FY=")</f>
        <v>#REF!</v>
      </c>
      <c r="CJ222" t="e">
        <f>AND(#REF!,"AAAAAHrf7Fc=")</f>
        <v>#REF!</v>
      </c>
      <c r="CK222" t="e">
        <f>AND(#REF!,"AAAAAHrf7Fg=")</f>
        <v>#REF!</v>
      </c>
      <c r="CL222" t="e">
        <f>AND(#REF!,"AAAAAHrf7Fk=")</f>
        <v>#REF!</v>
      </c>
      <c r="CM222" t="e">
        <f>AND(#REF!,"AAAAAHrf7Fo=")</f>
        <v>#REF!</v>
      </c>
      <c r="CN222" t="e">
        <f>AND(#REF!,"AAAAAHrf7Fs=")</f>
        <v>#REF!</v>
      </c>
      <c r="CO222" t="e">
        <f>AND(#REF!,"AAAAAHrf7Fw=")</f>
        <v>#REF!</v>
      </c>
      <c r="CP222" t="e">
        <f>AND(#REF!,"AAAAAHrf7F0=")</f>
        <v>#REF!</v>
      </c>
      <c r="CQ222" t="e">
        <f>AND(#REF!,"AAAAAHrf7F4=")</f>
        <v>#REF!</v>
      </c>
      <c r="CR222" t="e">
        <f>AND(#REF!,"AAAAAHrf7F8=")</f>
        <v>#REF!</v>
      </c>
      <c r="CS222" t="e">
        <f>AND(#REF!,"AAAAAHrf7GA=")</f>
        <v>#REF!</v>
      </c>
      <c r="CT222" t="e">
        <f>AND(#REF!,"AAAAAHrf7GE=")</f>
        <v>#REF!</v>
      </c>
      <c r="CU222" t="e">
        <f>AND(#REF!,"AAAAAHrf7GI=")</f>
        <v>#REF!</v>
      </c>
      <c r="CV222" t="e">
        <f>AND(#REF!,"AAAAAHrf7GM=")</f>
        <v>#REF!</v>
      </c>
      <c r="CW222" t="e">
        <f>AND(#REF!,"AAAAAHrf7GQ=")</f>
        <v>#REF!</v>
      </c>
      <c r="CX222" t="e">
        <f>AND(#REF!,"AAAAAHrf7GU=")</f>
        <v>#REF!</v>
      </c>
      <c r="CY222" t="e">
        <f>AND(#REF!,"AAAAAHrf7GY=")</f>
        <v>#REF!</v>
      </c>
      <c r="CZ222" t="e">
        <f>AND(#REF!,"AAAAAHrf7Gc=")</f>
        <v>#REF!</v>
      </c>
      <c r="DA222" t="e">
        <f>AND(#REF!,"AAAAAHrf7Gg=")</f>
        <v>#REF!</v>
      </c>
      <c r="DB222" t="e">
        <f>AND(#REF!,"AAAAAHrf7Gk=")</f>
        <v>#REF!</v>
      </c>
      <c r="DC222" t="e">
        <f>AND(#REF!,"AAAAAHrf7Go=")</f>
        <v>#REF!</v>
      </c>
      <c r="DD222" t="e">
        <f>AND(#REF!,"AAAAAHrf7Gs=")</f>
        <v>#REF!</v>
      </c>
      <c r="DE222" t="e">
        <f>AND(#REF!,"AAAAAHrf7Gw=")</f>
        <v>#REF!</v>
      </c>
      <c r="DF222" t="e">
        <f>AND(#REF!,"AAAAAHrf7G0=")</f>
        <v>#REF!</v>
      </c>
      <c r="DG222" t="e">
        <f>AND(#REF!,"AAAAAHrf7G4=")</f>
        <v>#REF!</v>
      </c>
      <c r="DH222" t="e">
        <f>AND(#REF!,"AAAAAHrf7G8=")</f>
        <v>#REF!</v>
      </c>
      <c r="DI222" t="e">
        <f>AND(#REF!,"AAAAAHrf7HA=")</f>
        <v>#REF!</v>
      </c>
      <c r="DJ222" t="e">
        <f>AND(#REF!,"AAAAAHrf7HE=")</f>
        <v>#REF!</v>
      </c>
      <c r="DK222" t="e">
        <f>AND(#REF!,"AAAAAHrf7HI=")</f>
        <v>#REF!</v>
      </c>
      <c r="DL222" t="e">
        <f>AND(#REF!,"AAAAAHrf7HM=")</f>
        <v>#REF!</v>
      </c>
      <c r="DM222" t="e">
        <f>AND(#REF!,"AAAAAHrf7HQ=")</f>
        <v>#REF!</v>
      </c>
      <c r="DN222" t="e">
        <f>AND(#REF!,"AAAAAHrf7HU=")</f>
        <v>#REF!</v>
      </c>
      <c r="DO222" t="e">
        <f>AND(#REF!,"AAAAAHrf7HY=")</f>
        <v>#REF!</v>
      </c>
      <c r="DP222" t="e">
        <f>AND(#REF!,"AAAAAHrf7Hc=")</f>
        <v>#REF!</v>
      </c>
      <c r="DQ222" t="e">
        <f>AND(#REF!,"AAAAAHrf7Hg=")</f>
        <v>#REF!</v>
      </c>
      <c r="DR222" t="e">
        <f>AND(#REF!,"AAAAAHrf7Hk=")</f>
        <v>#REF!</v>
      </c>
      <c r="DS222" t="e">
        <f>AND(#REF!,"AAAAAHrf7Ho=")</f>
        <v>#REF!</v>
      </c>
      <c r="DT222" t="e">
        <f>AND(#REF!,"AAAAAHrf7Hs=")</f>
        <v>#REF!</v>
      </c>
      <c r="DU222" t="e">
        <f>AND(#REF!,"AAAAAHrf7Hw=")</f>
        <v>#REF!</v>
      </c>
      <c r="DV222" t="e">
        <f>AND(#REF!,"AAAAAHrf7H0=")</f>
        <v>#REF!</v>
      </c>
      <c r="DW222" t="e">
        <f>AND(#REF!,"AAAAAHrf7H4=")</f>
        <v>#REF!</v>
      </c>
      <c r="DX222" t="e">
        <f>AND(#REF!,"AAAAAHrf7H8=")</f>
        <v>#REF!</v>
      </c>
      <c r="DY222" t="e">
        <f>AND(#REF!,"AAAAAHrf7IA=")</f>
        <v>#REF!</v>
      </c>
      <c r="DZ222" t="e">
        <f>AND(#REF!,"AAAAAHrf7IE=")</f>
        <v>#REF!</v>
      </c>
      <c r="EA222" t="e">
        <f>AND(#REF!,"AAAAAHrf7II=")</f>
        <v>#REF!</v>
      </c>
      <c r="EB222" t="e">
        <f>AND(#REF!,"AAAAAHrf7IM=")</f>
        <v>#REF!</v>
      </c>
      <c r="EC222" t="e">
        <f>AND(#REF!,"AAAAAHrf7IQ=")</f>
        <v>#REF!</v>
      </c>
      <c r="ED222" t="e">
        <f>AND(#REF!,"AAAAAHrf7IU=")</f>
        <v>#REF!</v>
      </c>
      <c r="EE222" t="e">
        <f>AND(#REF!,"AAAAAHrf7IY=")</f>
        <v>#REF!</v>
      </c>
      <c r="EF222" t="e">
        <f>AND(#REF!,"AAAAAHrf7Ic=")</f>
        <v>#REF!</v>
      </c>
      <c r="EG222" t="e">
        <f>AND(#REF!,"AAAAAHrf7Ig=")</f>
        <v>#REF!</v>
      </c>
      <c r="EH222" t="e">
        <f>AND(#REF!,"AAAAAHrf7Ik=")</f>
        <v>#REF!</v>
      </c>
      <c r="EI222" t="e">
        <f>IF(#REF!,"AAAAAHrf7Io=",0)</f>
        <v>#REF!</v>
      </c>
      <c r="EJ222" t="e">
        <f>AND(#REF!,"AAAAAHrf7Is=")</f>
        <v>#REF!</v>
      </c>
      <c r="EK222" t="e">
        <f>AND(#REF!,"AAAAAHrf7Iw=")</f>
        <v>#REF!</v>
      </c>
      <c r="EL222" t="e">
        <f>AND(#REF!,"AAAAAHrf7I0=")</f>
        <v>#REF!</v>
      </c>
      <c r="EM222" t="e">
        <f>AND(#REF!,"AAAAAHrf7I4=")</f>
        <v>#REF!</v>
      </c>
      <c r="EN222" t="e">
        <f>AND(#REF!,"AAAAAHrf7I8=")</f>
        <v>#REF!</v>
      </c>
      <c r="EO222" t="e">
        <f>AND(#REF!,"AAAAAHrf7JA=")</f>
        <v>#REF!</v>
      </c>
      <c r="EP222" t="e">
        <f>AND(#REF!,"AAAAAHrf7JE=")</f>
        <v>#REF!</v>
      </c>
      <c r="EQ222" t="e">
        <f>AND(#REF!,"AAAAAHrf7JI=")</f>
        <v>#REF!</v>
      </c>
      <c r="ER222" t="e">
        <f>AND(#REF!,"AAAAAHrf7JM=")</f>
        <v>#REF!</v>
      </c>
      <c r="ES222" t="e">
        <f>AND(#REF!,"AAAAAHrf7JQ=")</f>
        <v>#REF!</v>
      </c>
      <c r="ET222" t="e">
        <f>AND(#REF!,"AAAAAHrf7JU=")</f>
        <v>#REF!</v>
      </c>
      <c r="EU222" t="e">
        <f>AND(#REF!,"AAAAAHrf7JY=")</f>
        <v>#REF!</v>
      </c>
      <c r="EV222" t="e">
        <f>AND(#REF!,"AAAAAHrf7Jc=")</f>
        <v>#REF!</v>
      </c>
      <c r="EW222" t="e">
        <f>AND(#REF!,"AAAAAHrf7Jg=")</f>
        <v>#REF!</v>
      </c>
      <c r="EX222" t="e">
        <f>AND(#REF!,"AAAAAHrf7Jk=")</f>
        <v>#REF!</v>
      </c>
      <c r="EY222" t="e">
        <f>AND(#REF!,"AAAAAHrf7Jo=")</f>
        <v>#REF!</v>
      </c>
      <c r="EZ222" t="e">
        <f>AND(#REF!,"AAAAAHrf7Js=")</f>
        <v>#REF!</v>
      </c>
      <c r="FA222" t="e">
        <f>AND(#REF!,"AAAAAHrf7Jw=")</f>
        <v>#REF!</v>
      </c>
      <c r="FB222" t="e">
        <f>AND(#REF!,"AAAAAHrf7J0=")</f>
        <v>#REF!</v>
      </c>
      <c r="FC222" t="e">
        <f>AND(#REF!,"AAAAAHrf7J4=")</f>
        <v>#REF!</v>
      </c>
      <c r="FD222" t="e">
        <f>AND(#REF!,"AAAAAHrf7J8=")</f>
        <v>#REF!</v>
      </c>
      <c r="FE222" t="e">
        <f>AND(#REF!,"AAAAAHrf7KA=")</f>
        <v>#REF!</v>
      </c>
      <c r="FF222" t="e">
        <f>AND(#REF!,"AAAAAHrf7KE=")</f>
        <v>#REF!</v>
      </c>
      <c r="FG222" t="e">
        <f>AND(#REF!,"AAAAAHrf7KI=")</f>
        <v>#REF!</v>
      </c>
      <c r="FH222" t="e">
        <f>AND(#REF!,"AAAAAHrf7KM=")</f>
        <v>#REF!</v>
      </c>
      <c r="FI222" t="e">
        <f>AND(#REF!,"AAAAAHrf7KQ=")</f>
        <v>#REF!</v>
      </c>
      <c r="FJ222" t="e">
        <f>AND(#REF!,"AAAAAHrf7KU=")</f>
        <v>#REF!</v>
      </c>
      <c r="FK222" t="e">
        <f>AND(#REF!,"AAAAAHrf7KY=")</f>
        <v>#REF!</v>
      </c>
      <c r="FL222" t="e">
        <f>AND(#REF!,"AAAAAHrf7Kc=")</f>
        <v>#REF!</v>
      </c>
      <c r="FM222" t="e">
        <f>AND(#REF!,"AAAAAHrf7Kg=")</f>
        <v>#REF!</v>
      </c>
      <c r="FN222" t="e">
        <f>AND(#REF!,"AAAAAHrf7Kk=")</f>
        <v>#REF!</v>
      </c>
      <c r="FO222" t="e">
        <f>AND(#REF!,"AAAAAHrf7Ko=")</f>
        <v>#REF!</v>
      </c>
      <c r="FP222" t="e">
        <f>AND(#REF!,"AAAAAHrf7Ks=")</f>
        <v>#REF!</v>
      </c>
      <c r="FQ222" t="e">
        <f>AND(#REF!,"AAAAAHrf7Kw=")</f>
        <v>#REF!</v>
      </c>
      <c r="FR222" t="e">
        <f>AND(#REF!,"AAAAAHrf7K0=")</f>
        <v>#REF!</v>
      </c>
      <c r="FS222" t="e">
        <f>AND(#REF!,"AAAAAHrf7K4=")</f>
        <v>#REF!</v>
      </c>
      <c r="FT222" t="e">
        <f>AND(#REF!,"AAAAAHrf7K8=")</f>
        <v>#REF!</v>
      </c>
      <c r="FU222" t="e">
        <f>AND(#REF!,"AAAAAHrf7LA=")</f>
        <v>#REF!</v>
      </c>
      <c r="FV222" t="e">
        <f>AND(#REF!,"AAAAAHrf7LE=")</f>
        <v>#REF!</v>
      </c>
      <c r="FW222" t="e">
        <f>AND(#REF!,"AAAAAHrf7LI=")</f>
        <v>#REF!</v>
      </c>
      <c r="FX222" t="e">
        <f>AND(#REF!,"AAAAAHrf7LM=")</f>
        <v>#REF!</v>
      </c>
      <c r="FY222" t="e">
        <f>AND(#REF!,"AAAAAHrf7LQ=")</f>
        <v>#REF!</v>
      </c>
      <c r="FZ222" t="e">
        <f>AND(#REF!,"AAAAAHrf7LU=")</f>
        <v>#REF!</v>
      </c>
      <c r="GA222" t="e">
        <f>AND(#REF!,"AAAAAHrf7LY=")</f>
        <v>#REF!</v>
      </c>
      <c r="GB222" t="e">
        <f>AND(#REF!,"AAAAAHrf7Lc=")</f>
        <v>#REF!</v>
      </c>
      <c r="GC222" t="e">
        <f>AND(#REF!,"AAAAAHrf7Lg=")</f>
        <v>#REF!</v>
      </c>
      <c r="GD222" t="e">
        <f>AND(#REF!,"AAAAAHrf7Lk=")</f>
        <v>#REF!</v>
      </c>
      <c r="GE222" t="e">
        <f>AND(#REF!,"AAAAAHrf7Lo=")</f>
        <v>#REF!</v>
      </c>
      <c r="GF222" t="e">
        <f>AND(#REF!,"AAAAAHrf7Ls=")</f>
        <v>#REF!</v>
      </c>
      <c r="GG222" t="e">
        <f>AND(#REF!,"AAAAAHrf7Lw=")</f>
        <v>#REF!</v>
      </c>
      <c r="GH222" t="e">
        <f>AND(#REF!,"AAAAAHrf7L0=")</f>
        <v>#REF!</v>
      </c>
      <c r="GI222" t="e">
        <f>AND(#REF!,"AAAAAHrf7L4=")</f>
        <v>#REF!</v>
      </c>
      <c r="GJ222" t="e">
        <f>AND(#REF!,"AAAAAHrf7L8=")</f>
        <v>#REF!</v>
      </c>
      <c r="GK222" t="e">
        <f>AND(#REF!,"AAAAAHrf7MA=")</f>
        <v>#REF!</v>
      </c>
      <c r="GL222" t="e">
        <f>AND(#REF!,"AAAAAHrf7ME=")</f>
        <v>#REF!</v>
      </c>
      <c r="GM222" t="e">
        <f>AND(#REF!,"AAAAAHrf7MI=")</f>
        <v>#REF!</v>
      </c>
      <c r="GN222" t="e">
        <f>AND(#REF!,"AAAAAHrf7MM=")</f>
        <v>#REF!</v>
      </c>
      <c r="GO222" t="e">
        <f>AND(#REF!,"AAAAAHrf7MQ=")</f>
        <v>#REF!</v>
      </c>
      <c r="GP222" t="e">
        <f>AND(#REF!,"AAAAAHrf7MU=")</f>
        <v>#REF!</v>
      </c>
      <c r="GQ222" t="e">
        <f>AND(#REF!,"AAAAAHrf7MY=")</f>
        <v>#REF!</v>
      </c>
      <c r="GR222" t="e">
        <f>AND(#REF!,"AAAAAHrf7Mc=")</f>
        <v>#REF!</v>
      </c>
      <c r="GS222" t="e">
        <f>AND(#REF!,"AAAAAHrf7Mg=")</f>
        <v>#REF!</v>
      </c>
      <c r="GT222" t="e">
        <f>AND(#REF!,"AAAAAHrf7Mk=")</f>
        <v>#REF!</v>
      </c>
      <c r="GU222" t="e">
        <f>AND(#REF!,"AAAAAHrf7Mo=")</f>
        <v>#REF!</v>
      </c>
      <c r="GV222" t="e">
        <f>AND(#REF!,"AAAAAHrf7Ms=")</f>
        <v>#REF!</v>
      </c>
      <c r="GW222" t="e">
        <f>AND(#REF!,"AAAAAHrf7Mw=")</f>
        <v>#REF!</v>
      </c>
      <c r="GX222" t="e">
        <f>AND(#REF!,"AAAAAHrf7M0=")</f>
        <v>#REF!</v>
      </c>
      <c r="GY222" t="e">
        <f>AND(#REF!,"AAAAAHrf7M4=")</f>
        <v>#REF!</v>
      </c>
      <c r="GZ222" t="e">
        <f>AND(#REF!,"AAAAAHrf7M8=")</f>
        <v>#REF!</v>
      </c>
      <c r="HA222" t="e">
        <f>AND(#REF!,"AAAAAHrf7NA=")</f>
        <v>#REF!</v>
      </c>
      <c r="HB222" t="e">
        <f>AND(#REF!,"AAAAAHrf7NE=")</f>
        <v>#REF!</v>
      </c>
      <c r="HC222" t="e">
        <f>AND(#REF!,"AAAAAHrf7NI=")</f>
        <v>#REF!</v>
      </c>
      <c r="HD222" t="e">
        <f>AND(#REF!,"AAAAAHrf7NM=")</f>
        <v>#REF!</v>
      </c>
      <c r="HE222" t="e">
        <f>AND(#REF!,"AAAAAHrf7NQ=")</f>
        <v>#REF!</v>
      </c>
      <c r="HF222" t="e">
        <f>AND(#REF!,"AAAAAHrf7NU=")</f>
        <v>#REF!</v>
      </c>
      <c r="HG222" t="e">
        <f>AND(#REF!,"AAAAAHrf7NY=")</f>
        <v>#REF!</v>
      </c>
      <c r="HH222" t="e">
        <f>AND(#REF!,"AAAAAHrf7Nc=")</f>
        <v>#REF!</v>
      </c>
      <c r="HI222" t="e">
        <f>AND(#REF!,"AAAAAHrf7Ng=")</f>
        <v>#REF!</v>
      </c>
      <c r="HJ222" t="e">
        <f>AND(#REF!,"AAAAAHrf7Nk=")</f>
        <v>#REF!</v>
      </c>
      <c r="HK222" t="e">
        <f>AND(#REF!,"AAAAAHrf7No=")</f>
        <v>#REF!</v>
      </c>
      <c r="HL222" t="e">
        <f>AND(#REF!,"AAAAAHrf7Ns=")</f>
        <v>#REF!</v>
      </c>
      <c r="HM222" t="e">
        <f>AND(#REF!,"AAAAAHrf7Nw=")</f>
        <v>#REF!</v>
      </c>
      <c r="HN222" t="e">
        <f>AND(#REF!,"AAAAAHrf7N0=")</f>
        <v>#REF!</v>
      </c>
      <c r="HO222" t="e">
        <f>AND(#REF!,"AAAAAHrf7N4=")</f>
        <v>#REF!</v>
      </c>
      <c r="HP222" t="e">
        <f>AND(#REF!,"AAAAAHrf7N8=")</f>
        <v>#REF!</v>
      </c>
      <c r="HQ222" t="e">
        <f>AND(#REF!,"AAAAAHrf7OA=")</f>
        <v>#REF!</v>
      </c>
      <c r="HR222" t="e">
        <f>AND(#REF!,"AAAAAHrf7OE=")</f>
        <v>#REF!</v>
      </c>
      <c r="HS222" t="e">
        <f>AND(#REF!,"AAAAAHrf7OI=")</f>
        <v>#REF!</v>
      </c>
      <c r="HT222" t="e">
        <f>AND(#REF!,"AAAAAHrf7OM=")</f>
        <v>#REF!</v>
      </c>
      <c r="HU222" t="e">
        <f>AND(#REF!,"AAAAAHrf7OQ=")</f>
        <v>#REF!</v>
      </c>
      <c r="HV222" t="e">
        <f>AND(#REF!,"AAAAAHrf7OU=")</f>
        <v>#REF!</v>
      </c>
      <c r="HW222" t="e">
        <f>AND(#REF!,"AAAAAHrf7OY=")</f>
        <v>#REF!</v>
      </c>
      <c r="HX222" t="e">
        <f>AND(#REF!,"AAAAAHrf7Oc=")</f>
        <v>#REF!</v>
      </c>
      <c r="HY222" t="e">
        <f>AND(#REF!,"AAAAAHrf7Og=")</f>
        <v>#REF!</v>
      </c>
      <c r="HZ222" t="e">
        <f>AND(#REF!,"AAAAAHrf7Ok=")</f>
        <v>#REF!</v>
      </c>
      <c r="IA222" t="e">
        <f>AND(#REF!,"AAAAAHrf7Oo=")</f>
        <v>#REF!</v>
      </c>
      <c r="IB222" t="e">
        <f>AND(#REF!,"AAAAAHrf7Os=")</f>
        <v>#REF!</v>
      </c>
      <c r="IC222" t="e">
        <f>AND(#REF!,"AAAAAHrf7Ow=")</f>
        <v>#REF!</v>
      </c>
      <c r="ID222" t="e">
        <f>AND(#REF!,"AAAAAHrf7O0=")</f>
        <v>#REF!</v>
      </c>
      <c r="IE222" t="e">
        <f>AND(#REF!,"AAAAAHrf7O4=")</f>
        <v>#REF!</v>
      </c>
      <c r="IF222" t="e">
        <f>AND(#REF!,"AAAAAHrf7O8=")</f>
        <v>#REF!</v>
      </c>
      <c r="IG222" t="e">
        <f>AND(#REF!,"AAAAAHrf7PA=")</f>
        <v>#REF!</v>
      </c>
      <c r="IH222" t="e">
        <f>AND(#REF!,"AAAAAHrf7PE=")</f>
        <v>#REF!</v>
      </c>
      <c r="II222" t="e">
        <f>AND(#REF!,"AAAAAHrf7PI=")</f>
        <v>#REF!</v>
      </c>
      <c r="IJ222" t="e">
        <f>AND(#REF!,"AAAAAHrf7PM=")</f>
        <v>#REF!</v>
      </c>
      <c r="IK222" t="e">
        <f>AND(#REF!,"AAAAAHrf7PQ=")</f>
        <v>#REF!</v>
      </c>
      <c r="IL222" t="e">
        <f>AND(#REF!,"AAAAAHrf7PU=")</f>
        <v>#REF!</v>
      </c>
      <c r="IM222" t="e">
        <f>AND(#REF!,"AAAAAHrf7PY=")</f>
        <v>#REF!</v>
      </c>
      <c r="IN222" t="e">
        <f>AND(#REF!,"AAAAAHrf7Pc=")</f>
        <v>#REF!</v>
      </c>
      <c r="IO222" t="e">
        <f>AND(#REF!,"AAAAAHrf7Pg=")</f>
        <v>#REF!</v>
      </c>
      <c r="IP222" t="e">
        <f>AND(#REF!,"AAAAAHrf7Pk=")</f>
        <v>#REF!</v>
      </c>
      <c r="IQ222" t="e">
        <f>AND(#REF!,"AAAAAHrf7Po=")</f>
        <v>#REF!</v>
      </c>
      <c r="IR222" t="e">
        <f>AND(#REF!,"AAAAAHrf7Ps=")</f>
        <v>#REF!</v>
      </c>
      <c r="IS222" t="e">
        <f>AND(#REF!,"AAAAAHrf7Pw=")</f>
        <v>#REF!</v>
      </c>
      <c r="IT222" t="e">
        <f>AND(#REF!,"AAAAAHrf7P0=")</f>
        <v>#REF!</v>
      </c>
      <c r="IU222" t="e">
        <f>AND(#REF!,"AAAAAHrf7P4=")</f>
        <v>#REF!</v>
      </c>
      <c r="IV222" t="e">
        <f>AND(#REF!,"AAAAAHrf7P8=")</f>
        <v>#REF!</v>
      </c>
    </row>
    <row r="223" spans="1:256">
      <c r="A223" t="e">
        <f>AND(#REF!,"AAAAAH/TvwA=")</f>
        <v>#REF!</v>
      </c>
      <c r="B223" t="e">
        <f>AND(#REF!,"AAAAAH/TvwE=")</f>
        <v>#REF!</v>
      </c>
      <c r="C223" t="e">
        <f>AND(#REF!,"AAAAAH/TvwI=")</f>
        <v>#REF!</v>
      </c>
      <c r="D223" t="e">
        <f>AND(#REF!,"AAAAAH/TvwM=")</f>
        <v>#REF!</v>
      </c>
      <c r="E223" t="e">
        <f>AND(#REF!,"AAAAAH/TvwQ=")</f>
        <v>#REF!</v>
      </c>
      <c r="F223" t="e">
        <f>AND(#REF!,"AAAAAH/TvwU=")</f>
        <v>#REF!</v>
      </c>
      <c r="G223" t="e">
        <f>AND(#REF!,"AAAAAH/TvwY=")</f>
        <v>#REF!</v>
      </c>
      <c r="H223" t="e">
        <f>AND(#REF!,"AAAAAH/Tvwc=")</f>
        <v>#REF!</v>
      </c>
      <c r="I223" t="e">
        <f>AND(#REF!,"AAAAAH/Tvwg=")</f>
        <v>#REF!</v>
      </c>
      <c r="J223" t="e">
        <f>AND(#REF!,"AAAAAH/Tvwk=")</f>
        <v>#REF!</v>
      </c>
      <c r="K223" t="e">
        <f>AND(#REF!,"AAAAAH/Tvwo=")</f>
        <v>#REF!</v>
      </c>
      <c r="L223" t="e">
        <f>AND(#REF!,"AAAAAH/Tvws=")</f>
        <v>#REF!</v>
      </c>
      <c r="M223" t="e">
        <f>AND(#REF!,"AAAAAH/Tvww=")</f>
        <v>#REF!</v>
      </c>
      <c r="N223" t="e">
        <f>AND(#REF!,"AAAAAH/Tvw0=")</f>
        <v>#REF!</v>
      </c>
      <c r="O223" t="e">
        <f>AND(#REF!,"AAAAAH/Tvw4=")</f>
        <v>#REF!</v>
      </c>
      <c r="P223" t="e">
        <f>AND(#REF!,"AAAAAH/Tvw8=")</f>
        <v>#REF!</v>
      </c>
      <c r="Q223" t="e">
        <f>AND(#REF!,"AAAAAH/TvxA=")</f>
        <v>#REF!</v>
      </c>
      <c r="R223" t="e">
        <f>AND(#REF!,"AAAAAH/TvxE=")</f>
        <v>#REF!</v>
      </c>
      <c r="S223" t="e">
        <f>AND(#REF!,"AAAAAH/TvxI=")</f>
        <v>#REF!</v>
      </c>
      <c r="T223" t="e">
        <f>AND(#REF!,"AAAAAH/TvxM=")</f>
        <v>#REF!</v>
      </c>
      <c r="U223" t="e">
        <f>AND(#REF!,"AAAAAH/TvxQ=")</f>
        <v>#REF!</v>
      </c>
      <c r="V223" t="e">
        <f>AND(#REF!,"AAAAAH/TvxU=")</f>
        <v>#REF!</v>
      </c>
      <c r="W223" t="e">
        <f>AND(#REF!,"AAAAAH/TvxY=")</f>
        <v>#REF!</v>
      </c>
      <c r="X223" t="e">
        <f>AND(#REF!,"AAAAAH/Tvxc=")</f>
        <v>#REF!</v>
      </c>
      <c r="Y223" t="e">
        <f>AND(#REF!,"AAAAAH/Tvxg=")</f>
        <v>#REF!</v>
      </c>
      <c r="Z223" t="e">
        <f>AND(#REF!,"AAAAAH/Tvxk=")</f>
        <v>#REF!</v>
      </c>
      <c r="AA223" t="e">
        <f>AND(#REF!,"AAAAAH/Tvxo=")</f>
        <v>#REF!</v>
      </c>
      <c r="AB223" t="e">
        <f>AND(#REF!,"AAAAAH/Tvxs=")</f>
        <v>#REF!</v>
      </c>
      <c r="AC223" t="e">
        <f>AND(#REF!,"AAAAAH/Tvxw=")</f>
        <v>#REF!</v>
      </c>
      <c r="AD223" t="e">
        <f>AND(#REF!,"AAAAAH/Tvx0=")</f>
        <v>#REF!</v>
      </c>
      <c r="AE223" t="e">
        <f>AND(#REF!,"AAAAAH/Tvx4=")</f>
        <v>#REF!</v>
      </c>
      <c r="AF223" t="e">
        <f>AND(#REF!,"AAAAAH/Tvx8=")</f>
        <v>#REF!</v>
      </c>
      <c r="AG223" t="e">
        <f>AND(#REF!,"AAAAAH/TvyA=")</f>
        <v>#REF!</v>
      </c>
      <c r="AH223" t="e">
        <f>AND(#REF!,"AAAAAH/TvyE=")</f>
        <v>#REF!</v>
      </c>
      <c r="AI223" t="e">
        <f>AND(#REF!,"AAAAAH/TvyI=")</f>
        <v>#REF!</v>
      </c>
      <c r="AJ223" t="e">
        <f>AND(#REF!,"AAAAAH/TvyM=")</f>
        <v>#REF!</v>
      </c>
      <c r="AK223" t="e">
        <f>AND(#REF!,"AAAAAH/TvyQ=")</f>
        <v>#REF!</v>
      </c>
      <c r="AL223" t="e">
        <f>AND(#REF!,"AAAAAH/TvyU=")</f>
        <v>#REF!</v>
      </c>
      <c r="AM223" t="e">
        <f>AND(#REF!,"AAAAAH/TvyY=")</f>
        <v>#REF!</v>
      </c>
      <c r="AN223" t="e">
        <f>AND(#REF!,"AAAAAH/Tvyc=")</f>
        <v>#REF!</v>
      </c>
      <c r="AO223" t="e">
        <f>AND(#REF!,"AAAAAH/Tvyg=")</f>
        <v>#REF!</v>
      </c>
      <c r="AP223" t="e">
        <f>AND(#REF!,"AAAAAH/Tvyk=")</f>
        <v>#REF!</v>
      </c>
      <c r="AQ223" t="e">
        <f>AND(#REF!,"AAAAAH/Tvyo=")</f>
        <v>#REF!</v>
      </c>
      <c r="AR223" t="e">
        <f>AND(#REF!,"AAAAAH/Tvys=")</f>
        <v>#REF!</v>
      </c>
      <c r="AS223" t="e">
        <f>AND(#REF!,"AAAAAH/Tvyw=")</f>
        <v>#REF!</v>
      </c>
      <c r="AT223" t="e">
        <f>AND(#REF!,"AAAAAH/Tvy0=")</f>
        <v>#REF!</v>
      </c>
      <c r="AU223" t="e">
        <f>AND(#REF!,"AAAAAH/Tvy4=")</f>
        <v>#REF!</v>
      </c>
      <c r="AV223" t="e">
        <f>AND(#REF!,"AAAAAH/Tvy8=")</f>
        <v>#REF!</v>
      </c>
      <c r="AW223" t="e">
        <f>AND(#REF!,"AAAAAH/TvzA=")</f>
        <v>#REF!</v>
      </c>
      <c r="AX223" t="e">
        <f>AND(#REF!,"AAAAAH/TvzE=")</f>
        <v>#REF!</v>
      </c>
      <c r="AY223" t="e">
        <f>AND(#REF!,"AAAAAH/TvzI=")</f>
        <v>#REF!</v>
      </c>
      <c r="AZ223" t="e">
        <f>AND(#REF!,"AAAAAH/TvzM=")</f>
        <v>#REF!</v>
      </c>
      <c r="BA223" t="e">
        <f>AND(#REF!,"AAAAAH/TvzQ=")</f>
        <v>#REF!</v>
      </c>
      <c r="BB223" t="e">
        <f>AND(#REF!,"AAAAAH/TvzU=")</f>
        <v>#REF!</v>
      </c>
      <c r="BC223" t="e">
        <f>AND(#REF!,"AAAAAH/TvzY=")</f>
        <v>#REF!</v>
      </c>
      <c r="BD223" t="e">
        <f>AND(#REF!,"AAAAAH/Tvzc=")</f>
        <v>#REF!</v>
      </c>
      <c r="BE223" t="e">
        <f>AND(#REF!,"AAAAAH/Tvzg=")</f>
        <v>#REF!</v>
      </c>
      <c r="BF223" t="e">
        <f>AND(#REF!,"AAAAAH/Tvzk=")</f>
        <v>#REF!</v>
      </c>
      <c r="BG223" t="e">
        <f>AND(#REF!,"AAAAAH/Tvzo=")</f>
        <v>#REF!</v>
      </c>
      <c r="BH223" t="e">
        <f>AND(#REF!,"AAAAAH/Tvzs=")</f>
        <v>#REF!</v>
      </c>
      <c r="BI223" t="e">
        <f>AND(#REF!,"AAAAAH/Tvzw=")</f>
        <v>#REF!</v>
      </c>
      <c r="BJ223" t="e">
        <f>AND(#REF!,"AAAAAH/Tvz0=")</f>
        <v>#REF!</v>
      </c>
      <c r="BK223" t="e">
        <f>AND(#REF!,"AAAAAH/Tvz4=")</f>
        <v>#REF!</v>
      </c>
      <c r="BL223" t="e">
        <f>AND(#REF!,"AAAAAH/Tvz8=")</f>
        <v>#REF!</v>
      </c>
      <c r="BM223" t="e">
        <f>AND(#REF!,"AAAAAH/Tv0A=")</f>
        <v>#REF!</v>
      </c>
      <c r="BN223" t="e">
        <f>AND(#REF!,"AAAAAH/Tv0E=")</f>
        <v>#REF!</v>
      </c>
      <c r="BO223" t="e">
        <f>AND(#REF!,"AAAAAH/Tv0I=")</f>
        <v>#REF!</v>
      </c>
      <c r="BP223" t="e">
        <f>AND(#REF!,"AAAAAH/Tv0M=")</f>
        <v>#REF!</v>
      </c>
      <c r="BQ223" t="e">
        <f>AND(#REF!,"AAAAAH/Tv0Q=")</f>
        <v>#REF!</v>
      </c>
      <c r="BR223" t="e">
        <f>AND(#REF!,"AAAAAH/Tv0U=")</f>
        <v>#REF!</v>
      </c>
      <c r="BS223" t="e">
        <f>AND(#REF!,"AAAAAH/Tv0Y=")</f>
        <v>#REF!</v>
      </c>
      <c r="BT223" t="e">
        <f>AND(#REF!,"AAAAAH/Tv0c=")</f>
        <v>#REF!</v>
      </c>
      <c r="BU223" t="e">
        <f>AND(#REF!,"AAAAAH/Tv0g=")</f>
        <v>#REF!</v>
      </c>
      <c r="BV223" t="e">
        <f>AND(#REF!,"AAAAAH/Tv0k=")</f>
        <v>#REF!</v>
      </c>
      <c r="BW223" t="e">
        <f>AND(#REF!,"AAAAAH/Tv0o=")</f>
        <v>#REF!</v>
      </c>
      <c r="BX223" t="e">
        <f>AND(#REF!,"AAAAAH/Tv0s=")</f>
        <v>#REF!</v>
      </c>
      <c r="BY223" t="e">
        <f>AND(#REF!,"AAAAAH/Tv0w=")</f>
        <v>#REF!</v>
      </c>
      <c r="BZ223" t="e">
        <f>AND(#REF!,"AAAAAH/Tv00=")</f>
        <v>#REF!</v>
      </c>
      <c r="CA223" t="e">
        <f>AND(#REF!,"AAAAAH/Tv04=")</f>
        <v>#REF!</v>
      </c>
      <c r="CB223" t="e">
        <f>AND(#REF!,"AAAAAH/Tv08=")</f>
        <v>#REF!</v>
      </c>
      <c r="CC223" t="e">
        <f>AND(#REF!,"AAAAAH/Tv1A=")</f>
        <v>#REF!</v>
      </c>
      <c r="CD223" t="e">
        <f>AND(#REF!,"AAAAAH/Tv1E=")</f>
        <v>#REF!</v>
      </c>
      <c r="CE223" t="e">
        <f>AND(#REF!,"AAAAAH/Tv1I=")</f>
        <v>#REF!</v>
      </c>
      <c r="CF223" t="e">
        <f>AND(#REF!,"AAAAAH/Tv1M=")</f>
        <v>#REF!</v>
      </c>
      <c r="CG223" t="e">
        <f>AND(#REF!,"AAAAAH/Tv1Q=")</f>
        <v>#REF!</v>
      </c>
      <c r="CH223" t="e">
        <f>AND(#REF!,"AAAAAH/Tv1U=")</f>
        <v>#REF!</v>
      </c>
      <c r="CI223" t="e">
        <f>AND(#REF!,"AAAAAH/Tv1Y=")</f>
        <v>#REF!</v>
      </c>
      <c r="CJ223" t="e">
        <f>AND(#REF!,"AAAAAH/Tv1c=")</f>
        <v>#REF!</v>
      </c>
      <c r="CK223" t="e">
        <f>AND(#REF!,"AAAAAH/Tv1g=")</f>
        <v>#REF!</v>
      </c>
      <c r="CL223" t="e">
        <f>AND(#REF!,"AAAAAH/Tv1k=")</f>
        <v>#REF!</v>
      </c>
      <c r="CM223" t="e">
        <f>AND(#REF!,"AAAAAH/Tv1o=")</f>
        <v>#REF!</v>
      </c>
      <c r="CN223" t="e">
        <f>AND(#REF!,"AAAAAH/Tv1s=")</f>
        <v>#REF!</v>
      </c>
      <c r="CO223" t="e">
        <f>AND(#REF!,"AAAAAH/Tv1w=")</f>
        <v>#REF!</v>
      </c>
      <c r="CP223" t="e">
        <f>AND(#REF!,"AAAAAH/Tv10=")</f>
        <v>#REF!</v>
      </c>
      <c r="CQ223" t="e">
        <f>AND(#REF!,"AAAAAH/Tv14=")</f>
        <v>#REF!</v>
      </c>
      <c r="CR223" t="e">
        <f>AND(#REF!,"AAAAAH/Tv18=")</f>
        <v>#REF!</v>
      </c>
      <c r="CS223" t="e">
        <f>AND(#REF!,"AAAAAH/Tv2A=")</f>
        <v>#REF!</v>
      </c>
      <c r="CT223" t="e">
        <f>AND(#REF!,"AAAAAH/Tv2E=")</f>
        <v>#REF!</v>
      </c>
      <c r="CU223" t="e">
        <f>AND(#REF!,"AAAAAH/Tv2I=")</f>
        <v>#REF!</v>
      </c>
      <c r="CV223" t="e">
        <f>AND(#REF!,"AAAAAH/Tv2M=")</f>
        <v>#REF!</v>
      </c>
      <c r="CW223" t="e">
        <f>AND(#REF!,"AAAAAH/Tv2Q=")</f>
        <v>#REF!</v>
      </c>
      <c r="CX223" t="e">
        <f>AND(#REF!,"AAAAAH/Tv2U=")</f>
        <v>#REF!</v>
      </c>
      <c r="CY223" t="e">
        <f>AND(#REF!,"AAAAAH/Tv2Y=")</f>
        <v>#REF!</v>
      </c>
      <c r="CZ223" t="e">
        <f>AND(#REF!,"AAAAAH/Tv2c=")</f>
        <v>#REF!</v>
      </c>
      <c r="DA223" t="e">
        <f>AND(#REF!,"AAAAAH/Tv2g=")</f>
        <v>#REF!</v>
      </c>
      <c r="DB223" t="e">
        <f>AND(#REF!,"AAAAAH/Tv2k=")</f>
        <v>#REF!</v>
      </c>
      <c r="DC223" t="e">
        <f>AND(#REF!,"AAAAAH/Tv2o=")</f>
        <v>#REF!</v>
      </c>
      <c r="DD223" t="e">
        <f>AND(#REF!,"AAAAAH/Tv2s=")</f>
        <v>#REF!</v>
      </c>
      <c r="DE223" t="e">
        <f>AND(#REF!,"AAAAAH/Tv2w=")</f>
        <v>#REF!</v>
      </c>
      <c r="DF223" t="e">
        <f>AND(#REF!,"AAAAAH/Tv20=")</f>
        <v>#REF!</v>
      </c>
      <c r="DG223" t="e">
        <f>IF(#REF!,"AAAAAH/Tv24=",0)</f>
        <v>#REF!</v>
      </c>
      <c r="DH223" t="e">
        <f>AND(#REF!,"AAAAAH/Tv28=")</f>
        <v>#REF!</v>
      </c>
      <c r="DI223" t="e">
        <f>AND(#REF!,"AAAAAH/Tv3A=")</f>
        <v>#REF!</v>
      </c>
      <c r="DJ223" t="e">
        <f>AND(#REF!,"AAAAAH/Tv3E=")</f>
        <v>#REF!</v>
      </c>
      <c r="DK223" t="e">
        <f>AND(#REF!,"AAAAAH/Tv3I=")</f>
        <v>#REF!</v>
      </c>
      <c r="DL223" t="e">
        <f>AND(#REF!,"AAAAAH/Tv3M=")</f>
        <v>#REF!</v>
      </c>
      <c r="DM223" t="e">
        <f>AND(#REF!,"AAAAAH/Tv3Q=")</f>
        <v>#REF!</v>
      </c>
      <c r="DN223" t="e">
        <f>AND(#REF!,"AAAAAH/Tv3U=")</f>
        <v>#REF!</v>
      </c>
      <c r="DO223" t="e">
        <f>AND(#REF!,"AAAAAH/Tv3Y=")</f>
        <v>#REF!</v>
      </c>
      <c r="DP223" t="e">
        <f>AND(#REF!,"AAAAAH/Tv3c=")</f>
        <v>#REF!</v>
      </c>
      <c r="DQ223" t="e">
        <f>AND(#REF!,"AAAAAH/Tv3g=")</f>
        <v>#REF!</v>
      </c>
      <c r="DR223" t="e">
        <f>AND(#REF!,"AAAAAH/Tv3k=")</f>
        <v>#REF!</v>
      </c>
      <c r="DS223" t="e">
        <f>AND(#REF!,"AAAAAH/Tv3o=")</f>
        <v>#REF!</v>
      </c>
      <c r="DT223" t="e">
        <f>AND(#REF!,"AAAAAH/Tv3s=")</f>
        <v>#REF!</v>
      </c>
      <c r="DU223" t="e">
        <f>AND(#REF!,"AAAAAH/Tv3w=")</f>
        <v>#REF!</v>
      </c>
      <c r="DV223" t="e">
        <f>AND(#REF!,"AAAAAH/Tv30=")</f>
        <v>#REF!</v>
      </c>
      <c r="DW223" t="e">
        <f>AND(#REF!,"AAAAAH/Tv34=")</f>
        <v>#REF!</v>
      </c>
      <c r="DX223" t="e">
        <f>AND(#REF!,"AAAAAH/Tv38=")</f>
        <v>#REF!</v>
      </c>
      <c r="DY223" t="e">
        <f>AND(#REF!,"AAAAAH/Tv4A=")</f>
        <v>#REF!</v>
      </c>
      <c r="DZ223" t="e">
        <f>AND(#REF!,"AAAAAH/Tv4E=")</f>
        <v>#REF!</v>
      </c>
      <c r="EA223" t="e">
        <f>AND(#REF!,"AAAAAH/Tv4I=")</f>
        <v>#REF!</v>
      </c>
      <c r="EB223" t="e">
        <f>AND(#REF!,"AAAAAH/Tv4M=")</f>
        <v>#REF!</v>
      </c>
      <c r="EC223" t="e">
        <f>AND(#REF!,"AAAAAH/Tv4Q=")</f>
        <v>#REF!</v>
      </c>
      <c r="ED223" t="e">
        <f>AND(#REF!,"AAAAAH/Tv4U=")</f>
        <v>#REF!</v>
      </c>
      <c r="EE223" t="e">
        <f>AND(#REF!,"AAAAAH/Tv4Y=")</f>
        <v>#REF!</v>
      </c>
      <c r="EF223" t="e">
        <f>AND(#REF!,"AAAAAH/Tv4c=")</f>
        <v>#REF!</v>
      </c>
      <c r="EG223" t="e">
        <f>AND(#REF!,"AAAAAH/Tv4g=")</f>
        <v>#REF!</v>
      </c>
      <c r="EH223" t="e">
        <f>AND(#REF!,"AAAAAH/Tv4k=")</f>
        <v>#REF!</v>
      </c>
      <c r="EI223" t="e">
        <f>AND(#REF!,"AAAAAH/Tv4o=")</f>
        <v>#REF!</v>
      </c>
      <c r="EJ223" t="e">
        <f>AND(#REF!,"AAAAAH/Tv4s=")</f>
        <v>#REF!</v>
      </c>
      <c r="EK223" t="e">
        <f>AND(#REF!,"AAAAAH/Tv4w=")</f>
        <v>#REF!</v>
      </c>
      <c r="EL223" t="e">
        <f>AND(#REF!,"AAAAAH/Tv40=")</f>
        <v>#REF!</v>
      </c>
      <c r="EM223" t="e">
        <f>AND(#REF!,"AAAAAH/Tv44=")</f>
        <v>#REF!</v>
      </c>
      <c r="EN223" t="e">
        <f>AND(#REF!,"AAAAAH/Tv48=")</f>
        <v>#REF!</v>
      </c>
      <c r="EO223" t="e">
        <f>AND(#REF!,"AAAAAH/Tv5A=")</f>
        <v>#REF!</v>
      </c>
      <c r="EP223" t="e">
        <f>AND(#REF!,"AAAAAH/Tv5E=")</f>
        <v>#REF!</v>
      </c>
      <c r="EQ223" t="e">
        <f>AND(#REF!,"AAAAAH/Tv5I=")</f>
        <v>#REF!</v>
      </c>
      <c r="ER223" t="e">
        <f>AND(#REF!,"AAAAAH/Tv5M=")</f>
        <v>#REF!</v>
      </c>
      <c r="ES223" t="e">
        <f>AND(#REF!,"AAAAAH/Tv5Q=")</f>
        <v>#REF!</v>
      </c>
      <c r="ET223" t="e">
        <f>AND(#REF!,"AAAAAH/Tv5U=")</f>
        <v>#REF!</v>
      </c>
      <c r="EU223" t="e">
        <f>AND(#REF!,"AAAAAH/Tv5Y=")</f>
        <v>#REF!</v>
      </c>
      <c r="EV223" t="e">
        <f>AND(#REF!,"AAAAAH/Tv5c=")</f>
        <v>#REF!</v>
      </c>
      <c r="EW223" t="e">
        <f>AND(#REF!,"AAAAAH/Tv5g=")</f>
        <v>#REF!</v>
      </c>
      <c r="EX223" t="e">
        <f>AND(#REF!,"AAAAAH/Tv5k=")</f>
        <v>#REF!</v>
      </c>
      <c r="EY223" t="e">
        <f>AND(#REF!,"AAAAAH/Tv5o=")</f>
        <v>#REF!</v>
      </c>
      <c r="EZ223" t="e">
        <f>AND(#REF!,"AAAAAH/Tv5s=")</f>
        <v>#REF!</v>
      </c>
      <c r="FA223" t="e">
        <f>AND(#REF!,"AAAAAH/Tv5w=")</f>
        <v>#REF!</v>
      </c>
      <c r="FB223" t="e">
        <f>AND(#REF!,"AAAAAH/Tv50=")</f>
        <v>#REF!</v>
      </c>
      <c r="FC223" t="e">
        <f>AND(#REF!,"AAAAAH/Tv54=")</f>
        <v>#REF!</v>
      </c>
      <c r="FD223" t="e">
        <f>AND(#REF!,"AAAAAH/Tv58=")</f>
        <v>#REF!</v>
      </c>
      <c r="FE223" t="e">
        <f>AND(#REF!,"AAAAAH/Tv6A=")</f>
        <v>#REF!</v>
      </c>
      <c r="FF223" t="e">
        <f>AND(#REF!,"AAAAAH/Tv6E=")</f>
        <v>#REF!</v>
      </c>
      <c r="FG223" t="e">
        <f>AND(#REF!,"AAAAAH/Tv6I=")</f>
        <v>#REF!</v>
      </c>
      <c r="FH223" t="e">
        <f>AND(#REF!,"AAAAAH/Tv6M=")</f>
        <v>#REF!</v>
      </c>
      <c r="FI223" t="e">
        <f>AND(#REF!,"AAAAAH/Tv6Q=")</f>
        <v>#REF!</v>
      </c>
      <c r="FJ223" t="e">
        <f>AND(#REF!,"AAAAAH/Tv6U=")</f>
        <v>#REF!</v>
      </c>
      <c r="FK223" t="e">
        <f>AND(#REF!,"AAAAAH/Tv6Y=")</f>
        <v>#REF!</v>
      </c>
      <c r="FL223" t="e">
        <f>AND(#REF!,"AAAAAH/Tv6c=")</f>
        <v>#REF!</v>
      </c>
      <c r="FM223" t="e">
        <f>AND(#REF!,"AAAAAH/Tv6g=")</f>
        <v>#REF!</v>
      </c>
      <c r="FN223" t="e">
        <f>AND(#REF!,"AAAAAH/Tv6k=")</f>
        <v>#REF!</v>
      </c>
      <c r="FO223" t="e">
        <f>AND(#REF!,"AAAAAH/Tv6o=")</f>
        <v>#REF!</v>
      </c>
      <c r="FP223" t="e">
        <f>AND(#REF!,"AAAAAH/Tv6s=")</f>
        <v>#REF!</v>
      </c>
      <c r="FQ223" t="e">
        <f>AND(#REF!,"AAAAAH/Tv6w=")</f>
        <v>#REF!</v>
      </c>
      <c r="FR223" t="e">
        <f>AND(#REF!,"AAAAAH/Tv60=")</f>
        <v>#REF!</v>
      </c>
      <c r="FS223" t="e">
        <f>AND(#REF!,"AAAAAH/Tv64=")</f>
        <v>#REF!</v>
      </c>
      <c r="FT223" t="e">
        <f>AND(#REF!,"AAAAAH/Tv68=")</f>
        <v>#REF!</v>
      </c>
      <c r="FU223" t="e">
        <f>AND(#REF!,"AAAAAH/Tv7A=")</f>
        <v>#REF!</v>
      </c>
      <c r="FV223" t="e">
        <f>AND(#REF!,"AAAAAH/Tv7E=")</f>
        <v>#REF!</v>
      </c>
      <c r="FW223" t="e">
        <f>AND(#REF!,"AAAAAH/Tv7I=")</f>
        <v>#REF!</v>
      </c>
      <c r="FX223" t="e">
        <f>AND(#REF!,"AAAAAH/Tv7M=")</f>
        <v>#REF!</v>
      </c>
      <c r="FY223" t="e">
        <f>AND(#REF!,"AAAAAH/Tv7Q=")</f>
        <v>#REF!</v>
      </c>
      <c r="FZ223" t="e">
        <f>AND(#REF!,"AAAAAH/Tv7U=")</f>
        <v>#REF!</v>
      </c>
      <c r="GA223" t="e">
        <f>AND(#REF!,"AAAAAH/Tv7Y=")</f>
        <v>#REF!</v>
      </c>
      <c r="GB223" t="e">
        <f>AND(#REF!,"AAAAAH/Tv7c=")</f>
        <v>#REF!</v>
      </c>
      <c r="GC223" t="e">
        <f>AND(#REF!,"AAAAAH/Tv7g=")</f>
        <v>#REF!</v>
      </c>
      <c r="GD223" t="e">
        <f>AND(#REF!,"AAAAAH/Tv7k=")</f>
        <v>#REF!</v>
      </c>
      <c r="GE223" t="e">
        <f>AND(#REF!,"AAAAAH/Tv7o=")</f>
        <v>#REF!</v>
      </c>
      <c r="GF223" t="e">
        <f>AND(#REF!,"AAAAAH/Tv7s=")</f>
        <v>#REF!</v>
      </c>
      <c r="GG223" t="e">
        <f>AND(#REF!,"AAAAAH/Tv7w=")</f>
        <v>#REF!</v>
      </c>
      <c r="GH223" t="e">
        <f>AND(#REF!,"AAAAAH/Tv70=")</f>
        <v>#REF!</v>
      </c>
      <c r="GI223" t="e">
        <f>AND(#REF!,"AAAAAH/Tv74=")</f>
        <v>#REF!</v>
      </c>
      <c r="GJ223" t="e">
        <f>AND(#REF!,"AAAAAH/Tv78=")</f>
        <v>#REF!</v>
      </c>
      <c r="GK223" t="e">
        <f>AND(#REF!,"AAAAAH/Tv8A=")</f>
        <v>#REF!</v>
      </c>
      <c r="GL223" t="e">
        <f>AND(#REF!,"AAAAAH/Tv8E=")</f>
        <v>#REF!</v>
      </c>
      <c r="GM223" t="e">
        <f>AND(#REF!,"AAAAAH/Tv8I=")</f>
        <v>#REF!</v>
      </c>
      <c r="GN223" t="e">
        <f>AND(#REF!,"AAAAAH/Tv8M=")</f>
        <v>#REF!</v>
      </c>
      <c r="GO223" t="e">
        <f>AND(#REF!,"AAAAAH/Tv8Q=")</f>
        <v>#REF!</v>
      </c>
      <c r="GP223" t="e">
        <f>AND(#REF!,"AAAAAH/Tv8U=")</f>
        <v>#REF!</v>
      </c>
      <c r="GQ223" t="e">
        <f>AND(#REF!,"AAAAAH/Tv8Y=")</f>
        <v>#REF!</v>
      </c>
      <c r="GR223" t="e">
        <f>AND(#REF!,"AAAAAH/Tv8c=")</f>
        <v>#REF!</v>
      </c>
      <c r="GS223" t="e">
        <f>AND(#REF!,"AAAAAH/Tv8g=")</f>
        <v>#REF!</v>
      </c>
      <c r="GT223" t="e">
        <f>AND(#REF!,"AAAAAH/Tv8k=")</f>
        <v>#REF!</v>
      </c>
      <c r="GU223" t="e">
        <f>AND(#REF!,"AAAAAH/Tv8o=")</f>
        <v>#REF!</v>
      </c>
      <c r="GV223" t="e">
        <f>AND(#REF!,"AAAAAH/Tv8s=")</f>
        <v>#REF!</v>
      </c>
      <c r="GW223" t="e">
        <f>AND(#REF!,"AAAAAH/Tv8w=")</f>
        <v>#REF!</v>
      </c>
      <c r="GX223" t="e">
        <f>AND(#REF!,"AAAAAH/Tv80=")</f>
        <v>#REF!</v>
      </c>
      <c r="GY223" t="e">
        <f>AND(#REF!,"AAAAAH/Tv84=")</f>
        <v>#REF!</v>
      </c>
      <c r="GZ223" t="e">
        <f>AND(#REF!,"AAAAAH/Tv88=")</f>
        <v>#REF!</v>
      </c>
      <c r="HA223" t="e">
        <f>AND(#REF!,"AAAAAH/Tv9A=")</f>
        <v>#REF!</v>
      </c>
      <c r="HB223" t="e">
        <f>AND(#REF!,"AAAAAH/Tv9E=")</f>
        <v>#REF!</v>
      </c>
      <c r="HC223" t="e">
        <f>AND(#REF!,"AAAAAH/Tv9I=")</f>
        <v>#REF!</v>
      </c>
      <c r="HD223" t="e">
        <f>AND(#REF!,"AAAAAH/Tv9M=")</f>
        <v>#REF!</v>
      </c>
      <c r="HE223" t="e">
        <f>AND(#REF!,"AAAAAH/Tv9Q=")</f>
        <v>#REF!</v>
      </c>
      <c r="HF223" t="e">
        <f>AND(#REF!,"AAAAAH/Tv9U=")</f>
        <v>#REF!</v>
      </c>
      <c r="HG223" t="e">
        <f>AND(#REF!,"AAAAAH/Tv9Y=")</f>
        <v>#REF!</v>
      </c>
      <c r="HH223" t="e">
        <f>AND(#REF!,"AAAAAH/Tv9c=")</f>
        <v>#REF!</v>
      </c>
      <c r="HI223" t="e">
        <f>AND(#REF!,"AAAAAH/Tv9g=")</f>
        <v>#REF!</v>
      </c>
      <c r="HJ223" t="e">
        <f>AND(#REF!,"AAAAAH/Tv9k=")</f>
        <v>#REF!</v>
      </c>
      <c r="HK223" t="e">
        <f>AND(#REF!,"AAAAAH/Tv9o=")</f>
        <v>#REF!</v>
      </c>
      <c r="HL223" t="e">
        <f>AND(#REF!,"AAAAAH/Tv9s=")</f>
        <v>#REF!</v>
      </c>
      <c r="HM223" t="e">
        <f>AND(#REF!,"AAAAAH/Tv9w=")</f>
        <v>#REF!</v>
      </c>
      <c r="HN223" t="e">
        <f>AND(#REF!,"AAAAAH/Tv90=")</f>
        <v>#REF!</v>
      </c>
      <c r="HO223" t="e">
        <f>AND(#REF!,"AAAAAH/Tv94=")</f>
        <v>#REF!</v>
      </c>
      <c r="HP223" t="e">
        <f>AND(#REF!,"AAAAAH/Tv98=")</f>
        <v>#REF!</v>
      </c>
      <c r="HQ223" t="e">
        <f>AND(#REF!,"AAAAAH/Tv+A=")</f>
        <v>#REF!</v>
      </c>
      <c r="HR223" t="e">
        <f>AND(#REF!,"AAAAAH/Tv+E=")</f>
        <v>#REF!</v>
      </c>
      <c r="HS223" t="e">
        <f>AND(#REF!,"AAAAAH/Tv+I=")</f>
        <v>#REF!</v>
      </c>
      <c r="HT223" t="e">
        <f>AND(#REF!,"AAAAAH/Tv+M=")</f>
        <v>#REF!</v>
      </c>
      <c r="HU223" t="e">
        <f>AND(#REF!,"AAAAAH/Tv+Q=")</f>
        <v>#REF!</v>
      </c>
      <c r="HV223" t="e">
        <f>AND(#REF!,"AAAAAH/Tv+U=")</f>
        <v>#REF!</v>
      </c>
      <c r="HW223" t="e">
        <f>AND(#REF!,"AAAAAH/Tv+Y=")</f>
        <v>#REF!</v>
      </c>
      <c r="HX223" t="e">
        <f>AND(#REF!,"AAAAAH/Tv+c=")</f>
        <v>#REF!</v>
      </c>
      <c r="HY223" t="e">
        <f>AND(#REF!,"AAAAAH/Tv+g=")</f>
        <v>#REF!</v>
      </c>
      <c r="HZ223" t="e">
        <f>AND(#REF!,"AAAAAH/Tv+k=")</f>
        <v>#REF!</v>
      </c>
      <c r="IA223" t="e">
        <f>AND(#REF!,"AAAAAH/Tv+o=")</f>
        <v>#REF!</v>
      </c>
      <c r="IB223" t="e">
        <f>AND(#REF!,"AAAAAH/Tv+s=")</f>
        <v>#REF!</v>
      </c>
      <c r="IC223" t="e">
        <f>AND(#REF!,"AAAAAH/Tv+w=")</f>
        <v>#REF!</v>
      </c>
      <c r="ID223" t="e">
        <f>AND(#REF!,"AAAAAH/Tv+0=")</f>
        <v>#REF!</v>
      </c>
      <c r="IE223" t="e">
        <f>AND(#REF!,"AAAAAH/Tv+4=")</f>
        <v>#REF!</v>
      </c>
      <c r="IF223" t="e">
        <f>AND(#REF!,"AAAAAH/Tv+8=")</f>
        <v>#REF!</v>
      </c>
      <c r="IG223" t="e">
        <f>AND(#REF!,"AAAAAH/Tv/A=")</f>
        <v>#REF!</v>
      </c>
      <c r="IH223" t="e">
        <f>AND(#REF!,"AAAAAH/Tv/E=")</f>
        <v>#REF!</v>
      </c>
      <c r="II223" t="e">
        <f>AND(#REF!,"AAAAAH/Tv/I=")</f>
        <v>#REF!</v>
      </c>
      <c r="IJ223" t="e">
        <f>AND(#REF!,"AAAAAH/Tv/M=")</f>
        <v>#REF!</v>
      </c>
      <c r="IK223" t="e">
        <f>AND(#REF!,"AAAAAH/Tv/Q=")</f>
        <v>#REF!</v>
      </c>
      <c r="IL223" t="e">
        <f>AND(#REF!,"AAAAAH/Tv/U=")</f>
        <v>#REF!</v>
      </c>
      <c r="IM223" t="e">
        <f>AND(#REF!,"AAAAAH/Tv/Y=")</f>
        <v>#REF!</v>
      </c>
      <c r="IN223" t="e">
        <f>AND(#REF!,"AAAAAH/Tv/c=")</f>
        <v>#REF!</v>
      </c>
      <c r="IO223" t="e">
        <f>AND(#REF!,"AAAAAH/Tv/g=")</f>
        <v>#REF!</v>
      </c>
      <c r="IP223" t="e">
        <f>AND(#REF!,"AAAAAH/Tv/k=")</f>
        <v>#REF!</v>
      </c>
      <c r="IQ223" t="e">
        <f>AND(#REF!,"AAAAAH/Tv/o=")</f>
        <v>#REF!</v>
      </c>
      <c r="IR223" t="e">
        <f>AND(#REF!,"AAAAAH/Tv/s=")</f>
        <v>#REF!</v>
      </c>
      <c r="IS223" t="e">
        <f>AND(#REF!,"AAAAAH/Tv/w=")</f>
        <v>#REF!</v>
      </c>
      <c r="IT223" t="e">
        <f>AND(#REF!,"AAAAAH/Tv/0=")</f>
        <v>#REF!</v>
      </c>
      <c r="IU223" t="e">
        <f>AND(#REF!,"AAAAAH/Tv/4=")</f>
        <v>#REF!</v>
      </c>
      <c r="IV223" t="e">
        <f>AND(#REF!,"AAAAAH/Tv/8=")</f>
        <v>#REF!</v>
      </c>
    </row>
    <row r="224" spans="1:256">
      <c r="A224" t="e">
        <f>AND(#REF!,"AAAAAHdf8QA=")</f>
        <v>#REF!</v>
      </c>
      <c r="B224" t="e">
        <f>AND(#REF!,"AAAAAHdf8QE=")</f>
        <v>#REF!</v>
      </c>
      <c r="C224" t="e">
        <f>AND(#REF!,"AAAAAHdf8QI=")</f>
        <v>#REF!</v>
      </c>
      <c r="D224" t="e">
        <f>AND(#REF!,"AAAAAHdf8QM=")</f>
        <v>#REF!</v>
      </c>
      <c r="E224" t="e">
        <f>AND(#REF!,"AAAAAHdf8QQ=")</f>
        <v>#REF!</v>
      </c>
      <c r="F224" t="e">
        <f>AND(#REF!,"AAAAAHdf8QU=")</f>
        <v>#REF!</v>
      </c>
      <c r="G224" t="e">
        <f>AND(#REF!,"AAAAAHdf8QY=")</f>
        <v>#REF!</v>
      </c>
      <c r="H224" t="e">
        <f>AND(#REF!,"AAAAAHdf8Qc=")</f>
        <v>#REF!</v>
      </c>
      <c r="I224" t="e">
        <f>AND(#REF!,"AAAAAHdf8Qg=")</f>
        <v>#REF!</v>
      </c>
      <c r="J224" t="e">
        <f>AND(#REF!,"AAAAAHdf8Qk=")</f>
        <v>#REF!</v>
      </c>
      <c r="K224" t="e">
        <f>AND(#REF!,"AAAAAHdf8Qo=")</f>
        <v>#REF!</v>
      </c>
      <c r="L224" t="e">
        <f>AND(#REF!,"AAAAAHdf8Qs=")</f>
        <v>#REF!</v>
      </c>
      <c r="M224" t="e">
        <f>AND(#REF!,"AAAAAHdf8Qw=")</f>
        <v>#REF!</v>
      </c>
      <c r="N224" t="e">
        <f>AND(#REF!,"AAAAAHdf8Q0=")</f>
        <v>#REF!</v>
      </c>
      <c r="O224" t="e">
        <f>AND(#REF!,"AAAAAHdf8Q4=")</f>
        <v>#REF!</v>
      </c>
      <c r="P224" t="e">
        <f>AND(#REF!,"AAAAAHdf8Q8=")</f>
        <v>#REF!</v>
      </c>
      <c r="Q224" t="e">
        <f>AND(#REF!,"AAAAAHdf8RA=")</f>
        <v>#REF!</v>
      </c>
      <c r="R224" t="e">
        <f>AND(#REF!,"AAAAAHdf8RE=")</f>
        <v>#REF!</v>
      </c>
      <c r="S224" t="e">
        <f>AND(#REF!,"AAAAAHdf8RI=")</f>
        <v>#REF!</v>
      </c>
      <c r="T224" t="e">
        <f>AND(#REF!,"AAAAAHdf8RM=")</f>
        <v>#REF!</v>
      </c>
      <c r="U224" t="e">
        <f>AND(#REF!,"AAAAAHdf8RQ=")</f>
        <v>#REF!</v>
      </c>
      <c r="V224" t="e">
        <f>AND(#REF!,"AAAAAHdf8RU=")</f>
        <v>#REF!</v>
      </c>
      <c r="W224" t="e">
        <f>AND(#REF!,"AAAAAHdf8RY=")</f>
        <v>#REF!</v>
      </c>
      <c r="X224" t="e">
        <f>AND(#REF!,"AAAAAHdf8Rc=")</f>
        <v>#REF!</v>
      </c>
      <c r="Y224" t="e">
        <f>AND(#REF!,"AAAAAHdf8Rg=")</f>
        <v>#REF!</v>
      </c>
      <c r="Z224" t="e">
        <f>AND(#REF!,"AAAAAHdf8Rk=")</f>
        <v>#REF!</v>
      </c>
      <c r="AA224" t="e">
        <f>AND(#REF!,"AAAAAHdf8Ro=")</f>
        <v>#REF!</v>
      </c>
      <c r="AB224" t="e">
        <f>AND(#REF!,"AAAAAHdf8Rs=")</f>
        <v>#REF!</v>
      </c>
      <c r="AC224" t="e">
        <f>AND(#REF!,"AAAAAHdf8Rw=")</f>
        <v>#REF!</v>
      </c>
      <c r="AD224" t="e">
        <f>AND(#REF!,"AAAAAHdf8R0=")</f>
        <v>#REF!</v>
      </c>
      <c r="AE224" t="e">
        <f>AND(#REF!,"AAAAAHdf8R4=")</f>
        <v>#REF!</v>
      </c>
      <c r="AF224" t="e">
        <f>AND(#REF!,"AAAAAHdf8R8=")</f>
        <v>#REF!</v>
      </c>
      <c r="AG224" t="e">
        <f>AND(#REF!,"AAAAAHdf8SA=")</f>
        <v>#REF!</v>
      </c>
      <c r="AH224" t="e">
        <f>AND(#REF!,"AAAAAHdf8SE=")</f>
        <v>#REF!</v>
      </c>
      <c r="AI224" t="e">
        <f>AND(#REF!,"AAAAAHdf8SI=")</f>
        <v>#REF!</v>
      </c>
      <c r="AJ224" t="e">
        <f>AND(#REF!,"AAAAAHdf8SM=")</f>
        <v>#REF!</v>
      </c>
      <c r="AK224" t="e">
        <f>AND(#REF!,"AAAAAHdf8SQ=")</f>
        <v>#REF!</v>
      </c>
      <c r="AL224" t="e">
        <f>AND(#REF!,"AAAAAHdf8SU=")</f>
        <v>#REF!</v>
      </c>
      <c r="AM224" t="e">
        <f>AND(#REF!,"AAAAAHdf8SY=")</f>
        <v>#REF!</v>
      </c>
      <c r="AN224" t="e">
        <f>AND(#REF!,"AAAAAHdf8Sc=")</f>
        <v>#REF!</v>
      </c>
      <c r="AO224" t="e">
        <f>AND(#REF!,"AAAAAHdf8Sg=")</f>
        <v>#REF!</v>
      </c>
      <c r="AP224" t="e">
        <f>AND(#REF!,"AAAAAHdf8Sk=")</f>
        <v>#REF!</v>
      </c>
      <c r="AQ224" t="e">
        <f>AND(#REF!,"AAAAAHdf8So=")</f>
        <v>#REF!</v>
      </c>
      <c r="AR224" t="e">
        <f>AND(#REF!,"AAAAAHdf8Ss=")</f>
        <v>#REF!</v>
      </c>
      <c r="AS224" t="e">
        <f>AND(#REF!,"AAAAAHdf8Sw=")</f>
        <v>#REF!</v>
      </c>
      <c r="AT224" t="e">
        <f>AND(#REF!,"AAAAAHdf8S0=")</f>
        <v>#REF!</v>
      </c>
      <c r="AU224" t="e">
        <f>AND(#REF!,"AAAAAHdf8S4=")</f>
        <v>#REF!</v>
      </c>
      <c r="AV224" t="e">
        <f>AND(#REF!,"AAAAAHdf8S8=")</f>
        <v>#REF!</v>
      </c>
      <c r="AW224" t="e">
        <f>AND(#REF!,"AAAAAHdf8TA=")</f>
        <v>#REF!</v>
      </c>
      <c r="AX224" t="e">
        <f>AND(#REF!,"AAAAAHdf8TE=")</f>
        <v>#REF!</v>
      </c>
      <c r="AY224" t="e">
        <f>AND(#REF!,"AAAAAHdf8TI=")</f>
        <v>#REF!</v>
      </c>
      <c r="AZ224" t="e">
        <f>AND(#REF!,"AAAAAHdf8TM=")</f>
        <v>#REF!</v>
      </c>
      <c r="BA224" t="e">
        <f>AND(#REF!,"AAAAAHdf8TQ=")</f>
        <v>#REF!</v>
      </c>
      <c r="BB224" t="e">
        <f>AND(#REF!,"AAAAAHdf8TU=")</f>
        <v>#REF!</v>
      </c>
      <c r="BC224" t="e">
        <f>AND(#REF!,"AAAAAHdf8TY=")</f>
        <v>#REF!</v>
      </c>
      <c r="BD224" t="e">
        <f>AND(#REF!,"AAAAAHdf8Tc=")</f>
        <v>#REF!</v>
      </c>
      <c r="BE224" t="e">
        <f>AND(#REF!,"AAAAAHdf8Tg=")</f>
        <v>#REF!</v>
      </c>
      <c r="BF224" t="e">
        <f>AND(#REF!,"AAAAAHdf8Tk=")</f>
        <v>#REF!</v>
      </c>
      <c r="BG224" t="e">
        <f>AND(#REF!,"AAAAAHdf8To=")</f>
        <v>#REF!</v>
      </c>
      <c r="BH224" t="e">
        <f>AND(#REF!,"AAAAAHdf8Ts=")</f>
        <v>#REF!</v>
      </c>
      <c r="BI224" t="e">
        <f>AND(#REF!,"AAAAAHdf8Tw=")</f>
        <v>#REF!</v>
      </c>
      <c r="BJ224" t="e">
        <f>AND(#REF!,"AAAAAHdf8T0=")</f>
        <v>#REF!</v>
      </c>
      <c r="BK224" t="e">
        <f>AND(#REF!,"AAAAAHdf8T4=")</f>
        <v>#REF!</v>
      </c>
      <c r="BL224" t="e">
        <f>AND(#REF!,"AAAAAHdf8T8=")</f>
        <v>#REF!</v>
      </c>
      <c r="BM224" t="e">
        <f>AND(#REF!,"AAAAAHdf8UA=")</f>
        <v>#REF!</v>
      </c>
      <c r="BN224" t="e">
        <f>AND(#REF!,"AAAAAHdf8UE=")</f>
        <v>#REF!</v>
      </c>
      <c r="BO224" t="e">
        <f>AND(#REF!,"AAAAAHdf8UI=")</f>
        <v>#REF!</v>
      </c>
      <c r="BP224" t="e">
        <f>AND(#REF!,"AAAAAHdf8UM=")</f>
        <v>#REF!</v>
      </c>
      <c r="BQ224" t="e">
        <f>AND(#REF!,"AAAAAHdf8UQ=")</f>
        <v>#REF!</v>
      </c>
      <c r="BR224" t="e">
        <f>AND(#REF!,"AAAAAHdf8UU=")</f>
        <v>#REF!</v>
      </c>
      <c r="BS224" t="e">
        <f>AND(#REF!,"AAAAAHdf8UY=")</f>
        <v>#REF!</v>
      </c>
      <c r="BT224" t="e">
        <f>AND(#REF!,"AAAAAHdf8Uc=")</f>
        <v>#REF!</v>
      </c>
      <c r="BU224" t="e">
        <f>AND(#REF!,"AAAAAHdf8Ug=")</f>
        <v>#REF!</v>
      </c>
      <c r="BV224" t="e">
        <f>AND(#REF!,"AAAAAHdf8Uk=")</f>
        <v>#REF!</v>
      </c>
      <c r="BW224" t="e">
        <f>AND(#REF!,"AAAAAHdf8Uo=")</f>
        <v>#REF!</v>
      </c>
      <c r="BX224" t="e">
        <f>AND(#REF!,"AAAAAHdf8Us=")</f>
        <v>#REF!</v>
      </c>
      <c r="BY224" t="e">
        <f>AND(#REF!,"AAAAAHdf8Uw=")</f>
        <v>#REF!</v>
      </c>
      <c r="BZ224" t="e">
        <f>AND(#REF!,"AAAAAHdf8U0=")</f>
        <v>#REF!</v>
      </c>
      <c r="CA224" t="e">
        <f>AND(#REF!,"AAAAAHdf8U4=")</f>
        <v>#REF!</v>
      </c>
      <c r="CB224" t="e">
        <f>AND(#REF!,"AAAAAHdf8U8=")</f>
        <v>#REF!</v>
      </c>
      <c r="CC224" t="e">
        <f>AND(#REF!,"AAAAAHdf8VA=")</f>
        <v>#REF!</v>
      </c>
      <c r="CD224" t="e">
        <f>AND(#REF!,"AAAAAHdf8VE=")</f>
        <v>#REF!</v>
      </c>
      <c r="CE224" t="e">
        <f>IF(#REF!,"AAAAAHdf8VI=",0)</f>
        <v>#REF!</v>
      </c>
      <c r="CF224" t="e">
        <f>AND(#REF!,"AAAAAHdf8VM=")</f>
        <v>#REF!</v>
      </c>
      <c r="CG224" t="e">
        <f>AND(#REF!,"AAAAAHdf8VQ=")</f>
        <v>#REF!</v>
      </c>
      <c r="CH224" t="e">
        <f>AND(#REF!,"AAAAAHdf8VU=")</f>
        <v>#REF!</v>
      </c>
      <c r="CI224" t="e">
        <f>AND(#REF!,"AAAAAHdf8VY=")</f>
        <v>#REF!</v>
      </c>
      <c r="CJ224" t="e">
        <f>AND(#REF!,"AAAAAHdf8Vc=")</f>
        <v>#REF!</v>
      </c>
      <c r="CK224" t="e">
        <f>AND(#REF!,"AAAAAHdf8Vg=")</f>
        <v>#REF!</v>
      </c>
      <c r="CL224" t="e">
        <f>AND(#REF!,"AAAAAHdf8Vk=")</f>
        <v>#REF!</v>
      </c>
      <c r="CM224" t="e">
        <f>AND(#REF!,"AAAAAHdf8Vo=")</f>
        <v>#REF!</v>
      </c>
      <c r="CN224" t="e">
        <f>AND(#REF!,"AAAAAHdf8Vs=")</f>
        <v>#REF!</v>
      </c>
      <c r="CO224" t="e">
        <f>AND(#REF!,"AAAAAHdf8Vw=")</f>
        <v>#REF!</v>
      </c>
      <c r="CP224" t="e">
        <f>AND(#REF!,"AAAAAHdf8V0=")</f>
        <v>#REF!</v>
      </c>
      <c r="CQ224" t="e">
        <f>AND(#REF!,"AAAAAHdf8V4=")</f>
        <v>#REF!</v>
      </c>
      <c r="CR224" t="e">
        <f>AND(#REF!,"AAAAAHdf8V8=")</f>
        <v>#REF!</v>
      </c>
      <c r="CS224" t="e">
        <f>AND(#REF!,"AAAAAHdf8WA=")</f>
        <v>#REF!</v>
      </c>
      <c r="CT224" t="e">
        <f>AND(#REF!,"AAAAAHdf8WE=")</f>
        <v>#REF!</v>
      </c>
      <c r="CU224" t="e">
        <f>AND(#REF!,"AAAAAHdf8WI=")</f>
        <v>#REF!</v>
      </c>
      <c r="CV224" t="e">
        <f>AND(#REF!,"AAAAAHdf8WM=")</f>
        <v>#REF!</v>
      </c>
      <c r="CW224" t="e">
        <f>AND(#REF!,"AAAAAHdf8WQ=")</f>
        <v>#REF!</v>
      </c>
      <c r="CX224" t="e">
        <f>AND(#REF!,"AAAAAHdf8WU=")</f>
        <v>#REF!</v>
      </c>
      <c r="CY224" t="e">
        <f>AND(#REF!,"AAAAAHdf8WY=")</f>
        <v>#REF!</v>
      </c>
      <c r="CZ224" t="e">
        <f>AND(#REF!,"AAAAAHdf8Wc=")</f>
        <v>#REF!</v>
      </c>
      <c r="DA224" t="e">
        <f>AND(#REF!,"AAAAAHdf8Wg=")</f>
        <v>#REF!</v>
      </c>
      <c r="DB224" t="e">
        <f>AND(#REF!,"AAAAAHdf8Wk=")</f>
        <v>#REF!</v>
      </c>
      <c r="DC224" t="e">
        <f>AND(#REF!,"AAAAAHdf8Wo=")</f>
        <v>#REF!</v>
      </c>
      <c r="DD224" t="e">
        <f>AND(#REF!,"AAAAAHdf8Ws=")</f>
        <v>#REF!</v>
      </c>
      <c r="DE224" t="e">
        <f>AND(#REF!,"AAAAAHdf8Ww=")</f>
        <v>#REF!</v>
      </c>
      <c r="DF224" t="e">
        <f>AND(#REF!,"AAAAAHdf8W0=")</f>
        <v>#REF!</v>
      </c>
      <c r="DG224" t="e">
        <f>AND(#REF!,"AAAAAHdf8W4=")</f>
        <v>#REF!</v>
      </c>
      <c r="DH224" t="e">
        <f>AND(#REF!,"AAAAAHdf8W8=")</f>
        <v>#REF!</v>
      </c>
      <c r="DI224" t="e">
        <f>AND(#REF!,"AAAAAHdf8XA=")</f>
        <v>#REF!</v>
      </c>
      <c r="DJ224" t="e">
        <f>AND(#REF!,"AAAAAHdf8XE=")</f>
        <v>#REF!</v>
      </c>
      <c r="DK224" t="e">
        <f>AND(#REF!,"AAAAAHdf8XI=")</f>
        <v>#REF!</v>
      </c>
      <c r="DL224" t="e">
        <f>AND(#REF!,"AAAAAHdf8XM=")</f>
        <v>#REF!</v>
      </c>
      <c r="DM224" t="e">
        <f>AND(#REF!,"AAAAAHdf8XQ=")</f>
        <v>#REF!</v>
      </c>
      <c r="DN224" t="e">
        <f>AND(#REF!,"AAAAAHdf8XU=")</f>
        <v>#REF!</v>
      </c>
      <c r="DO224" t="e">
        <f>AND(#REF!,"AAAAAHdf8XY=")</f>
        <v>#REF!</v>
      </c>
      <c r="DP224" t="e">
        <f>AND(#REF!,"AAAAAHdf8Xc=")</f>
        <v>#REF!</v>
      </c>
      <c r="DQ224" t="e">
        <f>AND(#REF!,"AAAAAHdf8Xg=")</f>
        <v>#REF!</v>
      </c>
      <c r="DR224" t="e">
        <f>AND(#REF!,"AAAAAHdf8Xk=")</f>
        <v>#REF!</v>
      </c>
      <c r="DS224" t="e">
        <f>AND(#REF!,"AAAAAHdf8Xo=")</f>
        <v>#REF!</v>
      </c>
      <c r="DT224" t="e">
        <f>AND(#REF!,"AAAAAHdf8Xs=")</f>
        <v>#REF!</v>
      </c>
      <c r="DU224" t="e">
        <f>AND(#REF!,"AAAAAHdf8Xw=")</f>
        <v>#REF!</v>
      </c>
      <c r="DV224" t="e">
        <f>AND(#REF!,"AAAAAHdf8X0=")</f>
        <v>#REF!</v>
      </c>
      <c r="DW224" t="e">
        <f>AND(#REF!,"AAAAAHdf8X4=")</f>
        <v>#REF!</v>
      </c>
      <c r="DX224" t="e">
        <f>AND(#REF!,"AAAAAHdf8X8=")</f>
        <v>#REF!</v>
      </c>
      <c r="DY224" t="e">
        <f>AND(#REF!,"AAAAAHdf8YA=")</f>
        <v>#REF!</v>
      </c>
      <c r="DZ224" t="e">
        <f>AND(#REF!,"AAAAAHdf8YE=")</f>
        <v>#REF!</v>
      </c>
      <c r="EA224" t="e">
        <f>AND(#REF!,"AAAAAHdf8YI=")</f>
        <v>#REF!</v>
      </c>
      <c r="EB224" t="e">
        <f>AND(#REF!,"AAAAAHdf8YM=")</f>
        <v>#REF!</v>
      </c>
      <c r="EC224" t="e">
        <f>AND(#REF!,"AAAAAHdf8YQ=")</f>
        <v>#REF!</v>
      </c>
      <c r="ED224" t="e">
        <f>AND(#REF!,"AAAAAHdf8YU=")</f>
        <v>#REF!</v>
      </c>
      <c r="EE224" t="e">
        <f>AND(#REF!,"AAAAAHdf8YY=")</f>
        <v>#REF!</v>
      </c>
      <c r="EF224" t="e">
        <f>AND(#REF!,"AAAAAHdf8Yc=")</f>
        <v>#REF!</v>
      </c>
      <c r="EG224" t="e">
        <f>AND(#REF!,"AAAAAHdf8Yg=")</f>
        <v>#REF!</v>
      </c>
      <c r="EH224" t="e">
        <f>AND(#REF!,"AAAAAHdf8Yk=")</f>
        <v>#REF!</v>
      </c>
      <c r="EI224" t="e">
        <f>AND(#REF!,"AAAAAHdf8Yo=")</f>
        <v>#REF!</v>
      </c>
      <c r="EJ224" t="e">
        <f>AND(#REF!,"AAAAAHdf8Ys=")</f>
        <v>#REF!</v>
      </c>
      <c r="EK224" t="e">
        <f>AND(#REF!,"AAAAAHdf8Yw=")</f>
        <v>#REF!</v>
      </c>
      <c r="EL224" t="e">
        <f>AND(#REF!,"AAAAAHdf8Y0=")</f>
        <v>#REF!</v>
      </c>
      <c r="EM224" t="e">
        <f>AND(#REF!,"AAAAAHdf8Y4=")</f>
        <v>#REF!</v>
      </c>
      <c r="EN224" t="e">
        <f>AND(#REF!,"AAAAAHdf8Y8=")</f>
        <v>#REF!</v>
      </c>
      <c r="EO224" t="e">
        <f>AND(#REF!,"AAAAAHdf8ZA=")</f>
        <v>#REF!</v>
      </c>
      <c r="EP224" t="e">
        <f>AND(#REF!,"AAAAAHdf8ZE=")</f>
        <v>#REF!</v>
      </c>
      <c r="EQ224" t="e">
        <f>AND(#REF!,"AAAAAHdf8ZI=")</f>
        <v>#REF!</v>
      </c>
      <c r="ER224" t="e">
        <f>AND(#REF!,"AAAAAHdf8ZM=")</f>
        <v>#REF!</v>
      </c>
      <c r="ES224" t="e">
        <f>AND(#REF!,"AAAAAHdf8ZQ=")</f>
        <v>#REF!</v>
      </c>
      <c r="ET224" t="e">
        <f>AND(#REF!,"AAAAAHdf8ZU=")</f>
        <v>#REF!</v>
      </c>
      <c r="EU224" t="e">
        <f>AND(#REF!,"AAAAAHdf8ZY=")</f>
        <v>#REF!</v>
      </c>
      <c r="EV224" t="e">
        <f>AND(#REF!,"AAAAAHdf8Zc=")</f>
        <v>#REF!</v>
      </c>
      <c r="EW224" t="e">
        <f>AND(#REF!,"AAAAAHdf8Zg=")</f>
        <v>#REF!</v>
      </c>
      <c r="EX224" t="e">
        <f>AND(#REF!,"AAAAAHdf8Zk=")</f>
        <v>#REF!</v>
      </c>
      <c r="EY224" t="e">
        <f>AND(#REF!,"AAAAAHdf8Zo=")</f>
        <v>#REF!</v>
      </c>
      <c r="EZ224" t="e">
        <f>AND(#REF!,"AAAAAHdf8Zs=")</f>
        <v>#REF!</v>
      </c>
      <c r="FA224" t="e">
        <f>AND(#REF!,"AAAAAHdf8Zw=")</f>
        <v>#REF!</v>
      </c>
      <c r="FB224" t="e">
        <f>AND(#REF!,"AAAAAHdf8Z0=")</f>
        <v>#REF!</v>
      </c>
      <c r="FC224" t="e">
        <f>AND(#REF!,"AAAAAHdf8Z4=")</f>
        <v>#REF!</v>
      </c>
      <c r="FD224" t="e">
        <f>AND(#REF!,"AAAAAHdf8Z8=")</f>
        <v>#REF!</v>
      </c>
      <c r="FE224" t="e">
        <f>AND(#REF!,"AAAAAHdf8aA=")</f>
        <v>#REF!</v>
      </c>
      <c r="FF224" t="e">
        <f>AND(#REF!,"AAAAAHdf8aE=")</f>
        <v>#REF!</v>
      </c>
      <c r="FG224" t="e">
        <f>AND(#REF!,"AAAAAHdf8aI=")</f>
        <v>#REF!</v>
      </c>
      <c r="FH224" t="e">
        <f>AND(#REF!,"AAAAAHdf8aM=")</f>
        <v>#REF!</v>
      </c>
      <c r="FI224" t="e">
        <f>AND(#REF!,"AAAAAHdf8aQ=")</f>
        <v>#REF!</v>
      </c>
      <c r="FJ224" t="e">
        <f>AND(#REF!,"AAAAAHdf8aU=")</f>
        <v>#REF!</v>
      </c>
      <c r="FK224" t="e">
        <f>AND(#REF!,"AAAAAHdf8aY=")</f>
        <v>#REF!</v>
      </c>
      <c r="FL224" t="e">
        <f>AND(#REF!,"AAAAAHdf8ac=")</f>
        <v>#REF!</v>
      </c>
      <c r="FM224" t="e">
        <f>AND(#REF!,"AAAAAHdf8ag=")</f>
        <v>#REF!</v>
      </c>
      <c r="FN224" t="e">
        <f>AND(#REF!,"AAAAAHdf8ak=")</f>
        <v>#REF!</v>
      </c>
      <c r="FO224" t="e">
        <f>AND(#REF!,"AAAAAHdf8ao=")</f>
        <v>#REF!</v>
      </c>
      <c r="FP224" t="e">
        <f>AND(#REF!,"AAAAAHdf8as=")</f>
        <v>#REF!</v>
      </c>
      <c r="FQ224" t="e">
        <f>AND(#REF!,"AAAAAHdf8aw=")</f>
        <v>#REF!</v>
      </c>
      <c r="FR224" t="e">
        <f>AND(#REF!,"AAAAAHdf8a0=")</f>
        <v>#REF!</v>
      </c>
      <c r="FS224" t="e">
        <f>AND(#REF!,"AAAAAHdf8a4=")</f>
        <v>#REF!</v>
      </c>
      <c r="FT224" t="e">
        <f>AND(#REF!,"AAAAAHdf8a8=")</f>
        <v>#REF!</v>
      </c>
      <c r="FU224" t="e">
        <f>AND(#REF!,"AAAAAHdf8bA=")</f>
        <v>#REF!</v>
      </c>
      <c r="FV224" t="e">
        <f>AND(#REF!,"AAAAAHdf8bE=")</f>
        <v>#REF!</v>
      </c>
      <c r="FW224" t="e">
        <f>AND(#REF!,"AAAAAHdf8bI=")</f>
        <v>#REF!</v>
      </c>
      <c r="FX224" t="e">
        <f>AND(#REF!,"AAAAAHdf8bM=")</f>
        <v>#REF!</v>
      </c>
      <c r="FY224" t="e">
        <f>AND(#REF!,"AAAAAHdf8bQ=")</f>
        <v>#REF!</v>
      </c>
      <c r="FZ224" t="e">
        <f>AND(#REF!,"AAAAAHdf8bU=")</f>
        <v>#REF!</v>
      </c>
      <c r="GA224" t="e">
        <f>AND(#REF!,"AAAAAHdf8bY=")</f>
        <v>#REF!</v>
      </c>
      <c r="GB224" t="e">
        <f>AND(#REF!,"AAAAAHdf8bc=")</f>
        <v>#REF!</v>
      </c>
      <c r="GC224" t="e">
        <f>AND(#REF!,"AAAAAHdf8bg=")</f>
        <v>#REF!</v>
      </c>
      <c r="GD224" t="e">
        <f>AND(#REF!,"AAAAAHdf8bk=")</f>
        <v>#REF!</v>
      </c>
      <c r="GE224" t="e">
        <f>AND(#REF!,"AAAAAHdf8bo=")</f>
        <v>#REF!</v>
      </c>
      <c r="GF224" t="e">
        <f>AND(#REF!,"AAAAAHdf8bs=")</f>
        <v>#REF!</v>
      </c>
      <c r="GG224" t="e">
        <f>AND(#REF!,"AAAAAHdf8bw=")</f>
        <v>#REF!</v>
      </c>
      <c r="GH224" t="e">
        <f>AND(#REF!,"AAAAAHdf8b0=")</f>
        <v>#REF!</v>
      </c>
      <c r="GI224" t="e">
        <f>AND(#REF!,"AAAAAHdf8b4=")</f>
        <v>#REF!</v>
      </c>
      <c r="GJ224" t="e">
        <f>AND(#REF!,"AAAAAHdf8b8=")</f>
        <v>#REF!</v>
      </c>
      <c r="GK224" t="e">
        <f>AND(#REF!,"AAAAAHdf8cA=")</f>
        <v>#REF!</v>
      </c>
      <c r="GL224" t="e">
        <f>AND(#REF!,"AAAAAHdf8cE=")</f>
        <v>#REF!</v>
      </c>
      <c r="GM224" t="e">
        <f>AND(#REF!,"AAAAAHdf8cI=")</f>
        <v>#REF!</v>
      </c>
      <c r="GN224" t="e">
        <f>AND(#REF!,"AAAAAHdf8cM=")</f>
        <v>#REF!</v>
      </c>
      <c r="GO224" t="e">
        <f>AND(#REF!,"AAAAAHdf8cQ=")</f>
        <v>#REF!</v>
      </c>
      <c r="GP224" t="e">
        <f>AND(#REF!,"AAAAAHdf8cU=")</f>
        <v>#REF!</v>
      </c>
      <c r="GQ224" t="e">
        <f>AND(#REF!,"AAAAAHdf8cY=")</f>
        <v>#REF!</v>
      </c>
      <c r="GR224" t="e">
        <f>AND(#REF!,"AAAAAHdf8cc=")</f>
        <v>#REF!</v>
      </c>
      <c r="GS224" t="e">
        <f>AND(#REF!,"AAAAAHdf8cg=")</f>
        <v>#REF!</v>
      </c>
      <c r="GT224" t="e">
        <f>AND(#REF!,"AAAAAHdf8ck=")</f>
        <v>#REF!</v>
      </c>
      <c r="GU224" t="e">
        <f>AND(#REF!,"AAAAAHdf8co=")</f>
        <v>#REF!</v>
      </c>
      <c r="GV224" t="e">
        <f>AND(#REF!,"AAAAAHdf8cs=")</f>
        <v>#REF!</v>
      </c>
      <c r="GW224" t="e">
        <f>AND(#REF!,"AAAAAHdf8cw=")</f>
        <v>#REF!</v>
      </c>
      <c r="GX224" t="e">
        <f>AND(#REF!,"AAAAAHdf8c0=")</f>
        <v>#REF!</v>
      </c>
      <c r="GY224" t="e">
        <f>AND(#REF!,"AAAAAHdf8c4=")</f>
        <v>#REF!</v>
      </c>
      <c r="GZ224" t="e">
        <f>AND(#REF!,"AAAAAHdf8c8=")</f>
        <v>#REF!</v>
      </c>
      <c r="HA224" t="e">
        <f>AND(#REF!,"AAAAAHdf8dA=")</f>
        <v>#REF!</v>
      </c>
      <c r="HB224" t="e">
        <f>AND(#REF!,"AAAAAHdf8dE=")</f>
        <v>#REF!</v>
      </c>
      <c r="HC224" t="e">
        <f>AND(#REF!,"AAAAAHdf8dI=")</f>
        <v>#REF!</v>
      </c>
      <c r="HD224" t="e">
        <f>AND(#REF!,"AAAAAHdf8dM=")</f>
        <v>#REF!</v>
      </c>
      <c r="HE224" t="e">
        <f>AND(#REF!,"AAAAAHdf8dQ=")</f>
        <v>#REF!</v>
      </c>
      <c r="HF224" t="e">
        <f>AND(#REF!,"AAAAAHdf8dU=")</f>
        <v>#REF!</v>
      </c>
      <c r="HG224" t="e">
        <f>AND(#REF!,"AAAAAHdf8dY=")</f>
        <v>#REF!</v>
      </c>
      <c r="HH224" t="e">
        <f>AND(#REF!,"AAAAAHdf8dc=")</f>
        <v>#REF!</v>
      </c>
      <c r="HI224" t="e">
        <f>AND(#REF!,"AAAAAHdf8dg=")</f>
        <v>#REF!</v>
      </c>
      <c r="HJ224" t="e">
        <f>AND(#REF!,"AAAAAHdf8dk=")</f>
        <v>#REF!</v>
      </c>
      <c r="HK224" t="e">
        <f>AND(#REF!,"AAAAAHdf8do=")</f>
        <v>#REF!</v>
      </c>
      <c r="HL224" t="e">
        <f>AND(#REF!,"AAAAAHdf8ds=")</f>
        <v>#REF!</v>
      </c>
      <c r="HM224" t="e">
        <f>AND(#REF!,"AAAAAHdf8dw=")</f>
        <v>#REF!</v>
      </c>
      <c r="HN224" t="e">
        <f>AND(#REF!,"AAAAAHdf8d0=")</f>
        <v>#REF!</v>
      </c>
      <c r="HO224" t="e">
        <f>AND(#REF!,"AAAAAHdf8d4=")</f>
        <v>#REF!</v>
      </c>
      <c r="HP224" t="e">
        <f>AND(#REF!,"AAAAAHdf8d8=")</f>
        <v>#REF!</v>
      </c>
      <c r="HQ224" t="e">
        <f>AND(#REF!,"AAAAAHdf8eA=")</f>
        <v>#REF!</v>
      </c>
      <c r="HR224" t="e">
        <f>AND(#REF!,"AAAAAHdf8eE=")</f>
        <v>#REF!</v>
      </c>
      <c r="HS224" t="e">
        <f>AND(#REF!,"AAAAAHdf8eI=")</f>
        <v>#REF!</v>
      </c>
      <c r="HT224" t="e">
        <f>AND(#REF!,"AAAAAHdf8eM=")</f>
        <v>#REF!</v>
      </c>
      <c r="HU224" t="e">
        <f>AND(#REF!,"AAAAAHdf8eQ=")</f>
        <v>#REF!</v>
      </c>
      <c r="HV224" t="e">
        <f>AND(#REF!,"AAAAAHdf8eU=")</f>
        <v>#REF!</v>
      </c>
      <c r="HW224" t="e">
        <f>AND(#REF!,"AAAAAHdf8eY=")</f>
        <v>#REF!</v>
      </c>
      <c r="HX224" t="e">
        <f>AND(#REF!,"AAAAAHdf8ec=")</f>
        <v>#REF!</v>
      </c>
      <c r="HY224" t="e">
        <f>AND(#REF!,"AAAAAHdf8eg=")</f>
        <v>#REF!</v>
      </c>
      <c r="HZ224" t="e">
        <f>AND(#REF!,"AAAAAHdf8ek=")</f>
        <v>#REF!</v>
      </c>
      <c r="IA224" t="e">
        <f>AND(#REF!,"AAAAAHdf8eo=")</f>
        <v>#REF!</v>
      </c>
      <c r="IB224" t="e">
        <f>AND(#REF!,"AAAAAHdf8es=")</f>
        <v>#REF!</v>
      </c>
      <c r="IC224" t="e">
        <f>AND(#REF!,"AAAAAHdf8ew=")</f>
        <v>#REF!</v>
      </c>
      <c r="ID224" t="e">
        <f>AND(#REF!,"AAAAAHdf8e0=")</f>
        <v>#REF!</v>
      </c>
      <c r="IE224" t="e">
        <f>AND(#REF!,"AAAAAHdf8e4=")</f>
        <v>#REF!</v>
      </c>
      <c r="IF224" t="e">
        <f>AND(#REF!,"AAAAAHdf8e8=")</f>
        <v>#REF!</v>
      </c>
      <c r="IG224" t="e">
        <f>AND(#REF!,"AAAAAHdf8fA=")</f>
        <v>#REF!</v>
      </c>
      <c r="IH224" t="e">
        <f>AND(#REF!,"AAAAAHdf8fE=")</f>
        <v>#REF!</v>
      </c>
      <c r="II224" t="e">
        <f>AND(#REF!,"AAAAAHdf8fI=")</f>
        <v>#REF!</v>
      </c>
      <c r="IJ224" t="e">
        <f>AND(#REF!,"AAAAAHdf8fM=")</f>
        <v>#REF!</v>
      </c>
      <c r="IK224" t="e">
        <f>AND(#REF!,"AAAAAHdf8fQ=")</f>
        <v>#REF!</v>
      </c>
      <c r="IL224" t="e">
        <f>AND(#REF!,"AAAAAHdf8fU=")</f>
        <v>#REF!</v>
      </c>
      <c r="IM224" t="e">
        <f>AND(#REF!,"AAAAAHdf8fY=")</f>
        <v>#REF!</v>
      </c>
      <c r="IN224" t="e">
        <f>AND(#REF!,"AAAAAHdf8fc=")</f>
        <v>#REF!</v>
      </c>
      <c r="IO224" t="e">
        <f>AND(#REF!,"AAAAAHdf8fg=")</f>
        <v>#REF!</v>
      </c>
      <c r="IP224" t="e">
        <f>AND(#REF!,"AAAAAHdf8fk=")</f>
        <v>#REF!</v>
      </c>
      <c r="IQ224" t="e">
        <f>AND(#REF!,"AAAAAHdf8fo=")</f>
        <v>#REF!</v>
      </c>
      <c r="IR224" t="e">
        <f>AND(#REF!,"AAAAAHdf8fs=")</f>
        <v>#REF!</v>
      </c>
      <c r="IS224" t="e">
        <f>AND(#REF!,"AAAAAHdf8fw=")</f>
        <v>#REF!</v>
      </c>
      <c r="IT224" t="e">
        <f>AND(#REF!,"AAAAAHdf8f0=")</f>
        <v>#REF!</v>
      </c>
      <c r="IU224" t="e">
        <f>AND(#REF!,"AAAAAHdf8f4=")</f>
        <v>#REF!</v>
      </c>
      <c r="IV224" t="e">
        <f>AND(#REF!,"AAAAAHdf8f8=")</f>
        <v>#REF!</v>
      </c>
    </row>
    <row r="225" spans="1:256">
      <c r="A225" t="e">
        <f>AND(#REF!,"AAAAAH3ffQA=")</f>
        <v>#REF!</v>
      </c>
      <c r="B225" t="e">
        <f>AND(#REF!,"AAAAAH3ffQE=")</f>
        <v>#REF!</v>
      </c>
      <c r="C225" t="e">
        <f>AND(#REF!,"AAAAAH3ffQI=")</f>
        <v>#REF!</v>
      </c>
      <c r="D225" t="e">
        <f>AND(#REF!,"AAAAAH3ffQM=")</f>
        <v>#REF!</v>
      </c>
      <c r="E225" t="e">
        <f>AND(#REF!,"AAAAAH3ffQQ=")</f>
        <v>#REF!</v>
      </c>
      <c r="F225" t="e">
        <f>AND(#REF!,"AAAAAH3ffQU=")</f>
        <v>#REF!</v>
      </c>
      <c r="G225" t="e">
        <f>AND(#REF!,"AAAAAH3ffQY=")</f>
        <v>#REF!</v>
      </c>
      <c r="H225" t="e">
        <f>AND(#REF!,"AAAAAH3ffQc=")</f>
        <v>#REF!</v>
      </c>
      <c r="I225" t="e">
        <f>AND(#REF!,"AAAAAH3ffQg=")</f>
        <v>#REF!</v>
      </c>
      <c r="J225" t="e">
        <f>AND(#REF!,"AAAAAH3ffQk=")</f>
        <v>#REF!</v>
      </c>
      <c r="K225" t="e">
        <f>AND(#REF!,"AAAAAH3ffQo=")</f>
        <v>#REF!</v>
      </c>
      <c r="L225" t="e">
        <f>AND(#REF!,"AAAAAH3ffQs=")</f>
        <v>#REF!</v>
      </c>
      <c r="M225" t="e">
        <f>AND(#REF!,"AAAAAH3ffQw=")</f>
        <v>#REF!</v>
      </c>
      <c r="N225" t="e">
        <f>AND(#REF!,"AAAAAH3ffQ0=")</f>
        <v>#REF!</v>
      </c>
      <c r="O225" t="e">
        <f>AND(#REF!,"AAAAAH3ffQ4=")</f>
        <v>#REF!</v>
      </c>
      <c r="P225" t="e">
        <f>AND(#REF!,"AAAAAH3ffQ8=")</f>
        <v>#REF!</v>
      </c>
      <c r="Q225" t="e">
        <f>AND(#REF!,"AAAAAH3ffRA=")</f>
        <v>#REF!</v>
      </c>
      <c r="R225" t="e">
        <f>AND(#REF!,"AAAAAH3ffRE=")</f>
        <v>#REF!</v>
      </c>
      <c r="S225" t="e">
        <f>AND(#REF!,"AAAAAH3ffRI=")</f>
        <v>#REF!</v>
      </c>
      <c r="T225" t="e">
        <f>AND(#REF!,"AAAAAH3ffRM=")</f>
        <v>#REF!</v>
      </c>
      <c r="U225" t="e">
        <f>AND(#REF!,"AAAAAH3ffRQ=")</f>
        <v>#REF!</v>
      </c>
      <c r="V225" t="e">
        <f>AND(#REF!,"AAAAAH3ffRU=")</f>
        <v>#REF!</v>
      </c>
      <c r="W225" t="e">
        <f>AND(#REF!,"AAAAAH3ffRY=")</f>
        <v>#REF!</v>
      </c>
      <c r="X225" t="e">
        <f>AND(#REF!,"AAAAAH3ffRc=")</f>
        <v>#REF!</v>
      </c>
      <c r="Y225" t="e">
        <f>AND(#REF!,"AAAAAH3ffRg=")</f>
        <v>#REF!</v>
      </c>
      <c r="Z225" t="e">
        <f>AND(#REF!,"AAAAAH3ffRk=")</f>
        <v>#REF!</v>
      </c>
      <c r="AA225" t="e">
        <f>AND(#REF!,"AAAAAH3ffRo=")</f>
        <v>#REF!</v>
      </c>
      <c r="AB225" t="e">
        <f>AND(#REF!,"AAAAAH3ffRs=")</f>
        <v>#REF!</v>
      </c>
      <c r="AC225" t="e">
        <f>AND(#REF!,"AAAAAH3ffRw=")</f>
        <v>#REF!</v>
      </c>
      <c r="AD225" t="e">
        <f>AND(#REF!,"AAAAAH3ffR0=")</f>
        <v>#REF!</v>
      </c>
      <c r="AE225" t="e">
        <f>AND(#REF!,"AAAAAH3ffR4=")</f>
        <v>#REF!</v>
      </c>
      <c r="AF225" t="e">
        <f>AND(#REF!,"AAAAAH3ffR8=")</f>
        <v>#REF!</v>
      </c>
      <c r="AG225" t="e">
        <f>AND(#REF!,"AAAAAH3ffSA=")</f>
        <v>#REF!</v>
      </c>
      <c r="AH225" t="e">
        <f>AND(#REF!,"AAAAAH3ffSE=")</f>
        <v>#REF!</v>
      </c>
      <c r="AI225" t="e">
        <f>AND(#REF!,"AAAAAH3ffSI=")</f>
        <v>#REF!</v>
      </c>
      <c r="AJ225" t="e">
        <f>AND(#REF!,"AAAAAH3ffSM=")</f>
        <v>#REF!</v>
      </c>
      <c r="AK225" t="e">
        <f>AND(#REF!,"AAAAAH3ffSQ=")</f>
        <v>#REF!</v>
      </c>
      <c r="AL225" t="e">
        <f>AND(#REF!,"AAAAAH3ffSU=")</f>
        <v>#REF!</v>
      </c>
      <c r="AM225" t="e">
        <f>AND(#REF!,"AAAAAH3ffSY=")</f>
        <v>#REF!</v>
      </c>
      <c r="AN225" t="e">
        <f>AND(#REF!,"AAAAAH3ffSc=")</f>
        <v>#REF!</v>
      </c>
      <c r="AO225" t="e">
        <f>AND(#REF!,"AAAAAH3ffSg=")</f>
        <v>#REF!</v>
      </c>
      <c r="AP225" t="e">
        <f>AND(#REF!,"AAAAAH3ffSk=")</f>
        <v>#REF!</v>
      </c>
      <c r="AQ225" t="e">
        <f>AND(#REF!,"AAAAAH3ffSo=")</f>
        <v>#REF!</v>
      </c>
      <c r="AR225" t="e">
        <f>AND(#REF!,"AAAAAH3ffSs=")</f>
        <v>#REF!</v>
      </c>
      <c r="AS225" t="e">
        <f>AND(#REF!,"AAAAAH3ffSw=")</f>
        <v>#REF!</v>
      </c>
      <c r="AT225" t="e">
        <f>AND(#REF!,"AAAAAH3ffS0=")</f>
        <v>#REF!</v>
      </c>
      <c r="AU225" t="e">
        <f>AND(#REF!,"AAAAAH3ffS4=")</f>
        <v>#REF!</v>
      </c>
      <c r="AV225" t="e">
        <f>AND(#REF!,"AAAAAH3ffS8=")</f>
        <v>#REF!</v>
      </c>
      <c r="AW225" t="e">
        <f>AND(#REF!,"AAAAAH3ffTA=")</f>
        <v>#REF!</v>
      </c>
      <c r="AX225" t="e">
        <f>AND(#REF!,"AAAAAH3ffTE=")</f>
        <v>#REF!</v>
      </c>
      <c r="AY225" t="e">
        <f>AND(#REF!,"AAAAAH3ffTI=")</f>
        <v>#REF!</v>
      </c>
      <c r="AZ225" t="e">
        <f>AND(#REF!,"AAAAAH3ffTM=")</f>
        <v>#REF!</v>
      </c>
      <c r="BA225" t="e">
        <f>AND(#REF!,"AAAAAH3ffTQ=")</f>
        <v>#REF!</v>
      </c>
      <c r="BB225" t="e">
        <f>AND(#REF!,"AAAAAH3ffTU=")</f>
        <v>#REF!</v>
      </c>
      <c r="BC225" t="e">
        <f>IF(#REF!,"AAAAAH3ffTY=",0)</f>
        <v>#REF!</v>
      </c>
      <c r="BD225" t="e">
        <f>AND(#REF!,"AAAAAH3ffTc=")</f>
        <v>#REF!</v>
      </c>
      <c r="BE225" t="e">
        <f>AND(#REF!,"AAAAAH3ffTg=")</f>
        <v>#REF!</v>
      </c>
      <c r="BF225" t="e">
        <f>AND(#REF!,"AAAAAH3ffTk=")</f>
        <v>#REF!</v>
      </c>
      <c r="BG225" t="e">
        <f>AND(#REF!,"AAAAAH3ffTo=")</f>
        <v>#REF!</v>
      </c>
      <c r="BH225" t="e">
        <f>AND(#REF!,"AAAAAH3ffTs=")</f>
        <v>#REF!</v>
      </c>
      <c r="BI225" t="e">
        <f>AND(#REF!,"AAAAAH3ffTw=")</f>
        <v>#REF!</v>
      </c>
      <c r="BJ225" t="e">
        <f>AND(#REF!,"AAAAAH3ffT0=")</f>
        <v>#REF!</v>
      </c>
      <c r="BK225" t="e">
        <f>AND(#REF!,"AAAAAH3ffT4=")</f>
        <v>#REF!</v>
      </c>
      <c r="BL225" t="e">
        <f>AND(#REF!,"AAAAAH3ffT8=")</f>
        <v>#REF!</v>
      </c>
      <c r="BM225" t="e">
        <f>AND(#REF!,"AAAAAH3ffUA=")</f>
        <v>#REF!</v>
      </c>
      <c r="BN225" t="e">
        <f>AND(#REF!,"AAAAAH3ffUE=")</f>
        <v>#REF!</v>
      </c>
      <c r="BO225" t="e">
        <f>AND(#REF!,"AAAAAH3ffUI=")</f>
        <v>#REF!</v>
      </c>
      <c r="BP225" t="e">
        <f>AND(#REF!,"AAAAAH3ffUM=")</f>
        <v>#REF!</v>
      </c>
      <c r="BQ225" t="e">
        <f>AND(#REF!,"AAAAAH3ffUQ=")</f>
        <v>#REF!</v>
      </c>
      <c r="BR225" t="e">
        <f>AND(#REF!,"AAAAAH3ffUU=")</f>
        <v>#REF!</v>
      </c>
      <c r="BS225" t="e">
        <f>AND(#REF!,"AAAAAH3ffUY=")</f>
        <v>#REF!</v>
      </c>
      <c r="BT225" t="e">
        <f>AND(#REF!,"AAAAAH3ffUc=")</f>
        <v>#REF!</v>
      </c>
      <c r="BU225" t="e">
        <f>AND(#REF!,"AAAAAH3ffUg=")</f>
        <v>#REF!</v>
      </c>
      <c r="BV225" t="e">
        <f>AND(#REF!,"AAAAAH3ffUk=")</f>
        <v>#REF!</v>
      </c>
      <c r="BW225" t="e">
        <f>AND(#REF!,"AAAAAH3ffUo=")</f>
        <v>#REF!</v>
      </c>
      <c r="BX225" t="e">
        <f>AND(#REF!,"AAAAAH3ffUs=")</f>
        <v>#REF!</v>
      </c>
      <c r="BY225" t="e">
        <f>AND(#REF!,"AAAAAH3ffUw=")</f>
        <v>#REF!</v>
      </c>
      <c r="BZ225" t="e">
        <f>AND(#REF!,"AAAAAH3ffU0=")</f>
        <v>#REF!</v>
      </c>
      <c r="CA225" t="e">
        <f>AND(#REF!,"AAAAAH3ffU4=")</f>
        <v>#REF!</v>
      </c>
      <c r="CB225" t="e">
        <f>AND(#REF!,"AAAAAH3ffU8=")</f>
        <v>#REF!</v>
      </c>
      <c r="CC225" t="e">
        <f>AND(#REF!,"AAAAAH3ffVA=")</f>
        <v>#REF!</v>
      </c>
      <c r="CD225" t="e">
        <f>AND(#REF!,"AAAAAH3ffVE=")</f>
        <v>#REF!</v>
      </c>
      <c r="CE225" t="e">
        <f>AND(#REF!,"AAAAAH3ffVI=")</f>
        <v>#REF!</v>
      </c>
      <c r="CF225" t="e">
        <f>AND(#REF!,"AAAAAH3ffVM=")</f>
        <v>#REF!</v>
      </c>
      <c r="CG225" t="e">
        <f>AND(#REF!,"AAAAAH3ffVQ=")</f>
        <v>#REF!</v>
      </c>
      <c r="CH225" t="e">
        <f>AND(#REF!,"AAAAAH3ffVU=")</f>
        <v>#REF!</v>
      </c>
      <c r="CI225" t="e">
        <f>AND(#REF!,"AAAAAH3ffVY=")</f>
        <v>#REF!</v>
      </c>
      <c r="CJ225" t="e">
        <f>AND(#REF!,"AAAAAH3ffVc=")</f>
        <v>#REF!</v>
      </c>
      <c r="CK225" t="e">
        <f>AND(#REF!,"AAAAAH3ffVg=")</f>
        <v>#REF!</v>
      </c>
      <c r="CL225" t="e">
        <f>AND(#REF!,"AAAAAH3ffVk=")</f>
        <v>#REF!</v>
      </c>
      <c r="CM225" t="e">
        <f>AND(#REF!,"AAAAAH3ffVo=")</f>
        <v>#REF!</v>
      </c>
      <c r="CN225" t="e">
        <f>AND(#REF!,"AAAAAH3ffVs=")</f>
        <v>#REF!</v>
      </c>
      <c r="CO225" t="e">
        <f>AND(#REF!,"AAAAAH3ffVw=")</f>
        <v>#REF!</v>
      </c>
      <c r="CP225" t="e">
        <f>AND(#REF!,"AAAAAH3ffV0=")</f>
        <v>#REF!</v>
      </c>
      <c r="CQ225" t="e">
        <f>AND(#REF!,"AAAAAH3ffV4=")</f>
        <v>#REF!</v>
      </c>
      <c r="CR225" t="e">
        <f>AND(#REF!,"AAAAAH3ffV8=")</f>
        <v>#REF!</v>
      </c>
      <c r="CS225" t="e">
        <f>AND(#REF!,"AAAAAH3ffWA=")</f>
        <v>#REF!</v>
      </c>
      <c r="CT225" t="e">
        <f>AND(#REF!,"AAAAAH3ffWE=")</f>
        <v>#REF!</v>
      </c>
      <c r="CU225" t="e">
        <f>AND(#REF!,"AAAAAH3ffWI=")</f>
        <v>#REF!</v>
      </c>
      <c r="CV225" t="e">
        <f>AND(#REF!,"AAAAAH3ffWM=")</f>
        <v>#REF!</v>
      </c>
      <c r="CW225" t="e">
        <f>AND(#REF!,"AAAAAH3ffWQ=")</f>
        <v>#REF!</v>
      </c>
      <c r="CX225" t="e">
        <f>AND(#REF!,"AAAAAH3ffWU=")</f>
        <v>#REF!</v>
      </c>
      <c r="CY225" t="e">
        <f>AND(#REF!,"AAAAAH3ffWY=")</f>
        <v>#REF!</v>
      </c>
      <c r="CZ225" t="e">
        <f>AND(#REF!,"AAAAAH3ffWc=")</f>
        <v>#REF!</v>
      </c>
      <c r="DA225" t="e">
        <f>AND(#REF!,"AAAAAH3ffWg=")</f>
        <v>#REF!</v>
      </c>
      <c r="DB225" t="e">
        <f>AND(#REF!,"AAAAAH3ffWk=")</f>
        <v>#REF!</v>
      </c>
      <c r="DC225" t="e">
        <f>AND(#REF!,"AAAAAH3ffWo=")</f>
        <v>#REF!</v>
      </c>
      <c r="DD225" t="e">
        <f>AND(#REF!,"AAAAAH3ffWs=")</f>
        <v>#REF!</v>
      </c>
      <c r="DE225" t="e">
        <f>AND(#REF!,"AAAAAH3ffWw=")</f>
        <v>#REF!</v>
      </c>
      <c r="DF225" t="e">
        <f>AND(#REF!,"AAAAAH3ffW0=")</f>
        <v>#REF!</v>
      </c>
      <c r="DG225" t="e">
        <f>AND(#REF!,"AAAAAH3ffW4=")</f>
        <v>#REF!</v>
      </c>
      <c r="DH225" t="e">
        <f>AND(#REF!,"AAAAAH3ffW8=")</f>
        <v>#REF!</v>
      </c>
      <c r="DI225" t="e">
        <f>AND(#REF!,"AAAAAH3ffXA=")</f>
        <v>#REF!</v>
      </c>
      <c r="DJ225" t="e">
        <f>AND(#REF!,"AAAAAH3ffXE=")</f>
        <v>#REF!</v>
      </c>
      <c r="DK225" t="e">
        <f>AND(#REF!,"AAAAAH3ffXI=")</f>
        <v>#REF!</v>
      </c>
      <c r="DL225" t="e">
        <f>AND(#REF!,"AAAAAH3ffXM=")</f>
        <v>#REF!</v>
      </c>
      <c r="DM225" t="e">
        <f>AND(#REF!,"AAAAAH3ffXQ=")</f>
        <v>#REF!</v>
      </c>
      <c r="DN225" t="e">
        <f>AND(#REF!,"AAAAAH3ffXU=")</f>
        <v>#REF!</v>
      </c>
      <c r="DO225" t="e">
        <f>AND(#REF!,"AAAAAH3ffXY=")</f>
        <v>#REF!</v>
      </c>
      <c r="DP225" t="e">
        <f>AND(#REF!,"AAAAAH3ffXc=")</f>
        <v>#REF!</v>
      </c>
      <c r="DQ225" t="e">
        <f>AND(#REF!,"AAAAAH3ffXg=")</f>
        <v>#REF!</v>
      </c>
      <c r="DR225" t="e">
        <f>AND(#REF!,"AAAAAH3ffXk=")</f>
        <v>#REF!</v>
      </c>
      <c r="DS225" t="e">
        <f>AND(#REF!,"AAAAAH3ffXo=")</f>
        <v>#REF!</v>
      </c>
      <c r="DT225" t="e">
        <f>AND(#REF!,"AAAAAH3ffXs=")</f>
        <v>#REF!</v>
      </c>
      <c r="DU225" t="e">
        <f>AND(#REF!,"AAAAAH3ffXw=")</f>
        <v>#REF!</v>
      </c>
      <c r="DV225" t="e">
        <f>AND(#REF!,"AAAAAH3ffX0=")</f>
        <v>#REF!</v>
      </c>
      <c r="DW225" t="e">
        <f>AND(#REF!,"AAAAAH3ffX4=")</f>
        <v>#REF!</v>
      </c>
      <c r="DX225" t="e">
        <f>AND(#REF!,"AAAAAH3ffX8=")</f>
        <v>#REF!</v>
      </c>
      <c r="DY225" t="e">
        <f>AND(#REF!,"AAAAAH3ffYA=")</f>
        <v>#REF!</v>
      </c>
      <c r="DZ225" t="e">
        <f>AND(#REF!,"AAAAAH3ffYE=")</f>
        <v>#REF!</v>
      </c>
      <c r="EA225" t="e">
        <f>AND(#REF!,"AAAAAH3ffYI=")</f>
        <v>#REF!</v>
      </c>
      <c r="EB225" t="e">
        <f>AND(#REF!,"AAAAAH3ffYM=")</f>
        <v>#REF!</v>
      </c>
      <c r="EC225" t="e">
        <f>AND(#REF!,"AAAAAH3ffYQ=")</f>
        <v>#REF!</v>
      </c>
      <c r="ED225" t="e">
        <f>AND(#REF!,"AAAAAH3ffYU=")</f>
        <v>#REF!</v>
      </c>
      <c r="EE225" t="e">
        <f>AND(#REF!,"AAAAAH3ffYY=")</f>
        <v>#REF!</v>
      </c>
      <c r="EF225" t="e">
        <f>AND(#REF!,"AAAAAH3ffYc=")</f>
        <v>#REF!</v>
      </c>
      <c r="EG225" t="e">
        <f>AND(#REF!,"AAAAAH3ffYg=")</f>
        <v>#REF!</v>
      </c>
      <c r="EH225" t="e">
        <f>AND(#REF!,"AAAAAH3ffYk=")</f>
        <v>#REF!</v>
      </c>
      <c r="EI225" t="e">
        <f>AND(#REF!,"AAAAAH3ffYo=")</f>
        <v>#REF!</v>
      </c>
      <c r="EJ225" t="e">
        <f>AND(#REF!,"AAAAAH3ffYs=")</f>
        <v>#REF!</v>
      </c>
      <c r="EK225" t="e">
        <f>AND(#REF!,"AAAAAH3ffYw=")</f>
        <v>#REF!</v>
      </c>
      <c r="EL225" t="e">
        <f>AND(#REF!,"AAAAAH3ffY0=")</f>
        <v>#REF!</v>
      </c>
      <c r="EM225" t="e">
        <f>AND(#REF!,"AAAAAH3ffY4=")</f>
        <v>#REF!</v>
      </c>
      <c r="EN225" t="e">
        <f>AND(#REF!,"AAAAAH3ffY8=")</f>
        <v>#REF!</v>
      </c>
      <c r="EO225" t="e">
        <f>AND(#REF!,"AAAAAH3ffZA=")</f>
        <v>#REF!</v>
      </c>
      <c r="EP225" t="e">
        <f>AND(#REF!,"AAAAAH3ffZE=")</f>
        <v>#REF!</v>
      </c>
      <c r="EQ225" t="e">
        <f>AND(#REF!,"AAAAAH3ffZI=")</f>
        <v>#REF!</v>
      </c>
      <c r="ER225" t="e">
        <f>AND(#REF!,"AAAAAH3ffZM=")</f>
        <v>#REF!</v>
      </c>
      <c r="ES225" t="e">
        <f>AND(#REF!,"AAAAAH3ffZQ=")</f>
        <v>#REF!</v>
      </c>
      <c r="ET225" t="e">
        <f>AND(#REF!,"AAAAAH3ffZU=")</f>
        <v>#REF!</v>
      </c>
      <c r="EU225" t="e">
        <f>AND(#REF!,"AAAAAH3ffZY=")</f>
        <v>#REF!</v>
      </c>
      <c r="EV225" t="e">
        <f>AND(#REF!,"AAAAAH3ffZc=")</f>
        <v>#REF!</v>
      </c>
      <c r="EW225" t="e">
        <f>AND(#REF!,"AAAAAH3ffZg=")</f>
        <v>#REF!</v>
      </c>
      <c r="EX225" t="e">
        <f>AND(#REF!,"AAAAAH3ffZk=")</f>
        <v>#REF!</v>
      </c>
      <c r="EY225" t="e">
        <f>AND(#REF!,"AAAAAH3ffZo=")</f>
        <v>#REF!</v>
      </c>
      <c r="EZ225" t="e">
        <f>AND(#REF!,"AAAAAH3ffZs=")</f>
        <v>#REF!</v>
      </c>
      <c r="FA225" t="e">
        <f>AND(#REF!,"AAAAAH3ffZw=")</f>
        <v>#REF!</v>
      </c>
      <c r="FB225" t="e">
        <f>AND(#REF!,"AAAAAH3ffZ0=")</f>
        <v>#REF!</v>
      </c>
      <c r="FC225" t="e">
        <f>AND(#REF!,"AAAAAH3ffZ4=")</f>
        <v>#REF!</v>
      </c>
      <c r="FD225" t="e">
        <f>AND(#REF!,"AAAAAH3ffZ8=")</f>
        <v>#REF!</v>
      </c>
      <c r="FE225" t="e">
        <f>AND(#REF!,"AAAAAH3ffaA=")</f>
        <v>#REF!</v>
      </c>
      <c r="FF225" t="e">
        <f>AND(#REF!,"AAAAAH3ffaE=")</f>
        <v>#REF!</v>
      </c>
      <c r="FG225" t="e">
        <f>AND(#REF!,"AAAAAH3ffaI=")</f>
        <v>#REF!</v>
      </c>
      <c r="FH225" t="e">
        <f>AND(#REF!,"AAAAAH3ffaM=")</f>
        <v>#REF!</v>
      </c>
      <c r="FI225" t="e">
        <f>AND(#REF!,"AAAAAH3ffaQ=")</f>
        <v>#REF!</v>
      </c>
      <c r="FJ225" t="e">
        <f>AND(#REF!,"AAAAAH3ffaU=")</f>
        <v>#REF!</v>
      </c>
      <c r="FK225" t="e">
        <f>AND(#REF!,"AAAAAH3ffaY=")</f>
        <v>#REF!</v>
      </c>
      <c r="FL225" t="e">
        <f>AND(#REF!,"AAAAAH3ffac=")</f>
        <v>#REF!</v>
      </c>
      <c r="FM225" t="e">
        <f>AND(#REF!,"AAAAAH3ffag=")</f>
        <v>#REF!</v>
      </c>
      <c r="FN225" t="e">
        <f>AND(#REF!,"AAAAAH3ffak=")</f>
        <v>#REF!</v>
      </c>
      <c r="FO225" t="e">
        <f>AND(#REF!,"AAAAAH3ffao=")</f>
        <v>#REF!</v>
      </c>
      <c r="FP225" t="e">
        <f>AND(#REF!,"AAAAAH3ffas=")</f>
        <v>#REF!</v>
      </c>
      <c r="FQ225" t="e">
        <f>AND(#REF!,"AAAAAH3ffaw=")</f>
        <v>#REF!</v>
      </c>
      <c r="FR225" t="e">
        <f>AND(#REF!,"AAAAAH3ffa0=")</f>
        <v>#REF!</v>
      </c>
      <c r="FS225" t="e">
        <f>AND(#REF!,"AAAAAH3ffa4=")</f>
        <v>#REF!</v>
      </c>
      <c r="FT225" t="e">
        <f>AND(#REF!,"AAAAAH3ffa8=")</f>
        <v>#REF!</v>
      </c>
      <c r="FU225" t="e">
        <f>AND(#REF!,"AAAAAH3ffbA=")</f>
        <v>#REF!</v>
      </c>
      <c r="FV225" t="e">
        <f>AND(#REF!,"AAAAAH3ffbE=")</f>
        <v>#REF!</v>
      </c>
      <c r="FW225" t="e">
        <f>AND(#REF!,"AAAAAH3ffbI=")</f>
        <v>#REF!</v>
      </c>
      <c r="FX225" t="e">
        <f>AND(#REF!,"AAAAAH3ffbM=")</f>
        <v>#REF!</v>
      </c>
      <c r="FY225" t="e">
        <f>AND(#REF!,"AAAAAH3ffbQ=")</f>
        <v>#REF!</v>
      </c>
      <c r="FZ225" t="e">
        <f>AND(#REF!,"AAAAAH3ffbU=")</f>
        <v>#REF!</v>
      </c>
      <c r="GA225" t="e">
        <f>AND(#REF!,"AAAAAH3ffbY=")</f>
        <v>#REF!</v>
      </c>
      <c r="GB225" t="e">
        <f>AND(#REF!,"AAAAAH3ffbc=")</f>
        <v>#REF!</v>
      </c>
      <c r="GC225" t="e">
        <f>AND(#REF!,"AAAAAH3ffbg=")</f>
        <v>#REF!</v>
      </c>
      <c r="GD225" t="e">
        <f>AND(#REF!,"AAAAAH3ffbk=")</f>
        <v>#REF!</v>
      </c>
      <c r="GE225" t="e">
        <f>AND(#REF!,"AAAAAH3ffbo=")</f>
        <v>#REF!</v>
      </c>
      <c r="GF225" t="e">
        <f>AND(#REF!,"AAAAAH3ffbs=")</f>
        <v>#REF!</v>
      </c>
      <c r="GG225" t="e">
        <f>AND(#REF!,"AAAAAH3ffbw=")</f>
        <v>#REF!</v>
      </c>
      <c r="GH225" t="e">
        <f>AND(#REF!,"AAAAAH3ffb0=")</f>
        <v>#REF!</v>
      </c>
      <c r="GI225" t="e">
        <f>AND(#REF!,"AAAAAH3ffb4=")</f>
        <v>#REF!</v>
      </c>
      <c r="GJ225" t="e">
        <f>AND(#REF!,"AAAAAH3ffb8=")</f>
        <v>#REF!</v>
      </c>
      <c r="GK225" t="e">
        <f>AND(#REF!,"AAAAAH3ffcA=")</f>
        <v>#REF!</v>
      </c>
      <c r="GL225" t="e">
        <f>AND(#REF!,"AAAAAH3ffcE=")</f>
        <v>#REF!</v>
      </c>
      <c r="GM225" t="e">
        <f>AND(#REF!,"AAAAAH3ffcI=")</f>
        <v>#REF!</v>
      </c>
      <c r="GN225" t="e">
        <f>AND(#REF!,"AAAAAH3ffcM=")</f>
        <v>#REF!</v>
      </c>
      <c r="GO225" t="e">
        <f>AND(#REF!,"AAAAAH3ffcQ=")</f>
        <v>#REF!</v>
      </c>
      <c r="GP225" t="e">
        <f>AND(#REF!,"AAAAAH3ffcU=")</f>
        <v>#REF!</v>
      </c>
      <c r="GQ225" t="e">
        <f>AND(#REF!,"AAAAAH3ffcY=")</f>
        <v>#REF!</v>
      </c>
      <c r="GR225" t="e">
        <f>AND(#REF!,"AAAAAH3ffcc=")</f>
        <v>#REF!</v>
      </c>
      <c r="GS225" t="e">
        <f>AND(#REF!,"AAAAAH3ffcg=")</f>
        <v>#REF!</v>
      </c>
      <c r="GT225" t="e">
        <f>AND(#REF!,"AAAAAH3ffck=")</f>
        <v>#REF!</v>
      </c>
      <c r="GU225" t="e">
        <f>AND(#REF!,"AAAAAH3ffco=")</f>
        <v>#REF!</v>
      </c>
      <c r="GV225" t="e">
        <f>AND(#REF!,"AAAAAH3ffcs=")</f>
        <v>#REF!</v>
      </c>
      <c r="GW225" t="e">
        <f>AND(#REF!,"AAAAAH3ffcw=")</f>
        <v>#REF!</v>
      </c>
      <c r="GX225" t="e">
        <f>AND(#REF!,"AAAAAH3ffc0=")</f>
        <v>#REF!</v>
      </c>
      <c r="GY225" t="e">
        <f>AND(#REF!,"AAAAAH3ffc4=")</f>
        <v>#REF!</v>
      </c>
      <c r="GZ225" t="e">
        <f>AND(#REF!,"AAAAAH3ffc8=")</f>
        <v>#REF!</v>
      </c>
      <c r="HA225" t="e">
        <f>AND(#REF!,"AAAAAH3ffdA=")</f>
        <v>#REF!</v>
      </c>
      <c r="HB225" t="e">
        <f>AND(#REF!,"AAAAAH3ffdE=")</f>
        <v>#REF!</v>
      </c>
      <c r="HC225" t="e">
        <f>AND(#REF!,"AAAAAH3ffdI=")</f>
        <v>#REF!</v>
      </c>
      <c r="HD225" t="e">
        <f>AND(#REF!,"AAAAAH3ffdM=")</f>
        <v>#REF!</v>
      </c>
      <c r="HE225" t="e">
        <f>AND(#REF!,"AAAAAH3ffdQ=")</f>
        <v>#REF!</v>
      </c>
      <c r="HF225" t="e">
        <f>AND(#REF!,"AAAAAH3ffdU=")</f>
        <v>#REF!</v>
      </c>
      <c r="HG225" t="e">
        <f>AND(#REF!,"AAAAAH3ffdY=")</f>
        <v>#REF!</v>
      </c>
      <c r="HH225" t="e">
        <f>AND(#REF!,"AAAAAH3ffdc=")</f>
        <v>#REF!</v>
      </c>
      <c r="HI225" t="e">
        <f>AND(#REF!,"AAAAAH3ffdg=")</f>
        <v>#REF!</v>
      </c>
      <c r="HJ225" t="e">
        <f>AND(#REF!,"AAAAAH3ffdk=")</f>
        <v>#REF!</v>
      </c>
      <c r="HK225" t="e">
        <f>AND(#REF!,"AAAAAH3ffdo=")</f>
        <v>#REF!</v>
      </c>
      <c r="HL225" t="e">
        <f>AND(#REF!,"AAAAAH3ffds=")</f>
        <v>#REF!</v>
      </c>
      <c r="HM225" t="e">
        <f>AND(#REF!,"AAAAAH3ffdw=")</f>
        <v>#REF!</v>
      </c>
      <c r="HN225" t="e">
        <f>AND(#REF!,"AAAAAH3ffd0=")</f>
        <v>#REF!</v>
      </c>
      <c r="HO225" t="e">
        <f>AND(#REF!,"AAAAAH3ffd4=")</f>
        <v>#REF!</v>
      </c>
      <c r="HP225" t="e">
        <f>AND(#REF!,"AAAAAH3ffd8=")</f>
        <v>#REF!</v>
      </c>
      <c r="HQ225" t="e">
        <f>AND(#REF!,"AAAAAH3ffeA=")</f>
        <v>#REF!</v>
      </c>
      <c r="HR225" t="e">
        <f>AND(#REF!,"AAAAAH3ffeE=")</f>
        <v>#REF!</v>
      </c>
      <c r="HS225" t="e">
        <f>AND(#REF!,"AAAAAH3ffeI=")</f>
        <v>#REF!</v>
      </c>
      <c r="HT225" t="e">
        <f>AND(#REF!,"AAAAAH3ffeM=")</f>
        <v>#REF!</v>
      </c>
      <c r="HU225" t="e">
        <f>AND(#REF!,"AAAAAH3ffeQ=")</f>
        <v>#REF!</v>
      </c>
      <c r="HV225" t="e">
        <f>AND(#REF!,"AAAAAH3ffeU=")</f>
        <v>#REF!</v>
      </c>
      <c r="HW225" t="e">
        <f>AND(#REF!,"AAAAAH3ffeY=")</f>
        <v>#REF!</v>
      </c>
      <c r="HX225" t="e">
        <f>AND(#REF!,"AAAAAH3ffec=")</f>
        <v>#REF!</v>
      </c>
      <c r="HY225" t="e">
        <f>AND(#REF!,"AAAAAH3ffeg=")</f>
        <v>#REF!</v>
      </c>
      <c r="HZ225" t="e">
        <f>AND(#REF!,"AAAAAH3ffek=")</f>
        <v>#REF!</v>
      </c>
      <c r="IA225" t="e">
        <f>AND(#REF!,"AAAAAH3ffeo=")</f>
        <v>#REF!</v>
      </c>
      <c r="IB225" t="e">
        <f>AND(#REF!,"AAAAAH3ffes=")</f>
        <v>#REF!</v>
      </c>
      <c r="IC225" t="e">
        <f>AND(#REF!,"AAAAAH3ffew=")</f>
        <v>#REF!</v>
      </c>
      <c r="ID225" t="e">
        <f>AND(#REF!,"AAAAAH3ffe0=")</f>
        <v>#REF!</v>
      </c>
      <c r="IE225" t="e">
        <f>AND(#REF!,"AAAAAH3ffe4=")</f>
        <v>#REF!</v>
      </c>
      <c r="IF225" t="e">
        <f>AND(#REF!,"AAAAAH3ffe8=")</f>
        <v>#REF!</v>
      </c>
      <c r="IG225" t="e">
        <f>AND(#REF!,"AAAAAH3fffA=")</f>
        <v>#REF!</v>
      </c>
      <c r="IH225" t="e">
        <f>AND(#REF!,"AAAAAH3fffE=")</f>
        <v>#REF!</v>
      </c>
      <c r="II225" t="e">
        <f>AND(#REF!,"AAAAAH3fffI=")</f>
        <v>#REF!</v>
      </c>
      <c r="IJ225" t="e">
        <f>AND(#REF!,"AAAAAH3fffM=")</f>
        <v>#REF!</v>
      </c>
      <c r="IK225" t="e">
        <f>AND(#REF!,"AAAAAH3fffQ=")</f>
        <v>#REF!</v>
      </c>
      <c r="IL225" t="e">
        <f>AND(#REF!,"AAAAAH3fffU=")</f>
        <v>#REF!</v>
      </c>
      <c r="IM225" t="e">
        <f>AND(#REF!,"AAAAAH3fffY=")</f>
        <v>#REF!</v>
      </c>
      <c r="IN225" t="e">
        <f>AND(#REF!,"AAAAAH3fffc=")</f>
        <v>#REF!</v>
      </c>
      <c r="IO225" t="e">
        <f>AND(#REF!,"AAAAAH3fffg=")</f>
        <v>#REF!</v>
      </c>
      <c r="IP225" t="e">
        <f>AND(#REF!,"AAAAAH3fffk=")</f>
        <v>#REF!</v>
      </c>
      <c r="IQ225" t="e">
        <f>AND(#REF!,"AAAAAH3fffo=")</f>
        <v>#REF!</v>
      </c>
      <c r="IR225" t="e">
        <f>AND(#REF!,"AAAAAH3fffs=")</f>
        <v>#REF!</v>
      </c>
      <c r="IS225" t="e">
        <f>AND(#REF!,"AAAAAH3fffw=")</f>
        <v>#REF!</v>
      </c>
      <c r="IT225" t="e">
        <f>AND(#REF!,"AAAAAH3fff0=")</f>
        <v>#REF!</v>
      </c>
      <c r="IU225" t="e">
        <f>AND(#REF!,"AAAAAH3fff4=")</f>
        <v>#REF!</v>
      </c>
      <c r="IV225" t="e">
        <f>AND(#REF!,"AAAAAH3fff8=")</f>
        <v>#REF!</v>
      </c>
    </row>
    <row r="226" spans="1:256">
      <c r="A226" t="e">
        <f>AND(#REF!,"AAAAAH+v9wA=")</f>
        <v>#REF!</v>
      </c>
      <c r="B226" t="e">
        <f>AND(#REF!,"AAAAAH+v9wE=")</f>
        <v>#REF!</v>
      </c>
      <c r="C226" t="e">
        <f>AND(#REF!,"AAAAAH+v9wI=")</f>
        <v>#REF!</v>
      </c>
      <c r="D226" t="e">
        <f>AND(#REF!,"AAAAAH+v9wM=")</f>
        <v>#REF!</v>
      </c>
      <c r="E226" t="e">
        <f>AND(#REF!,"AAAAAH+v9wQ=")</f>
        <v>#REF!</v>
      </c>
      <c r="F226" t="e">
        <f>AND(#REF!,"AAAAAH+v9wU=")</f>
        <v>#REF!</v>
      </c>
      <c r="G226" t="e">
        <f>AND(#REF!,"AAAAAH+v9wY=")</f>
        <v>#REF!</v>
      </c>
      <c r="H226" t="e">
        <f>AND(#REF!,"AAAAAH+v9wc=")</f>
        <v>#REF!</v>
      </c>
      <c r="I226" t="e">
        <f>AND(#REF!,"AAAAAH+v9wg=")</f>
        <v>#REF!</v>
      </c>
      <c r="J226" t="e">
        <f>AND(#REF!,"AAAAAH+v9wk=")</f>
        <v>#REF!</v>
      </c>
      <c r="K226" t="e">
        <f>AND(#REF!,"AAAAAH+v9wo=")</f>
        <v>#REF!</v>
      </c>
      <c r="L226" t="e">
        <f>AND(#REF!,"AAAAAH+v9ws=")</f>
        <v>#REF!</v>
      </c>
      <c r="M226" t="e">
        <f>AND(#REF!,"AAAAAH+v9ww=")</f>
        <v>#REF!</v>
      </c>
      <c r="N226" t="e">
        <f>AND(#REF!,"AAAAAH+v9w0=")</f>
        <v>#REF!</v>
      </c>
      <c r="O226" t="e">
        <f>AND(#REF!,"AAAAAH+v9w4=")</f>
        <v>#REF!</v>
      </c>
      <c r="P226" t="e">
        <f>AND(#REF!,"AAAAAH+v9w8=")</f>
        <v>#REF!</v>
      </c>
      <c r="Q226" t="e">
        <f>AND(#REF!,"AAAAAH+v9xA=")</f>
        <v>#REF!</v>
      </c>
      <c r="R226" t="e">
        <f>AND(#REF!,"AAAAAH+v9xE=")</f>
        <v>#REF!</v>
      </c>
      <c r="S226" t="e">
        <f>AND(#REF!,"AAAAAH+v9xI=")</f>
        <v>#REF!</v>
      </c>
      <c r="T226" t="e">
        <f>AND(#REF!,"AAAAAH+v9xM=")</f>
        <v>#REF!</v>
      </c>
      <c r="U226" t="e">
        <f>AND(#REF!,"AAAAAH+v9xQ=")</f>
        <v>#REF!</v>
      </c>
      <c r="V226" t="e">
        <f>AND(#REF!,"AAAAAH+v9xU=")</f>
        <v>#REF!</v>
      </c>
      <c r="W226" t="e">
        <f>AND(#REF!,"AAAAAH+v9xY=")</f>
        <v>#REF!</v>
      </c>
      <c r="X226" t="e">
        <f>AND(#REF!,"AAAAAH+v9xc=")</f>
        <v>#REF!</v>
      </c>
      <c r="Y226" t="e">
        <f>AND(#REF!,"AAAAAH+v9xg=")</f>
        <v>#REF!</v>
      </c>
      <c r="Z226" t="e">
        <f>AND(#REF!,"AAAAAH+v9xk=")</f>
        <v>#REF!</v>
      </c>
      <c r="AA226" t="e">
        <f>IF(#REF!,"AAAAAH+v9xo=",0)</f>
        <v>#REF!</v>
      </c>
      <c r="AB226" t="e">
        <f>AND(#REF!,"AAAAAH+v9xs=")</f>
        <v>#REF!</v>
      </c>
      <c r="AC226" t="e">
        <f>AND(#REF!,"AAAAAH+v9xw=")</f>
        <v>#REF!</v>
      </c>
      <c r="AD226" t="e">
        <f>AND(#REF!,"AAAAAH+v9x0=")</f>
        <v>#REF!</v>
      </c>
      <c r="AE226" t="e">
        <f>AND(#REF!,"AAAAAH+v9x4=")</f>
        <v>#REF!</v>
      </c>
      <c r="AF226" t="e">
        <f>AND(#REF!,"AAAAAH+v9x8=")</f>
        <v>#REF!</v>
      </c>
      <c r="AG226" t="e">
        <f>AND(#REF!,"AAAAAH+v9yA=")</f>
        <v>#REF!</v>
      </c>
      <c r="AH226" t="e">
        <f>AND(#REF!,"AAAAAH+v9yE=")</f>
        <v>#REF!</v>
      </c>
      <c r="AI226" t="e">
        <f>AND(#REF!,"AAAAAH+v9yI=")</f>
        <v>#REF!</v>
      </c>
      <c r="AJ226" t="e">
        <f>AND(#REF!,"AAAAAH+v9yM=")</f>
        <v>#REF!</v>
      </c>
      <c r="AK226" t="e">
        <f>AND(#REF!,"AAAAAH+v9yQ=")</f>
        <v>#REF!</v>
      </c>
      <c r="AL226" t="e">
        <f>AND(#REF!,"AAAAAH+v9yU=")</f>
        <v>#REF!</v>
      </c>
      <c r="AM226" t="e">
        <f>AND(#REF!,"AAAAAH+v9yY=")</f>
        <v>#REF!</v>
      </c>
      <c r="AN226" t="e">
        <f>AND(#REF!,"AAAAAH+v9yc=")</f>
        <v>#REF!</v>
      </c>
      <c r="AO226" t="e">
        <f>AND(#REF!,"AAAAAH+v9yg=")</f>
        <v>#REF!</v>
      </c>
      <c r="AP226" t="e">
        <f>AND(#REF!,"AAAAAH+v9yk=")</f>
        <v>#REF!</v>
      </c>
      <c r="AQ226" t="e">
        <f>AND(#REF!,"AAAAAH+v9yo=")</f>
        <v>#REF!</v>
      </c>
      <c r="AR226" t="e">
        <f>AND(#REF!,"AAAAAH+v9ys=")</f>
        <v>#REF!</v>
      </c>
      <c r="AS226" t="e">
        <f>AND(#REF!,"AAAAAH+v9yw=")</f>
        <v>#REF!</v>
      </c>
      <c r="AT226" t="e">
        <f>AND(#REF!,"AAAAAH+v9y0=")</f>
        <v>#REF!</v>
      </c>
      <c r="AU226" t="e">
        <f>AND(#REF!,"AAAAAH+v9y4=")</f>
        <v>#REF!</v>
      </c>
      <c r="AV226" t="e">
        <f>AND(#REF!,"AAAAAH+v9y8=")</f>
        <v>#REF!</v>
      </c>
      <c r="AW226" t="e">
        <f>AND(#REF!,"AAAAAH+v9zA=")</f>
        <v>#REF!</v>
      </c>
      <c r="AX226" t="e">
        <f>AND(#REF!,"AAAAAH+v9zE=")</f>
        <v>#REF!</v>
      </c>
      <c r="AY226" t="e">
        <f>AND(#REF!,"AAAAAH+v9zI=")</f>
        <v>#REF!</v>
      </c>
      <c r="AZ226" t="e">
        <f>AND(#REF!,"AAAAAH+v9zM=")</f>
        <v>#REF!</v>
      </c>
      <c r="BA226" t="e">
        <f>AND(#REF!,"AAAAAH+v9zQ=")</f>
        <v>#REF!</v>
      </c>
      <c r="BB226" t="e">
        <f>AND(#REF!,"AAAAAH+v9zU=")</f>
        <v>#REF!</v>
      </c>
      <c r="BC226" t="e">
        <f>AND(#REF!,"AAAAAH+v9zY=")</f>
        <v>#REF!</v>
      </c>
      <c r="BD226" t="e">
        <f>AND(#REF!,"AAAAAH+v9zc=")</f>
        <v>#REF!</v>
      </c>
      <c r="BE226" t="e">
        <f>AND(#REF!,"AAAAAH+v9zg=")</f>
        <v>#REF!</v>
      </c>
      <c r="BF226" t="e">
        <f>AND(#REF!,"AAAAAH+v9zk=")</f>
        <v>#REF!</v>
      </c>
      <c r="BG226" t="e">
        <f>AND(#REF!,"AAAAAH+v9zo=")</f>
        <v>#REF!</v>
      </c>
      <c r="BH226" t="e">
        <f>AND(#REF!,"AAAAAH+v9zs=")</f>
        <v>#REF!</v>
      </c>
      <c r="BI226" t="e">
        <f>AND(#REF!,"AAAAAH+v9zw=")</f>
        <v>#REF!</v>
      </c>
      <c r="BJ226" t="e">
        <f>AND(#REF!,"AAAAAH+v9z0=")</f>
        <v>#REF!</v>
      </c>
      <c r="BK226" t="e">
        <f>AND(#REF!,"AAAAAH+v9z4=")</f>
        <v>#REF!</v>
      </c>
      <c r="BL226" t="e">
        <f>AND(#REF!,"AAAAAH+v9z8=")</f>
        <v>#REF!</v>
      </c>
      <c r="BM226" t="e">
        <f>AND(#REF!,"AAAAAH+v90A=")</f>
        <v>#REF!</v>
      </c>
      <c r="BN226" t="e">
        <f>AND(#REF!,"AAAAAH+v90E=")</f>
        <v>#REF!</v>
      </c>
      <c r="BO226" t="e">
        <f>AND(#REF!,"AAAAAH+v90I=")</f>
        <v>#REF!</v>
      </c>
      <c r="BP226" t="e">
        <f>AND(#REF!,"AAAAAH+v90M=")</f>
        <v>#REF!</v>
      </c>
      <c r="BQ226" t="e">
        <f>AND(#REF!,"AAAAAH+v90Q=")</f>
        <v>#REF!</v>
      </c>
      <c r="BR226" t="e">
        <f>AND(#REF!,"AAAAAH+v90U=")</f>
        <v>#REF!</v>
      </c>
      <c r="BS226" t="e">
        <f>AND(#REF!,"AAAAAH+v90Y=")</f>
        <v>#REF!</v>
      </c>
      <c r="BT226" t="e">
        <f>AND(#REF!,"AAAAAH+v90c=")</f>
        <v>#REF!</v>
      </c>
      <c r="BU226" t="e">
        <f>AND(#REF!,"AAAAAH+v90g=")</f>
        <v>#REF!</v>
      </c>
      <c r="BV226" t="e">
        <f>AND(#REF!,"AAAAAH+v90k=")</f>
        <v>#REF!</v>
      </c>
      <c r="BW226" t="e">
        <f>AND(#REF!,"AAAAAH+v90o=")</f>
        <v>#REF!</v>
      </c>
      <c r="BX226" t="e">
        <f>AND(#REF!,"AAAAAH+v90s=")</f>
        <v>#REF!</v>
      </c>
      <c r="BY226" t="e">
        <f>AND(#REF!,"AAAAAH+v90w=")</f>
        <v>#REF!</v>
      </c>
      <c r="BZ226" t="e">
        <f>AND(#REF!,"AAAAAH+v900=")</f>
        <v>#REF!</v>
      </c>
      <c r="CA226" t="e">
        <f>AND(#REF!,"AAAAAH+v904=")</f>
        <v>#REF!</v>
      </c>
      <c r="CB226" t="e">
        <f>AND(#REF!,"AAAAAH+v908=")</f>
        <v>#REF!</v>
      </c>
      <c r="CC226" t="e">
        <f>AND(#REF!,"AAAAAH+v91A=")</f>
        <v>#REF!</v>
      </c>
      <c r="CD226" t="e">
        <f>AND(#REF!,"AAAAAH+v91E=")</f>
        <v>#REF!</v>
      </c>
      <c r="CE226" t="e">
        <f>AND(#REF!,"AAAAAH+v91I=")</f>
        <v>#REF!</v>
      </c>
      <c r="CF226" t="e">
        <f>AND(#REF!,"AAAAAH+v91M=")</f>
        <v>#REF!</v>
      </c>
      <c r="CG226" t="e">
        <f>AND(#REF!,"AAAAAH+v91Q=")</f>
        <v>#REF!</v>
      </c>
      <c r="CH226" t="e">
        <f>AND(#REF!,"AAAAAH+v91U=")</f>
        <v>#REF!</v>
      </c>
      <c r="CI226" t="e">
        <f>AND(#REF!,"AAAAAH+v91Y=")</f>
        <v>#REF!</v>
      </c>
      <c r="CJ226" t="e">
        <f>AND(#REF!,"AAAAAH+v91c=")</f>
        <v>#REF!</v>
      </c>
      <c r="CK226" t="e">
        <f>AND(#REF!,"AAAAAH+v91g=")</f>
        <v>#REF!</v>
      </c>
      <c r="CL226" t="e">
        <f>AND(#REF!,"AAAAAH+v91k=")</f>
        <v>#REF!</v>
      </c>
      <c r="CM226" t="e">
        <f>AND(#REF!,"AAAAAH+v91o=")</f>
        <v>#REF!</v>
      </c>
      <c r="CN226" t="e">
        <f>AND(#REF!,"AAAAAH+v91s=")</f>
        <v>#REF!</v>
      </c>
      <c r="CO226" t="e">
        <f>AND(#REF!,"AAAAAH+v91w=")</f>
        <v>#REF!</v>
      </c>
      <c r="CP226" t="e">
        <f>AND(#REF!,"AAAAAH+v910=")</f>
        <v>#REF!</v>
      </c>
      <c r="CQ226" t="e">
        <f>AND(#REF!,"AAAAAH+v914=")</f>
        <v>#REF!</v>
      </c>
      <c r="CR226" t="e">
        <f>AND(#REF!,"AAAAAH+v918=")</f>
        <v>#REF!</v>
      </c>
      <c r="CS226" t="e">
        <f>AND(#REF!,"AAAAAH+v92A=")</f>
        <v>#REF!</v>
      </c>
      <c r="CT226" t="e">
        <f>AND(#REF!,"AAAAAH+v92E=")</f>
        <v>#REF!</v>
      </c>
      <c r="CU226" t="e">
        <f>AND(#REF!,"AAAAAH+v92I=")</f>
        <v>#REF!</v>
      </c>
      <c r="CV226" t="e">
        <f>AND(#REF!,"AAAAAH+v92M=")</f>
        <v>#REF!</v>
      </c>
      <c r="CW226" t="e">
        <f>AND(#REF!,"AAAAAH+v92Q=")</f>
        <v>#REF!</v>
      </c>
      <c r="CX226" t="e">
        <f>AND(#REF!,"AAAAAH+v92U=")</f>
        <v>#REF!</v>
      </c>
      <c r="CY226" t="e">
        <f>AND(#REF!,"AAAAAH+v92Y=")</f>
        <v>#REF!</v>
      </c>
      <c r="CZ226" t="e">
        <f>AND(#REF!,"AAAAAH+v92c=")</f>
        <v>#REF!</v>
      </c>
      <c r="DA226" t="e">
        <f>AND(#REF!,"AAAAAH+v92g=")</f>
        <v>#REF!</v>
      </c>
      <c r="DB226" t="e">
        <f>AND(#REF!,"AAAAAH+v92k=")</f>
        <v>#REF!</v>
      </c>
      <c r="DC226" t="e">
        <f>AND(#REF!,"AAAAAH+v92o=")</f>
        <v>#REF!</v>
      </c>
      <c r="DD226" t="e">
        <f>AND(#REF!,"AAAAAH+v92s=")</f>
        <v>#REF!</v>
      </c>
      <c r="DE226" t="e">
        <f>AND(#REF!,"AAAAAH+v92w=")</f>
        <v>#REF!</v>
      </c>
      <c r="DF226" t="e">
        <f>AND(#REF!,"AAAAAH+v920=")</f>
        <v>#REF!</v>
      </c>
      <c r="DG226" t="e">
        <f>AND(#REF!,"AAAAAH+v924=")</f>
        <v>#REF!</v>
      </c>
      <c r="DH226" t="e">
        <f>AND(#REF!,"AAAAAH+v928=")</f>
        <v>#REF!</v>
      </c>
      <c r="DI226" t="e">
        <f>AND(#REF!,"AAAAAH+v93A=")</f>
        <v>#REF!</v>
      </c>
      <c r="DJ226" t="e">
        <f>AND(#REF!,"AAAAAH+v93E=")</f>
        <v>#REF!</v>
      </c>
      <c r="DK226" t="e">
        <f>AND(#REF!,"AAAAAH+v93I=")</f>
        <v>#REF!</v>
      </c>
      <c r="DL226" t="e">
        <f>AND(#REF!,"AAAAAH+v93M=")</f>
        <v>#REF!</v>
      </c>
      <c r="DM226" t="e">
        <f>AND(#REF!,"AAAAAH+v93Q=")</f>
        <v>#REF!</v>
      </c>
      <c r="DN226" t="e">
        <f>AND(#REF!,"AAAAAH+v93U=")</f>
        <v>#REF!</v>
      </c>
      <c r="DO226" t="e">
        <f>AND(#REF!,"AAAAAH+v93Y=")</f>
        <v>#REF!</v>
      </c>
      <c r="DP226" t="e">
        <f>AND(#REF!,"AAAAAH+v93c=")</f>
        <v>#REF!</v>
      </c>
      <c r="DQ226" t="e">
        <f>AND(#REF!,"AAAAAH+v93g=")</f>
        <v>#REF!</v>
      </c>
      <c r="DR226" t="e">
        <f>AND(#REF!,"AAAAAH+v93k=")</f>
        <v>#REF!</v>
      </c>
      <c r="DS226" t="e">
        <f>AND(#REF!,"AAAAAH+v93o=")</f>
        <v>#REF!</v>
      </c>
      <c r="DT226" t="e">
        <f>AND(#REF!,"AAAAAH+v93s=")</f>
        <v>#REF!</v>
      </c>
      <c r="DU226" t="e">
        <f>AND(#REF!,"AAAAAH+v93w=")</f>
        <v>#REF!</v>
      </c>
      <c r="DV226" t="e">
        <f>AND(#REF!,"AAAAAH+v930=")</f>
        <v>#REF!</v>
      </c>
      <c r="DW226" t="e">
        <f>AND(#REF!,"AAAAAH+v934=")</f>
        <v>#REF!</v>
      </c>
      <c r="DX226" t="e">
        <f>AND(#REF!,"AAAAAH+v938=")</f>
        <v>#REF!</v>
      </c>
      <c r="DY226" t="e">
        <f>AND(#REF!,"AAAAAH+v94A=")</f>
        <v>#REF!</v>
      </c>
      <c r="DZ226" t="e">
        <f>AND(#REF!,"AAAAAH+v94E=")</f>
        <v>#REF!</v>
      </c>
      <c r="EA226" t="e">
        <f>AND(#REF!,"AAAAAH+v94I=")</f>
        <v>#REF!</v>
      </c>
      <c r="EB226" t="e">
        <f>AND(#REF!,"AAAAAH+v94M=")</f>
        <v>#REF!</v>
      </c>
      <c r="EC226" t="e">
        <f>AND(#REF!,"AAAAAH+v94Q=")</f>
        <v>#REF!</v>
      </c>
      <c r="ED226" t="e">
        <f>AND(#REF!,"AAAAAH+v94U=")</f>
        <v>#REF!</v>
      </c>
      <c r="EE226" t="e">
        <f>AND(#REF!,"AAAAAH+v94Y=")</f>
        <v>#REF!</v>
      </c>
      <c r="EF226" t="e">
        <f>AND(#REF!,"AAAAAH+v94c=")</f>
        <v>#REF!</v>
      </c>
      <c r="EG226" t="e">
        <f>AND(#REF!,"AAAAAH+v94g=")</f>
        <v>#REF!</v>
      </c>
      <c r="EH226" t="e">
        <f>AND(#REF!,"AAAAAH+v94k=")</f>
        <v>#REF!</v>
      </c>
      <c r="EI226" t="e">
        <f>AND(#REF!,"AAAAAH+v94o=")</f>
        <v>#REF!</v>
      </c>
      <c r="EJ226" t="e">
        <f>AND(#REF!,"AAAAAH+v94s=")</f>
        <v>#REF!</v>
      </c>
      <c r="EK226" t="e">
        <f>AND(#REF!,"AAAAAH+v94w=")</f>
        <v>#REF!</v>
      </c>
      <c r="EL226" t="e">
        <f>AND(#REF!,"AAAAAH+v940=")</f>
        <v>#REF!</v>
      </c>
      <c r="EM226" t="e">
        <f>AND(#REF!,"AAAAAH+v944=")</f>
        <v>#REF!</v>
      </c>
      <c r="EN226" t="e">
        <f>AND(#REF!,"AAAAAH+v948=")</f>
        <v>#REF!</v>
      </c>
      <c r="EO226" t="e">
        <f>AND(#REF!,"AAAAAH+v95A=")</f>
        <v>#REF!</v>
      </c>
      <c r="EP226" t="e">
        <f>AND(#REF!,"AAAAAH+v95E=")</f>
        <v>#REF!</v>
      </c>
      <c r="EQ226" t="e">
        <f>AND(#REF!,"AAAAAH+v95I=")</f>
        <v>#REF!</v>
      </c>
      <c r="ER226" t="e">
        <f>AND(#REF!,"AAAAAH+v95M=")</f>
        <v>#REF!</v>
      </c>
      <c r="ES226" t="e">
        <f>AND(#REF!,"AAAAAH+v95Q=")</f>
        <v>#REF!</v>
      </c>
      <c r="ET226" t="e">
        <f>AND(#REF!,"AAAAAH+v95U=")</f>
        <v>#REF!</v>
      </c>
      <c r="EU226" t="e">
        <f>AND(#REF!,"AAAAAH+v95Y=")</f>
        <v>#REF!</v>
      </c>
      <c r="EV226" t="e">
        <f>AND(#REF!,"AAAAAH+v95c=")</f>
        <v>#REF!</v>
      </c>
      <c r="EW226" t="e">
        <f>AND(#REF!,"AAAAAH+v95g=")</f>
        <v>#REF!</v>
      </c>
      <c r="EX226" t="e">
        <f>AND(#REF!,"AAAAAH+v95k=")</f>
        <v>#REF!</v>
      </c>
      <c r="EY226" t="e">
        <f>AND(#REF!,"AAAAAH+v95o=")</f>
        <v>#REF!</v>
      </c>
      <c r="EZ226" t="e">
        <f>AND(#REF!,"AAAAAH+v95s=")</f>
        <v>#REF!</v>
      </c>
      <c r="FA226" t="e">
        <f>AND(#REF!,"AAAAAH+v95w=")</f>
        <v>#REF!</v>
      </c>
      <c r="FB226" t="e">
        <f>AND(#REF!,"AAAAAH+v950=")</f>
        <v>#REF!</v>
      </c>
      <c r="FC226" t="e">
        <f>AND(#REF!,"AAAAAH+v954=")</f>
        <v>#REF!</v>
      </c>
      <c r="FD226" t="e">
        <f>AND(#REF!,"AAAAAH+v958=")</f>
        <v>#REF!</v>
      </c>
      <c r="FE226" t="e">
        <f>AND(#REF!,"AAAAAH+v96A=")</f>
        <v>#REF!</v>
      </c>
      <c r="FF226" t="e">
        <f>AND(#REF!,"AAAAAH+v96E=")</f>
        <v>#REF!</v>
      </c>
      <c r="FG226" t="e">
        <f>AND(#REF!,"AAAAAH+v96I=")</f>
        <v>#REF!</v>
      </c>
      <c r="FH226" t="e">
        <f>AND(#REF!,"AAAAAH+v96M=")</f>
        <v>#REF!</v>
      </c>
      <c r="FI226" t="e">
        <f>AND(#REF!,"AAAAAH+v96Q=")</f>
        <v>#REF!</v>
      </c>
      <c r="FJ226" t="e">
        <f>AND(#REF!,"AAAAAH+v96U=")</f>
        <v>#REF!</v>
      </c>
      <c r="FK226" t="e">
        <f>AND(#REF!,"AAAAAH+v96Y=")</f>
        <v>#REF!</v>
      </c>
      <c r="FL226" t="e">
        <f>AND(#REF!,"AAAAAH+v96c=")</f>
        <v>#REF!</v>
      </c>
      <c r="FM226" t="e">
        <f>AND(#REF!,"AAAAAH+v96g=")</f>
        <v>#REF!</v>
      </c>
      <c r="FN226" t="e">
        <f>AND(#REF!,"AAAAAH+v96k=")</f>
        <v>#REF!</v>
      </c>
      <c r="FO226" t="e">
        <f>AND(#REF!,"AAAAAH+v96o=")</f>
        <v>#REF!</v>
      </c>
      <c r="FP226" t="e">
        <f>AND(#REF!,"AAAAAH+v96s=")</f>
        <v>#REF!</v>
      </c>
      <c r="FQ226" t="e">
        <f>AND(#REF!,"AAAAAH+v96w=")</f>
        <v>#REF!</v>
      </c>
      <c r="FR226" t="e">
        <f>AND(#REF!,"AAAAAH+v960=")</f>
        <v>#REF!</v>
      </c>
      <c r="FS226" t="e">
        <f>AND(#REF!,"AAAAAH+v964=")</f>
        <v>#REF!</v>
      </c>
      <c r="FT226" t="e">
        <f>AND(#REF!,"AAAAAH+v968=")</f>
        <v>#REF!</v>
      </c>
      <c r="FU226" t="e">
        <f>AND(#REF!,"AAAAAH+v97A=")</f>
        <v>#REF!</v>
      </c>
      <c r="FV226" t="e">
        <f>AND(#REF!,"AAAAAH+v97E=")</f>
        <v>#REF!</v>
      </c>
      <c r="FW226" t="e">
        <f>AND(#REF!,"AAAAAH+v97I=")</f>
        <v>#REF!</v>
      </c>
      <c r="FX226" t="e">
        <f>AND(#REF!,"AAAAAH+v97M=")</f>
        <v>#REF!</v>
      </c>
      <c r="FY226" t="e">
        <f>AND(#REF!,"AAAAAH+v97Q=")</f>
        <v>#REF!</v>
      </c>
      <c r="FZ226" t="e">
        <f>AND(#REF!,"AAAAAH+v97U=")</f>
        <v>#REF!</v>
      </c>
      <c r="GA226" t="e">
        <f>AND(#REF!,"AAAAAH+v97Y=")</f>
        <v>#REF!</v>
      </c>
      <c r="GB226" t="e">
        <f>AND(#REF!,"AAAAAH+v97c=")</f>
        <v>#REF!</v>
      </c>
      <c r="GC226" t="e">
        <f>AND(#REF!,"AAAAAH+v97g=")</f>
        <v>#REF!</v>
      </c>
      <c r="GD226" t="e">
        <f>AND(#REF!,"AAAAAH+v97k=")</f>
        <v>#REF!</v>
      </c>
      <c r="GE226" t="e">
        <f>AND(#REF!,"AAAAAH+v97o=")</f>
        <v>#REF!</v>
      </c>
      <c r="GF226" t="e">
        <f>AND(#REF!,"AAAAAH+v97s=")</f>
        <v>#REF!</v>
      </c>
      <c r="GG226" t="e">
        <f>AND(#REF!,"AAAAAH+v97w=")</f>
        <v>#REF!</v>
      </c>
      <c r="GH226" t="e">
        <f>AND(#REF!,"AAAAAH+v970=")</f>
        <v>#REF!</v>
      </c>
      <c r="GI226" t="e">
        <f>AND(#REF!,"AAAAAH+v974=")</f>
        <v>#REF!</v>
      </c>
      <c r="GJ226" t="e">
        <f>AND(#REF!,"AAAAAH+v978=")</f>
        <v>#REF!</v>
      </c>
      <c r="GK226" t="e">
        <f>AND(#REF!,"AAAAAH+v98A=")</f>
        <v>#REF!</v>
      </c>
      <c r="GL226" t="e">
        <f>AND(#REF!,"AAAAAH+v98E=")</f>
        <v>#REF!</v>
      </c>
      <c r="GM226" t="e">
        <f>AND(#REF!,"AAAAAH+v98I=")</f>
        <v>#REF!</v>
      </c>
      <c r="GN226" t="e">
        <f>AND(#REF!,"AAAAAH+v98M=")</f>
        <v>#REF!</v>
      </c>
      <c r="GO226" t="e">
        <f>AND(#REF!,"AAAAAH+v98Q=")</f>
        <v>#REF!</v>
      </c>
      <c r="GP226" t="e">
        <f>AND(#REF!,"AAAAAH+v98U=")</f>
        <v>#REF!</v>
      </c>
      <c r="GQ226" t="e">
        <f>AND(#REF!,"AAAAAH+v98Y=")</f>
        <v>#REF!</v>
      </c>
      <c r="GR226" t="e">
        <f>AND(#REF!,"AAAAAH+v98c=")</f>
        <v>#REF!</v>
      </c>
      <c r="GS226" t="e">
        <f>AND(#REF!,"AAAAAH+v98g=")</f>
        <v>#REF!</v>
      </c>
      <c r="GT226" t="e">
        <f>AND(#REF!,"AAAAAH+v98k=")</f>
        <v>#REF!</v>
      </c>
      <c r="GU226" t="e">
        <f>AND(#REF!,"AAAAAH+v98o=")</f>
        <v>#REF!</v>
      </c>
      <c r="GV226" t="e">
        <f>AND(#REF!,"AAAAAH+v98s=")</f>
        <v>#REF!</v>
      </c>
      <c r="GW226" t="e">
        <f>AND(#REF!,"AAAAAH+v98w=")</f>
        <v>#REF!</v>
      </c>
      <c r="GX226" t="e">
        <f>AND(#REF!,"AAAAAH+v980=")</f>
        <v>#REF!</v>
      </c>
      <c r="GY226" t="e">
        <f>AND(#REF!,"AAAAAH+v984=")</f>
        <v>#REF!</v>
      </c>
      <c r="GZ226" t="e">
        <f>AND(#REF!,"AAAAAH+v988=")</f>
        <v>#REF!</v>
      </c>
      <c r="HA226" t="e">
        <f>AND(#REF!,"AAAAAH+v99A=")</f>
        <v>#REF!</v>
      </c>
      <c r="HB226" t="e">
        <f>AND(#REF!,"AAAAAH+v99E=")</f>
        <v>#REF!</v>
      </c>
      <c r="HC226" t="e">
        <f>AND(#REF!,"AAAAAH+v99I=")</f>
        <v>#REF!</v>
      </c>
      <c r="HD226" t="e">
        <f>AND(#REF!,"AAAAAH+v99M=")</f>
        <v>#REF!</v>
      </c>
      <c r="HE226" t="e">
        <f>AND(#REF!,"AAAAAH+v99Q=")</f>
        <v>#REF!</v>
      </c>
      <c r="HF226" t="e">
        <f>AND(#REF!,"AAAAAH+v99U=")</f>
        <v>#REF!</v>
      </c>
      <c r="HG226" t="e">
        <f>AND(#REF!,"AAAAAH+v99Y=")</f>
        <v>#REF!</v>
      </c>
      <c r="HH226" t="e">
        <f>AND(#REF!,"AAAAAH+v99c=")</f>
        <v>#REF!</v>
      </c>
      <c r="HI226" t="e">
        <f>AND(#REF!,"AAAAAH+v99g=")</f>
        <v>#REF!</v>
      </c>
      <c r="HJ226" t="e">
        <f>AND(#REF!,"AAAAAH+v99k=")</f>
        <v>#REF!</v>
      </c>
      <c r="HK226" t="e">
        <f>AND(#REF!,"AAAAAH+v99o=")</f>
        <v>#REF!</v>
      </c>
      <c r="HL226" t="e">
        <f>AND(#REF!,"AAAAAH+v99s=")</f>
        <v>#REF!</v>
      </c>
      <c r="HM226" t="e">
        <f>AND(#REF!,"AAAAAH+v99w=")</f>
        <v>#REF!</v>
      </c>
      <c r="HN226" t="e">
        <f>AND(#REF!,"AAAAAH+v990=")</f>
        <v>#REF!</v>
      </c>
      <c r="HO226" t="e">
        <f>AND(#REF!,"AAAAAH+v994=")</f>
        <v>#REF!</v>
      </c>
      <c r="HP226" t="e">
        <f>AND(#REF!,"AAAAAH+v998=")</f>
        <v>#REF!</v>
      </c>
      <c r="HQ226" t="e">
        <f>AND(#REF!,"AAAAAH+v9+A=")</f>
        <v>#REF!</v>
      </c>
      <c r="HR226" t="e">
        <f>AND(#REF!,"AAAAAH+v9+E=")</f>
        <v>#REF!</v>
      </c>
      <c r="HS226" t="e">
        <f>AND(#REF!,"AAAAAH+v9+I=")</f>
        <v>#REF!</v>
      </c>
      <c r="HT226" t="e">
        <f>AND(#REF!,"AAAAAH+v9+M=")</f>
        <v>#REF!</v>
      </c>
      <c r="HU226" t="e">
        <f>AND(#REF!,"AAAAAH+v9+Q=")</f>
        <v>#REF!</v>
      </c>
      <c r="HV226" t="e">
        <f>AND(#REF!,"AAAAAH+v9+U=")</f>
        <v>#REF!</v>
      </c>
      <c r="HW226" t="e">
        <f>AND(#REF!,"AAAAAH+v9+Y=")</f>
        <v>#REF!</v>
      </c>
      <c r="HX226" t="e">
        <f>AND(#REF!,"AAAAAH+v9+c=")</f>
        <v>#REF!</v>
      </c>
      <c r="HY226" t="e">
        <f>AND(#REF!,"AAAAAH+v9+g=")</f>
        <v>#REF!</v>
      </c>
      <c r="HZ226" t="e">
        <f>AND(#REF!,"AAAAAH+v9+k=")</f>
        <v>#REF!</v>
      </c>
      <c r="IA226" t="e">
        <f>AND(#REF!,"AAAAAH+v9+o=")</f>
        <v>#REF!</v>
      </c>
      <c r="IB226" t="e">
        <f>AND(#REF!,"AAAAAH+v9+s=")</f>
        <v>#REF!</v>
      </c>
      <c r="IC226" t="e">
        <f>AND(#REF!,"AAAAAH+v9+w=")</f>
        <v>#REF!</v>
      </c>
      <c r="ID226" t="e">
        <f>AND(#REF!,"AAAAAH+v9+0=")</f>
        <v>#REF!</v>
      </c>
      <c r="IE226" t="e">
        <f>AND(#REF!,"AAAAAH+v9+4=")</f>
        <v>#REF!</v>
      </c>
      <c r="IF226" t="e">
        <f>AND(#REF!,"AAAAAH+v9+8=")</f>
        <v>#REF!</v>
      </c>
      <c r="IG226" t="e">
        <f>AND(#REF!,"AAAAAH+v9/A=")</f>
        <v>#REF!</v>
      </c>
      <c r="IH226" t="e">
        <f>AND(#REF!,"AAAAAH+v9/E=")</f>
        <v>#REF!</v>
      </c>
      <c r="II226" t="e">
        <f>AND(#REF!,"AAAAAH+v9/I=")</f>
        <v>#REF!</v>
      </c>
      <c r="IJ226" t="e">
        <f>AND(#REF!,"AAAAAH+v9/M=")</f>
        <v>#REF!</v>
      </c>
      <c r="IK226" t="e">
        <f>AND(#REF!,"AAAAAH+v9/Q=")</f>
        <v>#REF!</v>
      </c>
      <c r="IL226" t="e">
        <f>AND(#REF!,"AAAAAH+v9/U=")</f>
        <v>#REF!</v>
      </c>
      <c r="IM226" t="e">
        <f>AND(#REF!,"AAAAAH+v9/Y=")</f>
        <v>#REF!</v>
      </c>
      <c r="IN226" t="e">
        <f>AND(#REF!,"AAAAAH+v9/c=")</f>
        <v>#REF!</v>
      </c>
      <c r="IO226" t="e">
        <f>AND(#REF!,"AAAAAH+v9/g=")</f>
        <v>#REF!</v>
      </c>
      <c r="IP226" t="e">
        <f>AND(#REF!,"AAAAAH+v9/k=")</f>
        <v>#REF!</v>
      </c>
      <c r="IQ226" t="e">
        <f>AND(#REF!,"AAAAAH+v9/o=")</f>
        <v>#REF!</v>
      </c>
      <c r="IR226" t="e">
        <f>AND(#REF!,"AAAAAH+v9/s=")</f>
        <v>#REF!</v>
      </c>
      <c r="IS226" t="e">
        <f>AND(#REF!,"AAAAAH+v9/w=")</f>
        <v>#REF!</v>
      </c>
      <c r="IT226" t="e">
        <f>AND(#REF!,"AAAAAH+v9/0=")</f>
        <v>#REF!</v>
      </c>
      <c r="IU226" t="e">
        <f>IF(#REF!,"AAAAAH+v9/4=",0)</f>
        <v>#REF!</v>
      </c>
      <c r="IV226" t="e">
        <f>AND(#REF!,"AAAAAH+v9/8=")</f>
        <v>#REF!</v>
      </c>
    </row>
    <row r="227" spans="1:256">
      <c r="A227" t="e">
        <f>AND(#REF!,"AAAAAB3+9wA=")</f>
        <v>#REF!</v>
      </c>
      <c r="B227" t="e">
        <f>AND(#REF!,"AAAAAB3+9wE=")</f>
        <v>#REF!</v>
      </c>
      <c r="C227" t="e">
        <f>AND(#REF!,"AAAAAB3+9wI=")</f>
        <v>#REF!</v>
      </c>
      <c r="D227" t="e">
        <f>AND(#REF!,"AAAAAB3+9wM=")</f>
        <v>#REF!</v>
      </c>
      <c r="E227" t="e">
        <f>AND(#REF!,"AAAAAB3+9wQ=")</f>
        <v>#REF!</v>
      </c>
      <c r="F227" t="e">
        <f>AND(#REF!,"AAAAAB3+9wU=")</f>
        <v>#REF!</v>
      </c>
      <c r="G227" t="e">
        <f>AND(#REF!,"AAAAAB3+9wY=")</f>
        <v>#REF!</v>
      </c>
      <c r="H227" t="e">
        <f>AND(#REF!,"AAAAAB3+9wc=")</f>
        <v>#REF!</v>
      </c>
      <c r="I227" t="e">
        <f>AND(#REF!,"AAAAAB3+9wg=")</f>
        <v>#REF!</v>
      </c>
      <c r="J227" t="e">
        <f>AND(#REF!,"AAAAAB3+9wk=")</f>
        <v>#REF!</v>
      </c>
      <c r="K227" t="e">
        <f>AND(#REF!,"AAAAAB3+9wo=")</f>
        <v>#REF!</v>
      </c>
      <c r="L227" t="e">
        <f>AND(#REF!,"AAAAAB3+9ws=")</f>
        <v>#REF!</v>
      </c>
      <c r="M227" t="e">
        <f>AND(#REF!,"AAAAAB3+9ww=")</f>
        <v>#REF!</v>
      </c>
      <c r="N227" t="e">
        <f>AND(#REF!,"AAAAAB3+9w0=")</f>
        <v>#REF!</v>
      </c>
      <c r="O227" t="e">
        <f>AND(#REF!,"AAAAAB3+9w4=")</f>
        <v>#REF!</v>
      </c>
      <c r="P227" t="e">
        <f>AND(#REF!,"AAAAAB3+9w8=")</f>
        <v>#REF!</v>
      </c>
      <c r="Q227" t="e">
        <f>AND(#REF!,"AAAAAB3+9xA=")</f>
        <v>#REF!</v>
      </c>
      <c r="R227" t="e">
        <f>AND(#REF!,"AAAAAB3+9xE=")</f>
        <v>#REF!</v>
      </c>
      <c r="S227" t="e">
        <f>AND(#REF!,"AAAAAB3+9xI=")</f>
        <v>#REF!</v>
      </c>
      <c r="T227" t="e">
        <f>AND(#REF!,"AAAAAB3+9xM=")</f>
        <v>#REF!</v>
      </c>
      <c r="U227" t="e">
        <f>AND(#REF!,"AAAAAB3+9xQ=")</f>
        <v>#REF!</v>
      </c>
      <c r="V227" t="e">
        <f>AND(#REF!,"AAAAAB3+9xU=")</f>
        <v>#REF!</v>
      </c>
      <c r="W227" t="e">
        <f>AND(#REF!,"AAAAAB3+9xY=")</f>
        <v>#REF!</v>
      </c>
      <c r="X227" t="e">
        <f>AND(#REF!,"AAAAAB3+9xc=")</f>
        <v>#REF!</v>
      </c>
      <c r="Y227" t="e">
        <f>AND(#REF!,"AAAAAB3+9xg=")</f>
        <v>#REF!</v>
      </c>
      <c r="Z227" t="e">
        <f>AND(#REF!,"AAAAAB3+9xk=")</f>
        <v>#REF!</v>
      </c>
      <c r="AA227" t="e">
        <f>AND(#REF!,"AAAAAB3+9xo=")</f>
        <v>#REF!</v>
      </c>
      <c r="AB227" t="e">
        <f>AND(#REF!,"AAAAAB3+9xs=")</f>
        <v>#REF!</v>
      </c>
      <c r="AC227" t="e">
        <f>AND(#REF!,"AAAAAB3+9xw=")</f>
        <v>#REF!</v>
      </c>
      <c r="AD227" t="e">
        <f>AND(#REF!,"AAAAAB3+9x0=")</f>
        <v>#REF!</v>
      </c>
      <c r="AE227" t="e">
        <f>AND(#REF!,"AAAAAB3+9x4=")</f>
        <v>#REF!</v>
      </c>
      <c r="AF227" t="e">
        <f>AND(#REF!,"AAAAAB3+9x8=")</f>
        <v>#REF!</v>
      </c>
      <c r="AG227" t="e">
        <f>AND(#REF!,"AAAAAB3+9yA=")</f>
        <v>#REF!</v>
      </c>
      <c r="AH227" t="e">
        <f>AND(#REF!,"AAAAAB3+9yE=")</f>
        <v>#REF!</v>
      </c>
      <c r="AI227" t="e">
        <f>AND(#REF!,"AAAAAB3+9yI=")</f>
        <v>#REF!</v>
      </c>
      <c r="AJ227" t="e">
        <f>AND(#REF!,"AAAAAB3+9yM=")</f>
        <v>#REF!</v>
      </c>
      <c r="AK227" t="e">
        <f>AND(#REF!,"AAAAAB3+9yQ=")</f>
        <v>#REF!</v>
      </c>
      <c r="AL227" t="e">
        <f>AND(#REF!,"AAAAAB3+9yU=")</f>
        <v>#REF!</v>
      </c>
      <c r="AM227" t="e">
        <f>AND(#REF!,"AAAAAB3+9yY=")</f>
        <v>#REF!</v>
      </c>
      <c r="AN227" t="e">
        <f>AND(#REF!,"AAAAAB3+9yc=")</f>
        <v>#REF!</v>
      </c>
      <c r="AO227" t="e">
        <f>AND(#REF!,"AAAAAB3+9yg=")</f>
        <v>#REF!</v>
      </c>
      <c r="AP227" t="e">
        <f>AND(#REF!,"AAAAAB3+9yk=")</f>
        <v>#REF!</v>
      </c>
      <c r="AQ227" t="e">
        <f>AND(#REF!,"AAAAAB3+9yo=")</f>
        <v>#REF!</v>
      </c>
      <c r="AR227" t="e">
        <f>AND(#REF!,"AAAAAB3+9ys=")</f>
        <v>#REF!</v>
      </c>
      <c r="AS227" t="e">
        <f>AND(#REF!,"AAAAAB3+9yw=")</f>
        <v>#REF!</v>
      </c>
      <c r="AT227" t="e">
        <f>AND(#REF!,"AAAAAB3+9y0=")</f>
        <v>#REF!</v>
      </c>
      <c r="AU227" t="e">
        <f>AND(#REF!,"AAAAAB3+9y4=")</f>
        <v>#REF!</v>
      </c>
      <c r="AV227" t="e">
        <f>AND(#REF!,"AAAAAB3+9y8=")</f>
        <v>#REF!</v>
      </c>
      <c r="AW227" t="e">
        <f>AND(#REF!,"AAAAAB3+9zA=")</f>
        <v>#REF!</v>
      </c>
      <c r="AX227" t="e">
        <f>AND(#REF!,"AAAAAB3+9zE=")</f>
        <v>#REF!</v>
      </c>
      <c r="AY227" t="e">
        <f>AND(#REF!,"AAAAAB3+9zI=")</f>
        <v>#REF!</v>
      </c>
      <c r="AZ227" t="e">
        <f>AND(#REF!,"AAAAAB3+9zM=")</f>
        <v>#REF!</v>
      </c>
      <c r="BA227" t="e">
        <f>AND(#REF!,"AAAAAB3+9zQ=")</f>
        <v>#REF!</v>
      </c>
      <c r="BB227" t="e">
        <f>AND(#REF!,"AAAAAB3+9zU=")</f>
        <v>#REF!</v>
      </c>
      <c r="BC227" t="e">
        <f>AND(#REF!,"AAAAAB3+9zY=")</f>
        <v>#REF!</v>
      </c>
      <c r="BD227" t="e">
        <f>AND(#REF!,"AAAAAB3+9zc=")</f>
        <v>#REF!</v>
      </c>
      <c r="BE227" t="e">
        <f>AND(#REF!,"AAAAAB3+9zg=")</f>
        <v>#REF!</v>
      </c>
      <c r="BF227" t="e">
        <f>AND(#REF!,"AAAAAB3+9zk=")</f>
        <v>#REF!</v>
      </c>
      <c r="BG227" t="e">
        <f>AND(#REF!,"AAAAAB3+9zo=")</f>
        <v>#REF!</v>
      </c>
      <c r="BH227" t="e">
        <f>AND(#REF!,"AAAAAB3+9zs=")</f>
        <v>#REF!</v>
      </c>
      <c r="BI227" t="e">
        <f>AND(#REF!,"AAAAAB3+9zw=")</f>
        <v>#REF!</v>
      </c>
      <c r="BJ227" t="e">
        <f>AND(#REF!,"AAAAAB3+9z0=")</f>
        <v>#REF!</v>
      </c>
      <c r="BK227" t="e">
        <f>AND(#REF!,"AAAAAB3+9z4=")</f>
        <v>#REF!</v>
      </c>
      <c r="BL227" t="e">
        <f>AND(#REF!,"AAAAAB3+9z8=")</f>
        <v>#REF!</v>
      </c>
      <c r="BM227" t="e">
        <f>AND(#REF!,"AAAAAB3+90A=")</f>
        <v>#REF!</v>
      </c>
      <c r="BN227" t="e">
        <f>AND(#REF!,"AAAAAB3+90E=")</f>
        <v>#REF!</v>
      </c>
      <c r="BO227" t="e">
        <f>AND(#REF!,"AAAAAB3+90I=")</f>
        <v>#REF!</v>
      </c>
      <c r="BP227" t="e">
        <f>AND(#REF!,"AAAAAB3+90M=")</f>
        <v>#REF!</v>
      </c>
      <c r="BQ227" t="e">
        <f>AND(#REF!,"AAAAAB3+90Q=")</f>
        <v>#REF!</v>
      </c>
      <c r="BR227" t="e">
        <f>AND(#REF!,"AAAAAB3+90U=")</f>
        <v>#REF!</v>
      </c>
      <c r="BS227" t="e">
        <f>AND(#REF!,"AAAAAB3+90Y=")</f>
        <v>#REF!</v>
      </c>
      <c r="BT227" t="e">
        <f>AND(#REF!,"AAAAAB3+90c=")</f>
        <v>#REF!</v>
      </c>
      <c r="BU227" t="e">
        <f>AND(#REF!,"AAAAAB3+90g=")</f>
        <v>#REF!</v>
      </c>
      <c r="BV227" t="e">
        <f>AND(#REF!,"AAAAAB3+90k=")</f>
        <v>#REF!</v>
      </c>
      <c r="BW227" t="e">
        <f>AND(#REF!,"AAAAAB3+90o=")</f>
        <v>#REF!</v>
      </c>
      <c r="BX227" t="e">
        <f>AND(#REF!,"AAAAAB3+90s=")</f>
        <v>#REF!</v>
      </c>
      <c r="BY227" t="e">
        <f>AND(#REF!,"AAAAAB3+90w=")</f>
        <v>#REF!</v>
      </c>
      <c r="BZ227" t="e">
        <f>AND(#REF!,"AAAAAB3+900=")</f>
        <v>#REF!</v>
      </c>
      <c r="CA227" t="e">
        <f>AND(#REF!,"AAAAAB3+904=")</f>
        <v>#REF!</v>
      </c>
      <c r="CB227" t="e">
        <f>AND(#REF!,"AAAAAB3+908=")</f>
        <v>#REF!</v>
      </c>
      <c r="CC227" t="e">
        <f>AND(#REF!,"AAAAAB3+91A=")</f>
        <v>#REF!</v>
      </c>
      <c r="CD227" t="e">
        <f>AND(#REF!,"AAAAAB3+91E=")</f>
        <v>#REF!</v>
      </c>
      <c r="CE227" t="e">
        <f>AND(#REF!,"AAAAAB3+91I=")</f>
        <v>#REF!</v>
      </c>
      <c r="CF227" t="e">
        <f>AND(#REF!,"AAAAAB3+91M=")</f>
        <v>#REF!</v>
      </c>
      <c r="CG227" t="e">
        <f>AND(#REF!,"AAAAAB3+91Q=")</f>
        <v>#REF!</v>
      </c>
      <c r="CH227" t="e">
        <f>AND(#REF!,"AAAAAB3+91U=")</f>
        <v>#REF!</v>
      </c>
      <c r="CI227" t="e">
        <f>AND(#REF!,"AAAAAB3+91Y=")</f>
        <v>#REF!</v>
      </c>
      <c r="CJ227" t="e">
        <f>AND(#REF!,"AAAAAB3+91c=")</f>
        <v>#REF!</v>
      </c>
      <c r="CK227" t="e">
        <f>AND(#REF!,"AAAAAB3+91g=")</f>
        <v>#REF!</v>
      </c>
      <c r="CL227" t="e">
        <f>AND(#REF!,"AAAAAB3+91k=")</f>
        <v>#REF!</v>
      </c>
      <c r="CM227" t="e">
        <f>AND(#REF!,"AAAAAB3+91o=")</f>
        <v>#REF!</v>
      </c>
      <c r="CN227" t="e">
        <f>AND(#REF!,"AAAAAB3+91s=")</f>
        <v>#REF!</v>
      </c>
      <c r="CO227" t="e">
        <f>AND(#REF!,"AAAAAB3+91w=")</f>
        <v>#REF!</v>
      </c>
      <c r="CP227" t="e">
        <f>AND(#REF!,"AAAAAB3+910=")</f>
        <v>#REF!</v>
      </c>
      <c r="CQ227" t="e">
        <f>AND(#REF!,"AAAAAB3+914=")</f>
        <v>#REF!</v>
      </c>
      <c r="CR227" t="e">
        <f>AND(#REF!,"AAAAAB3+918=")</f>
        <v>#REF!</v>
      </c>
      <c r="CS227" t="e">
        <f>AND(#REF!,"AAAAAB3+92A=")</f>
        <v>#REF!</v>
      </c>
      <c r="CT227" t="e">
        <f>AND(#REF!,"AAAAAB3+92E=")</f>
        <v>#REF!</v>
      </c>
      <c r="CU227" t="e">
        <f>AND(#REF!,"AAAAAB3+92I=")</f>
        <v>#REF!</v>
      </c>
      <c r="CV227" t="e">
        <f>AND(#REF!,"AAAAAB3+92M=")</f>
        <v>#REF!</v>
      </c>
      <c r="CW227" t="e">
        <f>AND(#REF!,"AAAAAB3+92Q=")</f>
        <v>#REF!</v>
      </c>
      <c r="CX227" t="e">
        <f>AND(#REF!,"AAAAAB3+92U=")</f>
        <v>#REF!</v>
      </c>
      <c r="CY227" t="e">
        <f>AND(#REF!,"AAAAAB3+92Y=")</f>
        <v>#REF!</v>
      </c>
      <c r="CZ227" t="e">
        <f>AND(#REF!,"AAAAAB3+92c=")</f>
        <v>#REF!</v>
      </c>
      <c r="DA227" t="e">
        <f>AND(#REF!,"AAAAAB3+92g=")</f>
        <v>#REF!</v>
      </c>
      <c r="DB227" t="e">
        <f>AND(#REF!,"AAAAAB3+92k=")</f>
        <v>#REF!</v>
      </c>
      <c r="DC227" t="e">
        <f>AND(#REF!,"AAAAAB3+92o=")</f>
        <v>#REF!</v>
      </c>
      <c r="DD227" t="e">
        <f>AND(#REF!,"AAAAAB3+92s=")</f>
        <v>#REF!</v>
      </c>
      <c r="DE227" t="e">
        <f>AND(#REF!,"AAAAAB3+92w=")</f>
        <v>#REF!</v>
      </c>
      <c r="DF227" t="e">
        <f>AND(#REF!,"AAAAAB3+920=")</f>
        <v>#REF!</v>
      </c>
      <c r="DG227" t="e">
        <f>AND(#REF!,"AAAAAB3+924=")</f>
        <v>#REF!</v>
      </c>
      <c r="DH227" t="e">
        <f>AND(#REF!,"AAAAAB3+928=")</f>
        <v>#REF!</v>
      </c>
      <c r="DI227" t="e">
        <f>AND(#REF!,"AAAAAB3+93A=")</f>
        <v>#REF!</v>
      </c>
      <c r="DJ227" t="e">
        <f>AND(#REF!,"AAAAAB3+93E=")</f>
        <v>#REF!</v>
      </c>
      <c r="DK227" t="e">
        <f>AND(#REF!,"AAAAAB3+93I=")</f>
        <v>#REF!</v>
      </c>
      <c r="DL227" t="e">
        <f>AND(#REF!,"AAAAAB3+93M=")</f>
        <v>#REF!</v>
      </c>
      <c r="DM227" t="e">
        <f>AND(#REF!,"AAAAAB3+93Q=")</f>
        <v>#REF!</v>
      </c>
      <c r="DN227" t="e">
        <f>AND(#REF!,"AAAAAB3+93U=")</f>
        <v>#REF!</v>
      </c>
      <c r="DO227" t="e">
        <f>AND(#REF!,"AAAAAB3+93Y=")</f>
        <v>#REF!</v>
      </c>
      <c r="DP227" t="e">
        <f>AND(#REF!,"AAAAAB3+93c=")</f>
        <v>#REF!</v>
      </c>
      <c r="DQ227" t="e">
        <f>AND(#REF!,"AAAAAB3+93g=")</f>
        <v>#REF!</v>
      </c>
      <c r="DR227" t="e">
        <f>AND(#REF!,"AAAAAB3+93k=")</f>
        <v>#REF!</v>
      </c>
      <c r="DS227" t="e">
        <f>AND(#REF!,"AAAAAB3+93o=")</f>
        <v>#REF!</v>
      </c>
      <c r="DT227" t="e">
        <f>AND(#REF!,"AAAAAB3+93s=")</f>
        <v>#REF!</v>
      </c>
      <c r="DU227" t="e">
        <f>AND(#REF!,"AAAAAB3+93w=")</f>
        <v>#REF!</v>
      </c>
      <c r="DV227" t="e">
        <f>AND(#REF!,"AAAAAB3+930=")</f>
        <v>#REF!</v>
      </c>
      <c r="DW227" t="e">
        <f>AND(#REF!,"AAAAAB3+934=")</f>
        <v>#REF!</v>
      </c>
      <c r="DX227" t="e">
        <f>AND(#REF!,"AAAAAB3+938=")</f>
        <v>#REF!</v>
      </c>
      <c r="DY227" t="e">
        <f>AND(#REF!,"AAAAAB3+94A=")</f>
        <v>#REF!</v>
      </c>
      <c r="DZ227" t="e">
        <f>AND(#REF!,"AAAAAB3+94E=")</f>
        <v>#REF!</v>
      </c>
      <c r="EA227" t="e">
        <f>AND(#REF!,"AAAAAB3+94I=")</f>
        <v>#REF!</v>
      </c>
      <c r="EB227" t="e">
        <f>AND(#REF!,"AAAAAB3+94M=")</f>
        <v>#REF!</v>
      </c>
      <c r="EC227" t="e">
        <f>AND(#REF!,"AAAAAB3+94Q=")</f>
        <v>#REF!</v>
      </c>
      <c r="ED227" t="e">
        <f>AND(#REF!,"AAAAAB3+94U=")</f>
        <v>#REF!</v>
      </c>
      <c r="EE227" t="e">
        <f>AND(#REF!,"AAAAAB3+94Y=")</f>
        <v>#REF!</v>
      </c>
      <c r="EF227" t="e">
        <f>AND(#REF!,"AAAAAB3+94c=")</f>
        <v>#REF!</v>
      </c>
      <c r="EG227" t="e">
        <f>AND(#REF!,"AAAAAB3+94g=")</f>
        <v>#REF!</v>
      </c>
      <c r="EH227" t="e">
        <f>AND(#REF!,"AAAAAB3+94k=")</f>
        <v>#REF!</v>
      </c>
      <c r="EI227" t="e">
        <f>AND(#REF!,"AAAAAB3+94o=")</f>
        <v>#REF!</v>
      </c>
      <c r="EJ227" t="e">
        <f>AND(#REF!,"AAAAAB3+94s=")</f>
        <v>#REF!</v>
      </c>
      <c r="EK227" t="e">
        <f>AND(#REF!,"AAAAAB3+94w=")</f>
        <v>#REF!</v>
      </c>
      <c r="EL227" t="e">
        <f>AND(#REF!,"AAAAAB3+940=")</f>
        <v>#REF!</v>
      </c>
      <c r="EM227" t="e">
        <f>AND(#REF!,"AAAAAB3+944=")</f>
        <v>#REF!</v>
      </c>
      <c r="EN227" t="e">
        <f>AND(#REF!,"AAAAAB3+948=")</f>
        <v>#REF!</v>
      </c>
      <c r="EO227" t="e">
        <f>AND(#REF!,"AAAAAB3+95A=")</f>
        <v>#REF!</v>
      </c>
      <c r="EP227" t="e">
        <f>AND(#REF!,"AAAAAB3+95E=")</f>
        <v>#REF!</v>
      </c>
      <c r="EQ227" t="e">
        <f>AND(#REF!,"AAAAAB3+95I=")</f>
        <v>#REF!</v>
      </c>
      <c r="ER227" t="e">
        <f>AND(#REF!,"AAAAAB3+95M=")</f>
        <v>#REF!</v>
      </c>
      <c r="ES227" t="e">
        <f>AND(#REF!,"AAAAAB3+95Q=")</f>
        <v>#REF!</v>
      </c>
      <c r="ET227" t="e">
        <f>AND(#REF!,"AAAAAB3+95U=")</f>
        <v>#REF!</v>
      </c>
      <c r="EU227" t="e">
        <f>AND(#REF!,"AAAAAB3+95Y=")</f>
        <v>#REF!</v>
      </c>
      <c r="EV227" t="e">
        <f>AND(#REF!,"AAAAAB3+95c=")</f>
        <v>#REF!</v>
      </c>
      <c r="EW227" t="e">
        <f>AND(#REF!,"AAAAAB3+95g=")</f>
        <v>#REF!</v>
      </c>
      <c r="EX227" t="e">
        <f>AND(#REF!,"AAAAAB3+95k=")</f>
        <v>#REF!</v>
      </c>
      <c r="EY227" t="e">
        <f>AND(#REF!,"AAAAAB3+95o=")</f>
        <v>#REF!</v>
      </c>
      <c r="EZ227" t="e">
        <f>AND(#REF!,"AAAAAB3+95s=")</f>
        <v>#REF!</v>
      </c>
      <c r="FA227" t="e">
        <f>AND(#REF!,"AAAAAB3+95w=")</f>
        <v>#REF!</v>
      </c>
      <c r="FB227" t="e">
        <f>AND(#REF!,"AAAAAB3+950=")</f>
        <v>#REF!</v>
      </c>
      <c r="FC227" t="e">
        <f>AND(#REF!,"AAAAAB3+954=")</f>
        <v>#REF!</v>
      </c>
      <c r="FD227" t="e">
        <f>AND(#REF!,"AAAAAB3+958=")</f>
        <v>#REF!</v>
      </c>
      <c r="FE227" t="e">
        <f>AND(#REF!,"AAAAAB3+96A=")</f>
        <v>#REF!</v>
      </c>
      <c r="FF227" t="e">
        <f>AND(#REF!,"AAAAAB3+96E=")</f>
        <v>#REF!</v>
      </c>
      <c r="FG227" t="e">
        <f>AND(#REF!,"AAAAAB3+96I=")</f>
        <v>#REF!</v>
      </c>
      <c r="FH227" t="e">
        <f>AND(#REF!,"AAAAAB3+96M=")</f>
        <v>#REF!</v>
      </c>
      <c r="FI227" t="e">
        <f>AND(#REF!,"AAAAAB3+96Q=")</f>
        <v>#REF!</v>
      </c>
      <c r="FJ227" t="e">
        <f>AND(#REF!,"AAAAAB3+96U=")</f>
        <v>#REF!</v>
      </c>
      <c r="FK227" t="e">
        <f>AND(#REF!,"AAAAAB3+96Y=")</f>
        <v>#REF!</v>
      </c>
      <c r="FL227" t="e">
        <f>AND(#REF!,"AAAAAB3+96c=")</f>
        <v>#REF!</v>
      </c>
      <c r="FM227" t="e">
        <f>AND(#REF!,"AAAAAB3+96g=")</f>
        <v>#REF!</v>
      </c>
      <c r="FN227" t="e">
        <f>AND(#REF!,"AAAAAB3+96k=")</f>
        <v>#REF!</v>
      </c>
      <c r="FO227" t="e">
        <f>AND(#REF!,"AAAAAB3+96o=")</f>
        <v>#REF!</v>
      </c>
      <c r="FP227" t="e">
        <f>AND(#REF!,"AAAAAB3+96s=")</f>
        <v>#REF!</v>
      </c>
      <c r="FQ227" t="e">
        <f>AND(#REF!,"AAAAAB3+96w=")</f>
        <v>#REF!</v>
      </c>
      <c r="FR227" t="e">
        <f>AND(#REF!,"AAAAAB3+960=")</f>
        <v>#REF!</v>
      </c>
      <c r="FS227" t="e">
        <f>AND(#REF!,"AAAAAB3+964=")</f>
        <v>#REF!</v>
      </c>
      <c r="FT227" t="e">
        <f>AND(#REF!,"AAAAAB3+968=")</f>
        <v>#REF!</v>
      </c>
      <c r="FU227" t="e">
        <f>AND(#REF!,"AAAAAB3+97A=")</f>
        <v>#REF!</v>
      </c>
      <c r="FV227" t="e">
        <f>AND(#REF!,"AAAAAB3+97E=")</f>
        <v>#REF!</v>
      </c>
      <c r="FW227" t="e">
        <f>AND(#REF!,"AAAAAB3+97I=")</f>
        <v>#REF!</v>
      </c>
      <c r="FX227" t="e">
        <f>AND(#REF!,"AAAAAB3+97M=")</f>
        <v>#REF!</v>
      </c>
      <c r="FY227" t="e">
        <f>AND(#REF!,"AAAAAB3+97Q=")</f>
        <v>#REF!</v>
      </c>
      <c r="FZ227" t="e">
        <f>AND(#REF!,"AAAAAB3+97U=")</f>
        <v>#REF!</v>
      </c>
      <c r="GA227" t="e">
        <f>AND(#REF!,"AAAAAB3+97Y=")</f>
        <v>#REF!</v>
      </c>
      <c r="GB227" t="e">
        <f>AND(#REF!,"AAAAAB3+97c=")</f>
        <v>#REF!</v>
      </c>
      <c r="GC227" t="e">
        <f>AND(#REF!,"AAAAAB3+97g=")</f>
        <v>#REF!</v>
      </c>
      <c r="GD227" t="e">
        <f>AND(#REF!,"AAAAAB3+97k=")</f>
        <v>#REF!</v>
      </c>
      <c r="GE227" t="e">
        <f>AND(#REF!,"AAAAAB3+97o=")</f>
        <v>#REF!</v>
      </c>
      <c r="GF227" t="e">
        <f>AND(#REF!,"AAAAAB3+97s=")</f>
        <v>#REF!</v>
      </c>
      <c r="GG227" t="e">
        <f>AND(#REF!,"AAAAAB3+97w=")</f>
        <v>#REF!</v>
      </c>
      <c r="GH227" t="e">
        <f>AND(#REF!,"AAAAAB3+970=")</f>
        <v>#REF!</v>
      </c>
      <c r="GI227" t="e">
        <f>AND(#REF!,"AAAAAB3+974=")</f>
        <v>#REF!</v>
      </c>
      <c r="GJ227" t="e">
        <f>AND(#REF!,"AAAAAB3+978=")</f>
        <v>#REF!</v>
      </c>
      <c r="GK227" t="e">
        <f>AND(#REF!,"AAAAAB3+98A=")</f>
        <v>#REF!</v>
      </c>
      <c r="GL227" t="e">
        <f>AND(#REF!,"AAAAAB3+98E=")</f>
        <v>#REF!</v>
      </c>
      <c r="GM227" t="e">
        <f>AND(#REF!,"AAAAAB3+98I=")</f>
        <v>#REF!</v>
      </c>
      <c r="GN227" t="e">
        <f>AND(#REF!,"AAAAAB3+98M=")</f>
        <v>#REF!</v>
      </c>
      <c r="GO227" t="e">
        <f>AND(#REF!,"AAAAAB3+98Q=")</f>
        <v>#REF!</v>
      </c>
      <c r="GP227" t="e">
        <f>AND(#REF!,"AAAAAB3+98U=")</f>
        <v>#REF!</v>
      </c>
      <c r="GQ227" t="e">
        <f>AND(#REF!,"AAAAAB3+98Y=")</f>
        <v>#REF!</v>
      </c>
      <c r="GR227" t="e">
        <f>AND(#REF!,"AAAAAB3+98c=")</f>
        <v>#REF!</v>
      </c>
      <c r="GS227" t="e">
        <f>AND(#REF!,"AAAAAB3+98g=")</f>
        <v>#REF!</v>
      </c>
      <c r="GT227" t="e">
        <f>AND(#REF!,"AAAAAB3+98k=")</f>
        <v>#REF!</v>
      </c>
      <c r="GU227" t="e">
        <f>AND(#REF!,"AAAAAB3+98o=")</f>
        <v>#REF!</v>
      </c>
      <c r="GV227" t="e">
        <f>AND(#REF!,"AAAAAB3+98s=")</f>
        <v>#REF!</v>
      </c>
      <c r="GW227" t="e">
        <f>AND(#REF!,"AAAAAB3+98w=")</f>
        <v>#REF!</v>
      </c>
      <c r="GX227" t="e">
        <f>AND(#REF!,"AAAAAB3+980=")</f>
        <v>#REF!</v>
      </c>
      <c r="GY227" t="e">
        <f>AND(#REF!,"AAAAAB3+984=")</f>
        <v>#REF!</v>
      </c>
      <c r="GZ227" t="e">
        <f>AND(#REF!,"AAAAAB3+988=")</f>
        <v>#REF!</v>
      </c>
      <c r="HA227" t="e">
        <f>AND(#REF!,"AAAAAB3+99A=")</f>
        <v>#REF!</v>
      </c>
      <c r="HB227" t="e">
        <f>AND(#REF!,"AAAAAB3+99E=")</f>
        <v>#REF!</v>
      </c>
      <c r="HC227" t="e">
        <f>AND(#REF!,"AAAAAB3+99I=")</f>
        <v>#REF!</v>
      </c>
      <c r="HD227" t="e">
        <f>AND(#REF!,"AAAAAB3+99M=")</f>
        <v>#REF!</v>
      </c>
      <c r="HE227" t="e">
        <f>AND(#REF!,"AAAAAB3+99Q=")</f>
        <v>#REF!</v>
      </c>
      <c r="HF227" t="e">
        <f>AND(#REF!,"AAAAAB3+99U=")</f>
        <v>#REF!</v>
      </c>
      <c r="HG227" t="e">
        <f>AND(#REF!,"AAAAAB3+99Y=")</f>
        <v>#REF!</v>
      </c>
      <c r="HH227" t="e">
        <f>AND(#REF!,"AAAAAB3+99c=")</f>
        <v>#REF!</v>
      </c>
      <c r="HI227" t="e">
        <f>AND(#REF!,"AAAAAB3+99g=")</f>
        <v>#REF!</v>
      </c>
      <c r="HJ227" t="e">
        <f>AND(#REF!,"AAAAAB3+99k=")</f>
        <v>#REF!</v>
      </c>
      <c r="HK227" t="e">
        <f>AND(#REF!,"AAAAAB3+99o=")</f>
        <v>#REF!</v>
      </c>
      <c r="HL227" t="e">
        <f>AND(#REF!,"AAAAAB3+99s=")</f>
        <v>#REF!</v>
      </c>
      <c r="HM227" t="e">
        <f>AND(#REF!,"AAAAAB3+99w=")</f>
        <v>#REF!</v>
      </c>
      <c r="HN227" t="e">
        <f>AND(#REF!,"AAAAAB3+990=")</f>
        <v>#REF!</v>
      </c>
      <c r="HO227" t="e">
        <f>AND(#REF!,"AAAAAB3+994=")</f>
        <v>#REF!</v>
      </c>
      <c r="HP227" t="e">
        <f>AND(#REF!,"AAAAAB3+998=")</f>
        <v>#REF!</v>
      </c>
      <c r="HQ227" t="e">
        <f>AND(#REF!,"AAAAAB3+9+A=")</f>
        <v>#REF!</v>
      </c>
      <c r="HR227" t="e">
        <f>AND(#REF!,"AAAAAB3+9+E=")</f>
        <v>#REF!</v>
      </c>
      <c r="HS227" t="e">
        <f>IF(#REF!,"AAAAAB3+9+I=",0)</f>
        <v>#REF!</v>
      </c>
      <c r="HT227" t="e">
        <f>AND(#REF!,"AAAAAB3+9+M=")</f>
        <v>#REF!</v>
      </c>
      <c r="HU227" t="e">
        <f>AND(#REF!,"AAAAAB3+9+Q=")</f>
        <v>#REF!</v>
      </c>
      <c r="HV227" t="e">
        <f>AND(#REF!,"AAAAAB3+9+U=")</f>
        <v>#REF!</v>
      </c>
      <c r="HW227" t="e">
        <f>AND(#REF!,"AAAAAB3+9+Y=")</f>
        <v>#REF!</v>
      </c>
      <c r="HX227" t="e">
        <f>AND(#REF!,"AAAAAB3+9+c=")</f>
        <v>#REF!</v>
      </c>
      <c r="HY227" t="e">
        <f>AND(#REF!,"AAAAAB3+9+g=")</f>
        <v>#REF!</v>
      </c>
      <c r="HZ227" t="e">
        <f>AND(#REF!,"AAAAAB3+9+k=")</f>
        <v>#REF!</v>
      </c>
      <c r="IA227" t="e">
        <f>AND(#REF!,"AAAAAB3+9+o=")</f>
        <v>#REF!</v>
      </c>
      <c r="IB227" t="e">
        <f>AND(#REF!,"AAAAAB3+9+s=")</f>
        <v>#REF!</v>
      </c>
      <c r="IC227" t="e">
        <f>AND(#REF!,"AAAAAB3+9+w=")</f>
        <v>#REF!</v>
      </c>
      <c r="ID227" t="e">
        <f>AND(#REF!,"AAAAAB3+9+0=")</f>
        <v>#REF!</v>
      </c>
      <c r="IE227" t="e">
        <f>AND(#REF!,"AAAAAB3+9+4=")</f>
        <v>#REF!</v>
      </c>
      <c r="IF227" t="e">
        <f>AND(#REF!,"AAAAAB3+9+8=")</f>
        <v>#REF!</v>
      </c>
      <c r="IG227" t="e">
        <f>AND(#REF!,"AAAAAB3+9/A=")</f>
        <v>#REF!</v>
      </c>
      <c r="IH227" t="e">
        <f>AND(#REF!,"AAAAAB3+9/E=")</f>
        <v>#REF!</v>
      </c>
      <c r="II227" t="e">
        <f>AND(#REF!,"AAAAAB3+9/I=")</f>
        <v>#REF!</v>
      </c>
      <c r="IJ227" t="e">
        <f>AND(#REF!,"AAAAAB3+9/M=")</f>
        <v>#REF!</v>
      </c>
      <c r="IK227" t="e">
        <f>AND(#REF!,"AAAAAB3+9/Q=")</f>
        <v>#REF!</v>
      </c>
      <c r="IL227" t="e">
        <f>AND(#REF!,"AAAAAB3+9/U=")</f>
        <v>#REF!</v>
      </c>
      <c r="IM227" t="e">
        <f>AND(#REF!,"AAAAAB3+9/Y=")</f>
        <v>#REF!</v>
      </c>
      <c r="IN227" t="e">
        <f>AND(#REF!,"AAAAAB3+9/c=")</f>
        <v>#REF!</v>
      </c>
      <c r="IO227" t="e">
        <f>AND(#REF!,"AAAAAB3+9/g=")</f>
        <v>#REF!</v>
      </c>
      <c r="IP227" t="e">
        <f>AND(#REF!,"AAAAAB3+9/k=")</f>
        <v>#REF!</v>
      </c>
      <c r="IQ227" t="e">
        <f>AND(#REF!,"AAAAAB3+9/o=")</f>
        <v>#REF!</v>
      </c>
      <c r="IR227" t="e">
        <f>AND(#REF!,"AAAAAB3+9/s=")</f>
        <v>#REF!</v>
      </c>
      <c r="IS227" t="e">
        <f>AND(#REF!,"AAAAAB3+9/w=")</f>
        <v>#REF!</v>
      </c>
      <c r="IT227" t="e">
        <f>AND(#REF!,"AAAAAB3+9/0=")</f>
        <v>#REF!</v>
      </c>
      <c r="IU227" t="e">
        <f>AND(#REF!,"AAAAAB3+9/4=")</f>
        <v>#REF!</v>
      </c>
      <c r="IV227" t="e">
        <f>AND(#REF!,"AAAAAB3+9/8=")</f>
        <v>#REF!</v>
      </c>
    </row>
    <row r="228" spans="1:256">
      <c r="A228" t="e">
        <f>AND(#REF!,"AAAAAH53+QA=")</f>
        <v>#REF!</v>
      </c>
      <c r="B228" t="e">
        <f>AND(#REF!,"AAAAAH53+QE=")</f>
        <v>#REF!</v>
      </c>
      <c r="C228" t="e">
        <f>AND(#REF!,"AAAAAH53+QI=")</f>
        <v>#REF!</v>
      </c>
      <c r="D228" t="e">
        <f>AND(#REF!,"AAAAAH53+QM=")</f>
        <v>#REF!</v>
      </c>
      <c r="E228" t="e">
        <f>AND(#REF!,"AAAAAH53+QQ=")</f>
        <v>#REF!</v>
      </c>
      <c r="F228" t="e">
        <f>AND(#REF!,"AAAAAH53+QU=")</f>
        <v>#REF!</v>
      </c>
      <c r="G228" t="e">
        <f>AND(#REF!,"AAAAAH53+QY=")</f>
        <v>#REF!</v>
      </c>
      <c r="H228" t="e">
        <f>AND(#REF!,"AAAAAH53+Qc=")</f>
        <v>#REF!</v>
      </c>
      <c r="I228" t="e">
        <f>AND(#REF!,"AAAAAH53+Qg=")</f>
        <v>#REF!</v>
      </c>
      <c r="J228" t="e">
        <f>AND(#REF!,"AAAAAH53+Qk=")</f>
        <v>#REF!</v>
      </c>
      <c r="K228" t="e">
        <f>AND(#REF!,"AAAAAH53+Qo=")</f>
        <v>#REF!</v>
      </c>
      <c r="L228" t="e">
        <f>AND(#REF!,"AAAAAH53+Qs=")</f>
        <v>#REF!</v>
      </c>
      <c r="M228" t="e">
        <f>AND(#REF!,"AAAAAH53+Qw=")</f>
        <v>#REF!</v>
      </c>
      <c r="N228" t="e">
        <f>AND(#REF!,"AAAAAH53+Q0=")</f>
        <v>#REF!</v>
      </c>
      <c r="O228" t="e">
        <f>AND(#REF!,"AAAAAH53+Q4=")</f>
        <v>#REF!</v>
      </c>
      <c r="P228" t="e">
        <f>AND(#REF!,"AAAAAH53+Q8=")</f>
        <v>#REF!</v>
      </c>
      <c r="Q228" t="e">
        <f>AND(#REF!,"AAAAAH53+RA=")</f>
        <v>#REF!</v>
      </c>
      <c r="R228" t="e">
        <f>AND(#REF!,"AAAAAH53+RE=")</f>
        <v>#REF!</v>
      </c>
      <c r="S228" t="e">
        <f>AND(#REF!,"AAAAAH53+RI=")</f>
        <v>#REF!</v>
      </c>
      <c r="T228" t="e">
        <f>AND(#REF!,"AAAAAH53+RM=")</f>
        <v>#REF!</v>
      </c>
      <c r="U228" t="e">
        <f>AND(#REF!,"AAAAAH53+RQ=")</f>
        <v>#REF!</v>
      </c>
      <c r="V228" t="e">
        <f>AND(#REF!,"AAAAAH53+RU=")</f>
        <v>#REF!</v>
      </c>
      <c r="W228" t="e">
        <f>AND(#REF!,"AAAAAH53+RY=")</f>
        <v>#REF!</v>
      </c>
      <c r="X228" t="e">
        <f>AND(#REF!,"AAAAAH53+Rc=")</f>
        <v>#REF!</v>
      </c>
      <c r="Y228" t="e">
        <f>AND(#REF!,"AAAAAH53+Rg=")</f>
        <v>#REF!</v>
      </c>
      <c r="Z228" t="e">
        <f>AND(#REF!,"AAAAAH53+Rk=")</f>
        <v>#REF!</v>
      </c>
      <c r="AA228" t="e">
        <f>AND(#REF!,"AAAAAH53+Ro=")</f>
        <v>#REF!</v>
      </c>
      <c r="AB228" t="e">
        <f>AND(#REF!,"AAAAAH53+Rs=")</f>
        <v>#REF!</v>
      </c>
      <c r="AC228" t="e">
        <f>AND(#REF!,"AAAAAH53+Rw=")</f>
        <v>#REF!</v>
      </c>
      <c r="AD228" t="e">
        <f>AND(#REF!,"AAAAAH53+R0=")</f>
        <v>#REF!</v>
      </c>
      <c r="AE228" t="e">
        <f>AND(#REF!,"AAAAAH53+R4=")</f>
        <v>#REF!</v>
      </c>
      <c r="AF228" t="e">
        <f>AND(#REF!,"AAAAAH53+R8=")</f>
        <v>#REF!</v>
      </c>
      <c r="AG228" t="e">
        <f>AND(#REF!,"AAAAAH53+SA=")</f>
        <v>#REF!</v>
      </c>
      <c r="AH228" t="e">
        <f>AND(#REF!,"AAAAAH53+SE=")</f>
        <v>#REF!</v>
      </c>
      <c r="AI228" t="e">
        <f>AND(#REF!,"AAAAAH53+SI=")</f>
        <v>#REF!</v>
      </c>
      <c r="AJ228" t="e">
        <f>AND(#REF!,"AAAAAH53+SM=")</f>
        <v>#REF!</v>
      </c>
      <c r="AK228" t="e">
        <f>AND(#REF!,"AAAAAH53+SQ=")</f>
        <v>#REF!</v>
      </c>
      <c r="AL228" t="e">
        <f>AND(#REF!,"AAAAAH53+SU=")</f>
        <v>#REF!</v>
      </c>
      <c r="AM228" t="e">
        <f>AND(#REF!,"AAAAAH53+SY=")</f>
        <v>#REF!</v>
      </c>
      <c r="AN228" t="e">
        <f>AND(#REF!,"AAAAAH53+Sc=")</f>
        <v>#REF!</v>
      </c>
      <c r="AO228" t="e">
        <f>AND(#REF!,"AAAAAH53+Sg=")</f>
        <v>#REF!</v>
      </c>
      <c r="AP228" t="e">
        <f>AND(#REF!,"AAAAAH53+Sk=")</f>
        <v>#REF!</v>
      </c>
      <c r="AQ228" t="e">
        <f>AND(#REF!,"AAAAAH53+So=")</f>
        <v>#REF!</v>
      </c>
      <c r="AR228" t="e">
        <f>AND(#REF!,"AAAAAH53+Ss=")</f>
        <v>#REF!</v>
      </c>
      <c r="AS228" t="e">
        <f>AND(#REF!,"AAAAAH53+Sw=")</f>
        <v>#REF!</v>
      </c>
      <c r="AT228" t="e">
        <f>AND(#REF!,"AAAAAH53+S0=")</f>
        <v>#REF!</v>
      </c>
      <c r="AU228" t="e">
        <f>AND(#REF!,"AAAAAH53+S4=")</f>
        <v>#REF!</v>
      </c>
      <c r="AV228" t="e">
        <f>AND(#REF!,"AAAAAH53+S8=")</f>
        <v>#REF!</v>
      </c>
      <c r="AW228" t="e">
        <f>AND(#REF!,"AAAAAH53+TA=")</f>
        <v>#REF!</v>
      </c>
      <c r="AX228" t="e">
        <f>AND(#REF!,"AAAAAH53+TE=")</f>
        <v>#REF!</v>
      </c>
      <c r="AY228" t="e">
        <f>AND(#REF!,"AAAAAH53+TI=")</f>
        <v>#REF!</v>
      </c>
      <c r="AZ228" t="e">
        <f>AND(#REF!,"AAAAAH53+TM=")</f>
        <v>#REF!</v>
      </c>
      <c r="BA228" t="e">
        <f>AND(#REF!,"AAAAAH53+TQ=")</f>
        <v>#REF!</v>
      </c>
      <c r="BB228" t="e">
        <f>AND(#REF!,"AAAAAH53+TU=")</f>
        <v>#REF!</v>
      </c>
      <c r="BC228" t="e">
        <f>AND(#REF!,"AAAAAH53+TY=")</f>
        <v>#REF!</v>
      </c>
      <c r="BD228" t="e">
        <f>AND(#REF!,"AAAAAH53+Tc=")</f>
        <v>#REF!</v>
      </c>
      <c r="BE228" t="e">
        <f>AND(#REF!,"AAAAAH53+Tg=")</f>
        <v>#REF!</v>
      </c>
      <c r="BF228" t="e">
        <f>AND(#REF!,"AAAAAH53+Tk=")</f>
        <v>#REF!</v>
      </c>
      <c r="BG228" t="e">
        <f>AND(#REF!,"AAAAAH53+To=")</f>
        <v>#REF!</v>
      </c>
      <c r="BH228" t="e">
        <f>AND(#REF!,"AAAAAH53+Ts=")</f>
        <v>#REF!</v>
      </c>
      <c r="BI228" t="e">
        <f>AND(#REF!,"AAAAAH53+Tw=")</f>
        <v>#REF!</v>
      </c>
      <c r="BJ228" t="e">
        <f>AND(#REF!,"AAAAAH53+T0=")</f>
        <v>#REF!</v>
      </c>
      <c r="BK228" t="e">
        <f>AND(#REF!,"AAAAAH53+T4=")</f>
        <v>#REF!</v>
      </c>
      <c r="BL228" t="e">
        <f>AND(#REF!,"AAAAAH53+T8=")</f>
        <v>#REF!</v>
      </c>
      <c r="BM228" t="e">
        <f>AND(#REF!,"AAAAAH53+UA=")</f>
        <v>#REF!</v>
      </c>
      <c r="BN228" t="e">
        <f>AND(#REF!,"AAAAAH53+UE=")</f>
        <v>#REF!</v>
      </c>
      <c r="BO228" t="e">
        <f>AND(#REF!,"AAAAAH53+UI=")</f>
        <v>#REF!</v>
      </c>
      <c r="BP228" t="e">
        <f>AND(#REF!,"AAAAAH53+UM=")</f>
        <v>#REF!</v>
      </c>
      <c r="BQ228" t="e">
        <f>AND(#REF!,"AAAAAH53+UQ=")</f>
        <v>#REF!</v>
      </c>
      <c r="BR228" t="e">
        <f>AND(#REF!,"AAAAAH53+UU=")</f>
        <v>#REF!</v>
      </c>
      <c r="BS228" t="e">
        <f>AND(#REF!,"AAAAAH53+UY=")</f>
        <v>#REF!</v>
      </c>
      <c r="BT228" t="e">
        <f>AND(#REF!,"AAAAAH53+Uc=")</f>
        <v>#REF!</v>
      </c>
      <c r="BU228" t="e">
        <f>AND(#REF!,"AAAAAH53+Ug=")</f>
        <v>#REF!</v>
      </c>
      <c r="BV228" t="e">
        <f>AND(#REF!,"AAAAAH53+Uk=")</f>
        <v>#REF!</v>
      </c>
      <c r="BW228" t="e">
        <f>AND(#REF!,"AAAAAH53+Uo=")</f>
        <v>#REF!</v>
      </c>
      <c r="BX228" t="e">
        <f>AND(#REF!,"AAAAAH53+Us=")</f>
        <v>#REF!</v>
      </c>
      <c r="BY228" t="e">
        <f>AND(#REF!,"AAAAAH53+Uw=")</f>
        <v>#REF!</v>
      </c>
      <c r="BZ228" t="e">
        <f>AND(#REF!,"AAAAAH53+U0=")</f>
        <v>#REF!</v>
      </c>
      <c r="CA228" t="e">
        <f>AND(#REF!,"AAAAAH53+U4=")</f>
        <v>#REF!</v>
      </c>
      <c r="CB228" t="e">
        <f>AND(#REF!,"AAAAAH53+U8=")</f>
        <v>#REF!</v>
      </c>
      <c r="CC228" t="e">
        <f>AND(#REF!,"AAAAAH53+VA=")</f>
        <v>#REF!</v>
      </c>
      <c r="CD228" t="e">
        <f>AND(#REF!,"AAAAAH53+VE=")</f>
        <v>#REF!</v>
      </c>
      <c r="CE228" t="e">
        <f>AND(#REF!,"AAAAAH53+VI=")</f>
        <v>#REF!</v>
      </c>
      <c r="CF228" t="e">
        <f>AND(#REF!,"AAAAAH53+VM=")</f>
        <v>#REF!</v>
      </c>
      <c r="CG228" t="e">
        <f>AND(#REF!,"AAAAAH53+VQ=")</f>
        <v>#REF!</v>
      </c>
      <c r="CH228" t="e">
        <f>AND(#REF!,"AAAAAH53+VU=")</f>
        <v>#REF!</v>
      </c>
      <c r="CI228" t="e">
        <f>AND(#REF!,"AAAAAH53+VY=")</f>
        <v>#REF!</v>
      </c>
      <c r="CJ228" t="e">
        <f>AND(#REF!,"AAAAAH53+Vc=")</f>
        <v>#REF!</v>
      </c>
      <c r="CK228" t="e">
        <f>AND(#REF!,"AAAAAH53+Vg=")</f>
        <v>#REF!</v>
      </c>
      <c r="CL228" t="e">
        <f>AND(#REF!,"AAAAAH53+Vk=")</f>
        <v>#REF!</v>
      </c>
      <c r="CM228" t="e">
        <f>AND(#REF!,"AAAAAH53+Vo=")</f>
        <v>#REF!</v>
      </c>
      <c r="CN228" t="e">
        <f>AND(#REF!,"AAAAAH53+Vs=")</f>
        <v>#REF!</v>
      </c>
      <c r="CO228" t="e">
        <f>AND(#REF!,"AAAAAH53+Vw=")</f>
        <v>#REF!</v>
      </c>
      <c r="CP228" t="e">
        <f>AND(#REF!,"AAAAAH53+V0=")</f>
        <v>#REF!</v>
      </c>
      <c r="CQ228" t="e">
        <f>AND(#REF!,"AAAAAH53+V4=")</f>
        <v>#REF!</v>
      </c>
      <c r="CR228" t="e">
        <f>AND(#REF!,"AAAAAH53+V8=")</f>
        <v>#REF!</v>
      </c>
      <c r="CS228" t="e">
        <f>AND(#REF!,"AAAAAH53+WA=")</f>
        <v>#REF!</v>
      </c>
      <c r="CT228" t="e">
        <f>AND(#REF!,"AAAAAH53+WE=")</f>
        <v>#REF!</v>
      </c>
      <c r="CU228" t="e">
        <f>AND(#REF!,"AAAAAH53+WI=")</f>
        <v>#REF!</v>
      </c>
      <c r="CV228" t="e">
        <f>AND(#REF!,"AAAAAH53+WM=")</f>
        <v>#REF!</v>
      </c>
      <c r="CW228" t="e">
        <f>AND(#REF!,"AAAAAH53+WQ=")</f>
        <v>#REF!</v>
      </c>
      <c r="CX228" t="e">
        <f>AND(#REF!,"AAAAAH53+WU=")</f>
        <v>#REF!</v>
      </c>
      <c r="CY228" t="e">
        <f>AND(#REF!,"AAAAAH53+WY=")</f>
        <v>#REF!</v>
      </c>
      <c r="CZ228" t="e">
        <f>AND(#REF!,"AAAAAH53+Wc=")</f>
        <v>#REF!</v>
      </c>
      <c r="DA228" t="e">
        <f>AND(#REF!,"AAAAAH53+Wg=")</f>
        <v>#REF!</v>
      </c>
      <c r="DB228" t="e">
        <f>AND(#REF!,"AAAAAH53+Wk=")</f>
        <v>#REF!</v>
      </c>
      <c r="DC228" t="e">
        <f>AND(#REF!,"AAAAAH53+Wo=")</f>
        <v>#REF!</v>
      </c>
      <c r="DD228" t="e">
        <f>AND(#REF!,"AAAAAH53+Ws=")</f>
        <v>#REF!</v>
      </c>
      <c r="DE228" t="e">
        <f>AND(#REF!,"AAAAAH53+Ww=")</f>
        <v>#REF!</v>
      </c>
      <c r="DF228" t="e">
        <f>AND(#REF!,"AAAAAH53+W0=")</f>
        <v>#REF!</v>
      </c>
      <c r="DG228" t="e">
        <f>AND(#REF!,"AAAAAH53+W4=")</f>
        <v>#REF!</v>
      </c>
      <c r="DH228" t="e">
        <f>AND(#REF!,"AAAAAH53+W8=")</f>
        <v>#REF!</v>
      </c>
      <c r="DI228" t="e">
        <f>AND(#REF!,"AAAAAH53+XA=")</f>
        <v>#REF!</v>
      </c>
      <c r="DJ228" t="e">
        <f>AND(#REF!,"AAAAAH53+XE=")</f>
        <v>#REF!</v>
      </c>
      <c r="DK228" t="e">
        <f>AND(#REF!,"AAAAAH53+XI=")</f>
        <v>#REF!</v>
      </c>
      <c r="DL228" t="e">
        <f>AND(#REF!,"AAAAAH53+XM=")</f>
        <v>#REF!</v>
      </c>
      <c r="DM228" t="e">
        <f>AND(#REF!,"AAAAAH53+XQ=")</f>
        <v>#REF!</v>
      </c>
      <c r="DN228" t="e">
        <f>AND(#REF!,"AAAAAH53+XU=")</f>
        <v>#REF!</v>
      </c>
      <c r="DO228" t="e">
        <f>AND(#REF!,"AAAAAH53+XY=")</f>
        <v>#REF!</v>
      </c>
      <c r="DP228" t="e">
        <f>AND(#REF!,"AAAAAH53+Xc=")</f>
        <v>#REF!</v>
      </c>
      <c r="DQ228" t="e">
        <f>AND(#REF!,"AAAAAH53+Xg=")</f>
        <v>#REF!</v>
      </c>
      <c r="DR228" t="e">
        <f>AND(#REF!,"AAAAAH53+Xk=")</f>
        <v>#REF!</v>
      </c>
      <c r="DS228" t="e">
        <f>AND(#REF!,"AAAAAH53+Xo=")</f>
        <v>#REF!</v>
      </c>
      <c r="DT228" t="e">
        <f>AND(#REF!,"AAAAAH53+Xs=")</f>
        <v>#REF!</v>
      </c>
      <c r="DU228" t="e">
        <f>AND(#REF!,"AAAAAH53+Xw=")</f>
        <v>#REF!</v>
      </c>
      <c r="DV228" t="e">
        <f>AND(#REF!,"AAAAAH53+X0=")</f>
        <v>#REF!</v>
      </c>
      <c r="DW228" t="e">
        <f>AND(#REF!,"AAAAAH53+X4=")</f>
        <v>#REF!</v>
      </c>
      <c r="DX228" t="e">
        <f>AND(#REF!,"AAAAAH53+X8=")</f>
        <v>#REF!</v>
      </c>
      <c r="DY228" t="e">
        <f>AND(#REF!,"AAAAAH53+YA=")</f>
        <v>#REF!</v>
      </c>
      <c r="DZ228" t="e">
        <f>AND(#REF!,"AAAAAH53+YE=")</f>
        <v>#REF!</v>
      </c>
      <c r="EA228" t="e">
        <f>AND(#REF!,"AAAAAH53+YI=")</f>
        <v>#REF!</v>
      </c>
      <c r="EB228" t="e">
        <f>AND(#REF!,"AAAAAH53+YM=")</f>
        <v>#REF!</v>
      </c>
      <c r="EC228" t="e">
        <f>AND(#REF!,"AAAAAH53+YQ=")</f>
        <v>#REF!</v>
      </c>
      <c r="ED228" t="e">
        <f>AND(#REF!,"AAAAAH53+YU=")</f>
        <v>#REF!</v>
      </c>
      <c r="EE228" t="e">
        <f>AND(#REF!,"AAAAAH53+YY=")</f>
        <v>#REF!</v>
      </c>
      <c r="EF228" t="e">
        <f>AND(#REF!,"AAAAAH53+Yc=")</f>
        <v>#REF!</v>
      </c>
      <c r="EG228" t="e">
        <f>AND(#REF!,"AAAAAH53+Yg=")</f>
        <v>#REF!</v>
      </c>
      <c r="EH228" t="e">
        <f>AND(#REF!,"AAAAAH53+Yk=")</f>
        <v>#REF!</v>
      </c>
      <c r="EI228" t="e">
        <f>AND(#REF!,"AAAAAH53+Yo=")</f>
        <v>#REF!</v>
      </c>
      <c r="EJ228" t="e">
        <f>AND(#REF!,"AAAAAH53+Ys=")</f>
        <v>#REF!</v>
      </c>
      <c r="EK228" t="e">
        <f>AND(#REF!,"AAAAAH53+Yw=")</f>
        <v>#REF!</v>
      </c>
      <c r="EL228" t="e">
        <f>AND(#REF!,"AAAAAH53+Y0=")</f>
        <v>#REF!</v>
      </c>
      <c r="EM228" t="e">
        <f>AND(#REF!,"AAAAAH53+Y4=")</f>
        <v>#REF!</v>
      </c>
      <c r="EN228" t="e">
        <f>AND(#REF!,"AAAAAH53+Y8=")</f>
        <v>#REF!</v>
      </c>
      <c r="EO228" t="e">
        <f>AND(#REF!,"AAAAAH53+ZA=")</f>
        <v>#REF!</v>
      </c>
      <c r="EP228" t="e">
        <f>AND(#REF!,"AAAAAH53+ZE=")</f>
        <v>#REF!</v>
      </c>
      <c r="EQ228" t="e">
        <f>AND(#REF!,"AAAAAH53+ZI=")</f>
        <v>#REF!</v>
      </c>
      <c r="ER228" t="e">
        <f>AND(#REF!,"AAAAAH53+ZM=")</f>
        <v>#REF!</v>
      </c>
      <c r="ES228" t="e">
        <f>AND(#REF!,"AAAAAH53+ZQ=")</f>
        <v>#REF!</v>
      </c>
      <c r="ET228" t="e">
        <f>AND(#REF!,"AAAAAH53+ZU=")</f>
        <v>#REF!</v>
      </c>
      <c r="EU228" t="e">
        <f>AND(#REF!,"AAAAAH53+ZY=")</f>
        <v>#REF!</v>
      </c>
      <c r="EV228" t="e">
        <f>AND(#REF!,"AAAAAH53+Zc=")</f>
        <v>#REF!</v>
      </c>
      <c r="EW228" t="e">
        <f>AND(#REF!,"AAAAAH53+Zg=")</f>
        <v>#REF!</v>
      </c>
      <c r="EX228" t="e">
        <f>AND(#REF!,"AAAAAH53+Zk=")</f>
        <v>#REF!</v>
      </c>
      <c r="EY228" t="e">
        <f>AND(#REF!,"AAAAAH53+Zo=")</f>
        <v>#REF!</v>
      </c>
      <c r="EZ228" t="e">
        <f>AND(#REF!,"AAAAAH53+Zs=")</f>
        <v>#REF!</v>
      </c>
      <c r="FA228" t="e">
        <f>AND(#REF!,"AAAAAH53+Zw=")</f>
        <v>#REF!</v>
      </c>
      <c r="FB228" t="e">
        <f>AND(#REF!,"AAAAAH53+Z0=")</f>
        <v>#REF!</v>
      </c>
      <c r="FC228" t="e">
        <f>AND(#REF!,"AAAAAH53+Z4=")</f>
        <v>#REF!</v>
      </c>
      <c r="FD228" t="e">
        <f>AND(#REF!,"AAAAAH53+Z8=")</f>
        <v>#REF!</v>
      </c>
      <c r="FE228" t="e">
        <f>AND(#REF!,"AAAAAH53+aA=")</f>
        <v>#REF!</v>
      </c>
      <c r="FF228" t="e">
        <f>AND(#REF!,"AAAAAH53+aE=")</f>
        <v>#REF!</v>
      </c>
      <c r="FG228" t="e">
        <f>AND(#REF!,"AAAAAH53+aI=")</f>
        <v>#REF!</v>
      </c>
      <c r="FH228" t="e">
        <f>AND(#REF!,"AAAAAH53+aM=")</f>
        <v>#REF!</v>
      </c>
      <c r="FI228" t="e">
        <f>AND(#REF!,"AAAAAH53+aQ=")</f>
        <v>#REF!</v>
      </c>
      <c r="FJ228" t="e">
        <f>AND(#REF!,"AAAAAH53+aU=")</f>
        <v>#REF!</v>
      </c>
      <c r="FK228" t="e">
        <f>AND(#REF!,"AAAAAH53+aY=")</f>
        <v>#REF!</v>
      </c>
      <c r="FL228" t="e">
        <f>AND(#REF!,"AAAAAH53+ac=")</f>
        <v>#REF!</v>
      </c>
      <c r="FM228" t="e">
        <f>AND(#REF!,"AAAAAH53+ag=")</f>
        <v>#REF!</v>
      </c>
      <c r="FN228" t="e">
        <f>AND(#REF!,"AAAAAH53+ak=")</f>
        <v>#REF!</v>
      </c>
      <c r="FO228" t="e">
        <f>AND(#REF!,"AAAAAH53+ao=")</f>
        <v>#REF!</v>
      </c>
      <c r="FP228" t="e">
        <f>AND(#REF!,"AAAAAH53+as=")</f>
        <v>#REF!</v>
      </c>
      <c r="FQ228" t="e">
        <f>AND(#REF!,"AAAAAH53+aw=")</f>
        <v>#REF!</v>
      </c>
      <c r="FR228" t="e">
        <f>AND(#REF!,"AAAAAH53+a0=")</f>
        <v>#REF!</v>
      </c>
      <c r="FS228" t="e">
        <f>AND(#REF!,"AAAAAH53+a4=")</f>
        <v>#REF!</v>
      </c>
      <c r="FT228" t="e">
        <f>AND(#REF!,"AAAAAH53+a8=")</f>
        <v>#REF!</v>
      </c>
      <c r="FU228" t="e">
        <f>AND(#REF!,"AAAAAH53+bA=")</f>
        <v>#REF!</v>
      </c>
      <c r="FV228" t="e">
        <f>AND(#REF!,"AAAAAH53+bE=")</f>
        <v>#REF!</v>
      </c>
      <c r="FW228" t="e">
        <f>AND(#REF!,"AAAAAH53+bI=")</f>
        <v>#REF!</v>
      </c>
      <c r="FX228" t="e">
        <f>AND(#REF!,"AAAAAH53+bM=")</f>
        <v>#REF!</v>
      </c>
      <c r="FY228" t="e">
        <f>AND(#REF!,"AAAAAH53+bQ=")</f>
        <v>#REF!</v>
      </c>
      <c r="FZ228" t="e">
        <f>AND(#REF!,"AAAAAH53+bU=")</f>
        <v>#REF!</v>
      </c>
      <c r="GA228" t="e">
        <f>AND(#REF!,"AAAAAH53+bY=")</f>
        <v>#REF!</v>
      </c>
      <c r="GB228" t="e">
        <f>AND(#REF!,"AAAAAH53+bc=")</f>
        <v>#REF!</v>
      </c>
      <c r="GC228" t="e">
        <f>AND(#REF!,"AAAAAH53+bg=")</f>
        <v>#REF!</v>
      </c>
      <c r="GD228" t="e">
        <f>AND(#REF!,"AAAAAH53+bk=")</f>
        <v>#REF!</v>
      </c>
      <c r="GE228" t="e">
        <f>AND(#REF!,"AAAAAH53+bo=")</f>
        <v>#REF!</v>
      </c>
      <c r="GF228" t="e">
        <f>AND(#REF!,"AAAAAH53+bs=")</f>
        <v>#REF!</v>
      </c>
      <c r="GG228" t="e">
        <f>AND(#REF!,"AAAAAH53+bw=")</f>
        <v>#REF!</v>
      </c>
      <c r="GH228" t="e">
        <f>AND(#REF!,"AAAAAH53+b0=")</f>
        <v>#REF!</v>
      </c>
      <c r="GI228" t="e">
        <f>AND(#REF!,"AAAAAH53+b4=")</f>
        <v>#REF!</v>
      </c>
      <c r="GJ228" t="e">
        <f>AND(#REF!,"AAAAAH53+b8=")</f>
        <v>#REF!</v>
      </c>
      <c r="GK228" t="e">
        <f>AND(#REF!,"AAAAAH53+cA=")</f>
        <v>#REF!</v>
      </c>
      <c r="GL228" t="e">
        <f>AND(#REF!,"AAAAAH53+cE=")</f>
        <v>#REF!</v>
      </c>
      <c r="GM228" t="e">
        <f>AND(#REF!,"AAAAAH53+cI=")</f>
        <v>#REF!</v>
      </c>
      <c r="GN228" t="e">
        <f>AND(#REF!,"AAAAAH53+cM=")</f>
        <v>#REF!</v>
      </c>
      <c r="GO228" t="e">
        <f>AND(#REF!,"AAAAAH53+cQ=")</f>
        <v>#REF!</v>
      </c>
      <c r="GP228" t="e">
        <f>AND(#REF!,"AAAAAH53+cU=")</f>
        <v>#REF!</v>
      </c>
      <c r="GQ228" t="e">
        <f>IF(#REF!,"AAAAAH53+cY=",0)</f>
        <v>#REF!</v>
      </c>
      <c r="GR228" t="e">
        <f>AND(#REF!,"AAAAAH53+cc=")</f>
        <v>#REF!</v>
      </c>
      <c r="GS228" t="e">
        <f>AND(#REF!,"AAAAAH53+cg=")</f>
        <v>#REF!</v>
      </c>
      <c r="GT228" t="e">
        <f>AND(#REF!,"AAAAAH53+ck=")</f>
        <v>#REF!</v>
      </c>
      <c r="GU228" t="e">
        <f>AND(#REF!,"AAAAAH53+co=")</f>
        <v>#REF!</v>
      </c>
      <c r="GV228" t="e">
        <f>AND(#REF!,"AAAAAH53+cs=")</f>
        <v>#REF!</v>
      </c>
      <c r="GW228" t="e">
        <f>AND(#REF!,"AAAAAH53+cw=")</f>
        <v>#REF!</v>
      </c>
      <c r="GX228" t="e">
        <f>AND(#REF!,"AAAAAH53+c0=")</f>
        <v>#REF!</v>
      </c>
      <c r="GY228" t="e">
        <f>AND(#REF!,"AAAAAH53+c4=")</f>
        <v>#REF!</v>
      </c>
      <c r="GZ228" t="e">
        <f>AND(#REF!,"AAAAAH53+c8=")</f>
        <v>#REF!</v>
      </c>
      <c r="HA228" t="e">
        <f>AND(#REF!,"AAAAAH53+dA=")</f>
        <v>#REF!</v>
      </c>
      <c r="HB228" t="e">
        <f>AND(#REF!,"AAAAAH53+dE=")</f>
        <v>#REF!</v>
      </c>
      <c r="HC228" t="e">
        <f>AND(#REF!,"AAAAAH53+dI=")</f>
        <v>#REF!</v>
      </c>
      <c r="HD228" t="e">
        <f>AND(#REF!,"AAAAAH53+dM=")</f>
        <v>#REF!</v>
      </c>
      <c r="HE228" t="e">
        <f>AND(#REF!,"AAAAAH53+dQ=")</f>
        <v>#REF!</v>
      </c>
      <c r="HF228" t="e">
        <f>AND(#REF!,"AAAAAH53+dU=")</f>
        <v>#REF!</v>
      </c>
      <c r="HG228" t="e">
        <f>AND(#REF!,"AAAAAH53+dY=")</f>
        <v>#REF!</v>
      </c>
      <c r="HH228" t="e">
        <f>AND(#REF!,"AAAAAH53+dc=")</f>
        <v>#REF!</v>
      </c>
      <c r="HI228" t="e">
        <f>AND(#REF!,"AAAAAH53+dg=")</f>
        <v>#REF!</v>
      </c>
      <c r="HJ228" t="e">
        <f>AND(#REF!,"AAAAAH53+dk=")</f>
        <v>#REF!</v>
      </c>
      <c r="HK228" t="e">
        <f>AND(#REF!,"AAAAAH53+do=")</f>
        <v>#REF!</v>
      </c>
      <c r="HL228" t="e">
        <f>AND(#REF!,"AAAAAH53+ds=")</f>
        <v>#REF!</v>
      </c>
      <c r="HM228" t="e">
        <f>AND(#REF!,"AAAAAH53+dw=")</f>
        <v>#REF!</v>
      </c>
      <c r="HN228" t="e">
        <f>AND(#REF!,"AAAAAH53+d0=")</f>
        <v>#REF!</v>
      </c>
      <c r="HO228" t="e">
        <f>AND(#REF!,"AAAAAH53+d4=")</f>
        <v>#REF!</v>
      </c>
      <c r="HP228" t="e">
        <f>AND(#REF!,"AAAAAH53+d8=")</f>
        <v>#REF!</v>
      </c>
      <c r="HQ228" t="e">
        <f>AND(#REF!,"AAAAAH53+eA=")</f>
        <v>#REF!</v>
      </c>
      <c r="HR228" t="e">
        <f>AND(#REF!,"AAAAAH53+eE=")</f>
        <v>#REF!</v>
      </c>
      <c r="HS228" t="e">
        <f>AND(#REF!,"AAAAAH53+eI=")</f>
        <v>#REF!</v>
      </c>
      <c r="HT228" t="e">
        <f>AND(#REF!,"AAAAAH53+eM=")</f>
        <v>#REF!</v>
      </c>
      <c r="HU228" t="e">
        <f>AND(#REF!,"AAAAAH53+eQ=")</f>
        <v>#REF!</v>
      </c>
      <c r="HV228" t="e">
        <f>AND(#REF!,"AAAAAH53+eU=")</f>
        <v>#REF!</v>
      </c>
      <c r="HW228" t="e">
        <f>AND(#REF!,"AAAAAH53+eY=")</f>
        <v>#REF!</v>
      </c>
      <c r="HX228" t="e">
        <f>AND(#REF!,"AAAAAH53+ec=")</f>
        <v>#REF!</v>
      </c>
      <c r="HY228" t="e">
        <f>AND(#REF!,"AAAAAH53+eg=")</f>
        <v>#REF!</v>
      </c>
      <c r="HZ228" t="e">
        <f>AND(#REF!,"AAAAAH53+ek=")</f>
        <v>#REF!</v>
      </c>
      <c r="IA228" t="e">
        <f>AND(#REF!,"AAAAAH53+eo=")</f>
        <v>#REF!</v>
      </c>
      <c r="IB228" t="e">
        <f>AND(#REF!,"AAAAAH53+es=")</f>
        <v>#REF!</v>
      </c>
      <c r="IC228" t="e">
        <f>AND(#REF!,"AAAAAH53+ew=")</f>
        <v>#REF!</v>
      </c>
      <c r="ID228" t="e">
        <f>AND(#REF!,"AAAAAH53+e0=")</f>
        <v>#REF!</v>
      </c>
      <c r="IE228" t="e">
        <f>AND(#REF!,"AAAAAH53+e4=")</f>
        <v>#REF!</v>
      </c>
      <c r="IF228" t="e">
        <f>AND(#REF!,"AAAAAH53+e8=")</f>
        <v>#REF!</v>
      </c>
      <c r="IG228" t="e">
        <f>AND(#REF!,"AAAAAH53+fA=")</f>
        <v>#REF!</v>
      </c>
      <c r="IH228" t="e">
        <f>AND(#REF!,"AAAAAH53+fE=")</f>
        <v>#REF!</v>
      </c>
      <c r="II228" t="e">
        <f>AND(#REF!,"AAAAAH53+fI=")</f>
        <v>#REF!</v>
      </c>
      <c r="IJ228" t="e">
        <f>AND(#REF!,"AAAAAH53+fM=")</f>
        <v>#REF!</v>
      </c>
      <c r="IK228" t="e">
        <f>AND(#REF!,"AAAAAH53+fQ=")</f>
        <v>#REF!</v>
      </c>
      <c r="IL228" t="e">
        <f>AND(#REF!,"AAAAAH53+fU=")</f>
        <v>#REF!</v>
      </c>
      <c r="IM228" t="e">
        <f>AND(#REF!,"AAAAAH53+fY=")</f>
        <v>#REF!</v>
      </c>
      <c r="IN228" t="e">
        <f>AND(#REF!,"AAAAAH53+fc=")</f>
        <v>#REF!</v>
      </c>
      <c r="IO228" t="e">
        <f>AND(#REF!,"AAAAAH53+fg=")</f>
        <v>#REF!</v>
      </c>
      <c r="IP228" t="e">
        <f>AND(#REF!,"AAAAAH53+fk=")</f>
        <v>#REF!</v>
      </c>
      <c r="IQ228" t="e">
        <f>AND(#REF!,"AAAAAH53+fo=")</f>
        <v>#REF!</v>
      </c>
      <c r="IR228" t="e">
        <f>AND(#REF!,"AAAAAH53+fs=")</f>
        <v>#REF!</v>
      </c>
      <c r="IS228" t="e">
        <f>AND(#REF!,"AAAAAH53+fw=")</f>
        <v>#REF!</v>
      </c>
      <c r="IT228" t="e">
        <f>AND(#REF!,"AAAAAH53+f0=")</f>
        <v>#REF!</v>
      </c>
      <c r="IU228" t="e">
        <f>AND(#REF!,"AAAAAH53+f4=")</f>
        <v>#REF!</v>
      </c>
      <c r="IV228" t="e">
        <f>AND(#REF!,"AAAAAH53+f8=")</f>
        <v>#REF!</v>
      </c>
    </row>
    <row r="229" spans="1:256">
      <c r="A229" t="e">
        <f>AND(#REF!,"AAAAAHp6XgA=")</f>
        <v>#REF!</v>
      </c>
      <c r="B229" t="e">
        <f>AND(#REF!,"AAAAAHp6XgE=")</f>
        <v>#REF!</v>
      </c>
      <c r="C229" t="e">
        <f>AND(#REF!,"AAAAAHp6XgI=")</f>
        <v>#REF!</v>
      </c>
      <c r="D229" t="e">
        <f>AND(#REF!,"AAAAAHp6XgM=")</f>
        <v>#REF!</v>
      </c>
      <c r="E229" t="e">
        <f>AND(#REF!,"AAAAAHp6XgQ=")</f>
        <v>#REF!</v>
      </c>
      <c r="F229" t="e">
        <f>AND(#REF!,"AAAAAHp6XgU=")</f>
        <v>#REF!</v>
      </c>
      <c r="G229" t="e">
        <f>AND(#REF!,"AAAAAHp6XgY=")</f>
        <v>#REF!</v>
      </c>
      <c r="H229" t="e">
        <f>AND(#REF!,"AAAAAHp6Xgc=")</f>
        <v>#REF!</v>
      </c>
      <c r="I229" t="e">
        <f>AND(#REF!,"AAAAAHp6Xgg=")</f>
        <v>#REF!</v>
      </c>
      <c r="J229" t="e">
        <f>AND(#REF!,"AAAAAHp6Xgk=")</f>
        <v>#REF!</v>
      </c>
      <c r="K229" t="e">
        <f>AND(#REF!,"AAAAAHp6Xgo=")</f>
        <v>#REF!</v>
      </c>
      <c r="L229" t="e">
        <f>AND(#REF!,"AAAAAHp6Xgs=")</f>
        <v>#REF!</v>
      </c>
      <c r="M229" t="e">
        <f>AND(#REF!,"AAAAAHp6Xgw=")</f>
        <v>#REF!</v>
      </c>
      <c r="N229" t="e">
        <f>AND(#REF!,"AAAAAHp6Xg0=")</f>
        <v>#REF!</v>
      </c>
      <c r="O229" t="e">
        <f>AND(#REF!,"AAAAAHp6Xg4=")</f>
        <v>#REF!</v>
      </c>
      <c r="P229" t="e">
        <f>AND(#REF!,"AAAAAHp6Xg8=")</f>
        <v>#REF!</v>
      </c>
      <c r="Q229" t="e">
        <f>AND(#REF!,"AAAAAHp6XhA=")</f>
        <v>#REF!</v>
      </c>
      <c r="R229" t="e">
        <f>AND(#REF!,"AAAAAHp6XhE=")</f>
        <v>#REF!</v>
      </c>
      <c r="S229" t="e">
        <f>AND(#REF!,"AAAAAHp6XhI=")</f>
        <v>#REF!</v>
      </c>
      <c r="T229" t="e">
        <f>AND(#REF!,"AAAAAHp6XhM=")</f>
        <v>#REF!</v>
      </c>
      <c r="U229" t="e">
        <f>AND(#REF!,"AAAAAHp6XhQ=")</f>
        <v>#REF!</v>
      </c>
      <c r="V229" t="e">
        <f>AND(#REF!,"AAAAAHp6XhU=")</f>
        <v>#REF!</v>
      </c>
      <c r="W229" t="e">
        <f>AND(#REF!,"AAAAAHp6XhY=")</f>
        <v>#REF!</v>
      </c>
      <c r="X229" t="e">
        <f>AND(#REF!,"AAAAAHp6Xhc=")</f>
        <v>#REF!</v>
      </c>
      <c r="Y229" t="e">
        <f>AND(#REF!,"AAAAAHp6Xhg=")</f>
        <v>#REF!</v>
      </c>
      <c r="Z229" t="e">
        <f>AND(#REF!,"AAAAAHp6Xhk=")</f>
        <v>#REF!</v>
      </c>
      <c r="AA229" t="e">
        <f>AND(#REF!,"AAAAAHp6Xho=")</f>
        <v>#REF!</v>
      </c>
      <c r="AB229" t="e">
        <f>AND(#REF!,"AAAAAHp6Xhs=")</f>
        <v>#REF!</v>
      </c>
      <c r="AC229" t="e">
        <f>AND(#REF!,"AAAAAHp6Xhw=")</f>
        <v>#REF!</v>
      </c>
      <c r="AD229" t="e">
        <f>AND(#REF!,"AAAAAHp6Xh0=")</f>
        <v>#REF!</v>
      </c>
      <c r="AE229" t="e">
        <f>AND(#REF!,"AAAAAHp6Xh4=")</f>
        <v>#REF!</v>
      </c>
      <c r="AF229" t="e">
        <f>AND(#REF!,"AAAAAHp6Xh8=")</f>
        <v>#REF!</v>
      </c>
      <c r="AG229" t="e">
        <f>AND(#REF!,"AAAAAHp6XiA=")</f>
        <v>#REF!</v>
      </c>
      <c r="AH229" t="e">
        <f>AND(#REF!,"AAAAAHp6XiE=")</f>
        <v>#REF!</v>
      </c>
      <c r="AI229" t="e">
        <f>AND(#REF!,"AAAAAHp6XiI=")</f>
        <v>#REF!</v>
      </c>
      <c r="AJ229" t="e">
        <f>AND(#REF!,"AAAAAHp6XiM=")</f>
        <v>#REF!</v>
      </c>
      <c r="AK229" t="e">
        <f>AND(#REF!,"AAAAAHp6XiQ=")</f>
        <v>#REF!</v>
      </c>
      <c r="AL229" t="e">
        <f>AND(#REF!,"AAAAAHp6XiU=")</f>
        <v>#REF!</v>
      </c>
      <c r="AM229" t="e">
        <f>AND(#REF!,"AAAAAHp6XiY=")</f>
        <v>#REF!</v>
      </c>
      <c r="AN229" t="e">
        <f>AND(#REF!,"AAAAAHp6Xic=")</f>
        <v>#REF!</v>
      </c>
      <c r="AO229" t="e">
        <f>AND(#REF!,"AAAAAHp6Xig=")</f>
        <v>#REF!</v>
      </c>
      <c r="AP229" t="e">
        <f>AND(#REF!,"AAAAAHp6Xik=")</f>
        <v>#REF!</v>
      </c>
      <c r="AQ229" t="e">
        <f>AND(#REF!,"AAAAAHp6Xio=")</f>
        <v>#REF!</v>
      </c>
      <c r="AR229" t="e">
        <f>AND(#REF!,"AAAAAHp6Xis=")</f>
        <v>#REF!</v>
      </c>
      <c r="AS229" t="e">
        <f>AND(#REF!,"AAAAAHp6Xiw=")</f>
        <v>#REF!</v>
      </c>
      <c r="AT229" t="e">
        <f>AND(#REF!,"AAAAAHp6Xi0=")</f>
        <v>#REF!</v>
      </c>
      <c r="AU229" t="e">
        <f>AND(#REF!,"AAAAAHp6Xi4=")</f>
        <v>#REF!</v>
      </c>
      <c r="AV229" t="e">
        <f>AND(#REF!,"AAAAAHp6Xi8=")</f>
        <v>#REF!</v>
      </c>
      <c r="AW229" t="e">
        <f>AND(#REF!,"AAAAAHp6XjA=")</f>
        <v>#REF!</v>
      </c>
      <c r="AX229" t="e">
        <f>AND(#REF!,"AAAAAHp6XjE=")</f>
        <v>#REF!</v>
      </c>
      <c r="AY229" t="e">
        <f>AND(#REF!,"AAAAAHp6XjI=")</f>
        <v>#REF!</v>
      </c>
      <c r="AZ229" t="e">
        <f>AND(#REF!,"AAAAAHp6XjM=")</f>
        <v>#REF!</v>
      </c>
      <c r="BA229" t="e">
        <f>AND(#REF!,"AAAAAHp6XjQ=")</f>
        <v>#REF!</v>
      </c>
      <c r="BB229" t="e">
        <f>AND(#REF!,"AAAAAHp6XjU=")</f>
        <v>#REF!</v>
      </c>
      <c r="BC229" t="e">
        <f>AND(#REF!,"AAAAAHp6XjY=")</f>
        <v>#REF!</v>
      </c>
      <c r="BD229" t="e">
        <f>AND(#REF!,"AAAAAHp6Xjc=")</f>
        <v>#REF!</v>
      </c>
      <c r="BE229" t="e">
        <f>AND(#REF!,"AAAAAHp6Xjg=")</f>
        <v>#REF!</v>
      </c>
      <c r="BF229" t="e">
        <f>AND(#REF!,"AAAAAHp6Xjk=")</f>
        <v>#REF!</v>
      </c>
      <c r="BG229" t="e">
        <f>AND(#REF!,"AAAAAHp6Xjo=")</f>
        <v>#REF!</v>
      </c>
      <c r="BH229" t="e">
        <f>AND(#REF!,"AAAAAHp6Xjs=")</f>
        <v>#REF!</v>
      </c>
      <c r="BI229" t="e">
        <f>AND(#REF!,"AAAAAHp6Xjw=")</f>
        <v>#REF!</v>
      </c>
      <c r="BJ229" t="e">
        <f>AND(#REF!,"AAAAAHp6Xj0=")</f>
        <v>#REF!</v>
      </c>
      <c r="BK229" t="e">
        <f>AND(#REF!,"AAAAAHp6Xj4=")</f>
        <v>#REF!</v>
      </c>
      <c r="BL229" t="e">
        <f>AND(#REF!,"AAAAAHp6Xj8=")</f>
        <v>#REF!</v>
      </c>
      <c r="BM229" t="e">
        <f>AND(#REF!,"AAAAAHp6XkA=")</f>
        <v>#REF!</v>
      </c>
      <c r="BN229" t="e">
        <f>AND(#REF!,"AAAAAHp6XkE=")</f>
        <v>#REF!</v>
      </c>
      <c r="BO229" t="e">
        <f>AND(#REF!,"AAAAAHp6XkI=")</f>
        <v>#REF!</v>
      </c>
      <c r="BP229" t="e">
        <f>AND(#REF!,"AAAAAHp6XkM=")</f>
        <v>#REF!</v>
      </c>
      <c r="BQ229" t="e">
        <f>AND(#REF!,"AAAAAHp6XkQ=")</f>
        <v>#REF!</v>
      </c>
      <c r="BR229" t="e">
        <f>AND(#REF!,"AAAAAHp6XkU=")</f>
        <v>#REF!</v>
      </c>
      <c r="BS229" t="e">
        <f>AND(#REF!,"AAAAAHp6XkY=")</f>
        <v>#REF!</v>
      </c>
      <c r="BT229" t="e">
        <f>AND(#REF!,"AAAAAHp6Xkc=")</f>
        <v>#REF!</v>
      </c>
      <c r="BU229" t="e">
        <f>AND(#REF!,"AAAAAHp6Xkg=")</f>
        <v>#REF!</v>
      </c>
      <c r="BV229" t="e">
        <f>AND(#REF!,"AAAAAHp6Xkk=")</f>
        <v>#REF!</v>
      </c>
      <c r="BW229" t="e">
        <f>AND(#REF!,"AAAAAHp6Xko=")</f>
        <v>#REF!</v>
      </c>
      <c r="BX229" t="e">
        <f>AND(#REF!,"AAAAAHp6Xks=")</f>
        <v>#REF!</v>
      </c>
      <c r="BY229" t="e">
        <f>AND(#REF!,"AAAAAHp6Xkw=")</f>
        <v>#REF!</v>
      </c>
      <c r="BZ229" t="e">
        <f>AND(#REF!,"AAAAAHp6Xk0=")</f>
        <v>#REF!</v>
      </c>
      <c r="CA229" t="e">
        <f>AND(#REF!,"AAAAAHp6Xk4=")</f>
        <v>#REF!</v>
      </c>
      <c r="CB229" t="e">
        <f>AND(#REF!,"AAAAAHp6Xk8=")</f>
        <v>#REF!</v>
      </c>
      <c r="CC229" t="e">
        <f>AND(#REF!,"AAAAAHp6XlA=")</f>
        <v>#REF!</v>
      </c>
      <c r="CD229" t="e">
        <f>AND(#REF!,"AAAAAHp6XlE=")</f>
        <v>#REF!</v>
      </c>
      <c r="CE229" t="e">
        <f>AND(#REF!,"AAAAAHp6XlI=")</f>
        <v>#REF!</v>
      </c>
      <c r="CF229" t="e">
        <f>AND(#REF!,"AAAAAHp6XlM=")</f>
        <v>#REF!</v>
      </c>
      <c r="CG229" t="e">
        <f>AND(#REF!,"AAAAAHp6XlQ=")</f>
        <v>#REF!</v>
      </c>
      <c r="CH229" t="e">
        <f>AND(#REF!,"AAAAAHp6XlU=")</f>
        <v>#REF!</v>
      </c>
      <c r="CI229" t="e">
        <f>AND(#REF!,"AAAAAHp6XlY=")</f>
        <v>#REF!</v>
      </c>
      <c r="CJ229" t="e">
        <f>AND(#REF!,"AAAAAHp6Xlc=")</f>
        <v>#REF!</v>
      </c>
      <c r="CK229" t="e">
        <f>AND(#REF!,"AAAAAHp6Xlg=")</f>
        <v>#REF!</v>
      </c>
      <c r="CL229" t="e">
        <f>AND(#REF!,"AAAAAHp6Xlk=")</f>
        <v>#REF!</v>
      </c>
      <c r="CM229" t="e">
        <f>AND(#REF!,"AAAAAHp6Xlo=")</f>
        <v>#REF!</v>
      </c>
      <c r="CN229" t="e">
        <f>AND(#REF!,"AAAAAHp6Xls=")</f>
        <v>#REF!</v>
      </c>
      <c r="CO229" t="e">
        <f>AND(#REF!,"AAAAAHp6Xlw=")</f>
        <v>#REF!</v>
      </c>
      <c r="CP229" t="e">
        <f>AND(#REF!,"AAAAAHp6Xl0=")</f>
        <v>#REF!</v>
      </c>
      <c r="CQ229" t="e">
        <f>AND(#REF!,"AAAAAHp6Xl4=")</f>
        <v>#REF!</v>
      </c>
      <c r="CR229" t="e">
        <f>AND(#REF!,"AAAAAHp6Xl8=")</f>
        <v>#REF!</v>
      </c>
      <c r="CS229" t="e">
        <f>AND(#REF!,"AAAAAHp6XmA=")</f>
        <v>#REF!</v>
      </c>
      <c r="CT229" t="e">
        <f>AND(#REF!,"AAAAAHp6XmE=")</f>
        <v>#REF!</v>
      </c>
      <c r="CU229" t="e">
        <f>AND(#REF!,"AAAAAHp6XmI=")</f>
        <v>#REF!</v>
      </c>
      <c r="CV229" t="e">
        <f>AND(#REF!,"AAAAAHp6XmM=")</f>
        <v>#REF!</v>
      </c>
      <c r="CW229" t="e">
        <f>AND(#REF!,"AAAAAHp6XmQ=")</f>
        <v>#REF!</v>
      </c>
      <c r="CX229" t="e">
        <f>AND(#REF!,"AAAAAHp6XmU=")</f>
        <v>#REF!</v>
      </c>
      <c r="CY229" t="e">
        <f>AND(#REF!,"AAAAAHp6XmY=")</f>
        <v>#REF!</v>
      </c>
      <c r="CZ229" t="e">
        <f>AND(#REF!,"AAAAAHp6Xmc=")</f>
        <v>#REF!</v>
      </c>
      <c r="DA229" t="e">
        <f>AND(#REF!,"AAAAAHp6Xmg=")</f>
        <v>#REF!</v>
      </c>
      <c r="DB229" t="e">
        <f>AND(#REF!,"AAAAAHp6Xmk=")</f>
        <v>#REF!</v>
      </c>
      <c r="DC229" t="e">
        <f>AND(#REF!,"AAAAAHp6Xmo=")</f>
        <v>#REF!</v>
      </c>
      <c r="DD229" t="e">
        <f>AND(#REF!,"AAAAAHp6Xms=")</f>
        <v>#REF!</v>
      </c>
      <c r="DE229" t="e">
        <f>AND(#REF!,"AAAAAHp6Xmw=")</f>
        <v>#REF!</v>
      </c>
      <c r="DF229" t="e">
        <f>AND(#REF!,"AAAAAHp6Xm0=")</f>
        <v>#REF!</v>
      </c>
      <c r="DG229" t="e">
        <f>AND(#REF!,"AAAAAHp6Xm4=")</f>
        <v>#REF!</v>
      </c>
      <c r="DH229" t="e">
        <f>AND(#REF!,"AAAAAHp6Xm8=")</f>
        <v>#REF!</v>
      </c>
      <c r="DI229" t="e">
        <f>AND(#REF!,"AAAAAHp6XnA=")</f>
        <v>#REF!</v>
      </c>
      <c r="DJ229" t="e">
        <f>AND(#REF!,"AAAAAHp6XnE=")</f>
        <v>#REF!</v>
      </c>
      <c r="DK229" t="e">
        <f>AND(#REF!,"AAAAAHp6XnI=")</f>
        <v>#REF!</v>
      </c>
      <c r="DL229" t="e">
        <f>AND(#REF!,"AAAAAHp6XnM=")</f>
        <v>#REF!</v>
      </c>
      <c r="DM229" t="e">
        <f>AND(#REF!,"AAAAAHp6XnQ=")</f>
        <v>#REF!</v>
      </c>
      <c r="DN229" t="e">
        <f>AND(#REF!,"AAAAAHp6XnU=")</f>
        <v>#REF!</v>
      </c>
      <c r="DO229" t="e">
        <f>AND(#REF!,"AAAAAHp6XnY=")</f>
        <v>#REF!</v>
      </c>
      <c r="DP229" t="e">
        <f>AND(#REF!,"AAAAAHp6Xnc=")</f>
        <v>#REF!</v>
      </c>
      <c r="DQ229" t="e">
        <f>AND(#REF!,"AAAAAHp6Xng=")</f>
        <v>#REF!</v>
      </c>
      <c r="DR229" t="e">
        <f>AND(#REF!,"AAAAAHp6Xnk=")</f>
        <v>#REF!</v>
      </c>
      <c r="DS229" t="e">
        <f>AND(#REF!,"AAAAAHp6Xno=")</f>
        <v>#REF!</v>
      </c>
      <c r="DT229" t="e">
        <f>AND(#REF!,"AAAAAHp6Xns=")</f>
        <v>#REF!</v>
      </c>
      <c r="DU229" t="e">
        <f>AND(#REF!,"AAAAAHp6Xnw=")</f>
        <v>#REF!</v>
      </c>
      <c r="DV229" t="e">
        <f>AND(#REF!,"AAAAAHp6Xn0=")</f>
        <v>#REF!</v>
      </c>
      <c r="DW229" t="e">
        <f>AND(#REF!,"AAAAAHp6Xn4=")</f>
        <v>#REF!</v>
      </c>
      <c r="DX229" t="e">
        <f>AND(#REF!,"AAAAAHp6Xn8=")</f>
        <v>#REF!</v>
      </c>
      <c r="DY229" t="e">
        <f>AND(#REF!,"AAAAAHp6XoA=")</f>
        <v>#REF!</v>
      </c>
      <c r="DZ229" t="e">
        <f>AND(#REF!,"AAAAAHp6XoE=")</f>
        <v>#REF!</v>
      </c>
      <c r="EA229" t="e">
        <f>AND(#REF!,"AAAAAHp6XoI=")</f>
        <v>#REF!</v>
      </c>
      <c r="EB229" t="e">
        <f>AND(#REF!,"AAAAAHp6XoM=")</f>
        <v>#REF!</v>
      </c>
      <c r="EC229" t="e">
        <f>AND(#REF!,"AAAAAHp6XoQ=")</f>
        <v>#REF!</v>
      </c>
      <c r="ED229" t="e">
        <f>AND(#REF!,"AAAAAHp6XoU=")</f>
        <v>#REF!</v>
      </c>
      <c r="EE229" t="e">
        <f>AND(#REF!,"AAAAAHp6XoY=")</f>
        <v>#REF!</v>
      </c>
      <c r="EF229" t="e">
        <f>AND(#REF!,"AAAAAHp6Xoc=")</f>
        <v>#REF!</v>
      </c>
      <c r="EG229" t="e">
        <f>AND(#REF!,"AAAAAHp6Xog=")</f>
        <v>#REF!</v>
      </c>
      <c r="EH229" t="e">
        <f>AND(#REF!,"AAAAAHp6Xok=")</f>
        <v>#REF!</v>
      </c>
      <c r="EI229" t="e">
        <f>AND(#REF!,"AAAAAHp6Xoo=")</f>
        <v>#REF!</v>
      </c>
      <c r="EJ229" t="e">
        <f>AND(#REF!,"AAAAAHp6Xos=")</f>
        <v>#REF!</v>
      </c>
      <c r="EK229" t="e">
        <f>AND(#REF!,"AAAAAHp6Xow=")</f>
        <v>#REF!</v>
      </c>
      <c r="EL229" t="e">
        <f>AND(#REF!,"AAAAAHp6Xo0=")</f>
        <v>#REF!</v>
      </c>
      <c r="EM229" t="e">
        <f>AND(#REF!,"AAAAAHp6Xo4=")</f>
        <v>#REF!</v>
      </c>
      <c r="EN229" t="e">
        <f>AND(#REF!,"AAAAAHp6Xo8=")</f>
        <v>#REF!</v>
      </c>
      <c r="EO229" t="e">
        <f>AND(#REF!,"AAAAAHp6XpA=")</f>
        <v>#REF!</v>
      </c>
      <c r="EP229" t="e">
        <f>AND(#REF!,"AAAAAHp6XpE=")</f>
        <v>#REF!</v>
      </c>
      <c r="EQ229" t="e">
        <f>AND(#REF!,"AAAAAHp6XpI=")</f>
        <v>#REF!</v>
      </c>
      <c r="ER229" t="e">
        <f>AND(#REF!,"AAAAAHp6XpM=")</f>
        <v>#REF!</v>
      </c>
      <c r="ES229" t="e">
        <f>AND(#REF!,"AAAAAHp6XpQ=")</f>
        <v>#REF!</v>
      </c>
      <c r="ET229" t="e">
        <f>AND(#REF!,"AAAAAHp6XpU=")</f>
        <v>#REF!</v>
      </c>
      <c r="EU229" t="e">
        <f>AND(#REF!,"AAAAAHp6XpY=")</f>
        <v>#REF!</v>
      </c>
      <c r="EV229" t="e">
        <f>AND(#REF!,"AAAAAHp6Xpc=")</f>
        <v>#REF!</v>
      </c>
      <c r="EW229" t="e">
        <f>AND(#REF!,"AAAAAHp6Xpg=")</f>
        <v>#REF!</v>
      </c>
      <c r="EX229" t="e">
        <f>AND(#REF!,"AAAAAHp6Xpk=")</f>
        <v>#REF!</v>
      </c>
      <c r="EY229" t="e">
        <f>AND(#REF!,"AAAAAHp6Xpo=")</f>
        <v>#REF!</v>
      </c>
      <c r="EZ229" t="e">
        <f>AND(#REF!,"AAAAAHp6Xps=")</f>
        <v>#REF!</v>
      </c>
      <c r="FA229" t="e">
        <f>AND(#REF!,"AAAAAHp6Xpw=")</f>
        <v>#REF!</v>
      </c>
      <c r="FB229" t="e">
        <f>AND(#REF!,"AAAAAHp6Xp0=")</f>
        <v>#REF!</v>
      </c>
      <c r="FC229" t="e">
        <f>AND(#REF!,"AAAAAHp6Xp4=")</f>
        <v>#REF!</v>
      </c>
      <c r="FD229" t="e">
        <f>AND(#REF!,"AAAAAHp6Xp8=")</f>
        <v>#REF!</v>
      </c>
      <c r="FE229" t="e">
        <f>AND(#REF!,"AAAAAHp6XqA=")</f>
        <v>#REF!</v>
      </c>
      <c r="FF229" t="e">
        <f>AND(#REF!,"AAAAAHp6XqE=")</f>
        <v>#REF!</v>
      </c>
      <c r="FG229" t="e">
        <f>AND(#REF!,"AAAAAHp6XqI=")</f>
        <v>#REF!</v>
      </c>
      <c r="FH229" t="e">
        <f>AND(#REF!,"AAAAAHp6XqM=")</f>
        <v>#REF!</v>
      </c>
      <c r="FI229" t="e">
        <f>AND(#REF!,"AAAAAHp6XqQ=")</f>
        <v>#REF!</v>
      </c>
      <c r="FJ229" t="e">
        <f>AND(#REF!,"AAAAAHp6XqU=")</f>
        <v>#REF!</v>
      </c>
      <c r="FK229" t="e">
        <f>AND(#REF!,"AAAAAHp6XqY=")</f>
        <v>#REF!</v>
      </c>
      <c r="FL229" t="e">
        <f>AND(#REF!,"AAAAAHp6Xqc=")</f>
        <v>#REF!</v>
      </c>
      <c r="FM229" t="e">
        <f>AND(#REF!,"AAAAAHp6Xqg=")</f>
        <v>#REF!</v>
      </c>
      <c r="FN229" t="e">
        <f>AND(#REF!,"AAAAAHp6Xqk=")</f>
        <v>#REF!</v>
      </c>
      <c r="FO229" t="e">
        <f>IF(#REF!,"AAAAAHp6Xqo=",0)</f>
        <v>#REF!</v>
      </c>
      <c r="FP229" t="e">
        <f>AND(#REF!,"AAAAAHp6Xqs=")</f>
        <v>#REF!</v>
      </c>
      <c r="FQ229" t="e">
        <f>AND(#REF!,"AAAAAHp6Xqw=")</f>
        <v>#REF!</v>
      </c>
      <c r="FR229" t="e">
        <f>AND(#REF!,"AAAAAHp6Xq0=")</f>
        <v>#REF!</v>
      </c>
      <c r="FS229" t="e">
        <f>AND(#REF!,"AAAAAHp6Xq4=")</f>
        <v>#REF!</v>
      </c>
      <c r="FT229" t="e">
        <f>AND(#REF!,"AAAAAHp6Xq8=")</f>
        <v>#REF!</v>
      </c>
      <c r="FU229" t="e">
        <f>AND(#REF!,"AAAAAHp6XrA=")</f>
        <v>#REF!</v>
      </c>
      <c r="FV229" t="e">
        <f>AND(#REF!,"AAAAAHp6XrE=")</f>
        <v>#REF!</v>
      </c>
      <c r="FW229" t="e">
        <f>AND(#REF!,"AAAAAHp6XrI=")</f>
        <v>#REF!</v>
      </c>
      <c r="FX229" t="e">
        <f>AND(#REF!,"AAAAAHp6XrM=")</f>
        <v>#REF!</v>
      </c>
      <c r="FY229" t="e">
        <f>AND(#REF!,"AAAAAHp6XrQ=")</f>
        <v>#REF!</v>
      </c>
      <c r="FZ229" t="e">
        <f>AND(#REF!,"AAAAAHp6XrU=")</f>
        <v>#REF!</v>
      </c>
      <c r="GA229" t="e">
        <f>AND(#REF!,"AAAAAHp6XrY=")</f>
        <v>#REF!</v>
      </c>
      <c r="GB229" t="e">
        <f>AND(#REF!,"AAAAAHp6Xrc=")</f>
        <v>#REF!</v>
      </c>
      <c r="GC229" t="e">
        <f>AND(#REF!,"AAAAAHp6Xrg=")</f>
        <v>#REF!</v>
      </c>
      <c r="GD229" t="e">
        <f>AND(#REF!,"AAAAAHp6Xrk=")</f>
        <v>#REF!</v>
      </c>
      <c r="GE229" t="e">
        <f>AND(#REF!,"AAAAAHp6Xro=")</f>
        <v>#REF!</v>
      </c>
      <c r="GF229" t="e">
        <f>AND(#REF!,"AAAAAHp6Xrs=")</f>
        <v>#REF!</v>
      </c>
      <c r="GG229" t="e">
        <f>AND(#REF!,"AAAAAHp6Xrw=")</f>
        <v>#REF!</v>
      </c>
      <c r="GH229" t="e">
        <f>AND(#REF!,"AAAAAHp6Xr0=")</f>
        <v>#REF!</v>
      </c>
      <c r="GI229" t="e">
        <f>AND(#REF!,"AAAAAHp6Xr4=")</f>
        <v>#REF!</v>
      </c>
      <c r="GJ229" t="e">
        <f>AND(#REF!,"AAAAAHp6Xr8=")</f>
        <v>#REF!</v>
      </c>
      <c r="GK229" t="e">
        <f>AND(#REF!,"AAAAAHp6XsA=")</f>
        <v>#REF!</v>
      </c>
      <c r="GL229" t="e">
        <f>AND(#REF!,"AAAAAHp6XsE=")</f>
        <v>#REF!</v>
      </c>
      <c r="GM229" t="e">
        <f>AND(#REF!,"AAAAAHp6XsI=")</f>
        <v>#REF!</v>
      </c>
      <c r="GN229" t="e">
        <f>AND(#REF!,"AAAAAHp6XsM=")</f>
        <v>#REF!</v>
      </c>
      <c r="GO229" t="e">
        <f>AND(#REF!,"AAAAAHp6XsQ=")</f>
        <v>#REF!</v>
      </c>
      <c r="GP229" t="e">
        <f>AND(#REF!,"AAAAAHp6XsU=")</f>
        <v>#REF!</v>
      </c>
      <c r="GQ229" t="e">
        <f>AND(#REF!,"AAAAAHp6XsY=")</f>
        <v>#REF!</v>
      </c>
      <c r="GR229" t="e">
        <f>AND(#REF!,"AAAAAHp6Xsc=")</f>
        <v>#REF!</v>
      </c>
      <c r="GS229" t="e">
        <f>AND(#REF!,"AAAAAHp6Xsg=")</f>
        <v>#REF!</v>
      </c>
      <c r="GT229" t="e">
        <f>AND(#REF!,"AAAAAHp6Xsk=")</f>
        <v>#REF!</v>
      </c>
      <c r="GU229" t="e">
        <f>AND(#REF!,"AAAAAHp6Xso=")</f>
        <v>#REF!</v>
      </c>
      <c r="GV229" t="e">
        <f>AND(#REF!,"AAAAAHp6Xss=")</f>
        <v>#REF!</v>
      </c>
      <c r="GW229" t="e">
        <f>AND(#REF!,"AAAAAHp6Xsw=")</f>
        <v>#REF!</v>
      </c>
      <c r="GX229" t="e">
        <f>AND(#REF!,"AAAAAHp6Xs0=")</f>
        <v>#REF!</v>
      </c>
      <c r="GY229" t="e">
        <f>AND(#REF!,"AAAAAHp6Xs4=")</f>
        <v>#REF!</v>
      </c>
      <c r="GZ229" t="e">
        <f>AND(#REF!,"AAAAAHp6Xs8=")</f>
        <v>#REF!</v>
      </c>
      <c r="HA229" t="e">
        <f>AND(#REF!,"AAAAAHp6XtA=")</f>
        <v>#REF!</v>
      </c>
      <c r="HB229" t="e">
        <f>AND(#REF!,"AAAAAHp6XtE=")</f>
        <v>#REF!</v>
      </c>
      <c r="HC229" t="e">
        <f>AND(#REF!,"AAAAAHp6XtI=")</f>
        <v>#REF!</v>
      </c>
      <c r="HD229" t="e">
        <f>AND(#REF!,"AAAAAHp6XtM=")</f>
        <v>#REF!</v>
      </c>
      <c r="HE229" t="e">
        <f>AND(#REF!,"AAAAAHp6XtQ=")</f>
        <v>#REF!</v>
      </c>
      <c r="HF229" t="e">
        <f>AND(#REF!,"AAAAAHp6XtU=")</f>
        <v>#REF!</v>
      </c>
      <c r="HG229" t="e">
        <f>AND(#REF!,"AAAAAHp6XtY=")</f>
        <v>#REF!</v>
      </c>
      <c r="HH229" t="e">
        <f>AND(#REF!,"AAAAAHp6Xtc=")</f>
        <v>#REF!</v>
      </c>
      <c r="HI229" t="e">
        <f>AND(#REF!,"AAAAAHp6Xtg=")</f>
        <v>#REF!</v>
      </c>
      <c r="HJ229" t="e">
        <f>AND(#REF!,"AAAAAHp6Xtk=")</f>
        <v>#REF!</v>
      </c>
      <c r="HK229" t="e">
        <f>AND(#REF!,"AAAAAHp6Xto=")</f>
        <v>#REF!</v>
      </c>
      <c r="HL229" t="e">
        <f>AND(#REF!,"AAAAAHp6Xts=")</f>
        <v>#REF!</v>
      </c>
      <c r="HM229" t="e">
        <f>AND(#REF!,"AAAAAHp6Xtw=")</f>
        <v>#REF!</v>
      </c>
      <c r="HN229" t="e">
        <f>AND(#REF!,"AAAAAHp6Xt0=")</f>
        <v>#REF!</v>
      </c>
      <c r="HO229" t="e">
        <f>AND(#REF!,"AAAAAHp6Xt4=")</f>
        <v>#REF!</v>
      </c>
      <c r="HP229" t="e">
        <f>AND(#REF!,"AAAAAHp6Xt8=")</f>
        <v>#REF!</v>
      </c>
      <c r="HQ229" t="e">
        <f>AND(#REF!,"AAAAAHp6XuA=")</f>
        <v>#REF!</v>
      </c>
      <c r="HR229" t="e">
        <f>AND(#REF!,"AAAAAHp6XuE=")</f>
        <v>#REF!</v>
      </c>
      <c r="HS229" t="e">
        <f>AND(#REF!,"AAAAAHp6XuI=")</f>
        <v>#REF!</v>
      </c>
      <c r="HT229" t="e">
        <f>AND(#REF!,"AAAAAHp6XuM=")</f>
        <v>#REF!</v>
      </c>
      <c r="HU229" t="e">
        <f>AND(#REF!,"AAAAAHp6XuQ=")</f>
        <v>#REF!</v>
      </c>
      <c r="HV229" t="e">
        <f>AND(#REF!,"AAAAAHp6XuU=")</f>
        <v>#REF!</v>
      </c>
      <c r="HW229" t="e">
        <f>AND(#REF!,"AAAAAHp6XuY=")</f>
        <v>#REF!</v>
      </c>
      <c r="HX229" t="e">
        <f>AND(#REF!,"AAAAAHp6Xuc=")</f>
        <v>#REF!</v>
      </c>
      <c r="HY229" t="e">
        <f>AND(#REF!,"AAAAAHp6Xug=")</f>
        <v>#REF!</v>
      </c>
      <c r="HZ229" t="e">
        <f>AND(#REF!,"AAAAAHp6Xuk=")</f>
        <v>#REF!</v>
      </c>
      <c r="IA229" t="e">
        <f>AND(#REF!,"AAAAAHp6Xuo=")</f>
        <v>#REF!</v>
      </c>
      <c r="IB229" t="e">
        <f>AND(#REF!,"AAAAAHp6Xus=")</f>
        <v>#REF!</v>
      </c>
      <c r="IC229" t="e">
        <f>AND(#REF!,"AAAAAHp6Xuw=")</f>
        <v>#REF!</v>
      </c>
      <c r="ID229" t="e">
        <f>AND(#REF!,"AAAAAHp6Xu0=")</f>
        <v>#REF!</v>
      </c>
      <c r="IE229" t="e">
        <f>AND(#REF!,"AAAAAHp6Xu4=")</f>
        <v>#REF!</v>
      </c>
      <c r="IF229" t="e">
        <f>AND(#REF!,"AAAAAHp6Xu8=")</f>
        <v>#REF!</v>
      </c>
      <c r="IG229" t="e">
        <f>AND(#REF!,"AAAAAHp6XvA=")</f>
        <v>#REF!</v>
      </c>
      <c r="IH229" t="e">
        <f>AND(#REF!,"AAAAAHp6XvE=")</f>
        <v>#REF!</v>
      </c>
      <c r="II229" t="e">
        <f>AND(#REF!,"AAAAAHp6XvI=")</f>
        <v>#REF!</v>
      </c>
      <c r="IJ229" t="e">
        <f>AND(#REF!,"AAAAAHp6XvM=")</f>
        <v>#REF!</v>
      </c>
      <c r="IK229" t="e">
        <f>AND(#REF!,"AAAAAHp6XvQ=")</f>
        <v>#REF!</v>
      </c>
      <c r="IL229" t="e">
        <f>AND(#REF!,"AAAAAHp6XvU=")</f>
        <v>#REF!</v>
      </c>
      <c r="IM229" t="e">
        <f>AND(#REF!,"AAAAAHp6XvY=")</f>
        <v>#REF!</v>
      </c>
      <c r="IN229" t="e">
        <f>AND(#REF!,"AAAAAHp6Xvc=")</f>
        <v>#REF!</v>
      </c>
      <c r="IO229" t="e">
        <f>AND(#REF!,"AAAAAHp6Xvg=")</f>
        <v>#REF!</v>
      </c>
      <c r="IP229" t="e">
        <f>AND(#REF!,"AAAAAHp6Xvk=")</f>
        <v>#REF!</v>
      </c>
      <c r="IQ229" t="e">
        <f>AND(#REF!,"AAAAAHp6Xvo=")</f>
        <v>#REF!</v>
      </c>
      <c r="IR229" t="e">
        <f>AND(#REF!,"AAAAAHp6Xvs=")</f>
        <v>#REF!</v>
      </c>
      <c r="IS229" t="e">
        <f>AND(#REF!,"AAAAAHp6Xvw=")</f>
        <v>#REF!</v>
      </c>
      <c r="IT229" t="e">
        <f>AND(#REF!,"AAAAAHp6Xv0=")</f>
        <v>#REF!</v>
      </c>
      <c r="IU229" t="e">
        <f>AND(#REF!,"AAAAAHp6Xv4=")</f>
        <v>#REF!</v>
      </c>
      <c r="IV229" t="e">
        <f>AND(#REF!,"AAAAAHp6Xv8=")</f>
        <v>#REF!</v>
      </c>
    </row>
    <row r="230" spans="1:256">
      <c r="A230" t="e">
        <f>AND(#REF!,"AAAAAHbzdgA=")</f>
        <v>#REF!</v>
      </c>
      <c r="B230" t="e">
        <f>AND(#REF!,"AAAAAHbzdgE=")</f>
        <v>#REF!</v>
      </c>
      <c r="C230" t="e">
        <f>AND(#REF!,"AAAAAHbzdgI=")</f>
        <v>#REF!</v>
      </c>
      <c r="D230" t="e">
        <f>AND(#REF!,"AAAAAHbzdgM=")</f>
        <v>#REF!</v>
      </c>
      <c r="E230" t="e">
        <f>AND(#REF!,"AAAAAHbzdgQ=")</f>
        <v>#REF!</v>
      </c>
      <c r="F230" t="e">
        <f>AND(#REF!,"AAAAAHbzdgU=")</f>
        <v>#REF!</v>
      </c>
      <c r="G230" t="e">
        <f>AND(#REF!,"AAAAAHbzdgY=")</f>
        <v>#REF!</v>
      </c>
      <c r="H230" t="e">
        <f>AND(#REF!,"AAAAAHbzdgc=")</f>
        <v>#REF!</v>
      </c>
      <c r="I230" t="e">
        <f>AND(#REF!,"AAAAAHbzdgg=")</f>
        <v>#REF!</v>
      </c>
      <c r="J230" t="e">
        <f>AND(#REF!,"AAAAAHbzdgk=")</f>
        <v>#REF!</v>
      </c>
      <c r="K230" t="e">
        <f>AND(#REF!,"AAAAAHbzdgo=")</f>
        <v>#REF!</v>
      </c>
      <c r="L230" t="e">
        <f>AND(#REF!,"AAAAAHbzdgs=")</f>
        <v>#REF!</v>
      </c>
      <c r="M230" t="e">
        <f>AND(#REF!,"AAAAAHbzdgw=")</f>
        <v>#REF!</v>
      </c>
      <c r="N230" t="e">
        <f>AND(#REF!,"AAAAAHbzdg0=")</f>
        <v>#REF!</v>
      </c>
      <c r="O230" t="e">
        <f>AND(#REF!,"AAAAAHbzdg4=")</f>
        <v>#REF!</v>
      </c>
      <c r="P230" t="e">
        <f>AND(#REF!,"AAAAAHbzdg8=")</f>
        <v>#REF!</v>
      </c>
      <c r="Q230" t="e">
        <f>AND(#REF!,"AAAAAHbzdhA=")</f>
        <v>#REF!</v>
      </c>
      <c r="R230" t="e">
        <f>AND(#REF!,"AAAAAHbzdhE=")</f>
        <v>#REF!</v>
      </c>
      <c r="S230" t="e">
        <f>AND(#REF!,"AAAAAHbzdhI=")</f>
        <v>#REF!</v>
      </c>
      <c r="T230" t="e">
        <f>AND(#REF!,"AAAAAHbzdhM=")</f>
        <v>#REF!</v>
      </c>
      <c r="U230" t="e">
        <f>AND(#REF!,"AAAAAHbzdhQ=")</f>
        <v>#REF!</v>
      </c>
      <c r="V230" t="e">
        <f>AND(#REF!,"AAAAAHbzdhU=")</f>
        <v>#REF!</v>
      </c>
      <c r="W230" t="e">
        <f>AND(#REF!,"AAAAAHbzdhY=")</f>
        <v>#REF!</v>
      </c>
      <c r="X230" t="e">
        <f>AND(#REF!,"AAAAAHbzdhc=")</f>
        <v>#REF!</v>
      </c>
      <c r="Y230" t="e">
        <f>AND(#REF!,"AAAAAHbzdhg=")</f>
        <v>#REF!</v>
      </c>
      <c r="Z230" t="e">
        <f>AND(#REF!,"AAAAAHbzdhk=")</f>
        <v>#REF!</v>
      </c>
      <c r="AA230" t="e">
        <f>AND(#REF!,"AAAAAHbzdho=")</f>
        <v>#REF!</v>
      </c>
      <c r="AB230" t="e">
        <f>AND(#REF!,"AAAAAHbzdhs=")</f>
        <v>#REF!</v>
      </c>
      <c r="AC230" t="e">
        <f>AND(#REF!,"AAAAAHbzdhw=")</f>
        <v>#REF!</v>
      </c>
      <c r="AD230" t="e">
        <f>AND(#REF!,"AAAAAHbzdh0=")</f>
        <v>#REF!</v>
      </c>
      <c r="AE230" t="e">
        <f>AND(#REF!,"AAAAAHbzdh4=")</f>
        <v>#REF!</v>
      </c>
      <c r="AF230" t="e">
        <f>AND(#REF!,"AAAAAHbzdh8=")</f>
        <v>#REF!</v>
      </c>
      <c r="AG230" t="e">
        <f>AND(#REF!,"AAAAAHbzdiA=")</f>
        <v>#REF!</v>
      </c>
      <c r="AH230" t="e">
        <f>AND(#REF!,"AAAAAHbzdiE=")</f>
        <v>#REF!</v>
      </c>
      <c r="AI230" t="e">
        <f>AND(#REF!,"AAAAAHbzdiI=")</f>
        <v>#REF!</v>
      </c>
      <c r="AJ230" t="e">
        <f>AND(#REF!,"AAAAAHbzdiM=")</f>
        <v>#REF!</v>
      </c>
      <c r="AK230" t="e">
        <f>AND(#REF!,"AAAAAHbzdiQ=")</f>
        <v>#REF!</v>
      </c>
      <c r="AL230" t="e">
        <f>AND(#REF!,"AAAAAHbzdiU=")</f>
        <v>#REF!</v>
      </c>
      <c r="AM230" t="e">
        <f>AND(#REF!,"AAAAAHbzdiY=")</f>
        <v>#REF!</v>
      </c>
      <c r="AN230" t="e">
        <f>AND(#REF!,"AAAAAHbzdic=")</f>
        <v>#REF!</v>
      </c>
      <c r="AO230" t="e">
        <f>AND(#REF!,"AAAAAHbzdig=")</f>
        <v>#REF!</v>
      </c>
      <c r="AP230" t="e">
        <f>AND(#REF!,"AAAAAHbzdik=")</f>
        <v>#REF!</v>
      </c>
      <c r="AQ230" t="e">
        <f>AND(#REF!,"AAAAAHbzdio=")</f>
        <v>#REF!</v>
      </c>
      <c r="AR230" t="e">
        <f>AND(#REF!,"AAAAAHbzdis=")</f>
        <v>#REF!</v>
      </c>
      <c r="AS230" t="e">
        <f>AND(#REF!,"AAAAAHbzdiw=")</f>
        <v>#REF!</v>
      </c>
      <c r="AT230" t="e">
        <f>AND(#REF!,"AAAAAHbzdi0=")</f>
        <v>#REF!</v>
      </c>
      <c r="AU230" t="e">
        <f>AND(#REF!,"AAAAAHbzdi4=")</f>
        <v>#REF!</v>
      </c>
      <c r="AV230" t="e">
        <f>AND(#REF!,"AAAAAHbzdi8=")</f>
        <v>#REF!</v>
      </c>
      <c r="AW230" t="e">
        <f>AND(#REF!,"AAAAAHbzdjA=")</f>
        <v>#REF!</v>
      </c>
      <c r="AX230" t="e">
        <f>AND(#REF!,"AAAAAHbzdjE=")</f>
        <v>#REF!</v>
      </c>
      <c r="AY230" t="e">
        <f>AND(#REF!,"AAAAAHbzdjI=")</f>
        <v>#REF!</v>
      </c>
      <c r="AZ230" t="e">
        <f>AND(#REF!,"AAAAAHbzdjM=")</f>
        <v>#REF!</v>
      </c>
      <c r="BA230" t="e">
        <f>AND(#REF!,"AAAAAHbzdjQ=")</f>
        <v>#REF!</v>
      </c>
      <c r="BB230" t="e">
        <f>AND(#REF!,"AAAAAHbzdjU=")</f>
        <v>#REF!</v>
      </c>
      <c r="BC230" t="e">
        <f>AND(#REF!,"AAAAAHbzdjY=")</f>
        <v>#REF!</v>
      </c>
      <c r="BD230" t="e">
        <f>AND(#REF!,"AAAAAHbzdjc=")</f>
        <v>#REF!</v>
      </c>
      <c r="BE230" t="e">
        <f>AND(#REF!,"AAAAAHbzdjg=")</f>
        <v>#REF!</v>
      </c>
      <c r="BF230" t="e">
        <f>AND(#REF!,"AAAAAHbzdjk=")</f>
        <v>#REF!</v>
      </c>
      <c r="BG230" t="e">
        <f>AND(#REF!,"AAAAAHbzdjo=")</f>
        <v>#REF!</v>
      </c>
      <c r="BH230" t="e">
        <f>AND(#REF!,"AAAAAHbzdjs=")</f>
        <v>#REF!</v>
      </c>
      <c r="BI230" t="e">
        <f>AND(#REF!,"AAAAAHbzdjw=")</f>
        <v>#REF!</v>
      </c>
      <c r="BJ230" t="e">
        <f>AND(#REF!,"AAAAAHbzdj0=")</f>
        <v>#REF!</v>
      </c>
      <c r="BK230" t="e">
        <f>AND(#REF!,"AAAAAHbzdj4=")</f>
        <v>#REF!</v>
      </c>
      <c r="BL230" t="e">
        <f>AND(#REF!,"AAAAAHbzdj8=")</f>
        <v>#REF!</v>
      </c>
      <c r="BM230" t="e">
        <f>AND(#REF!,"AAAAAHbzdkA=")</f>
        <v>#REF!</v>
      </c>
      <c r="BN230" t="e">
        <f>AND(#REF!,"AAAAAHbzdkE=")</f>
        <v>#REF!</v>
      </c>
      <c r="BO230" t="e">
        <f>AND(#REF!,"AAAAAHbzdkI=")</f>
        <v>#REF!</v>
      </c>
      <c r="BP230" t="e">
        <f>AND(#REF!,"AAAAAHbzdkM=")</f>
        <v>#REF!</v>
      </c>
      <c r="BQ230" t="e">
        <f>AND(#REF!,"AAAAAHbzdkQ=")</f>
        <v>#REF!</v>
      </c>
      <c r="BR230" t="e">
        <f>AND(#REF!,"AAAAAHbzdkU=")</f>
        <v>#REF!</v>
      </c>
      <c r="BS230" t="e">
        <f>AND(#REF!,"AAAAAHbzdkY=")</f>
        <v>#REF!</v>
      </c>
      <c r="BT230" t="e">
        <f>AND(#REF!,"AAAAAHbzdkc=")</f>
        <v>#REF!</v>
      </c>
      <c r="BU230" t="e">
        <f>AND(#REF!,"AAAAAHbzdkg=")</f>
        <v>#REF!</v>
      </c>
      <c r="BV230" t="e">
        <f>AND(#REF!,"AAAAAHbzdkk=")</f>
        <v>#REF!</v>
      </c>
      <c r="BW230" t="e">
        <f>AND(#REF!,"AAAAAHbzdko=")</f>
        <v>#REF!</v>
      </c>
      <c r="BX230" t="e">
        <f>AND(#REF!,"AAAAAHbzdks=")</f>
        <v>#REF!</v>
      </c>
      <c r="BY230" t="e">
        <f>AND(#REF!,"AAAAAHbzdkw=")</f>
        <v>#REF!</v>
      </c>
      <c r="BZ230" t="e">
        <f>AND(#REF!,"AAAAAHbzdk0=")</f>
        <v>#REF!</v>
      </c>
      <c r="CA230" t="e">
        <f>AND(#REF!,"AAAAAHbzdk4=")</f>
        <v>#REF!</v>
      </c>
      <c r="CB230" t="e">
        <f>AND(#REF!,"AAAAAHbzdk8=")</f>
        <v>#REF!</v>
      </c>
      <c r="CC230" t="e">
        <f>AND(#REF!,"AAAAAHbzdlA=")</f>
        <v>#REF!</v>
      </c>
      <c r="CD230" t="e">
        <f>AND(#REF!,"AAAAAHbzdlE=")</f>
        <v>#REF!</v>
      </c>
      <c r="CE230" t="e">
        <f>AND(#REF!,"AAAAAHbzdlI=")</f>
        <v>#REF!</v>
      </c>
      <c r="CF230" t="e">
        <f>AND(#REF!,"AAAAAHbzdlM=")</f>
        <v>#REF!</v>
      </c>
      <c r="CG230" t="e">
        <f>AND(#REF!,"AAAAAHbzdlQ=")</f>
        <v>#REF!</v>
      </c>
      <c r="CH230" t="e">
        <f>AND(#REF!,"AAAAAHbzdlU=")</f>
        <v>#REF!</v>
      </c>
      <c r="CI230" t="e">
        <f>AND(#REF!,"AAAAAHbzdlY=")</f>
        <v>#REF!</v>
      </c>
      <c r="CJ230" t="e">
        <f>AND(#REF!,"AAAAAHbzdlc=")</f>
        <v>#REF!</v>
      </c>
      <c r="CK230" t="e">
        <f>AND(#REF!,"AAAAAHbzdlg=")</f>
        <v>#REF!</v>
      </c>
      <c r="CL230" t="e">
        <f>AND(#REF!,"AAAAAHbzdlk=")</f>
        <v>#REF!</v>
      </c>
      <c r="CM230" t="e">
        <f>AND(#REF!,"AAAAAHbzdlo=")</f>
        <v>#REF!</v>
      </c>
      <c r="CN230" t="e">
        <f>AND(#REF!,"AAAAAHbzdls=")</f>
        <v>#REF!</v>
      </c>
      <c r="CO230" t="e">
        <f>AND(#REF!,"AAAAAHbzdlw=")</f>
        <v>#REF!</v>
      </c>
      <c r="CP230" t="e">
        <f>AND(#REF!,"AAAAAHbzdl0=")</f>
        <v>#REF!</v>
      </c>
      <c r="CQ230" t="e">
        <f>AND(#REF!,"AAAAAHbzdl4=")</f>
        <v>#REF!</v>
      </c>
      <c r="CR230" t="e">
        <f>AND(#REF!,"AAAAAHbzdl8=")</f>
        <v>#REF!</v>
      </c>
      <c r="CS230" t="e">
        <f>AND(#REF!,"AAAAAHbzdmA=")</f>
        <v>#REF!</v>
      </c>
      <c r="CT230" t="e">
        <f>AND(#REF!,"AAAAAHbzdmE=")</f>
        <v>#REF!</v>
      </c>
      <c r="CU230" t="e">
        <f>AND(#REF!,"AAAAAHbzdmI=")</f>
        <v>#REF!</v>
      </c>
      <c r="CV230" t="e">
        <f>AND(#REF!,"AAAAAHbzdmM=")</f>
        <v>#REF!</v>
      </c>
      <c r="CW230" t="e">
        <f>AND(#REF!,"AAAAAHbzdmQ=")</f>
        <v>#REF!</v>
      </c>
      <c r="CX230" t="e">
        <f>AND(#REF!,"AAAAAHbzdmU=")</f>
        <v>#REF!</v>
      </c>
      <c r="CY230" t="e">
        <f>AND(#REF!,"AAAAAHbzdmY=")</f>
        <v>#REF!</v>
      </c>
      <c r="CZ230" t="e">
        <f>AND(#REF!,"AAAAAHbzdmc=")</f>
        <v>#REF!</v>
      </c>
      <c r="DA230" t="e">
        <f>AND(#REF!,"AAAAAHbzdmg=")</f>
        <v>#REF!</v>
      </c>
      <c r="DB230" t="e">
        <f>AND(#REF!,"AAAAAHbzdmk=")</f>
        <v>#REF!</v>
      </c>
      <c r="DC230" t="e">
        <f>AND(#REF!,"AAAAAHbzdmo=")</f>
        <v>#REF!</v>
      </c>
      <c r="DD230" t="e">
        <f>AND(#REF!,"AAAAAHbzdms=")</f>
        <v>#REF!</v>
      </c>
      <c r="DE230" t="e">
        <f>AND(#REF!,"AAAAAHbzdmw=")</f>
        <v>#REF!</v>
      </c>
      <c r="DF230" t="e">
        <f>AND(#REF!,"AAAAAHbzdm0=")</f>
        <v>#REF!</v>
      </c>
      <c r="DG230" t="e">
        <f>AND(#REF!,"AAAAAHbzdm4=")</f>
        <v>#REF!</v>
      </c>
      <c r="DH230" t="e">
        <f>AND(#REF!,"AAAAAHbzdm8=")</f>
        <v>#REF!</v>
      </c>
      <c r="DI230" t="e">
        <f>AND(#REF!,"AAAAAHbzdnA=")</f>
        <v>#REF!</v>
      </c>
      <c r="DJ230" t="e">
        <f>AND(#REF!,"AAAAAHbzdnE=")</f>
        <v>#REF!</v>
      </c>
      <c r="DK230" t="e">
        <f>AND(#REF!,"AAAAAHbzdnI=")</f>
        <v>#REF!</v>
      </c>
      <c r="DL230" t="e">
        <f>AND(#REF!,"AAAAAHbzdnM=")</f>
        <v>#REF!</v>
      </c>
      <c r="DM230" t="e">
        <f>AND(#REF!,"AAAAAHbzdnQ=")</f>
        <v>#REF!</v>
      </c>
      <c r="DN230" t="e">
        <f>AND(#REF!,"AAAAAHbzdnU=")</f>
        <v>#REF!</v>
      </c>
      <c r="DO230" t="e">
        <f>AND(#REF!,"AAAAAHbzdnY=")</f>
        <v>#REF!</v>
      </c>
      <c r="DP230" t="e">
        <f>AND(#REF!,"AAAAAHbzdnc=")</f>
        <v>#REF!</v>
      </c>
      <c r="DQ230" t="e">
        <f>AND(#REF!,"AAAAAHbzdng=")</f>
        <v>#REF!</v>
      </c>
      <c r="DR230" t="e">
        <f>AND(#REF!,"AAAAAHbzdnk=")</f>
        <v>#REF!</v>
      </c>
      <c r="DS230" t="e">
        <f>AND(#REF!,"AAAAAHbzdno=")</f>
        <v>#REF!</v>
      </c>
      <c r="DT230" t="e">
        <f>AND(#REF!,"AAAAAHbzdns=")</f>
        <v>#REF!</v>
      </c>
      <c r="DU230" t="e">
        <f>AND(#REF!,"AAAAAHbzdnw=")</f>
        <v>#REF!</v>
      </c>
      <c r="DV230" t="e">
        <f>AND(#REF!,"AAAAAHbzdn0=")</f>
        <v>#REF!</v>
      </c>
      <c r="DW230" t="e">
        <f>AND(#REF!,"AAAAAHbzdn4=")</f>
        <v>#REF!</v>
      </c>
      <c r="DX230" t="e">
        <f>AND(#REF!,"AAAAAHbzdn8=")</f>
        <v>#REF!</v>
      </c>
      <c r="DY230" t="e">
        <f>AND(#REF!,"AAAAAHbzdoA=")</f>
        <v>#REF!</v>
      </c>
      <c r="DZ230" t="e">
        <f>AND(#REF!,"AAAAAHbzdoE=")</f>
        <v>#REF!</v>
      </c>
      <c r="EA230" t="e">
        <f>AND(#REF!,"AAAAAHbzdoI=")</f>
        <v>#REF!</v>
      </c>
      <c r="EB230" t="e">
        <f>AND(#REF!,"AAAAAHbzdoM=")</f>
        <v>#REF!</v>
      </c>
      <c r="EC230" t="e">
        <f>AND(#REF!,"AAAAAHbzdoQ=")</f>
        <v>#REF!</v>
      </c>
      <c r="ED230" t="e">
        <f>AND(#REF!,"AAAAAHbzdoU=")</f>
        <v>#REF!</v>
      </c>
      <c r="EE230" t="e">
        <f>AND(#REF!,"AAAAAHbzdoY=")</f>
        <v>#REF!</v>
      </c>
      <c r="EF230" t="e">
        <f>AND(#REF!,"AAAAAHbzdoc=")</f>
        <v>#REF!</v>
      </c>
      <c r="EG230" t="e">
        <f>AND(#REF!,"AAAAAHbzdog=")</f>
        <v>#REF!</v>
      </c>
      <c r="EH230" t="e">
        <f>AND(#REF!,"AAAAAHbzdok=")</f>
        <v>#REF!</v>
      </c>
      <c r="EI230" t="e">
        <f>AND(#REF!,"AAAAAHbzdoo=")</f>
        <v>#REF!</v>
      </c>
      <c r="EJ230" t="e">
        <f>AND(#REF!,"AAAAAHbzdos=")</f>
        <v>#REF!</v>
      </c>
      <c r="EK230" t="e">
        <f>AND(#REF!,"AAAAAHbzdow=")</f>
        <v>#REF!</v>
      </c>
      <c r="EL230" t="e">
        <f>AND(#REF!,"AAAAAHbzdo0=")</f>
        <v>#REF!</v>
      </c>
      <c r="EM230" t="e">
        <f>IF(#REF!,"AAAAAHbzdo4=",0)</f>
        <v>#REF!</v>
      </c>
      <c r="EN230" t="e">
        <f>AND(#REF!,"AAAAAHbzdo8=")</f>
        <v>#REF!</v>
      </c>
      <c r="EO230" t="e">
        <f>AND(#REF!,"AAAAAHbzdpA=")</f>
        <v>#REF!</v>
      </c>
      <c r="EP230" t="e">
        <f>AND(#REF!,"AAAAAHbzdpE=")</f>
        <v>#REF!</v>
      </c>
      <c r="EQ230" t="e">
        <f>AND(#REF!,"AAAAAHbzdpI=")</f>
        <v>#REF!</v>
      </c>
      <c r="ER230" t="e">
        <f>AND(#REF!,"AAAAAHbzdpM=")</f>
        <v>#REF!</v>
      </c>
      <c r="ES230" t="e">
        <f>AND(#REF!,"AAAAAHbzdpQ=")</f>
        <v>#REF!</v>
      </c>
      <c r="ET230" t="e">
        <f>AND(#REF!,"AAAAAHbzdpU=")</f>
        <v>#REF!</v>
      </c>
      <c r="EU230" t="e">
        <f>AND(#REF!,"AAAAAHbzdpY=")</f>
        <v>#REF!</v>
      </c>
      <c r="EV230" t="e">
        <f>AND(#REF!,"AAAAAHbzdpc=")</f>
        <v>#REF!</v>
      </c>
      <c r="EW230" t="e">
        <f>AND(#REF!,"AAAAAHbzdpg=")</f>
        <v>#REF!</v>
      </c>
      <c r="EX230" t="e">
        <f>AND(#REF!,"AAAAAHbzdpk=")</f>
        <v>#REF!</v>
      </c>
      <c r="EY230" t="e">
        <f>AND(#REF!,"AAAAAHbzdpo=")</f>
        <v>#REF!</v>
      </c>
      <c r="EZ230" t="e">
        <f>AND(#REF!,"AAAAAHbzdps=")</f>
        <v>#REF!</v>
      </c>
      <c r="FA230" t="e">
        <f>AND(#REF!,"AAAAAHbzdpw=")</f>
        <v>#REF!</v>
      </c>
      <c r="FB230" t="e">
        <f>AND(#REF!,"AAAAAHbzdp0=")</f>
        <v>#REF!</v>
      </c>
      <c r="FC230" t="e">
        <f>AND(#REF!,"AAAAAHbzdp4=")</f>
        <v>#REF!</v>
      </c>
      <c r="FD230" t="e">
        <f>AND(#REF!,"AAAAAHbzdp8=")</f>
        <v>#REF!</v>
      </c>
      <c r="FE230" t="e">
        <f>AND(#REF!,"AAAAAHbzdqA=")</f>
        <v>#REF!</v>
      </c>
      <c r="FF230" t="e">
        <f>AND(#REF!,"AAAAAHbzdqE=")</f>
        <v>#REF!</v>
      </c>
      <c r="FG230" t="e">
        <f>AND(#REF!,"AAAAAHbzdqI=")</f>
        <v>#REF!</v>
      </c>
      <c r="FH230" t="e">
        <f>AND(#REF!,"AAAAAHbzdqM=")</f>
        <v>#REF!</v>
      </c>
      <c r="FI230" t="e">
        <f>AND(#REF!,"AAAAAHbzdqQ=")</f>
        <v>#REF!</v>
      </c>
      <c r="FJ230" t="e">
        <f>AND(#REF!,"AAAAAHbzdqU=")</f>
        <v>#REF!</v>
      </c>
      <c r="FK230" t="e">
        <f>AND(#REF!,"AAAAAHbzdqY=")</f>
        <v>#REF!</v>
      </c>
      <c r="FL230" t="e">
        <f>AND(#REF!,"AAAAAHbzdqc=")</f>
        <v>#REF!</v>
      </c>
      <c r="FM230" t="e">
        <f>AND(#REF!,"AAAAAHbzdqg=")</f>
        <v>#REF!</v>
      </c>
      <c r="FN230" t="e">
        <f>AND(#REF!,"AAAAAHbzdqk=")</f>
        <v>#REF!</v>
      </c>
      <c r="FO230" t="e">
        <f>AND(#REF!,"AAAAAHbzdqo=")</f>
        <v>#REF!</v>
      </c>
      <c r="FP230" t="e">
        <f>AND(#REF!,"AAAAAHbzdqs=")</f>
        <v>#REF!</v>
      </c>
      <c r="FQ230" t="e">
        <f>AND(#REF!,"AAAAAHbzdqw=")</f>
        <v>#REF!</v>
      </c>
      <c r="FR230" t="e">
        <f>AND(#REF!,"AAAAAHbzdq0=")</f>
        <v>#REF!</v>
      </c>
      <c r="FS230" t="e">
        <f>AND(#REF!,"AAAAAHbzdq4=")</f>
        <v>#REF!</v>
      </c>
      <c r="FT230" t="e">
        <f>AND(#REF!,"AAAAAHbzdq8=")</f>
        <v>#REF!</v>
      </c>
      <c r="FU230" t="e">
        <f>AND(#REF!,"AAAAAHbzdrA=")</f>
        <v>#REF!</v>
      </c>
      <c r="FV230" t="e">
        <f>AND(#REF!,"AAAAAHbzdrE=")</f>
        <v>#REF!</v>
      </c>
      <c r="FW230" t="e">
        <f>AND(#REF!,"AAAAAHbzdrI=")</f>
        <v>#REF!</v>
      </c>
      <c r="FX230" t="e">
        <f>AND(#REF!,"AAAAAHbzdrM=")</f>
        <v>#REF!</v>
      </c>
      <c r="FY230" t="e">
        <f>AND(#REF!,"AAAAAHbzdrQ=")</f>
        <v>#REF!</v>
      </c>
      <c r="FZ230" t="e">
        <f>AND(#REF!,"AAAAAHbzdrU=")</f>
        <v>#REF!</v>
      </c>
      <c r="GA230" t="e">
        <f>AND(#REF!,"AAAAAHbzdrY=")</f>
        <v>#REF!</v>
      </c>
      <c r="GB230" t="e">
        <f>AND(#REF!,"AAAAAHbzdrc=")</f>
        <v>#REF!</v>
      </c>
      <c r="GC230" t="e">
        <f>AND(#REF!,"AAAAAHbzdrg=")</f>
        <v>#REF!</v>
      </c>
      <c r="GD230" t="e">
        <f>AND(#REF!,"AAAAAHbzdrk=")</f>
        <v>#REF!</v>
      </c>
      <c r="GE230" t="e">
        <f>AND(#REF!,"AAAAAHbzdro=")</f>
        <v>#REF!</v>
      </c>
      <c r="GF230" t="e">
        <f>AND(#REF!,"AAAAAHbzdrs=")</f>
        <v>#REF!</v>
      </c>
      <c r="GG230" t="e">
        <f>AND(#REF!,"AAAAAHbzdrw=")</f>
        <v>#REF!</v>
      </c>
      <c r="GH230" t="e">
        <f>AND(#REF!,"AAAAAHbzdr0=")</f>
        <v>#REF!</v>
      </c>
      <c r="GI230" t="e">
        <f>AND(#REF!,"AAAAAHbzdr4=")</f>
        <v>#REF!</v>
      </c>
      <c r="GJ230" t="e">
        <f>AND(#REF!,"AAAAAHbzdr8=")</f>
        <v>#REF!</v>
      </c>
      <c r="GK230" t="e">
        <f>AND(#REF!,"AAAAAHbzdsA=")</f>
        <v>#REF!</v>
      </c>
      <c r="GL230" t="e">
        <f>AND(#REF!,"AAAAAHbzdsE=")</f>
        <v>#REF!</v>
      </c>
      <c r="GM230" t="e">
        <f>AND(#REF!,"AAAAAHbzdsI=")</f>
        <v>#REF!</v>
      </c>
      <c r="GN230" t="e">
        <f>AND(#REF!,"AAAAAHbzdsM=")</f>
        <v>#REF!</v>
      </c>
      <c r="GO230" t="e">
        <f>AND(#REF!,"AAAAAHbzdsQ=")</f>
        <v>#REF!</v>
      </c>
      <c r="GP230" t="e">
        <f>AND(#REF!,"AAAAAHbzdsU=")</f>
        <v>#REF!</v>
      </c>
      <c r="GQ230" t="e">
        <f>AND(#REF!,"AAAAAHbzdsY=")</f>
        <v>#REF!</v>
      </c>
      <c r="GR230" t="e">
        <f>AND(#REF!,"AAAAAHbzdsc=")</f>
        <v>#REF!</v>
      </c>
      <c r="GS230" t="e">
        <f>AND(#REF!,"AAAAAHbzdsg=")</f>
        <v>#REF!</v>
      </c>
      <c r="GT230" t="e">
        <f>AND(#REF!,"AAAAAHbzdsk=")</f>
        <v>#REF!</v>
      </c>
      <c r="GU230" t="e">
        <f>AND(#REF!,"AAAAAHbzdso=")</f>
        <v>#REF!</v>
      </c>
      <c r="GV230" t="e">
        <f>AND(#REF!,"AAAAAHbzdss=")</f>
        <v>#REF!</v>
      </c>
      <c r="GW230" t="e">
        <f>AND(#REF!,"AAAAAHbzdsw=")</f>
        <v>#REF!</v>
      </c>
      <c r="GX230" t="e">
        <f>AND(#REF!,"AAAAAHbzds0=")</f>
        <v>#REF!</v>
      </c>
      <c r="GY230" t="e">
        <f>AND(#REF!,"AAAAAHbzds4=")</f>
        <v>#REF!</v>
      </c>
      <c r="GZ230" t="e">
        <f>AND(#REF!,"AAAAAHbzds8=")</f>
        <v>#REF!</v>
      </c>
      <c r="HA230" t="e">
        <f>AND(#REF!,"AAAAAHbzdtA=")</f>
        <v>#REF!</v>
      </c>
      <c r="HB230" t="e">
        <f>AND(#REF!,"AAAAAHbzdtE=")</f>
        <v>#REF!</v>
      </c>
      <c r="HC230" t="e">
        <f>AND(#REF!,"AAAAAHbzdtI=")</f>
        <v>#REF!</v>
      </c>
      <c r="HD230" t="e">
        <f>AND(#REF!,"AAAAAHbzdtM=")</f>
        <v>#REF!</v>
      </c>
      <c r="HE230" t="e">
        <f>AND(#REF!,"AAAAAHbzdtQ=")</f>
        <v>#REF!</v>
      </c>
      <c r="HF230" t="e">
        <f>AND(#REF!,"AAAAAHbzdtU=")</f>
        <v>#REF!</v>
      </c>
      <c r="HG230" t="e">
        <f>AND(#REF!,"AAAAAHbzdtY=")</f>
        <v>#REF!</v>
      </c>
      <c r="HH230" t="e">
        <f>AND(#REF!,"AAAAAHbzdtc=")</f>
        <v>#REF!</v>
      </c>
      <c r="HI230" t="e">
        <f>AND(#REF!,"AAAAAHbzdtg=")</f>
        <v>#REF!</v>
      </c>
      <c r="HJ230" t="e">
        <f>AND(#REF!,"AAAAAHbzdtk=")</f>
        <v>#REF!</v>
      </c>
      <c r="HK230" t="e">
        <f>AND(#REF!,"AAAAAHbzdto=")</f>
        <v>#REF!</v>
      </c>
      <c r="HL230" t="e">
        <f>AND(#REF!,"AAAAAHbzdts=")</f>
        <v>#REF!</v>
      </c>
      <c r="HM230" t="e">
        <f>AND(#REF!,"AAAAAHbzdtw=")</f>
        <v>#REF!</v>
      </c>
      <c r="HN230" t="e">
        <f>AND(#REF!,"AAAAAHbzdt0=")</f>
        <v>#REF!</v>
      </c>
      <c r="HO230" t="e">
        <f>AND(#REF!,"AAAAAHbzdt4=")</f>
        <v>#REF!</v>
      </c>
      <c r="HP230" t="e">
        <f>AND(#REF!,"AAAAAHbzdt8=")</f>
        <v>#REF!</v>
      </c>
      <c r="HQ230" t="e">
        <f>AND(#REF!,"AAAAAHbzduA=")</f>
        <v>#REF!</v>
      </c>
      <c r="HR230" t="e">
        <f>AND(#REF!,"AAAAAHbzduE=")</f>
        <v>#REF!</v>
      </c>
      <c r="HS230" t="e">
        <f>AND(#REF!,"AAAAAHbzduI=")</f>
        <v>#REF!</v>
      </c>
      <c r="HT230" t="e">
        <f>AND(#REF!,"AAAAAHbzduM=")</f>
        <v>#REF!</v>
      </c>
      <c r="HU230" t="e">
        <f>AND(#REF!,"AAAAAHbzduQ=")</f>
        <v>#REF!</v>
      </c>
      <c r="HV230" t="e">
        <f>AND(#REF!,"AAAAAHbzduU=")</f>
        <v>#REF!</v>
      </c>
      <c r="HW230" t="e">
        <f>AND(#REF!,"AAAAAHbzduY=")</f>
        <v>#REF!</v>
      </c>
      <c r="HX230" t="e">
        <f>AND(#REF!,"AAAAAHbzduc=")</f>
        <v>#REF!</v>
      </c>
      <c r="HY230" t="e">
        <f>AND(#REF!,"AAAAAHbzdug=")</f>
        <v>#REF!</v>
      </c>
      <c r="HZ230" t="e">
        <f>AND(#REF!,"AAAAAHbzduk=")</f>
        <v>#REF!</v>
      </c>
      <c r="IA230" t="e">
        <f>AND(#REF!,"AAAAAHbzduo=")</f>
        <v>#REF!</v>
      </c>
      <c r="IB230" t="e">
        <f>AND(#REF!,"AAAAAHbzdus=")</f>
        <v>#REF!</v>
      </c>
      <c r="IC230" t="e">
        <f>AND(#REF!,"AAAAAHbzduw=")</f>
        <v>#REF!</v>
      </c>
      <c r="ID230" t="e">
        <f>AND(#REF!,"AAAAAHbzdu0=")</f>
        <v>#REF!</v>
      </c>
      <c r="IE230" t="e">
        <f>AND(#REF!,"AAAAAHbzdu4=")</f>
        <v>#REF!</v>
      </c>
      <c r="IF230" t="e">
        <f>AND(#REF!,"AAAAAHbzdu8=")</f>
        <v>#REF!</v>
      </c>
      <c r="IG230" t="e">
        <f>AND(#REF!,"AAAAAHbzdvA=")</f>
        <v>#REF!</v>
      </c>
      <c r="IH230" t="e">
        <f>AND(#REF!,"AAAAAHbzdvE=")</f>
        <v>#REF!</v>
      </c>
      <c r="II230" t="e">
        <f>AND(#REF!,"AAAAAHbzdvI=")</f>
        <v>#REF!</v>
      </c>
      <c r="IJ230" t="e">
        <f>AND(#REF!,"AAAAAHbzdvM=")</f>
        <v>#REF!</v>
      </c>
      <c r="IK230" t="e">
        <f>AND(#REF!,"AAAAAHbzdvQ=")</f>
        <v>#REF!</v>
      </c>
      <c r="IL230" t="e">
        <f>AND(#REF!,"AAAAAHbzdvU=")</f>
        <v>#REF!</v>
      </c>
      <c r="IM230" t="e">
        <f>AND(#REF!,"AAAAAHbzdvY=")</f>
        <v>#REF!</v>
      </c>
      <c r="IN230" t="e">
        <f>AND(#REF!,"AAAAAHbzdvc=")</f>
        <v>#REF!</v>
      </c>
      <c r="IO230" t="e">
        <f>AND(#REF!,"AAAAAHbzdvg=")</f>
        <v>#REF!</v>
      </c>
      <c r="IP230" t="e">
        <f>AND(#REF!,"AAAAAHbzdvk=")</f>
        <v>#REF!</v>
      </c>
      <c r="IQ230" t="e">
        <f>AND(#REF!,"AAAAAHbzdvo=")</f>
        <v>#REF!</v>
      </c>
      <c r="IR230" t="e">
        <f>AND(#REF!,"AAAAAHbzdvs=")</f>
        <v>#REF!</v>
      </c>
      <c r="IS230" t="e">
        <f>AND(#REF!,"AAAAAHbzdvw=")</f>
        <v>#REF!</v>
      </c>
      <c r="IT230" t="e">
        <f>AND(#REF!,"AAAAAHbzdv0=")</f>
        <v>#REF!</v>
      </c>
      <c r="IU230" t="e">
        <f>AND(#REF!,"AAAAAHbzdv4=")</f>
        <v>#REF!</v>
      </c>
      <c r="IV230" t="e">
        <f>AND(#REF!,"AAAAAHbzdv8=")</f>
        <v>#REF!</v>
      </c>
    </row>
    <row r="231" spans="1:256">
      <c r="A231" t="e">
        <f>AND(#REF!,"AAAAAFt//QA=")</f>
        <v>#REF!</v>
      </c>
      <c r="B231" t="e">
        <f>AND(#REF!,"AAAAAFt//QE=")</f>
        <v>#REF!</v>
      </c>
      <c r="C231" t="e">
        <f>AND(#REF!,"AAAAAFt//QI=")</f>
        <v>#REF!</v>
      </c>
      <c r="D231" t="e">
        <f>AND(#REF!,"AAAAAFt//QM=")</f>
        <v>#REF!</v>
      </c>
      <c r="E231" t="e">
        <f>AND(#REF!,"AAAAAFt//QQ=")</f>
        <v>#REF!</v>
      </c>
      <c r="F231" t="e">
        <f>AND(#REF!,"AAAAAFt//QU=")</f>
        <v>#REF!</v>
      </c>
      <c r="G231" t="e">
        <f>AND(#REF!,"AAAAAFt//QY=")</f>
        <v>#REF!</v>
      </c>
      <c r="H231" t="e">
        <f>AND(#REF!,"AAAAAFt//Qc=")</f>
        <v>#REF!</v>
      </c>
      <c r="I231" t="e">
        <f>AND(#REF!,"AAAAAFt//Qg=")</f>
        <v>#REF!</v>
      </c>
      <c r="J231" t="e">
        <f>AND(#REF!,"AAAAAFt//Qk=")</f>
        <v>#REF!</v>
      </c>
      <c r="K231" t="e">
        <f>AND(#REF!,"AAAAAFt//Qo=")</f>
        <v>#REF!</v>
      </c>
      <c r="L231" t="e">
        <f>AND(#REF!,"AAAAAFt//Qs=")</f>
        <v>#REF!</v>
      </c>
      <c r="M231" t="e">
        <f>AND(#REF!,"AAAAAFt//Qw=")</f>
        <v>#REF!</v>
      </c>
      <c r="N231" t="e">
        <f>AND(#REF!,"AAAAAFt//Q0=")</f>
        <v>#REF!</v>
      </c>
      <c r="O231" t="e">
        <f>AND(#REF!,"AAAAAFt//Q4=")</f>
        <v>#REF!</v>
      </c>
      <c r="P231" t="e">
        <f>AND(#REF!,"AAAAAFt//Q8=")</f>
        <v>#REF!</v>
      </c>
      <c r="Q231" t="e">
        <f>AND(#REF!,"AAAAAFt//RA=")</f>
        <v>#REF!</v>
      </c>
      <c r="R231" t="e">
        <f>AND(#REF!,"AAAAAFt//RE=")</f>
        <v>#REF!</v>
      </c>
      <c r="S231" t="e">
        <f>AND(#REF!,"AAAAAFt//RI=")</f>
        <v>#REF!</v>
      </c>
      <c r="T231" t="e">
        <f>AND(#REF!,"AAAAAFt//RM=")</f>
        <v>#REF!</v>
      </c>
      <c r="U231" t="e">
        <f>AND(#REF!,"AAAAAFt//RQ=")</f>
        <v>#REF!</v>
      </c>
      <c r="V231" t="e">
        <f>AND(#REF!,"AAAAAFt//RU=")</f>
        <v>#REF!</v>
      </c>
      <c r="W231" t="e">
        <f>AND(#REF!,"AAAAAFt//RY=")</f>
        <v>#REF!</v>
      </c>
      <c r="X231" t="e">
        <f>AND(#REF!,"AAAAAFt//Rc=")</f>
        <v>#REF!</v>
      </c>
      <c r="Y231" t="e">
        <f>AND(#REF!,"AAAAAFt//Rg=")</f>
        <v>#REF!</v>
      </c>
      <c r="Z231" t="e">
        <f>AND(#REF!,"AAAAAFt//Rk=")</f>
        <v>#REF!</v>
      </c>
      <c r="AA231" t="e">
        <f>AND(#REF!,"AAAAAFt//Ro=")</f>
        <v>#REF!</v>
      </c>
      <c r="AB231" t="e">
        <f>AND(#REF!,"AAAAAFt//Rs=")</f>
        <v>#REF!</v>
      </c>
      <c r="AC231" t="e">
        <f>AND(#REF!,"AAAAAFt//Rw=")</f>
        <v>#REF!</v>
      </c>
      <c r="AD231" t="e">
        <f>AND(#REF!,"AAAAAFt//R0=")</f>
        <v>#REF!</v>
      </c>
      <c r="AE231" t="e">
        <f>AND(#REF!,"AAAAAFt//R4=")</f>
        <v>#REF!</v>
      </c>
      <c r="AF231" t="e">
        <f>AND(#REF!,"AAAAAFt//R8=")</f>
        <v>#REF!</v>
      </c>
      <c r="AG231" t="e">
        <f>AND(#REF!,"AAAAAFt//SA=")</f>
        <v>#REF!</v>
      </c>
      <c r="AH231" t="e">
        <f>AND(#REF!,"AAAAAFt//SE=")</f>
        <v>#REF!</v>
      </c>
      <c r="AI231" t="e">
        <f>AND(#REF!,"AAAAAFt//SI=")</f>
        <v>#REF!</v>
      </c>
      <c r="AJ231" t="e">
        <f>AND(#REF!,"AAAAAFt//SM=")</f>
        <v>#REF!</v>
      </c>
      <c r="AK231" t="e">
        <f>AND(#REF!,"AAAAAFt//SQ=")</f>
        <v>#REF!</v>
      </c>
      <c r="AL231" t="e">
        <f>AND(#REF!,"AAAAAFt//SU=")</f>
        <v>#REF!</v>
      </c>
      <c r="AM231" t="e">
        <f>AND(#REF!,"AAAAAFt//SY=")</f>
        <v>#REF!</v>
      </c>
      <c r="AN231" t="e">
        <f>AND(#REF!,"AAAAAFt//Sc=")</f>
        <v>#REF!</v>
      </c>
      <c r="AO231" t="e">
        <f>AND(#REF!,"AAAAAFt//Sg=")</f>
        <v>#REF!</v>
      </c>
      <c r="AP231" t="e">
        <f>AND(#REF!,"AAAAAFt//Sk=")</f>
        <v>#REF!</v>
      </c>
      <c r="AQ231" t="e">
        <f>AND(#REF!,"AAAAAFt//So=")</f>
        <v>#REF!</v>
      </c>
      <c r="AR231" t="e">
        <f>AND(#REF!,"AAAAAFt//Ss=")</f>
        <v>#REF!</v>
      </c>
      <c r="AS231" t="e">
        <f>AND(#REF!,"AAAAAFt//Sw=")</f>
        <v>#REF!</v>
      </c>
      <c r="AT231" t="e">
        <f>AND(#REF!,"AAAAAFt//S0=")</f>
        <v>#REF!</v>
      </c>
      <c r="AU231" t="e">
        <f>AND(#REF!,"AAAAAFt//S4=")</f>
        <v>#REF!</v>
      </c>
      <c r="AV231" t="e">
        <f>AND(#REF!,"AAAAAFt//S8=")</f>
        <v>#REF!</v>
      </c>
      <c r="AW231" t="e">
        <f>AND(#REF!,"AAAAAFt//TA=")</f>
        <v>#REF!</v>
      </c>
      <c r="AX231" t="e">
        <f>AND(#REF!,"AAAAAFt//TE=")</f>
        <v>#REF!</v>
      </c>
      <c r="AY231" t="e">
        <f>AND(#REF!,"AAAAAFt//TI=")</f>
        <v>#REF!</v>
      </c>
      <c r="AZ231" t="e">
        <f>AND(#REF!,"AAAAAFt//TM=")</f>
        <v>#REF!</v>
      </c>
      <c r="BA231" t="e">
        <f>AND(#REF!,"AAAAAFt//TQ=")</f>
        <v>#REF!</v>
      </c>
      <c r="BB231" t="e">
        <f>AND(#REF!,"AAAAAFt//TU=")</f>
        <v>#REF!</v>
      </c>
      <c r="BC231" t="e">
        <f>AND(#REF!,"AAAAAFt//TY=")</f>
        <v>#REF!</v>
      </c>
      <c r="BD231" t="e">
        <f>AND(#REF!,"AAAAAFt//Tc=")</f>
        <v>#REF!</v>
      </c>
      <c r="BE231" t="e">
        <f>AND(#REF!,"AAAAAFt//Tg=")</f>
        <v>#REF!</v>
      </c>
      <c r="BF231" t="e">
        <f>AND(#REF!,"AAAAAFt//Tk=")</f>
        <v>#REF!</v>
      </c>
      <c r="BG231" t="e">
        <f>AND(#REF!,"AAAAAFt//To=")</f>
        <v>#REF!</v>
      </c>
      <c r="BH231" t="e">
        <f>AND(#REF!,"AAAAAFt//Ts=")</f>
        <v>#REF!</v>
      </c>
      <c r="BI231" t="e">
        <f>AND(#REF!,"AAAAAFt//Tw=")</f>
        <v>#REF!</v>
      </c>
      <c r="BJ231" t="e">
        <f>AND(#REF!,"AAAAAFt//T0=")</f>
        <v>#REF!</v>
      </c>
      <c r="BK231" t="e">
        <f>AND(#REF!,"AAAAAFt//T4=")</f>
        <v>#REF!</v>
      </c>
      <c r="BL231" t="e">
        <f>AND(#REF!,"AAAAAFt//T8=")</f>
        <v>#REF!</v>
      </c>
      <c r="BM231" t="e">
        <f>AND(#REF!,"AAAAAFt//UA=")</f>
        <v>#REF!</v>
      </c>
      <c r="BN231" t="e">
        <f>AND(#REF!,"AAAAAFt//UE=")</f>
        <v>#REF!</v>
      </c>
      <c r="BO231" t="e">
        <f>AND(#REF!,"AAAAAFt//UI=")</f>
        <v>#REF!</v>
      </c>
      <c r="BP231" t="e">
        <f>AND(#REF!,"AAAAAFt//UM=")</f>
        <v>#REF!</v>
      </c>
      <c r="BQ231" t="e">
        <f>AND(#REF!,"AAAAAFt//UQ=")</f>
        <v>#REF!</v>
      </c>
      <c r="BR231" t="e">
        <f>AND(#REF!,"AAAAAFt//UU=")</f>
        <v>#REF!</v>
      </c>
      <c r="BS231" t="e">
        <f>AND(#REF!,"AAAAAFt//UY=")</f>
        <v>#REF!</v>
      </c>
      <c r="BT231" t="e">
        <f>AND(#REF!,"AAAAAFt//Uc=")</f>
        <v>#REF!</v>
      </c>
      <c r="BU231" t="e">
        <f>AND(#REF!,"AAAAAFt//Ug=")</f>
        <v>#REF!</v>
      </c>
      <c r="BV231" t="e">
        <f>AND(#REF!,"AAAAAFt//Uk=")</f>
        <v>#REF!</v>
      </c>
      <c r="BW231" t="e">
        <f>AND(#REF!,"AAAAAFt//Uo=")</f>
        <v>#REF!</v>
      </c>
      <c r="BX231" t="e">
        <f>AND(#REF!,"AAAAAFt//Us=")</f>
        <v>#REF!</v>
      </c>
      <c r="BY231" t="e">
        <f>AND(#REF!,"AAAAAFt//Uw=")</f>
        <v>#REF!</v>
      </c>
      <c r="BZ231" t="e">
        <f>AND(#REF!,"AAAAAFt//U0=")</f>
        <v>#REF!</v>
      </c>
      <c r="CA231" t="e">
        <f>AND(#REF!,"AAAAAFt//U4=")</f>
        <v>#REF!</v>
      </c>
      <c r="CB231" t="e">
        <f>AND(#REF!,"AAAAAFt//U8=")</f>
        <v>#REF!</v>
      </c>
      <c r="CC231" t="e">
        <f>AND(#REF!,"AAAAAFt//VA=")</f>
        <v>#REF!</v>
      </c>
      <c r="CD231" t="e">
        <f>AND(#REF!,"AAAAAFt//VE=")</f>
        <v>#REF!</v>
      </c>
      <c r="CE231" t="e">
        <f>AND(#REF!,"AAAAAFt//VI=")</f>
        <v>#REF!</v>
      </c>
      <c r="CF231" t="e">
        <f>AND(#REF!,"AAAAAFt//VM=")</f>
        <v>#REF!</v>
      </c>
      <c r="CG231" t="e">
        <f>AND(#REF!,"AAAAAFt//VQ=")</f>
        <v>#REF!</v>
      </c>
      <c r="CH231" t="e">
        <f>AND(#REF!,"AAAAAFt//VU=")</f>
        <v>#REF!</v>
      </c>
      <c r="CI231" t="e">
        <f>AND(#REF!,"AAAAAFt//VY=")</f>
        <v>#REF!</v>
      </c>
      <c r="CJ231" t="e">
        <f>AND(#REF!,"AAAAAFt//Vc=")</f>
        <v>#REF!</v>
      </c>
      <c r="CK231" t="e">
        <f>AND(#REF!,"AAAAAFt//Vg=")</f>
        <v>#REF!</v>
      </c>
      <c r="CL231" t="e">
        <f>AND(#REF!,"AAAAAFt//Vk=")</f>
        <v>#REF!</v>
      </c>
      <c r="CM231" t="e">
        <f>AND(#REF!,"AAAAAFt//Vo=")</f>
        <v>#REF!</v>
      </c>
      <c r="CN231" t="e">
        <f>AND(#REF!,"AAAAAFt//Vs=")</f>
        <v>#REF!</v>
      </c>
      <c r="CO231" t="e">
        <f>AND(#REF!,"AAAAAFt//Vw=")</f>
        <v>#REF!</v>
      </c>
      <c r="CP231" t="e">
        <f>AND(#REF!,"AAAAAFt//V0=")</f>
        <v>#REF!</v>
      </c>
      <c r="CQ231" t="e">
        <f>AND(#REF!,"AAAAAFt//V4=")</f>
        <v>#REF!</v>
      </c>
      <c r="CR231" t="e">
        <f>AND(#REF!,"AAAAAFt//V8=")</f>
        <v>#REF!</v>
      </c>
      <c r="CS231" t="e">
        <f>AND(#REF!,"AAAAAFt//WA=")</f>
        <v>#REF!</v>
      </c>
      <c r="CT231" t="e">
        <f>AND(#REF!,"AAAAAFt//WE=")</f>
        <v>#REF!</v>
      </c>
      <c r="CU231" t="e">
        <f>AND(#REF!,"AAAAAFt//WI=")</f>
        <v>#REF!</v>
      </c>
      <c r="CV231" t="e">
        <f>AND(#REF!,"AAAAAFt//WM=")</f>
        <v>#REF!</v>
      </c>
      <c r="CW231" t="e">
        <f>AND(#REF!,"AAAAAFt//WQ=")</f>
        <v>#REF!</v>
      </c>
      <c r="CX231" t="e">
        <f>AND(#REF!,"AAAAAFt//WU=")</f>
        <v>#REF!</v>
      </c>
      <c r="CY231" t="e">
        <f>AND(#REF!,"AAAAAFt//WY=")</f>
        <v>#REF!</v>
      </c>
      <c r="CZ231" t="e">
        <f>AND(#REF!,"AAAAAFt//Wc=")</f>
        <v>#REF!</v>
      </c>
      <c r="DA231" t="e">
        <f>AND(#REF!,"AAAAAFt//Wg=")</f>
        <v>#REF!</v>
      </c>
      <c r="DB231" t="e">
        <f>AND(#REF!,"AAAAAFt//Wk=")</f>
        <v>#REF!</v>
      </c>
      <c r="DC231" t="e">
        <f>AND(#REF!,"AAAAAFt//Wo=")</f>
        <v>#REF!</v>
      </c>
      <c r="DD231" t="e">
        <f>AND(#REF!,"AAAAAFt//Ws=")</f>
        <v>#REF!</v>
      </c>
      <c r="DE231" t="e">
        <f>AND(#REF!,"AAAAAFt//Ww=")</f>
        <v>#REF!</v>
      </c>
      <c r="DF231" t="e">
        <f>AND(#REF!,"AAAAAFt//W0=")</f>
        <v>#REF!</v>
      </c>
      <c r="DG231" t="e">
        <f>AND(#REF!,"AAAAAFt//W4=")</f>
        <v>#REF!</v>
      </c>
      <c r="DH231" t="e">
        <f>AND(#REF!,"AAAAAFt//W8=")</f>
        <v>#REF!</v>
      </c>
      <c r="DI231" t="e">
        <f>AND(#REF!,"AAAAAFt//XA=")</f>
        <v>#REF!</v>
      </c>
      <c r="DJ231" t="e">
        <f>AND(#REF!,"AAAAAFt//XE=")</f>
        <v>#REF!</v>
      </c>
      <c r="DK231" t="e">
        <f>IF(#REF!,"AAAAAFt//XI=",0)</f>
        <v>#REF!</v>
      </c>
      <c r="DL231" t="e">
        <f>AND(#REF!,"AAAAAFt//XM=")</f>
        <v>#REF!</v>
      </c>
      <c r="DM231" t="e">
        <f>AND(#REF!,"AAAAAFt//XQ=")</f>
        <v>#REF!</v>
      </c>
      <c r="DN231" t="e">
        <f>AND(#REF!,"AAAAAFt//XU=")</f>
        <v>#REF!</v>
      </c>
      <c r="DO231" t="e">
        <f>AND(#REF!,"AAAAAFt//XY=")</f>
        <v>#REF!</v>
      </c>
      <c r="DP231" t="e">
        <f>AND(#REF!,"AAAAAFt//Xc=")</f>
        <v>#REF!</v>
      </c>
      <c r="DQ231" t="e">
        <f>AND(#REF!,"AAAAAFt//Xg=")</f>
        <v>#REF!</v>
      </c>
      <c r="DR231" t="e">
        <f>AND(#REF!,"AAAAAFt//Xk=")</f>
        <v>#REF!</v>
      </c>
      <c r="DS231" t="e">
        <f>AND(#REF!,"AAAAAFt//Xo=")</f>
        <v>#REF!</v>
      </c>
      <c r="DT231" t="e">
        <f>AND(#REF!,"AAAAAFt//Xs=")</f>
        <v>#REF!</v>
      </c>
      <c r="DU231" t="e">
        <f>AND(#REF!,"AAAAAFt//Xw=")</f>
        <v>#REF!</v>
      </c>
      <c r="DV231" t="e">
        <f>AND(#REF!,"AAAAAFt//X0=")</f>
        <v>#REF!</v>
      </c>
      <c r="DW231" t="e">
        <f>AND(#REF!,"AAAAAFt//X4=")</f>
        <v>#REF!</v>
      </c>
      <c r="DX231" t="e">
        <f>AND(#REF!,"AAAAAFt//X8=")</f>
        <v>#REF!</v>
      </c>
      <c r="DY231" t="e">
        <f>AND(#REF!,"AAAAAFt//YA=")</f>
        <v>#REF!</v>
      </c>
      <c r="DZ231" t="e">
        <f>AND(#REF!,"AAAAAFt//YE=")</f>
        <v>#REF!</v>
      </c>
      <c r="EA231" t="e">
        <f>AND(#REF!,"AAAAAFt//YI=")</f>
        <v>#REF!</v>
      </c>
      <c r="EB231" t="e">
        <f>AND(#REF!,"AAAAAFt//YM=")</f>
        <v>#REF!</v>
      </c>
      <c r="EC231" t="e">
        <f>AND(#REF!,"AAAAAFt//YQ=")</f>
        <v>#REF!</v>
      </c>
      <c r="ED231" t="e">
        <f>AND(#REF!,"AAAAAFt//YU=")</f>
        <v>#REF!</v>
      </c>
      <c r="EE231" t="e">
        <f>AND(#REF!,"AAAAAFt//YY=")</f>
        <v>#REF!</v>
      </c>
      <c r="EF231" t="e">
        <f>AND(#REF!,"AAAAAFt//Yc=")</f>
        <v>#REF!</v>
      </c>
      <c r="EG231" t="e">
        <f>AND(#REF!,"AAAAAFt//Yg=")</f>
        <v>#REF!</v>
      </c>
      <c r="EH231" t="e">
        <f>AND(#REF!,"AAAAAFt//Yk=")</f>
        <v>#REF!</v>
      </c>
      <c r="EI231" t="e">
        <f>AND(#REF!,"AAAAAFt//Yo=")</f>
        <v>#REF!</v>
      </c>
      <c r="EJ231" t="e">
        <f>AND(#REF!,"AAAAAFt//Ys=")</f>
        <v>#REF!</v>
      </c>
      <c r="EK231" t="e">
        <f>AND(#REF!,"AAAAAFt//Yw=")</f>
        <v>#REF!</v>
      </c>
      <c r="EL231" t="e">
        <f>AND(#REF!,"AAAAAFt//Y0=")</f>
        <v>#REF!</v>
      </c>
      <c r="EM231" t="e">
        <f>AND(#REF!,"AAAAAFt//Y4=")</f>
        <v>#REF!</v>
      </c>
      <c r="EN231" t="e">
        <f>AND(#REF!,"AAAAAFt//Y8=")</f>
        <v>#REF!</v>
      </c>
      <c r="EO231" t="e">
        <f>AND(#REF!,"AAAAAFt//ZA=")</f>
        <v>#REF!</v>
      </c>
      <c r="EP231" t="e">
        <f>AND(#REF!,"AAAAAFt//ZE=")</f>
        <v>#REF!</v>
      </c>
      <c r="EQ231" t="e">
        <f>AND(#REF!,"AAAAAFt//ZI=")</f>
        <v>#REF!</v>
      </c>
      <c r="ER231" t="e">
        <f>AND(#REF!,"AAAAAFt//ZM=")</f>
        <v>#REF!</v>
      </c>
      <c r="ES231" t="e">
        <f>AND(#REF!,"AAAAAFt//ZQ=")</f>
        <v>#REF!</v>
      </c>
      <c r="ET231" t="e">
        <f>AND(#REF!,"AAAAAFt//ZU=")</f>
        <v>#REF!</v>
      </c>
      <c r="EU231" t="e">
        <f>AND(#REF!,"AAAAAFt//ZY=")</f>
        <v>#REF!</v>
      </c>
      <c r="EV231" t="e">
        <f>AND(#REF!,"AAAAAFt//Zc=")</f>
        <v>#REF!</v>
      </c>
      <c r="EW231" t="e">
        <f>AND(#REF!,"AAAAAFt//Zg=")</f>
        <v>#REF!</v>
      </c>
      <c r="EX231" t="e">
        <f>AND(#REF!,"AAAAAFt//Zk=")</f>
        <v>#REF!</v>
      </c>
      <c r="EY231" t="e">
        <f>AND(#REF!,"AAAAAFt//Zo=")</f>
        <v>#REF!</v>
      </c>
      <c r="EZ231" t="e">
        <f>AND(#REF!,"AAAAAFt//Zs=")</f>
        <v>#REF!</v>
      </c>
      <c r="FA231" t="e">
        <f>AND(#REF!,"AAAAAFt//Zw=")</f>
        <v>#REF!</v>
      </c>
      <c r="FB231" t="e">
        <f>AND(#REF!,"AAAAAFt//Z0=")</f>
        <v>#REF!</v>
      </c>
      <c r="FC231" t="e">
        <f>AND(#REF!,"AAAAAFt//Z4=")</f>
        <v>#REF!</v>
      </c>
      <c r="FD231" t="e">
        <f>AND(#REF!,"AAAAAFt//Z8=")</f>
        <v>#REF!</v>
      </c>
      <c r="FE231" t="e">
        <f>AND(#REF!,"AAAAAFt//aA=")</f>
        <v>#REF!</v>
      </c>
      <c r="FF231" t="e">
        <f>AND(#REF!,"AAAAAFt//aE=")</f>
        <v>#REF!</v>
      </c>
      <c r="FG231" t="e">
        <f>AND(#REF!,"AAAAAFt//aI=")</f>
        <v>#REF!</v>
      </c>
      <c r="FH231" t="e">
        <f>AND(#REF!,"AAAAAFt//aM=")</f>
        <v>#REF!</v>
      </c>
      <c r="FI231" t="e">
        <f>AND(#REF!,"AAAAAFt//aQ=")</f>
        <v>#REF!</v>
      </c>
      <c r="FJ231" t="e">
        <f>AND(#REF!,"AAAAAFt//aU=")</f>
        <v>#REF!</v>
      </c>
      <c r="FK231" t="e">
        <f>AND(#REF!,"AAAAAFt//aY=")</f>
        <v>#REF!</v>
      </c>
      <c r="FL231" t="e">
        <f>AND(#REF!,"AAAAAFt//ac=")</f>
        <v>#REF!</v>
      </c>
      <c r="FM231" t="e">
        <f>AND(#REF!,"AAAAAFt//ag=")</f>
        <v>#REF!</v>
      </c>
      <c r="FN231" t="e">
        <f>AND(#REF!,"AAAAAFt//ak=")</f>
        <v>#REF!</v>
      </c>
      <c r="FO231" t="e">
        <f>AND(#REF!,"AAAAAFt//ao=")</f>
        <v>#REF!</v>
      </c>
      <c r="FP231" t="e">
        <f>AND(#REF!,"AAAAAFt//as=")</f>
        <v>#REF!</v>
      </c>
      <c r="FQ231" t="e">
        <f>AND(#REF!,"AAAAAFt//aw=")</f>
        <v>#REF!</v>
      </c>
      <c r="FR231" t="e">
        <f>AND(#REF!,"AAAAAFt//a0=")</f>
        <v>#REF!</v>
      </c>
      <c r="FS231" t="e">
        <f>AND(#REF!,"AAAAAFt//a4=")</f>
        <v>#REF!</v>
      </c>
      <c r="FT231" t="e">
        <f>AND(#REF!,"AAAAAFt//a8=")</f>
        <v>#REF!</v>
      </c>
      <c r="FU231" t="e">
        <f>AND(#REF!,"AAAAAFt//bA=")</f>
        <v>#REF!</v>
      </c>
      <c r="FV231" t="e">
        <f>AND(#REF!,"AAAAAFt//bE=")</f>
        <v>#REF!</v>
      </c>
      <c r="FW231" t="e">
        <f>AND(#REF!,"AAAAAFt//bI=")</f>
        <v>#REF!</v>
      </c>
      <c r="FX231" t="e">
        <f>AND(#REF!,"AAAAAFt//bM=")</f>
        <v>#REF!</v>
      </c>
      <c r="FY231" t="e">
        <f>AND(#REF!,"AAAAAFt//bQ=")</f>
        <v>#REF!</v>
      </c>
      <c r="FZ231" t="e">
        <f>AND(#REF!,"AAAAAFt//bU=")</f>
        <v>#REF!</v>
      </c>
      <c r="GA231" t="e">
        <f>AND(#REF!,"AAAAAFt//bY=")</f>
        <v>#REF!</v>
      </c>
      <c r="GB231" t="e">
        <f>AND(#REF!,"AAAAAFt//bc=")</f>
        <v>#REF!</v>
      </c>
      <c r="GC231" t="e">
        <f>AND(#REF!,"AAAAAFt//bg=")</f>
        <v>#REF!</v>
      </c>
      <c r="GD231" t="e">
        <f>AND(#REF!,"AAAAAFt//bk=")</f>
        <v>#REF!</v>
      </c>
      <c r="GE231" t="e">
        <f>AND(#REF!,"AAAAAFt//bo=")</f>
        <v>#REF!</v>
      </c>
      <c r="GF231" t="e">
        <f>AND(#REF!,"AAAAAFt//bs=")</f>
        <v>#REF!</v>
      </c>
      <c r="GG231" t="e">
        <f>AND(#REF!,"AAAAAFt//bw=")</f>
        <v>#REF!</v>
      </c>
      <c r="GH231" t="e">
        <f>AND(#REF!,"AAAAAFt//b0=")</f>
        <v>#REF!</v>
      </c>
      <c r="GI231" t="e">
        <f>AND(#REF!,"AAAAAFt//b4=")</f>
        <v>#REF!</v>
      </c>
      <c r="GJ231" t="e">
        <f>AND(#REF!,"AAAAAFt//b8=")</f>
        <v>#REF!</v>
      </c>
      <c r="GK231" t="e">
        <f>AND(#REF!,"AAAAAFt//cA=")</f>
        <v>#REF!</v>
      </c>
      <c r="GL231" t="e">
        <f>AND(#REF!,"AAAAAFt//cE=")</f>
        <v>#REF!</v>
      </c>
      <c r="GM231" t="e">
        <f>AND(#REF!,"AAAAAFt//cI=")</f>
        <v>#REF!</v>
      </c>
      <c r="GN231" t="e">
        <f>AND(#REF!,"AAAAAFt//cM=")</f>
        <v>#REF!</v>
      </c>
      <c r="GO231" t="e">
        <f>AND(#REF!,"AAAAAFt//cQ=")</f>
        <v>#REF!</v>
      </c>
      <c r="GP231" t="e">
        <f>AND(#REF!,"AAAAAFt//cU=")</f>
        <v>#REF!</v>
      </c>
      <c r="GQ231" t="e">
        <f>AND(#REF!,"AAAAAFt//cY=")</f>
        <v>#REF!</v>
      </c>
      <c r="GR231" t="e">
        <f>AND(#REF!,"AAAAAFt//cc=")</f>
        <v>#REF!</v>
      </c>
      <c r="GS231" t="e">
        <f>AND(#REF!,"AAAAAFt//cg=")</f>
        <v>#REF!</v>
      </c>
      <c r="GT231" t="e">
        <f>AND(#REF!,"AAAAAFt//ck=")</f>
        <v>#REF!</v>
      </c>
      <c r="GU231" t="e">
        <f>AND(#REF!,"AAAAAFt//co=")</f>
        <v>#REF!</v>
      </c>
      <c r="GV231" t="e">
        <f>AND(#REF!,"AAAAAFt//cs=")</f>
        <v>#REF!</v>
      </c>
      <c r="GW231" t="e">
        <f>AND(#REF!,"AAAAAFt//cw=")</f>
        <v>#REF!</v>
      </c>
      <c r="GX231" t="e">
        <f>AND(#REF!,"AAAAAFt//c0=")</f>
        <v>#REF!</v>
      </c>
      <c r="GY231" t="e">
        <f>AND(#REF!,"AAAAAFt//c4=")</f>
        <v>#REF!</v>
      </c>
      <c r="GZ231" t="e">
        <f>AND(#REF!,"AAAAAFt//c8=")</f>
        <v>#REF!</v>
      </c>
      <c r="HA231" t="e">
        <f>AND(#REF!,"AAAAAFt//dA=")</f>
        <v>#REF!</v>
      </c>
      <c r="HB231" t="e">
        <f>AND(#REF!,"AAAAAFt//dE=")</f>
        <v>#REF!</v>
      </c>
      <c r="HC231" t="e">
        <f>AND(#REF!,"AAAAAFt//dI=")</f>
        <v>#REF!</v>
      </c>
      <c r="HD231" t="e">
        <f>AND(#REF!,"AAAAAFt//dM=")</f>
        <v>#REF!</v>
      </c>
      <c r="HE231" t="e">
        <f>AND(#REF!,"AAAAAFt//dQ=")</f>
        <v>#REF!</v>
      </c>
      <c r="HF231" t="e">
        <f>AND(#REF!,"AAAAAFt//dU=")</f>
        <v>#REF!</v>
      </c>
      <c r="HG231" t="e">
        <f>AND(#REF!,"AAAAAFt//dY=")</f>
        <v>#REF!</v>
      </c>
      <c r="HH231" t="e">
        <f>AND(#REF!,"AAAAAFt//dc=")</f>
        <v>#REF!</v>
      </c>
      <c r="HI231" t="e">
        <f>AND(#REF!,"AAAAAFt//dg=")</f>
        <v>#REF!</v>
      </c>
      <c r="HJ231" t="e">
        <f>AND(#REF!,"AAAAAFt//dk=")</f>
        <v>#REF!</v>
      </c>
      <c r="HK231" t="e">
        <f>AND(#REF!,"AAAAAFt//do=")</f>
        <v>#REF!</v>
      </c>
      <c r="HL231" t="e">
        <f>AND(#REF!,"AAAAAFt//ds=")</f>
        <v>#REF!</v>
      </c>
      <c r="HM231" t="e">
        <f>AND(#REF!,"AAAAAFt//dw=")</f>
        <v>#REF!</v>
      </c>
      <c r="HN231" t="e">
        <f>AND(#REF!,"AAAAAFt//d0=")</f>
        <v>#REF!</v>
      </c>
      <c r="HO231" t="e">
        <f>AND(#REF!,"AAAAAFt//d4=")</f>
        <v>#REF!</v>
      </c>
      <c r="HP231" t="e">
        <f>AND(#REF!,"AAAAAFt//d8=")</f>
        <v>#REF!</v>
      </c>
      <c r="HQ231" t="e">
        <f>AND(#REF!,"AAAAAFt//eA=")</f>
        <v>#REF!</v>
      </c>
      <c r="HR231" t="e">
        <f>AND(#REF!,"AAAAAFt//eE=")</f>
        <v>#REF!</v>
      </c>
      <c r="HS231" t="e">
        <f>AND(#REF!,"AAAAAFt//eI=")</f>
        <v>#REF!</v>
      </c>
      <c r="HT231" t="e">
        <f>AND(#REF!,"AAAAAFt//eM=")</f>
        <v>#REF!</v>
      </c>
      <c r="HU231" t="e">
        <f>AND(#REF!,"AAAAAFt//eQ=")</f>
        <v>#REF!</v>
      </c>
      <c r="HV231" t="e">
        <f>AND(#REF!,"AAAAAFt//eU=")</f>
        <v>#REF!</v>
      </c>
      <c r="HW231" t="e">
        <f>AND(#REF!,"AAAAAFt//eY=")</f>
        <v>#REF!</v>
      </c>
      <c r="HX231" t="e">
        <f>AND(#REF!,"AAAAAFt//ec=")</f>
        <v>#REF!</v>
      </c>
      <c r="HY231" t="e">
        <f>AND(#REF!,"AAAAAFt//eg=")</f>
        <v>#REF!</v>
      </c>
      <c r="HZ231" t="e">
        <f>AND(#REF!,"AAAAAFt//ek=")</f>
        <v>#REF!</v>
      </c>
      <c r="IA231" t="e">
        <f>AND(#REF!,"AAAAAFt//eo=")</f>
        <v>#REF!</v>
      </c>
      <c r="IB231" t="e">
        <f>AND(#REF!,"AAAAAFt//es=")</f>
        <v>#REF!</v>
      </c>
      <c r="IC231" t="e">
        <f>AND(#REF!,"AAAAAFt//ew=")</f>
        <v>#REF!</v>
      </c>
      <c r="ID231" t="e">
        <f>AND(#REF!,"AAAAAFt//e0=")</f>
        <v>#REF!</v>
      </c>
      <c r="IE231" t="e">
        <f>AND(#REF!,"AAAAAFt//e4=")</f>
        <v>#REF!</v>
      </c>
      <c r="IF231" t="e">
        <f>AND(#REF!,"AAAAAFt//e8=")</f>
        <v>#REF!</v>
      </c>
      <c r="IG231" t="e">
        <f>AND(#REF!,"AAAAAFt//fA=")</f>
        <v>#REF!</v>
      </c>
      <c r="IH231" t="e">
        <f>AND(#REF!,"AAAAAFt//fE=")</f>
        <v>#REF!</v>
      </c>
      <c r="II231" t="e">
        <f>AND(#REF!,"AAAAAFt//fI=")</f>
        <v>#REF!</v>
      </c>
      <c r="IJ231" t="e">
        <f>AND(#REF!,"AAAAAFt//fM=")</f>
        <v>#REF!</v>
      </c>
      <c r="IK231" t="e">
        <f>AND(#REF!,"AAAAAFt//fQ=")</f>
        <v>#REF!</v>
      </c>
      <c r="IL231" t="e">
        <f>AND(#REF!,"AAAAAFt//fU=")</f>
        <v>#REF!</v>
      </c>
      <c r="IM231" t="e">
        <f>AND(#REF!,"AAAAAFt//fY=")</f>
        <v>#REF!</v>
      </c>
      <c r="IN231" t="e">
        <f>AND(#REF!,"AAAAAFt//fc=")</f>
        <v>#REF!</v>
      </c>
      <c r="IO231" t="e">
        <f>AND(#REF!,"AAAAAFt//fg=")</f>
        <v>#REF!</v>
      </c>
      <c r="IP231" t="e">
        <f>AND(#REF!,"AAAAAFt//fk=")</f>
        <v>#REF!</v>
      </c>
      <c r="IQ231" t="e">
        <f>AND(#REF!,"AAAAAFt//fo=")</f>
        <v>#REF!</v>
      </c>
      <c r="IR231" t="e">
        <f>AND(#REF!,"AAAAAFt//fs=")</f>
        <v>#REF!</v>
      </c>
      <c r="IS231" t="e">
        <f>AND(#REF!,"AAAAAFt//fw=")</f>
        <v>#REF!</v>
      </c>
      <c r="IT231" t="e">
        <f>AND(#REF!,"AAAAAFt//f0=")</f>
        <v>#REF!</v>
      </c>
      <c r="IU231" t="e">
        <f>AND(#REF!,"AAAAAFt//f4=")</f>
        <v>#REF!</v>
      </c>
      <c r="IV231" t="e">
        <f>AND(#REF!,"AAAAAFt//f8=")</f>
        <v>#REF!</v>
      </c>
    </row>
    <row r="232" spans="1:256">
      <c r="A232" t="e">
        <f>AND(#REF!,"AAAAAE++1QA=")</f>
        <v>#REF!</v>
      </c>
      <c r="B232" t="e">
        <f>AND(#REF!,"AAAAAE++1QE=")</f>
        <v>#REF!</v>
      </c>
      <c r="C232" t="e">
        <f>AND(#REF!,"AAAAAE++1QI=")</f>
        <v>#REF!</v>
      </c>
      <c r="D232" t="e">
        <f>AND(#REF!,"AAAAAE++1QM=")</f>
        <v>#REF!</v>
      </c>
      <c r="E232" t="e">
        <f>AND(#REF!,"AAAAAE++1QQ=")</f>
        <v>#REF!</v>
      </c>
      <c r="F232" t="e">
        <f>AND(#REF!,"AAAAAE++1QU=")</f>
        <v>#REF!</v>
      </c>
      <c r="G232" t="e">
        <f>AND(#REF!,"AAAAAE++1QY=")</f>
        <v>#REF!</v>
      </c>
      <c r="H232" t="e">
        <f>AND(#REF!,"AAAAAE++1Qc=")</f>
        <v>#REF!</v>
      </c>
      <c r="I232" t="e">
        <f>AND(#REF!,"AAAAAE++1Qg=")</f>
        <v>#REF!</v>
      </c>
      <c r="J232" t="e">
        <f>AND(#REF!,"AAAAAE++1Qk=")</f>
        <v>#REF!</v>
      </c>
      <c r="K232" t="e">
        <f>AND(#REF!,"AAAAAE++1Qo=")</f>
        <v>#REF!</v>
      </c>
      <c r="L232" t="e">
        <f>AND(#REF!,"AAAAAE++1Qs=")</f>
        <v>#REF!</v>
      </c>
      <c r="M232" t="e">
        <f>AND(#REF!,"AAAAAE++1Qw=")</f>
        <v>#REF!</v>
      </c>
      <c r="N232" t="e">
        <f>AND(#REF!,"AAAAAE++1Q0=")</f>
        <v>#REF!</v>
      </c>
      <c r="O232" t="e">
        <f>AND(#REF!,"AAAAAE++1Q4=")</f>
        <v>#REF!</v>
      </c>
      <c r="P232" t="e">
        <f>AND(#REF!,"AAAAAE++1Q8=")</f>
        <v>#REF!</v>
      </c>
      <c r="Q232" t="e">
        <f>AND(#REF!,"AAAAAE++1RA=")</f>
        <v>#REF!</v>
      </c>
      <c r="R232" t="e">
        <f>AND(#REF!,"AAAAAE++1RE=")</f>
        <v>#REF!</v>
      </c>
      <c r="S232" t="e">
        <f>AND(#REF!,"AAAAAE++1RI=")</f>
        <v>#REF!</v>
      </c>
      <c r="T232" t="e">
        <f>AND(#REF!,"AAAAAE++1RM=")</f>
        <v>#REF!</v>
      </c>
      <c r="U232" t="e">
        <f>AND(#REF!,"AAAAAE++1RQ=")</f>
        <v>#REF!</v>
      </c>
      <c r="V232" t="e">
        <f>AND(#REF!,"AAAAAE++1RU=")</f>
        <v>#REF!</v>
      </c>
      <c r="W232" t="e">
        <f>AND(#REF!,"AAAAAE++1RY=")</f>
        <v>#REF!</v>
      </c>
      <c r="X232" t="e">
        <f>AND(#REF!,"AAAAAE++1Rc=")</f>
        <v>#REF!</v>
      </c>
      <c r="Y232" t="e">
        <f>AND(#REF!,"AAAAAE++1Rg=")</f>
        <v>#REF!</v>
      </c>
      <c r="Z232" t="e">
        <f>AND(#REF!,"AAAAAE++1Rk=")</f>
        <v>#REF!</v>
      </c>
      <c r="AA232" t="e">
        <f>AND(#REF!,"AAAAAE++1Ro=")</f>
        <v>#REF!</v>
      </c>
      <c r="AB232" t="e">
        <f>AND(#REF!,"AAAAAE++1Rs=")</f>
        <v>#REF!</v>
      </c>
      <c r="AC232" t="e">
        <f>AND(#REF!,"AAAAAE++1Rw=")</f>
        <v>#REF!</v>
      </c>
      <c r="AD232" t="e">
        <f>AND(#REF!,"AAAAAE++1R0=")</f>
        <v>#REF!</v>
      </c>
      <c r="AE232" t="e">
        <f>AND(#REF!,"AAAAAE++1R4=")</f>
        <v>#REF!</v>
      </c>
      <c r="AF232" t="e">
        <f>AND(#REF!,"AAAAAE++1R8=")</f>
        <v>#REF!</v>
      </c>
      <c r="AG232" t="e">
        <f>AND(#REF!,"AAAAAE++1SA=")</f>
        <v>#REF!</v>
      </c>
      <c r="AH232" t="e">
        <f>AND(#REF!,"AAAAAE++1SE=")</f>
        <v>#REF!</v>
      </c>
      <c r="AI232" t="e">
        <f>AND(#REF!,"AAAAAE++1SI=")</f>
        <v>#REF!</v>
      </c>
      <c r="AJ232" t="e">
        <f>AND(#REF!,"AAAAAE++1SM=")</f>
        <v>#REF!</v>
      </c>
      <c r="AK232" t="e">
        <f>AND(#REF!,"AAAAAE++1SQ=")</f>
        <v>#REF!</v>
      </c>
      <c r="AL232" t="e">
        <f>AND(#REF!,"AAAAAE++1SU=")</f>
        <v>#REF!</v>
      </c>
      <c r="AM232" t="e">
        <f>AND(#REF!,"AAAAAE++1SY=")</f>
        <v>#REF!</v>
      </c>
      <c r="AN232" t="e">
        <f>AND(#REF!,"AAAAAE++1Sc=")</f>
        <v>#REF!</v>
      </c>
      <c r="AO232" t="e">
        <f>AND(#REF!,"AAAAAE++1Sg=")</f>
        <v>#REF!</v>
      </c>
      <c r="AP232" t="e">
        <f>AND(#REF!,"AAAAAE++1Sk=")</f>
        <v>#REF!</v>
      </c>
      <c r="AQ232" t="e">
        <f>AND(#REF!,"AAAAAE++1So=")</f>
        <v>#REF!</v>
      </c>
      <c r="AR232" t="e">
        <f>AND(#REF!,"AAAAAE++1Ss=")</f>
        <v>#REF!</v>
      </c>
      <c r="AS232" t="e">
        <f>AND(#REF!,"AAAAAE++1Sw=")</f>
        <v>#REF!</v>
      </c>
      <c r="AT232" t="e">
        <f>AND(#REF!,"AAAAAE++1S0=")</f>
        <v>#REF!</v>
      </c>
      <c r="AU232" t="e">
        <f>AND(#REF!,"AAAAAE++1S4=")</f>
        <v>#REF!</v>
      </c>
      <c r="AV232" t="e">
        <f>AND(#REF!,"AAAAAE++1S8=")</f>
        <v>#REF!</v>
      </c>
      <c r="AW232" t="e">
        <f>AND(#REF!,"AAAAAE++1TA=")</f>
        <v>#REF!</v>
      </c>
      <c r="AX232" t="e">
        <f>AND(#REF!,"AAAAAE++1TE=")</f>
        <v>#REF!</v>
      </c>
      <c r="AY232" t="e">
        <f>AND(#REF!,"AAAAAE++1TI=")</f>
        <v>#REF!</v>
      </c>
      <c r="AZ232" t="e">
        <f>AND(#REF!,"AAAAAE++1TM=")</f>
        <v>#REF!</v>
      </c>
      <c r="BA232" t="e">
        <f>AND(#REF!,"AAAAAE++1TQ=")</f>
        <v>#REF!</v>
      </c>
      <c r="BB232" t="e">
        <f>AND(#REF!,"AAAAAE++1TU=")</f>
        <v>#REF!</v>
      </c>
      <c r="BC232" t="e">
        <f>AND(#REF!,"AAAAAE++1TY=")</f>
        <v>#REF!</v>
      </c>
      <c r="BD232" t="e">
        <f>AND(#REF!,"AAAAAE++1Tc=")</f>
        <v>#REF!</v>
      </c>
      <c r="BE232" t="e">
        <f>AND(#REF!,"AAAAAE++1Tg=")</f>
        <v>#REF!</v>
      </c>
      <c r="BF232" t="e">
        <f>AND(#REF!,"AAAAAE++1Tk=")</f>
        <v>#REF!</v>
      </c>
      <c r="BG232" t="e">
        <f>AND(#REF!,"AAAAAE++1To=")</f>
        <v>#REF!</v>
      </c>
      <c r="BH232" t="e">
        <f>AND(#REF!,"AAAAAE++1Ts=")</f>
        <v>#REF!</v>
      </c>
      <c r="BI232" t="e">
        <f>AND(#REF!,"AAAAAE++1Tw=")</f>
        <v>#REF!</v>
      </c>
      <c r="BJ232" t="e">
        <f>AND(#REF!,"AAAAAE++1T0=")</f>
        <v>#REF!</v>
      </c>
      <c r="BK232" t="e">
        <f>AND(#REF!,"AAAAAE++1T4=")</f>
        <v>#REF!</v>
      </c>
      <c r="BL232" t="e">
        <f>AND(#REF!,"AAAAAE++1T8=")</f>
        <v>#REF!</v>
      </c>
      <c r="BM232" t="e">
        <f>AND(#REF!,"AAAAAE++1UA=")</f>
        <v>#REF!</v>
      </c>
      <c r="BN232" t="e">
        <f>AND(#REF!,"AAAAAE++1UE=")</f>
        <v>#REF!</v>
      </c>
      <c r="BO232" t="e">
        <f>AND(#REF!,"AAAAAE++1UI=")</f>
        <v>#REF!</v>
      </c>
      <c r="BP232" t="e">
        <f>AND(#REF!,"AAAAAE++1UM=")</f>
        <v>#REF!</v>
      </c>
      <c r="BQ232" t="e">
        <f>AND(#REF!,"AAAAAE++1UQ=")</f>
        <v>#REF!</v>
      </c>
      <c r="BR232" t="e">
        <f>AND(#REF!,"AAAAAE++1UU=")</f>
        <v>#REF!</v>
      </c>
      <c r="BS232" t="e">
        <f>AND(#REF!,"AAAAAE++1UY=")</f>
        <v>#REF!</v>
      </c>
      <c r="BT232" t="e">
        <f>AND(#REF!,"AAAAAE++1Uc=")</f>
        <v>#REF!</v>
      </c>
      <c r="BU232" t="e">
        <f>AND(#REF!,"AAAAAE++1Ug=")</f>
        <v>#REF!</v>
      </c>
      <c r="BV232" t="e">
        <f>AND(#REF!,"AAAAAE++1Uk=")</f>
        <v>#REF!</v>
      </c>
      <c r="BW232" t="e">
        <f>AND(#REF!,"AAAAAE++1Uo=")</f>
        <v>#REF!</v>
      </c>
      <c r="BX232" t="e">
        <f>AND(#REF!,"AAAAAE++1Us=")</f>
        <v>#REF!</v>
      </c>
      <c r="BY232" t="e">
        <f>AND(#REF!,"AAAAAE++1Uw=")</f>
        <v>#REF!</v>
      </c>
      <c r="BZ232" t="e">
        <f>AND(#REF!,"AAAAAE++1U0=")</f>
        <v>#REF!</v>
      </c>
      <c r="CA232" t="e">
        <f>AND(#REF!,"AAAAAE++1U4=")</f>
        <v>#REF!</v>
      </c>
      <c r="CB232" t="e">
        <f>AND(#REF!,"AAAAAE++1U8=")</f>
        <v>#REF!</v>
      </c>
      <c r="CC232" t="e">
        <f>AND(#REF!,"AAAAAE++1VA=")</f>
        <v>#REF!</v>
      </c>
      <c r="CD232" t="e">
        <f>AND(#REF!,"AAAAAE++1VE=")</f>
        <v>#REF!</v>
      </c>
      <c r="CE232" t="e">
        <f>AND(#REF!,"AAAAAE++1VI=")</f>
        <v>#REF!</v>
      </c>
      <c r="CF232" t="e">
        <f>AND(#REF!,"AAAAAE++1VM=")</f>
        <v>#REF!</v>
      </c>
      <c r="CG232" t="e">
        <f>AND(#REF!,"AAAAAE++1VQ=")</f>
        <v>#REF!</v>
      </c>
      <c r="CH232" t="e">
        <f>AND(#REF!,"AAAAAE++1VU=")</f>
        <v>#REF!</v>
      </c>
      <c r="CI232" t="e">
        <f>IF(#REF!,"AAAAAE++1VY=",0)</f>
        <v>#REF!</v>
      </c>
      <c r="CJ232" t="e">
        <f>AND(#REF!,"AAAAAE++1Vc=")</f>
        <v>#REF!</v>
      </c>
      <c r="CK232" t="e">
        <f>AND(#REF!,"AAAAAE++1Vg=")</f>
        <v>#REF!</v>
      </c>
      <c r="CL232" t="e">
        <f>AND(#REF!,"AAAAAE++1Vk=")</f>
        <v>#REF!</v>
      </c>
      <c r="CM232" t="e">
        <f>AND(#REF!,"AAAAAE++1Vo=")</f>
        <v>#REF!</v>
      </c>
      <c r="CN232" t="e">
        <f>AND(#REF!,"AAAAAE++1Vs=")</f>
        <v>#REF!</v>
      </c>
      <c r="CO232" t="e">
        <f>AND(#REF!,"AAAAAE++1Vw=")</f>
        <v>#REF!</v>
      </c>
      <c r="CP232" t="e">
        <f>AND(#REF!,"AAAAAE++1V0=")</f>
        <v>#REF!</v>
      </c>
      <c r="CQ232" t="e">
        <f>AND(#REF!,"AAAAAE++1V4=")</f>
        <v>#REF!</v>
      </c>
      <c r="CR232" t="e">
        <f>AND(#REF!,"AAAAAE++1V8=")</f>
        <v>#REF!</v>
      </c>
      <c r="CS232" t="e">
        <f>AND(#REF!,"AAAAAE++1WA=")</f>
        <v>#REF!</v>
      </c>
      <c r="CT232" t="e">
        <f>AND(#REF!,"AAAAAE++1WE=")</f>
        <v>#REF!</v>
      </c>
      <c r="CU232" t="e">
        <f>AND(#REF!,"AAAAAE++1WI=")</f>
        <v>#REF!</v>
      </c>
      <c r="CV232" t="e">
        <f>AND(#REF!,"AAAAAE++1WM=")</f>
        <v>#REF!</v>
      </c>
      <c r="CW232" t="e">
        <f>AND(#REF!,"AAAAAE++1WQ=")</f>
        <v>#REF!</v>
      </c>
      <c r="CX232" t="e">
        <f>AND(#REF!,"AAAAAE++1WU=")</f>
        <v>#REF!</v>
      </c>
      <c r="CY232" t="e">
        <f>AND(#REF!,"AAAAAE++1WY=")</f>
        <v>#REF!</v>
      </c>
      <c r="CZ232" t="e">
        <f>AND(#REF!,"AAAAAE++1Wc=")</f>
        <v>#REF!</v>
      </c>
      <c r="DA232" t="e">
        <f>AND(#REF!,"AAAAAE++1Wg=")</f>
        <v>#REF!</v>
      </c>
      <c r="DB232" t="e">
        <f>AND(#REF!,"AAAAAE++1Wk=")</f>
        <v>#REF!</v>
      </c>
      <c r="DC232" t="e">
        <f>AND(#REF!,"AAAAAE++1Wo=")</f>
        <v>#REF!</v>
      </c>
      <c r="DD232" t="e">
        <f>AND(#REF!,"AAAAAE++1Ws=")</f>
        <v>#REF!</v>
      </c>
      <c r="DE232" t="e">
        <f>AND(#REF!,"AAAAAE++1Ww=")</f>
        <v>#REF!</v>
      </c>
      <c r="DF232" t="e">
        <f>AND(#REF!,"AAAAAE++1W0=")</f>
        <v>#REF!</v>
      </c>
      <c r="DG232" t="e">
        <f>AND(#REF!,"AAAAAE++1W4=")</f>
        <v>#REF!</v>
      </c>
      <c r="DH232" t="e">
        <f>AND(#REF!,"AAAAAE++1W8=")</f>
        <v>#REF!</v>
      </c>
      <c r="DI232" t="e">
        <f>AND(#REF!,"AAAAAE++1XA=")</f>
        <v>#REF!</v>
      </c>
      <c r="DJ232" t="e">
        <f>AND(#REF!,"AAAAAE++1XE=")</f>
        <v>#REF!</v>
      </c>
      <c r="DK232" t="e">
        <f>AND(#REF!,"AAAAAE++1XI=")</f>
        <v>#REF!</v>
      </c>
      <c r="DL232" t="e">
        <f>AND(#REF!,"AAAAAE++1XM=")</f>
        <v>#REF!</v>
      </c>
      <c r="DM232" t="e">
        <f>AND(#REF!,"AAAAAE++1XQ=")</f>
        <v>#REF!</v>
      </c>
      <c r="DN232" t="e">
        <f>AND(#REF!,"AAAAAE++1XU=")</f>
        <v>#REF!</v>
      </c>
      <c r="DO232" t="e">
        <f>AND(#REF!,"AAAAAE++1XY=")</f>
        <v>#REF!</v>
      </c>
      <c r="DP232" t="e">
        <f>AND(#REF!,"AAAAAE++1Xc=")</f>
        <v>#REF!</v>
      </c>
      <c r="DQ232" t="e">
        <f>AND(#REF!,"AAAAAE++1Xg=")</f>
        <v>#REF!</v>
      </c>
      <c r="DR232" t="e">
        <f>AND(#REF!,"AAAAAE++1Xk=")</f>
        <v>#REF!</v>
      </c>
      <c r="DS232" t="e">
        <f>AND(#REF!,"AAAAAE++1Xo=")</f>
        <v>#REF!</v>
      </c>
      <c r="DT232" t="e">
        <f>AND(#REF!,"AAAAAE++1Xs=")</f>
        <v>#REF!</v>
      </c>
      <c r="DU232" t="e">
        <f>AND(#REF!,"AAAAAE++1Xw=")</f>
        <v>#REF!</v>
      </c>
      <c r="DV232" t="e">
        <f>AND(#REF!,"AAAAAE++1X0=")</f>
        <v>#REF!</v>
      </c>
      <c r="DW232" t="e">
        <f>AND(#REF!,"AAAAAE++1X4=")</f>
        <v>#REF!</v>
      </c>
      <c r="DX232" t="e">
        <f>AND(#REF!,"AAAAAE++1X8=")</f>
        <v>#REF!</v>
      </c>
      <c r="DY232" t="e">
        <f>AND(#REF!,"AAAAAE++1YA=")</f>
        <v>#REF!</v>
      </c>
      <c r="DZ232" t="e">
        <f>AND(#REF!,"AAAAAE++1YE=")</f>
        <v>#REF!</v>
      </c>
      <c r="EA232" t="e">
        <f>AND(#REF!,"AAAAAE++1YI=")</f>
        <v>#REF!</v>
      </c>
      <c r="EB232" t="e">
        <f>AND(#REF!,"AAAAAE++1YM=")</f>
        <v>#REF!</v>
      </c>
      <c r="EC232" t="e">
        <f>AND(#REF!,"AAAAAE++1YQ=")</f>
        <v>#REF!</v>
      </c>
      <c r="ED232" t="e">
        <f>AND(#REF!,"AAAAAE++1YU=")</f>
        <v>#REF!</v>
      </c>
      <c r="EE232" t="e">
        <f>AND(#REF!,"AAAAAE++1YY=")</f>
        <v>#REF!</v>
      </c>
      <c r="EF232" t="e">
        <f>AND(#REF!,"AAAAAE++1Yc=")</f>
        <v>#REF!</v>
      </c>
      <c r="EG232" t="e">
        <f>AND(#REF!,"AAAAAE++1Yg=")</f>
        <v>#REF!</v>
      </c>
      <c r="EH232" t="e">
        <f>AND(#REF!,"AAAAAE++1Yk=")</f>
        <v>#REF!</v>
      </c>
      <c r="EI232" t="e">
        <f>AND(#REF!,"AAAAAE++1Yo=")</f>
        <v>#REF!</v>
      </c>
      <c r="EJ232" t="e">
        <f>AND(#REF!,"AAAAAE++1Ys=")</f>
        <v>#REF!</v>
      </c>
      <c r="EK232" t="e">
        <f>AND(#REF!,"AAAAAE++1Yw=")</f>
        <v>#REF!</v>
      </c>
      <c r="EL232" t="e">
        <f>AND(#REF!,"AAAAAE++1Y0=")</f>
        <v>#REF!</v>
      </c>
      <c r="EM232" t="e">
        <f>AND(#REF!,"AAAAAE++1Y4=")</f>
        <v>#REF!</v>
      </c>
      <c r="EN232" t="e">
        <f>AND(#REF!,"AAAAAE++1Y8=")</f>
        <v>#REF!</v>
      </c>
      <c r="EO232" t="e">
        <f>AND(#REF!,"AAAAAE++1ZA=")</f>
        <v>#REF!</v>
      </c>
      <c r="EP232" t="e">
        <f>AND(#REF!,"AAAAAE++1ZE=")</f>
        <v>#REF!</v>
      </c>
      <c r="EQ232" t="e">
        <f>AND(#REF!,"AAAAAE++1ZI=")</f>
        <v>#REF!</v>
      </c>
      <c r="ER232" t="e">
        <f>AND(#REF!,"AAAAAE++1ZM=")</f>
        <v>#REF!</v>
      </c>
      <c r="ES232" t="e">
        <f>AND(#REF!,"AAAAAE++1ZQ=")</f>
        <v>#REF!</v>
      </c>
      <c r="ET232" t="e">
        <f>AND(#REF!,"AAAAAE++1ZU=")</f>
        <v>#REF!</v>
      </c>
      <c r="EU232" t="e">
        <f>AND(#REF!,"AAAAAE++1ZY=")</f>
        <v>#REF!</v>
      </c>
      <c r="EV232" t="e">
        <f>AND(#REF!,"AAAAAE++1Zc=")</f>
        <v>#REF!</v>
      </c>
      <c r="EW232" t="e">
        <f>AND(#REF!,"AAAAAE++1Zg=")</f>
        <v>#REF!</v>
      </c>
      <c r="EX232" t="e">
        <f>AND(#REF!,"AAAAAE++1Zk=")</f>
        <v>#REF!</v>
      </c>
      <c r="EY232" t="e">
        <f>AND(#REF!,"AAAAAE++1Zo=")</f>
        <v>#REF!</v>
      </c>
      <c r="EZ232" t="e">
        <f>AND(#REF!,"AAAAAE++1Zs=")</f>
        <v>#REF!</v>
      </c>
      <c r="FA232" t="e">
        <f>AND(#REF!,"AAAAAE++1Zw=")</f>
        <v>#REF!</v>
      </c>
      <c r="FB232" t="e">
        <f>AND(#REF!,"AAAAAE++1Z0=")</f>
        <v>#REF!</v>
      </c>
      <c r="FC232" t="e">
        <f>AND(#REF!,"AAAAAE++1Z4=")</f>
        <v>#REF!</v>
      </c>
      <c r="FD232" t="e">
        <f>AND(#REF!,"AAAAAE++1Z8=")</f>
        <v>#REF!</v>
      </c>
      <c r="FE232" t="e">
        <f>AND(#REF!,"AAAAAE++1aA=")</f>
        <v>#REF!</v>
      </c>
      <c r="FF232" t="e">
        <f>AND(#REF!,"AAAAAE++1aE=")</f>
        <v>#REF!</v>
      </c>
      <c r="FG232" t="e">
        <f>AND(#REF!,"AAAAAE++1aI=")</f>
        <v>#REF!</v>
      </c>
      <c r="FH232" t="e">
        <f>AND(#REF!,"AAAAAE++1aM=")</f>
        <v>#REF!</v>
      </c>
      <c r="FI232" t="e">
        <f>AND(#REF!,"AAAAAE++1aQ=")</f>
        <v>#REF!</v>
      </c>
      <c r="FJ232" t="e">
        <f>AND(#REF!,"AAAAAE++1aU=")</f>
        <v>#REF!</v>
      </c>
      <c r="FK232" t="e">
        <f>AND(#REF!,"AAAAAE++1aY=")</f>
        <v>#REF!</v>
      </c>
      <c r="FL232" t="e">
        <f>AND(#REF!,"AAAAAE++1ac=")</f>
        <v>#REF!</v>
      </c>
      <c r="FM232" t="e">
        <f>AND(#REF!,"AAAAAE++1ag=")</f>
        <v>#REF!</v>
      </c>
      <c r="FN232" t="e">
        <f>AND(#REF!,"AAAAAE++1ak=")</f>
        <v>#REF!</v>
      </c>
      <c r="FO232" t="e">
        <f>AND(#REF!,"AAAAAE++1ao=")</f>
        <v>#REF!</v>
      </c>
      <c r="FP232" t="e">
        <f>AND(#REF!,"AAAAAE++1as=")</f>
        <v>#REF!</v>
      </c>
      <c r="FQ232" t="e">
        <f>AND(#REF!,"AAAAAE++1aw=")</f>
        <v>#REF!</v>
      </c>
      <c r="FR232" t="e">
        <f>AND(#REF!,"AAAAAE++1a0=")</f>
        <v>#REF!</v>
      </c>
      <c r="FS232" t="e">
        <f>AND(#REF!,"AAAAAE++1a4=")</f>
        <v>#REF!</v>
      </c>
      <c r="FT232" t="e">
        <f>AND(#REF!,"AAAAAE++1a8=")</f>
        <v>#REF!</v>
      </c>
      <c r="FU232" t="e">
        <f>AND(#REF!,"AAAAAE++1bA=")</f>
        <v>#REF!</v>
      </c>
      <c r="FV232" t="e">
        <f>AND(#REF!,"AAAAAE++1bE=")</f>
        <v>#REF!</v>
      </c>
      <c r="FW232" t="e">
        <f>AND(#REF!,"AAAAAE++1bI=")</f>
        <v>#REF!</v>
      </c>
      <c r="FX232" t="e">
        <f>AND(#REF!,"AAAAAE++1bM=")</f>
        <v>#REF!</v>
      </c>
      <c r="FY232" t="e">
        <f>AND(#REF!,"AAAAAE++1bQ=")</f>
        <v>#REF!</v>
      </c>
      <c r="FZ232" t="e">
        <f>AND(#REF!,"AAAAAE++1bU=")</f>
        <v>#REF!</v>
      </c>
      <c r="GA232" t="e">
        <f>AND(#REF!,"AAAAAE++1bY=")</f>
        <v>#REF!</v>
      </c>
      <c r="GB232" t="e">
        <f>AND(#REF!,"AAAAAE++1bc=")</f>
        <v>#REF!</v>
      </c>
      <c r="GC232" t="e">
        <f>AND(#REF!,"AAAAAE++1bg=")</f>
        <v>#REF!</v>
      </c>
      <c r="GD232" t="e">
        <f>AND(#REF!,"AAAAAE++1bk=")</f>
        <v>#REF!</v>
      </c>
      <c r="GE232" t="e">
        <f>AND(#REF!,"AAAAAE++1bo=")</f>
        <v>#REF!</v>
      </c>
      <c r="GF232" t="e">
        <f>AND(#REF!,"AAAAAE++1bs=")</f>
        <v>#REF!</v>
      </c>
      <c r="GG232" t="e">
        <f>AND(#REF!,"AAAAAE++1bw=")</f>
        <v>#REF!</v>
      </c>
      <c r="GH232" t="e">
        <f>AND(#REF!,"AAAAAE++1b0=")</f>
        <v>#REF!</v>
      </c>
      <c r="GI232" t="e">
        <f>AND(#REF!,"AAAAAE++1b4=")</f>
        <v>#REF!</v>
      </c>
      <c r="GJ232" t="e">
        <f>AND(#REF!,"AAAAAE++1b8=")</f>
        <v>#REF!</v>
      </c>
      <c r="GK232" t="e">
        <f>AND(#REF!,"AAAAAE++1cA=")</f>
        <v>#REF!</v>
      </c>
      <c r="GL232" t="e">
        <f>AND(#REF!,"AAAAAE++1cE=")</f>
        <v>#REF!</v>
      </c>
      <c r="GM232" t="e">
        <f>AND(#REF!,"AAAAAE++1cI=")</f>
        <v>#REF!</v>
      </c>
      <c r="GN232" t="e">
        <f>AND(#REF!,"AAAAAE++1cM=")</f>
        <v>#REF!</v>
      </c>
      <c r="GO232" t="e">
        <f>AND(#REF!,"AAAAAE++1cQ=")</f>
        <v>#REF!</v>
      </c>
      <c r="GP232" t="e">
        <f>AND(#REF!,"AAAAAE++1cU=")</f>
        <v>#REF!</v>
      </c>
      <c r="GQ232" t="e">
        <f>AND(#REF!,"AAAAAE++1cY=")</f>
        <v>#REF!</v>
      </c>
      <c r="GR232" t="e">
        <f>AND(#REF!,"AAAAAE++1cc=")</f>
        <v>#REF!</v>
      </c>
      <c r="GS232" t="e">
        <f>AND(#REF!,"AAAAAE++1cg=")</f>
        <v>#REF!</v>
      </c>
      <c r="GT232" t="e">
        <f>AND(#REF!,"AAAAAE++1ck=")</f>
        <v>#REF!</v>
      </c>
      <c r="GU232" t="e">
        <f>AND(#REF!,"AAAAAE++1co=")</f>
        <v>#REF!</v>
      </c>
      <c r="GV232" t="e">
        <f>AND(#REF!,"AAAAAE++1cs=")</f>
        <v>#REF!</v>
      </c>
      <c r="GW232" t="e">
        <f>AND(#REF!,"AAAAAE++1cw=")</f>
        <v>#REF!</v>
      </c>
      <c r="GX232" t="e">
        <f>AND(#REF!,"AAAAAE++1c0=")</f>
        <v>#REF!</v>
      </c>
      <c r="GY232" t="e">
        <f>AND(#REF!,"AAAAAE++1c4=")</f>
        <v>#REF!</v>
      </c>
      <c r="GZ232" t="e">
        <f>AND(#REF!,"AAAAAE++1c8=")</f>
        <v>#REF!</v>
      </c>
      <c r="HA232" t="e">
        <f>AND(#REF!,"AAAAAE++1dA=")</f>
        <v>#REF!</v>
      </c>
      <c r="HB232" t="e">
        <f>AND(#REF!,"AAAAAE++1dE=")</f>
        <v>#REF!</v>
      </c>
      <c r="HC232" t="e">
        <f>AND(#REF!,"AAAAAE++1dI=")</f>
        <v>#REF!</v>
      </c>
      <c r="HD232" t="e">
        <f>AND(#REF!,"AAAAAE++1dM=")</f>
        <v>#REF!</v>
      </c>
      <c r="HE232" t="e">
        <f>AND(#REF!,"AAAAAE++1dQ=")</f>
        <v>#REF!</v>
      </c>
      <c r="HF232" t="e">
        <f>AND(#REF!,"AAAAAE++1dU=")</f>
        <v>#REF!</v>
      </c>
      <c r="HG232" t="e">
        <f>AND(#REF!,"AAAAAE++1dY=")</f>
        <v>#REF!</v>
      </c>
      <c r="HH232" t="e">
        <f>AND(#REF!,"AAAAAE++1dc=")</f>
        <v>#REF!</v>
      </c>
      <c r="HI232" t="e">
        <f>AND(#REF!,"AAAAAE++1dg=")</f>
        <v>#REF!</v>
      </c>
      <c r="HJ232" t="e">
        <f>AND(#REF!,"AAAAAE++1dk=")</f>
        <v>#REF!</v>
      </c>
      <c r="HK232" t="e">
        <f>AND(#REF!,"AAAAAE++1do=")</f>
        <v>#REF!</v>
      </c>
      <c r="HL232" t="e">
        <f>AND(#REF!,"AAAAAE++1ds=")</f>
        <v>#REF!</v>
      </c>
      <c r="HM232" t="e">
        <f>AND(#REF!,"AAAAAE++1dw=")</f>
        <v>#REF!</v>
      </c>
      <c r="HN232" t="e">
        <f>AND(#REF!,"AAAAAE++1d0=")</f>
        <v>#REF!</v>
      </c>
      <c r="HO232" t="e">
        <f>AND(#REF!,"AAAAAE++1d4=")</f>
        <v>#REF!</v>
      </c>
      <c r="HP232" t="e">
        <f>AND(#REF!,"AAAAAE++1d8=")</f>
        <v>#REF!</v>
      </c>
      <c r="HQ232" t="e">
        <f>AND(#REF!,"AAAAAE++1eA=")</f>
        <v>#REF!</v>
      </c>
      <c r="HR232" t="e">
        <f>AND(#REF!,"AAAAAE++1eE=")</f>
        <v>#REF!</v>
      </c>
      <c r="HS232" t="e">
        <f>AND(#REF!,"AAAAAE++1eI=")</f>
        <v>#REF!</v>
      </c>
      <c r="HT232" t="e">
        <f>AND(#REF!,"AAAAAE++1eM=")</f>
        <v>#REF!</v>
      </c>
      <c r="HU232" t="e">
        <f>AND(#REF!,"AAAAAE++1eQ=")</f>
        <v>#REF!</v>
      </c>
      <c r="HV232" t="e">
        <f>AND(#REF!,"AAAAAE++1eU=")</f>
        <v>#REF!</v>
      </c>
      <c r="HW232" t="e">
        <f>AND(#REF!,"AAAAAE++1eY=")</f>
        <v>#REF!</v>
      </c>
      <c r="HX232" t="e">
        <f>AND(#REF!,"AAAAAE++1ec=")</f>
        <v>#REF!</v>
      </c>
      <c r="HY232" t="e">
        <f>AND(#REF!,"AAAAAE++1eg=")</f>
        <v>#REF!</v>
      </c>
      <c r="HZ232" t="e">
        <f>AND(#REF!,"AAAAAE++1ek=")</f>
        <v>#REF!</v>
      </c>
      <c r="IA232" t="e">
        <f>AND(#REF!,"AAAAAE++1eo=")</f>
        <v>#REF!</v>
      </c>
      <c r="IB232" t="e">
        <f>AND(#REF!,"AAAAAE++1es=")</f>
        <v>#REF!</v>
      </c>
      <c r="IC232" t="e">
        <f>AND(#REF!,"AAAAAE++1ew=")</f>
        <v>#REF!</v>
      </c>
      <c r="ID232" t="e">
        <f>AND(#REF!,"AAAAAE++1e0=")</f>
        <v>#REF!</v>
      </c>
      <c r="IE232" t="e">
        <f>AND(#REF!,"AAAAAE++1e4=")</f>
        <v>#REF!</v>
      </c>
      <c r="IF232" t="e">
        <f>AND(#REF!,"AAAAAE++1e8=")</f>
        <v>#REF!</v>
      </c>
      <c r="IG232" t="e">
        <f>AND(#REF!,"AAAAAE++1fA=")</f>
        <v>#REF!</v>
      </c>
      <c r="IH232" t="e">
        <f>AND(#REF!,"AAAAAE++1fE=")</f>
        <v>#REF!</v>
      </c>
      <c r="II232" t="e">
        <f>AND(#REF!,"AAAAAE++1fI=")</f>
        <v>#REF!</v>
      </c>
      <c r="IJ232" t="e">
        <f>AND(#REF!,"AAAAAE++1fM=")</f>
        <v>#REF!</v>
      </c>
      <c r="IK232" t="e">
        <f>AND(#REF!,"AAAAAE++1fQ=")</f>
        <v>#REF!</v>
      </c>
      <c r="IL232" t="e">
        <f>AND(#REF!,"AAAAAE++1fU=")</f>
        <v>#REF!</v>
      </c>
      <c r="IM232" t="e">
        <f>AND(#REF!,"AAAAAE++1fY=")</f>
        <v>#REF!</v>
      </c>
      <c r="IN232" t="e">
        <f>AND(#REF!,"AAAAAE++1fc=")</f>
        <v>#REF!</v>
      </c>
      <c r="IO232" t="e">
        <f>AND(#REF!,"AAAAAE++1fg=")</f>
        <v>#REF!</v>
      </c>
      <c r="IP232" t="e">
        <f>AND(#REF!,"AAAAAE++1fk=")</f>
        <v>#REF!</v>
      </c>
      <c r="IQ232" t="e">
        <f>AND(#REF!,"AAAAAE++1fo=")</f>
        <v>#REF!</v>
      </c>
      <c r="IR232" t="e">
        <f>AND(#REF!,"AAAAAE++1fs=")</f>
        <v>#REF!</v>
      </c>
      <c r="IS232" t="e">
        <f>AND(#REF!,"AAAAAE++1fw=")</f>
        <v>#REF!</v>
      </c>
      <c r="IT232" t="e">
        <f>AND(#REF!,"AAAAAE++1f0=")</f>
        <v>#REF!</v>
      </c>
      <c r="IU232" t="e">
        <f>AND(#REF!,"AAAAAE++1f4=")</f>
        <v>#REF!</v>
      </c>
      <c r="IV232" t="e">
        <f>AND(#REF!,"AAAAAE++1f8=")</f>
        <v>#REF!</v>
      </c>
    </row>
    <row r="233" spans="1:256">
      <c r="A233" t="e">
        <f>AND(#REF!,"AAAAACqvvwA=")</f>
        <v>#REF!</v>
      </c>
      <c r="B233" t="e">
        <f>AND(#REF!,"AAAAACqvvwE=")</f>
        <v>#REF!</v>
      </c>
      <c r="C233" t="e">
        <f>AND(#REF!,"AAAAACqvvwI=")</f>
        <v>#REF!</v>
      </c>
      <c r="D233" t="e">
        <f>AND(#REF!,"AAAAACqvvwM=")</f>
        <v>#REF!</v>
      </c>
      <c r="E233" t="e">
        <f>AND(#REF!,"AAAAACqvvwQ=")</f>
        <v>#REF!</v>
      </c>
      <c r="F233" t="e">
        <f>AND(#REF!,"AAAAACqvvwU=")</f>
        <v>#REF!</v>
      </c>
      <c r="G233" t="e">
        <f>AND(#REF!,"AAAAACqvvwY=")</f>
        <v>#REF!</v>
      </c>
      <c r="H233" t="e">
        <f>AND(#REF!,"AAAAACqvvwc=")</f>
        <v>#REF!</v>
      </c>
      <c r="I233" t="e">
        <f>AND(#REF!,"AAAAACqvvwg=")</f>
        <v>#REF!</v>
      </c>
      <c r="J233" t="e">
        <f>AND(#REF!,"AAAAACqvvwk=")</f>
        <v>#REF!</v>
      </c>
      <c r="K233" t="e">
        <f>AND(#REF!,"AAAAACqvvwo=")</f>
        <v>#REF!</v>
      </c>
      <c r="L233" t="e">
        <f>AND(#REF!,"AAAAACqvvws=")</f>
        <v>#REF!</v>
      </c>
      <c r="M233" t="e">
        <f>AND(#REF!,"AAAAACqvvww=")</f>
        <v>#REF!</v>
      </c>
      <c r="N233" t="e">
        <f>AND(#REF!,"AAAAACqvvw0=")</f>
        <v>#REF!</v>
      </c>
      <c r="O233" t="e">
        <f>AND(#REF!,"AAAAACqvvw4=")</f>
        <v>#REF!</v>
      </c>
      <c r="P233" t="e">
        <f>AND(#REF!,"AAAAACqvvw8=")</f>
        <v>#REF!</v>
      </c>
      <c r="Q233" t="e">
        <f>AND(#REF!,"AAAAACqvvxA=")</f>
        <v>#REF!</v>
      </c>
      <c r="R233" t="e">
        <f>AND(#REF!,"AAAAACqvvxE=")</f>
        <v>#REF!</v>
      </c>
      <c r="S233" t="e">
        <f>AND(#REF!,"AAAAACqvvxI=")</f>
        <v>#REF!</v>
      </c>
      <c r="T233" t="e">
        <f>AND(#REF!,"AAAAACqvvxM=")</f>
        <v>#REF!</v>
      </c>
      <c r="U233" t="e">
        <f>AND(#REF!,"AAAAACqvvxQ=")</f>
        <v>#REF!</v>
      </c>
      <c r="V233" t="e">
        <f>AND(#REF!,"AAAAACqvvxU=")</f>
        <v>#REF!</v>
      </c>
      <c r="W233" t="e">
        <f>AND(#REF!,"AAAAACqvvxY=")</f>
        <v>#REF!</v>
      </c>
      <c r="X233" t="e">
        <f>AND(#REF!,"AAAAACqvvxc=")</f>
        <v>#REF!</v>
      </c>
      <c r="Y233" t="e">
        <f>AND(#REF!,"AAAAACqvvxg=")</f>
        <v>#REF!</v>
      </c>
      <c r="Z233" t="e">
        <f>AND(#REF!,"AAAAACqvvxk=")</f>
        <v>#REF!</v>
      </c>
      <c r="AA233" t="e">
        <f>AND(#REF!,"AAAAACqvvxo=")</f>
        <v>#REF!</v>
      </c>
      <c r="AB233" t="e">
        <f>AND(#REF!,"AAAAACqvvxs=")</f>
        <v>#REF!</v>
      </c>
      <c r="AC233" t="e">
        <f>AND(#REF!,"AAAAACqvvxw=")</f>
        <v>#REF!</v>
      </c>
      <c r="AD233" t="e">
        <f>AND(#REF!,"AAAAACqvvx0=")</f>
        <v>#REF!</v>
      </c>
      <c r="AE233" t="e">
        <f>AND(#REF!,"AAAAACqvvx4=")</f>
        <v>#REF!</v>
      </c>
      <c r="AF233" t="e">
        <f>AND(#REF!,"AAAAACqvvx8=")</f>
        <v>#REF!</v>
      </c>
      <c r="AG233" t="e">
        <f>AND(#REF!,"AAAAACqvvyA=")</f>
        <v>#REF!</v>
      </c>
      <c r="AH233" t="e">
        <f>AND(#REF!,"AAAAACqvvyE=")</f>
        <v>#REF!</v>
      </c>
      <c r="AI233" t="e">
        <f>AND(#REF!,"AAAAACqvvyI=")</f>
        <v>#REF!</v>
      </c>
      <c r="AJ233" t="e">
        <f>AND(#REF!,"AAAAACqvvyM=")</f>
        <v>#REF!</v>
      </c>
      <c r="AK233" t="e">
        <f>AND(#REF!,"AAAAACqvvyQ=")</f>
        <v>#REF!</v>
      </c>
      <c r="AL233" t="e">
        <f>AND(#REF!,"AAAAACqvvyU=")</f>
        <v>#REF!</v>
      </c>
      <c r="AM233" t="e">
        <f>AND(#REF!,"AAAAACqvvyY=")</f>
        <v>#REF!</v>
      </c>
      <c r="AN233" t="e">
        <f>AND(#REF!,"AAAAACqvvyc=")</f>
        <v>#REF!</v>
      </c>
      <c r="AO233" t="e">
        <f>AND(#REF!,"AAAAACqvvyg=")</f>
        <v>#REF!</v>
      </c>
      <c r="AP233" t="e">
        <f>AND(#REF!,"AAAAACqvvyk=")</f>
        <v>#REF!</v>
      </c>
      <c r="AQ233" t="e">
        <f>AND(#REF!,"AAAAACqvvyo=")</f>
        <v>#REF!</v>
      </c>
      <c r="AR233" t="e">
        <f>AND(#REF!,"AAAAACqvvys=")</f>
        <v>#REF!</v>
      </c>
      <c r="AS233" t="e">
        <f>AND(#REF!,"AAAAACqvvyw=")</f>
        <v>#REF!</v>
      </c>
      <c r="AT233" t="e">
        <f>AND(#REF!,"AAAAACqvvy0=")</f>
        <v>#REF!</v>
      </c>
      <c r="AU233" t="e">
        <f>AND(#REF!,"AAAAACqvvy4=")</f>
        <v>#REF!</v>
      </c>
      <c r="AV233" t="e">
        <f>AND(#REF!,"AAAAACqvvy8=")</f>
        <v>#REF!</v>
      </c>
      <c r="AW233" t="e">
        <f>AND(#REF!,"AAAAACqvvzA=")</f>
        <v>#REF!</v>
      </c>
      <c r="AX233" t="e">
        <f>AND(#REF!,"AAAAACqvvzE=")</f>
        <v>#REF!</v>
      </c>
      <c r="AY233" t="e">
        <f>AND(#REF!,"AAAAACqvvzI=")</f>
        <v>#REF!</v>
      </c>
      <c r="AZ233" t="e">
        <f>AND(#REF!,"AAAAACqvvzM=")</f>
        <v>#REF!</v>
      </c>
      <c r="BA233" t="e">
        <f>AND(#REF!,"AAAAACqvvzQ=")</f>
        <v>#REF!</v>
      </c>
      <c r="BB233" t="e">
        <f>AND(#REF!,"AAAAACqvvzU=")</f>
        <v>#REF!</v>
      </c>
      <c r="BC233" t="e">
        <f>AND(#REF!,"AAAAACqvvzY=")</f>
        <v>#REF!</v>
      </c>
      <c r="BD233" t="e">
        <f>AND(#REF!,"AAAAACqvvzc=")</f>
        <v>#REF!</v>
      </c>
      <c r="BE233" t="e">
        <f>AND(#REF!,"AAAAACqvvzg=")</f>
        <v>#REF!</v>
      </c>
      <c r="BF233" t="e">
        <f>AND(#REF!,"AAAAACqvvzk=")</f>
        <v>#REF!</v>
      </c>
      <c r="BG233" t="e">
        <f>IF(#REF!,"AAAAACqvvzo=",0)</f>
        <v>#REF!</v>
      </c>
      <c r="BH233" t="e">
        <f>AND(#REF!,"AAAAACqvvzs=")</f>
        <v>#REF!</v>
      </c>
      <c r="BI233" t="e">
        <f>AND(#REF!,"AAAAACqvvzw=")</f>
        <v>#REF!</v>
      </c>
      <c r="BJ233" t="e">
        <f>AND(#REF!,"AAAAACqvvz0=")</f>
        <v>#REF!</v>
      </c>
      <c r="BK233" t="e">
        <f>AND(#REF!,"AAAAACqvvz4=")</f>
        <v>#REF!</v>
      </c>
      <c r="BL233" t="e">
        <f>AND(#REF!,"AAAAACqvvz8=")</f>
        <v>#REF!</v>
      </c>
      <c r="BM233" t="e">
        <f>AND(#REF!,"AAAAACqvv0A=")</f>
        <v>#REF!</v>
      </c>
      <c r="BN233" t="e">
        <f>AND(#REF!,"AAAAACqvv0E=")</f>
        <v>#REF!</v>
      </c>
      <c r="BO233" t="e">
        <f>AND(#REF!,"AAAAACqvv0I=")</f>
        <v>#REF!</v>
      </c>
      <c r="BP233" t="e">
        <f>AND(#REF!,"AAAAACqvv0M=")</f>
        <v>#REF!</v>
      </c>
      <c r="BQ233" t="e">
        <f>AND(#REF!,"AAAAACqvv0Q=")</f>
        <v>#REF!</v>
      </c>
      <c r="BR233" t="e">
        <f>AND(#REF!,"AAAAACqvv0U=")</f>
        <v>#REF!</v>
      </c>
      <c r="BS233" t="e">
        <f>AND(#REF!,"AAAAACqvv0Y=")</f>
        <v>#REF!</v>
      </c>
      <c r="BT233" t="e">
        <f>AND(#REF!,"AAAAACqvv0c=")</f>
        <v>#REF!</v>
      </c>
      <c r="BU233" t="e">
        <f>AND(#REF!,"AAAAACqvv0g=")</f>
        <v>#REF!</v>
      </c>
      <c r="BV233" t="e">
        <f>AND(#REF!,"AAAAACqvv0k=")</f>
        <v>#REF!</v>
      </c>
      <c r="BW233" t="e">
        <f>AND(#REF!,"AAAAACqvv0o=")</f>
        <v>#REF!</v>
      </c>
      <c r="BX233" t="e">
        <f>AND(#REF!,"AAAAACqvv0s=")</f>
        <v>#REF!</v>
      </c>
      <c r="BY233" t="e">
        <f>AND(#REF!,"AAAAACqvv0w=")</f>
        <v>#REF!</v>
      </c>
      <c r="BZ233" t="e">
        <f>AND(#REF!,"AAAAACqvv00=")</f>
        <v>#REF!</v>
      </c>
      <c r="CA233" t="e">
        <f>AND(#REF!,"AAAAACqvv04=")</f>
        <v>#REF!</v>
      </c>
      <c r="CB233" t="e">
        <f>AND(#REF!,"AAAAACqvv08=")</f>
        <v>#REF!</v>
      </c>
      <c r="CC233" t="e">
        <f>AND(#REF!,"AAAAACqvv1A=")</f>
        <v>#REF!</v>
      </c>
      <c r="CD233" t="e">
        <f>AND(#REF!,"AAAAACqvv1E=")</f>
        <v>#REF!</v>
      </c>
      <c r="CE233" t="e">
        <f>AND(#REF!,"AAAAACqvv1I=")</f>
        <v>#REF!</v>
      </c>
      <c r="CF233" t="e">
        <f>AND(#REF!,"AAAAACqvv1M=")</f>
        <v>#REF!</v>
      </c>
      <c r="CG233" t="e">
        <f>AND(#REF!,"AAAAACqvv1Q=")</f>
        <v>#REF!</v>
      </c>
      <c r="CH233" t="e">
        <f>AND(#REF!,"AAAAACqvv1U=")</f>
        <v>#REF!</v>
      </c>
      <c r="CI233" t="e">
        <f>AND(#REF!,"AAAAACqvv1Y=")</f>
        <v>#REF!</v>
      </c>
      <c r="CJ233" t="e">
        <f>AND(#REF!,"AAAAACqvv1c=")</f>
        <v>#REF!</v>
      </c>
      <c r="CK233" t="e">
        <f>AND(#REF!,"AAAAACqvv1g=")</f>
        <v>#REF!</v>
      </c>
      <c r="CL233" t="e">
        <f>AND(#REF!,"AAAAACqvv1k=")</f>
        <v>#REF!</v>
      </c>
      <c r="CM233" t="e">
        <f>AND(#REF!,"AAAAACqvv1o=")</f>
        <v>#REF!</v>
      </c>
      <c r="CN233" t="e">
        <f>AND(#REF!,"AAAAACqvv1s=")</f>
        <v>#REF!</v>
      </c>
      <c r="CO233" t="e">
        <f>AND(#REF!,"AAAAACqvv1w=")</f>
        <v>#REF!</v>
      </c>
      <c r="CP233" t="e">
        <f>AND(#REF!,"AAAAACqvv10=")</f>
        <v>#REF!</v>
      </c>
      <c r="CQ233" t="e">
        <f>AND(#REF!,"AAAAACqvv14=")</f>
        <v>#REF!</v>
      </c>
      <c r="CR233" t="e">
        <f>AND(#REF!,"AAAAACqvv18=")</f>
        <v>#REF!</v>
      </c>
      <c r="CS233" t="e">
        <f>AND(#REF!,"AAAAACqvv2A=")</f>
        <v>#REF!</v>
      </c>
      <c r="CT233" t="e">
        <f>AND(#REF!,"AAAAACqvv2E=")</f>
        <v>#REF!</v>
      </c>
      <c r="CU233" t="e">
        <f>AND(#REF!,"AAAAACqvv2I=")</f>
        <v>#REF!</v>
      </c>
      <c r="CV233" t="e">
        <f>AND(#REF!,"AAAAACqvv2M=")</f>
        <v>#REF!</v>
      </c>
      <c r="CW233" t="e">
        <f>AND(#REF!,"AAAAACqvv2Q=")</f>
        <v>#REF!</v>
      </c>
      <c r="CX233" t="e">
        <f>AND(#REF!,"AAAAACqvv2U=")</f>
        <v>#REF!</v>
      </c>
      <c r="CY233" t="e">
        <f>AND(#REF!,"AAAAACqvv2Y=")</f>
        <v>#REF!</v>
      </c>
      <c r="CZ233" t="e">
        <f>AND(#REF!,"AAAAACqvv2c=")</f>
        <v>#REF!</v>
      </c>
      <c r="DA233" t="e">
        <f>AND(#REF!,"AAAAACqvv2g=")</f>
        <v>#REF!</v>
      </c>
      <c r="DB233" t="e">
        <f>AND(#REF!,"AAAAACqvv2k=")</f>
        <v>#REF!</v>
      </c>
      <c r="DC233" t="e">
        <f>AND(#REF!,"AAAAACqvv2o=")</f>
        <v>#REF!</v>
      </c>
      <c r="DD233" t="e">
        <f>AND(#REF!,"AAAAACqvv2s=")</f>
        <v>#REF!</v>
      </c>
      <c r="DE233" t="e">
        <f>AND(#REF!,"AAAAACqvv2w=")</f>
        <v>#REF!</v>
      </c>
      <c r="DF233" t="e">
        <f>AND(#REF!,"AAAAACqvv20=")</f>
        <v>#REF!</v>
      </c>
      <c r="DG233" t="e">
        <f>AND(#REF!,"AAAAACqvv24=")</f>
        <v>#REF!</v>
      </c>
      <c r="DH233" t="e">
        <f>AND(#REF!,"AAAAACqvv28=")</f>
        <v>#REF!</v>
      </c>
      <c r="DI233" t="e">
        <f>AND(#REF!,"AAAAACqvv3A=")</f>
        <v>#REF!</v>
      </c>
      <c r="DJ233" t="e">
        <f>AND(#REF!,"AAAAACqvv3E=")</f>
        <v>#REF!</v>
      </c>
      <c r="DK233" t="e">
        <f>AND(#REF!,"AAAAACqvv3I=")</f>
        <v>#REF!</v>
      </c>
      <c r="DL233" t="e">
        <f>AND(#REF!,"AAAAACqvv3M=")</f>
        <v>#REF!</v>
      </c>
      <c r="DM233" t="e">
        <f>AND(#REF!,"AAAAACqvv3Q=")</f>
        <v>#REF!</v>
      </c>
      <c r="DN233" t="e">
        <f>AND(#REF!,"AAAAACqvv3U=")</f>
        <v>#REF!</v>
      </c>
      <c r="DO233" t="e">
        <f>AND(#REF!,"AAAAACqvv3Y=")</f>
        <v>#REF!</v>
      </c>
      <c r="DP233" t="e">
        <f>AND(#REF!,"AAAAACqvv3c=")</f>
        <v>#REF!</v>
      </c>
      <c r="DQ233" t="e">
        <f>AND(#REF!,"AAAAACqvv3g=")</f>
        <v>#REF!</v>
      </c>
      <c r="DR233" t="e">
        <f>AND(#REF!,"AAAAACqvv3k=")</f>
        <v>#REF!</v>
      </c>
      <c r="DS233" t="e">
        <f>AND(#REF!,"AAAAACqvv3o=")</f>
        <v>#REF!</v>
      </c>
      <c r="DT233" t="e">
        <f>AND(#REF!,"AAAAACqvv3s=")</f>
        <v>#REF!</v>
      </c>
      <c r="DU233" t="e">
        <f>AND(#REF!,"AAAAACqvv3w=")</f>
        <v>#REF!</v>
      </c>
      <c r="DV233" t="e">
        <f>AND(#REF!,"AAAAACqvv30=")</f>
        <v>#REF!</v>
      </c>
      <c r="DW233" t="e">
        <f>AND(#REF!,"AAAAACqvv34=")</f>
        <v>#REF!</v>
      </c>
      <c r="DX233" t="e">
        <f>AND(#REF!,"AAAAACqvv38=")</f>
        <v>#REF!</v>
      </c>
      <c r="DY233" t="e">
        <f>AND(#REF!,"AAAAACqvv4A=")</f>
        <v>#REF!</v>
      </c>
      <c r="DZ233" t="e">
        <f>AND(#REF!,"AAAAACqvv4E=")</f>
        <v>#REF!</v>
      </c>
      <c r="EA233" t="e">
        <f>AND(#REF!,"AAAAACqvv4I=")</f>
        <v>#REF!</v>
      </c>
      <c r="EB233" t="e">
        <f>AND(#REF!,"AAAAACqvv4M=")</f>
        <v>#REF!</v>
      </c>
      <c r="EC233" t="e">
        <f>AND(#REF!,"AAAAACqvv4Q=")</f>
        <v>#REF!</v>
      </c>
      <c r="ED233" t="e">
        <f>AND(#REF!,"AAAAACqvv4U=")</f>
        <v>#REF!</v>
      </c>
      <c r="EE233" t="e">
        <f>AND(#REF!,"AAAAACqvv4Y=")</f>
        <v>#REF!</v>
      </c>
      <c r="EF233" t="e">
        <f>AND(#REF!,"AAAAACqvv4c=")</f>
        <v>#REF!</v>
      </c>
      <c r="EG233" t="e">
        <f>AND(#REF!,"AAAAACqvv4g=")</f>
        <v>#REF!</v>
      </c>
      <c r="EH233" t="e">
        <f>AND(#REF!,"AAAAACqvv4k=")</f>
        <v>#REF!</v>
      </c>
      <c r="EI233" t="e">
        <f>AND(#REF!,"AAAAACqvv4o=")</f>
        <v>#REF!</v>
      </c>
      <c r="EJ233" t="e">
        <f>AND(#REF!,"AAAAACqvv4s=")</f>
        <v>#REF!</v>
      </c>
      <c r="EK233" t="e">
        <f>AND(#REF!,"AAAAACqvv4w=")</f>
        <v>#REF!</v>
      </c>
      <c r="EL233" t="e">
        <f>AND(#REF!,"AAAAACqvv40=")</f>
        <v>#REF!</v>
      </c>
      <c r="EM233" t="e">
        <f>AND(#REF!,"AAAAACqvv44=")</f>
        <v>#REF!</v>
      </c>
      <c r="EN233" t="e">
        <f>AND(#REF!,"AAAAACqvv48=")</f>
        <v>#REF!</v>
      </c>
      <c r="EO233" t="e">
        <f>AND(#REF!,"AAAAACqvv5A=")</f>
        <v>#REF!</v>
      </c>
      <c r="EP233" t="e">
        <f>AND(#REF!,"AAAAACqvv5E=")</f>
        <v>#REF!</v>
      </c>
      <c r="EQ233" t="e">
        <f>AND(#REF!,"AAAAACqvv5I=")</f>
        <v>#REF!</v>
      </c>
      <c r="ER233" t="e">
        <f>AND(#REF!,"AAAAACqvv5M=")</f>
        <v>#REF!</v>
      </c>
      <c r="ES233" t="e">
        <f>AND(#REF!,"AAAAACqvv5Q=")</f>
        <v>#REF!</v>
      </c>
      <c r="ET233" t="e">
        <f>AND(#REF!,"AAAAACqvv5U=")</f>
        <v>#REF!</v>
      </c>
      <c r="EU233" t="e">
        <f>AND(#REF!,"AAAAACqvv5Y=")</f>
        <v>#REF!</v>
      </c>
      <c r="EV233" t="e">
        <f>AND(#REF!,"AAAAACqvv5c=")</f>
        <v>#REF!</v>
      </c>
      <c r="EW233" t="e">
        <f>AND(#REF!,"AAAAACqvv5g=")</f>
        <v>#REF!</v>
      </c>
      <c r="EX233" t="e">
        <f>AND(#REF!,"AAAAACqvv5k=")</f>
        <v>#REF!</v>
      </c>
      <c r="EY233" t="e">
        <f>AND(#REF!,"AAAAACqvv5o=")</f>
        <v>#REF!</v>
      </c>
      <c r="EZ233" t="e">
        <f>AND(#REF!,"AAAAACqvv5s=")</f>
        <v>#REF!</v>
      </c>
      <c r="FA233" t="e">
        <f>AND(#REF!,"AAAAACqvv5w=")</f>
        <v>#REF!</v>
      </c>
      <c r="FB233" t="e">
        <f>AND(#REF!,"AAAAACqvv50=")</f>
        <v>#REF!</v>
      </c>
      <c r="FC233" t="e">
        <f>AND(#REF!,"AAAAACqvv54=")</f>
        <v>#REF!</v>
      </c>
      <c r="FD233" t="e">
        <f>AND(#REF!,"AAAAACqvv58=")</f>
        <v>#REF!</v>
      </c>
      <c r="FE233" t="e">
        <f>AND(#REF!,"AAAAACqvv6A=")</f>
        <v>#REF!</v>
      </c>
      <c r="FF233" t="e">
        <f>AND(#REF!,"AAAAACqvv6E=")</f>
        <v>#REF!</v>
      </c>
      <c r="FG233" t="e">
        <f>AND(#REF!,"AAAAACqvv6I=")</f>
        <v>#REF!</v>
      </c>
      <c r="FH233" t="e">
        <f>AND(#REF!,"AAAAACqvv6M=")</f>
        <v>#REF!</v>
      </c>
      <c r="FI233" t="e">
        <f>AND(#REF!,"AAAAACqvv6Q=")</f>
        <v>#REF!</v>
      </c>
      <c r="FJ233" t="e">
        <f>AND(#REF!,"AAAAACqvv6U=")</f>
        <v>#REF!</v>
      </c>
      <c r="FK233" t="e">
        <f>AND(#REF!,"AAAAACqvv6Y=")</f>
        <v>#REF!</v>
      </c>
      <c r="FL233" t="e">
        <f>AND(#REF!,"AAAAACqvv6c=")</f>
        <v>#REF!</v>
      </c>
      <c r="FM233" t="e">
        <f>AND(#REF!,"AAAAACqvv6g=")</f>
        <v>#REF!</v>
      </c>
      <c r="FN233" t="e">
        <f>AND(#REF!,"AAAAACqvv6k=")</f>
        <v>#REF!</v>
      </c>
      <c r="FO233" t="e">
        <f>AND(#REF!,"AAAAACqvv6o=")</f>
        <v>#REF!</v>
      </c>
      <c r="FP233" t="e">
        <f>AND(#REF!,"AAAAACqvv6s=")</f>
        <v>#REF!</v>
      </c>
      <c r="FQ233" t="e">
        <f>AND(#REF!,"AAAAACqvv6w=")</f>
        <v>#REF!</v>
      </c>
      <c r="FR233" t="e">
        <f>AND(#REF!,"AAAAACqvv60=")</f>
        <v>#REF!</v>
      </c>
      <c r="FS233" t="e">
        <f>AND(#REF!,"AAAAACqvv64=")</f>
        <v>#REF!</v>
      </c>
      <c r="FT233" t="e">
        <f>AND(#REF!,"AAAAACqvv68=")</f>
        <v>#REF!</v>
      </c>
      <c r="FU233" t="e">
        <f>AND(#REF!,"AAAAACqvv7A=")</f>
        <v>#REF!</v>
      </c>
      <c r="FV233" t="e">
        <f>AND(#REF!,"AAAAACqvv7E=")</f>
        <v>#REF!</v>
      </c>
      <c r="FW233" t="e">
        <f>AND(#REF!,"AAAAACqvv7I=")</f>
        <v>#REF!</v>
      </c>
      <c r="FX233" t="e">
        <f>AND(#REF!,"AAAAACqvv7M=")</f>
        <v>#REF!</v>
      </c>
      <c r="FY233" t="e">
        <f>AND(#REF!,"AAAAACqvv7Q=")</f>
        <v>#REF!</v>
      </c>
      <c r="FZ233" t="e">
        <f>AND(#REF!,"AAAAACqvv7U=")</f>
        <v>#REF!</v>
      </c>
      <c r="GA233" t="e">
        <f>AND(#REF!,"AAAAACqvv7Y=")</f>
        <v>#REF!</v>
      </c>
      <c r="GB233" t="e">
        <f>AND(#REF!,"AAAAACqvv7c=")</f>
        <v>#REF!</v>
      </c>
      <c r="GC233" t="e">
        <f>AND(#REF!,"AAAAACqvv7g=")</f>
        <v>#REF!</v>
      </c>
      <c r="GD233" t="e">
        <f>AND(#REF!,"AAAAACqvv7k=")</f>
        <v>#REF!</v>
      </c>
      <c r="GE233" t="e">
        <f>AND(#REF!,"AAAAACqvv7o=")</f>
        <v>#REF!</v>
      </c>
      <c r="GF233" t="e">
        <f>AND(#REF!,"AAAAACqvv7s=")</f>
        <v>#REF!</v>
      </c>
      <c r="GG233" t="e">
        <f>AND(#REF!,"AAAAACqvv7w=")</f>
        <v>#REF!</v>
      </c>
      <c r="GH233" t="e">
        <f>AND(#REF!,"AAAAACqvv70=")</f>
        <v>#REF!</v>
      </c>
      <c r="GI233" t="e">
        <f>AND(#REF!,"AAAAACqvv74=")</f>
        <v>#REF!</v>
      </c>
      <c r="GJ233" t="e">
        <f>AND(#REF!,"AAAAACqvv78=")</f>
        <v>#REF!</v>
      </c>
      <c r="GK233" t="e">
        <f>AND(#REF!,"AAAAACqvv8A=")</f>
        <v>#REF!</v>
      </c>
      <c r="GL233" t="e">
        <f>AND(#REF!,"AAAAACqvv8E=")</f>
        <v>#REF!</v>
      </c>
      <c r="GM233" t="e">
        <f>AND(#REF!,"AAAAACqvv8I=")</f>
        <v>#REF!</v>
      </c>
      <c r="GN233" t="e">
        <f>AND(#REF!,"AAAAACqvv8M=")</f>
        <v>#REF!</v>
      </c>
      <c r="GO233" t="e">
        <f>AND(#REF!,"AAAAACqvv8Q=")</f>
        <v>#REF!</v>
      </c>
      <c r="GP233" t="e">
        <f>AND(#REF!,"AAAAACqvv8U=")</f>
        <v>#REF!</v>
      </c>
      <c r="GQ233" t="e">
        <f>AND(#REF!,"AAAAACqvv8Y=")</f>
        <v>#REF!</v>
      </c>
      <c r="GR233" t="e">
        <f>AND(#REF!,"AAAAACqvv8c=")</f>
        <v>#REF!</v>
      </c>
      <c r="GS233" t="e">
        <f>AND(#REF!,"AAAAACqvv8g=")</f>
        <v>#REF!</v>
      </c>
      <c r="GT233" t="e">
        <f>AND(#REF!,"AAAAACqvv8k=")</f>
        <v>#REF!</v>
      </c>
      <c r="GU233" t="e">
        <f>AND(#REF!,"AAAAACqvv8o=")</f>
        <v>#REF!</v>
      </c>
      <c r="GV233" t="e">
        <f>AND(#REF!,"AAAAACqvv8s=")</f>
        <v>#REF!</v>
      </c>
      <c r="GW233" t="e">
        <f>AND(#REF!,"AAAAACqvv8w=")</f>
        <v>#REF!</v>
      </c>
      <c r="GX233" t="e">
        <f>AND(#REF!,"AAAAACqvv80=")</f>
        <v>#REF!</v>
      </c>
      <c r="GY233" t="e">
        <f>AND(#REF!,"AAAAACqvv84=")</f>
        <v>#REF!</v>
      </c>
      <c r="GZ233" t="e">
        <f>AND(#REF!,"AAAAACqvv88=")</f>
        <v>#REF!</v>
      </c>
      <c r="HA233" t="e">
        <f>AND(#REF!,"AAAAACqvv9A=")</f>
        <v>#REF!</v>
      </c>
      <c r="HB233" t="e">
        <f>AND(#REF!,"AAAAACqvv9E=")</f>
        <v>#REF!</v>
      </c>
      <c r="HC233" t="e">
        <f>AND(#REF!,"AAAAACqvv9I=")</f>
        <v>#REF!</v>
      </c>
      <c r="HD233" t="e">
        <f>AND(#REF!,"AAAAACqvv9M=")</f>
        <v>#REF!</v>
      </c>
      <c r="HE233" t="e">
        <f>AND(#REF!,"AAAAACqvv9Q=")</f>
        <v>#REF!</v>
      </c>
      <c r="HF233" t="e">
        <f>AND(#REF!,"AAAAACqvv9U=")</f>
        <v>#REF!</v>
      </c>
      <c r="HG233" t="e">
        <f>AND(#REF!,"AAAAACqvv9Y=")</f>
        <v>#REF!</v>
      </c>
      <c r="HH233" t="e">
        <f>AND(#REF!,"AAAAACqvv9c=")</f>
        <v>#REF!</v>
      </c>
      <c r="HI233" t="e">
        <f>AND(#REF!,"AAAAACqvv9g=")</f>
        <v>#REF!</v>
      </c>
      <c r="HJ233" t="e">
        <f>AND(#REF!,"AAAAACqvv9k=")</f>
        <v>#REF!</v>
      </c>
      <c r="HK233" t="e">
        <f>AND(#REF!,"AAAAACqvv9o=")</f>
        <v>#REF!</v>
      </c>
      <c r="HL233" t="e">
        <f>AND(#REF!,"AAAAACqvv9s=")</f>
        <v>#REF!</v>
      </c>
      <c r="HM233" t="e">
        <f>AND(#REF!,"AAAAACqvv9w=")</f>
        <v>#REF!</v>
      </c>
      <c r="HN233" t="e">
        <f>AND(#REF!,"AAAAACqvv90=")</f>
        <v>#REF!</v>
      </c>
      <c r="HO233" t="e">
        <f>AND(#REF!,"AAAAACqvv94=")</f>
        <v>#REF!</v>
      </c>
      <c r="HP233" t="e">
        <f>AND(#REF!,"AAAAACqvv98=")</f>
        <v>#REF!</v>
      </c>
      <c r="HQ233" t="e">
        <f>AND(#REF!,"AAAAACqvv+A=")</f>
        <v>#REF!</v>
      </c>
      <c r="HR233" t="e">
        <f>AND(#REF!,"AAAAACqvv+E=")</f>
        <v>#REF!</v>
      </c>
      <c r="HS233" t="e">
        <f>AND(#REF!,"AAAAACqvv+I=")</f>
        <v>#REF!</v>
      </c>
      <c r="HT233" t="e">
        <f>AND(#REF!,"AAAAACqvv+M=")</f>
        <v>#REF!</v>
      </c>
      <c r="HU233" t="e">
        <f>AND(#REF!,"AAAAACqvv+Q=")</f>
        <v>#REF!</v>
      </c>
      <c r="HV233" t="e">
        <f>AND(#REF!,"AAAAACqvv+U=")</f>
        <v>#REF!</v>
      </c>
      <c r="HW233" t="e">
        <f>AND(#REF!,"AAAAACqvv+Y=")</f>
        <v>#REF!</v>
      </c>
      <c r="HX233" t="e">
        <f>AND(#REF!,"AAAAACqvv+c=")</f>
        <v>#REF!</v>
      </c>
      <c r="HY233" t="e">
        <f>AND(#REF!,"AAAAACqvv+g=")</f>
        <v>#REF!</v>
      </c>
      <c r="HZ233" t="e">
        <f>AND(#REF!,"AAAAACqvv+k=")</f>
        <v>#REF!</v>
      </c>
      <c r="IA233" t="e">
        <f>AND(#REF!,"AAAAACqvv+o=")</f>
        <v>#REF!</v>
      </c>
      <c r="IB233" t="e">
        <f>AND(#REF!,"AAAAACqvv+s=")</f>
        <v>#REF!</v>
      </c>
      <c r="IC233" t="e">
        <f>AND(#REF!,"AAAAACqvv+w=")</f>
        <v>#REF!</v>
      </c>
      <c r="ID233" t="e">
        <f>AND(#REF!,"AAAAACqvv+0=")</f>
        <v>#REF!</v>
      </c>
      <c r="IE233" t="e">
        <f>AND(#REF!,"AAAAACqvv+4=")</f>
        <v>#REF!</v>
      </c>
      <c r="IF233" t="e">
        <f>AND(#REF!,"AAAAACqvv+8=")</f>
        <v>#REF!</v>
      </c>
      <c r="IG233" t="e">
        <f>AND(#REF!,"AAAAACqvv/A=")</f>
        <v>#REF!</v>
      </c>
      <c r="IH233" t="e">
        <f>AND(#REF!,"AAAAACqvv/E=")</f>
        <v>#REF!</v>
      </c>
      <c r="II233" t="e">
        <f>AND(#REF!,"AAAAACqvv/I=")</f>
        <v>#REF!</v>
      </c>
      <c r="IJ233" t="e">
        <f>AND(#REF!,"AAAAACqvv/M=")</f>
        <v>#REF!</v>
      </c>
      <c r="IK233" t="e">
        <f>AND(#REF!,"AAAAACqvv/Q=")</f>
        <v>#REF!</v>
      </c>
      <c r="IL233" t="e">
        <f>AND(#REF!,"AAAAACqvv/U=")</f>
        <v>#REF!</v>
      </c>
      <c r="IM233" t="e">
        <f>AND(#REF!,"AAAAACqvv/Y=")</f>
        <v>#REF!</v>
      </c>
      <c r="IN233" t="e">
        <f>AND(#REF!,"AAAAACqvv/c=")</f>
        <v>#REF!</v>
      </c>
      <c r="IO233" t="e">
        <f>AND(#REF!,"AAAAACqvv/g=")</f>
        <v>#REF!</v>
      </c>
      <c r="IP233" t="e">
        <f>AND(#REF!,"AAAAACqvv/k=")</f>
        <v>#REF!</v>
      </c>
      <c r="IQ233" t="e">
        <f>AND(#REF!,"AAAAACqvv/o=")</f>
        <v>#REF!</v>
      </c>
      <c r="IR233" t="e">
        <f>AND(#REF!,"AAAAACqvv/s=")</f>
        <v>#REF!</v>
      </c>
      <c r="IS233" t="e">
        <f>AND(#REF!,"AAAAACqvv/w=")</f>
        <v>#REF!</v>
      </c>
      <c r="IT233" t="e">
        <f>AND(#REF!,"AAAAACqvv/0=")</f>
        <v>#REF!</v>
      </c>
      <c r="IU233" t="e">
        <f>AND(#REF!,"AAAAACqvv/4=")</f>
        <v>#REF!</v>
      </c>
      <c r="IV233" t="e">
        <f>AND(#REF!,"AAAAACqvv/8=")</f>
        <v>#REF!</v>
      </c>
    </row>
    <row r="234" spans="1:256">
      <c r="A234" t="e">
        <f>AND(#REF!,"AAAAAD+8vgA=")</f>
        <v>#REF!</v>
      </c>
      <c r="B234" t="e">
        <f>AND(#REF!,"AAAAAD+8vgE=")</f>
        <v>#REF!</v>
      </c>
      <c r="C234" t="e">
        <f>AND(#REF!,"AAAAAD+8vgI=")</f>
        <v>#REF!</v>
      </c>
      <c r="D234" t="e">
        <f>AND(#REF!,"AAAAAD+8vgM=")</f>
        <v>#REF!</v>
      </c>
      <c r="E234" t="e">
        <f>AND(#REF!,"AAAAAD+8vgQ=")</f>
        <v>#REF!</v>
      </c>
      <c r="F234" t="e">
        <f>AND(#REF!,"AAAAAD+8vgU=")</f>
        <v>#REF!</v>
      </c>
      <c r="G234" t="e">
        <f>AND(#REF!,"AAAAAD+8vgY=")</f>
        <v>#REF!</v>
      </c>
      <c r="H234" t="e">
        <f>AND(#REF!,"AAAAAD+8vgc=")</f>
        <v>#REF!</v>
      </c>
      <c r="I234" t="e">
        <f>AND(#REF!,"AAAAAD+8vgg=")</f>
        <v>#REF!</v>
      </c>
      <c r="J234" t="e">
        <f>AND(#REF!,"AAAAAD+8vgk=")</f>
        <v>#REF!</v>
      </c>
      <c r="K234" t="e">
        <f>AND(#REF!,"AAAAAD+8vgo=")</f>
        <v>#REF!</v>
      </c>
      <c r="L234" t="e">
        <f>AND(#REF!,"AAAAAD+8vgs=")</f>
        <v>#REF!</v>
      </c>
      <c r="M234" t="e">
        <f>AND(#REF!,"AAAAAD+8vgw=")</f>
        <v>#REF!</v>
      </c>
      <c r="N234" t="e">
        <f>AND(#REF!,"AAAAAD+8vg0=")</f>
        <v>#REF!</v>
      </c>
      <c r="O234" t="e">
        <f>AND(#REF!,"AAAAAD+8vg4=")</f>
        <v>#REF!</v>
      </c>
      <c r="P234" t="e">
        <f>AND(#REF!,"AAAAAD+8vg8=")</f>
        <v>#REF!</v>
      </c>
      <c r="Q234" t="e">
        <f>AND(#REF!,"AAAAAD+8vhA=")</f>
        <v>#REF!</v>
      </c>
      <c r="R234" t="e">
        <f>AND(#REF!,"AAAAAD+8vhE=")</f>
        <v>#REF!</v>
      </c>
      <c r="S234" t="e">
        <f>AND(#REF!,"AAAAAD+8vhI=")</f>
        <v>#REF!</v>
      </c>
      <c r="T234" t="e">
        <f>AND(#REF!,"AAAAAD+8vhM=")</f>
        <v>#REF!</v>
      </c>
      <c r="U234" t="e">
        <f>AND(#REF!,"AAAAAD+8vhQ=")</f>
        <v>#REF!</v>
      </c>
      <c r="V234" t="e">
        <f>AND(#REF!,"AAAAAD+8vhU=")</f>
        <v>#REF!</v>
      </c>
      <c r="W234" t="e">
        <f>AND(#REF!,"AAAAAD+8vhY=")</f>
        <v>#REF!</v>
      </c>
      <c r="X234" t="e">
        <f>AND(#REF!,"AAAAAD+8vhc=")</f>
        <v>#REF!</v>
      </c>
      <c r="Y234" t="e">
        <f>AND(#REF!,"AAAAAD+8vhg=")</f>
        <v>#REF!</v>
      </c>
      <c r="Z234" t="e">
        <f>AND(#REF!,"AAAAAD+8vhk=")</f>
        <v>#REF!</v>
      </c>
      <c r="AA234" t="e">
        <f>AND(#REF!,"AAAAAD+8vho=")</f>
        <v>#REF!</v>
      </c>
      <c r="AB234" t="e">
        <f>AND(#REF!,"AAAAAD+8vhs=")</f>
        <v>#REF!</v>
      </c>
      <c r="AC234" t="e">
        <f>AND(#REF!,"AAAAAD+8vhw=")</f>
        <v>#REF!</v>
      </c>
      <c r="AD234" t="e">
        <f>AND(#REF!,"AAAAAD+8vh0=")</f>
        <v>#REF!</v>
      </c>
      <c r="AE234" t="e">
        <f>IF(#REF!,"AAAAAD+8vh4=",0)</f>
        <v>#REF!</v>
      </c>
      <c r="AF234" t="e">
        <f>AND(#REF!,"AAAAAD+8vh8=")</f>
        <v>#REF!</v>
      </c>
      <c r="AG234" t="e">
        <f>AND(#REF!,"AAAAAD+8viA=")</f>
        <v>#REF!</v>
      </c>
      <c r="AH234" t="e">
        <f>AND(#REF!,"AAAAAD+8viE=")</f>
        <v>#REF!</v>
      </c>
      <c r="AI234" t="e">
        <f>AND(#REF!,"AAAAAD+8viI=")</f>
        <v>#REF!</v>
      </c>
      <c r="AJ234" t="e">
        <f>AND(#REF!,"AAAAAD+8viM=")</f>
        <v>#REF!</v>
      </c>
      <c r="AK234" t="e">
        <f>AND(#REF!,"AAAAAD+8viQ=")</f>
        <v>#REF!</v>
      </c>
      <c r="AL234" t="e">
        <f>AND(#REF!,"AAAAAD+8viU=")</f>
        <v>#REF!</v>
      </c>
      <c r="AM234" t="e">
        <f>AND(#REF!,"AAAAAD+8viY=")</f>
        <v>#REF!</v>
      </c>
      <c r="AN234" t="e">
        <f>AND(#REF!,"AAAAAD+8vic=")</f>
        <v>#REF!</v>
      </c>
      <c r="AO234" t="e">
        <f>AND(#REF!,"AAAAAD+8vig=")</f>
        <v>#REF!</v>
      </c>
      <c r="AP234" t="e">
        <f>AND(#REF!,"AAAAAD+8vik=")</f>
        <v>#REF!</v>
      </c>
      <c r="AQ234" t="e">
        <f>AND(#REF!,"AAAAAD+8vio=")</f>
        <v>#REF!</v>
      </c>
      <c r="AR234" t="e">
        <f>AND(#REF!,"AAAAAD+8vis=")</f>
        <v>#REF!</v>
      </c>
      <c r="AS234" t="e">
        <f>AND(#REF!,"AAAAAD+8viw=")</f>
        <v>#REF!</v>
      </c>
      <c r="AT234" t="e">
        <f>AND(#REF!,"AAAAAD+8vi0=")</f>
        <v>#REF!</v>
      </c>
      <c r="AU234" t="e">
        <f>AND(#REF!,"AAAAAD+8vi4=")</f>
        <v>#REF!</v>
      </c>
      <c r="AV234" t="e">
        <f>AND(#REF!,"AAAAAD+8vi8=")</f>
        <v>#REF!</v>
      </c>
      <c r="AW234" t="e">
        <f>AND(#REF!,"AAAAAD+8vjA=")</f>
        <v>#REF!</v>
      </c>
      <c r="AX234" t="e">
        <f>AND(#REF!,"AAAAAD+8vjE=")</f>
        <v>#REF!</v>
      </c>
      <c r="AY234" t="e">
        <f>AND(#REF!,"AAAAAD+8vjI=")</f>
        <v>#REF!</v>
      </c>
      <c r="AZ234" t="e">
        <f>AND(#REF!,"AAAAAD+8vjM=")</f>
        <v>#REF!</v>
      </c>
      <c r="BA234" t="e">
        <f>AND(#REF!,"AAAAAD+8vjQ=")</f>
        <v>#REF!</v>
      </c>
      <c r="BB234" t="e">
        <f>AND(#REF!,"AAAAAD+8vjU=")</f>
        <v>#REF!</v>
      </c>
      <c r="BC234" t="e">
        <f>AND(#REF!,"AAAAAD+8vjY=")</f>
        <v>#REF!</v>
      </c>
      <c r="BD234" t="e">
        <f>AND(#REF!,"AAAAAD+8vjc=")</f>
        <v>#REF!</v>
      </c>
      <c r="BE234" t="e">
        <f>AND(#REF!,"AAAAAD+8vjg=")</f>
        <v>#REF!</v>
      </c>
      <c r="BF234" t="e">
        <f>AND(#REF!,"AAAAAD+8vjk=")</f>
        <v>#REF!</v>
      </c>
      <c r="BG234" t="e">
        <f>AND(#REF!,"AAAAAD+8vjo=")</f>
        <v>#REF!</v>
      </c>
      <c r="BH234" t="e">
        <f>AND(#REF!,"AAAAAD+8vjs=")</f>
        <v>#REF!</v>
      </c>
      <c r="BI234" t="e">
        <f>AND(#REF!,"AAAAAD+8vjw=")</f>
        <v>#REF!</v>
      </c>
      <c r="BJ234" t="e">
        <f>AND(#REF!,"AAAAAD+8vj0=")</f>
        <v>#REF!</v>
      </c>
      <c r="BK234" t="e">
        <f>AND(#REF!,"AAAAAD+8vj4=")</f>
        <v>#REF!</v>
      </c>
      <c r="BL234" t="e">
        <f>AND(#REF!,"AAAAAD+8vj8=")</f>
        <v>#REF!</v>
      </c>
      <c r="BM234" t="e">
        <f>AND(#REF!,"AAAAAD+8vkA=")</f>
        <v>#REF!</v>
      </c>
      <c r="BN234" t="e">
        <f>AND(#REF!,"AAAAAD+8vkE=")</f>
        <v>#REF!</v>
      </c>
      <c r="BO234" t="e">
        <f>AND(#REF!,"AAAAAD+8vkI=")</f>
        <v>#REF!</v>
      </c>
      <c r="BP234" t="e">
        <f>AND(#REF!,"AAAAAD+8vkM=")</f>
        <v>#REF!</v>
      </c>
      <c r="BQ234" t="e">
        <f>AND(#REF!,"AAAAAD+8vkQ=")</f>
        <v>#REF!</v>
      </c>
      <c r="BR234" t="e">
        <f>AND(#REF!,"AAAAAD+8vkU=")</f>
        <v>#REF!</v>
      </c>
      <c r="BS234" t="e">
        <f>AND(#REF!,"AAAAAD+8vkY=")</f>
        <v>#REF!</v>
      </c>
      <c r="BT234" t="e">
        <f>AND(#REF!,"AAAAAD+8vkc=")</f>
        <v>#REF!</v>
      </c>
      <c r="BU234" t="e">
        <f>AND(#REF!,"AAAAAD+8vkg=")</f>
        <v>#REF!</v>
      </c>
      <c r="BV234" t="e">
        <f>AND(#REF!,"AAAAAD+8vkk=")</f>
        <v>#REF!</v>
      </c>
      <c r="BW234" t="e">
        <f>AND(#REF!,"AAAAAD+8vko=")</f>
        <v>#REF!</v>
      </c>
      <c r="BX234" t="e">
        <f>AND(#REF!,"AAAAAD+8vks=")</f>
        <v>#REF!</v>
      </c>
      <c r="BY234" t="e">
        <f>AND(#REF!,"AAAAAD+8vkw=")</f>
        <v>#REF!</v>
      </c>
      <c r="BZ234" t="e">
        <f>AND(#REF!,"AAAAAD+8vk0=")</f>
        <v>#REF!</v>
      </c>
      <c r="CA234" t="e">
        <f>AND(#REF!,"AAAAAD+8vk4=")</f>
        <v>#REF!</v>
      </c>
      <c r="CB234" t="e">
        <f>AND(#REF!,"AAAAAD+8vk8=")</f>
        <v>#REF!</v>
      </c>
      <c r="CC234" t="e">
        <f>AND(#REF!,"AAAAAD+8vlA=")</f>
        <v>#REF!</v>
      </c>
      <c r="CD234" t="e">
        <f>AND(#REF!,"AAAAAD+8vlE=")</f>
        <v>#REF!</v>
      </c>
      <c r="CE234" t="e">
        <f>AND(#REF!,"AAAAAD+8vlI=")</f>
        <v>#REF!</v>
      </c>
      <c r="CF234" t="e">
        <f>AND(#REF!,"AAAAAD+8vlM=")</f>
        <v>#REF!</v>
      </c>
      <c r="CG234" t="e">
        <f>AND(#REF!,"AAAAAD+8vlQ=")</f>
        <v>#REF!</v>
      </c>
      <c r="CH234" t="e">
        <f>AND(#REF!,"AAAAAD+8vlU=")</f>
        <v>#REF!</v>
      </c>
      <c r="CI234" t="e">
        <f>AND(#REF!,"AAAAAD+8vlY=")</f>
        <v>#REF!</v>
      </c>
      <c r="CJ234" t="e">
        <f>AND(#REF!,"AAAAAD+8vlc=")</f>
        <v>#REF!</v>
      </c>
      <c r="CK234" t="e">
        <f>AND(#REF!,"AAAAAD+8vlg=")</f>
        <v>#REF!</v>
      </c>
      <c r="CL234" t="e">
        <f>AND(#REF!,"AAAAAD+8vlk=")</f>
        <v>#REF!</v>
      </c>
      <c r="CM234" t="e">
        <f>AND(#REF!,"AAAAAD+8vlo=")</f>
        <v>#REF!</v>
      </c>
      <c r="CN234" t="e">
        <f>AND(#REF!,"AAAAAD+8vls=")</f>
        <v>#REF!</v>
      </c>
      <c r="CO234" t="e">
        <f>AND(#REF!,"AAAAAD+8vlw=")</f>
        <v>#REF!</v>
      </c>
      <c r="CP234" t="e">
        <f>AND(#REF!,"AAAAAD+8vl0=")</f>
        <v>#REF!</v>
      </c>
      <c r="CQ234" t="e">
        <f>AND(#REF!,"AAAAAD+8vl4=")</f>
        <v>#REF!</v>
      </c>
      <c r="CR234" t="e">
        <f>AND(#REF!,"AAAAAD+8vl8=")</f>
        <v>#REF!</v>
      </c>
      <c r="CS234" t="e">
        <f>AND(#REF!,"AAAAAD+8vmA=")</f>
        <v>#REF!</v>
      </c>
      <c r="CT234" t="e">
        <f>AND(#REF!,"AAAAAD+8vmE=")</f>
        <v>#REF!</v>
      </c>
      <c r="CU234" t="e">
        <f>AND(#REF!,"AAAAAD+8vmI=")</f>
        <v>#REF!</v>
      </c>
      <c r="CV234" t="e">
        <f>AND(#REF!,"AAAAAD+8vmM=")</f>
        <v>#REF!</v>
      </c>
      <c r="CW234" t="e">
        <f>AND(#REF!,"AAAAAD+8vmQ=")</f>
        <v>#REF!</v>
      </c>
      <c r="CX234" t="e">
        <f>AND(#REF!,"AAAAAD+8vmU=")</f>
        <v>#REF!</v>
      </c>
      <c r="CY234" t="e">
        <f>AND(#REF!,"AAAAAD+8vmY=")</f>
        <v>#REF!</v>
      </c>
      <c r="CZ234" t="e">
        <f>AND(#REF!,"AAAAAD+8vmc=")</f>
        <v>#REF!</v>
      </c>
      <c r="DA234" t="e">
        <f>AND(#REF!,"AAAAAD+8vmg=")</f>
        <v>#REF!</v>
      </c>
      <c r="DB234" t="e">
        <f>AND(#REF!,"AAAAAD+8vmk=")</f>
        <v>#REF!</v>
      </c>
      <c r="DC234" t="e">
        <f>AND(#REF!,"AAAAAD+8vmo=")</f>
        <v>#REF!</v>
      </c>
      <c r="DD234" t="e">
        <f>AND(#REF!,"AAAAAD+8vms=")</f>
        <v>#REF!</v>
      </c>
      <c r="DE234" t="e">
        <f>AND(#REF!,"AAAAAD+8vmw=")</f>
        <v>#REF!</v>
      </c>
      <c r="DF234" t="e">
        <f>AND(#REF!,"AAAAAD+8vm0=")</f>
        <v>#REF!</v>
      </c>
      <c r="DG234" t="e">
        <f>AND(#REF!,"AAAAAD+8vm4=")</f>
        <v>#REF!</v>
      </c>
      <c r="DH234" t="e">
        <f>AND(#REF!,"AAAAAD+8vm8=")</f>
        <v>#REF!</v>
      </c>
      <c r="DI234" t="e">
        <f>AND(#REF!,"AAAAAD+8vnA=")</f>
        <v>#REF!</v>
      </c>
      <c r="DJ234" t="e">
        <f>AND(#REF!,"AAAAAD+8vnE=")</f>
        <v>#REF!</v>
      </c>
      <c r="DK234" t="e">
        <f>AND(#REF!,"AAAAAD+8vnI=")</f>
        <v>#REF!</v>
      </c>
      <c r="DL234" t="e">
        <f>AND(#REF!,"AAAAAD+8vnM=")</f>
        <v>#REF!</v>
      </c>
      <c r="DM234" t="e">
        <f>AND(#REF!,"AAAAAD+8vnQ=")</f>
        <v>#REF!</v>
      </c>
      <c r="DN234" t="e">
        <f>AND(#REF!,"AAAAAD+8vnU=")</f>
        <v>#REF!</v>
      </c>
      <c r="DO234" t="e">
        <f>AND(#REF!,"AAAAAD+8vnY=")</f>
        <v>#REF!</v>
      </c>
      <c r="DP234" t="e">
        <f>AND(#REF!,"AAAAAD+8vnc=")</f>
        <v>#REF!</v>
      </c>
      <c r="DQ234" t="e">
        <f>AND(#REF!,"AAAAAD+8vng=")</f>
        <v>#REF!</v>
      </c>
      <c r="DR234" t="e">
        <f>AND(#REF!,"AAAAAD+8vnk=")</f>
        <v>#REF!</v>
      </c>
      <c r="DS234" t="e">
        <f>AND(#REF!,"AAAAAD+8vno=")</f>
        <v>#REF!</v>
      </c>
      <c r="DT234" t="e">
        <f>AND(#REF!,"AAAAAD+8vns=")</f>
        <v>#REF!</v>
      </c>
      <c r="DU234" t="e">
        <f>AND(#REF!,"AAAAAD+8vnw=")</f>
        <v>#REF!</v>
      </c>
      <c r="DV234" t="e">
        <f>AND(#REF!,"AAAAAD+8vn0=")</f>
        <v>#REF!</v>
      </c>
      <c r="DW234" t="e">
        <f>AND(#REF!,"AAAAAD+8vn4=")</f>
        <v>#REF!</v>
      </c>
      <c r="DX234" t="e">
        <f>AND(#REF!,"AAAAAD+8vn8=")</f>
        <v>#REF!</v>
      </c>
      <c r="DY234" t="e">
        <f>AND(#REF!,"AAAAAD+8voA=")</f>
        <v>#REF!</v>
      </c>
      <c r="DZ234" t="e">
        <f>AND(#REF!,"AAAAAD+8voE=")</f>
        <v>#REF!</v>
      </c>
      <c r="EA234" t="e">
        <f>AND(#REF!,"AAAAAD+8voI=")</f>
        <v>#REF!</v>
      </c>
      <c r="EB234" t="e">
        <f>AND(#REF!,"AAAAAD+8voM=")</f>
        <v>#REF!</v>
      </c>
      <c r="EC234" t="e">
        <f>AND(#REF!,"AAAAAD+8voQ=")</f>
        <v>#REF!</v>
      </c>
      <c r="ED234" t="e">
        <f>AND(#REF!,"AAAAAD+8voU=")</f>
        <v>#REF!</v>
      </c>
      <c r="EE234" t="e">
        <f>AND(#REF!,"AAAAAD+8voY=")</f>
        <v>#REF!</v>
      </c>
      <c r="EF234" t="e">
        <f>AND(#REF!,"AAAAAD+8voc=")</f>
        <v>#REF!</v>
      </c>
      <c r="EG234" t="e">
        <f>AND(#REF!,"AAAAAD+8vog=")</f>
        <v>#REF!</v>
      </c>
      <c r="EH234" t="e">
        <f>AND(#REF!,"AAAAAD+8vok=")</f>
        <v>#REF!</v>
      </c>
      <c r="EI234" t="e">
        <f>AND(#REF!,"AAAAAD+8voo=")</f>
        <v>#REF!</v>
      </c>
      <c r="EJ234" t="e">
        <f>AND(#REF!,"AAAAAD+8vos=")</f>
        <v>#REF!</v>
      </c>
      <c r="EK234" t="e">
        <f>AND(#REF!,"AAAAAD+8vow=")</f>
        <v>#REF!</v>
      </c>
      <c r="EL234" t="e">
        <f>AND(#REF!,"AAAAAD+8vo0=")</f>
        <v>#REF!</v>
      </c>
      <c r="EM234" t="e">
        <f>AND(#REF!,"AAAAAD+8vo4=")</f>
        <v>#REF!</v>
      </c>
      <c r="EN234" t="e">
        <f>AND(#REF!,"AAAAAD+8vo8=")</f>
        <v>#REF!</v>
      </c>
      <c r="EO234" t="e">
        <f>AND(#REF!,"AAAAAD+8vpA=")</f>
        <v>#REF!</v>
      </c>
      <c r="EP234" t="e">
        <f>AND(#REF!,"AAAAAD+8vpE=")</f>
        <v>#REF!</v>
      </c>
      <c r="EQ234" t="e">
        <f>AND(#REF!,"AAAAAD+8vpI=")</f>
        <v>#REF!</v>
      </c>
      <c r="ER234" t="e">
        <f>AND(#REF!,"AAAAAD+8vpM=")</f>
        <v>#REF!</v>
      </c>
      <c r="ES234" t="e">
        <f>AND(#REF!,"AAAAAD+8vpQ=")</f>
        <v>#REF!</v>
      </c>
      <c r="ET234" t="e">
        <f>AND(#REF!,"AAAAAD+8vpU=")</f>
        <v>#REF!</v>
      </c>
      <c r="EU234" t="e">
        <f>AND(#REF!,"AAAAAD+8vpY=")</f>
        <v>#REF!</v>
      </c>
      <c r="EV234" t="e">
        <f>AND(#REF!,"AAAAAD+8vpc=")</f>
        <v>#REF!</v>
      </c>
      <c r="EW234" t="e">
        <f>AND(#REF!,"AAAAAD+8vpg=")</f>
        <v>#REF!</v>
      </c>
      <c r="EX234" t="e">
        <f>AND(#REF!,"AAAAAD+8vpk=")</f>
        <v>#REF!</v>
      </c>
      <c r="EY234" t="e">
        <f>AND(#REF!,"AAAAAD+8vpo=")</f>
        <v>#REF!</v>
      </c>
      <c r="EZ234" t="e">
        <f>AND(#REF!,"AAAAAD+8vps=")</f>
        <v>#REF!</v>
      </c>
      <c r="FA234" t="e">
        <f>AND(#REF!,"AAAAAD+8vpw=")</f>
        <v>#REF!</v>
      </c>
      <c r="FB234" t="e">
        <f>AND(#REF!,"AAAAAD+8vp0=")</f>
        <v>#REF!</v>
      </c>
      <c r="FC234" t="e">
        <f>AND(#REF!,"AAAAAD+8vp4=")</f>
        <v>#REF!</v>
      </c>
      <c r="FD234" t="e">
        <f>AND(#REF!,"AAAAAD+8vp8=")</f>
        <v>#REF!</v>
      </c>
      <c r="FE234" t="e">
        <f>AND(#REF!,"AAAAAD+8vqA=")</f>
        <v>#REF!</v>
      </c>
      <c r="FF234" t="e">
        <f>AND(#REF!,"AAAAAD+8vqE=")</f>
        <v>#REF!</v>
      </c>
      <c r="FG234" t="e">
        <f>AND(#REF!,"AAAAAD+8vqI=")</f>
        <v>#REF!</v>
      </c>
      <c r="FH234" t="e">
        <f>AND(#REF!,"AAAAAD+8vqM=")</f>
        <v>#REF!</v>
      </c>
      <c r="FI234" t="e">
        <f>AND(#REF!,"AAAAAD+8vqQ=")</f>
        <v>#REF!</v>
      </c>
      <c r="FJ234" t="e">
        <f>AND(#REF!,"AAAAAD+8vqU=")</f>
        <v>#REF!</v>
      </c>
      <c r="FK234" t="e">
        <f>AND(#REF!,"AAAAAD+8vqY=")</f>
        <v>#REF!</v>
      </c>
      <c r="FL234" t="e">
        <f>AND(#REF!,"AAAAAD+8vqc=")</f>
        <v>#REF!</v>
      </c>
      <c r="FM234" t="e">
        <f>AND(#REF!,"AAAAAD+8vqg=")</f>
        <v>#REF!</v>
      </c>
      <c r="FN234" t="e">
        <f>AND(#REF!,"AAAAAD+8vqk=")</f>
        <v>#REF!</v>
      </c>
      <c r="FO234" t="e">
        <f>AND(#REF!,"AAAAAD+8vqo=")</f>
        <v>#REF!</v>
      </c>
      <c r="FP234" t="e">
        <f>AND(#REF!,"AAAAAD+8vqs=")</f>
        <v>#REF!</v>
      </c>
      <c r="FQ234" t="e">
        <f>AND(#REF!,"AAAAAD+8vqw=")</f>
        <v>#REF!</v>
      </c>
      <c r="FR234" t="e">
        <f>AND(#REF!,"AAAAAD+8vq0=")</f>
        <v>#REF!</v>
      </c>
      <c r="FS234" t="e">
        <f>AND(#REF!,"AAAAAD+8vq4=")</f>
        <v>#REF!</v>
      </c>
      <c r="FT234" t="e">
        <f>AND(#REF!,"AAAAAD+8vq8=")</f>
        <v>#REF!</v>
      </c>
      <c r="FU234" t="e">
        <f>AND(#REF!,"AAAAAD+8vrA=")</f>
        <v>#REF!</v>
      </c>
      <c r="FV234" t="e">
        <f>AND(#REF!,"AAAAAD+8vrE=")</f>
        <v>#REF!</v>
      </c>
      <c r="FW234" t="e">
        <f>AND(#REF!,"AAAAAD+8vrI=")</f>
        <v>#REF!</v>
      </c>
      <c r="FX234" t="e">
        <f>AND(#REF!,"AAAAAD+8vrM=")</f>
        <v>#REF!</v>
      </c>
      <c r="FY234" t="e">
        <f>AND(#REF!,"AAAAAD+8vrQ=")</f>
        <v>#REF!</v>
      </c>
      <c r="FZ234" t="e">
        <f>AND(#REF!,"AAAAAD+8vrU=")</f>
        <v>#REF!</v>
      </c>
      <c r="GA234" t="e">
        <f>AND(#REF!,"AAAAAD+8vrY=")</f>
        <v>#REF!</v>
      </c>
      <c r="GB234" t="e">
        <f>AND(#REF!,"AAAAAD+8vrc=")</f>
        <v>#REF!</v>
      </c>
      <c r="GC234" t="e">
        <f>AND(#REF!,"AAAAAD+8vrg=")</f>
        <v>#REF!</v>
      </c>
      <c r="GD234" t="e">
        <f>AND(#REF!,"AAAAAD+8vrk=")</f>
        <v>#REF!</v>
      </c>
      <c r="GE234" t="e">
        <f>AND(#REF!,"AAAAAD+8vro=")</f>
        <v>#REF!</v>
      </c>
      <c r="GF234" t="e">
        <f>AND(#REF!,"AAAAAD+8vrs=")</f>
        <v>#REF!</v>
      </c>
      <c r="GG234" t="e">
        <f>AND(#REF!,"AAAAAD+8vrw=")</f>
        <v>#REF!</v>
      </c>
      <c r="GH234" t="e">
        <f>AND(#REF!,"AAAAAD+8vr0=")</f>
        <v>#REF!</v>
      </c>
      <c r="GI234" t="e">
        <f>AND(#REF!,"AAAAAD+8vr4=")</f>
        <v>#REF!</v>
      </c>
      <c r="GJ234" t="e">
        <f>AND(#REF!,"AAAAAD+8vr8=")</f>
        <v>#REF!</v>
      </c>
      <c r="GK234" t="e">
        <f>AND(#REF!,"AAAAAD+8vsA=")</f>
        <v>#REF!</v>
      </c>
      <c r="GL234" t="e">
        <f>AND(#REF!,"AAAAAD+8vsE=")</f>
        <v>#REF!</v>
      </c>
      <c r="GM234" t="e">
        <f>AND(#REF!,"AAAAAD+8vsI=")</f>
        <v>#REF!</v>
      </c>
      <c r="GN234" t="e">
        <f>AND(#REF!,"AAAAAD+8vsM=")</f>
        <v>#REF!</v>
      </c>
      <c r="GO234" t="e">
        <f>AND(#REF!,"AAAAAD+8vsQ=")</f>
        <v>#REF!</v>
      </c>
      <c r="GP234" t="e">
        <f>AND(#REF!,"AAAAAD+8vsU=")</f>
        <v>#REF!</v>
      </c>
      <c r="GQ234" t="e">
        <f>AND(#REF!,"AAAAAD+8vsY=")</f>
        <v>#REF!</v>
      </c>
      <c r="GR234" t="e">
        <f>AND(#REF!,"AAAAAD+8vsc=")</f>
        <v>#REF!</v>
      </c>
      <c r="GS234" t="e">
        <f>AND(#REF!,"AAAAAD+8vsg=")</f>
        <v>#REF!</v>
      </c>
      <c r="GT234" t="e">
        <f>AND(#REF!,"AAAAAD+8vsk=")</f>
        <v>#REF!</v>
      </c>
      <c r="GU234" t="e">
        <f>AND(#REF!,"AAAAAD+8vso=")</f>
        <v>#REF!</v>
      </c>
      <c r="GV234" t="e">
        <f>AND(#REF!,"AAAAAD+8vss=")</f>
        <v>#REF!</v>
      </c>
      <c r="GW234" t="e">
        <f>AND(#REF!,"AAAAAD+8vsw=")</f>
        <v>#REF!</v>
      </c>
      <c r="GX234" t="e">
        <f>AND(#REF!,"AAAAAD+8vs0=")</f>
        <v>#REF!</v>
      </c>
      <c r="GY234" t="e">
        <f>AND(#REF!,"AAAAAD+8vs4=")</f>
        <v>#REF!</v>
      </c>
      <c r="GZ234" t="e">
        <f>AND(#REF!,"AAAAAD+8vs8=")</f>
        <v>#REF!</v>
      </c>
      <c r="HA234" t="e">
        <f>AND(#REF!,"AAAAAD+8vtA=")</f>
        <v>#REF!</v>
      </c>
      <c r="HB234" t="e">
        <f>AND(#REF!,"AAAAAD+8vtE=")</f>
        <v>#REF!</v>
      </c>
      <c r="HC234" t="e">
        <f>AND(#REF!,"AAAAAD+8vtI=")</f>
        <v>#REF!</v>
      </c>
      <c r="HD234" t="e">
        <f>AND(#REF!,"AAAAAD+8vtM=")</f>
        <v>#REF!</v>
      </c>
      <c r="HE234" t="e">
        <f>AND(#REF!,"AAAAAD+8vtQ=")</f>
        <v>#REF!</v>
      </c>
      <c r="HF234" t="e">
        <f>AND(#REF!,"AAAAAD+8vtU=")</f>
        <v>#REF!</v>
      </c>
      <c r="HG234" t="e">
        <f>AND(#REF!,"AAAAAD+8vtY=")</f>
        <v>#REF!</v>
      </c>
      <c r="HH234" t="e">
        <f>AND(#REF!,"AAAAAD+8vtc=")</f>
        <v>#REF!</v>
      </c>
      <c r="HI234" t="e">
        <f>AND(#REF!,"AAAAAD+8vtg=")</f>
        <v>#REF!</v>
      </c>
      <c r="HJ234" t="e">
        <f>AND(#REF!,"AAAAAD+8vtk=")</f>
        <v>#REF!</v>
      </c>
      <c r="HK234" t="e">
        <f>AND(#REF!,"AAAAAD+8vto=")</f>
        <v>#REF!</v>
      </c>
      <c r="HL234" t="e">
        <f>AND(#REF!,"AAAAAD+8vts=")</f>
        <v>#REF!</v>
      </c>
      <c r="HM234" t="e">
        <f>AND(#REF!,"AAAAAD+8vtw=")</f>
        <v>#REF!</v>
      </c>
      <c r="HN234" t="e">
        <f>AND(#REF!,"AAAAAD+8vt0=")</f>
        <v>#REF!</v>
      </c>
      <c r="HO234" t="e">
        <f>AND(#REF!,"AAAAAD+8vt4=")</f>
        <v>#REF!</v>
      </c>
      <c r="HP234" t="e">
        <f>AND(#REF!,"AAAAAD+8vt8=")</f>
        <v>#REF!</v>
      </c>
      <c r="HQ234" t="e">
        <f>AND(#REF!,"AAAAAD+8vuA=")</f>
        <v>#REF!</v>
      </c>
      <c r="HR234" t="e">
        <f>AND(#REF!,"AAAAAD+8vuE=")</f>
        <v>#REF!</v>
      </c>
      <c r="HS234" t="e">
        <f>AND(#REF!,"AAAAAD+8vuI=")</f>
        <v>#REF!</v>
      </c>
      <c r="HT234" t="e">
        <f>AND(#REF!,"AAAAAD+8vuM=")</f>
        <v>#REF!</v>
      </c>
      <c r="HU234" t="e">
        <f>AND(#REF!,"AAAAAD+8vuQ=")</f>
        <v>#REF!</v>
      </c>
      <c r="HV234" t="e">
        <f>AND(#REF!,"AAAAAD+8vuU=")</f>
        <v>#REF!</v>
      </c>
      <c r="HW234" t="e">
        <f>AND(#REF!,"AAAAAD+8vuY=")</f>
        <v>#REF!</v>
      </c>
      <c r="HX234" t="e">
        <f>AND(#REF!,"AAAAAD+8vuc=")</f>
        <v>#REF!</v>
      </c>
      <c r="HY234" t="e">
        <f>AND(#REF!,"AAAAAD+8vug=")</f>
        <v>#REF!</v>
      </c>
      <c r="HZ234" t="e">
        <f>AND(#REF!,"AAAAAD+8vuk=")</f>
        <v>#REF!</v>
      </c>
      <c r="IA234" t="e">
        <f>AND(#REF!,"AAAAAD+8vuo=")</f>
        <v>#REF!</v>
      </c>
      <c r="IB234" t="e">
        <f>AND(#REF!,"AAAAAD+8vus=")</f>
        <v>#REF!</v>
      </c>
      <c r="IC234" t="e">
        <f>AND(#REF!,"AAAAAD+8vuw=")</f>
        <v>#REF!</v>
      </c>
      <c r="ID234" t="e">
        <f>AND(#REF!,"AAAAAD+8vu0=")</f>
        <v>#REF!</v>
      </c>
      <c r="IE234" t="e">
        <f>AND(#REF!,"AAAAAD+8vu4=")</f>
        <v>#REF!</v>
      </c>
      <c r="IF234" t="e">
        <f>AND(#REF!,"AAAAAD+8vu8=")</f>
        <v>#REF!</v>
      </c>
      <c r="IG234" t="e">
        <f>AND(#REF!,"AAAAAD+8vvA=")</f>
        <v>#REF!</v>
      </c>
      <c r="IH234" t="e">
        <f>AND(#REF!,"AAAAAD+8vvE=")</f>
        <v>#REF!</v>
      </c>
      <c r="II234" t="e">
        <f>AND(#REF!,"AAAAAD+8vvI=")</f>
        <v>#REF!</v>
      </c>
      <c r="IJ234" t="e">
        <f>AND(#REF!,"AAAAAD+8vvM=")</f>
        <v>#REF!</v>
      </c>
      <c r="IK234" t="e">
        <f>AND(#REF!,"AAAAAD+8vvQ=")</f>
        <v>#REF!</v>
      </c>
      <c r="IL234" t="e">
        <f>AND(#REF!,"AAAAAD+8vvU=")</f>
        <v>#REF!</v>
      </c>
      <c r="IM234" t="e">
        <f>AND(#REF!,"AAAAAD+8vvY=")</f>
        <v>#REF!</v>
      </c>
      <c r="IN234" t="e">
        <f>AND(#REF!,"AAAAAD+8vvc=")</f>
        <v>#REF!</v>
      </c>
      <c r="IO234" t="e">
        <f>AND(#REF!,"AAAAAD+8vvg=")</f>
        <v>#REF!</v>
      </c>
      <c r="IP234" t="e">
        <f>AND(#REF!,"AAAAAD+8vvk=")</f>
        <v>#REF!</v>
      </c>
      <c r="IQ234" t="e">
        <f>AND(#REF!,"AAAAAD+8vvo=")</f>
        <v>#REF!</v>
      </c>
      <c r="IR234" t="e">
        <f>AND(#REF!,"AAAAAD+8vvs=")</f>
        <v>#REF!</v>
      </c>
      <c r="IS234" t="e">
        <f>AND(#REF!,"AAAAAD+8vvw=")</f>
        <v>#REF!</v>
      </c>
      <c r="IT234" t="e">
        <f>AND(#REF!,"AAAAAD+8vv0=")</f>
        <v>#REF!</v>
      </c>
      <c r="IU234" t="e">
        <f>AND(#REF!,"AAAAAD+8vv4=")</f>
        <v>#REF!</v>
      </c>
      <c r="IV234" t="e">
        <f>AND(#REF!,"AAAAAD+8vv8=")</f>
        <v>#REF!</v>
      </c>
    </row>
    <row r="235" spans="1:256">
      <c r="A235" t="e">
        <f>AND(#REF!,"AAAAAGf//wA=")</f>
        <v>#REF!</v>
      </c>
      <c r="B235" t="e">
        <f>AND(#REF!,"AAAAAGf//wE=")</f>
        <v>#REF!</v>
      </c>
      <c r="C235" t="e">
        <f>IF(#REF!,"AAAAAGf//wI=",0)</f>
        <v>#REF!</v>
      </c>
      <c r="D235" t="e">
        <f>AND(#REF!,"AAAAAGf//wM=")</f>
        <v>#REF!</v>
      </c>
      <c r="E235" t="e">
        <f>AND(#REF!,"AAAAAGf//wQ=")</f>
        <v>#REF!</v>
      </c>
      <c r="F235" t="e">
        <f>AND(#REF!,"AAAAAGf//wU=")</f>
        <v>#REF!</v>
      </c>
      <c r="G235" t="e">
        <f>AND(#REF!,"AAAAAGf//wY=")</f>
        <v>#REF!</v>
      </c>
      <c r="H235" t="e">
        <f>AND(#REF!,"AAAAAGf//wc=")</f>
        <v>#REF!</v>
      </c>
      <c r="I235" t="e">
        <f>AND(#REF!,"AAAAAGf//wg=")</f>
        <v>#REF!</v>
      </c>
      <c r="J235" t="e">
        <f>AND(#REF!,"AAAAAGf//wk=")</f>
        <v>#REF!</v>
      </c>
      <c r="K235" t="e">
        <f>AND(#REF!,"AAAAAGf//wo=")</f>
        <v>#REF!</v>
      </c>
      <c r="L235" t="e">
        <f>AND(#REF!,"AAAAAGf//ws=")</f>
        <v>#REF!</v>
      </c>
      <c r="M235" t="e">
        <f>AND(#REF!,"AAAAAGf//ww=")</f>
        <v>#REF!</v>
      </c>
      <c r="N235" t="e">
        <f>AND(#REF!,"AAAAAGf//w0=")</f>
        <v>#REF!</v>
      </c>
      <c r="O235" t="e">
        <f>AND(#REF!,"AAAAAGf//w4=")</f>
        <v>#REF!</v>
      </c>
      <c r="P235" t="e">
        <f>AND(#REF!,"AAAAAGf//w8=")</f>
        <v>#REF!</v>
      </c>
      <c r="Q235" t="e">
        <f>AND(#REF!,"AAAAAGf//xA=")</f>
        <v>#REF!</v>
      </c>
      <c r="R235" t="e">
        <f>AND(#REF!,"AAAAAGf//xE=")</f>
        <v>#REF!</v>
      </c>
      <c r="S235" t="e">
        <f>AND(#REF!,"AAAAAGf//xI=")</f>
        <v>#REF!</v>
      </c>
      <c r="T235" t="e">
        <f>AND(#REF!,"AAAAAGf//xM=")</f>
        <v>#REF!</v>
      </c>
      <c r="U235" t="e">
        <f>AND(#REF!,"AAAAAGf//xQ=")</f>
        <v>#REF!</v>
      </c>
      <c r="V235" t="e">
        <f>AND(#REF!,"AAAAAGf//xU=")</f>
        <v>#REF!</v>
      </c>
      <c r="W235" t="e">
        <f>AND(#REF!,"AAAAAGf//xY=")</f>
        <v>#REF!</v>
      </c>
      <c r="X235" t="e">
        <f>AND(#REF!,"AAAAAGf//xc=")</f>
        <v>#REF!</v>
      </c>
      <c r="Y235" t="e">
        <f>AND(#REF!,"AAAAAGf//xg=")</f>
        <v>#REF!</v>
      </c>
      <c r="Z235" t="e">
        <f>AND(#REF!,"AAAAAGf//xk=")</f>
        <v>#REF!</v>
      </c>
      <c r="AA235" t="e">
        <f>AND(#REF!,"AAAAAGf//xo=")</f>
        <v>#REF!</v>
      </c>
      <c r="AB235" t="e">
        <f>AND(#REF!,"AAAAAGf//xs=")</f>
        <v>#REF!</v>
      </c>
      <c r="AC235" t="e">
        <f>AND(#REF!,"AAAAAGf//xw=")</f>
        <v>#REF!</v>
      </c>
      <c r="AD235" t="e">
        <f>AND(#REF!,"AAAAAGf//x0=")</f>
        <v>#REF!</v>
      </c>
      <c r="AE235" t="e">
        <f>AND(#REF!,"AAAAAGf//x4=")</f>
        <v>#REF!</v>
      </c>
      <c r="AF235" t="e">
        <f>AND(#REF!,"AAAAAGf//x8=")</f>
        <v>#REF!</v>
      </c>
      <c r="AG235" t="e">
        <f>AND(#REF!,"AAAAAGf//yA=")</f>
        <v>#REF!</v>
      </c>
      <c r="AH235" t="e">
        <f>AND(#REF!,"AAAAAGf//yE=")</f>
        <v>#REF!</v>
      </c>
      <c r="AI235" t="e">
        <f>AND(#REF!,"AAAAAGf//yI=")</f>
        <v>#REF!</v>
      </c>
      <c r="AJ235" t="e">
        <f>AND(#REF!,"AAAAAGf//yM=")</f>
        <v>#REF!</v>
      </c>
      <c r="AK235" t="e">
        <f>AND(#REF!,"AAAAAGf//yQ=")</f>
        <v>#REF!</v>
      </c>
      <c r="AL235" t="e">
        <f>AND(#REF!,"AAAAAGf//yU=")</f>
        <v>#REF!</v>
      </c>
      <c r="AM235" t="e">
        <f>AND(#REF!,"AAAAAGf//yY=")</f>
        <v>#REF!</v>
      </c>
      <c r="AN235" t="e">
        <f>AND(#REF!,"AAAAAGf//yc=")</f>
        <v>#REF!</v>
      </c>
      <c r="AO235" t="e">
        <f>AND(#REF!,"AAAAAGf//yg=")</f>
        <v>#REF!</v>
      </c>
      <c r="AP235" t="e">
        <f>AND(#REF!,"AAAAAGf//yk=")</f>
        <v>#REF!</v>
      </c>
      <c r="AQ235" t="e">
        <f>AND(#REF!,"AAAAAGf//yo=")</f>
        <v>#REF!</v>
      </c>
      <c r="AR235" t="e">
        <f>AND(#REF!,"AAAAAGf//ys=")</f>
        <v>#REF!</v>
      </c>
      <c r="AS235" t="e">
        <f>AND(#REF!,"AAAAAGf//yw=")</f>
        <v>#REF!</v>
      </c>
      <c r="AT235" t="e">
        <f>AND(#REF!,"AAAAAGf//y0=")</f>
        <v>#REF!</v>
      </c>
      <c r="AU235" t="e">
        <f>AND(#REF!,"AAAAAGf//y4=")</f>
        <v>#REF!</v>
      </c>
      <c r="AV235" t="e">
        <f>AND(#REF!,"AAAAAGf//y8=")</f>
        <v>#REF!</v>
      </c>
      <c r="AW235" t="e">
        <f>AND(#REF!,"AAAAAGf//zA=")</f>
        <v>#REF!</v>
      </c>
      <c r="AX235" t="e">
        <f>AND(#REF!,"AAAAAGf//zE=")</f>
        <v>#REF!</v>
      </c>
      <c r="AY235" t="e">
        <f>AND(#REF!,"AAAAAGf//zI=")</f>
        <v>#REF!</v>
      </c>
      <c r="AZ235" t="e">
        <f>AND(#REF!,"AAAAAGf//zM=")</f>
        <v>#REF!</v>
      </c>
      <c r="BA235" t="e">
        <f>AND(#REF!,"AAAAAGf//zQ=")</f>
        <v>#REF!</v>
      </c>
      <c r="BB235" t="e">
        <f>AND(#REF!,"AAAAAGf//zU=")</f>
        <v>#REF!</v>
      </c>
      <c r="BC235" t="e">
        <f>AND(#REF!,"AAAAAGf//zY=")</f>
        <v>#REF!</v>
      </c>
      <c r="BD235" t="e">
        <f>AND(#REF!,"AAAAAGf//zc=")</f>
        <v>#REF!</v>
      </c>
      <c r="BE235" t="e">
        <f>AND(#REF!,"AAAAAGf//zg=")</f>
        <v>#REF!</v>
      </c>
      <c r="BF235" t="e">
        <f>AND(#REF!,"AAAAAGf//zk=")</f>
        <v>#REF!</v>
      </c>
      <c r="BG235" t="e">
        <f>AND(#REF!,"AAAAAGf//zo=")</f>
        <v>#REF!</v>
      </c>
      <c r="BH235" t="e">
        <f>AND(#REF!,"AAAAAGf//zs=")</f>
        <v>#REF!</v>
      </c>
      <c r="BI235" t="e">
        <f>AND(#REF!,"AAAAAGf//zw=")</f>
        <v>#REF!</v>
      </c>
      <c r="BJ235" t="e">
        <f>AND(#REF!,"AAAAAGf//z0=")</f>
        <v>#REF!</v>
      </c>
      <c r="BK235" t="e">
        <f>AND(#REF!,"AAAAAGf//z4=")</f>
        <v>#REF!</v>
      </c>
      <c r="BL235" t="e">
        <f>AND(#REF!,"AAAAAGf//z8=")</f>
        <v>#REF!</v>
      </c>
      <c r="BM235" t="e">
        <f>AND(#REF!,"AAAAAGf//0A=")</f>
        <v>#REF!</v>
      </c>
      <c r="BN235" t="e">
        <f>AND(#REF!,"AAAAAGf//0E=")</f>
        <v>#REF!</v>
      </c>
      <c r="BO235" t="e">
        <f>AND(#REF!,"AAAAAGf//0I=")</f>
        <v>#REF!</v>
      </c>
      <c r="BP235" t="e">
        <f>AND(#REF!,"AAAAAGf//0M=")</f>
        <v>#REF!</v>
      </c>
      <c r="BQ235" t="e">
        <f>AND(#REF!,"AAAAAGf//0Q=")</f>
        <v>#REF!</v>
      </c>
      <c r="BR235" t="e">
        <f>AND(#REF!,"AAAAAGf//0U=")</f>
        <v>#REF!</v>
      </c>
      <c r="BS235" t="e">
        <f>AND(#REF!,"AAAAAGf//0Y=")</f>
        <v>#REF!</v>
      </c>
      <c r="BT235" t="e">
        <f>AND(#REF!,"AAAAAGf//0c=")</f>
        <v>#REF!</v>
      </c>
      <c r="BU235" t="e">
        <f>AND(#REF!,"AAAAAGf//0g=")</f>
        <v>#REF!</v>
      </c>
      <c r="BV235" t="e">
        <f>AND(#REF!,"AAAAAGf//0k=")</f>
        <v>#REF!</v>
      </c>
      <c r="BW235" t="e">
        <f>AND(#REF!,"AAAAAGf//0o=")</f>
        <v>#REF!</v>
      </c>
      <c r="BX235" t="e">
        <f>AND(#REF!,"AAAAAGf//0s=")</f>
        <v>#REF!</v>
      </c>
      <c r="BY235" t="e">
        <f>AND(#REF!,"AAAAAGf//0w=")</f>
        <v>#REF!</v>
      </c>
      <c r="BZ235" t="e">
        <f>AND(#REF!,"AAAAAGf//00=")</f>
        <v>#REF!</v>
      </c>
      <c r="CA235" t="e">
        <f>AND(#REF!,"AAAAAGf//04=")</f>
        <v>#REF!</v>
      </c>
      <c r="CB235" t="e">
        <f>AND(#REF!,"AAAAAGf//08=")</f>
        <v>#REF!</v>
      </c>
      <c r="CC235" t="e">
        <f>AND(#REF!,"AAAAAGf//1A=")</f>
        <v>#REF!</v>
      </c>
      <c r="CD235" t="e">
        <f>AND(#REF!,"AAAAAGf//1E=")</f>
        <v>#REF!</v>
      </c>
      <c r="CE235" t="e">
        <f>AND(#REF!,"AAAAAGf//1I=")</f>
        <v>#REF!</v>
      </c>
      <c r="CF235" t="e">
        <f>AND(#REF!,"AAAAAGf//1M=")</f>
        <v>#REF!</v>
      </c>
      <c r="CG235" t="e">
        <f>AND(#REF!,"AAAAAGf//1Q=")</f>
        <v>#REF!</v>
      </c>
      <c r="CH235" t="e">
        <f>AND(#REF!,"AAAAAGf//1U=")</f>
        <v>#REF!</v>
      </c>
      <c r="CI235" t="e">
        <f>AND(#REF!,"AAAAAGf//1Y=")</f>
        <v>#REF!</v>
      </c>
      <c r="CJ235" t="e">
        <f>AND(#REF!,"AAAAAGf//1c=")</f>
        <v>#REF!</v>
      </c>
      <c r="CK235" t="e">
        <f>AND(#REF!,"AAAAAGf//1g=")</f>
        <v>#REF!</v>
      </c>
      <c r="CL235" t="e">
        <f>AND(#REF!,"AAAAAGf//1k=")</f>
        <v>#REF!</v>
      </c>
      <c r="CM235" t="e">
        <f>AND(#REF!,"AAAAAGf//1o=")</f>
        <v>#REF!</v>
      </c>
      <c r="CN235" t="e">
        <f>AND(#REF!,"AAAAAGf//1s=")</f>
        <v>#REF!</v>
      </c>
      <c r="CO235" t="e">
        <f>AND(#REF!,"AAAAAGf//1w=")</f>
        <v>#REF!</v>
      </c>
      <c r="CP235" t="e">
        <f>AND(#REF!,"AAAAAGf//10=")</f>
        <v>#REF!</v>
      </c>
      <c r="CQ235" t="e">
        <f>AND(#REF!,"AAAAAGf//14=")</f>
        <v>#REF!</v>
      </c>
      <c r="CR235" t="e">
        <f>AND(#REF!,"AAAAAGf//18=")</f>
        <v>#REF!</v>
      </c>
      <c r="CS235" t="e">
        <f>AND(#REF!,"AAAAAGf//2A=")</f>
        <v>#REF!</v>
      </c>
      <c r="CT235" t="e">
        <f>AND(#REF!,"AAAAAGf//2E=")</f>
        <v>#REF!</v>
      </c>
      <c r="CU235" t="e">
        <f>AND(#REF!,"AAAAAGf//2I=")</f>
        <v>#REF!</v>
      </c>
      <c r="CV235" t="e">
        <f>AND(#REF!,"AAAAAGf//2M=")</f>
        <v>#REF!</v>
      </c>
      <c r="CW235" t="e">
        <f>AND(#REF!,"AAAAAGf//2Q=")</f>
        <v>#REF!</v>
      </c>
      <c r="CX235" t="e">
        <f>AND(#REF!,"AAAAAGf//2U=")</f>
        <v>#REF!</v>
      </c>
      <c r="CY235" t="e">
        <f>AND(#REF!,"AAAAAGf//2Y=")</f>
        <v>#REF!</v>
      </c>
      <c r="CZ235" t="e">
        <f>AND(#REF!,"AAAAAGf//2c=")</f>
        <v>#REF!</v>
      </c>
      <c r="DA235" t="e">
        <f>AND(#REF!,"AAAAAGf//2g=")</f>
        <v>#REF!</v>
      </c>
      <c r="DB235" t="e">
        <f>AND(#REF!,"AAAAAGf//2k=")</f>
        <v>#REF!</v>
      </c>
      <c r="DC235" t="e">
        <f>AND(#REF!,"AAAAAGf//2o=")</f>
        <v>#REF!</v>
      </c>
      <c r="DD235" t="e">
        <f>AND(#REF!,"AAAAAGf//2s=")</f>
        <v>#REF!</v>
      </c>
      <c r="DE235" t="e">
        <f>AND(#REF!,"AAAAAGf//2w=")</f>
        <v>#REF!</v>
      </c>
      <c r="DF235" t="e">
        <f>AND(#REF!,"AAAAAGf//20=")</f>
        <v>#REF!</v>
      </c>
      <c r="DG235" t="e">
        <f>AND(#REF!,"AAAAAGf//24=")</f>
        <v>#REF!</v>
      </c>
      <c r="DH235" t="e">
        <f>AND(#REF!,"AAAAAGf//28=")</f>
        <v>#REF!</v>
      </c>
      <c r="DI235" t="e">
        <f>AND(#REF!,"AAAAAGf//3A=")</f>
        <v>#REF!</v>
      </c>
      <c r="DJ235" t="e">
        <f>AND(#REF!,"AAAAAGf//3E=")</f>
        <v>#REF!</v>
      </c>
      <c r="DK235" t="e">
        <f>AND(#REF!,"AAAAAGf//3I=")</f>
        <v>#REF!</v>
      </c>
      <c r="DL235" t="e">
        <f>AND(#REF!,"AAAAAGf//3M=")</f>
        <v>#REF!</v>
      </c>
      <c r="DM235" t="e">
        <f>AND(#REF!,"AAAAAGf//3Q=")</f>
        <v>#REF!</v>
      </c>
      <c r="DN235" t="e">
        <f>AND(#REF!,"AAAAAGf//3U=")</f>
        <v>#REF!</v>
      </c>
      <c r="DO235" t="e">
        <f>AND(#REF!,"AAAAAGf//3Y=")</f>
        <v>#REF!</v>
      </c>
      <c r="DP235" t="e">
        <f>AND(#REF!,"AAAAAGf//3c=")</f>
        <v>#REF!</v>
      </c>
      <c r="DQ235" t="e">
        <f>AND(#REF!,"AAAAAGf//3g=")</f>
        <v>#REF!</v>
      </c>
      <c r="DR235" t="e">
        <f>AND(#REF!,"AAAAAGf//3k=")</f>
        <v>#REF!</v>
      </c>
      <c r="DS235" t="e">
        <f>AND(#REF!,"AAAAAGf//3o=")</f>
        <v>#REF!</v>
      </c>
      <c r="DT235" t="e">
        <f>AND(#REF!,"AAAAAGf//3s=")</f>
        <v>#REF!</v>
      </c>
      <c r="DU235" t="e">
        <f>AND(#REF!,"AAAAAGf//3w=")</f>
        <v>#REF!</v>
      </c>
      <c r="DV235" t="e">
        <f>AND(#REF!,"AAAAAGf//30=")</f>
        <v>#REF!</v>
      </c>
      <c r="DW235" t="e">
        <f>AND(#REF!,"AAAAAGf//34=")</f>
        <v>#REF!</v>
      </c>
      <c r="DX235" t="e">
        <f>AND(#REF!,"AAAAAGf//38=")</f>
        <v>#REF!</v>
      </c>
      <c r="DY235" t="e">
        <f>AND(#REF!,"AAAAAGf//4A=")</f>
        <v>#REF!</v>
      </c>
      <c r="DZ235" t="e">
        <f>AND(#REF!,"AAAAAGf//4E=")</f>
        <v>#REF!</v>
      </c>
      <c r="EA235" t="e">
        <f>AND(#REF!,"AAAAAGf//4I=")</f>
        <v>#REF!</v>
      </c>
      <c r="EB235" t="e">
        <f>AND(#REF!,"AAAAAGf//4M=")</f>
        <v>#REF!</v>
      </c>
      <c r="EC235" t="e">
        <f>AND(#REF!,"AAAAAGf//4Q=")</f>
        <v>#REF!</v>
      </c>
      <c r="ED235" t="e">
        <f>AND(#REF!,"AAAAAGf//4U=")</f>
        <v>#REF!</v>
      </c>
      <c r="EE235" t="e">
        <f>AND(#REF!,"AAAAAGf//4Y=")</f>
        <v>#REF!</v>
      </c>
      <c r="EF235" t="e">
        <f>AND(#REF!,"AAAAAGf//4c=")</f>
        <v>#REF!</v>
      </c>
      <c r="EG235" t="e">
        <f>AND(#REF!,"AAAAAGf//4g=")</f>
        <v>#REF!</v>
      </c>
      <c r="EH235" t="e">
        <f>AND(#REF!,"AAAAAGf//4k=")</f>
        <v>#REF!</v>
      </c>
      <c r="EI235" t="e">
        <f>AND(#REF!,"AAAAAGf//4o=")</f>
        <v>#REF!</v>
      </c>
      <c r="EJ235" t="e">
        <f>AND(#REF!,"AAAAAGf//4s=")</f>
        <v>#REF!</v>
      </c>
      <c r="EK235" t="e">
        <f>AND(#REF!,"AAAAAGf//4w=")</f>
        <v>#REF!</v>
      </c>
      <c r="EL235" t="e">
        <f>AND(#REF!,"AAAAAGf//40=")</f>
        <v>#REF!</v>
      </c>
      <c r="EM235" t="e">
        <f>AND(#REF!,"AAAAAGf//44=")</f>
        <v>#REF!</v>
      </c>
      <c r="EN235" t="e">
        <f>AND(#REF!,"AAAAAGf//48=")</f>
        <v>#REF!</v>
      </c>
      <c r="EO235" t="e">
        <f>AND(#REF!,"AAAAAGf//5A=")</f>
        <v>#REF!</v>
      </c>
      <c r="EP235" t="e">
        <f>AND(#REF!,"AAAAAGf//5E=")</f>
        <v>#REF!</v>
      </c>
      <c r="EQ235" t="e">
        <f>AND(#REF!,"AAAAAGf//5I=")</f>
        <v>#REF!</v>
      </c>
      <c r="ER235" t="e">
        <f>AND(#REF!,"AAAAAGf//5M=")</f>
        <v>#REF!</v>
      </c>
      <c r="ES235" t="e">
        <f>AND(#REF!,"AAAAAGf//5Q=")</f>
        <v>#REF!</v>
      </c>
      <c r="ET235" t="e">
        <f>AND(#REF!,"AAAAAGf//5U=")</f>
        <v>#REF!</v>
      </c>
      <c r="EU235" t="e">
        <f>AND(#REF!,"AAAAAGf//5Y=")</f>
        <v>#REF!</v>
      </c>
      <c r="EV235" t="e">
        <f>AND(#REF!,"AAAAAGf//5c=")</f>
        <v>#REF!</v>
      </c>
      <c r="EW235" t="e">
        <f>AND(#REF!,"AAAAAGf//5g=")</f>
        <v>#REF!</v>
      </c>
      <c r="EX235" t="e">
        <f>AND(#REF!,"AAAAAGf//5k=")</f>
        <v>#REF!</v>
      </c>
      <c r="EY235" t="e">
        <f>AND(#REF!,"AAAAAGf//5o=")</f>
        <v>#REF!</v>
      </c>
      <c r="EZ235" t="e">
        <f>AND(#REF!,"AAAAAGf//5s=")</f>
        <v>#REF!</v>
      </c>
      <c r="FA235" t="e">
        <f>AND(#REF!,"AAAAAGf//5w=")</f>
        <v>#REF!</v>
      </c>
      <c r="FB235" t="e">
        <f>AND(#REF!,"AAAAAGf//50=")</f>
        <v>#REF!</v>
      </c>
      <c r="FC235" t="e">
        <f>AND(#REF!,"AAAAAGf//54=")</f>
        <v>#REF!</v>
      </c>
      <c r="FD235" t="e">
        <f>AND(#REF!,"AAAAAGf//58=")</f>
        <v>#REF!</v>
      </c>
      <c r="FE235" t="e">
        <f>AND(#REF!,"AAAAAGf//6A=")</f>
        <v>#REF!</v>
      </c>
      <c r="FF235" t="e">
        <f>AND(#REF!,"AAAAAGf//6E=")</f>
        <v>#REF!</v>
      </c>
      <c r="FG235" t="e">
        <f>AND(#REF!,"AAAAAGf//6I=")</f>
        <v>#REF!</v>
      </c>
      <c r="FH235" t="e">
        <f>AND(#REF!,"AAAAAGf//6M=")</f>
        <v>#REF!</v>
      </c>
      <c r="FI235" t="e">
        <f>AND(#REF!,"AAAAAGf//6Q=")</f>
        <v>#REF!</v>
      </c>
      <c r="FJ235" t="e">
        <f>AND(#REF!,"AAAAAGf//6U=")</f>
        <v>#REF!</v>
      </c>
      <c r="FK235" t="e">
        <f>AND(#REF!,"AAAAAGf//6Y=")</f>
        <v>#REF!</v>
      </c>
      <c r="FL235" t="e">
        <f>AND(#REF!,"AAAAAGf//6c=")</f>
        <v>#REF!</v>
      </c>
      <c r="FM235" t="e">
        <f>AND(#REF!,"AAAAAGf//6g=")</f>
        <v>#REF!</v>
      </c>
      <c r="FN235" t="e">
        <f>AND(#REF!,"AAAAAGf//6k=")</f>
        <v>#REF!</v>
      </c>
      <c r="FO235" t="e">
        <f>AND(#REF!,"AAAAAGf//6o=")</f>
        <v>#REF!</v>
      </c>
      <c r="FP235" t="e">
        <f>AND(#REF!,"AAAAAGf//6s=")</f>
        <v>#REF!</v>
      </c>
      <c r="FQ235" t="e">
        <f>AND(#REF!,"AAAAAGf//6w=")</f>
        <v>#REF!</v>
      </c>
      <c r="FR235" t="e">
        <f>AND(#REF!,"AAAAAGf//60=")</f>
        <v>#REF!</v>
      </c>
      <c r="FS235" t="e">
        <f>AND(#REF!,"AAAAAGf//64=")</f>
        <v>#REF!</v>
      </c>
      <c r="FT235" t="e">
        <f>AND(#REF!,"AAAAAGf//68=")</f>
        <v>#REF!</v>
      </c>
      <c r="FU235" t="e">
        <f>AND(#REF!,"AAAAAGf//7A=")</f>
        <v>#REF!</v>
      </c>
      <c r="FV235" t="e">
        <f>AND(#REF!,"AAAAAGf//7E=")</f>
        <v>#REF!</v>
      </c>
      <c r="FW235" t="e">
        <f>AND(#REF!,"AAAAAGf//7I=")</f>
        <v>#REF!</v>
      </c>
      <c r="FX235" t="e">
        <f>AND(#REF!,"AAAAAGf//7M=")</f>
        <v>#REF!</v>
      </c>
      <c r="FY235" t="e">
        <f>AND(#REF!,"AAAAAGf//7Q=")</f>
        <v>#REF!</v>
      </c>
      <c r="FZ235" t="e">
        <f>AND(#REF!,"AAAAAGf//7U=")</f>
        <v>#REF!</v>
      </c>
      <c r="GA235" t="e">
        <f>AND(#REF!,"AAAAAGf//7Y=")</f>
        <v>#REF!</v>
      </c>
      <c r="GB235" t="e">
        <f>AND(#REF!,"AAAAAGf//7c=")</f>
        <v>#REF!</v>
      </c>
      <c r="GC235" t="e">
        <f>AND(#REF!,"AAAAAGf//7g=")</f>
        <v>#REF!</v>
      </c>
      <c r="GD235" t="e">
        <f>AND(#REF!,"AAAAAGf//7k=")</f>
        <v>#REF!</v>
      </c>
      <c r="GE235" t="e">
        <f>AND(#REF!,"AAAAAGf//7o=")</f>
        <v>#REF!</v>
      </c>
      <c r="GF235" t="e">
        <f>AND(#REF!,"AAAAAGf//7s=")</f>
        <v>#REF!</v>
      </c>
      <c r="GG235" t="e">
        <f>AND(#REF!,"AAAAAGf//7w=")</f>
        <v>#REF!</v>
      </c>
      <c r="GH235" t="e">
        <f>AND(#REF!,"AAAAAGf//70=")</f>
        <v>#REF!</v>
      </c>
      <c r="GI235" t="e">
        <f>AND(#REF!,"AAAAAGf//74=")</f>
        <v>#REF!</v>
      </c>
      <c r="GJ235" t="e">
        <f>AND(#REF!,"AAAAAGf//78=")</f>
        <v>#REF!</v>
      </c>
      <c r="GK235" t="e">
        <f>AND(#REF!,"AAAAAGf//8A=")</f>
        <v>#REF!</v>
      </c>
      <c r="GL235" t="e">
        <f>AND(#REF!,"AAAAAGf//8E=")</f>
        <v>#REF!</v>
      </c>
      <c r="GM235" t="e">
        <f>AND(#REF!,"AAAAAGf//8I=")</f>
        <v>#REF!</v>
      </c>
      <c r="GN235" t="e">
        <f>AND(#REF!,"AAAAAGf//8M=")</f>
        <v>#REF!</v>
      </c>
      <c r="GO235" t="e">
        <f>AND(#REF!,"AAAAAGf//8Q=")</f>
        <v>#REF!</v>
      </c>
      <c r="GP235" t="e">
        <f>AND(#REF!,"AAAAAGf//8U=")</f>
        <v>#REF!</v>
      </c>
      <c r="GQ235" t="e">
        <f>AND(#REF!,"AAAAAGf//8Y=")</f>
        <v>#REF!</v>
      </c>
      <c r="GR235" t="e">
        <f>AND(#REF!,"AAAAAGf//8c=")</f>
        <v>#REF!</v>
      </c>
      <c r="GS235" t="e">
        <f>AND(#REF!,"AAAAAGf//8g=")</f>
        <v>#REF!</v>
      </c>
      <c r="GT235" t="e">
        <f>AND(#REF!,"AAAAAGf//8k=")</f>
        <v>#REF!</v>
      </c>
      <c r="GU235" t="e">
        <f>AND(#REF!,"AAAAAGf//8o=")</f>
        <v>#REF!</v>
      </c>
      <c r="GV235" t="e">
        <f>AND(#REF!,"AAAAAGf//8s=")</f>
        <v>#REF!</v>
      </c>
      <c r="GW235" t="e">
        <f>AND(#REF!,"AAAAAGf//8w=")</f>
        <v>#REF!</v>
      </c>
      <c r="GX235" t="e">
        <f>AND(#REF!,"AAAAAGf//80=")</f>
        <v>#REF!</v>
      </c>
      <c r="GY235" t="e">
        <f>AND(#REF!,"AAAAAGf//84=")</f>
        <v>#REF!</v>
      </c>
      <c r="GZ235" t="e">
        <f>AND(#REF!,"AAAAAGf//88=")</f>
        <v>#REF!</v>
      </c>
      <c r="HA235" t="e">
        <f>AND(#REF!,"AAAAAGf//9A=")</f>
        <v>#REF!</v>
      </c>
      <c r="HB235" t="e">
        <f>AND(#REF!,"AAAAAGf//9E=")</f>
        <v>#REF!</v>
      </c>
      <c r="HC235" t="e">
        <f>AND(#REF!,"AAAAAGf//9I=")</f>
        <v>#REF!</v>
      </c>
      <c r="HD235" t="e">
        <f>AND(#REF!,"AAAAAGf//9M=")</f>
        <v>#REF!</v>
      </c>
      <c r="HE235" t="e">
        <f>AND(#REF!,"AAAAAGf//9Q=")</f>
        <v>#REF!</v>
      </c>
      <c r="HF235" t="e">
        <f>AND(#REF!,"AAAAAGf//9U=")</f>
        <v>#REF!</v>
      </c>
      <c r="HG235" t="e">
        <f>AND(#REF!,"AAAAAGf//9Y=")</f>
        <v>#REF!</v>
      </c>
      <c r="HH235" t="e">
        <f>AND(#REF!,"AAAAAGf//9c=")</f>
        <v>#REF!</v>
      </c>
      <c r="HI235" t="e">
        <f>AND(#REF!,"AAAAAGf//9g=")</f>
        <v>#REF!</v>
      </c>
      <c r="HJ235" t="e">
        <f>AND(#REF!,"AAAAAGf//9k=")</f>
        <v>#REF!</v>
      </c>
      <c r="HK235" t="e">
        <f>AND(#REF!,"AAAAAGf//9o=")</f>
        <v>#REF!</v>
      </c>
      <c r="HL235" t="e">
        <f>AND(#REF!,"AAAAAGf//9s=")</f>
        <v>#REF!</v>
      </c>
      <c r="HM235" t="e">
        <f>AND(#REF!,"AAAAAGf//9w=")</f>
        <v>#REF!</v>
      </c>
      <c r="HN235" t="e">
        <f>AND(#REF!,"AAAAAGf//90=")</f>
        <v>#REF!</v>
      </c>
      <c r="HO235" t="e">
        <f>AND(#REF!,"AAAAAGf//94=")</f>
        <v>#REF!</v>
      </c>
      <c r="HP235" t="e">
        <f>AND(#REF!,"AAAAAGf//98=")</f>
        <v>#REF!</v>
      </c>
      <c r="HQ235" t="e">
        <f>AND(#REF!,"AAAAAGf//+A=")</f>
        <v>#REF!</v>
      </c>
      <c r="HR235" t="e">
        <f>AND(#REF!,"AAAAAGf//+E=")</f>
        <v>#REF!</v>
      </c>
      <c r="HS235" t="e">
        <f>AND(#REF!,"AAAAAGf//+I=")</f>
        <v>#REF!</v>
      </c>
      <c r="HT235" t="e">
        <f>AND(#REF!,"AAAAAGf//+M=")</f>
        <v>#REF!</v>
      </c>
      <c r="HU235" t="e">
        <f>AND(#REF!,"AAAAAGf//+Q=")</f>
        <v>#REF!</v>
      </c>
      <c r="HV235" t="e">
        <f>AND(#REF!,"AAAAAGf//+U=")</f>
        <v>#REF!</v>
      </c>
      <c r="HW235" t="e">
        <f>IF(#REF!,"AAAAAGf//+Y=",0)</f>
        <v>#REF!</v>
      </c>
      <c r="HX235" t="e">
        <f>AND(#REF!,"AAAAAGf//+c=")</f>
        <v>#REF!</v>
      </c>
      <c r="HY235" t="e">
        <f>AND(#REF!,"AAAAAGf//+g=")</f>
        <v>#REF!</v>
      </c>
      <c r="HZ235" t="e">
        <f>AND(#REF!,"AAAAAGf//+k=")</f>
        <v>#REF!</v>
      </c>
      <c r="IA235" t="e">
        <f>AND(#REF!,"AAAAAGf//+o=")</f>
        <v>#REF!</v>
      </c>
      <c r="IB235" t="e">
        <f>AND(#REF!,"AAAAAGf//+s=")</f>
        <v>#REF!</v>
      </c>
      <c r="IC235" t="e">
        <f>AND(#REF!,"AAAAAGf//+w=")</f>
        <v>#REF!</v>
      </c>
      <c r="ID235" t="e">
        <f>AND(#REF!,"AAAAAGf//+0=")</f>
        <v>#REF!</v>
      </c>
      <c r="IE235" t="e">
        <f>AND(#REF!,"AAAAAGf//+4=")</f>
        <v>#REF!</v>
      </c>
      <c r="IF235" t="e">
        <f>AND(#REF!,"AAAAAGf//+8=")</f>
        <v>#REF!</v>
      </c>
      <c r="IG235" t="e">
        <f>AND(#REF!,"AAAAAGf///A=")</f>
        <v>#REF!</v>
      </c>
      <c r="IH235" t="e">
        <f>AND(#REF!,"AAAAAGf///E=")</f>
        <v>#REF!</v>
      </c>
      <c r="II235" t="e">
        <f>AND(#REF!,"AAAAAGf///I=")</f>
        <v>#REF!</v>
      </c>
      <c r="IJ235" t="e">
        <f>AND(#REF!,"AAAAAGf///M=")</f>
        <v>#REF!</v>
      </c>
      <c r="IK235" t="e">
        <f>AND(#REF!,"AAAAAGf///Q=")</f>
        <v>#REF!</v>
      </c>
      <c r="IL235" t="e">
        <f>AND(#REF!,"AAAAAGf///U=")</f>
        <v>#REF!</v>
      </c>
      <c r="IM235" t="e">
        <f>AND(#REF!,"AAAAAGf///Y=")</f>
        <v>#REF!</v>
      </c>
      <c r="IN235" t="e">
        <f>AND(#REF!,"AAAAAGf///c=")</f>
        <v>#REF!</v>
      </c>
      <c r="IO235" t="e">
        <f>AND(#REF!,"AAAAAGf///g=")</f>
        <v>#REF!</v>
      </c>
      <c r="IP235" t="e">
        <f>AND(#REF!,"AAAAAGf///k=")</f>
        <v>#REF!</v>
      </c>
      <c r="IQ235" t="e">
        <f>AND(#REF!,"AAAAAGf///o=")</f>
        <v>#REF!</v>
      </c>
      <c r="IR235" t="e">
        <f>AND(#REF!,"AAAAAGf///s=")</f>
        <v>#REF!</v>
      </c>
      <c r="IS235" t="e">
        <f>AND(#REF!,"AAAAAGf///w=")</f>
        <v>#REF!</v>
      </c>
      <c r="IT235" t="e">
        <f>AND(#REF!,"AAAAAGf///0=")</f>
        <v>#REF!</v>
      </c>
      <c r="IU235" t="e">
        <f>AND(#REF!,"AAAAAGf///4=")</f>
        <v>#REF!</v>
      </c>
      <c r="IV235" t="e">
        <f>AND(#REF!,"AAAAAGf///8=")</f>
        <v>#REF!</v>
      </c>
    </row>
    <row r="236" spans="1:256">
      <c r="A236" t="e">
        <f>AND(#REF!,"AAAAAGu7/AA=")</f>
        <v>#REF!</v>
      </c>
      <c r="B236" t="e">
        <f>AND(#REF!,"AAAAAGu7/AE=")</f>
        <v>#REF!</v>
      </c>
      <c r="C236" t="e">
        <f>AND(#REF!,"AAAAAGu7/AI=")</f>
        <v>#REF!</v>
      </c>
      <c r="D236" t="e">
        <f>AND(#REF!,"AAAAAGu7/AM=")</f>
        <v>#REF!</v>
      </c>
      <c r="E236" t="e">
        <f>AND(#REF!,"AAAAAGu7/AQ=")</f>
        <v>#REF!</v>
      </c>
      <c r="F236" t="e">
        <f>AND(#REF!,"AAAAAGu7/AU=")</f>
        <v>#REF!</v>
      </c>
      <c r="G236" t="e">
        <f>AND(#REF!,"AAAAAGu7/AY=")</f>
        <v>#REF!</v>
      </c>
      <c r="H236" t="e">
        <f>AND(#REF!,"AAAAAGu7/Ac=")</f>
        <v>#REF!</v>
      </c>
      <c r="I236" t="e">
        <f>AND(#REF!,"AAAAAGu7/Ag=")</f>
        <v>#REF!</v>
      </c>
      <c r="J236" t="e">
        <f>AND(#REF!,"AAAAAGu7/Ak=")</f>
        <v>#REF!</v>
      </c>
      <c r="K236" t="e">
        <f>AND(#REF!,"AAAAAGu7/Ao=")</f>
        <v>#REF!</v>
      </c>
      <c r="L236" t="e">
        <f>AND(#REF!,"AAAAAGu7/As=")</f>
        <v>#REF!</v>
      </c>
      <c r="M236" t="e">
        <f>AND(#REF!,"AAAAAGu7/Aw=")</f>
        <v>#REF!</v>
      </c>
      <c r="N236" t="e">
        <f>AND(#REF!,"AAAAAGu7/A0=")</f>
        <v>#REF!</v>
      </c>
      <c r="O236" t="e">
        <f>AND(#REF!,"AAAAAGu7/A4=")</f>
        <v>#REF!</v>
      </c>
      <c r="P236" t="e">
        <f>AND(#REF!,"AAAAAGu7/A8=")</f>
        <v>#REF!</v>
      </c>
      <c r="Q236" t="e">
        <f>AND(#REF!,"AAAAAGu7/BA=")</f>
        <v>#REF!</v>
      </c>
      <c r="R236" t="e">
        <f>AND(#REF!,"AAAAAGu7/BE=")</f>
        <v>#REF!</v>
      </c>
      <c r="S236" t="e">
        <f>AND(#REF!,"AAAAAGu7/BI=")</f>
        <v>#REF!</v>
      </c>
      <c r="T236" t="e">
        <f>AND(#REF!,"AAAAAGu7/BM=")</f>
        <v>#REF!</v>
      </c>
      <c r="U236" t="e">
        <f>AND(#REF!,"AAAAAGu7/BQ=")</f>
        <v>#REF!</v>
      </c>
      <c r="V236" t="e">
        <f>AND(#REF!,"AAAAAGu7/BU=")</f>
        <v>#REF!</v>
      </c>
      <c r="W236" t="e">
        <f>AND(#REF!,"AAAAAGu7/BY=")</f>
        <v>#REF!</v>
      </c>
      <c r="X236" t="e">
        <f>AND(#REF!,"AAAAAGu7/Bc=")</f>
        <v>#REF!</v>
      </c>
      <c r="Y236" t="e">
        <f>AND(#REF!,"AAAAAGu7/Bg=")</f>
        <v>#REF!</v>
      </c>
      <c r="Z236" t="e">
        <f>AND(#REF!,"AAAAAGu7/Bk=")</f>
        <v>#REF!</v>
      </c>
      <c r="AA236" t="e">
        <f>AND(#REF!,"AAAAAGu7/Bo=")</f>
        <v>#REF!</v>
      </c>
      <c r="AB236" t="e">
        <f>AND(#REF!,"AAAAAGu7/Bs=")</f>
        <v>#REF!</v>
      </c>
      <c r="AC236" t="e">
        <f>AND(#REF!,"AAAAAGu7/Bw=")</f>
        <v>#REF!</v>
      </c>
      <c r="AD236" t="e">
        <f>AND(#REF!,"AAAAAGu7/B0=")</f>
        <v>#REF!</v>
      </c>
      <c r="AE236" t="e">
        <f>AND(#REF!,"AAAAAGu7/B4=")</f>
        <v>#REF!</v>
      </c>
      <c r="AF236" t="e">
        <f>AND(#REF!,"AAAAAGu7/B8=")</f>
        <v>#REF!</v>
      </c>
      <c r="AG236" t="e">
        <f>AND(#REF!,"AAAAAGu7/CA=")</f>
        <v>#REF!</v>
      </c>
      <c r="AH236" t="e">
        <f>AND(#REF!,"AAAAAGu7/CE=")</f>
        <v>#REF!</v>
      </c>
      <c r="AI236" t="e">
        <f>AND(#REF!,"AAAAAGu7/CI=")</f>
        <v>#REF!</v>
      </c>
      <c r="AJ236" t="e">
        <f>AND(#REF!,"AAAAAGu7/CM=")</f>
        <v>#REF!</v>
      </c>
      <c r="AK236" t="e">
        <f>AND(#REF!,"AAAAAGu7/CQ=")</f>
        <v>#REF!</v>
      </c>
      <c r="AL236" t="e">
        <f>AND(#REF!,"AAAAAGu7/CU=")</f>
        <v>#REF!</v>
      </c>
      <c r="AM236" t="e">
        <f>AND(#REF!,"AAAAAGu7/CY=")</f>
        <v>#REF!</v>
      </c>
      <c r="AN236" t="e">
        <f>AND(#REF!,"AAAAAGu7/Cc=")</f>
        <v>#REF!</v>
      </c>
      <c r="AO236" t="e">
        <f>AND(#REF!,"AAAAAGu7/Cg=")</f>
        <v>#REF!</v>
      </c>
      <c r="AP236" t="e">
        <f>AND(#REF!,"AAAAAGu7/Ck=")</f>
        <v>#REF!</v>
      </c>
      <c r="AQ236" t="e">
        <f>AND(#REF!,"AAAAAGu7/Co=")</f>
        <v>#REF!</v>
      </c>
      <c r="AR236" t="e">
        <f>AND(#REF!,"AAAAAGu7/Cs=")</f>
        <v>#REF!</v>
      </c>
      <c r="AS236" t="e">
        <f>AND(#REF!,"AAAAAGu7/Cw=")</f>
        <v>#REF!</v>
      </c>
      <c r="AT236" t="e">
        <f>AND(#REF!,"AAAAAGu7/C0=")</f>
        <v>#REF!</v>
      </c>
      <c r="AU236" t="e">
        <f>AND(#REF!,"AAAAAGu7/C4=")</f>
        <v>#REF!</v>
      </c>
      <c r="AV236" t="e">
        <f>AND(#REF!,"AAAAAGu7/C8=")</f>
        <v>#REF!</v>
      </c>
      <c r="AW236" t="e">
        <f>AND(#REF!,"AAAAAGu7/DA=")</f>
        <v>#REF!</v>
      </c>
      <c r="AX236" t="e">
        <f>AND(#REF!,"AAAAAGu7/DE=")</f>
        <v>#REF!</v>
      </c>
      <c r="AY236" t="e">
        <f>AND(#REF!,"AAAAAGu7/DI=")</f>
        <v>#REF!</v>
      </c>
      <c r="AZ236" t="e">
        <f>AND(#REF!,"AAAAAGu7/DM=")</f>
        <v>#REF!</v>
      </c>
      <c r="BA236" t="e">
        <f>AND(#REF!,"AAAAAGu7/DQ=")</f>
        <v>#REF!</v>
      </c>
      <c r="BB236" t="e">
        <f>AND(#REF!,"AAAAAGu7/DU=")</f>
        <v>#REF!</v>
      </c>
      <c r="BC236" t="e">
        <f>AND(#REF!,"AAAAAGu7/DY=")</f>
        <v>#REF!</v>
      </c>
      <c r="BD236" t="e">
        <f>AND(#REF!,"AAAAAGu7/Dc=")</f>
        <v>#REF!</v>
      </c>
      <c r="BE236" t="e">
        <f>AND(#REF!,"AAAAAGu7/Dg=")</f>
        <v>#REF!</v>
      </c>
      <c r="BF236" t="e">
        <f>AND(#REF!,"AAAAAGu7/Dk=")</f>
        <v>#REF!</v>
      </c>
      <c r="BG236" t="e">
        <f>AND(#REF!,"AAAAAGu7/Do=")</f>
        <v>#REF!</v>
      </c>
      <c r="BH236" t="e">
        <f>AND(#REF!,"AAAAAGu7/Ds=")</f>
        <v>#REF!</v>
      </c>
      <c r="BI236" t="e">
        <f>AND(#REF!,"AAAAAGu7/Dw=")</f>
        <v>#REF!</v>
      </c>
      <c r="BJ236" t="e">
        <f>AND(#REF!,"AAAAAGu7/D0=")</f>
        <v>#REF!</v>
      </c>
      <c r="BK236" t="e">
        <f>AND(#REF!,"AAAAAGu7/D4=")</f>
        <v>#REF!</v>
      </c>
      <c r="BL236" t="e">
        <f>AND(#REF!,"AAAAAGu7/D8=")</f>
        <v>#REF!</v>
      </c>
      <c r="BM236" t="e">
        <f>AND(#REF!,"AAAAAGu7/EA=")</f>
        <v>#REF!</v>
      </c>
      <c r="BN236" t="e">
        <f>AND(#REF!,"AAAAAGu7/EE=")</f>
        <v>#REF!</v>
      </c>
      <c r="BO236" t="e">
        <f>AND(#REF!,"AAAAAGu7/EI=")</f>
        <v>#REF!</v>
      </c>
      <c r="BP236" t="e">
        <f>AND(#REF!,"AAAAAGu7/EM=")</f>
        <v>#REF!</v>
      </c>
      <c r="BQ236" t="e">
        <f>AND(#REF!,"AAAAAGu7/EQ=")</f>
        <v>#REF!</v>
      </c>
      <c r="BR236" t="e">
        <f>AND(#REF!,"AAAAAGu7/EU=")</f>
        <v>#REF!</v>
      </c>
      <c r="BS236" t="e">
        <f>AND(#REF!,"AAAAAGu7/EY=")</f>
        <v>#REF!</v>
      </c>
      <c r="BT236" t="e">
        <f>AND(#REF!,"AAAAAGu7/Ec=")</f>
        <v>#REF!</v>
      </c>
      <c r="BU236" t="e">
        <f>AND(#REF!,"AAAAAGu7/Eg=")</f>
        <v>#REF!</v>
      </c>
      <c r="BV236" t="e">
        <f>AND(#REF!,"AAAAAGu7/Ek=")</f>
        <v>#REF!</v>
      </c>
      <c r="BW236" t="e">
        <f>AND(#REF!,"AAAAAGu7/Eo=")</f>
        <v>#REF!</v>
      </c>
      <c r="BX236" t="e">
        <f>AND(#REF!,"AAAAAGu7/Es=")</f>
        <v>#REF!</v>
      </c>
      <c r="BY236" t="e">
        <f>AND(#REF!,"AAAAAGu7/Ew=")</f>
        <v>#REF!</v>
      </c>
      <c r="BZ236" t="e">
        <f>AND(#REF!,"AAAAAGu7/E0=")</f>
        <v>#REF!</v>
      </c>
      <c r="CA236" t="e">
        <f>AND(#REF!,"AAAAAGu7/E4=")</f>
        <v>#REF!</v>
      </c>
      <c r="CB236" t="e">
        <f>AND(#REF!,"AAAAAGu7/E8=")</f>
        <v>#REF!</v>
      </c>
      <c r="CC236" t="e">
        <f>AND(#REF!,"AAAAAGu7/FA=")</f>
        <v>#REF!</v>
      </c>
      <c r="CD236" t="e">
        <f>AND(#REF!,"AAAAAGu7/FE=")</f>
        <v>#REF!</v>
      </c>
      <c r="CE236" t="e">
        <f>AND(#REF!,"AAAAAGu7/FI=")</f>
        <v>#REF!</v>
      </c>
      <c r="CF236" t="e">
        <f>AND(#REF!,"AAAAAGu7/FM=")</f>
        <v>#REF!</v>
      </c>
      <c r="CG236" t="e">
        <f>AND(#REF!,"AAAAAGu7/FQ=")</f>
        <v>#REF!</v>
      </c>
      <c r="CH236" t="e">
        <f>AND(#REF!,"AAAAAGu7/FU=")</f>
        <v>#REF!</v>
      </c>
      <c r="CI236" t="e">
        <f>AND(#REF!,"AAAAAGu7/FY=")</f>
        <v>#REF!</v>
      </c>
      <c r="CJ236" t="e">
        <f>AND(#REF!,"AAAAAGu7/Fc=")</f>
        <v>#REF!</v>
      </c>
      <c r="CK236" t="e">
        <f>AND(#REF!,"AAAAAGu7/Fg=")</f>
        <v>#REF!</v>
      </c>
      <c r="CL236" t="e">
        <f>AND(#REF!,"AAAAAGu7/Fk=")</f>
        <v>#REF!</v>
      </c>
      <c r="CM236" t="e">
        <f>AND(#REF!,"AAAAAGu7/Fo=")</f>
        <v>#REF!</v>
      </c>
      <c r="CN236" t="e">
        <f>AND(#REF!,"AAAAAGu7/Fs=")</f>
        <v>#REF!</v>
      </c>
      <c r="CO236" t="e">
        <f>AND(#REF!,"AAAAAGu7/Fw=")</f>
        <v>#REF!</v>
      </c>
      <c r="CP236" t="e">
        <f>AND(#REF!,"AAAAAGu7/F0=")</f>
        <v>#REF!</v>
      </c>
      <c r="CQ236" t="e">
        <f>AND(#REF!,"AAAAAGu7/F4=")</f>
        <v>#REF!</v>
      </c>
      <c r="CR236" t="e">
        <f>AND(#REF!,"AAAAAGu7/F8=")</f>
        <v>#REF!</v>
      </c>
      <c r="CS236" t="e">
        <f>AND(#REF!,"AAAAAGu7/GA=")</f>
        <v>#REF!</v>
      </c>
      <c r="CT236" t="e">
        <f>AND(#REF!,"AAAAAGu7/GE=")</f>
        <v>#REF!</v>
      </c>
      <c r="CU236" t="e">
        <f>AND(#REF!,"AAAAAGu7/GI=")</f>
        <v>#REF!</v>
      </c>
      <c r="CV236" t="e">
        <f>AND(#REF!,"AAAAAGu7/GM=")</f>
        <v>#REF!</v>
      </c>
      <c r="CW236" t="e">
        <f>AND(#REF!,"AAAAAGu7/GQ=")</f>
        <v>#REF!</v>
      </c>
      <c r="CX236" t="e">
        <f>AND(#REF!,"AAAAAGu7/GU=")</f>
        <v>#REF!</v>
      </c>
      <c r="CY236" t="e">
        <f>AND(#REF!,"AAAAAGu7/GY=")</f>
        <v>#REF!</v>
      </c>
      <c r="CZ236" t="e">
        <f>AND(#REF!,"AAAAAGu7/Gc=")</f>
        <v>#REF!</v>
      </c>
      <c r="DA236" t="e">
        <f>AND(#REF!,"AAAAAGu7/Gg=")</f>
        <v>#REF!</v>
      </c>
      <c r="DB236" t="e">
        <f>AND(#REF!,"AAAAAGu7/Gk=")</f>
        <v>#REF!</v>
      </c>
      <c r="DC236" t="e">
        <f>AND(#REF!,"AAAAAGu7/Go=")</f>
        <v>#REF!</v>
      </c>
      <c r="DD236" t="e">
        <f>AND(#REF!,"AAAAAGu7/Gs=")</f>
        <v>#REF!</v>
      </c>
      <c r="DE236" t="e">
        <f>AND(#REF!,"AAAAAGu7/Gw=")</f>
        <v>#REF!</v>
      </c>
      <c r="DF236" t="e">
        <f>AND(#REF!,"AAAAAGu7/G0=")</f>
        <v>#REF!</v>
      </c>
      <c r="DG236" t="e">
        <f>AND(#REF!,"AAAAAGu7/G4=")</f>
        <v>#REF!</v>
      </c>
      <c r="DH236" t="e">
        <f>AND(#REF!,"AAAAAGu7/G8=")</f>
        <v>#REF!</v>
      </c>
      <c r="DI236" t="e">
        <f>AND(#REF!,"AAAAAGu7/HA=")</f>
        <v>#REF!</v>
      </c>
      <c r="DJ236" t="e">
        <f>AND(#REF!,"AAAAAGu7/HE=")</f>
        <v>#REF!</v>
      </c>
      <c r="DK236" t="e">
        <f>AND(#REF!,"AAAAAGu7/HI=")</f>
        <v>#REF!</v>
      </c>
      <c r="DL236" t="e">
        <f>AND(#REF!,"AAAAAGu7/HM=")</f>
        <v>#REF!</v>
      </c>
      <c r="DM236" t="e">
        <f>AND(#REF!,"AAAAAGu7/HQ=")</f>
        <v>#REF!</v>
      </c>
      <c r="DN236" t="e">
        <f>AND(#REF!,"AAAAAGu7/HU=")</f>
        <v>#REF!</v>
      </c>
      <c r="DO236" t="e">
        <f>AND(#REF!,"AAAAAGu7/HY=")</f>
        <v>#REF!</v>
      </c>
      <c r="DP236" t="e">
        <f>AND(#REF!,"AAAAAGu7/Hc=")</f>
        <v>#REF!</v>
      </c>
      <c r="DQ236" t="e">
        <f>AND(#REF!,"AAAAAGu7/Hg=")</f>
        <v>#REF!</v>
      </c>
      <c r="DR236" t="e">
        <f>AND(#REF!,"AAAAAGu7/Hk=")</f>
        <v>#REF!</v>
      </c>
      <c r="DS236" t="e">
        <f>AND(#REF!,"AAAAAGu7/Ho=")</f>
        <v>#REF!</v>
      </c>
      <c r="DT236" t="e">
        <f>AND(#REF!,"AAAAAGu7/Hs=")</f>
        <v>#REF!</v>
      </c>
      <c r="DU236" t="e">
        <f>AND(#REF!,"AAAAAGu7/Hw=")</f>
        <v>#REF!</v>
      </c>
      <c r="DV236" t="e">
        <f>AND(#REF!,"AAAAAGu7/H0=")</f>
        <v>#REF!</v>
      </c>
      <c r="DW236" t="e">
        <f>AND(#REF!,"AAAAAGu7/H4=")</f>
        <v>#REF!</v>
      </c>
      <c r="DX236" t="e">
        <f>AND(#REF!,"AAAAAGu7/H8=")</f>
        <v>#REF!</v>
      </c>
      <c r="DY236" t="e">
        <f>AND(#REF!,"AAAAAGu7/IA=")</f>
        <v>#REF!</v>
      </c>
      <c r="DZ236" t="e">
        <f>AND(#REF!,"AAAAAGu7/IE=")</f>
        <v>#REF!</v>
      </c>
      <c r="EA236" t="e">
        <f>AND(#REF!,"AAAAAGu7/II=")</f>
        <v>#REF!</v>
      </c>
      <c r="EB236" t="e">
        <f>AND(#REF!,"AAAAAGu7/IM=")</f>
        <v>#REF!</v>
      </c>
      <c r="EC236" t="e">
        <f>AND(#REF!,"AAAAAGu7/IQ=")</f>
        <v>#REF!</v>
      </c>
      <c r="ED236" t="e">
        <f>AND(#REF!,"AAAAAGu7/IU=")</f>
        <v>#REF!</v>
      </c>
      <c r="EE236" t="e">
        <f>AND(#REF!,"AAAAAGu7/IY=")</f>
        <v>#REF!</v>
      </c>
      <c r="EF236" t="e">
        <f>AND(#REF!,"AAAAAGu7/Ic=")</f>
        <v>#REF!</v>
      </c>
      <c r="EG236" t="e">
        <f>AND(#REF!,"AAAAAGu7/Ig=")</f>
        <v>#REF!</v>
      </c>
      <c r="EH236" t="e">
        <f>AND(#REF!,"AAAAAGu7/Ik=")</f>
        <v>#REF!</v>
      </c>
      <c r="EI236" t="e">
        <f>AND(#REF!,"AAAAAGu7/Io=")</f>
        <v>#REF!</v>
      </c>
      <c r="EJ236" t="e">
        <f>AND(#REF!,"AAAAAGu7/Is=")</f>
        <v>#REF!</v>
      </c>
      <c r="EK236" t="e">
        <f>AND(#REF!,"AAAAAGu7/Iw=")</f>
        <v>#REF!</v>
      </c>
      <c r="EL236" t="e">
        <f>AND(#REF!,"AAAAAGu7/I0=")</f>
        <v>#REF!</v>
      </c>
      <c r="EM236" t="e">
        <f>AND(#REF!,"AAAAAGu7/I4=")</f>
        <v>#REF!</v>
      </c>
      <c r="EN236" t="e">
        <f>AND(#REF!,"AAAAAGu7/I8=")</f>
        <v>#REF!</v>
      </c>
      <c r="EO236" t="e">
        <f>AND(#REF!,"AAAAAGu7/JA=")</f>
        <v>#REF!</v>
      </c>
      <c r="EP236" t="e">
        <f>AND(#REF!,"AAAAAGu7/JE=")</f>
        <v>#REF!</v>
      </c>
      <c r="EQ236" t="e">
        <f>AND(#REF!,"AAAAAGu7/JI=")</f>
        <v>#REF!</v>
      </c>
      <c r="ER236" t="e">
        <f>AND(#REF!,"AAAAAGu7/JM=")</f>
        <v>#REF!</v>
      </c>
      <c r="ES236" t="e">
        <f>AND(#REF!,"AAAAAGu7/JQ=")</f>
        <v>#REF!</v>
      </c>
      <c r="ET236" t="e">
        <f>AND(#REF!,"AAAAAGu7/JU=")</f>
        <v>#REF!</v>
      </c>
      <c r="EU236" t="e">
        <f>AND(#REF!,"AAAAAGu7/JY=")</f>
        <v>#REF!</v>
      </c>
      <c r="EV236" t="e">
        <f>AND(#REF!,"AAAAAGu7/Jc=")</f>
        <v>#REF!</v>
      </c>
      <c r="EW236" t="e">
        <f>AND(#REF!,"AAAAAGu7/Jg=")</f>
        <v>#REF!</v>
      </c>
      <c r="EX236" t="e">
        <f>AND(#REF!,"AAAAAGu7/Jk=")</f>
        <v>#REF!</v>
      </c>
      <c r="EY236" t="e">
        <f>AND(#REF!,"AAAAAGu7/Jo=")</f>
        <v>#REF!</v>
      </c>
      <c r="EZ236" t="e">
        <f>AND(#REF!,"AAAAAGu7/Js=")</f>
        <v>#REF!</v>
      </c>
      <c r="FA236" t="e">
        <f>AND(#REF!,"AAAAAGu7/Jw=")</f>
        <v>#REF!</v>
      </c>
      <c r="FB236" t="e">
        <f>AND(#REF!,"AAAAAGu7/J0=")</f>
        <v>#REF!</v>
      </c>
      <c r="FC236" t="e">
        <f>AND(#REF!,"AAAAAGu7/J4=")</f>
        <v>#REF!</v>
      </c>
      <c r="FD236" t="e">
        <f>AND(#REF!,"AAAAAGu7/J8=")</f>
        <v>#REF!</v>
      </c>
      <c r="FE236" t="e">
        <f>AND(#REF!,"AAAAAGu7/KA=")</f>
        <v>#REF!</v>
      </c>
      <c r="FF236" t="e">
        <f>AND(#REF!,"AAAAAGu7/KE=")</f>
        <v>#REF!</v>
      </c>
      <c r="FG236" t="e">
        <f>AND(#REF!,"AAAAAGu7/KI=")</f>
        <v>#REF!</v>
      </c>
      <c r="FH236" t="e">
        <f>AND(#REF!,"AAAAAGu7/KM=")</f>
        <v>#REF!</v>
      </c>
      <c r="FI236" t="e">
        <f>AND(#REF!,"AAAAAGu7/KQ=")</f>
        <v>#REF!</v>
      </c>
      <c r="FJ236" t="e">
        <f>AND(#REF!,"AAAAAGu7/KU=")</f>
        <v>#REF!</v>
      </c>
      <c r="FK236" t="e">
        <f>AND(#REF!,"AAAAAGu7/KY=")</f>
        <v>#REF!</v>
      </c>
      <c r="FL236" t="e">
        <f>AND(#REF!,"AAAAAGu7/Kc=")</f>
        <v>#REF!</v>
      </c>
      <c r="FM236" t="e">
        <f>AND(#REF!,"AAAAAGu7/Kg=")</f>
        <v>#REF!</v>
      </c>
      <c r="FN236" t="e">
        <f>AND(#REF!,"AAAAAGu7/Kk=")</f>
        <v>#REF!</v>
      </c>
      <c r="FO236" t="e">
        <f>AND(#REF!,"AAAAAGu7/Ko=")</f>
        <v>#REF!</v>
      </c>
      <c r="FP236" t="e">
        <f>AND(#REF!,"AAAAAGu7/Ks=")</f>
        <v>#REF!</v>
      </c>
      <c r="FQ236" t="e">
        <f>AND(#REF!,"AAAAAGu7/Kw=")</f>
        <v>#REF!</v>
      </c>
      <c r="FR236" t="e">
        <f>AND(#REF!,"AAAAAGu7/K0=")</f>
        <v>#REF!</v>
      </c>
      <c r="FS236" t="e">
        <f>AND(#REF!,"AAAAAGu7/K4=")</f>
        <v>#REF!</v>
      </c>
      <c r="FT236" t="e">
        <f>AND(#REF!,"AAAAAGu7/K8=")</f>
        <v>#REF!</v>
      </c>
      <c r="FU236" t="e">
        <f>AND(#REF!,"AAAAAGu7/LA=")</f>
        <v>#REF!</v>
      </c>
      <c r="FV236" t="e">
        <f>AND(#REF!,"AAAAAGu7/LE=")</f>
        <v>#REF!</v>
      </c>
      <c r="FW236" t="e">
        <f>AND(#REF!,"AAAAAGu7/LI=")</f>
        <v>#REF!</v>
      </c>
      <c r="FX236" t="e">
        <f>AND(#REF!,"AAAAAGu7/LM=")</f>
        <v>#REF!</v>
      </c>
      <c r="FY236" t="e">
        <f>AND(#REF!,"AAAAAGu7/LQ=")</f>
        <v>#REF!</v>
      </c>
      <c r="FZ236" t="e">
        <f>AND(#REF!,"AAAAAGu7/LU=")</f>
        <v>#REF!</v>
      </c>
      <c r="GA236" t="e">
        <f>AND(#REF!,"AAAAAGu7/LY=")</f>
        <v>#REF!</v>
      </c>
      <c r="GB236" t="e">
        <f>AND(#REF!,"AAAAAGu7/Lc=")</f>
        <v>#REF!</v>
      </c>
      <c r="GC236" t="e">
        <f>AND(#REF!,"AAAAAGu7/Lg=")</f>
        <v>#REF!</v>
      </c>
      <c r="GD236" t="e">
        <f>AND(#REF!,"AAAAAGu7/Lk=")</f>
        <v>#REF!</v>
      </c>
      <c r="GE236" t="e">
        <f>AND(#REF!,"AAAAAGu7/Lo=")</f>
        <v>#REF!</v>
      </c>
      <c r="GF236" t="e">
        <f>AND(#REF!,"AAAAAGu7/Ls=")</f>
        <v>#REF!</v>
      </c>
      <c r="GG236" t="e">
        <f>AND(#REF!,"AAAAAGu7/Lw=")</f>
        <v>#REF!</v>
      </c>
      <c r="GH236" t="e">
        <f>AND(#REF!,"AAAAAGu7/L0=")</f>
        <v>#REF!</v>
      </c>
      <c r="GI236" t="e">
        <f>AND(#REF!,"AAAAAGu7/L4=")</f>
        <v>#REF!</v>
      </c>
      <c r="GJ236" t="e">
        <f>AND(#REF!,"AAAAAGu7/L8=")</f>
        <v>#REF!</v>
      </c>
      <c r="GK236" t="e">
        <f>AND(#REF!,"AAAAAGu7/MA=")</f>
        <v>#REF!</v>
      </c>
      <c r="GL236" t="e">
        <f>AND(#REF!,"AAAAAGu7/ME=")</f>
        <v>#REF!</v>
      </c>
      <c r="GM236" t="e">
        <f>AND(#REF!,"AAAAAGu7/MI=")</f>
        <v>#REF!</v>
      </c>
      <c r="GN236" t="e">
        <f>AND(#REF!,"AAAAAGu7/MM=")</f>
        <v>#REF!</v>
      </c>
      <c r="GO236" t="e">
        <f>AND(#REF!,"AAAAAGu7/MQ=")</f>
        <v>#REF!</v>
      </c>
      <c r="GP236" t="e">
        <f>AND(#REF!,"AAAAAGu7/MU=")</f>
        <v>#REF!</v>
      </c>
      <c r="GQ236" t="e">
        <f>AND(#REF!,"AAAAAGu7/MY=")</f>
        <v>#REF!</v>
      </c>
      <c r="GR236" t="e">
        <f>AND(#REF!,"AAAAAGu7/Mc=")</f>
        <v>#REF!</v>
      </c>
      <c r="GS236" t="e">
        <f>AND(#REF!,"AAAAAGu7/Mg=")</f>
        <v>#REF!</v>
      </c>
      <c r="GT236" t="e">
        <f>AND(#REF!,"AAAAAGu7/Mk=")</f>
        <v>#REF!</v>
      </c>
      <c r="GU236" t="e">
        <f>IF(#REF!,"AAAAAGu7/Mo=",0)</f>
        <v>#REF!</v>
      </c>
      <c r="GV236" t="e">
        <f>AND(#REF!,"AAAAAGu7/Ms=")</f>
        <v>#REF!</v>
      </c>
      <c r="GW236" t="e">
        <f>AND(#REF!,"AAAAAGu7/Mw=")</f>
        <v>#REF!</v>
      </c>
      <c r="GX236" t="e">
        <f>AND(#REF!,"AAAAAGu7/M0=")</f>
        <v>#REF!</v>
      </c>
      <c r="GY236" t="e">
        <f>AND(#REF!,"AAAAAGu7/M4=")</f>
        <v>#REF!</v>
      </c>
      <c r="GZ236" t="e">
        <f>AND(#REF!,"AAAAAGu7/M8=")</f>
        <v>#REF!</v>
      </c>
      <c r="HA236" t="e">
        <f>AND(#REF!,"AAAAAGu7/NA=")</f>
        <v>#REF!</v>
      </c>
      <c r="HB236" t="e">
        <f>AND(#REF!,"AAAAAGu7/NE=")</f>
        <v>#REF!</v>
      </c>
      <c r="HC236" t="e">
        <f>AND(#REF!,"AAAAAGu7/NI=")</f>
        <v>#REF!</v>
      </c>
      <c r="HD236" t="e">
        <f>AND(#REF!,"AAAAAGu7/NM=")</f>
        <v>#REF!</v>
      </c>
      <c r="HE236" t="e">
        <f>AND(#REF!,"AAAAAGu7/NQ=")</f>
        <v>#REF!</v>
      </c>
      <c r="HF236" t="e">
        <f>AND(#REF!,"AAAAAGu7/NU=")</f>
        <v>#REF!</v>
      </c>
      <c r="HG236" t="e">
        <f>AND(#REF!,"AAAAAGu7/NY=")</f>
        <v>#REF!</v>
      </c>
      <c r="HH236" t="e">
        <f>AND(#REF!,"AAAAAGu7/Nc=")</f>
        <v>#REF!</v>
      </c>
      <c r="HI236" t="e">
        <f>AND(#REF!,"AAAAAGu7/Ng=")</f>
        <v>#REF!</v>
      </c>
      <c r="HJ236" t="e">
        <f>AND(#REF!,"AAAAAGu7/Nk=")</f>
        <v>#REF!</v>
      </c>
      <c r="HK236" t="e">
        <f>AND(#REF!,"AAAAAGu7/No=")</f>
        <v>#REF!</v>
      </c>
      <c r="HL236" t="e">
        <f>AND(#REF!,"AAAAAGu7/Ns=")</f>
        <v>#REF!</v>
      </c>
      <c r="HM236" t="e">
        <f>AND(#REF!,"AAAAAGu7/Nw=")</f>
        <v>#REF!</v>
      </c>
      <c r="HN236" t="e">
        <f>AND(#REF!,"AAAAAGu7/N0=")</f>
        <v>#REF!</v>
      </c>
      <c r="HO236" t="e">
        <f>AND(#REF!,"AAAAAGu7/N4=")</f>
        <v>#REF!</v>
      </c>
      <c r="HP236" t="e">
        <f>AND(#REF!,"AAAAAGu7/N8=")</f>
        <v>#REF!</v>
      </c>
      <c r="HQ236" t="e">
        <f>AND(#REF!,"AAAAAGu7/OA=")</f>
        <v>#REF!</v>
      </c>
      <c r="HR236" t="e">
        <f>AND(#REF!,"AAAAAGu7/OE=")</f>
        <v>#REF!</v>
      </c>
      <c r="HS236" t="e">
        <f>AND(#REF!,"AAAAAGu7/OI=")</f>
        <v>#REF!</v>
      </c>
      <c r="HT236" t="e">
        <f>AND(#REF!,"AAAAAGu7/OM=")</f>
        <v>#REF!</v>
      </c>
      <c r="HU236" t="e">
        <f>AND(#REF!,"AAAAAGu7/OQ=")</f>
        <v>#REF!</v>
      </c>
      <c r="HV236" t="e">
        <f>AND(#REF!,"AAAAAGu7/OU=")</f>
        <v>#REF!</v>
      </c>
      <c r="HW236" t="e">
        <f>AND(#REF!,"AAAAAGu7/OY=")</f>
        <v>#REF!</v>
      </c>
      <c r="HX236" t="e">
        <f>AND(#REF!,"AAAAAGu7/Oc=")</f>
        <v>#REF!</v>
      </c>
      <c r="HY236" t="e">
        <f>AND(#REF!,"AAAAAGu7/Og=")</f>
        <v>#REF!</v>
      </c>
      <c r="HZ236" t="e">
        <f>AND(#REF!,"AAAAAGu7/Ok=")</f>
        <v>#REF!</v>
      </c>
      <c r="IA236" t="e">
        <f>AND(#REF!,"AAAAAGu7/Oo=")</f>
        <v>#REF!</v>
      </c>
      <c r="IB236" t="e">
        <f>AND(#REF!,"AAAAAGu7/Os=")</f>
        <v>#REF!</v>
      </c>
      <c r="IC236" t="e">
        <f>AND(#REF!,"AAAAAGu7/Ow=")</f>
        <v>#REF!</v>
      </c>
      <c r="ID236" t="e">
        <f>AND(#REF!,"AAAAAGu7/O0=")</f>
        <v>#REF!</v>
      </c>
      <c r="IE236" t="e">
        <f>AND(#REF!,"AAAAAGu7/O4=")</f>
        <v>#REF!</v>
      </c>
      <c r="IF236" t="e">
        <f>AND(#REF!,"AAAAAGu7/O8=")</f>
        <v>#REF!</v>
      </c>
      <c r="IG236" t="e">
        <f>AND(#REF!,"AAAAAGu7/PA=")</f>
        <v>#REF!</v>
      </c>
      <c r="IH236" t="e">
        <f>AND(#REF!,"AAAAAGu7/PE=")</f>
        <v>#REF!</v>
      </c>
      <c r="II236" t="e">
        <f>AND(#REF!,"AAAAAGu7/PI=")</f>
        <v>#REF!</v>
      </c>
      <c r="IJ236" t="e">
        <f>AND(#REF!,"AAAAAGu7/PM=")</f>
        <v>#REF!</v>
      </c>
      <c r="IK236" t="e">
        <f>AND(#REF!,"AAAAAGu7/PQ=")</f>
        <v>#REF!</v>
      </c>
      <c r="IL236" t="e">
        <f>AND(#REF!,"AAAAAGu7/PU=")</f>
        <v>#REF!</v>
      </c>
      <c r="IM236" t="e">
        <f>AND(#REF!,"AAAAAGu7/PY=")</f>
        <v>#REF!</v>
      </c>
      <c r="IN236" t="e">
        <f>AND(#REF!,"AAAAAGu7/Pc=")</f>
        <v>#REF!</v>
      </c>
      <c r="IO236" t="e">
        <f>AND(#REF!,"AAAAAGu7/Pg=")</f>
        <v>#REF!</v>
      </c>
      <c r="IP236" t="e">
        <f>AND(#REF!,"AAAAAGu7/Pk=")</f>
        <v>#REF!</v>
      </c>
      <c r="IQ236" t="e">
        <f>AND(#REF!,"AAAAAGu7/Po=")</f>
        <v>#REF!</v>
      </c>
      <c r="IR236" t="e">
        <f>AND(#REF!,"AAAAAGu7/Ps=")</f>
        <v>#REF!</v>
      </c>
      <c r="IS236" t="e">
        <f>AND(#REF!,"AAAAAGu7/Pw=")</f>
        <v>#REF!</v>
      </c>
      <c r="IT236" t="e">
        <f>AND(#REF!,"AAAAAGu7/P0=")</f>
        <v>#REF!</v>
      </c>
      <c r="IU236" t="e">
        <f>AND(#REF!,"AAAAAGu7/P4=")</f>
        <v>#REF!</v>
      </c>
      <c r="IV236" t="e">
        <f>AND(#REF!,"AAAAAGu7/P8=")</f>
        <v>#REF!</v>
      </c>
    </row>
    <row r="237" spans="1:256">
      <c r="A237" t="e">
        <f>AND(#REF!,"AAAAAHfl/wA=")</f>
        <v>#REF!</v>
      </c>
      <c r="B237" t="e">
        <f>AND(#REF!,"AAAAAHfl/wE=")</f>
        <v>#REF!</v>
      </c>
      <c r="C237" t="e">
        <f>AND(#REF!,"AAAAAHfl/wI=")</f>
        <v>#REF!</v>
      </c>
      <c r="D237" t="e">
        <f>AND(#REF!,"AAAAAHfl/wM=")</f>
        <v>#REF!</v>
      </c>
      <c r="E237" t="e">
        <f>AND(#REF!,"AAAAAHfl/wQ=")</f>
        <v>#REF!</v>
      </c>
      <c r="F237" t="e">
        <f>AND(#REF!,"AAAAAHfl/wU=")</f>
        <v>#REF!</v>
      </c>
      <c r="G237" t="e">
        <f>AND(#REF!,"AAAAAHfl/wY=")</f>
        <v>#REF!</v>
      </c>
      <c r="H237" t="e">
        <f>AND(#REF!,"AAAAAHfl/wc=")</f>
        <v>#REF!</v>
      </c>
      <c r="I237" t="e">
        <f>AND(#REF!,"AAAAAHfl/wg=")</f>
        <v>#REF!</v>
      </c>
      <c r="J237" t="e">
        <f>AND(#REF!,"AAAAAHfl/wk=")</f>
        <v>#REF!</v>
      </c>
      <c r="K237" t="e">
        <f>AND(#REF!,"AAAAAHfl/wo=")</f>
        <v>#REF!</v>
      </c>
      <c r="L237" t="e">
        <f>AND(#REF!,"AAAAAHfl/ws=")</f>
        <v>#REF!</v>
      </c>
      <c r="M237" t="e">
        <f>AND(#REF!,"AAAAAHfl/ww=")</f>
        <v>#REF!</v>
      </c>
      <c r="N237" t="e">
        <f>AND(#REF!,"AAAAAHfl/w0=")</f>
        <v>#REF!</v>
      </c>
      <c r="O237" t="e">
        <f>AND(#REF!,"AAAAAHfl/w4=")</f>
        <v>#REF!</v>
      </c>
      <c r="P237" t="e">
        <f>AND(#REF!,"AAAAAHfl/w8=")</f>
        <v>#REF!</v>
      </c>
      <c r="Q237" t="e">
        <f>AND(#REF!,"AAAAAHfl/xA=")</f>
        <v>#REF!</v>
      </c>
      <c r="R237" t="e">
        <f>AND(#REF!,"AAAAAHfl/xE=")</f>
        <v>#REF!</v>
      </c>
      <c r="S237" t="e">
        <f>AND(#REF!,"AAAAAHfl/xI=")</f>
        <v>#REF!</v>
      </c>
      <c r="T237" t="e">
        <f>AND(#REF!,"AAAAAHfl/xM=")</f>
        <v>#REF!</v>
      </c>
      <c r="U237" t="e">
        <f>AND(#REF!,"AAAAAHfl/xQ=")</f>
        <v>#REF!</v>
      </c>
      <c r="V237" t="e">
        <f>AND(#REF!,"AAAAAHfl/xU=")</f>
        <v>#REF!</v>
      </c>
      <c r="W237" t="e">
        <f>AND(#REF!,"AAAAAHfl/xY=")</f>
        <v>#REF!</v>
      </c>
      <c r="X237" t="e">
        <f>AND(#REF!,"AAAAAHfl/xc=")</f>
        <v>#REF!</v>
      </c>
      <c r="Y237" t="e">
        <f>AND(#REF!,"AAAAAHfl/xg=")</f>
        <v>#REF!</v>
      </c>
      <c r="Z237" t="e">
        <f>AND(#REF!,"AAAAAHfl/xk=")</f>
        <v>#REF!</v>
      </c>
      <c r="AA237" t="e">
        <f>AND(#REF!,"AAAAAHfl/xo=")</f>
        <v>#REF!</v>
      </c>
      <c r="AB237" t="e">
        <f>AND(#REF!,"AAAAAHfl/xs=")</f>
        <v>#REF!</v>
      </c>
      <c r="AC237" t="e">
        <f>AND(#REF!,"AAAAAHfl/xw=")</f>
        <v>#REF!</v>
      </c>
      <c r="AD237" t="e">
        <f>AND(#REF!,"AAAAAHfl/x0=")</f>
        <v>#REF!</v>
      </c>
      <c r="AE237" t="e">
        <f>AND(#REF!,"AAAAAHfl/x4=")</f>
        <v>#REF!</v>
      </c>
      <c r="AF237" t="e">
        <f>AND(#REF!,"AAAAAHfl/x8=")</f>
        <v>#REF!</v>
      </c>
      <c r="AG237" t="e">
        <f>AND(#REF!,"AAAAAHfl/yA=")</f>
        <v>#REF!</v>
      </c>
      <c r="AH237" t="e">
        <f>AND(#REF!,"AAAAAHfl/yE=")</f>
        <v>#REF!</v>
      </c>
      <c r="AI237" t="e">
        <f>AND(#REF!,"AAAAAHfl/yI=")</f>
        <v>#REF!</v>
      </c>
      <c r="AJ237" t="e">
        <f>AND(#REF!,"AAAAAHfl/yM=")</f>
        <v>#REF!</v>
      </c>
      <c r="AK237" t="e">
        <f>AND(#REF!,"AAAAAHfl/yQ=")</f>
        <v>#REF!</v>
      </c>
      <c r="AL237" t="e">
        <f>AND(#REF!,"AAAAAHfl/yU=")</f>
        <v>#REF!</v>
      </c>
      <c r="AM237" t="e">
        <f>AND(#REF!,"AAAAAHfl/yY=")</f>
        <v>#REF!</v>
      </c>
      <c r="AN237" t="e">
        <f>AND(#REF!,"AAAAAHfl/yc=")</f>
        <v>#REF!</v>
      </c>
      <c r="AO237" t="e">
        <f>AND(#REF!,"AAAAAHfl/yg=")</f>
        <v>#REF!</v>
      </c>
      <c r="AP237" t="e">
        <f>AND(#REF!,"AAAAAHfl/yk=")</f>
        <v>#REF!</v>
      </c>
      <c r="AQ237" t="e">
        <f>AND(#REF!,"AAAAAHfl/yo=")</f>
        <v>#REF!</v>
      </c>
      <c r="AR237" t="e">
        <f>AND(#REF!,"AAAAAHfl/ys=")</f>
        <v>#REF!</v>
      </c>
      <c r="AS237" t="e">
        <f>AND(#REF!,"AAAAAHfl/yw=")</f>
        <v>#REF!</v>
      </c>
      <c r="AT237" t="e">
        <f>AND(#REF!,"AAAAAHfl/y0=")</f>
        <v>#REF!</v>
      </c>
      <c r="AU237" t="e">
        <f>AND(#REF!,"AAAAAHfl/y4=")</f>
        <v>#REF!</v>
      </c>
      <c r="AV237" t="e">
        <f>AND(#REF!,"AAAAAHfl/y8=")</f>
        <v>#REF!</v>
      </c>
      <c r="AW237" t="e">
        <f>AND(#REF!,"AAAAAHfl/zA=")</f>
        <v>#REF!</v>
      </c>
      <c r="AX237" t="e">
        <f>AND(#REF!,"AAAAAHfl/zE=")</f>
        <v>#REF!</v>
      </c>
      <c r="AY237" t="e">
        <f>AND(#REF!,"AAAAAHfl/zI=")</f>
        <v>#REF!</v>
      </c>
      <c r="AZ237" t="e">
        <f>AND(#REF!,"AAAAAHfl/zM=")</f>
        <v>#REF!</v>
      </c>
      <c r="BA237" t="e">
        <f>AND(#REF!,"AAAAAHfl/zQ=")</f>
        <v>#REF!</v>
      </c>
      <c r="BB237" t="e">
        <f>AND(#REF!,"AAAAAHfl/zU=")</f>
        <v>#REF!</v>
      </c>
      <c r="BC237" t="e">
        <f>AND(#REF!,"AAAAAHfl/zY=")</f>
        <v>#REF!</v>
      </c>
      <c r="BD237" t="e">
        <f>AND(#REF!,"AAAAAHfl/zc=")</f>
        <v>#REF!</v>
      </c>
      <c r="BE237" t="e">
        <f>AND(#REF!,"AAAAAHfl/zg=")</f>
        <v>#REF!</v>
      </c>
      <c r="BF237" t="e">
        <f>AND(#REF!,"AAAAAHfl/zk=")</f>
        <v>#REF!</v>
      </c>
      <c r="BG237" t="e">
        <f>AND(#REF!,"AAAAAHfl/zo=")</f>
        <v>#REF!</v>
      </c>
      <c r="BH237" t="e">
        <f>AND(#REF!,"AAAAAHfl/zs=")</f>
        <v>#REF!</v>
      </c>
      <c r="BI237" t="e">
        <f>AND(#REF!,"AAAAAHfl/zw=")</f>
        <v>#REF!</v>
      </c>
      <c r="BJ237" t="e">
        <f>AND(#REF!,"AAAAAHfl/z0=")</f>
        <v>#REF!</v>
      </c>
      <c r="BK237" t="e">
        <f>AND(#REF!,"AAAAAHfl/z4=")</f>
        <v>#REF!</v>
      </c>
      <c r="BL237" t="e">
        <f>AND(#REF!,"AAAAAHfl/z8=")</f>
        <v>#REF!</v>
      </c>
      <c r="BM237" t="e">
        <f>AND(#REF!,"AAAAAHfl/0A=")</f>
        <v>#REF!</v>
      </c>
      <c r="BN237" t="e">
        <f>AND(#REF!,"AAAAAHfl/0E=")</f>
        <v>#REF!</v>
      </c>
      <c r="BO237" t="e">
        <f>AND(#REF!,"AAAAAHfl/0I=")</f>
        <v>#REF!</v>
      </c>
      <c r="BP237" t="e">
        <f>AND(#REF!,"AAAAAHfl/0M=")</f>
        <v>#REF!</v>
      </c>
      <c r="BQ237" t="e">
        <f>AND(#REF!,"AAAAAHfl/0Q=")</f>
        <v>#REF!</v>
      </c>
      <c r="BR237" t="e">
        <f>AND(#REF!,"AAAAAHfl/0U=")</f>
        <v>#REF!</v>
      </c>
      <c r="BS237" t="e">
        <f>AND(#REF!,"AAAAAHfl/0Y=")</f>
        <v>#REF!</v>
      </c>
      <c r="BT237" t="e">
        <f>AND(#REF!,"AAAAAHfl/0c=")</f>
        <v>#REF!</v>
      </c>
      <c r="BU237" t="e">
        <f>AND(#REF!,"AAAAAHfl/0g=")</f>
        <v>#REF!</v>
      </c>
      <c r="BV237" t="e">
        <f>AND(#REF!,"AAAAAHfl/0k=")</f>
        <v>#REF!</v>
      </c>
      <c r="BW237" t="e">
        <f>AND(#REF!,"AAAAAHfl/0o=")</f>
        <v>#REF!</v>
      </c>
      <c r="BX237" t="e">
        <f>AND(#REF!,"AAAAAHfl/0s=")</f>
        <v>#REF!</v>
      </c>
      <c r="BY237" t="e">
        <f>AND(#REF!,"AAAAAHfl/0w=")</f>
        <v>#REF!</v>
      </c>
      <c r="BZ237" t="e">
        <f>AND(#REF!,"AAAAAHfl/00=")</f>
        <v>#REF!</v>
      </c>
      <c r="CA237" t="e">
        <f>AND(#REF!,"AAAAAHfl/04=")</f>
        <v>#REF!</v>
      </c>
      <c r="CB237" t="e">
        <f>AND(#REF!,"AAAAAHfl/08=")</f>
        <v>#REF!</v>
      </c>
      <c r="CC237" t="e">
        <f>AND(#REF!,"AAAAAHfl/1A=")</f>
        <v>#REF!</v>
      </c>
      <c r="CD237" t="e">
        <f>AND(#REF!,"AAAAAHfl/1E=")</f>
        <v>#REF!</v>
      </c>
      <c r="CE237" t="e">
        <f>AND(#REF!,"AAAAAHfl/1I=")</f>
        <v>#REF!</v>
      </c>
      <c r="CF237" t="e">
        <f>AND(#REF!,"AAAAAHfl/1M=")</f>
        <v>#REF!</v>
      </c>
      <c r="CG237" t="e">
        <f>AND(#REF!,"AAAAAHfl/1Q=")</f>
        <v>#REF!</v>
      </c>
      <c r="CH237" t="e">
        <f>AND(#REF!,"AAAAAHfl/1U=")</f>
        <v>#REF!</v>
      </c>
      <c r="CI237" t="e">
        <f>AND(#REF!,"AAAAAHfl/1Y=")</f>
        <v>#REF!</v>
      </c>
      <c r="CJ237" t="e">
        <f>AND(#REF!,"AAAAAHfl/1c=")</f>
        <v>#REF!</v>
      </c>
      <c r="CK237" t="e">
        <f>AND(#REF!,"AAAAAHfl/1g=")</f>
        <v>#REF!</v>
      </c>
      <c r="CL237" t="e">
        <f>AND(#REF!,"AAAAAHfl/1k=")</f>
        <v>#REF!</v>
      </c>
      <c r="CM237" t="e">
        <f>AND(#REF!,"AAAAAHfl/1o=")</f>
        <v>#REF!</v>
      </c>
      <c r="CN237" t="e">
        <f>AND(#REF!,"AAAAAHfl/1s=")</f>
        <v>#REF!</v>
      </c>
      <c r="CO237" t="e">
        <f>AND(#REF!,"AAAAAHfl/1w=")</f>
        <v>#REF!</v>
      </c>
      <c r="CP237" t="e">
        <f>AND(#REF!,"AAAAAHfl/10=")</f>
        <v>#REF!</v>
      </c>
      <c r="CQ237" t="e">
        <f>AND(#REF!,"AAAAAHfl/14=")</f>
        <v>#REF!</v>
      </c>
      <c r="CR237" t="e">
        <f>AND(#REF!,"AAAAAHfl/18=")</f>
        <v>#REF!</v>
      </c>
      <c r="CS237" t="e">
        <f>AND(#REF!,"AAAAAHfl/2A=")</f>
        <v>#REF!</v>
      </c>
      <c r="CT237" t="e">
        <f>AND(#REF!,"AAAAAHfl/2E=")</f>
        <v>#REF!</v>
      </c>
      <c r="CU237" t="e">
        <f>AND(#REF!,"AAAAAHfl/2I=")</f>
        <v>#REF!</v>
      </c>
      <c r="CV237" t="e">
        <f>AND(#REF!,"AAAAAHfl/2M=")</f>
        <v>#REF!</v>
      </c>
      <c r="CW237" t="e">
        <f>AND(#REF!,"AAAAAHfl/2Q=")</f>
        <v>#REF!</v>
      </c>
      <c r="CX237" t="e">
        <f>AND(#REF!,"AAAAAHfl/2U=")</f>
        <v>#REF!</v>
      </c>
      <c r="CY237" t="e">
        <f>AND(#REF!,"AAAAAHfl/2Y=")</f>
        <v>#REF!</v>
      </c>
      <c r="CZ237" t="e">
        <f>AND(#REF!,"AAAAAHfl/2c=")</f>
        <v>#REF!</v>
      </c>
      <c r="DA237" t="e">
        <f>AND(#REF!,"AAAAAHfl/2g=")</f>
        <v>#REF!</v>
      </c>
      <c r="DB237" t="e">
        <f>AND(#REF!,"AAAAAHfl/2k=")</f>
        <v>#REF!</v>
      </c>
      <c r="DC237" t="e">
        <f>AND(#REF!,"AAAAAHfl/2o=")</f>
        <v>#REF!</v>
      </c>
      <c r="DD237" t="e">
        <f>AND(#REF!,"AAAAAHfl/2s=")</f>
        <v>#REF!</v>
      </c>
      <c r="DE237" t="e">
        <f>AND(#REF!,"AAAAAHfl/2w=")</f>
        <v>#REF!</v>
      </c>
      <c r="DF237" t="e">
        <f>AND(#REF!,"AAAAAHfl/20=")</f>
        <v>#REF!</v>
      </c>
      <c r="DG237" t="e">
        <f>AND(#REF!,"AAAAAHfl/24=")</f>
        <v>#REF!</v>
      </c>
      <c r="DH237" t="e">
        <f>AND(#REF!,"AAAAAHfl/28=")</f>
        <v>#REF!</v>
      </c>
      <c r="DI237" t="e">
        <f>AND(#REF!,"AAAAAHfl/3A=")</f>
        <v>#REF!</v>
      </c>
      <c r="DJ237" t="e">
        <f>AND(#REF!,"AAAAAHfl/3E=")</f>
        <v>#REF!</v>
      </c>
      <c r="DK237" t="e">
        <f>AND(#REF!,"AAAAAHfl/3I=")</f>
        <v>#REF!</v>
      </c>
      <c r="DL237" t="e">
        <f>AND(#REF!,"AAAAAHfl/3M=")</f>
        <v>#REF!</v>
      </c>
      <c r="DM237" t="e">
        <f>AND(#REF!,"AAAAAHfl/3Q=")</f>
        <v>#REF!</v>
      </c>
      <c r="DN237" t="e">
        <f>AND(#REF!,"AAAAAHfl/3U=")</f>
        <v>#REF!</v>
      </c>
      <c r="DO237" t="e">
        <f>AND(#REF!,"AAAAAHfl/3Y=")</f>
        <v>#REF!</v>
      </c>
      <c r="DP237" t="e">
        <f>AND(#REF!,"AAAAAHfl/3c=")</f>
        <v>#REF!</v>
      </c>
      <c r="DQ237" t="e">
        <f>AND(#REF!,"AAAAAHfl/3g=")</f>
        <v>#REF!</v>
      </c>
      <c r="DR237" t="e">
        <f>AND(#REF!,"AAAAAHfl/3k=")</f>
        <v>#REF!</v>
      </c>
      <c r="DS237" t="e">
        <f>AND(#REF!,"AAAAAHfl/3o=")</f>
        <v>#REF!</v>
      </c>
      <c r="DT237" t="e">
        <f>AND(#REF!,"AAAAAHfl/3s=")</f>
        <v>#REF!</v>
      </c>
      <c r="DU237" t="e">
        <f>AND(#REF!,"AAAAAHfl/3w=")</f>
        <v>#REF!</v>
      </c>
      <c r="DV237" t="e">
        <f>AND(#REF!,"AAAAAHfl/30=")</f>
        <v>#REF!</v>
      </c>
      <c r="DW237" t="e">
        <f>AND(#REF!,"AAAAAHfl/34=")</f>
        <v>#REF!</v>
      </c>
      <c r="DX237" t="e">
        <f>AND(#REF!,"AAAAAHfl/38=")</f>
        <v>#REF!</v>
      </c>
      <c r="DY237" t="e">
        <f>AND(#REF!,"AAAAAHfl/4A=")</f>
        <v>#REF!</v>
      </c>
      <c r="DZ237" t="e">
        <f>AND(#REF!,"AAAAAHfl/4E=")</f>
        <v>#REF!</v>
      </c>
      <c r="EA237" t="e">
        <f>AND(#REF!,"AAAAAHfl/4I=")</f>
        <v>#REF!</v>
      </c>
      <c r="EB237" t="e">
        <f>AND(#REF!,"AAAAAHfl/4M=")</f>
        <v>#REF!</v>
      </c>
      <c r="EC237" t="e">
        <f>AND(#REF!,"AAAAAHfl/4Q=")</f>
        <v>#REF!</v>
      </c>
      <c r="ED237" t="e">
        <f>AND(#REF!,"AAAAAHfl/4U=")</f>
        <v>#REF!</v>
      </c>
      <c r="EE237" t="e">
        <f>AND(#REF!,"AAAAAHfl/4Y=")</f>
        <v>#REF!</v>
      </c>
      <c r="EF237" t="e">
        <f>AND(#REF!,"AAAAAHfl/4c=")</f>
        <v>#REF!</v>
      </c>
      <c r="EG237" t="e">
        <f>AND(#REF!,"AAAAAHfl/4g=")</f>
        <v>#REF!</v>
      </c>
      <c r="EH237" t="e">
        <f>AND(#REF!,"AAAAAHfl/4k=")</f>
        <v>#REF!</v>
      </c>
      <c r="EI237" t="e">
        <f>AND(#REF!,"AAAAAHfl/4o=")</f>
        <v>#REF!</v>
      </c>
      <c r="EJ237" t="e">
        <f>AND(#REF!,"AAAAAHfl/4s=")</f>
        <v>#REF!</v>
      </c>
      <c r="EK237" t="e">
        <f>AND(#REF!,"AAAAAHfl/4w=")</f>
        <v>#REF!</v>
      </c>
      <c r="EL237" t="e">
        <f>AND(#REF!,"AAAAAHfl/40=")</f>
        <v>#REF!</v>
      </c>
      <c r="EM237" t="e">
        <f>AND(#REF!,"AAAAAHfl/44=")</f>
        <v>#REF!</v>
      </c>
      <c r="EN237" t="e">
        <f>AND(#REF!,"AAAAAHfl/48=")</f>
        <v>#REF!</v>
      </c>
      <c r="EO237" t="e">
        <f>AND(#REF!,"AAAAAHfl/5A=")</f>
        <v>#REF!</v>
      </c>
      <c r="EP237" t="e">
        <f>AND(#REF!,"AAAAAHfl/5E=")</f>
        <v>#REF!</v>
      </c>
      <c r="EQ237" t="e">
        <f>AND(#REF!,"AAAAAHfl/5I=")</f>
        <v>#REF!</v>
      </c>
      <c r="ER237" t="e">
        <f>AND(#REF!,"AAAAAHfl/5M=")</f>
        <v>#REF!</v>
      </c>
      <c r="ES237" t="e">
        <f>AND(#REF!,"AAAAAHfl/5Q=")</f>
        <v>#REF!</v>
      </c>
      <c r="ET237" t="e">
        <f>AND(#REF!,"AAAAAHfl/5U=")</f>
        <v>#REF!</v>
      </c>
      <c r="EU237" t="e">
        <f>AND(#REF!,"AAAAAHfl/5Y=")</f>
        <v>#REF!</v>
      </c>
      <c r="EV237" t="e">
        <f>AND(#REF!,"AAAAAHfl/5c=")</f>
        <v>#REF!</v>
      </c>
      <c r="EW237" t="e">
        <f>AND(#REF!,"AAAAAHfl/5g=")</f>
        <v>#REF!</v>
      </c>
      <c r="EX237" t="e">
        <f>AND(#REF!,"AAAAAHfl/5k=")</f>
        <v>#REF!</v>
      </c>
      <c r="EY237" t="e">
        <f>AND(#REF!,"AAAAAHfl/5o=")</f>
        <v>#REF!</v>
      </c>
      <c r="EZ237" t="e">
        <f>AND(#REF!,"AAAAAHfl/5s=")</f>
        <v>#REF!</v>
      </c>
      <c r="FA237" t="e">
        <f>AND(#REF!,"AAAAAHfl/5w=")</f>
        <v>#REF!</v>
      </c>
      <c r="FB237" t="e">
        <f>AND(#REF!,"AAAAAHfl/50=")</f>
        <v>#REF!</v>
      </c>
      <c r="FC237" t="e">
        <f>AND(#REF!,"AAAAAHfl/54=")</f>
        <v>#REF!</v>
      </c>
      <c r="FD237" t="e">
        <f>AND(#REF!,"AAAAAHfl/58=")</f>
        <v>#REF!</v>
      </c>
      <c r="FE237" t="e">
        <f>AND(#REF!,"AAAAAHfl/6A=")</f>
        <v>#REF!</v>
      </c>
      <c r="FF237" t="e">
        <f>AND(#REF!,"AAAAAHfl/6E=")</f>
        <v>#REF!</v>
      </c>
      <c r="FG237" t="e">
        <f>AND(#REF!,"AAAAAHfl/6I=")</f>
        <v>#REF!</v>
      </c>
      <c r="FH237" t="e">
        <f>AND(#REF!,"AAAAAHfl/6M=")</f>
        <v>#REF!</v>
      </c>
      <c r="FI237" t="e">
        <f>AND(#REF!,"AAAAAHfl/6Q=")</f>
        <v>#REF!</v>
      </c>
      <c r="FJ237" t="e">
        <f>AND(#REF!,"AAAAAHfl/6U=")</f>
        <v>#REF!</v>
      </c>
      <c r="FK237" t="e">
        <f>AND(#REF!,"AAAAAHfl/6Y=")</f>
        <v>#REF!</v>
      </c>
      <c r="FL237" t="e">
        <f>AND(#REF!,"AAAAAHfl/6c=")</f>
        <v>#REF!</v>
      </c>
      <c r="FM237" t="e">
        <f>AND(#REF!,"AAAAAHfl/6g=")</f>
        <v>#REF!</v>
      </c>
      <c r="FN237" t="e">
        <f>AND(#REF!,"AAAAAHfl/6k=")</f>
        <v>#REF!</v>
      </c>
      <c r="FO237" t="e">
        <f>AND(#REF!,"AAAAAHfl/6o=")</f>
        <v>#REF!</v>
      </c>
      <c r="FP237" t="e">
        <f>AND(#REF!,"AAAAAHfl/6s=")</f>
        <v>#REF!</v>
      </c>
      <c r="FQ237" t="e">
        <f>AND(#REF!,"AAAAAHfl/6w=")</f>
        <v>#REF!</v>
      </c>
      <c r="FR237" t="e">
        <f>AND(#REF!,"AAAAAHfl/60=")</f>
        <v>#REF!</v>
      </c>
      <c r="FS237" t="e">
        <f>IF(#REF!,"AAAAAHfl/64=",0)</f>
        <v>#REF!</v>
      </c>
      <c r="FT237" t="e">
        <f>AND(#REF!,"AAAAAHfl/68=")</f>
        <v>#REF!</v>
      </c>
      <c r="FU237" t="e">
        <f>AND(#REF!,"AAAAAHfl/7A=")</f>
        <v>#REF!</v>
      </c>
      <c r="FV237" t="e">
        <f>AND(#REF!,"AAAAAHfl/7E=")</f>
        <v>#REF!</v>
      </c>
      <c r="FW237" t="e">
        <f>AND(#REF!,"AAAAAHfl/7I=")</f>
        <v>#REF!</v>
      </c>
      <c r="FX237" t="e">
        <f>AND(#REF!,"AAAAAHfl/7M=")</f>
        <v>#REF!</v>
      </c>
      <c r="FY237" t="e">
        <f>AND(#REF!,"AAAAAHfl/7Q=")</f>
        <v>#REF!</v>
      </c>
      <c r="FZ237" t="e">
        <f>AND(#REF!,"AAAAAHfl/7U=")</f>
        <v>#REF!</v>
      </c>
      <c r="GA237" t="e">
        <f>AND(#REF!,"AAAAAHfl/7Y=")</f>
        <v>#REF!</v>
      </c>
      <c r="GB237" t="e">
        <f>AND(#REF!,"AAAAAHfl/7c=")</f>
        <v>#REF!</v>
      </c>
      <c r="GC237" t="e">
        <f>AND(#REF!,"AAAAAHfl/7g=")</f>
        <v>#REF!</v>
      </c>
      <c r="GD237" t="e">
        <f>AND(#REF!,"AAAAAHfl/7k=")</f>
        <v>#REF!</v>
      </c>
      <c r="GE237" t="e">
        <f>AND(#REF!,"AAAAAHfl/7o=")</f>
        <v>#REF!</v>
      </c>
      <c r="GF237" t="e">
        <f>AND(#REF!,"AAAAAHfl/7s=")</f>
        <v>#REF!</v>
      </c>
      <c r="GG237" t="e">
        <f>AND(#REF!,"AAAAAHfl/7w=")</f>
        <v>#REF!</v>
      </c>
      <c r="GH237" t="e">
        <f>AND(#REF!,"AAAAAHfl/70=")</f>
        <v>#REF!</v>
      </c>
      <c r="GI237" t="e">
        <f>AND(#REF!,"AAAAAHfl/74=")</f>
        <v>#REF!</v>
      </c>
      <c r="GJ237" t="e">
        <f>AND(#REF!,"AAAAAHfl/78=")</f>
        <v>#REF!</v>
      </c>
      <c r="GK237" t="e">
        <f>AND(#REF!,"AAAAAHfl/8A=")</f>
        <v>#REF!</v>
      </c>
      <c r="GL237" t="e">
        <f>AND(#REF!,"AAAAAHfl/8E=")</f>
        <v>#REF!</v>
      </c>
      <c r="GM237" t="e">
        <f>AND(#REF!,"AAAAAHfl/8I=")</f>
        <v>#REF!</v>
      </c>
      <c r="GN237" t="e">
        <f>AND(#REF!,"AAAAAHfl/8M=")</f>
        <v>#REF!</v>
      </c>
      <c r="GO237" t="e">
        <f>AND(#REF!,"AAAAAHfl/8Q=")</f>
        <v>#REF!</v>
      </c>
      <c r="GP237" t="e">
        <f>AND(#REF!,"AAAAAHfl/8U=")</f>
        <v>#REF!</v>
      </c>
      <c r="GQ237" t="e">
        <f>AND(#REF!,"AAAAAHfl/8Y=")</f>
        <v>#REF!</v>
      </c>
      <c r="GR237" t="e">
        <f>AND(#REF!,"AAAAAHfl/8c=")</f>
        <v>#REF!</v>
      </c>
      <c r="GS237" t="e">
        <f>AND(#REF!,"AAAAAHfl/8g=")</f>
        <v>#REF!</v>
      </c>
      <c r="GT237" t="e">
        <f>AND(#REF!,"AAAAAHfl/8k=")</f>
        <v>#REF!</v>
      </c>
      <c r="GU237" t="e">
        <f>AND(#REF!,"AAAAAHfl/8o=")</f>
        <v>#REF!</v>
      </c>
      <c r="GV237" t="e">
        <f>AND(#REF!,"AAAAAHfl/8s=")</f>
        <v>#REF!</v>
      </c>
      <c r="GW237" t="e">
        <f>AND(#REF!,"AAAAAHfl/8w=")</f>
        <v>#REF!</v>
      </c>
      <c r="GX237" t="e">
        <f>AND(#REF!,"AAAAAHfl/80=")</f>
        <v>#REF!</v>
      </c>
      <c r="GY237" t="e">
        <f>AND(#REF!,"AAAAAHfl/84=")</f>
        <v>#REF!</v>
      </c>
      <c r="GZ237" t="e">
        <f>AND(#REF!,"AAAAAHfl/88=")</f>
        <v>#REF!</v>
      </c>
      <c r="HA237" t="e">
        <f>AND(#REF!,"AAAAAHfl/9A=")</f>
        <v>#REF!</v>
      </c>
      <c r="HB237" t="e">
        <f>AND(#REF!,"AAAAAHfl/9E=")</f>
        <v>#REF!</v>
      </c>
      <c r="HC237" t="e">
        <f>AND(#REF!,"AAAAAHfl/9I=")</f>
        <v>#REF!</v>
      </c>
      <c r="HD237" t="e">
        <f>AND(#REF!,"AAAAAHfl/9M=")</f>
        <v>#REF!</v>
      </c>
      <c r="HE237" t="e">
        <f>AND(#REF!,"AAAAAHfl/9Q=")</f>
        <v>#REF!</v>
      </c>
      <c r="HF237" t="e">
        <f>AND(#REF!,"AAAAAHfl/9U=")</f>
        <v>#REF!</v>
      </c>
      <c r="HG237" t="e">
        <f>AND(#REF!,"AAAAAHfl/9Y=")</f>
        <v>#REF!</v>
      </c>
      <c r="HH237" t="e">
        <f>AND(#REF!,"AAAAAHfl/9c=")</f>
        <v>#REF!</v>
      </c>
      <c r="HI237" t="e">
        <f>AND(#REF!,"AAAAAHfl/9g=")</f>
        <v>#REF!</v>
      </c>
      <c r="HJ237" t="e">
        <f>AND(#REF!,"AAAAAHfl/9k=")</f>
        <v>#REF!</v>
      </c>
      <c r="HK237" t="e">
        <f>AND(#REF!,"AAAAAHfl/9o=")</f>
        <v>#REF!</v>
      </c>
      <c r="HL237" t="e">
        <f>AND(#REF!,"AAAAAHfl/9s=")</f>
        <v>#REF!</v>
      </c>
      <c r="HM237" t="e">
        <f>AND(#REF!,"AAAAAHfl/9w=")</f>
        <v>#REF!</v>
      </c>
      <c r="HN237" t="e">
        <f>AND(#REF!,"AAAAAHfl/90=")</f>
        <v>#REF!</v>
      </c>
      <c r="HO237" t="e">
        <f>AND(#REF!,"AAAAAHfl/94=")</f>
        <v>#REF!</v>
      </c>
      <c r="HP237" t="e">
        <f>AND(#REF!,"AAAAAHfl/98=")</f>
        <v>#REF!</v>
      </c>
      <c r="HQ237" t="e">
        <f>AND(#REF!,"AAAAAHfl/+A=")</f>
        <v>#REF!</v>
      </c>
      <c r="HR237" t="e">
        <f>AND(#REF!,"AAAAAHfl/+E=")</f>
        <v>#REF!</v>
      </c>
      <c r="HS237" t="e">
        <f>AND(#REF!,"AAAAAHfl/+I=")</f>
        <v>#REF!</v>
      </c>
      <c r="HT237" t="e">
        <f>AND(#REF!,"AAAAAHfl/+M=")</f>
        <v>#REF!</v>
      </c>
      <c r="HU237" t="e">
        <f>AND(#REF!,"AAAAAHfl/+Q=")</f>
        <v>#REF!</v>
      </c>
      <c r="HV237" t="e">
        <f>AND(#REF!,"AAAAAHfl/+U=")</f>
        <v>#REF!</v>
      </c>
      <c r="HW237" t="e">
        <f>AND(#REF!,"AAAAAHfl/+Y=")</f>
        <v>#REF!</v>
      </c>
      <c r="HX237" t="e">
        <f>AND(#REF!,"AAAAAHfl/+c=")</f>
        <v>#REF!</v>
      </c>
      <c r="HY237" t="e">
        <f>AND(#REF!,"AAAAAHfl/+g=")</f>
        <v>#REF!</v>
      </c>
      <c r="HZ237" t="e">
        <f>AND(#REF!,"AAAAAHfl/+k=")</f>
        <v>#REF!</v>
      </c>
      <c r="IA237" t="e">
        <f>AND(#REF!,"AAAAAHfl/+o=")</f>
        <v>#REF!</v>
      </c>
      <c r="IB237" t="e">
        <f>AND(#REF!,"AAAAAHfl/+s=")</f>
        <v>#REF!</v>
      </c>
      <c r="IC237" t="e">
        <f>AND(#REF!,"AAAAAHfl/+w=")</f>
        <v>#REF!</v>
      </c>
      <c r="ID237" t="e">
        <f>AND(#REF!,"AAAAAHfl/+0=")</f>
        <v>#REF!</v>
      </c>
      <c r="IE237" t="e">
        <f>AND(#REF!,"AAAAAHfl/+4=")</f>
        <v>#REF!</v>
      </c>
      <c r="IF237" t="e">
        <f>AND(#REF!,"AAAAAHfl/+8=")</f>
        <v>#REF!</v>
      </c>
      <c r="IG237" t="e">
        <f>AND(#REF!,"AAAAAHfl//A=")</f>
        <v>#REF!</v>
      </c>
      <c r="IH237" t="e">
        <f>AND(#REF!,"AAAAAHfl//E=")</f>
        <v>#REF!</v>
      </c>
      <c r="II237" t="e">
        <f>AND(#REF!,"AAAAAHfl//I=")</f>
        <v>#REF!</v>
      </c>
      <c r="IJ237" t="e">
        <f>AND(#REF!,"AAAAAHfl//M=")</f>
        <v>#REF!</v>
      </c>
      <c r="IK237" t="e">
        <f>AND(#REF!,"AAAAAHfl//Q=")</f>
        <v>#REF!</v>
      </c>
      <c r="IL237" t="e">
        <f>AND(#REF!,"AAAAAHfl//U=")</f>
        <v>#REF!</v>
      </c>
      <c r="IM237" t="e">
        <f>AND(#REF!,"AAAAAHfl//Y=")</f>
        <v>#REF!</v>
      </c>
      <c r="IN237" t="e">
        <f>AND(#REF!,"AAAAAHfl//c=")</f>
        <v>#REF!</v>
      </c>
      <c r="IO237" t="e">
        <f>AND(#REF!,"AAAAAHfl//g=")</f>
        <v>#REF!</v>
      </c>
      <c r="IP237" t="e">
        <f>AND(#REF!,"AAAAAHfl//k=")</f>
        <v>#REF!</v>
      </c>
      <c r="IQ237" t="e">
        <f>AND(#REF!,"AAAAAHfl//o=")</f>
        <v>#REF!</v>
      </c>
      <c r="IR237" t="e">
        <f>AND(#REF!,"AAAAAHfl//s=")</f>
        <v>#REF!</v>
      </c>
      <c r="IS237" t="e">
        <f>AND(#REF!,"AAAAAHfl//w=")</f>
        <v>#REF!</v>
      </c>
      <c r="IT237" t="e">
        <f>AND(#REF!,"AAAAAHfl//0=")</f>
        <v>#REF!</v>
      </c>
      <c r="IU237" t="e">
        <f>AND(#REF!,"AAAAAHfl//4=")</f>
        <v>#REF!</v>
      </c>
      <c r="IV237" t="e">
        <f>AND(#REF!,"AAAAAHfl//8=")</f>
        <v>#REF!</v>
      </c>
    </row>
    <row r="238" spans="1:256">
      <c r="A238" t="e">
        <f>AND(#REF!,"AAAAACf3UgA=")</f>
        <v>#REF!</v>
      </c>
      <c r="B238" t="e">
        <f>AND(#REF!,"AAAAACf3UgE=")</f>
        <v>#REF!</v>
      </c>
      <c r="C238" t="e">
        <f>AND(#REF!,"AAAAACf3UgI=")</f>
        <v>#REF!</v>
      </c>
      <c r="D238" t="e">
        <f>AND(#REF!,"AAAAACf3UgM=")</f>
        <v>#REF!</v>
      </c>
      <c r="E238" t="e">
        <f>AND(#REF!,"AAAAACf3UgQ=")</f>
        <v>#REF!</v>
      </c>
      <c r="F238" t="e">
        <f>AND(#REF!,"AAAAACf3UgU=")</f>
        <v>#REF!</v>
      </c>
      <c r="G238" t="e">
        <f>AND(#REF!,"AAAAACf3UgY=")</f>
        <v>#REF!</v>
      </c>
      <c r="H238" t="e">
        <f>AND(#REF!,"AAAAACf3Ugc=")</f>
        <v>#REF!</v>
      </c>
      <c r="I238" t="e">
        <f>AND(#REF!,"AAAAACf3Ugg=")</f>
        <v>#REF!</v>
      </c>
      <c r="J238" t="e">
        <f>AND(#REF!,"AAAAACf3Ugk=")</f>
        <v>#REF!</v>
      </c>
      <c r="K238" t="e">
        <f>AND(#REF!,"AAAAACf3Ugo=")</f>
        <v>#REF!</v>
      </c>
      <c r="L238" t="e">
        <f>AND(#REF!,"AAAAACf3Ugs=")</f>
        <v>#REF!</v>
      </c>
      <c r="M238" t="e">
        <f>AND(#REF!,"AAAAACf3Ugw=")</f>
        <v>#REF!</v>
      </c>
      <c r="N238" t="e">
        <f>AND(#REF!,"AAAAACf3Ug0=")</f>
        <v>#REF!</v>
      </c>
      <c r="O238" t="e">
        <f>AND(#REF!,"AAAAACf3Ug4=")</f>
        <v>#REF!</v>
      </c>
      <c r="P238" t="e">
        <f>AND(#REF!,"AAAAACf3Ug8=")</f>
        <v>#REF!</v>
      </c>
      <c r="Q238" t="e">
        <f>AND(#REF!,"AAAAACf3UhA=")</f>
        <v>#REF!</v>
      </c>
      <c r="R238" t="e">
        <f>AND(#REF!,"AAAAACf3UhE=")</f>
        <v>#REF!</v>
      </c>
      <c r="S238" t="e">
        <f>AND(#REF!,"AAAAACf3UhI=")</f>
        <v>#REF!</v>
      </c>
      <c r="T238" t="e">
        <f>AND(#REF!,"AAAAACf3UhM=")</f>
        <v>#REF!</v>
      </c>
      <c r="U238" t="e">
        <f>AND(#REF!,"AAAAACf3UhQ=")</f>
        <v>#REF!</v>
      </c>
      <c r="V238" t="e">
        <f>AND(#REF!,"AAAAACf3UhU=")</f>
        <v>#REF!</v>
      </c>
      <c r="W238" t="e">
        <f>AND(#REF!,"AAAAACf3UhY=")</f>
        <v>#REF!</v>
      </c>
      <c r="X238" t="e">
        <f>AND(#REF!,"AAAAACf3Uhc=")</f>
        <v>#REF!</v>
      </c>
      <c r="Y238" t="e">
        <f>AND(#REF!,"AAAAACf3Uhg=")</f>
        <v>#REF!</v>
      </c>
      <c r="Z238" t="e">
        <f>AND(#REF!,"AAAAACf3Uhk=")</f>
        <v>#REF!</v>
      </c>
      <c r="AA238" t="e">
        <f>AND(#REF!,"AAAAACf3Uho=")</f>
        <v>#REF!</v>
      </c>
      <c r="AB238" t="e">
        <f>AND(#REF!,"AAAAACf3Uhs=")</f>
        <v>#REF!</v>
      </c>
      <c r="AC238" t="e">
        <f>AND(#REF!,"AAAAACf3Uhw=")</f>
        <v>#REF!</v>
      </c>
      <c r="AD238" t="e">
        <f>AND(#REF!,"AAAAACf3Uh0=")</f>
        <v>#REF!</v>
      </c>
      <c r="AE238" t="e">
        <f>AND(#REF!,"AAAAACf3Uh4=")</f>
        <v>#REF!</v>
      </c>
      <c r="AF238" t="e">
        <f>AND(#REF!,"AAAAACf3Uh8=")</f>
        <v>#REF!</v>
      </c>
      <c r="AG238" t="e">
        <f>AND(#REF!,"AAAAACf3UiA=")</f>
        <v>#REF!</v>
      </c>
      <c r="AH238" t="e">
        <f>AND(#REF!,"AAAAACf3UiE=")</f>
        <v>#REF!</v>
      </c>
      <c r="AI238" t="e">
        <f>AND(#REF!,"AAAAACf3UiI=")</f>
        <v>#REF!</v>
      </c>
      <c r="AJ238" t="e">
        <f>AND(#REF!,"AAAAACf3UiM=")</f>
        <v>#REF!</v>
      </c>
      <c r="AK238" t="e">
        <f>AND(#REF!,"AAAAACf3UiQ=")</f>
        <v>#REF!</v>
      </c>
      <c r="AL238" t="e">
        <f>AND(#REF!,"AAAAACf3UiU=")</f>
        <v>#REF!</v>
      </c>
      <c r="AM238" t="e">
        <f>AND(#REF!,"AAAAACf3UiY=")</f>
        <v>#REF!</v>
      </c>
      <c r="AN238" t="e">
        <f>AND(#REF!,"AAAAACf3Uic=")</f>
        <v>#REF!</v>
      </c>
      <c r="AO238" t="e">
        <f>AND(#REF!,"AAAAACf3Uig=")</f>
        <v>#REF!</v>
      </c>
      <c r="AP238" t="e">
        <f>AND(#REF!,"AAAAACf3Uik=")</f>
        <v>#REF!</v>
      </c>
      <c r="AQ238" t="e">
        <f>AND(#REF!,"AAAAACf3Uio=")</f>
        <v>#REF!</v>
      </c>
      <c r="AR238" t="e">
        <f>AND(#REF!,"AAAAACf3Uis=")</f>
        <v>#REF!</v>
      </c>
      <c r="AS238" t="e">
        <f>AND(#REF!,"AAAAACf3Uiw=")</f>
        <v>#REF!</v>
      </c>
      <c r="AT238" t="e">
        <f>AND(#REF!,"AAAAACf3Ui0=")</f>
        <v>#REF!</v>
      </c>
      <c r="AU238" t="e">
        <f>AND(#REF!,"AAAAACf3Ui4=")</f>
        <v>#REF!</v>
      </c>
      <c r="AV238" t="e">
        <f>AND(#REF!,"AAAAACf3Ui8=")</f>
        <v>#REF!</v>
      </c>
      <c r="AW238" t="e">
        <f>AND(#REF!,"AAAAACf3UjA=")</f>
        <v>#REF!</v>
      </c>
      <c r="AX238" t="e">
        <f>AND(#REF!,"AAAAACf3UjE=")</f>
        <v>#REF!</v>
      </c>
      <c r="AY238" t="e">
        <f>AND(#REF!,"AAAAACf3UjI=")</f>
        <v>#REF!</v>
      </c>
      <c r="AZ238" t="e">
        <f>AND(#REF!,"AAAAACf3UjM=")</f>
        <v>#REF!</v>
      </c>
      <c r="BA238" t="e">
        <f>AND(#REF!,"AAAAACf3UjQ=")</f>
        <v>#REF!</v>
      </c>
      <c r="BB238" t="e">
        <f>AND(#REF!,"AAAAACf3UjU=")</f>
        <v>#REF!</v>
      </c>
      <c r="BC238" t="e">
        <f>AND(#REF!,"AAAAACf3UjY=")</f>
        <v>#REF!</v>
      </c>
      <c r="BD238" t="e">
        <f>AND(#REF!,"AAAAACf3Ujc=")</f>
        <v>#REF!</v>
      </c>
      <c r="BE238" t="e">
        <f>AND(#REF!,"AAAAACf3Ujg=")</f>
        <v>#REF!</v>
      </c>
      <c r="BF238" t="e">
        <f>AND(#REF!,"AAAAACf3Ujk=")</f>
        <v>#REF!</v>
      </c>
      <c r="BG238" t="e">
        <f>AND(#REF!,"AAAAACf3Ujo=")</f>
        <v>#REF!</v>
      </c>
      <c r="BH238" t="e">
        <f>AND(#REF!,"AAAAACf3Ujs=")</f>
        <v>#REF!</v>
      </c>
      <c r="BI238" t="e">
        <f>AND(#REF!,"AAAAACf3Ujw=")</f>
        <v>#REF!</v>
      </c>
      <c r="BJ238" t="e">
        <f>AND(#REF!,"AAAAACf3Uj0=")</f>
        <v>#REF!</v>
      </c>
      <c r="BK238" t="e">
        <f>AND(#REF!,"AAAAACf3Uj4=")</f>
        <v>#REF!</v>
      </c>
      <c r="BL238" t="e">
        <f>AND(#REF!,"AAAAACf3Uj8=")</f>
        <v>#REF!</v>
      </c>
      <c r="BM238" t="e">
        <f>AND(#REF!,"AAAAACf3UkA=")</f>
        <v>#REF!</v>
      </c>
      <c r="BN238" t="e">
        <f>AND(#REF!,"AAAAACf3UkE=")</f>
        <v>#REF!</v>
      </c>
      <c r="BO238" t="e">
        <f>AND(#REF!,"AAAAACf3UkI=")</f>
        <v>#REF!</v>
      </c>
      <c r="BP238" t="e">
        <f>AND(#REF!,"AAAAACf3UkM=")</f>
        <v>#REF!</v>
      </c>
      <c r="BQ238" t="e">
        <f>AND(#REF!,"AAAAACf3UkQ=")</f>
        <v>#REF!</v>
      </c>
      <c r="BR238" t="e">
        <f>AND(#REF!,"AAAAACf3UkU=")</f>
        <v>#REF!</v>
      </c>
      <c r="BS238" t="e">
        <f>AND(#REF!,"AAAAACf3UkY=")</f>
        <v>#REF!</v>
      </c>
      <c r="BT238" t="e">
        <f>AND(#REF!,"AAAAACf3Ukc=")</f>
        <v>#REF!</v>
      </c>
      <c r="BU238" t="e">
        <f>AND(#REF!,"AAAAACf3Ukg=")</f>
        <v>#REF!</v>
      </c>
      <c r="BV238" t="e">
        <f>AND(#REF!,"AAAAACf3Ukk=")</f>
        <v>#REF!</v>
      </c>
      <c r="BW238" t="e">
        <f>AND(#REF!,"AAAAACf3Uko=")</f>
        <v>#REF!</v>
      </c>
      <c r="BX238" t="e">
        <f>AND(#REF!,"AAAAACf3Uks=")</f>
        <v>#REF!</v>
      </c>
      <c r="BY238" t="e">
        <f>AND(#REF!,"AAAAACf3Ukw=")</f>
        <v>#REF!</v>
      </c>
      <c r="BZ238" t="e">
        <f>AND(#REF!,"AAAAACf3Uk0=")</f>
        <v>#REF!</v>
      </c>
      <c r="CA238" t="e">
        <f>AND(#REF!,"AAAAACf3Uk4=")</f>
        <v>#REF!</v>
      </c>
      <c r="CB238" t="e">
        <f>AND(#REF!,"AAAAACf3Uk8=")</f>
        <v>#REF!</v>
      </c>
      <c r="CC238" t="e">
        <f>AND(#REF!,"AAAAACf3UlA=")</f>
        <v>#REF!</v>
      </c>
      <c r="CD238" t="e">
        <f>AND(#REF!,"AAAAACf3UlE=")</f>
        <v>#REF!</v>
      </c>
      <c r="CE238" t="e">
        <f>AND(#REF!,"AAAAACf3UlI=")</f>
        <v>#REF!</v>
      </c>
      <c r="CF238" t="e">
        <f>AND(#REF!,"AAAAACf3UlM=")</f>
        <v>#REF!</v>
      </c>
      <c r="CG238" t="e">
        <f>AND(#REF!,"AAAAACf3UlQ=")</f>
        <v>#REF!</v>
      </c>
      <c r="CH238" t="e">
        <f>AND(#REF!,"AAAAACf3UlU=")</f>
        <v>#REF!</v>
      </c>
      <c r="CI238" t="e">
        <f>AND(#REF!,"AAAAACf3UlY=")</f>
        <v>#REF!</v>
      </c>
      <c r="CJ238" t="e">
        <f>AND(#REF!,"AAAAACf3Ulc=")</f>
        <v>#REF!</v>
      </c>
      <c r="CK238" t="e">
        <f>AND(#REF!,"AAAAACf3Ulg=")</f>
        <v>#REF!</v>
      </c>
      <c r="CL238" t="e">
        <f>AND(#REF!,"AAAAACf3Ulk=")</f>
        <v>#REF!</v>
      </c>
      <c r="CM238" t="e">
        <f>AND(#REF!,"AAAAACf3Ulo=")</f>
        <v>#REF!</v>
      </c>
      <c r="CN238" t="e">
        <f>AND(#REF!,"AAAAACf3Uls=")</f>
        <v>#REF!</v>
      </c>
      <c r="CO238" t="e">
        <f>AND(#REF!,"AAAAACf3Ulw=")</f>
        <v>#REF!</v>
      </c>
      <c r="CP238" t="e">
        <f>AND(#REF!,"AAAAACf3Ul0=")</f>
        <v>#REF!</v>
      </c>
      <c r="CQ238" t="e">
        <f>AND(#REF!,"AAAAACf3Ul4=")</f>
        <v>#REF!</v>
      </c>
      <c r="CR238" t="e">
        <f>AND(#REF!,"AAAAACf3Ul8=")</f>
        <v>#REF!</v>
      </c>
      <c r="CS238" t="e">
        <f>AND(#REF!,"AAAAACf3UmA=")</f>
        <v>#REF!</v>
      </c>
      <c r="CT238" t="e">
        <f>AND(#REF!,"AAAAACf3UmE=")</f>
        <v>#REF!</v>
      </c>
      <c r="CU238" t="e">
        <f>AND(#REF!,"AAAAACf3UmI=")</f>
        <v>#REF!</v>
      </c>
      <c r="CV238" t="e">
        <f>AND(#REF!,"AAAAACf3UmM=")</f>
        <v>#REF!</v>
      </c>
      <c r="CW238" t="e">
        <f>AND(#REF!,"AAAAACf3UmQ=")</f>
        <v>#REF!</v>
      </c>
      <c r="CX238" t="e">
        <f>AND(#REF!,"AAAAACf3UmU=")</f>
        <v>#REF!</v>
      </c>
      <c r="CY238" t="e">
        <f>AND(#REF!,"AAAAACf3UmY=")</f>
        <v>#REF!</v>
      </c>
      <c r="CZ238" t="e">
        <f>AND(#REF!,"AAAAACf3Umc=")</f>
        <v>#REF!</v>
      </c>
      <c r="DA238" t="e">
        <f>AND(#REF!,"AAAAACf3Umg=")</f>
        <v>#REF!</v>
      </c>
      <c r="DB238" t="e">
        <f>AND(#REF!,"AAAAACf3Umk=")</f>
        <v>#REF!</v>
      </c>
      <c r="DC238" t="e">
        <f>AND(#REF!,"AAAAACf3Umo=")</f>
        <v>#REF!</v>
      </c>
      <c r="DD238" t="e">
        <f>AND(#REF!,"AAAAACf3Ums=")</f>
        <v>#REF!</v>
      </c>
      <c r="DE238" t="e">
        <f>AND(#REF!,"AAAAACf3Umw=")</f>
        <v>#REF!</v>
      </c>
      <c r="DF238" t="e">
        <f>AND(#REF!,"AAAAACf3Um0=")</f>
        <v>#REF!</v>
      </c>
      <c r="DG238" t="e">
        <f>AND(#REF!,"AAAAACf3Um4=")</f>
        <v>#REF!</v>
      </c>
      <c r="DH238" t="e">
        <f>AND(#REF!,"AAAAACf3Um8=")</f>
        <v>#REF!</v>
      </c>
      <c r="DI238" t="e">
        <f>AND(#REF!,"AAAAACf3UnA=")</f>
        <v>#REF!</v>
      </c>
      <c r="DJ238" t="e">
        <f>AND(#REF!,"AAAAACf3UnE=")</f>
        <v>#REF!</v>
      </c>
      <c r="DK238" t="e">
        <f>AND(#REF!,"AAAAACf3UnI=")</f>
        <v>#REF!</v>
      </c>
      <c r="DL238" t="e">
        <f>AND(#REF!,"AAAAACf3UnM=")</f>
        <v>#REF!</v>
      </c>
      <c r="DM238" t="e">
        <f>AND(#REF!,"AAAAACf3UnQ=")</f>
        <v>#REF!</v>
      </c>
      <c r="DN238" t="e">
        <f>AND(#REF!,"AAAAACf3UnU=")</f>
        <v>#REF!</v>
      </c>
      <c r="DO238" t="e">
        <f>AND(#REF!,"AAAAACf3UnY=")</f>
        <v>#REF!</v>
      </c>
      <c r="DP238" t="e">
        <f>AND(#REF!,"AAAAACf3Unc=")</f>
        <v>#REF!</v>
      </c>
      <c r="DQ238" t="e">
        <f>AND(#REF!,"AAAAACf3Ung=")</f>
        <v>#REF!</v>
      </c>
      <c r="DR238" t="e">
        <f>AND(#REF!,"AAAAACf3Unk=")</f>
        <v>#REF!</v>
      </c>
      <c r="DS238" t="e">
        <f>AND(#REF!,"AAAAACf3Uno=")</f>
        <v>#REF!</v>
      </c>
      <c r="DT238" t="e">
        <f>AND(#REF!,"AAAAACf3Uns=")</f>
        <v>#REF!</v>
      </c>
      <c r="DU238" t="e">
        <f>AND(#REF!,"AAAAACf3Unw=")</f>
        <v>#REF!</v>
      </c>
      <c r="DV238" t="e">
        <f>AND(#REF!,"AAAAACf3Un0=")</f>
        <v>#REF!</v>
      </c>
      <c r="DW238" t="e">
        <f>AND(#REF!,"AAAAACf3Un4=")</f>
        <v>#REF!</v>
      </c>
      <c r="DX238" t="e">
        <f>AND(#REF!,"AAAAACf3Un8=")</f>
        <v>#REF!</v>
      </c>
      <c r="DY238" t="e">
        <f>AND(#REF!,"AAAAACf3UoA=")</f>
        <v>#REF!</v>
      </c>
      <c r="DZ238" t="e">
        <f>AND(#REF!,"AAAAACf3UoE=")</f>
        <v>#REF!</v>
      </c>
      <c r="EA238" t="e">
        <f>AND(#REF!,"AAAAACf3UoI=")</f>
        <v>#REF!</v>
      </c>
      <c r="EB238" t="e">
        <f>AND(#REF!,"AAAAACf3UoM=")</f>
        <v>#REF!</v>
      </c>
      <c r="EC238" t="e">
        <f>AND(#REF!,"AAAAACf3UoQ=")</f>
        <v>#REF!</v>
      </c>
      <c r="ED238" t="e">
        <f>AND(#REF!,"AAAAACf3UoU=")</f>
        <v>#REF!</v>
      </c>
      <c r="EE238" t="e">
        <f>AND(#REF!,"AAAAACf3UoY=")</f>
        <v>#REF!</v>
      </c>
      <c r="EF238" t="e">
        <f>AND(#REF!,"AAAAACf3Uoc=")</f>
        <v>#REF!</v>
      </c>
      <c r="EG238" t="e">
        <f>AND(#REF!,"AAAAACf3Uog=")</f>
        <v>#REF!</v>
      </c>
      <c r="EH238" t="e">
        <f>AND(#REF!,"AAAAACf3Uok=")</f>
        <v>#REF!</v>
      </c>
      <c r="EI238" t="e">
        <f>AND(#REF!,"AAAAACf3Uoo=")</f>
        <v>#REF!</v>
      </c>
      <c r="EJ238" t="e">
        <f>AND(#REF!,"AAAAACf3Uos=")</f>
        <v>#REF!</v>
      </c>
      <c r="EK238" t="e">
        <f>AND(#REF!,"AAAAACf3Uow=")</f>
        <v>#REF!</v>
      </c>
      <c r="EL238" t="e">
        <f>AND(#REF!,"AAAAACf3Uo0=")</f>
        <v>#REF!</v>
      </c>
      <c r="EM238" t="e">
        <f>AND(#REF!,"AAAAACf3Uo4=")</f>
        <v>#REF!</v>
      </c>
      <c r="EN238" t="e">
        <f>AND(#REF!,"AAAAACf3Uo8=")</f>
        <v>#REF!</v>
      </c>
      <c r="EO238" t="e">
        <f>AND(#REF!,"AAAAACf3UpA=")</f>
        <v>#REF!</v>
      </c>
      <c r="EP238" t="e">
        <f>AND(#REF!,"AAAAACf3UpE=")</f>
        <v>#REF!</v>
      </c>
      <c r="EQ238" t="e">
        <f>IF(#REF!,"AAAAACf3UpI=",0)</f>
        <v>#REF!</v>
      </c>
      <c r="ER238" t="e">
        <f>AND(#REF!,"AAAAACf3UpM=")</f>
        <v>#REF!</v>
      </c>
      <c r="ES238" t="e">
        <f>AND(#REF!,"AAAAACf3UpQ=")</f>
        <v>#REF!</v>
      </c>
      <c r="ET238" t="e">
        <f>AND(#REF!,"AAAAACf3UpU=")</f>
        <v>#REF!</v>
      </c>
      <c r="EU238" t="e">
        <f>AND(#REF!,"AAAAACf3UpY=")</f>
        <v>#REF!</v>
      </c>
      <c r="EV238" t="e">
        <f>AND(#REF!,"AAAAACf3Upc=")</f>
        <v>#REF!</v>
      </c>
      <c r="EW238" t="e">
        <f>AND(#REF!,"AAAAACf3Upg=")</f>
        <v>#REF!</v>
      </c>
      <c r="EX238" t="e">
        <f>AND(#REF!,"AAAAACf3Upk=")</f>
        <v>#REF!</v>
      </c>
      <c r="EY238" t="e">
        <f>AND(#REF!,"AAAAACf3Upo=")</f>
        <v>#REF!</v>
      </c>
      <c r="EZ238" t="e">
        <f>AND(#REF!,"AAAAACf3Ups=")</f>
        <v>#REF!</v>
      </c>
      <c r="FA238" t="e">
        <f>AND(#REF!,"AAAAACf3Upw=")</f>
        <v>#REF!</v>
      </c>
      <c r="FB238" t="e">
        <f>AND(#REF!,"AAAAACf3Up0=")</f>
        <v>#REF!</v>
      </c>
      <c r="FC238" t="e">
        <f>AND(#REF!,"AAAAACf3Up4=")</f>
        <v>#REF!</v>
      </c>
      <c r="FD238" t="e">
        <f>AND(#REF!,"AAAAACf3Up8=")</f>
        <v>#REF!</v>
      </c>
      <c r="FE238" t="e">
        <f>AND(#REF!,"AAAAACf3UqA=")</f>
        <v>#REF!</v>
      </c>
      <c r="FF238" t="e">
        <f>AND(#REF!,"AAAAACf3UqE=")</f>
        <v>#REF!</v>
      </c>
      <c r="FG238" t="e">
        <f>AND(#REF!,"AAAAACf3UqI=")</f>
        <v>#REF!</v>
      </c>
      <c r="FH238" t="e">
        <f>AND(#REF!,"AAAAACf3UqM=")</f>
        <v>#REF!</v>
      </c>
      <c r="FI238" t="e">
        <f>AND(#REF!,"AAAAACf3UqQ=")</f>
        <v>#REF!</v>
      </c>
      <c r="FJ238" t="e">
        <f>AND(#REF!,"AAAAACf3UqU=")</f>
        <v>#REF!</v>
      </c>
      <c r="FK238" t="e">
        <f>AND(#REF!,"AAAAACf3UqY=")</f>
        <v>#REF!</v>
      </c>
      <c r="FL238" t="e">
        <f>AND(#REF!,"AAAAACf3Uqc=")</f>
        <v>#REF!</v>
      </c>
      <c r="FM238" t="e">
        <f>AND(#REF!,"AAAAACf3Uqg=")</f>
        <v>#REF!</v>
      </c>
      <c r="FN238" t="e">
        <f>AND(#REF!,"AAAAACf3Uqk=")</f>
        <v>#REF!</v>
      </c>
      <c r="FO238" t="e">
        <f>AND(#REF!,"AAAAACf3Uqo=")</f>
        <v>#REF!</v>
      </c>
      <c r="FP238" t="e">
        <f>AND(#REF!,"AAAAACf3Uqs=")</f>
        <v>#REF!</v>
      </c>
      <c r="FQ238" t="e">
        <f>AND(#REF!,"AAAAACf3Uqw=")</f>
        <v>#REF!</v>
      </c>
      <c r="FR238" t="e">
        <f>AND(#REF!,"AAAAACf3Uq0=")</f>
        <v>#REF!</v>
      </c>
      <c r="FS238" t="e">
        <f>AND(#REF!,"AAAAACf3Uq4=")</f>
        <v>#REF!</v>
      </c>
      <c r="FT238" t="e">
        <f>AND(#REF!,"AAAAACf3Uq8=")</f>
        <v>#REF!</v>
      </c>
      <c r="FU238" t="e">
        <f>AND(#REF!,"AAAAACf3UrA=")</f>
        <v>#REF!</v>
      </c>
      <c r="FV238" t="e">
        <f>AND(#REF!,"AAAAACf3UrE=")</f>
        <v>#REF!</v>
      </c>
      <c r="FW238" t="e">
        <f>AND(#REF!,"AAAAACf3UrI=")</f>
        <v>#REF!</v>
      </c>
      <c r="FX238" t="e">
        <f>AND(#REF!,"AAAAACf3UrM=")</f>
        <v>#REF!</v>
      </c>
      <c r="FY238" t="e">
        <f>AND(#REF!,"AAAAACf3UrQ=")</f>
        <v>#REF!</v>
      </c>
      <c r="FZ238" t="e">
        <f>AND(#REF!,"AAAAACf3UrU=")</f>
        <v>#REF!</v>
      </c>
      <c r="GA238" t="e">
        <f>AND(#REF!,"AAAAACf3UrY=")</f>
        <v>#REF!</v>
      </c>
      <c r="GB238" t="e">
        <f>AND(#REF!,"AAAAACf3Urc=")</f>
        <v>#REF!</v>
      </c>
      <c r="GC238" t="e">
        <f>AND(#REF!,"AAAAACf3Urg=")</f>
        <v>#REF!</v>
      </c>
      <c r="GD238" t="e">
        <f>AND(#REF!,"AAAAACf3Urk=")</f>
        <v>#REF!</v>
      </c>
      <c r="GE238" t="e">
        <f>AND(#REF!,"AAAAACf3Uro=")</f>
        <v>#REF!</v>
      </c>
      <c r="GF238" t="e">
        <f>AND(#REF!,"AAAAACf3Urs=")</f>
        <v>#REF!</v>
      </c>
      <c r="GG238" t="e">
        <f>AND(#REF!,"AAAAACf3Urw=")</f>
        <v>#REF!</v>
      </c>
      <c r="GH238" t="e">
        <f>AND(#REF!,"AAAAACf3Ur0=")</f>
        <v>#REF!</v>
      </c>
      <c r="GI238" t="e">
        <f>AND(#REF!,"AAAAACf3Ur4=")</f>
        <v>#REF!</v>
      </c>
      <c r="GJ238" t="e">
        <f>AND(#REF!,"AAAAACf3Ur8=")</f>
        <v>#REF!</v>
      </c>
      <c r="GK238" t="e">
        <f>AND(#REF!,"AAAAACf3UsA=")</f>
        <v>#REF!</v>
      </c>
      <c r="GL238" t="e">
        <f>AND(#REF!,"AAAAACf3UsE=")</f>
        <v>#REF!</v>
      </c>
      <c r="GM238" t="e">
        <f>AND(#REF!,"AAAAACf3UsI=")</f>
        <v>#REF!</v>
      </c>
      <c r="GN238" t="e">
        <f>AND(#REF!,"AAAAACf3UsM=")</f>
        <v>#REF!</v>
      </c>
      <c r="GO238" t="e">
        <f>AND(#REF!,"AAAAACf3UsQ=")</f>
        <v>#REF!</v>
      </c>
      <c r="GP238" t="e">
        <f>AND(#REF!,"AAAAACf3UsU=")</f>
        <v>#REF!</v>
      </c>
      <c r="GQ238" t="e">
        <f>AND(#REF!,"AAAAACf3UsY=")</f>
        <v>#REF!</v>
      </c>
      <c r="GR238" t="e">
        <f>AND(#REF!,"AAAAACf3Usc=")</f>
        <v>#REF!</v>
      </c>
      <c r="GS238" t="e">
        <f>AND(#REF!,"AAAAACf3Usg=")</f>
        <v>#REF!</v>
      </c>
      <c r="GT238" t="e">
        <f>AND(#REF!,"AAAAACf3Usk=")</f>
        <v>#REF!</v>
      </c>
      <c r="GU238" t="e">
        <f>AND(#REF!,"AAAAACf3Uso=")</f>
        <v>#REF!</v>
      </c>
      <c r="GV238" t="e">
        <f>AND(#REF!,"AAAAACf3Uss=")</f>
        <v>#REF!</v>
      </c>
      <c r="GW238" t="e">
        <f>AND(#REF!,"AAAAACf3Usw=")</f>
        <v>#REF!</v>
      </c>
      <c r="GX238" t="e">
        <f>AND(#REF!,"AAAAACf3Us0=")</f>
        <v>#REF!</v>
      </c>
      <c r="GY238" t="e">
        <f>AND(#REF!,"AAAAACf3Us4=")</f>
        <v>#REF!</v>
      </c>
      <c r="GZ238" t="e">
        <f>AND(#REF!,"AAAAACf3Us8=")</f>
        <v>#REF!</v>
      </c>
      <c r="HA238" t="e">
        <f>AND(#REF!,"AAAAACf3UtA=")</f>
        <v>#REF!</v>
      </c>
      <c r="HB238" t="e">
        <f>AND(#REF!,"AAAAACf3UtE=")</f>
        <v>#REF!</v>
      </c>
      <c r="HC238" t="e">
        <f>AND(#REF!,"AAAAACf3UtI=")</f>
        <v>#REF!</v>
      </c>
      <c r="HD238" t="e">
        <f>AND(#REF!,"AAAAACf3UtM=")</f>
        <v>#REF!</v>
      </c>
      <c r="HE238" t="e">
        <f>AND(#REF!,"AAAAACf3UtQ=")</f>
        <v>#REF!</v>
      </c>
      <c r="HF238" t="e">
        <f>AND(#REF!,"AAAAACf3UtU=")</f>
        <v>#REF!</v>
      </c>
      <c r="HG238" t="e">
        <f>AND(#REF!,"AAAAACf3UtY=")</f>
        <v>#REF!</v>
      </c>
      <c r="HH238" t="e">
        <f>AND(#REF!,"AAAAACf3Utc=")</f>
        <v>#REF!</v>
      </c>
      <c r="HI238" t="e">
        <f>AND(#REF!,"AAAAACf3Utg=")</f>
        <v>#REF!</v>
      </c>
      <c r="HJ238" t="e">
        <f>AND(#REF!,"AAAAACf3Utk=")</f>
        <v>#REF!</v>
      </c>
      <c r="HK238" t="e">
        <f>AND(#REF!,"AAAAACf3Uto=")</f>
        <v>#REF!</v>
      </c>
      <c r="HL238" t="e">
        <f>AND(#REF!,"AAAAACf3Uts=")</f>
        <v>#REF!</v>
      </c>
      <c r="HM238" t="e">
        <f>AND(#REF!,"AAAAACf3Utw=")</f>
        <v>#REF!</v>
      </c>
      <c r="HN238" t="e">
        <f>AND(#REF!,"AAAAACf3Ut0=")</f>
        <v>#REF!</v>
      </c>
      <c r="HO238" t="e">
        <f>AND(#REF!,"AAAAACf3Ut4=")</f>
        <v>#REF!</v>
      </c>
      <c r="HP238" t="e">
        <f>AND(#REF!,"AAAAACf3Ut8=")</f>
        <v>#REF!</v>
      </c>
      <c r="HQ238" t="e">
        <f>AND(#REF!,"AAAAACf3UuA=")</f>
        <v>#REF!</v>
      </c>
      <c r="HR238" t="e">
        <f>AND(#REF!,"AAAAACf3UuE=")</f>
        <v>#REF!</v>
      </c>
      <c r="HS238" t="e">
        <f>AND(#REF!,"AAAAACf3UuI=")</f>
        <v>#REF!</v>
      </c>
      <c r="HT238" t="e">
        <f>AND(#REF!,"AAAAACf3UuM=")</f>
        <v>#REF!</v>
      </c>
      <c r="HU238" t="e">
        <f>AND(#REF!,"AAAAACf3UuQ=")</f>
        <v>#REF!</v>
      </c>
      <c r="HV238" t="e">
        <f>AND(#REF!,"AAAAACf3UuU=")</f>
        <v>#REF!</v>
      </c>
      <c r="HW238" t="e">
        <f>AND(#REF!,"AAAAACf3UuY=")</f>
        <v>#REF!</v>
      </c>
      <c r="HX238" t="e">
        <f>AND(#REF!,"AAAAACf3Uuc=")</f>
        <v>#REF!</v>
      </c>
      <c r="HY238" t="e">
        <f>AND(#REF!,"AAAAACf3Uug=")</f>
        <v>#REF!</v>
      </c>
      <c r="HZ238" t="e">
        <f>AND(#REF!,"AAAAACf3Uuk=")</f>
        <v>#REF!</v>
      </c>
      <c r="IA238" t="e">
        <f>AND(#REF!,"AAAAACf3Uuo=")</f>
        <v>#REF!</v>
      </c>
      <c r="IB238" t="e">
        <f>AND(#REF!,"AAAAACf3Uus=")</f>
        <v>#REF!</v>
      </c>
      <c r="IC238" t="e">
        <f>AND(#REF!,"AAAAACf3Uuw=")</f>
        <v>#REF!</v>
      </c>
      <c r="ID238" t="e">
        <f>AND(#REF!,"AAAAACf3Uu0=")</f>
        <v>#REF!</v>
      </c>
      <c r="IE238" t="e">
        <f>AND(#REF!,"AAAAACf3Uu4=")</f>
        <v>#REF!</v>
      </c>
      <c r="IF238" t="e">
        <f>AND(#REF!,"AAAAACf3Uu8=")</f>
        <v>#REF!</v>
      </c>
      <c r="IG238" t="e">
        <f>AND(#REF!,"AAAAACf3UvA=")</f>
        <v>#REF!</v>
      </c>
      <c r="IH238" t="e">
        <f>AND(#REF!,"AAAAACf3UvE=")</f>
        <v>#REF!</v>
      </c>
      <c r="II238" t="e">
        <f>AND(#REF!,"AAAAACf3UvI=")</f>
        <v>#REF!</v>
      </c>
      <c r="IJ238" t="e">
        <f>AND(#REF!,"AAAAACf3UvM=")</f>
        <v>#REF!</v>
      </c>
      <c r="IK238" t="e">
        <f>AND(#REF!,"AAAAACf3UvQ=")</f>
        <v>#REF!</v>
      </c>
      <c r="IL238" t="e">
        <f>AND(#REF!,"AAAAACf3UvU=")</f>
        <v>#REF!</v>
      </c>
      <c r="IM238" t="e">
        <f>AND(#REF!,"AAAAACf3UvY=")</f>
        <v>#REF!</v>
      </c>
      <c r="IN238" t="e">
        <f>AND(#REF!,"AAAAACf3Uvc=")</f>
        <v>#REF!</v>
      </c>
      <c r="IO238" t="e">
        <f>AND(#REF!,"AAAAACf3Uvg=")</f>
        <v>#REF!</v>
      </c>
      <c r="IP238" t="e">
        <f>AND(#REF!,"AAAAACf3Uvk=")</f>
        <v>#REF!</v>
      </c>
      <c r="IQ238" t="e">
        <f>AND(#REF!,"AAAAACf3Uvo=")</f>
        <v>#REF!</v>
      </c>
      <c r="IR238" t="e">
        <f>AND(#REF!,"AAAAACf3Uvs=")</f>
        <v>#REF!</v>
      </c>
      <c r="IS238" t="e">
        <f>AND(#REF!,"AAAAACf3Uvw=")</f>
        <v>#REF!</v>
      </c>
      <c r="IT238" t="e">
        <f>AND(#REF!,"AAAAACf3Uv0=")</f>
        <v>#REF!</v>
      </c>
      <c r="IU238" t="e">
        <f>AND(#REF!,"AAAAACf3Uv4=")</f>
        <v>#REF!</v>
      </c>
      <c r="IV238" t="e">
        <f>AND(#REF!,"AAAAACf3Uv8=")</f>
        <v>#REF!</v>
      </c>
    </row>
    <row r="239" spans="1:256">
      <c r="A239" t="e">
        <f>AND(#REF!,"AAAAAD7P9QA=")</f>
        <v>#REF!</v>
      </c>
      <c r="B239" t="e">
        <f>AND(#REF!,"AAAAAD7P9QE=")</f>
        <v>#REF!</v>
      </c>
      <c r="C239" t="e">
        <f>AND(#REF!,"AAAAAD7P9QI=")</f>
        <v>#REF!</v>
      </c>
      <c r="D239" t="e">
        <f>AND(#REF!,"AAAAAD7P9QM=")</f>
        <v>#REF!</v>
      </c>
      <c r="E239" t="e">
        <f>AND(#REF!,"AAAAAD7P9QQ=")</f>
        <v>#REF!</v>
      </c>
      <c r="F239" t="e">
        <f>AND(#REF!,"AAAAAD7P9QU=")</f>
        <v>#REF!</v>
      </c>
      <c r="G239" t="e">
        <f>AND(#REF!,"AAAAAD7P9QY=")</f>
        <v>#REF!</v>
      </c>
      <c r="H239" t="e">
        <f>AND(#REF!,"AAAAAD7P9Qc=")</f>
        <v>#REF!</v>
      </c>
      <c r="I239" t="e">
        <f>AND(#REF!,"AAAAAD7P9Qg=")</f>
        <v>#REF!</v>
      </c>
      <c r="J239" t="e">
        <f>AND(#REF!,"AAAAAD7P9Qk=")</f>
        <v>#REF!</v>
      </c>
      <c r="K239" t="e">
        <f>AND(#REF!,"AAAAAD7P9Qo=")</f>
        <v>#REF!</v>
      </c>
      <c r="L239" t="e">
        <f>AND(#REF!,"AAAAAD7P9Qs=")</f>
        <v>#REF!</v>
      </c>
      <c r="M239" t="e">
        <f>AND(#REF!,"AAAAAD7P9Qw=")</f>
        <v>#REF!</v>
      </c>
      <c r="N239" t="e">
        <f>AND(#REF!,"AAAAAD7P9Q0=")</f>
        <v>#REF!</v>
      </c>
      <c r="O239" t="e">
        <f>AND(#REF!,"AAAAAD7P9Q4=")</f>
        <v>#REF!</v>
      </c>
      <c r="P239" t="e">
        <f>AND(#REF!,"AAAAAD7P9Q8=")</f>
        <v>#REF!</v>
      </c>
      <c r="Q239" t="e">
        <f>AND(#REF!,"AAAAAD7P9RA=")</f>
        <v>#REF!</v>
      </c>
      <c r="R239" t="e">
        <f>AND(#REF!,"AAAAAD7P9RE=")</f>
        <v>#REF!</v>
      </c>
      <c r="S239" t="e">
        <f>AND(#REF!,"AAAAAD7P9RI=")</f>
        <v>#REF!</v>
      </c>
      <c r="T239" t="e">
        <f>AND(#REF!,"AAAAAD7P9RM=")</f>
        <v>#REF!</v>
      </c>
      <c r="U239" t="e">
        <f>AND(#REF!,"AAAAAD7P9RQ=")</f>
        <v>#REF!</v>
      </c>
      <c r="V239" t="e">
        <f>AND(#REF!,"AAAAAD7P9RU=")</f>
        <v>#REF!</v>
      </c>
      <c r="W239" t="e">
        <f>AND(#REF!,"AAAAAD7P9RY=")</f>
        <v>#REF!</v>
      </c>
      <c r="X239" t="e">
        <f>AND(#REF!,"AAAAAD7P9Rc=")</f>
        <v>#REF!</v>
      </c>
      <c r="Y239" t="e">
        <f>AND(#REF!,"AAAAAD7P9Rg=")</f>
        <v>#REF!</v>
      </c>
      <c r="Z239" t="e">
        <f>AND(#REF!,"AAAAAD7P9Rk=")</f>
        <v>#REF!</v>
      </c>
      <c r="AA239" t="e">
        <f>AND(#REF!,"AAAAAD7P9Ro=")</f>
        <v>#REF!</v>
      </c>
      <c r="AB239" t="e">
        <f>AND(#REF!,"AAAAAD7P9Rs=")</f>
        <v>#REF!</v>
      </c>
      <c r="AC239" t="e">
        <f>AND(#REF!,"AAAAAD7P9Rw=")</f>
        <v>#REF!</v>
      </c>
      <c r="AD239" t="e">
        <f>AND(#REF!,"AAAAAD7P9R0=")</f>
        <v>#REF!</v>
      </c>
      <c r="AE239" t="e">
        <f>AND(#REF!,"AAAAAD7P9R4=")</f>
        <v>#REF!</v>
      </c>
      <c r="AF239" t="e">
        <f>AND(#REF!,"AAAAAD7P9R8=")</f>
        <v>#REF!</v>
      </c>
      <c r="AG239" t="e">
        <f>AND(#REF!,"AAAAAD7P9SA=")</f>
        <v>#REF!</v>
      </c>
      <c r="AH239" t="e">
        <f>AND(#REF!,"AAAAAD7P9SE=")</f>
        <v>#REF!</v>
      </c>
      <c r="AI239" t="e">
        <f>AND(#REF!,"AAAAAD7P9SI=")</f>
        <v>#REF!</v>
      </c>
      <c r="AJ239" t="e">
        <f>AND(#REF!,"AAAAAD7P9SM=")</f>
        <v>#REF!</v>
      </c>
      <c r="AK239" t="e">
        <f>AND(#REF!,"AAAAAD7P9SQ=")</f>
        <v>#REF!</v>
      </c>
      <c r="AL239" t="e">
        <f>AND(#REF!,"AAAAAD7P9SU=")</f>
        <v>#REF!</v>
      </c>
      <c r="AM239" t="e">
        <f>AND(#REF!,"AAAAAD7P9SY=")</f>
        <v>#REF!</v>
      </c>
      <c r="AN239" t="e">
        <f>AND(#REF!,"AAAAAD7P9Sc=")</f>
        <v>#REF!</v>
      </c>
      <c r="AO239" t="e">
        <f>AND(#REF!,"AAAAAD7P9Sg=")</f>
        <v>#REF!</v>
      </c>
      <c r="AP239" t="e">
        <f>AND(#REF!,"AAAAAD7P9Sk=")</f>
        <v>#REF!</v>
      </c>
      <c r="AQ239" t="e">
        <f>AND(#REF!,"AAAAAD7P9So=")</f>
        <v>#REF!</v>
      </c>
      <c r="AR239" t="e">
        <f>AND(#REF!,"AAAAAD7P9Ss=")</f>
        <v>#REF!</v>
      </c>
      <c r="AS239" t="e">
        <f>AND(#REF!,"AAAAAD7P9Sw=")</f>
        <v>#REF!</v>
      </c>
      <c r="AT239" t="e">
        <f>AND(#REF!,"AAAAAD7P9S0=")</f>
        <v>#REF!</v>
      </c>
      <c r="AU239" t="e">
        <f>AND(#REF!,"AAAAAD7P9S4=")</f>
        <v>#REF!</v>
      </c>
      <c r="AV239" t="e">
        <f>AND(#REF!,"AAAAAD7P9S8=")</f>
        <v>#REF!</v>
      </c>
      <c r="AW239" t="e">
        <f>AND(#REF!,"AAAAAD7P9TA=")</f>
        <v>#REF!</v>
      </c>
      <c r="AX239" t="e">
        <f>AND(#REF!,"AAAAAD7P9TE=")</f>
        <v>#REF!</v>
      </c>
      <c r="AY239" t="e">
        <f>AND(#REF!,"AAAAAD7P9TI=")</f>
        <v>#REF!</v>
      </c>
      <c r="AZ239" t="e">
        <f>AND(#REF!,"AAAAAD7P9TM=")</f>
        <v>#REF!</v>
      </c>
      <c r="BA239" t="e">
        <f>AND(#REF!,"AAAAAD7P9TQ=")</f>
        <v>#REF!</v>
      </c>
      <c r="BB239" t="e">
        <f>AND(#REF!,"AAAAAD7P9TU=")</f>
        <v>#REF!</v>
      </c>
      <c r="BC239" t="e">
        <f>AND(#REF!,"AAAAAD7P9TY=")</f>
        <v>#REF!</v>
      </c>
      <c r="BD239" t="e">
        <f>AND(#REF!,"AAAAAD7P9Tc=")</f>
        <v>#REF!</v>
      </c>
      <c r="BE239" t="e">
        <f>AND(#REF!,"AAAAAD7P9Tg=")</f>
        <v>#REF!</v>
      </c>
      <c r="BF239" t="e">
        <f>AND(#REF!,"AAAAAD7P9Tk=")</f>
        <v>#REF!</v>
      </c>
      <c r="BG239" t="e">
        <f>AND(#REF!,"AAAAAD7P9To=")</f>
        <v>#REF!</v>
      </c>
      <c r="BH239" t="e">
        <f>AND(#REF!,"AAAAAD7P9Ts=")</f>
        <v>#REF!</v>
      </c>
      <c r="BI239" t="e">
        <f>AND(#REF!,"AAAAAD7P9Tw=")</f>
        <v>#REF!</v>
      </c>
      <c r="BJ239" t="e">
        <f>AND(#REF!,"AAAAAD7P9T0=")</f>
        <v>#REF!</v>
      </c>
      <c r="BK239" t="e">
        <f>AND(#REF!,"AAAAAD7P9T4=")</f>
        <v>#REF!</v>
      </c>
      <c r="BL239" t="e">
        <f>AND(#REF!,"AAAAAD7P9T8=")</f>
        <v>#REF!</v>
      </c>
      <c r="BM239" t="e">
        <f>AND(#REF!,"AAAAAD7P9UA=")</f>
        <v>#REF!</v>
      </c>
      <c r="BN239" t="e">
        <f>AND(#REF!,"AAAAAD7P9UE=")</f>
        <v>#REF!</v>
      </c>
      <c r="BO239" t="e">
        <f>AND(#REF!,"AAAAAD7P9UI=")</f>
        <v>#REF!</v>
      </c>
      <c r="BP239" t="e">
        <f>AND(#REF!,"AAAAAD7P9UM=")</f>
        <v>#REF!</v>
      </c>
      <c r="BQ239" t="e">
        <f>AND(#REF!,"AAAAAD7P9UQ=")</f>
        <v>#REF!</v>
      </c>
      <c r="BR239" t="e">
        <f>AND(#REF!,"AAAAAD7P9UU=")</f>
        <v>#REF!</v>
      </c>
      <c r="BS239" t="e">
        <f>AND(#REF!,"AAAAAD7P9UY=")</f>
        <v>#REF!</v>
      </c>
      <c r="BT239" t="e">
        <f>AND(#REF!,"AAAAAD7P9Uc=")</f>
        <v>#REF!</v>
      </c>
      <c r="BU239" t="e">
        <f>AND(#REF!,"AAAAAD7P9Ug=")</f>
        <v>#REF!</v>
      </c>
      <c r="BV239" t="e">
        <f>AND(#REF!,"AAAAAD7P9Uk=")</f>
        <v>#REF!</v>
      </c>
      <c r="BW239" t="e">
        <f>AND(#REF!,"AAAAAD7P9Uo=")</f>
        <v>#REF!</v>
      </c>
      <c r="BX239" t="e">
        <f>AND(#REF!,"AAAAAD7P9Us=")</f>
        <v>#REF!</v>
      </c>
      <c r="BY239" t="e">
        <f>AND(#REF!,"AAAAAD7P9Uw=")</f>
        <v>#REF!</v>
      </c>
      <c r="BZ239" t="e">
        <f>AND(#REF!,"AAAAAD7P9U0=")</f>
        <v>#REF!</v>
      </c>
      <c r="CA239" t="e">
        <f>AND(#REF!,"AAAAAD7P9U4=")</f>
        <v>#REF!</v>
      </c>
      <c r="CB239" t="e">
        <f>AND(#REF!,"AAAAAD7P9U8=")</f>
        <v>#REF!</v>
      </c>
      <c r="CC239" t="e">
        <f>AND(#REF!,"AAAAAD7P9VA=")</f>
        <v>#REF!</v>
      </c>
      <c r="CD239" t="e">
        <f>AND(#REF!,"AAAAAD7P9VE=")</f>
        <v>#REF!</v>
      </c>
      <c r="CE239" t="e">
        <f>AND(#REF!,"AAAAAD7P9VI=")</f>
        <v>#REF!</v>
      </c>
      <c r="CF239" t="e">
        <f>AND(#REF!,"AAAAAD7P9VM=")</f>
        <v>#REF!</v>
      </c>
      <c r="CG239" t="e">
        <f>AND(#REF!,"AAAAAD7P9VQ=")</f>
        <v>#REF!</v>
      </c>
      <c r="CH239" t="e">
        <f>AND(#REF!,"AAAAAD7P9VU=")</f>
        <v>#REF!</v>
      </c>
      <c r="CI239" t="e">
        <f>AND(#REF!,"AAAAAD7P9VY=")</f>
        <v>#REF!</v>
      </c>
      <c r="CJ239" t="e">
        <f>AND(#REF!,"AAAAAD7P9Vc=")</f>
        <v>#REF!</v>
      </c>
      <c r="CK239" t="e">
        <f>AND(#REF!,"AAAAAD7P9Vg=")</f>
        <v>#REF!</v>
      </c>
      <c r="CL239" t="e">
        <f>AND(#REF!,"AAAAAD7P9Vk=")</f>
        <v>#REF!</v>
      </c>
      <c r="CM239" t="e">
        <f>AND(#REF!,"AAAAAD7P9Vo=")</f>
        <v>#REF!</v>
      </c>
      <c r="CN239" t="e">
        <f>AND(#REF!,"AAAAAD7P9Vs=")</f>
        <v>#REF!</v>
      </c>
      <c r="CO239" t="e">
        <f>AND(#REF!,"AAAAAD7P9Vw=")</f>
        <v>#REF!</v>
      </c>
      <c r="CP239" t="e">
        <f>AND(#REF!,"AAAAAD7P9V0=")</f>
        <v>#REF!</v>
      </c>
      <c r="CQ239" t="e">
        <f>AND(#REF!,"AAAAAD7P9V4=")</f>
        <v>#REF!</v>
      </c>
      <c r="CR239" t="e">
        <f>AND(#REF!,"AAAAAD7P9V8=")</f>
        <v>#REF!</v>
      </c>
      <c r="CS239" t="e">
        <f>AND(#REF!,"AAAAAD7P9WA=")</f>
        <v>#REF!</v>
      </c>
      <c r="CT239" t="e">
        <f>AND(#REF!,"AAAAAD7P9WE=")</f>
        <v>#REF!</v>
      </c>
      <c r="CU239" t="e">
        <f>AND(#REF!,"AAAAAD7P9WI=")</f>
        <v>#REF!</v>
      </c>
      <c r="CV239" t="e">
        <f>AND(#REF!,"AAAAAD7P9WM=")</f>
        <v>#REF!</v>
      </c>
      <c r="CW239" t="e">
        <f>AND(#REF!,"AAAAAD7P9WQ=")</f>
        <v>#REF!</v>
      </c>
      <c r="CX239" t="e">
        <f>AND(#REF!,"AAAAAD7P9WU=")</f>
        <v>#REF!</v>
      </c>
      <c r="CY239" t="e">
        <f>AND(#REF!,"AAAAAD7P9WY=")</f>
        <v>#REF!</v>
      </c>
      <c r="CZ239" t="e">
        <f>AND(#REF!,"AAAAAD7P9Wc=")</f>
        <v>#REF!</v>
      </c>
      <c r="DA239" t="e">
        <f>AND(#REF!,"AAAAAD7P9Wg=")</f>
        <v>#REF!</v>
      </c>
      <c r="DB239" t="e">
        <f>AND(#REF!,"AAAAAD7P9Wk=")</f>
        <v>#REF!</v>
      </c>
      <c r="DC239" t="e">
        <f>AND(#REF!,"AAAAAD7P9Wo=")</f>
        <v>#REF!</v>
      </c>
      <c r="DD239" t="e">
        <f>AND(#REF!,"AAAAAD7P9Ws=")</f>
        <v>#REF!</v>
      </c>
      <c r="DE239" t="e">
        <f>AND(#REF!,"AAAAAD7P9Ww=")</f>
        <v>#REF!</v>
      </c>
      <c r="DF239" t="e">
        <f>AND(#REF!,"AAAAAD7P9W0=")</f>
        <v>#REF!</v>
      </c>
      <c r="DG239" t="e">
        <f>AND(#REF!,"AAAAAD7P9W4=")</f>
        <v>#REF!</v>
      </c>
      <c r="DH239" t="e">
        <f>AND(#REF!,"AAAAAD7P9W8=")</f>
        <v>#REF!</v>
      </c>
      <c r="DI239" t="e">
        <f>AND(#REF!,"AAAAAD7P9XA=")</f>
        <v>#REF!</v>
      </c>
      <c r="DJ239" t="e">
        <f>AND(#REF!,"AAAAAD7P9XE=")</f>
        <v>#REF!</v>
      </c>
      <c r="DK239" t="e">
        <f>AND(#REF!,"AAAAAD7P9XI=")</f>
        <v>#REF!</v>
      </c>
      <c r="DL239" t="e">
        <f>AND(#REF!,"AAAAAD7P9XM=")</f>
        <v>#REF!</v>
      </c>
      <c r="DM239" t="e">
        <f>AND(#REF!,"AAAAAD7P9XQ=")</f>
        <v>#REF!</v>
      </c>
      <c r="DN239" t="e">
        <f>AND(#REF!,"AAAAAD7P9XU=")</f>
        <v>#REF!</v>
      </c>
      <c r="DO239" t="e">
        <f>IF(#REF!,"AAAAAD7P9XY=",0)</f>
        <v>#REF!</v>
      </c>
      <c r="DP239" t="e">
        <f>AND(#REF!,"AAAAAD7P9Xc=")</f>
        <v>#REF!</v>
      </c>
      <c r="DQ239" t="e">
        <f>AND(#REF!,"AAAAAD7P9Xg=")</f>
        <v>#REF!</v>
      </c>
      <c r="DR239" t="e">
        <f>AND(#REF!,"AAAAAD7P9Xk=")</f>
        <v>#REF!</v>
      </c>
      <c r="DS239" t="e">
        <f>AND(#REF!,"AAAAAD7P9Xo=")</f>
        <v>#REF!</v>
      </c>
      <c r="DT239" t="e">
        <f>AND(#REF!,"AAAAAD7P9Xs=")</f>
        <v>#REF!</v>
      </c>
      <c r="DU239" t="e">
        <f>AND(#REF!,"AAAAAD7P9Xw=")</f>
        <v>#REF!</v>
      </c>
      <c r="DV239" t="e">
        <f>AND(#REF!,"AAAAAD7P9X0=")</f>
        <v>#REF!</v>
      </c>
      <c r="DW239" t="e">
        <f>AND(#REF!,"AAAAAD7P9X4=")</f>
        <v>#REF!</v>
      </c>
      <c r="DX239" t="e">
        <f>AND(#REF!,"AAAAAD7P9X8=")</f>
        <v>#REF!</v>
      </c>
      <c r="DY239" t="e">
        <f>AND(#REF!,"AAAAAD7P9YA=")</f>
        <v>#REF!</v>
      </c>
      <c r="DZ239" t="e">
        <f>AND(#REF!,"AAAAAD7P9YE=")</f>
        <v>#REF!</v>
      </c>
      <c r="EA239" t="e">
        <f>AND(#REF!,"AAAAAD7P9YI=")</f>
        <v>#REF!</v>
      </c>
      <c r="EB239" t="e">
        <f>AND(#REF!,"AAAAAD7P9YM=")</f>
        <v>#REF!</v>
      </c>
      <c r="EC239" t="e">
        <f>AND(#REF!,"AAAAAD7P9YQ=")</f>
        <v>#REF!</v>
      </c>
      <c r="ED239" t="e">
        <f>AND(#REF!,"AAAAAD7P9YU=")</f>
        <v>#REF!</v>
      </c>
      <c r="EE239" t="e">
        <f>AND(#REF!,"AAAAAD7P9YY=")</f>
        <v>#REF!</v>
      </c>
      <c r="EF239" t="e">
        <f>AND(#REF!,"AAAAAD7P9Yc=")</f>
        <v>#REF!</v>
      </c>
      <c r="EG239" t="e">
        <f>AND(#REF!,"AAAAAD7P9Yg=")</f>
        <v>#REF!</v>
      </c>
      <c r="EH239" t="e">
        <f>AND(#REF!,"AAAAAD7P9Yk=")</f>
        <v>#REF!</v>
      </c>
      <c r="EI239" t="e">
        <f>AND(#REF!,"AAAAAD7P9Yo=")</f>
        <v>#REF!</v>
      </c>
      <c r="EJ239" t="e">
        <f>AND(#REF!,"AAAAAD7P9Ys=")</f>
        <v>#REF!</v>
      </c>
      <c r="EK239" t="e">
        <f>AND(#REF!,"AAAAAD7P9Yw=")</f>
        <v>#REF!</v>
      </c>
      <c r="EL239" t="e">
        <f>AND(#REF!,"AAAAAD7P9Y0=")</f>
        <v>#REF!</v>
      </c>
      <c r="EM239" t="e">
        <f>AND(#REF!,"AAAAAD7P9Y4=")</f>
        <v>#REF!</v>
      </c>
      <c r="EN239" t="e">
        <f>AND(#REF!,"AAAAAD7P9Y8=")</f>
        <v>#REF!</v>
      </c>
      <c r="EO239" t="e">
        <f>AND(#REF!,"AAAAAD7P9ZA=")</f>
        <v>#REF!</v>
      </c>
      <c r="EP239" t="e">
        <f>AND(#REF!,"AAAAAD7P9ZE=")</f>
        <v>#REF!</v>
      </c>
      <c r="EQ239" t="e">
        <f>AND(#REF!,"AAAAAD7P9ZI=")</f>
        <v>#REF!</v>
      </c>
      <c r="ER239" t="e">
        <f>AND(#REF!,"AAAAAD7P9ZM=")</f>
        <v>#REF!</v>
      </c>
      <c r="ES239" t="e">
        <f>AND(#REF!,"AAAAAD7P9ZQ=")</f>
        <v>#REF!</v>
      </c>
      <c r="ET239" t="e">
        <f>AND(#REF!,"AAAAAD7P9ZU=")</f>
        <v>#REF!</v>
      </c>
      <c r="EU239" t="e">
        <f>AND(#REF!,"AAAAAD7P9ZY=")</f>
        <v>#REF!</v>
      </c>
      <c r="EV239" t="e">
        <f>AND(#REF!,"AAAAAD7P9Zc=")</f>
        <v>#REF!</v>
      </c>
      <c r="EW239" t="e">
        <f>AND(#REF!,"AAAAAD7P9Zg=")</f>
        <v>#REF!</v>
      </c>
      <c r="EX239" t="e">
        <f>AND(#REF!,"AAAAAD7P9Zk=")</f>
        <v>#REF!</v>
      </c>
      <c r="EY239" t="e">
        <f>AND(#REF!,"AAAAAD7P9Zo=")</f>
        <v>#REF!</v>
      </c>
      <c r="EZ239" t="e">
        <f>AND(#REF!,"AAAAAD7P9Zs=")</f>
        <v>#REF!</v>
      </c>
      <c r="FA239" t="e">
        <f>AND(#REF!,"AAAAAD7P9Zw=")</f>
        <v>#REF!</v>
      </c>
      <c r="FB239" t="e">
        <f>AND(#REF!,"AAAAAD7P9Z0=")</f>
        <v>#REF!</v>
      </c>
      <c r="FC239" t="e">
        <f>AND(#REF!,"AAAAAD7P9Z4=")</f>
        <v>#REF!</v>
      </c>
      <c r="FD239" t="e">
        <f>AND(#REF!,"AAAAAD7P9Z8=")</f>
        <v>#REF!</v>
      </c>
      <c r="FE239" t="e">
        <f>AND(#REF!,"AAAAAD7P9aA=")</f>
        <v>#REF!</v>
      </c>
      <c r="FF239" t="e">
        <f>AND(#REF!,"AAAAAD7P9aE=")</f>
        <v>#REF!</v>
      </c>
      <c r="FG239" t="e">
        <f>AND(#REF!,"AAAAAD7P9aI=")</f>
        <v>#REF!</v>
      </c>
      <c r="FH239" t="e">
        <f>AND(#REF!,"AAAAAD7P9aM=")</f>
        <v>#REF!</v>
      </c>
      <c r="FI239" t="e">
        <f>AND(#REF!,"AAAAAD7P9aQ=")</f>
        <v>#REF!</v>
      </c>
      <c r="FJ239" t="e">
        <f>AND(#REF!,"AAAAAD7P9aU=")</f>
        <v>#REF!</v>
      </c>
      <c r="FK239" t="e">
        <f>AND(#REF!,"AAAAAD7P9aY=")</f>
        <v>#REF!</v>
      </c>
      <c r="FL239" t="e">
        <f>AND(#REF!,"AAAAAD7P9ac=")</f>
        <v>#REF!</v>
      </c>
      <c r="FM239" t="e">
        <f>AND(#REF!,"AAAAAD7P9ag=")</f>
        <v>#REF!</v>
      </c>
      <c r="FN239" t="e">
        <f>AND(#REF!,"AAAAAD7P9ak=")</f>
        <v>#REF!</v>
      </c>
      <c r="FO239" t="e">
        <f>AND(#REF!,"AAAAAD7P9ao=")</f>
        <v>#REF!</v>
      </c>
      <c r="FP239" t="e">
        <f>AND(#REF!,"AAAAAD7P9as=")</f>
        <v>#REF!</v>
      </c>
      <c r="FQ239" t="e">
        <f>AND(#REF!,"AAAAAD7P9aw=")</f>
        <v>#REF!</v>
      </c>
      <c r="FR239" t="e">
        <f>AND(#REF!,"AAAAAD7P9a0=")</f>
        <v>#REF!</v>
      </c>
      <c r="FS239" t="e">
        <f>AND(#REF!,"AAAAAD7P9a4=")</f>
        <v>#REF!</v>
      </c>
      <c r="FT239" t="e">
        <f>AND(#REF!,"AAAAAD7P9a8=")</f>
        <v>#REF!</v>
      </c>
      <c r="FU239" t="e">
        <f>AND(#REF!,"AAAAAD7P9bA=")</f>
        <v>#REF!</v>
      </c>
      <c r="FV239" t="e">
        <f>AND(#REF!,"AAAAAD7P9bE=")</f>
        <v>#REF!</v>
      </c>
      <c r="FW239" t="e">
        <f>AND(#REF!,"AAAAAD7P9bI=")</f>
        <v>#REF!</v>
      </c>
      <c r="FX239" t="e">
        <f>AND(#REF!,"AAAAAD7P9bM=")</f>
        <v>#REF!</v>
      </c>
      <c r="FY239" t="e">
        <f>AND(#REF!,"AAAAAD7P9bQ=")</f>
        <v>#REF!</v>
      </c>
      <c r="FZ239" t="e">
        <f>AND(#REF!,"AAAAAD7P9bU=")</f>
        <v>#REF!</v>
      </c>
      <c r="GA239" t="e">
        <f>AND(#REF!,"AAAAAD7P9bY=")</f>
        <v>#REF!</v>
      </c>
      <c r="GB239" t="e">
        <f>AND(#REF!,"AAAAAD7P9bc=")</f>
        <v>#REF!</v>
      </c>
      <c r="GC239" t="e">
        <f>AND(#REF!,"AAAAAD7P9bg=")</f>
        <v>#REF!</v>
      </c>
      <c r="GD239" t="e">
        <f>AND(#REF!,"AAAAAD7P9bk=")</f>
        <v>#REF!</v>
      </c>
      <c r="GE239" t="e">
        <f>AND(#REF!,"AAAAAD7P9bo=")</f>
        <v>#REF!</v>
      </c>
      <c r="GF239" t="e">
        <f>AND(#REF!,"AAAAAD7P9bs=")</f>
        <v>#REF!</v>
      </c>
      <c r="GG239" t="e">
        <f>AND(#REF!,"AAAAAD7P9bw=")</f>
        <v>#REF!</v>
      </c>
      <c r="GH239" t="e">
        <f>AND(#REF!,"AAAAAD7P9b0=")</f>
        <v>#REF!</v>
      </c>
      <c r="GI239" t="e">
        <f>AND(#REF!,"AAAAAD7P9b4=")</f>
        <v>#REF!</v>
      </c>
      <c r="GJ239" t="e">
        <f>AND(#REF!,"AAAAAD7P9b8=")</f>
        <v>#REF!</v>
      </c>
      <c r="GK239" t="e">
        <f>AND(#REF!,"AAAAAD7P9cA=")</f>
        <v>#REF!</v>
      </c>
      <c r="GL239" t="e">
        <f>AND(#REF!,"AAAAAD7P9cE=")</f>
        <v>#REF!</v>
      </c>
      <c r="GM239" t="e">
        <f>AND(#REF!,"AAAAAD7P9cI=")</f>
        <v>#REF!</v>
      </c>
      <c r="GN239" t="e">
        <f>AND(#REF!,"AAAAAD7P9cM=")</f>
        <v>#REF!</v>
      </c>
      <c r="GO239" t="e">
        <f>AND(#REF!,"AAAAAD7P9cQ=")</f>
        <v>#REF!</v>
      </c>
      <c r="GP239" t="e">
        <f>AND(#REF!,"AAAAAD7P9cU=")</f>
        <v>#REF!</v>
      </c>
      <c r="GQ239" t="e">
        <f>AND(#REF!,"AAAAAD7P9cY=")</f>
        <v>#REF!</v>
      </c>
      <c r="GR239" t="e">
        <f>AND(#REF!,"AAAAAD7P9cc=")</f>
        <v>#REF!</v>
      </c>
      <c r="GS239" t="e">
        <f>AND(#REF!,"AAAAAD7P9cg=")</f>
        <v>#REF!</v>
      </c>
      <c r="GT239" t="e">
        <f>AND(#REF!,"AAAAAD7P9ck=")</f>
        <v>#REF!</v>
      </c>
      <c r="GU239" t="e">
        <f>AND(#REF!,"AAAAAD7P9co=")</f>
        <v>#REF!</v>
      </c>
      <c r="GV239" t="e">
        <f>AND(#REF!,"AAAAAD7P9cs=")</f>
        <v>#REF!</v>
      </c>
      <c r="GW239" t="e">
        <f>AND(#REF!,"AAAAAD7P9cw=")</f>
        <v>#REF!</v>
      </c>
      <c r="GX239" t="e">
        <f>AND(#REF!,"AAAAAD7P9c0=")</f>
        <v>#REF!</v>
      </c>
      <c r="GY239" t="e">
        <f>AND(#REF!,"AAAAAD7P9c4=")</f>
        <v>#REF!</v>
      </c>
      <c r="GZ239" t="e">
        <f>AND(#REF!,"AAAAAD7P9c8=")</f>
        <v>#REF!</v>
      </c>
      <c r="HA239" t="e">
        <f>AND(#REF!,"AAAAAD7P9dA=")</f>
        <v>#REF!</v>
      </c>
      <c r="HB239" t="e">
        <f>AND(#REF!,"AAAAAD7P9dE=")</f>
        <v>#REF!</v>
      </c>
      <c r="HC239" t="e">
        <f>AND(#REF!,"AAAAAD7P9dI=")</f>
        <v>#REF!</v>
      </c>
      <c r="HD239" t="e">
        <f>AND(#REF!,"AAAAAD7P9dM=")</f>
        <v>#REF!</v>
      </c>
      <c r="HE239" t="e">
        <f>AND(#REF!,"AAAAAD7P9dQ=")</f>
        <v>#REF!</v>
      </c>
      <c r="HF239" t="e">
        <f>AND(#REF!,"AAAAAD7P9dU=")</f>
        <v>#REF!</v>
      </c>
      <c r="HG239" t="e">
        <f>AND(#REF!,"AAAAAD7P9dY=")</f>
        <v>#REF!</v>
      </c>
      <c r="HH239" t="e">
        <f>AND(#REF!,"AAAAAD7P9dc=")</f>
        <v>#REF!</v>
      </c>
      <c r="HI239" t="e">
        <f>AND(#REF!,"AAAAAD7P9dg=")</f>
        <v>#REF!</v>
      </c>
      <c r="HJ239" t="e">
        <f>AND(#REF!,"AAAAAD7P9dk=")</f>
        <v>#REF!</v>
      </c>
      <c r="HK239" t="e">
        <f>AND(#REF!,"AAAAAD7P9do=")</f>
        <v>#REF!</v>
      </c>
      <c r="HL239" t="e">
        <f>AND(#REF!,"AAAAAD7P9ds=")</f>
        <v>#REF!</v>
      </c>
      <c r="HM239" t="e">
        <f>AND(#REF!,"AAAAAD7P9dw=")</f>
        <v>#REF!</v>
      </c>
      <c r="HN239" t="e">
        <f>AND(#REF!,"AAAAAD7P9d0=")</f>
        <v>#REF!</v>
      </c>
      <c r="HO239" t="e">
        <f>AND(#REF!,"AAAAAD7P9d4=")</f>
        <v>#REF!</v>
      </c>
      <c r="HP239" t="e">
        <f>AND(#REF!,"AAAAAD7P9d8=")</f>
        <v>#REF!</v>
      </c>
      <c r="HQ239" t="e">
        <f>AND(#REF!,"AAAAAD7P9eA=")</f>
        <v>#REF!</v>
      </c>
      <c r="HR239" t="e">
        <f>AND(#REF!,"AAAAAD7P9eE=")</f>
        <v>#REF!</v>
      </c>
      <c r="HS239" t="e">
        <f>AND(#REF!,"AAAAAD7P9eI=")</f>
        <v>#REF!</v>
      </c>
      <c r="HT239" t="e">
        <f>AND(#REF!,"AAAAAD7P9eM=")</f>
        <v>#REF!</v>
      </c>
      <c r="HU239" t="e">
        <f>AND(#REF!,"AAAAAD7P9eQ=")</f>
        <v>#REF!</v>
      </c>
      <c r="HV239" t="e">
        <f>AND(#REF!,"AAAAAD7P9eU=")</f>
        <v>#REF!</v>
      </c>
      <c r="HW239" t="e">
        <f>AND(#REF!,"AAAAAD7P9eY=")</f>
        <v>#REF!</v>
      </c>
      <c r="HX239" t="e">
        <f>AND(#REF!,"AAAAAD7P9ec=")</f>
        <v>#REF!</v>
      </c>
      <c r="HY239" t="e">
        <f>AND(#REF!,"AAAAAD7P9eg=")</f>
        <v>#REF!</v>
      </c>
      <c r="HZ239" t="e">
        <f>AND(#REF!,"AAAAAD7P9ek=")</f>
        <v>#REF!</v>
      </c>
      <c r="IA239" t="e">
        <f>AND(#REF!,"AAAAAD7P9eo=")</f>
        <v>#REF!</v>
      </c>
      <c r="IB239" t="e">
        <f>AND(#REF!,"AAAAAD7P9es=")</f>
        <v>#REF!</v>
      </c>
      <c r="IC239" t="e">
        <f>AND(#REF!,"AAAAAD7P9ew=")</f>
        <v>#REF!</v>
      </c>
      <c r="ID239" t="e">
        <f>AND(#REF!,"AAAAAD7P9e0=")</f>
        <v>#REF!</v>
      </c>
      <c r="IE239" t="e">
        <f>AND(#REF!,"AAAAAD7P9e4=")</f>
        <v>#REF!</v>
      </c>
      <c r="IF239" t="e">
        <f>AND(#REF!,"AAAAAD7P9e8=")</f>
        <v>#REF!</v>
      </c>
      <c r="IG239" t="e">
        <f>AND(#REF!,"AAAAAD7P9fA=")</f>
        <v>#REF!</v>
      </c>
      <c r="IH239" t="e">
        <f>AND(#REF!,"AAAAAD7P9fE=")</f>
        <v>#REF!</v>
      </c>
      <c r="II239" t="e">
        <f>AND(#REF!,"AAAAAD7P9fI=")</f>
        <v>#REF!</v>
      </c>
      <c r="IJ239" t="e">
        <f>AND(#REF!,"AAAAAD7P9fM=")</f>
        <v>#REF!</v>
      </c>
      <c r="IK239" t="e">
        <f>AND(#REF!,"AAAAAD7P9fQ=")</f>
        <v>#REF!</v>
      </c>
      <c r="IL239" t="e">
        <f>AND(#REF!,"AAAAAD7P9fU=")</f>
        <v>#REF!</v>
      </c>
      <c r="IM239" t="e">
        <f>AND(#REF!,"AAAAAD7P9fY=")</f>
        <v>#REF!</v>
      </c>
      <c r="IN239" t="e">
        <f>AND(#REF!,"AAAAAD7P9fc=")</f>
        <v>#REF!</v>
      </c>
      <c r="IO239" t="e">
        <f>AND(#REF!,"AAAAAD7P9fg=")</f>
        <v>#REF!</v>
      </c>
      <c r="IP239" t="e">
        <f>AND(#REF!,"AAAAAD7P9fk=")</f>
        <v>#REF!</v>
      </c>
      <c r="IQ239" t="e">
        <f>AND(#REF!,"AAAAAD7P9fo=")</f>
        <v>#REF!</v>
      </c>
      <c r="IR239" t="e">
        <f>AND(#REF!,"AAAAAD7P9fs=")</f>
        <v>#REF!</v>
      </c>
      <c r="IS239" t="e">
        <f>AND(#REF!,"AAAAAD7P9fw=")</f>
        <v>#REF!</v>
      </c>
      <c r="IT239" t="e">
        <f>AND(#REF!,"AAAAAD7P9f0=")</f>
        <v>#REF!</v>
      </c>
      <c r="IU239" t="e">
        <f>AND(#REF!,"AAAAAD7P9f4=")</f>
        <v>#REF!</v>
      </c>
      <c r="IV239" t="e">
        <f>AND(#REF!,"AAAAAD7P9f8=")</f>
        <v>#REF!</v>
      </c>
    </row>
    <row r="240" spans="1:256">
      <c r="A240" t="e">
        <f>AND(#REF!,"AAAAAFt3vgA=")</f>
        <v>#REF!</v>
      </c>
      <c r="B240" t="e">
        <f>AND(#REF!,"AAAAAFt3vgE=")</f>
        <v>#REF!</v>
      </c>
      <c r="C240" t="e">
        <f>AND(#REF!,"AAAAAFt3vgI=")</f>
        <v>#REF!</v>
      </c>
      <c r="D240" t="e">
        <f>AND(#REF!,"AAAAAFt3vgM=")</f>
        <v>#REF!</v>
      </c>
      <c r="E240" t="e">
        <f>AND(#REF!,"AAAAAFt3vgQ=")</f>
        <v>#REF!</v>
      </c>
      <c r="F240" t="e">
        <f>AND(#REF!,"AAAAAFt3vgU=")</f>
        <v>#REF!</v>
      </c>
      <c r="G240" t="e">
        <f>AND(#REF!,"AAAAAFt3vgY=")</f>
        <v>#REF!</v>
      </c>
      <c r="H240" t="e">
        <f>AND(#REF!,"AAAAAFt3vgc=")</f>
        <v>#REF!</v>
      </c>
      <c r="I240" t="e">
        <f>AND(#REF!,"AAAAAFt3vgg=")</f>
        <v>#REF!</v>
      </c>
      <c r="J240" t="e">
        <f>AND(#REF!,"AAAAAFt3vgk=")</f>
        <v>#REF!</v>
      </c>
      <c r="K240" t="e">
        <f>AND(#REF!,"AAAAAFt3vgo=")</f>
        <v>#REF!</v>
      </c>
      <c r="L240" t="e">
        <f>AND(#REF!,"AAAAAFt3vgs=")</f>
        <v>#REF!</v>
      </c>
      <c r="M240" t="e">
        <f>AND(#REF!,"AAAAAFt3vgw=")</f>
        <v>#REF!</v>
      </c>
      <c r="N240" t="e">
        <f>AND(#REF!,"AAAAAFt3vg0=")</f>
        <v>#REF!</v>
      </c>
      <c r="O240" t="e">
        <f>AND(#REF!,"AAAAAFt3vg4=")</f>
        <v>#REF!</v>
      </c>
      <c r="P240" t="e">
        <f>AND(#REF!,"AAAAAFt3vg8=")</f>
        <v>#REF!</v>
      </c>
      <c r="Q240" t="e">
        <f>AND(#REF!,"AAAAAFt3vhA=")</f>
        <v>#REF!</v>
      </c>
      <c r="R240" t="e">
        <f>AND(#REF!,"AAAAAFt3vhE=")</f>
        <v>#REF!</v>
      </c>
      <c r="S240" t="e">
        <f>AND(#REF!,"AAAAAFt3vhI=")</f>
        <v>#REF!</v>
      </c>
      <c r="T240" t="e">
        <f>AND(#REF!,"AAAAAFt3vhM=")</f>
        <v>#REF!</v>
      </c>
      <c r="U240" t="e">
        <f>AND(#REF!,"AAAAAFt3vhQ=")</f>
        <v>#REF!</v>
      </c>
      <c r="V240" t="e">
        <f>AND(#REF!,"AAAAAFt3vhU=")</f>
        <v>#REF!</v>
      </c>
      <c r="W240" t="e">
        <f>AND(#REF!,"AAAAAFt3vhY=")</f>
        <v>#REF!</v>
      </c>
      <c r="X240" t="e">
        <f>AND(#REF!,"AAAAAFt3vhc=")</f>
        <v>#REF!</v>
      </c>
      <c r="Y240" t="e">
        <f>AND(#REF!,"AAAAAFt3vhg=")</f>
        <v>#REF!</v>
      </c>
      <c r="Z240" t="e">
        <f>AND(#REF!,"AAAAAFt3vhk=")</f>
        <v>#REF!</v>
      </c>
      <c r="AA240" t="e">
        <f>AND(#REF!,"AAAAAFt3vho=")</f>
        <v>#REF!</v>
      </c>
      <c r="AB240" t="e">
        <f>AND(#REF!,"AAAAAFt3vhs=")</f>
        <v>#REF!</v>
      </c>
      <c r="AC240" t="e">
        <f>AND(#REF!,"AAAAAFt3vhw=")</f>
        <v>#REF!</v>
      </c>
      <c r="AD240" t="e">
        <f>AND(#REF!,"AAAAAFt3vh0=")</f>
        <v>#REF!</v>
      </c>
      <c r="AE240" t="e">
        <f>AND(#REF!,"AAAAAFt3vh4=")</f>
        <v>#REF!</v>
      </c>
      <c r="AF240" t="e">
        <f>AND(#REF!,"AAAAAFt3vh8=")</f>
        <v>#REF!</v>
      </c>
      <c r="AG240" t="e">
        <f>AND(#REF!,"AAAAAFt3viA=")</f>
        <v>#REF!</v>
      </c>
      <c r="AH240" t="e">
        <f>AND(#REF!,"AAAAAFt3viE=")</f>
        <v>#REF!</v>
      </c>
      <c r="AI240" t="e">
        <f>AND(#REF!,"AAAAAFt3viI=")</f>
        <v>#REF!</v>
      </c>
      <c r="AJ240" t="e">
        <f>AND(#REF!,"AAAAAFt3viM=")</f>
        <v>#REF!</v>
      </c>
      <c r="AK240" t="e">
        <f>AND(#REF!,"AAAAAFt3viQ=")</f>
        <v>#REF!</v>
      </c>
      <c r="AL240" t="e">
        <f>AND(#REF!,"AAAAAFt3viU=")</f>
        <v>#REF!</v>
      </c>
      <c r="AM240" t="e">
        <f>AND(#REF!,"AAAAAFt3viY=")</f>
        <v>#REF!</v>
      </c>
      <c r="AN240" t="e">
        <f>AND(#REF!,"AAAAAFt3vic=")</f>
        <v>#REF!</v>
      </c>
      <c r="AO240" t="e">
        <f>AND(#REF!,"AAAAAFt3vig=")</f>
        <v>#REF!</v>
      </c>
      <c r="AP240" t="e">
        <f>AND(#REF!,"AAAAAFt3vik=")</f>
        <v>#REF!</v>
      </c>
      <c r="AQ240" t="e">
        <f>AND(#REF!,"AAAAAFt3vio=")</f>
        <v>#REF!</v>
      </c>
      <c r="AR240" t="e">
        <f>AND(#REF!,"AAAAAFt3vis=")</f>
        <v>#REF!</v>
      </c>
      <c r="AS240" t="e">
        <f>AND(#REF!,"AAAAAFt3viw=")</f>
        <v>#REF!</v>
      </c>
      <c r="AT240" t="e">
        <f>AND(#REF!,"AAAAAFt3vi0=")</f>
        <v>#REF!</v>
      </c>
      <c r="AU240" t="e">
        <f>AND(#REF!,"AAAAAFt3vi4=")</f>
        <v>#REF!</v>
      </c>
      <c r="AV240" t="e">
        <f>AND(#REF!,"AAAAAFt3vi8=")</f>
        <v>#REF!</v>
      </c>
      <c r="AW240" t="e">
        <f>AND(#REF!,"AAAAAFt3vjA=")</f>
        <v>#REF!</v>
      </c>
      <c r="AX240" t="e">
        <f>AND(#REF!,"AAAAAFt3vjE=")</f>
        <v>#REF!</v>
      </c>
      <c r="AY240" t="e">
        <f>AND(#REF!,"AAAAAFt3vjI=")</f>
        <v>#REF!</v>
      </c>
      <c r="AZ240" t="e">
        <f>AND(#REF!,"AAAAAFt3vjM=")</f>
        <v>#REF!</v>
      </c>
      <c r="BA240" t="e">
        <f>AND(#REF!,"AAAAAFt3vjQ=")</f>
        <v>#REF!</v>
      </c>
      <c r="BB240" t="e">
        <f>AND(#REF!,"AAAAAFt3vjU=")</f>
        <v>#REF!</v>
      </c>
      <c r="BC240" t="e">
        <f>AND(#REF!,"AAAAAFt3vjY=")</f>
        <v>#REF!</v>
      </c>
      <c r="BD240" t="e">
        <f>AND(#REF!,"AAAAAFt3vjc=")</f>
        <v>#REF!</v>
      </c>
      <c r="BE240" t="e">
        <f>AND(#REF!,"AAAAAFt3vjg=")</f>
        <v>#REF!</v>
      </c>
      <c r="BF240" t="e">
        <f>AND(#REF!,"AAAAAFt3vjk=")</f>
        <v>#REF!</v>
      </c>
      <c r="BG240" t="e">
        <f>AND(#REF!,"AAAAAFt3vjo=")</f>
        <v>#REF!</v>
      </c>
      <c r="BH240" t="e">
        <f>AND(#REF!,"AAAAAFt3vjs=")</f>
        <v>#REF!</v>
      </c>
      <c r="BI240" t="e">
        <f>AND(#REF!,"AAAAAFt3vjw=")</f>
        <v>#REF!</v>
      </c>
      <c r="BJ240" t="e">
        <f>AND(#REF!,"AAAAAFt3vj0=")</f>
        <v>#REF!</v>
      </c>
      <c r="BK240" t="e">
        <f>AND(#REF!,"AAAAAFt3vj4=")</f>
        <v>#REF!</v>
      </c>
      <c r="BL240" t="e">
        <f>AND(#REF!,"AAAAAFt3vj8=")</f>
        <v>#REF!</v>
      </c>
      <c r="BM240" t="e">
        <f>AND(#REF!,"AAAAAFt3vkA=")</f>
        <v>#REF!</v>
      </c>
      <c r="BN240" t="e">
        <f>AND(#REF!,"AAAAAFt3vkE=")</f>
        <v>#REF!</v>
      </c>
      <c r="BO240" t="e">
        <f>AND(#REF!,"AAAAAFt3vkI=")</f>
        <v>#REF!</v>
      </c>
      <c r="BP240" t="e">
        <f>AND(#REF!,"AAAAAFt3vkM=")</f>
        <v>#REF!</v>
      </c>
      <c r="BQ240" t="e">
        <f>AND(#REF!,"AAAAAFt3vkQ=")</f>
        <v>#REF!</v>
      </c>
      <c r="BR240" t="e">
        <f>AND(#REF!,"AAAAAFt3vkU=")</f>
        <v>#REF!</v>
      </c>
      <c r="BS240" t="e">
        <f>AND(#REF!,"AAAAAFt3vkY=")</f>
        <v>#REF!</v>
      </c>
      <c r="BT240" t="e">
        <f>AND(#REF!,"AAAAAFt3vkc=")</f>
        <v>#REF!</v>
      </c>
      <c r="BU240" t="e">
        <f>AND(#REF!,"AAAAAFt3vkg=")</f>
        <v>#REF!</v>
      </c>
      <c r="BV240" t="e">
        <f>AND(#REF!,"AAAAAFt3vkk=")</f>
        <v>#REF!</v>
      </c>
      <c r="BW240" t="e">
        <f>AND(#REF!,"AAAAAFt3vko=")</f>
        <v>#REF!</v>
      </c>
      <c r="BX240" t="e">
        <f>AND(#REF!,"AAAAAFt3vks=")</f>
        <v>#REF!</v>
      </c>
      <c r="BY240" t="e">
        <f>AND(#REF!,"AAAAAFt3vkw=")</f>
        <v>#REF!</v>
      </c>
      <c r="BZ240" t="e">
        <f>AND(#REF!,"AAAAAFt3vk0=")</f>
        <v>#REF!</v>
      </c>
      <c r="CA240" t="e">
        <f>AND(#REF!,"AAAAAFt3vk4=")</f>
        <v>#REF!</v>
      </c>
      <c r="CB240" t="e">
        <f>AND(#REF!,"AAAAAFt3vk8=")</f>
        <v>#REF!</v>
      </c>
      <c r="CC240" t="e">
        <f>AND(#REF!,"AAAAAFt3vlA=")</f>
        <v>#REF!</v>
      </c>
      <c r="CD240" t="e">
        <f>AND(#REF!,"AAAAAFt3vlE=")</f>
        <v>#REF!</v>
      </c>
      <c r="CE240" t="e">
        <f>AND(#REF!,"AAAAAFt3vlI=")</f>
        <v>#REF!</v>
      </c>
      <c r="CF240" t="e">
        <f>AND(#REF!,"AAAAAFt3vlM=")</f>
        <v>#REF!</v>
      </c>
      <c r="CG240" t="e">
        <f>AND(#REF!,"AAAAAFt3vlQ=")</f>
        <v>#REF!</v>
      </c>
      <c r="CH240" t="e">
        <f>AND(#REF!,"AAAAAFt3vlU=")</f>
        <v>#REF!</v>
      </c>
      <c r="CI240" t="e">
        <f>AND(#REF!,"AAAAAFt3vlY=")</f>
        <v>#REF!</v>
      </c>
      <c r="CJ240" t="e">
        <f>AND(#REF!,"AAAAAFt3vlc=")</f>
        <v>#REF!</v>
      </c>
      <c r="CK240" t="e">
        <f>AND(#REF!,"AAAAAFt3vlg=")</f>
        <v>#REF!</v>
      </c>
      <c r="CL240" t="e">
        <f>AND(#REF!,"AAAAAFt3vlk=")</f>
        <v>#REF!</v>
      </c>
      <c r="CM240" t="e">
        <f>IF(#REF!,"AAAAAFt3vlo=",0)</f>
        <v>#REF!</v>
      </c>
      <c r="CN240" t="e">
        <f>AND(#REF!,"AAAAAFt3vls=")</f>
        <v>#REF!</v>
      </c>
      <c r="CO240" t="e">
        <f>AND(#REF!,"AAAAAFt3vlw=")</f>
        <v>#REF!</v>
      </c>
      <c r="CP240" t="e">
        <f>AND(#REF!,"AAAAAFt3vl0=")</f>
        <v>#REF!</v>
      </c>
      <c r="CQ240" t="e">
        <f>AND(#REF!,"AAAAAFt3vl4=")</f>
        <v>#REF!</v>
      </c>
      <c r="CR240" t="e">
        <f>AND(#REF!,"AAAAAFt3vl8=")</f>
        <v>#REF!</v>
      </c>
      <c r="CS240" t="e">
        <f>AND(#REF!,"AAAAAFt3vmA=")</f>
        <v>#REF!</v>
      </c>
      <c r="CT240" t="e">
        <f>AND(#REF!,"AAAAAFt3vmE=")</f>
        <v>#REF!</v>
      </c>
      <c r="CU240" t="e">
        <f>AND(#REF!,"AAAAAFt3vmI=")</f>
        <v>#REF!</v>
      </c>
      <c r="CV240" t="e">
        <f>AND(#REF!,"AAAAAFt3vmM=")</f>
        <v>#REF!</v>
      </c>
      <c r="CW240" t="e">
        <f>AND(#REF!,"AAAAAFt3vmQ=")</f>
        <v>#REF!</v>
      </c>
      <c r="CX240" t="e">
        <f>AND(#REF!,"AAAAAFt3vmU=")</f>
        <v>#REF!</v>
      </c>
      <c r="CY240" t="e">
        <f>AND(#REF!,"AAAAAFt3vmY=")</f>
        <v>#REF!</v>
      </c>
      <c r="CZ240" t="e">
        <f>AND(#REF!,"AAAAAFt3vmc=")</f>
        <v>#REF!</v>
      </c>
      <c r="DA240" t="e">
        <f>AND(#REF!,"AAAAAFt3vmg=")</f>
        <v>#REF!</v>
      </c>
      <c r="DB240" t="e">
        <f>AND(#REF!,"AAAAAFt3vmk=")</f>
        <v>#REF!</v>
      </c>
      <c r="DC240" t="e">
        <f>AND(#REF!,"AAAAAFt3vmo=")</f>
        <v>#REF!</v>
      </c>
      <c r="DD240" t="e">
        <f>AND(#REF!,"AAAAAFt3vms=")</f>
        <v>#REF!</v>
      </c>
      <c r="DE240" t="e">
        <f>AND(#REF!,"AAAAAFt3vmw=")</f>
        <v>#REF!</v>
      </c>
      <c r="DF240" t="e">
        <f>AND(#REF!,"AAAAAFt3vm0=")</f>
        <v>#REF!</v>
      </c>
      <c r="DG240" t="e">
        <f>AND(#REF!,"AAAAAFt3vm4=")</f>
        <v>#REF!</v>
      </c>
      <c r="DH240" t="e">
        <f>AND(#REF!,"AAAAAFt3vm8=")</f>
        <v>#REF!</v>
      </c>
      <c r="DI240" t="e">
        <f>AND(#REF!,"AAAAAFt3vnA=")</f>
        <v>#REF!</v>
      </c>
      <c r="DJ240" t="e">
        <f>AND(#REF!,"AAAAAFt3vnE=")</f>
        <v>#REF!</v>
      </c>
      <c r="DK240" t="e">
        <f>AND(#REF!,"AAAAAFt3vnI=")</f>
        <v>#REF!</v>
      </c>
      <c r="DL240" t="e">
        <f>AND(#REF!,"AAAAAFt3vnM=")</f>
        <v>#REF!</v>
      </c>
      <c r="DM240" t="e">
        <f>AND(#REF!,"AAAAAFt3vnQ=")</f>
        <v>#REF!</v>
      </c>
      <c r="DN240" t="e">
        <f>AND(#REF!,"AAAAAFt3vnU=")</f>
        <v>#REF!</v>
      </c>
      <c r="DO240" t="e">
        <f>AND(#REF!,"AAAAAFt3vnY=")</f>
        <v>#REF!</v>
      </c>
      <c r="DP240" t="e">
        <f>AND(#REF!,"AAAAAFt3vnc=")</f>
        <v>#REF!</v>
      </c>
      <c r="DQ240" t="e">
        <f>AND(#REF!,"AAAAAFt3vng=")</f>
        <v>#REF!</v>
      </c>
      <c r="DR240" t="e">
        <f>AND(#REF!,"AAAAAFt3vnk=")</f>
        <v>#REF!</v>
      </c>
      <c r="DS240" t="e">
        <f>AND(#REF!,"AAAAAFt3vno=")</f>
        <v>#REF!</v>
      </c>
      <c r="DT240" t="e">
        <f>AND(#REF!,"AAAAAFt3vns=")</f>
        <v>#REF!</v>
      </c>
      <c r="DU240" t="e">
        <f>AND(#REF!,"AAAAAFt3vnw=")</f>
        <v>#REF!</v>
      </c>
      <c r="DV240" t="e">
        <f>AND(#REF!,"AAAAAFt3vn0=")</f>
        <v>#REF!</v>
      </c>
      <c r="DW240" t="e">
        <f>AND(#REF!,"AAAAAFt3vn4=")</f>
        <v>#REF!</v>
      </c>
      <c r="DX240" t="e">
        <f>AND(#REF!,"AAAAAFt3vn8=")</f>
        <v>#REF!</v>
      </c>
      <c r="DY240" t="e">
        <f>AND(#REF!,"AAAAAFt3voA=")</f>
        <v>#REF!</v>
      </c>
      <c r="DZ240" t="e">
        <f>AND(#REF!,"AAAAAFt3voE=")</f>
        <v>#REF!</v>
      </c>
      <c r="EA240" t="e">
        <f>AND(#REF!,"AAAAAFt3voI=")</f>
        <v>#REF!</v>
      </c>
      <c r="EB240" t="e">
        <f>AND(#REF!,"AAAAAFt3voM=")</f>
        <v>#REF!</v>
      </c>
      <c r="EC240" t="e">
        <f>AND(#REF!,"AAAAAFt3voQ=")</f>
        <v>#REF!</v>
      </c>
      <c r="ED240" t="e">
        <f>AND(#REF!,"AAAAAFt3voU=")</f>
        <v>#REF!</v>
      </c>
      <c r="EE240" t="e">
        <f>AND(#REF!,"AAAAAFt3voY=")</f>
        <v>#REF!</v>
      </c>
      <c r="EF240" t="e">
        <f>AND(#REF!,"AAAAAFt3voc=")</f>
        <v>#REF!</v>
      </c>
      <c r="EG240" t="e">
        <f>AND(#REF!,"AAAAAFt3vog=")</f>
        <v>#REF!</v>
      </c>
      <c r="EH240" t="e">
        <f>AND(#REF!,"AAAAAFt3vok=")</f>
        <v>#REF!</v>
      </c>
      <c r="EI240" t="e">
        <f>AND(#REF!,"AAAAAFt3voo=")</f>
        <v>#REF!</v>
      </c>
      <c r="EJ240" t="e">
        <f>AND(#REF!,"AAAAAFt3vos=")</f>
        <v>#REF!</v>
      </c>
      <c r="EK240" t="e">
        <f>AND(#REF!,"AAAAAFt3vow=")</f>
        <v>#REF!</v>
      </c>
      <c r="EL240" t="e">
        <f>AND(#REF!,"AAAAAFt3vo0=")</f>
        <v>#REF!</v>
      </c>
      <c r="EM240" t="e">
        <f>AND(#REF!,"AAAAAFt3vo4=")</f>
        <v>#REF!</v>
      </c>
      <c r="EN240" t="e">
        <f>AND(#REF!,"AAAAAFt3vo8=")</f>
        <v>#REF!</v>
      </c>
      <c r="EO240" t="e">
        <f>AND(#REF!,"AAAAAFt3vpA=")</f>
        <v>#REF!</v>
      </c>
      <c r="EP240" t="e">
        <f>AND(#REF!,"AAAAAFt3vpE=")</f>
        <v>#REF!</v>
      </c>
      <c r="EQ240" t="e">
        <f>AND(#REF!,"AAAAAFt3vpI=")</f>
        <v>#REF!</v>
      </c>
      <c r="ER240" t="e">
        <f>AND(#REF!,"AAAAAFt3vpM=")</f>
        <v>#REF!</v>
      </c>
      <c r="ES240" t="e">
        <f>AND(#REF!,"AAAAAFt3vpQ=")</f>
        <v>#REF!</v>
      </c>
      <c r="ET240" t="e">
        <f>AND(#REF!,"AAAAAFt3vpU=")</f>
        <v>#REF!</v>
      </c>
      <c r="EU240" t="e">
        <f>AND(#REF!,"AAAAAFt3vpY=")</f>
        <v>#REF!</v>
      </c>
      <c r="EV240" t="e">
        <f>AND(#REF!,"AAAAAFt3vpc=")</f>
        <v>#REF!</v>
      </c>
      <c r="EW240" t="e">
        <f>AND(#REF!,"AAAAAFt3vpg=")</f>
        <v>#REF!</v>
      </c>
      <c r="EX240" t="e">
        <f>AND(#REF!,"AAAAAFt3vpk=")</f>
        <v>#REF!</v>
      </c>
      <c r="EY240" t="e">
        <f>AND(#REF!,"AAAAAFt3vpo=")</f>
        <v>#REF!</v>
      </c>
      <c r="EZ240" t="e">
        <f>AND(#REF!,"AAAAAFt3vps=")</f>
        <v>#REF!</v>
      </c>
      <c r="FA240" t="e">
        <f>AND(#REF!,"AAAAAFt3vpw=")</f>
        <v>#REF!</v>
      </c>
      <c r="FB240" t="e">
        <f>AND(#REF!,"AAAAAFt3vp0=")</f>
        <v>#REF!</v>
      </c>
      <c r="FC240" t="e">
        <f>AND(#REF!,"AAAAAFt3vp4=")</f>
        <v>#REF!</v>
      </c>
      <c r="FD240" t="e">
        <f>AND(#REF!,"AAAAAFt3vp8=")</f>
        <v>#REF!</v>
      </c>
      <c r="FE240" t="e">
        <f>AND(#REF!,"AAAAAFt3vqA=")</f>
        <v>#REF!</v>
      </c>
      <c r="FF240" t="e">
        <f>AND(#REF!,"AAAAAFt3vqE=")</f>
        <v>#REF!</v>
      </c>
      <c r="FG240" t="e">
        <f>AND(#REF!,"AAAAAFt3vqI=")</f>
        <v>#REF!</v>
      </c>
      <c r="FH240" t="e">
        <f>AND(#REF!,"AAAAAFt3vqM=")</f>
        <v>#REF!</v>
      </c>
      <c r="FI240" t="e">
        <f>AND(#REF!,"AAAAAFt3vqQ=")</f>
        <v>#REF!</v>
      </c>
      <c r="FJ240" t="e">
        <f>AND(#REF!,"AAAAAFt3vqU=")</f>
        <v>#REF!</v>
      </c>
      <c r="FK240" t="e">
        <f>AND(#REF!,"AAAAAFt3vqY=")</f>
        <v>#REF!</v>
      </c>
      <c r="FL240" t="e">
        <f>AND(#REF!,"AAAAAFt3vqc=")</f>
        <v>#REF!</v>
      </c>
      <c r="FM240" t="e">
        <f>AND(#REF!,"AAAAAFt3vqg=")</f>
        <v>#REF!</v>
      </c>
      <c r="FN240" t="e">
        <f>AND(#REF!,"AAAAAFt3vqk=")</f>
        <v>#REF!</v>
      </c>
      <c r="FO240" t="e">
        <f>AND(#REF!,"AAAAAFt3vqo=")</f>
        <v>#REF!</v>
      </c>
      <c r="FP240" t="e">
        <f>AND(#REF!,"AAAAAFt3vqs=")</f>
        <v>#REF!</v>
      </c>
      <c r="FQ240" t="e">
        <f>AND(#REF!,"AAAAAFt3vqw=")</f>
        <v>#REF!</v>
      </c>
      <c r="FR240" t="e">
        <f>AND(#REF!,"AAAAAFt3vq0=")</f>
        <v>#REF!</v>
      </c>
      <c r="FS240" t="e">
        <f>AND(#REF!,"AAAAAFt3vq4=")</f>
        <v>#REF!</v>
      </c>
      <c r="FT240" t="e">
        <f>AND(#REF!,"AAAAAFt3vq8=")</f>
        <v>#REF!</v>
      </c>
      <c r="FU240" t="e">
        <f>AND(#REF!,"AAAAAFt3vrA=")</f>
        <v>#REF!</v>
      </c>
      <c r="FV240" t="e">
        <f>AND(#REF!,"AAAAAFt3vrE=")</f>
        <v>#REF!</v>
      </c>
      <c r="FW240" t="e">
        <f>AND(#REF!,"AAAAAFt3vrI=")</f>
        <v>#REF!</v>
      </c>
      <c r="FX240" t="e">
        <f>AND(#REF!,"AAAAAFt3vrM=")</f>
        <v>#REF!</v>
      </c>
      <c r="FY240" t="e">
        <f>AND(#REF!,"AAAAAFt3vrQ=")</f>
        <v>#REF!</v>
      </c>
      <c r="FZ240" t="e">
        <f>AND(#REF!,"AAAAAFt3vrU=")</f>
        <v>#REF!</v>
      </c>
      <c r="GA240" t="e">
        <f>AND(#REF!,"AAAAAFt3vrY=")</f>
        <v>#REF!</v>
      </c>
      <c r="GB240" t="e">
        <f>AND(#REF!,"AAAAAFt3vrc=")</f>
        <v>#REF!</v>
      </c>
      <c r="GC240" t="e">
        <f>AND(#REF!,"AAAAAFt3vrg=")</f>
        <v>#REF!</v>
      </c>
      <c r="GD240" t="e">
        <f>AND(#REF!,"AAAAAFt3vrk=")</f>
        <v>#REF!</v>
      </c>
      <c r="GE240" t="e">
        <f>AND(#REF!,"AAAAAFt3vro=")</f>
        <v>#REF!</v>
      </c>
      <c r="GF240" t="e">
        <f>AND(#REF!,"AAAAAFt3vrs=")</f>
        <v>#REF!</v>
      </c>
      <c r="GG240" t="e">
        <f>AND(#REF!,"AAAAAFt3vrw=")</f>
        <v>#REF!</v>
      </c>
      <c r="GH240" t="e">
        <f>AND(#REF!,"AAAAAFt3vr0=")</f>
        <v>#REF!</v>
      </c>
      <c r="GI240" t="e">
        <f>AND(#REF!,"AAAAAFt3vr4=")</f>
        <v>#REF!</v>
      </c>
      <c r="GJ240" t="e">
        <f>AND(#REF!,"AAAAAFt3vr8=")</f>
        <v>#REF!</v>
      </c>
      <c r="GK240" t="e">
        <f>AND(#REF!,"AAAAAFt3vsA=")</f>
        <v>#REF!</v>
      </c>
      <c r="GL240" t="e">
        <f>AND(#REF!,"AAAAAFt3vsE=")</f>
        <v>#REF!</v>
      </c>
      <c r="GM240" t="e">
        <f>AND(#REF!,"AAAAAFt3vsI=")</f>
        <v>#REF!</v>
      </c>
      <c r="GN240" t="e">
        <f>AND(#REF!,"AAAAAFt3vsM=")</f>
        <v>#REF!</v>
      </c>
      <c r="GO240" t="e">
        <f>AND(#REF!,"AAAAAFt3vsQ=")</f>
        <v>#REF!</v>
      </c>
      <c r="GP240" t="e">
        <f>AND(#REF!,"AAAAAFt3vsU=")</f>
        <v>#REF!</v>
      </c>
      <c r="GQ240" t="e">
        <f>AND(#REF!,"AAAAAFt3vsY=")</f>
        <v>#REF!</v>
      </c>
      <c r="GR240" t="e">
        <f>AND(#REF!,"AAAAAFt3vsc=")</f>
        <v>#REF!</v>
      </c>
      <c r="GS240" t="e">
        <f>AND(#REF!,"AAAAAFt3vsg=")</f>
        <v>#REF!</v>
      </c>
      <c r="GT240" t="e">
        <f>AND(#REF!,"AAAAAFt3vsk=")</f>
        <v>#REF!</v>
      </c>
      <c r="GU240" t="e">
        <f>AND(#REF!,"AAAAAFt3vso=")</f>
        <v>#REF!</v>
      </c>
      <c r="GV240" t="e">
        <f>AND(#REF!,"AAAAAFt3vss=")</f>
        <v>#REF!</v>
      </c>
      <c r="GW240" t="e">
        <f>AND(#REF!,"AAAAAFt3vsw=")</f>
        <v>#REF!</v>
      </c>
      <c r="GX240" t="e">
        <f>AND(#REF!,"AAAAAFt3vs0=")</f>
        <v>#REF!</v>
      </c>
      <c r="GY240" t="e">
        <f>AND(#REF!,"AAAAAFt3vs4=")</f>
        <v>#REF!</v>
      </c>
      <c r="GZ240" t="e">
        <f>AND(#REF!,"AAAAAFt3vs8=")</f>
        <v>#REF!</v>
      </c>
      <c r="HA240" t="e">
        <f>AND(#REF!,"AAAAAFt3vtA=")</f>
        <v>#REF!</v>
      </c>
      <c r="HB240" t="e">
        <f>AND(#REF!,"AAAAAFt3vtE=")</f>
        <v>#REF!</v>
      </c>
      <c r="HC240" t="e">
        <f>AND(#REF!,"AAAAAFt3vtI=")</f>
        <v>#REF!</v>
      </c>
      <c r="HD240" t="e">
        <f>AND(#REF!,"AAAAAFt3vtM=")</f>
        <v>#REF!</v>
      </c>
      <c r="HE240" t="e">
        <f>AND(#REF!,"AAAAAFt3vtQ=")</f>
        <v>#REF!</v>
      </c>
      <c r="HF240" t="e">
        <f>AND(#REF!,"AAAAAFt3vtU=")</f>
        <v>#REF!</v>
      </c>
      <c r="HG240" t="e">
        <f>AND(#REF!,"AAAAAFt3vtY=")</f>
        <v>#REF!</v>
      </c>
      <c r="HH240" t="e">
        <f>AND(#REF!,"AAAAAFt3vtc=")</f>
        <v>#REF!</v>
      </c>
      <c r="HI240" t="e">
        <f>AND(#REF!,"AAAAAFt3vtg=")</f>
        <v>#REF!</v>
      </c>
      <c r="HJ240" t="e">
        <f>AND(#REF!,"AAAAAFt3vtk=")</f>
        <v>#REF!</v>
      </c>
      <c r="HK240" t="e">
        <f>AND(#REF!,"AAAAAFt3vto=")</f>
        <v>#REF!</v>
      </c>
      <c r="HL240" t="e">
        <f>AND(#REF!,"AAAAAFt3vts=")</f>
        <v>#REF!</v>
      </c>
      <c r="HM240" t="e">
        <f>AND(#REF!,"AAAAAFt3vtw=")</f>
        <v>#REF!</v>
      </c>
      <c r="HN240" t="e">
        <f>AND(#REF!,"AAAAAFt3vt0=")</f>
        <v>#REF!</v>
      </c>
      <c r="HO240" t="e">
        <f>AND(#REF!,"AAAAAFt3vt4=")</f>
        <v>#REF!</v>
      </c>
      <c r="HP240" t="e">
        <f>AND(#REF!,"AAAAAFt3vt8=")</f>
        <v>#REF!</v>
      </c>
      <c r="HQ240" t="e">
        <f>AND(#REF!,"AAAAAFt3vuA=")</f>
        <v>#REF!</v>
      </c>
      <c r="HR240" t="e">
        <f>AND(#REF!,"AAAAAFt3vuE=")</f>
        <v>#REF!</v>
      </c>
      <c r="HS240" t="e">
        <f>AND(#REF!,"AAAAAFt3vuI=")</f>
        <v>#REF!</v>
      </c>
      <c r="HT240" t="e">
        <f>AND(#REF!,"AAAAAFt3vuM=")</f>
        <v>#REF!</v>
      </c>
      <c r="HU240" t="e">
        <f>AND(#REF!,"AAAAAFt3vuQ=")</f>
        <v>#REF!</v>
      </c>
      <c r="HV240" t="e">
        <f>AND(#REF!,"AAAAAFt3vuU=")</f>
        <v>#REF!</v>
      </c>
      <c r="HW240" t="e">
        <f>AND(#REF!,"AAAAAFt3vuY=")</f>
        <v>#REF!</v>
      </c>
      <c r="HX240" t="e">
        <f>AND(#REF!,"AAAAAFt3vuc=")</f>
        <v>#REF!</v>
      </c>
      <c r="HY240" t="e">
        <f>AND(#REF!,"AAAAAFt3vug=")</f>
        <v>#REF!</v>
      </c>
      <c r="HZ240" t="e">
        <f>AND(#REF!,"AAAAAFt3vuk=")</f>
        <v>#REF!</v>
      </c>
      <c r="IA240" t="e">
        <f>AND(#REF!,"AAAAAFt3vuo=")</f>
        <v>#REF!</v>
      </c>
      <c r="IB240" t="e">
        <f>AND(#REF!,"AAAAAFt3vus=")</f>
        <v>#REF!</v>
      </c>
      <c r="IC240" t="e">
        <f>AND(#REF!,"AAAAAFt3vuw=")</f>
        <v>#REF!</v>
      </c>
      <c r="ID240" t="e">
        <f>AND(#REF!,"AAAAAFt3vu0=")</f>
        <v>#REF!</v>
      </c>
      <c r="IE240" t="e">
        <f>AND(#REF!,"AAAAAFt3vu4=")</f>
        <v>#REF!</v>
      </c>
      <c r="IF240" t="e">
        <f>AND(#REF!,"AAAAAFt3vu8=")</f>
        <v>#REF!</v>
      </c>
      <c r="IG240" t="e">
        <f>AND(#REF!,"AAAAAFt3vvA=")</f>
        <v>#REF!</v>
      </c>
      <c r="IH240" t="e">
        <f>AND(#REF!,"AAAAAFt3vvE=")</f>
        <v>#REF!</v>
      </c>
      <c r="II240" t="e">
        <f>AND(#REF!,"AAAAAFt3vvI=")</f>
        <v>#REF!</v>
      </c>
      <c r="IJ240" t="e">
        <f>AND(#REF!,"AAAAAFt3vvM=")</f>
        <v>#REF!</v>
      </c>
      <c r="IK240" t="e">
        <f>AND(#REF!,"AAAAAFt3vvQ=")</f>
        <v>#REF!</v>
      </c>
      <c r="IL240" t="e">
        <f>AND(#REF!,"AAAAAFt3vvU=")</f>
        <v>#REF!</v>
      </c>
      <c r="IM240" t="e">
        <f>AND(#REF!,"AAAAAFt3vvY=")</f>
        <v>#REF!</v>
      </c>
      <c r="IN240" t="e">
        <f>AND(#REF!,"AAAAAFt3vvc=")</f>
        <v>#REF!</v>
      </c>
      <c r="IO240" t="e">
        <f>AND(#REF!,"AAAAAFt3vvg=")</f>
        <v>#REF!</v>
      </c>
      <c r="IP240" t="e">
        <f>AND(#REF!,"AAAAAFt3vvk=")</f>
        <v>#REF!</v>
      </c>
      <c r="IQ240" t="e">
        <f>AND(#REF!,"AAAAAFt3vvo=")</f>
        <v>#REF!</v>
      </c>
      <c r="IR240" t="e">
        <f>AND(#REF!,"AAAAAFt3vvs=")</f>
        <v>#REF!</v>
      </c>
      <c r="IS240" t="e">
        <f>AND(#REF!,"AAAAAFt3vvw=")</f>
        <v>#REF!</v>
      </c>
      <c r="IT240" t="e">
        <f>AND(#REF!,"AAAAAFt3vv0=")</f>
        <v>#REF!</v>
      </c>
      <c r="IU240" t="e">
        <f>AND(#REF!,"AAAAAFt3vv4=")</f>
        <v>#REF!</v>
      </c>
      <c r="IV240" t="e">
        <f>AND(#REF!,"AAAAAFt3vv8=")</f>
        <v>#REF!</v>
      </c>
    </row>
    <row r="241" spans="1:256">
      <c r="A241" t="e">
        <f>AND(#REF!,"AAAAAF/9awA=")</f>
        <v>#REF!</v>
      </c>
      <c r="B241" t="e">
        <f>AND(#REF!,"AAAAAF/9awE=")</f>
        <v>#REF!</v>
      </c>
      <c r="C241" t="e">
        <f>AND(#REF!,"AAAAAF/9awI=")</f>
        <v>#REF!</v>
      </c>
      <c r="D241" t="e">
        <f>AND(#REF!,"AAAAAF/9awM=")</f>
        <v>#REF!</v>
      </c>
      <c r="E241" t="e">
        <f>AND(#REF!,"AAAAAF/9awQ=")</f>
        <v>#REF!</v>
      </c>
      <c r="F241" t="e">
        <f>AND(#REF!,"AAAAAF/9awU=")</f>
        <v>#REF!</v>
      </c>
      <c r="G241" t="e">
        <f>AND(#REF!,"AAAAAF/9awY=")</f>
        <v>#REF!</v>
      </c>
      <c r="H241" t="e">
        <f>AND(#REF!,"AAAAAF/9awc=")</f>
        <v>#REF!</v>
      </c>
      <c r="I241" t="e">
        <f>AND(#REF!,"AAAAAF/9awg=")</f>
        <v>#REF!</v>
      </c>
      <c r="J241" t="e">
        <f>AND(#REF!,"AAAAAF/9awk=")</f>
        <v>#REF!</v>
      </c>
      <c r="K241" t="e">
        <f>AND(#REF!,"AAAAAF/9awo=")</f>
        <v>#REF!</v>
      </c>
      <c r="L241" t="e">
        <f>AND(#REF!,"AAAAAF/9aws=")</f>
        <v>#REF!</v>
      </c>
      <c r="M241" t="e">
        <f>AND(#REF!,"AAAAAF/9aww=")</f>
        <v>#REF!</v>
      </c>
      <c r="N241" t="e">
        <f>AND(#REF!,"AAAAAF/9aw0=")</f>
        <v>#REF!</v>
      </c>
      <c r="O241" t="e">
        <f>AND(#REF!,"AAAAAF/9aw4=")</f>
        <v>#REF!</v>
      </c>
      <c r="P241" t="e">
        <f>AND(#REF!,"AAAAAF/9aw8=")</f>
        <v>#REF!</v>
      </c>
      <c r="Q241" t="e">
        <f>AND(#REF!,"AAAAAF/9axA=")</f>
        <v>#REF!</v>
      </c>
      <c r="R241" t="e">
        <f>AND(#REF!,"AAAAAF/9axE=")</f>
        <v>#REF!</v>
      </c>
      <c r="S241" t="e">
        <f>AND(#REF!,"AAAAAF/9axI=")</f>
        <v>#REF!</v>
      </c>
      <c r="T241" t="e">
        <f>AND(#REF!,"AAAAAF/9axM=")</f>
        <v>#REF!</v>
      </c>
      <c r="U241" t="e">
        <f>AND(#REF!,"AAAAAF/9axQ=")</f>
        <v>#REF!</v>
      </c>
      <c r="V241" t="e">
        <f>AND(#REF!,"AAAAAF/9axU=")</f>
        <v>#REF!</v>
      </c>
      <c r="W241" t="e">
        <f>AND(#REF!,"AAAAAF/9axY=")</f>
        <v>#REF!</v>
      </c>
      <c r="X241" t="e">
        <f>AND(#REF!,"AAAAAF/9axc=")</f>
        <v>#REF!</v>
      </c>
      <c r="Y241" t="e">
        <f>AND(#REF!,"AAAAAF/9axg=")</f>
        <v>#REF!</v>
      </c>
      <c r="Z241" t="e">
        <f>AND(#REF!,"AAAAAF/9axk=")</f>
        <v>#REF!</v>
      </c>
      <c r="AA241" t="e">
        <f>AND(#REF!,"AAAAAF/9axo=")</f>
        <v>#REF!</v>
      </c>
      <c r="AB241" t="e">
        <f>AND(#REF!,"AAAAAF/9axs=")</f>
        <v>#REF!</v>
      </c>
      <c r="AC241" t="e">
        <f>AND(#REF!,"AAAAAF/9axw=")</f>
        <v>#REF!</v>
      </c>
      <c r="AD241" t="e">
        <f>AND(#REF!,"AAAAAF/9ax0=")</f>
        <v>#REF!</v>
      </c>
      <c r="AE241" t="e">
        <f>AND(#REF!,"AAAAAF/9ax4=")</f>
        <v>#REF!</v>
      </c>
      <c r="AF241" t="e">
        <f>AND(#REF!,"AAAAAF/9ax8=")</f>
        <v>#REF!</v>
      </c>
      <c r="AG241" t="e">
        <f>AND(#REF!,"AAAAAF/9ayA=")</f>
        <v>#REF!</v>
      </c>
      <c r="AH241" t="e">
        <f>AND(#REF!,"AAAAAF/9ayE=")</f>
        <v>#REF!</v>
      </c>
      <c r="AI241" t="e">
        <f>AND(#REF!,"AAAAAF/9ayI=")</f>
        <v>#REF!</v>
      </c>
      <c r="AJ241" t="e">
        <f>AND(#REF!,"AAAAAF/9ayM=")</f>
        <v>#REF!</v>
      </c>
      <c r="AK241" t="e">
        <f>AND(#REF!,"AAAAAF/9ayQ=")</f>
        <v>#REF!</v>
      </c>
      <c r="AL241" t="e">
        <f>AND(#REF!,"AAAAAF/9ayU=")</f>
        <v>#REF!</v>
      </c>
      <c r="AM241" t="e">
        <f>AND(#REF!,"AAAAAF/9ayY=")</f>
        <v>#REF!</v>
      </c>
      <c r="AN241" t="e">
        <f>AND(#REF!,"AAAAAF/9ayc=")</f>
        <v>#REF!</v>
      </c>
      <c r="AO241" t="e">
        <f>AND(#REF!,"AAAAAF/9ayg=")</f>
        <v>#REF!</v>
      </c>
      <c r="AP241" t="e">
        <f>AND(#REF!,"AAAAAF/9ayk=")</f>
        <v>#REF!</v>
      </c>
      <c r="AQ241" t="e">
        <f>AND(#REF!,"AAAAAF/9ayo=")</f>
        <v>#REF!</v>
      </c>
      <c r="AR241" t="e">
        <f>AND(#REF!,"AAAAAF/9ays=")</f>
        <v>#REF!</v>
      </c>
      <c r="AS241" t="e">
        <f>AND(#REF!,"AAAAAF/9ayw=")</f>
        <v>#REF!</v>
      </c>
      <c r="AT241" t="e">
        <f>AND(#REF!,"AAAAAF/9ay0=")</f>
        <v>#REF!</v>
      </c>
      <c r="AU241" t="e">
        <f>AND(#REF!,"AAAAAF/9ay4=")</f>
        <v>#REF!</v>
      </c>
      <c r="AV241" t="e">
        <f>AND(#REF!,"AAAAAF/9ay8=")</f>
        <v>#REF!</v>
      </c>
      <c r="AW241" t="e">
        <f>AND(#REF!,"AAAAAF/9azA=")</f>
        <v>#REF!</v>
      </c>
      <c r="AX241" t="e">
        <f>AND(#REF!,"AAAAAF/9azE=")</f>
        <v>#REF!</v>
      </c>
      <c r="AY241" t="e">
        <f>AND(#REF!,"AAAAAF/9azI=")</f>
        <v>#REF!</v>
      </c>
      <c r="AZ241" t="e">
        <f>AND(#REF!,"AAAAAF/9azM=")</f>
        <v>#REF!</v>
      </c>
      <c r="BA241" t="e">
        <f>AND(#REF!,"AAAAAF/9azQ=")</f>
        <v>#REF!</v>
      </c>
      <c r="BB241" t="e">
        <f>AND(#REF!,"AAAAAF/9azU=")</f>
        <v>#REF!</v>
      </c>
      <c r="BC241" t="e">
        <f>AND(#REF!,"AAAAAF/9azY=")</f>
        <v>#REF!</v>
      </c>
      <c r="BD241" t="e">
        <f>AND(#REF!,"AAAAAF/9azc=")</f>
        <v>#REF!</v>
      </c>
      <c r="BE241" t="e">
        <f>AND(#REF!,"AAAAAF/9azg=")</f>
        <v>#REF!</v>
      </c>
      <c r="BF241" t="e">
        <f>AND(#REF!,"AAAAAF/9azk=")</f>
        <v>#REF!</v>
      </c>
      <c r="BG241" t="e">
        <f>AND(#REF!,"AAAAAF/9azo=")</f>
        <v>#REF!</v>
      </c>
      <c r="BH241" t="e">
        <f>AND(#REF!,"AAAAAF/9azs=")</f>
        <v>#REF!</v>
      </c>
      <c r="BI241" t="e">
        <f>AND(#REF!,"AAAAAF/9azw=")</f>
        <v>#REF!</v>
      </c>
      <c r="BJ241" t="e">
        <f>AND(#REF!,"AAAAAF/9az0=")</f>
        <v>#REF!</v>
      </c>
      <c r="BK241" t="e">
        <f>IF(#REF!,"AAAAAF/9az4=",0)</f>
        <v>#REF!</v>
      </c>
      <c r="BL241" t="e">
        <f>AND(#REF!,"AAAAAF/9az8=")</f>
        <v>#REF!</v>
      </c>
      <c r="BM241" t="e">
        <f>AND(#REF!,"AAAAAF/9a0A=")</f>
        <v>#REF!</v>
      </c>
      <c r="BN241" t="e">
        <f>AND(#REF!,"AAAAAF/9a0E=")</f>
        <v>#REF!</v>
      </c>
      <c r="BO241" t="e">
        <f>AND(#REF!,"AAAAAF/9a0I=")</f>
        <v>#REF!</v>
      </c>
      <c r="BP241" t="e">
        <f>AND(#REF!,"AAAAAF/9a0M=")</f>
        <v>#REF!</v>
      </c>
      <c r="BQ241" t="e">
        <f>AND(#REF!,"AAAAAF/9a0Q=")</f>
        <v>#REF!</v>
      </c>
      <c r="BR241" t="e">
        <f>AND(#REF!,"AAAAAF/9a0U=")</f>
        <v>#REF!</v>
      </c>
      <c r="BS241" t="e">
        <f>AND(#REF!,"AAAAAF/9a0Y=")</f>
        <v>#REF!</v>
      </c>
      <c r="BT241" t="e">
        <f>AND(#REF!,"AAAAAF/9a0c=")</f>
        <v>#REF!</v>
      </c>
      <c r="BU241" t="e">
        <f>AND(#REF!,"AAAAAF/9a0g=")</f>
        <v>#REF!</v>
      </c>
      <c r="BV241" t="e">
        <f>AND(#REF!,"AAAAAF/9a0k=")</f>
        <v>#REF!</v>
      </c>
      <c r="BW241" t="e">
        <f>AND(#REF!,"AAAAAF/9a0o=")</f>
        <v>#REF!</v>
      </c>
      <c r="BX241" t="e">
        <f>AND(#REF!,"AAAAAF/9a0s=")</f>
        <v>#REF!</v>
      </c>
      <c r="BY241" t="e">
        <f>AND(#REF!,"AAAAAF/9a0w=")</f>
        <v>#REF!</v>
      </c>
      <c r="BZ241" t="e">
        <f>AND(#REF!,"AAAAAF/9a00=")</f>
        <v>#REF!</v>
      </c>
      <c r="CA241" t="e">
        <f>AND(#REF!,"AAAAAF/9a04=")</f>
        <v>#REF!</v>
      </c>
      <c r="CB241" t="e">
        <f>AND(#REF!,"AAAAAF/9a08=")</f>
        <v>#REF!</v>
      </c>
      <c r="CC241" t="e">
        <f>AND(#REF!,"AAAAAF/9a1A=")</f>
        <v>#REF!</v>
      </c>
      <c r="CD241" t="e">
        <f>AND(#REF!,"AAAAAF/9a1E=")</f>
        <v>#REF!</v>
      </c>
      <c r="CE241" t="e">
        <f>AND(#REF!,"AAAAAF/9a1I=")</f>
        <v>#REF!</v>
      </c>
      <c r="CF241" t="e">
        <f>AND(#REF!,"AAAAAF/9a1M=")</f>
        <v>#REF!</v>
      </c>
      <c r="CG241" t="e">
        <f>AND(#REF!,"AAAAAF/9a1Q=")</f>
        <v>#REF!</v>
      </c>
      <c r="CH241" t="e">
        <f>AND(#REF!,"AAAAAF/9a1U=")</f>
        <v>#REF!</v>
      </c>
      <c r="CI241" t="e">
        <f>AND(#REF!,"AAAAAF/9a1Y=")</f>
        <v>#REF!</v>
      </c>
      <c r="CJ241" t="e">
        <f>AND(#REF!,"AAAAAF/9a1c=")</f>
        <v>#REF!</v>
      </c>
      <c r="CK241" t="e">
        <f>AND(#REF!,"AAAAAF/9a1g=")</f>
        <v>#REF!</v>
      </c>
      <c r="CL241" t="e">
        <f>AND(#REF!,"AAAAAF/9a1k=")</f>
        <v>#REF!</v>
      </c>
      <c r="CM241" t="e">
        <f>AND(#REF!,"AAAAAF/9a1o=")</f>
        <v>#REF!</v>
      </c>
      <c r="CN241" t="e">
        <f>AND(#REF!,"AAAAAF/9a1s=")</f>
        <v>#REF!</v>
      </c>
      <c r="CO241" t="e">
        <f>AND(#REF!,"AAAAAF/9a1w=")</f>
        <v>#REF!</v>
      </c>
      <c r="CP241" t="e">
        <f>AND(#REF!,"AAAAAF/9a10=")</f>
        <v>#REF!</v>
      </c>
      <c r="CQ241" t="e">
        <f>AND(#REF!,"AAAAAF/9a14=")</f>
        <v>#REF!</v>
      </c>
      <c r="CR241" t="e">
        <f>AND(#REF!,"AAAAAF/9a18=")</f>
        <v>#REF!</v>
      </c>
      <c r="CS241" t="e">
        <f>AND(#REF!,"AAAAAF/9a2A=")</f>
        <v>#REF!</v>
      </c>
      <c r="CT241" t="e">
        <f>AND(#REF!,"AAAAAF/9a2E=")</f>
        <v>#REF!</v>
      </c>
      <c r="CU241" t="e">
        <f>AND(#REF!,"AAAAAF/9a2I=")</f>
        <v>#REF!</v>
      </c>
      <c r="CV241" t="e">
        <f>AND(#REF!,"AAAAAF/9a2M=")</f>
        <v>#REF!</v>
      </c>
      <c r="CW241" t="e">
        <f>AND(#REF!,"AAAAAF/9a2Q=")</f>
        <v>#REF!</v>
      </c>
      <c r="CX241" t="e">
        <f>AND(#REF!,"AAAAAF/9a2U=")</f>
        <v>#REF!</v>
      </c>
      <c r="CY241" t="e">
        <f>AND(#REF!,"AAAAAF/9a2Y=")</f>
        <v>#REF!</v>
      </c>
      <c r="CZ241" t="e">
        <f>AND(#REF!,"AAAAAF/9a2c=")</f>
        <v>#REF!</v>
      </c>
      <c r="DA241" t="e">
        <f>AND(#REF!,"AAAAAF/9a2g=")</f>
        <v>#REF!</v>
      </c>
      <c r="DB241" t="e">
        <f>AND(#REF!,"AAAAAF/9a2k=")</f>
        <v>#REF!</v>
      </c>
      <c r="DC241" t="e">
        <f>AND(#REF!,"AAAAAF/9a2o=")</f>
        <v>#REF!</v>
      </c>
      <c r="DD241" t="e">
        <f>AND(#REF!,"AAAAAF/9a2s=")</f>
        <v>#REF!</v>
      </c>
      <c r="DE241" t="e">
        <f>AND(#REF!,"AAAAAF/9a2w=")</f>
        <v>#REF!</v>
      </c>
      <c r="DF241" t="e">
        <f>AND(#REF!,"AAAAAF/9a20=")</f>
        <v>#REF!</v>
      </c>
      <c r="DG241" t="e">
        <f>AND(#REF!,"AAAAAF/9a24=")</f>
        <v>#REF!</v>
      </c>
      <c r="DH241" t="e">
        <f>AND(#REF!,"AAAAAF/9a28=")</f>
        <v>#REF!</v>
      </c>
      <c r="DI241" t="e">
        <f>AND(#REF!,"AAAAAF/9a3A=")</f>
        <v>#REF!</v>
      </c>
      <c r="DJ241" t="e">
        <f>AND(#REF!,"AAAAAF/9a3E=")</f>
        <v>#REF!</v>
      </c>
      <c r="DK241" t="e">
        <f>AND(#REF!,"AAAAAF/9a3I=")</f>
        <v>#REF!</v>
      </c>
      <c r="DL241" t="e">
        <f>AND(#REF!,"AAAAAF/9a3M=")</f>
        <v>#REF!</v>
      </c>
      <c r="DM241" t="e">
        <f>AND(#REF!,"AAAAAF/9a3Q=")</f>
        <v>#REF!</v>
      </c>
      <c r="DN241" t="e">
        <f>AND(#REF!,"AAAAAF/9a3U=")</f>
        <v>#REF!</v>
      </c>
      <c r="DO241" t="e">
        <f>AND(#REF!,"AAAAAF/9a3Y=")</f>
        <v>#REF!</v>
      </c>
      <c r="DP241" t="e">
        <f>AND(#REF!,"AAAAAF/9a3c=")</f>
        <v>#REF!</v>
      </c>
      <c r="DQ241" t="e">
        <f>AND(#REF!,"AAAAAF/9a3g=")</f>
        <v>#REF!</v>
      </c>
      <c r="DR241" t="e">
        <f>AND(#REF!,"AAAAAF/9a3k=")</f>
        <v>#REF!</v>
      </c>
      <c r="DS241" t="e">
        <f>AND(#REF!,"AAAAAF/9a3o=")</f>
        <v>#REF!</v>
      </c>
      <c r="DT241" t="e">
        <f>AND(#REF!,"AAAAAF/9a3s=")</f>
        <v>#REF!</v>
      </c>
      <c r="DU241" t="e">
        <f>AND(#REF!,"AAAAAF/9a3w=")</f>
        <v>#REF!</v>
      </c>
      <c r="DV241" t="e">
        <f>AND(#REF!,"AAAAAF/9a30=")</f>
        <v>#REF!</v>
      </c>
      <c r="DW241" t="e">
        <f>AND(#REF!,"AAAAAF/9a34=")</f>
        <v>#REF!</v>
      </c>
      <c r="DX241" t="e">
        <f>AND(#REF!,"AAAAAF/9a38=")</f>
        <v>#REF!</v>
      </c>
      <c r="DY241" t="e">
        <f>AND(#REF!,"AAAAAF/9a4A=")</f>
        <v>#REF!</v>
      </c>
      <c r="DZ241" t="e">
        <f>AND(#REF!,"AAAAAF/9a4E=")</f>
        <v>#REF!</v>
      </c>
      <c r="EA241" t="e">
        <f>AND(#REF!,"AAAAAF/9a4I=")</f>
        <v>#REF!</v>
      </c>
      <c r="EB241" t="e">
        <f>AND(#REF!,"AAAAAF/9a4M=")</f>
        <v>#REF!</v>
      </c>
      <c r="EC241" t="e">
        <f>AND(#REF!,"AAAAAF/9a4Q=")</f>
        <v>#REF!</v>
      </c>
      <c r="ED241" t="e">
        <f>AND(#REF!,"AAAAAF/9a4U=")</f>
        <v>#REF!</v>
      </c>
      <c r="EE241" t="e">
        <f>AND(#REF!,"AAAAAF/9a4Y=")</f>
        <v>#REF!</v>
      </c>
      <c r="EF241" t="e">
        <f>AND(#REF!,"AAAAAF/9a4c=")</f>
        <v>#REF!</v>
      </c>
      <c r="EG241" t="e">
        <f>AND(#REF!,"AAAAAF/9a4g=")</f>
        <v>#REF!</v>
      </c>
      <c r="EH241" t="e">
        <f>AND(#REF!,"AAAAAF/9a4k=")</f>
        <v>#REF!</v>
      </c>
      <c r="EI241" t="e">
        <f>AND(#REF!,"AAAAAF/9a4o=")</f>
        <v>#REF!</v>
      </c>
      <c r="EJ241" t="e">
        <f>AND(#REF!,"AAAAAF/9a4s=")</f>
        <v>#REF!</v>
      </c>
      <c r="EK241" t="e">
        <f>AND(#REF!,"AAAAAF/9a4w=")</f>
        <v>#REF!</v>
      </c>
      <c r="EL241" t="e">
        <f>AND(#REF!,"AAAAAF/9a40=")</f>
        <v>#REF!</v>
      </c>
      <c r="EM241" t="e">
        <f>AND(#REF!,"AAAAAF/9a44=")</f>
        <v>#REF!</v>
      </c>
      <c r="EN241" t="e">
        <f>AND(#REF!,"AAAAAF/9a48=")</f>
        <v>#REF!</v>
      </c>
      <c r="EO241" t="e">
        <f>AND(#REF!,"AAAAAF/9a5A=")</f>
        <v>#REF!</v>
      </c>
      <c r="EP241" t="e">
        <f>AND(#REF!,"AAAAAF/9a5E=")</f>
        <v>#REF!</v>
      </c>
      <c r="EQ241" t="e">
        <f>AND(#REF!,"AAAAAF/9a5I=")</f>
        <v>#REF!</v>
      </c>
      <c r="ER241" t="e">
        <f>AND(#REF!,"AAAAAF/9a5M=")</f>
        <v>#REF!</v>
      </c>
      <c r="ES241" t="e">
        <f>AND(#REF!,"AAAAAF/9a5Q=")</f>
        <v>#REF!</v>
      </c>
      <c r="ET241" t="e">
        <f>AND(#REF!,"AAAAAF/9a5U=")</f>
        <v>#REF!</v>
      </c>
      <c r="EU241" t="e">
        <f>AND(#REF!,"AAAAAF/9a5Y=")</f>
        <v>#REF!</v>
      </c>
      <c r="EV241" t="e">
        <f>AND(#REF!,"AAAAAF/9a5c=")</f>
        <v>#REF!</v>
      </c>
      <c r="EW241" t="e">
        <f>AND(#REF!,"AAAAAF/9a5g=")</f>
        <v>#REF!</v>
      </c>
      <c r="EX241" t="e">
        <f>AND(#REF!,"AAAAAF/9a5k=")</f>
        <v>#REF!</v>
      </c>
      <c r="EY241" t="e">
        <f>AND(#REF!,"AAAAAF/9a5o=")</f>
        <v>#REF!</v>
      </c>
      <c r="EZ241" t="e">
        <f>AND(#REF!,"AAAAAF/9a5s=")</f>
        <v>#REF!</v>
      </c>
      <c r="FA241" t="e">
        <f>AND(#REF!,"AAAAAF/9a5w=")</f>
        <v>#REF!</v>
      </c>
      <c r="FB241" t="e">
        <f>AND(#REF!,"AAAAAF/9a50=")</f>
        <v>#REF!</v>
      </c>
      <c r="FC241" t="e">
        <f>AND(#REF!,"AAAAAF/9a54=")</f>
        <v>#REF!</v>
      </c>
      <c r="FD241" t="e">
        <f>AND(#REF!,"AAAAAF/9a58=")</f>
        <v>#REF!</v>
      </c>
      <c r="FE241" t="e">
        <f>AND(#REF!,"AAAAAF/9a6A=")</f>
        <v>#REF!</v>
      </c>
      <c r="FF241" t="e">
        <f>AND(#REF!,"AAAAAF/9a6E=")</f>
        <v>#REF!</v>
      </c>
      <c r="FG241" t="e">
        <f>AND(#REF!,"AAAAAF/9a6I=")</f>
        <v>#REF!</v>
      </c>
      <c r="FH241" t="e">
        <f>AND(#REF!,"AAAAAF/9a6M=")</f>
        <v>#REF!</v>
      </c>
      <c r="FI241" t="e">
        <f>AND(#REF!,"AAAAAF/9a6Q=")</f>
        <v>#REF!</v>
      </c>
      <c r="FJ241" t="e">
        <f>AND(#REF!,"AAAAAF/9a6U=")</f>
        <v>#REF!</v>
      </c>
      <c r="FK241" t="e">
        <f>AND(#REF!,"AAAAAF/9a6Y=")</f>
        <v>#REF!</v>
      </c>
      <c r="FL241" t="e">
        <f>AND(#REF!,"AAAAAF/9a6c=")</f>
        <v>#REF!</v>
      </c>
      <c r="FM241" t="e">
        <f>AND(#REF!,"AAAAAF/9a6g=")</f>
        <v>#REF!</v>
      </c>
      <c r="FN241" t="e">
        <f>AND(#REF!,"AAAAAF/9a6k=")</f>
        <v>#REF!</v>
      </c>
      <c r="FO241" t="e">
        <f>AND(#REF!,"AAAAAF/9a6o=")</f>
        <v>#REF!</v>
      </c>
      <c r="FP241" t="e">
        <f>AND(#REF!,"AAAAAF/9a6s=")</f>
        <v>#REF!</v>
      </c>
      <c r="FQ241" t="e">
        <f>AND(#REF!,"AAAAAF/9a6w=")</f>
        <v>#REF!</v>
      </c>
      <c r="FR241" t="e">
        <f>AND(#REF!,"AAAAAF/9a60=")</f>
        <v>#REF!</v>
      </c>
      <c r="FS241" t="e">
        <f>AND(#REF!,"AAAAAF/9a64=")</f>
        <v>#REF!</v>
      </c>
      <c r="FT241" t="e">
        <f>AND(#REF!,"AAAAAF/9a68=")</f>
        <v>#REF!</v>
      </c>
      <c r="FU241" t="e">
        <f>AND(#REF!,"AAAAAF/9a7A=")</f>
        <v>#REF!</v>
      </c>
      <c r="FV241" t="e">
        <f>AND(#REF!,"AAAAAF/9a7E=")</f>
        <v>#REF!</v>
      </c>
      <c r="FW241" t="e">
        <f>AND(#REF!,"AAAAAF/9a7I=")</f>
        <v>#REF!</v>
      </c>
      <c r="FX241" t="e">
        <f>AND(#REF!,"AAAAAF/9a7M=")</f>
        <v>#REF!</v>
      </c>
      <c r="FY241" t="e">
        <f>AND(#REF!,"AAAAAF/9a7Q=")</f>
        <v>#REF!</v>
      </c>
      <c r="FZ241" t="e">
        <f>AND(#REF!,"AAAAAF/9a7U=")</f>
        <v>#REF!</v>
      </c>
      <c r="GA241" t="e">
        <f>AND(#REF!,"AAAAAF/9a7Y=")</f>
        <v>#REF!</v>
      </c>
      <c r="GB241" t="e">
        <f>AND(#REF!,"AAAAAF/9a7c=")</f>
        <v>#REF!</v>
      </c>
      <c r="GC241" t="e">
        <f>AND(#REF!,"AAAAAF/9a7g=")</f>
        <v>#REF!</v>
      </c>
      <c r="GD241" t="e">
        <f>AND(#REF!,"AAAAAF/9a7k=")</f>
        <v>#REF!</v>
      </c>
      <c r="GE241" t="e">
        <f>AND(#REF!,"AAAAAF/9a7o=")</f>
        <v>#REF!</v>
      </c>
      <c r="GF241" t="e">
        <f>AND(#REF!,"AAAAAF/9a7s=")</f>
        <v>#REF!</v>
      </c>
      <c r="GG241" t="e">
        <f>AND(#REF!,"AAAAAF/9a7w=")</f>
        <v>#REF!</v>
      </c>
      <c r="GH241" t="e">
        <f>AND(#REF!,"AAAAAF/9a70=")</f>
        <v>#REF!</v>
      </c>
      <c r="GI241" t="e">
        <f>AND(#REF!,"AAAAAF/9a74=")</f>
        <v>#REF!</v>
      </c>
      <c r="GJ241" t="e">
        <f>AND(#REF!,"AAAAAF/9a78=")</f>
        <v>#REF!</v>
      </c>
      <c r="GK241" t="e">
        <f>AND(#REF!,"AAAAAF/9a8A=")</f>
        <v>#REF!</v>
      </c>
      <c r="GL241" t="e">
        <f>AND(#REF!,"AAAAAF/9a8E=")</f>
        <v>#REF!</v>
      </c>
      <c r="GM241" t="e">
        <f>AND(#REF!,"AAAAAF/9a8I=")</f>
        <v>#REF!</v>
      </c>
      <c r="GN241" t="e">
        <f>AND(#REF!,"AAAAAF/9a8M=")</f>
        <v>#REF!</v>
      </c>
      <c r="GO241" t="e">
        <f>AND(#REF!,"AAAAAF/9a8Q=")</f>
        <v>#REF!</v>
      </c>
      <c r="GP241" t="e">
        <f>AND(#REF!,"AAAAAF/9a8U=")</f>
        <v>#REF!</v>
      </c>
      <c r="GQ241" t="e">
        <f>AND(#REF!,"AAAAAF/9a8Y=")</f>
        <v>#REF!</v>
      </c>
      <c r="GR241" t="e">
        <f>AND(#REF!,"AAAAAF/9a8c=")</f>
        <v>#REF!</v>
      </c>
      <c r="GS241" t="e">
        <f>AND(#REF!,"AAAAAF/9a8g=")</f>
        <v>#REF!</v>
      </c>
      <c r="GT241" t="e">
        <f>AND(#REF!,"AAAAAF/9a8k=")</f>
        <v>#REF!</v>
      </c>
      <c r="GU241" t="e">
        <f>AND(#REF!,"AAAAAF/9a8o=")</f>
        <v>#REF!</v>
      </c>
      <c r="GV241" t="e">
        <f>AND(#REF!,"AAAAAF/9a8s=")</f>
        <v>#REF!</v>
      </c>
      <c r="GW241" t="e">
        <f>AND(#REF!,"AAAAAF/9a8w=")</f>
        <v>#REF!</v>
      </c>
      <c r="GX241" t="e">
        <f>AND(#REF!,"AAAAAF/9a80=")</f>
        <v>#REF!</v>
      </c>
      <c r="GY241" t="e">
        <f>AND(#REF!,"AAAAAF/9a84=")</f>
        <v>#REF!</v>
      </c>
      <c r="GZ241" t="e">
        <f>AND(#REF!,"AAAAAF/9a88=")</f>
        <v>#REF!</v>
      </c>
      <c r="HA241" t="e">
        <f>AND(#REF!,"AAAAAF/9a9A=")</f>
        <v>#REF!</v>
      </c>
      <c r="HB241" t="e">
        <f>AND(#REF!,"AAAAAF/9a9E=")</f>
        <v>#REF!</v>
      </c>
      <c r="HC241" t="e">
        <f>AND(#REF!,"AAAAAF/9a9I=")</f>
        <v>#REF!</v>
      </c>
      <c r="HD241" t="e">
        <f>AND(#REF!,"AAAAAF/9a9M=")</f>
        <v>#REF!</v>
      </c>
      <c r="HE241" t="e">
        <f>AND(#REF!,"AAAAAF/9a9Q=")</f>
        <v>#REF!</v>
      </c>
      <c r="HF241" t="e">
        <f>AND(#REF!,"AAAAAF/9a9U=")</f>
        <v>#REF!</v>
      </c>
      <c r="HG241" t="e">
        <f>AND(#REF!,"AAAAAF/9a9Y=")</f>
        <v>#REF!</v>
      </c>
      <c r="HH241" t="e">
        <f>AND(#REF!,"AAAAAF/9a9c=")</f>
        <v>#REF!</v>
      </c>
      <c r="HI241" t="e">
        <f>AND(#REF!,"AAAAAF/9a9g=")</f>
        <v>#REF!</v>
      </c>
      <c r="HJ241" t="e">
        <f>AND(#REF!,"AAAAAF/9a9k=")</f>
        <v>#REF!</v>
      </c>
      <c r="HK241" t="e">
        <f>AND(#REF!,"AAAAAF/9a9o=")</f>
        <v>#REF!</v>
      </c>
      <c r="HL241" t="e">
        <f>AND(#REF!,"AAAAAF/9a9s=")</f>
        <v>#REF!</v>
      </c>
      <c r="HM241" t="e">
        <f>AND(#REF!,"AAAAAF/9a9w=")</f>
        <v>#REF!</v>
      </c>
      <c r="HN241" t="e">
        <f>AND(#REF!,"AAAAAF/9a90=")</f>
        <v>#REF!</v>
      </c>
      <c r="HO241" t="e">
        <f>AND(#REF!,"AAAAAF/9a94=")</f>
        <v>#REF!</v>
      </c>
      <c r="HP241" t="e">
        <f>AND(#REF!,"AAAAAF/9a98=")</f>
        <v>#REF!</v>
      </c>
      <c r="HQ241" t="e">
        <f>AND(#REF!,"AAAAAF/9a+A=")</f>
        <v>#REF!</v>
      </c>
      <c r="HR241" t="e">
        <f>AND(#REF!,"AAAAAF/9a+E=")</f>
        <v>#REF!</v>
      </c>
      <c r="HS241" t="e">
        <f>AND(#REF!,"AAAAAF/9a+I=")</f>
        <v>#REF!</v>
      </c>
      <c r="HT241" t="e">
        <f>AND(#REF!,"AAAAAF/9a+M=")</f>
        <v>#REF!</v>
      </c>
      <c r="HU241" t="e">
        <f>AND(#REF!,"AAAAAF/9a+Q=")</f>
        <v>#REF!</v>
      </c>
      <c r="HV241" t="e">
        <f>AND(#REF!,"AAAAAF/9a+U=")</f>
        <v>#REF!</v>
      </c>
      <c r="HW241" t="e">
        <f>AND(#REF!,"AAAAAF/9a+Y=")</f>
        <v>#REF!</v>
      </c>
      <c r="HX241" t="e">
        <f>AND(#REF!,"AAAAAF/9a+c=")</f>
        <v>#REF!</v>
      </c>
      <c r="HY241" t="e">
        <f>AND(#REF!,"AAAAAF/9a+g=")</f>
        <v>#REF!</v>
      </c>
      <c r="HZ241" t="e">
        <f>AND(#REF!,"AAAAAF/9a+k=")</f>
        <v>#REF!</v>
      </c>
      <c r="IA241" t="e">
        <f>AND(#REF!,"AAAAAF/9a+o=")</f>
        <v>#REF!</v>
      </c>
      <c r="IB241" t="e">
        <f>AND(#REF!,"AAAAAF/9a+s=")</f>
        <v>#REF!</v>
      </c>
      <c r="IC241" t="e">
        <f>AND(#REF!,"AAAAAF/9a+w=")</f>
        <v>#REF!</v>
      </c>
      <c r="ID241" t="e">
        <f>AND(#REF!,"AAAAAF/9a+0=")</f>
        <v>#REF!</v>
      </c>
      <c r="IE241" t="e">
        <f>AND(#REF!,"AAAAAF/9a+4=")</f>
        <v>#REF!</v>
      </c>
      <c r="IF241" t="e">
        <f>AND(#REF!,"AAAAAF/9a+8=")</f>
        <v>#REF!</v>
      </c>
      <c r="IG241" t="e">
        <f>AND(#REF!,"AAAAAF/9a/A=")</f>
        <v>#REF!</v>
      </c>
      <c r="IH241" t="e">
        <f>AND(#REF!,"AAAAAF/9a/E=")</f>
        <v>#REF!</v>
      </c>
      <c r="II241" t="e">
        <f>AND(#REF!,"AAAAAF/9a/I=")</f>
        <v>#REF!</v>
      </c>
      <c r="IJ241" t="e">
        <f>AND(#REF!,"AAAAAF/9a/M=")</f>
        <v>#REF!</v>
      </c>
      <c r="IK241" t="e">
        <f>AND(#REF!,"AAAAAF/9a/Q=")</f>
        <v>#REF!</v>
      </c>
      <c r="IL241" t="e">
        <f>AND(#REF!,"AAAAAF/9a/U=")</f>
        <v>#REF!</v>
      </c>
      <c r="IM241" t="e">
        <f>AND(#REF!,"AAAAAF/9a/Y=")</f>
        <v>#REF!</v>
      </c>
      <c r="IN241" t="e">
        <f>AND(#REF!,"AAAAAF/9a/c=")</f>
        <v>#REF!</v>
      </c>
      <c r="IO241" t="e">
        <f>AND(#REF!,"AAAAAF/9a/g=")</f>
        <v>#REF!</v>
      </c>
      <c r="IP241" t="e">
        <f>AND(#REF!,"AAAAAF/9a/k=")</f>
        <v>#REF!</v>
      </c>
      <c r="IQ241" t="e">
        <f>AND(#REF!,"AAAAAF/9a/o=")</f>
        <v>#REF!</v>
      </c>
      <c r="IR241" t="e">
        <f>AND(#REF!,"AAAAAF/9a/s=")</f>
        <v>#REF!</v>
      </c>
      <c r="IS241" t="e">
        <f>AND(#REF!,"AAAAAF/9a/w=")</f>
        <v>#REF!</v>
      </c>
      <c r="IT241" t="e">
        <f>AND(#REF!,"AAAAAF/9a/0=")</f>
        <v>#REF!</v>
      </c>
      <c r="IU241" t="e">
        <f>AND(#REF!,"AAAAAF/9a/4=")</f>
        <v>#REF!</v>
      </c>
      <c r="IV241" t="e">
        <f>AND(#REF!,"AAAAAF/9a/8=")</f>
        <v>#REF!</v>
      </c>
    </row>
    <row r="242" spans="1:256">
      <c r="A242" t="e">
        <f>AND(#REF!,"AAAAAG+/ngA=")</f>
        <v>#REF!</v>
      </c>
      <c r="B242" t="e">
        <f>AND(#REF!,"AAAAAG+/ngE=")</f>
        <v>#REF!</v>
      </c>
      <c r="C242" t="e">
        <f>AND(#REF!,"AAAAAG+/ngI=")</f>
        <v>#REF!</v>
      </c>
      <c r="D242" t="e">
        <f>AND(#REF!,"AAAAAG+/ngM=")</f>
        <v>#REF!</v>
      </c>
      <c r="E242" t="e">
        <f>AND(#REF!,"AAAAAG+/ngQ=")</f>
        <v>#REF!</v>
      </c>
      <c r="F242" t="e">
        <f>AND(#REF!,"AAAAAG+/ngU=")</f>
        <v>#REF!</v>
      </c>
      <c r="G242" t="e">
        <f>AND(#REF!,"AAAAAG+/ngY=")</f>
        <v>#REF!</v>
      </c>
      <c r="H242" t="e">
        <f>AND(#REF!,"AAAAAG+/ngc=")</f>
        <v>#REF!</v>
      </c>
      <c r="I242" t="e">
        <f>AND(#REF!,"AAAAAG+/ngg=")</f>
        <v>#REF!</v>
      </c>
      <c r="J242" t="e">
        <f>AND(#REF!,"AAAAAG+/ngk=")</f>
        <v>#REF!</v>
      </c>
      <c r="K242" t="e">
        <f>AND(#REF!,"AAAAAG+/ngo=")</f>
        <v>#REF!</v>
      </c>
      <c r="L242" t="e">
        <f>AND(#REF!,"AAAAAG+/ngs=")</f>
        <v>#REF!</v>
      </c>
      <c r="M242" t="e">
        <f>AND(#REF!,"AAAAAG+/ngw=")</f>
        <v>#REF!</v>
      </c>
      <c r="N242" t="e">
        <f>AND(#REF!,"AAAAAG+/ng0=")</f>
        <v>#REF!</v>
      </c>
      <c r="O242" t="e">
        <f>AND(#REF!,"AAAAAG+/ng4=")</f>
        <v>#REF!</v>
      </c>
      <c r="P242" t="e">
        <f>AND(#REF!,"AAAAAG+/ng8=")</f>
        <v>#REF!</v>
      </c>
      <c r="Q242" t="e">
        <f>AND(#REF!,"AAAAAG+/nhA=")</f>
        <v>#REF!</v>
      </c>
      <c r="R242" t="e">
        <f>AND(#REF!,"AAAAAG+/nhE=")</f>
        <v>#REF!</v>
      </c>
      <c r="S242" t="e">
        <f>AND(#REF!,"AAAAAG+/nhI=")</f>
        <v>#REF!</v>
      </c>
      <c r="T242" t="e">
        <f>AND(#REF!,"AAAAAG+/nhM=")</f>
        <v>#REF!</v>
      </c>
      <c r="U242" t="e">
        <f>AND(#REF!,"AAAAAG+/nhQ=")</f>
        <v>#REF!</v>
      </c>
      <c r="V242" t="e">
        <f>AND(#REF!,"AAAAAG+/nhU=")</f>
        <v>#REF!</v>
      </c>
      <c r="W242" t="e">
        <f>AND(#REF!,"AAAAAG+/nhY=")</f>
        <v>#REF!</v>
      </c>
      <c r="X242" t="e">
        <f>AND(#REF!,"AAAAAG+/nhc=")</f>
        <v>#REF!</v>
      </c>
      <c r="Y242" t="e">
        <f>AND(#REF!,"AAAAAG+/nhg=")</f>
        <v>#REF!</v>
      </c>
      <c r="Z242" t="e">
        <f>AND(#REF!,"AAAAAG+/nhk=")</f>
        <v>#REF!</v>
      </c>
      <c r="AA242" t="e">
        <f>AND(#REF!,"AAAAAG+/nho=")</f>
        <v>#REF!</v>
      </c>
      <c r="AB242" t="e">
        <f>AND(#REF!,"AAAAAG+/nhs=")</f>
        <v>#REF!</v>
      </c>
      <c r="AC242" t="e">
        <f>AND(#REF!,"AAAAAG+/nhw=")</f>
        <v>#REF!</v>
      </c>
      <c r="AD242" t="e">
        <f>AND(#REF!,"AAAAAG+/nh0=")</f>
        <v>#REF!</v>
      </c>
      <c r="AE242" t="e">
        <f>AND(#REF!,"AAAAAG+/nh4=")</f>
        <v>#REF!</v>
      </c>
      <c r="AF242" t="e">
        <f>AND(#REF!,"AAAAAG+/nh8=")</f>
        <v>#REF!</v>
      </c>
      <c r="AG242" t="e">
        <f>AND(#REF!,"AAAAAG+/niA=")</f>
        <v>#REF!</v>
      </c>
      <c r="AH242" t="e">
        <f>AND(#REF!,"AAAAAG+/niE=")</f>
        <v>#REF!</v>
      </c>
      <c r="AI242" t="e">
        <f>IF(#REF!,"AAAAAG+/niI=",0)</f>
        <v>#REF!</v>
      </c>
      <c r="AJ242" t="e">
        <f>AND(#REF!,"AAAAAG+/niM=")</f>
        <v>#REF!</v>
      </c>
      <c r="AK242" t="e">
        <f>AND(#REF!,"AAAAAG+/niQ=")</f>
        <v>#REF!</v>
      </c>
      <c r="AL242" t="e">
        <f>AND(#REF!,"AAAAAG+/niU=")</f>
        <v>#REF!</v>
      </c>
      <c r="AM242" t="e">
        <f>AND(#REF!,"AAAAAG+/niY=")</f>
        <v>#REF!</v>
      </c>
      <c r="AN242" t="e">
        <f>AND(#REF!,"AAAAAG+/nic=")</f>
        <v>#REF!</v>
      </c>
      <c r="AO242" t="e">
        <f>AND(#REF!,"AAAAAG+/nig=")</f>
        <v>#REF!</v>
      </c>
      <c r="AP242" t="e">
        <f>AND(#REF!,"AAAAAG+/nik=")</f>
        <v>#REF!</v>
      </c>
      <c r="AQ242" t="e">
        <f>AND(#REF!,"AAAAAG+/nio=")</f>
        <v>#REF!</v>
      </c>
      <c r="AR242" t="e">
        <f>AND(#REF!,"AAAAAG+/nis=")</f>
        <v>#REF!</v>
      </c>
      <c r="AS242" t="e">
        <f>AND(#REF!,"AAAAAG+/niw=")</f>
        <v>#REF!</v>
      </c>
      <c r="AT242" t="e">
        <f>AND(#REF!,"AAAAAG+/ni0=")</f>
        <v>#REF!</v>
      </c>
      <c r="AU242" t="e">
        <f>AND(#REF!,"AAAAAG+/ni4=")</f>
        <v>#REF!</v>
      </c>
      <c r="AV242" t="e">
        <f>AND(#REF!,"AAAAAG+/ni8=")</f>
        <v>#REF!</v>
      </c>
      <c r="AW242" t="e">
        <f>AND(#REF!,"AAAAAG+/njA=")</f>
        <v>#REF!</v>
      </c>
      <c r="AX242" t="e">
        <f>AND(#REF!,"AAAAAG+/njE=")</f>
        <v>#REF!</v>
      </c>
      <c r="AY242" t="e">
        <f>AND(#REF!,"AAAAAG+/njI=")</f>
        <v>#REF!</v>
      </c>
      <c r="AZ242" t="e">
        <f>AND(#REF!,"AAAAAG+/njM=")</f>
        <v>#REF!</v>
      </c>
      <c r="BA242" t="e">
        <f>AND(#REF!,"AAAAAG+/njQ=")</f>
        <v>#REF!</v>
      </c>
      <c r="BB242" t="e">
        <f>AND(#REF!,"AAAAAG+/njU=")</f>
        <v>#REF!</v>
      </c>
      <c r="BC242" t="e">
        <f>AND(#REF!,"AAAAAG+/njY=")</f>
        <v>#REF!</v>
      </c>
      <c r="BD242" t="e">
        <f>AND(#REF!,"AAAAAG+/njc=")</f>
        <v>#REF!</v>
      </c>
      <c r="BE242" t="e">
        <f>AND(#REF!,"AAAAAG+/njg=")</f>
        <v>#REF!</v>
      </c>
      <c r="BF242" t="e">
        <f>AND(#REF!,"AAAAAG+/njk=")</f>
        <v>#REF!</v>
      </c>
      <c r="BG242" t="e">
        <f>AND(#REF!,"AAAAAG+/njo=")</f>
        <v>#REF!</v>
      </c>
      <c r="BH242" t="e">
        <f>AND(#REF!,"AAAAAG+/njs=")</f>
        <v>#REF!</v>
      </c>
      <c r="BI242" t="e">
        <f>AND(#REF!,"AAAAAG+/njw=")</f>
        <v>#REF!</v>
      </c>
      <c r="BJ242" t="e">
        <f>AND(#REF!,"AAAAAG+/nj0=")</f>
        <v>#REF!</v>
      </c>
      <c r="BK242" t="e">
        <f>AND(#REF!,"AAAAAG+/nj4=")</f>
        <v>#REF!</v>
      </c>
      <c r="BL242" t="e">
        <f>AND(#REF!,"AAAAAG+/nj8=")</f>
        <v>#REF!</v>
      </c>
      <c r="BM242" t="e">
        <f>AND(#REF!,"AAAAAG+/nkA=")</f>
        <v>#REF!</v>
      </c>
      <c r="BN242" t="e">
        <f>AND(#REF!,"AAAAAG+/nkE=")</f>
        <v>#REF!</v>
      </c>
      <c r="BO242" t="e">
        <f>AND(#REF!,"AAAAAG+/nkI=")</f>
        <v>#REF!</v>
      </c>
      <c r="BP242" t="e">
        <f>AND(#REF!,"AAAAAG+/nkM=")</f>
        <v>#REF!</v>
      </c>
      <c r="BQ242" t="e">
        <f>AND(#REF!,"AAAAAG+/nkQ=")</f>
        <v>#REF!</v>
      </c>
      <c r="BR242" t="e">
        <f>AND(#REF!,"AAAAAG+/nkU=")</f>
        <v>#REF!</v>
      </c>
      <c r="BS242" t="e">
        <f>AND(#REF!,"AAAAAG+/nkY=")</f>
        <v>#REF!</v>
      </c>
      <c r="BT242" t="e">
        <f>AND(#REF!,"AAAAAG+/nkc=")</f>
        <v>#REF!</v>
      </c>
      <c r="BU242" t="e">
        <f>AND(#REF!,"AAAAAG+/nkg=")</f>
        <v>#REF!</v>
      </c>
      <c r="BV242" t="e">
        <f>AND(#REF!,"AAAAAG+/nkk=")</f>
        <v>#REF!</v>
      </c>
      <c r="BW242" t="e">
        <f>AND(#REF!,"AAAAAG+/nko=")</f>
        <v>#REF!</v>
      </c>
      <c r="BX242" t="e">
        <f>AND(#REF!,"AAAAAG+/nks=")</f>
        <v>#REF!</v>
      </c>
      <c r="BY242" t="e">
        <f>AND(#REF!,"AAAAAG+/nkw=")</f>
        <v>#REF!</v>
      </c>
      <c r="BZ242" t="e">
        <f>AND(#REF!,"AAAAAG+/nk0=")</f>
        <v>#REF!</v>
      </c>
      <c r="CA242" t="e">
        <f>AND(#REF!,"AAAAAG+/nk4=")</f>
        <v>#REF!</v>
      </c>
      <c r="CB242" t="e">
        <f>AND(#REF!,"AAAAAG+/nk8=")</f>
        <v>#REF!</v>
      </c>
      <c r="CC242" t="e">
        <f>AND(#REF!,"AAAAAG+/nlA=")</f>
        <v>#REF!</v>
      </c>
      <c r="CD242" t="e">
        <f>AND(#REF!,"AAAAAG+/nlE=")</f>
        <v>#REF!</v>
      </c>
      <c r="CE242" t="e">
        <f>AND(#REF!,"AAAAAG+/nlI=")</f>
        <v>#REF!</v>
      </c>
      <c r="CF242" t="e">
        <f>AND(#REF!,"AAAAAG+/nlM=")</f>
        <v>#REF!</v>
      </c>
      <c r="CG242" t="e">
        <f>AND(#REF!,"AAAAAG+/nlQ=")</f>
        <v>#REF!</v>
      </c>
      <c r="CH242" t="e">
        <f>AND(#REF!,"AAAAAG+/nlU=")</f>
        <v>#REF!</v>
      </c>
      <c r="CI242" t="e">
        <f>AND(#REF!,"AAAAAG+/nlY=")</f>
        <v>#REF!</v>
      </c>
      <c r="CJ242" t="e">
        <f>AND(#REF!,"AAAAAG+/nlc=")</f>
        <v>#REF!</v>
      </c>
      <c r="CK242" t="e">
        <f>AND(#REF!,"AAAAAG+/nlg=")</f>
        <v>#REF!</v>
      </c>
      <c r="CL242" t="e">
        <f>AND(#REF!,"AAAAAG+/nlk=")</f>
        <v>#REF!</v>
      </c>
      <c r="CM242" t="e">
        <f>AND(#REF!,"AAAAAG+/nlo=")</f>
        <v>#REF!</v>
      </c>
      <c r="CN242" t="e">
        <f>AND(#REF!,"AAAAAG+/nls=")</f>
        <v>#REF!</v>
      </c>
      <c r="CO242" t="e">
        <f>AND(#REF!,"AAAAAG+/nlw=")</f>
        <v>#REF!</v>
      </c>
      <c r="CP242" t="e">
        <f>AND(#REF!,"AAAAAG+/nl0=")</f>
        <v>#REF!</v>
      </c>
      <c r="CQ242" t="e">
        <f>AND(#REF!,"AAAAAG+/nl4=")</f>
        <v>#REF!</v>
      </c>
      <c r="CR242" t="e">
        <f>AND(#REF!,"AAAAAG+/nl8=")</f>
        <v>#REF!</v>
      </c>
      <c r="CS242" t="e">
        <f>AND(#REF!,"AAAAAG+/nmA=")</f>
        <v>#REF!</v>
      </c>
      <c r="CT242" t="e">
        <f>AND(#REF!,"AAAAAG+/nmE=")</f>
        <v>#REF!</v>
      </c>
      <c r="CU242" t="e">
        <f>AND(#REF!,"AAAAAG+/nmI=")</f>
        <v>#REF!</v>
      </c>
      <c r="CV242" t="e">
        <f>AND(#REF!,"AAAAAG+/nmM=")</f>
        <v>#REF!</v>
      </c>
      <c r="CW242" t="e">
        <f>AND(#REF!,"AAAAAG+/nmQ=")</f>
        <v>#REF!</v>
      </c>
      <c r="CX242" t="e">
        <f>AND(#REF!,"AAAAAG+/nmU=")</f>
        <v>#REF!</v>
      </c>
      <c r="CY242" t="e">
        <f>AND(#REF!,"AAAAAG+/nmY=")</f>
        <v>#REF!</v>
      </c>
      <c r="CZ242" t="e">
        <f>AND(#REF!,"AAAAAG+/nmc=")</f>
        <v>#REF!</v>
      </c>
      <c r="DA242" t="e">
        <f>AND(#REF!,"AAAAAG+/nmg=")</f>
        <v>#REF!</v>
      </c>
      <c r="DB242" t="e">
        <f>AND(#REF!,"AAAAAG+/nmk=")</f>
        <v>#REF!</v>
      </c>
      <c r="DC242" t="e">
        <f>AND(#REF!,"AAAAAG+/nmo=")</f>
        <v>#REF!</v>
      </c>
      <c r="DD242" t="e">
        <f>AND(#REF!,"AAAAAG+/nms=")</f>
        <v>#REF!</v>
      </c>
      <c r="DE242" t="e">
        <f>AND(#REF!,"AAAAAG+/nmw=")</f>
        <v>#REF!</v>
      </c>
      <c r="DF242" t="e">
        <f>AND(#REF!,"AAAAAG+/nm0=")</f>
        <v>#REF!</v>
      </c>
      <c r="DG242" t="e">
        <f>AND(#REF!,"AAAAAG+/nm4=")</f>
        <v>#REF!</v>
      </c>
      <c r="DH242" t="e">
        <f>AND(#REF!,"AAAAAG+/nm8=")</f>
        <v>#REF!</v>
      </c>
      <c r="DI242" t="e">
        <f>AND(#REF!,"AAAAAG+/nnA=")</f>
        <v>#REF!</v>
      </c>
      <c r="DJ242" t="e">
        <f>AND(#REF!,"AAAAAG+/nnE=")</f>
        <v>#REF!</v>
      </c>
      <c r="DK242" t="e">
        <f>AND(#REF!,"AAAAAG+/nnI=")</f>
        <v>#REF!</v>
      </c>
      <c r="DL242" t="e">
        <f>AND(#REF!,"AAAAAG+/nnM=")</f>
        <v>#REF!</v>
      </c>
      <c r="DM242" t="e">
        <f>AND(#REF!,"AAAAAG+/nnQ=")</f>
        <v>#REF!</v>
      </c>
      <c r="DN242" t="e">
        <f>AND(#REF!,"AAAAAG+/nnU=")</f>
        <v>#REF!</v>
      </c>
      <c r="DO242" t="e">
        <f>AND(#REF!,"AAAAAG+/nnY=")</f>
        <v>#REF!</v>
      </c>
      <c r="DP242" t="e">
        <f>AND(#REF!,"AAAAAG+/nnc=")</f>
        <v>#REF!</v>
      </c>
      <c r="DQ242" t="e">
        <f>AND(#REF!,"AAAAAG+/nng=")</f>
        <v>#REF!</v>
      </c>
      <c r="DR242" t="e">
        <f>AND(#REF!,"AAAAAG+/nnk=")</f>
        <v>#REF!</v>
      </c>
      <c r="DS242" t="e">
        <f>AND(#REF!,"AAAAAG+/nno=")</f>
        <v>#REF!</v>
      </c>
      <c r="DT242" t="e">
        <f>AND(#REF!,"AAAAAG+/nns=")</f>
        <v>#REF!</v>
      </c>
      <c r="DU242" t="e">
        <f>AND(#REF!,"AAAAAG+/nnw=")</f>
        <v>#REF!</v>
      </c>
      <c r="DV242" t="e">
        <f>AND(#REF!,"AAAAAG+/nn0=")</f>
        <v>#REF!</v>
      </c>
      <c r="DW242" t="e">
        <f>AND(#REF!,"AAAAAG+/nn4=")</f>
        <v>#REF!</v>
      </c>
      <c r="DX242" t="e">
        <f>AND(#REF!,"AAAAAG+/nn8=")</f>
        <v>#REF!</v>
      </c>
      <c r="DY242" t="e">
        <f>AND(#REF!,"AAAAAG+/noA=")</f>
        <v>#REF!</v>
      </c>
      <c r="DZ242" t="e">
        <f>AND(#REF!,"AAAAAG+/noE=")</f>
        <v>#REF!</v>
      </c>
      <c r="EA242" t="e">
        <f>AND(#REF!,"AAAAAG+/noI=")</f>
        <v>#REF!</v>
      </c>
      <c r="EB242" t="e">
        <f>AND(#REF!,"AAAAAG+/noM=")</f>
        <v>#REF!</v>
      </c>
      <c r="EC242" t="e">
        <f>AND(#REF!,"AAAAAG+/noQ=")</f>
        <v>#REF!</v>
      </c>
      <c r="ED242" t="e">
        <f>AND(#REF!,"AAAAAG+/noU=")</f>
        <v>#REF!</v>
      </c>
      <c r="EE242" t="e">
        <f>AND(#REF!,"AAAAAG+/noY=")</f>
        <v>#REF!</v>
      </c>
      <c r="EF242" t="e">
        <f>AND(#REF!,"AAAAAG+/noc=")</f>
        <v>#REF!</v>
      </c>
      <c r="EG242" t="e">
        <f>AND(#REF!,"AAAAAG+/nog=")</f>
        <v>#REF!</v>
      </c>
      <c r="EH242" t="e">
        <f>AND(#REF!,"AAAAAG+/nok=")</f>
        <v>#REF!</v>
      </c>
      <c r="EI242" t="e">
        <f>AND(#REF!,"AAAAAG+/noo=")</f>
        <v>#REF!</v>
      </c>
      <c r="EJ242" t="e">
        <f>AND(#REF!,"AAAAAG+/nos=")</f>
        <v>#REF!</v>
      </c>
      <c r="EK242" t="e">
        <f>AND(#REF!,"AAAAAG+/now=")</f>
        <v>#REF!</v>
      </c>
      <c r="EL242" t="e">
        <f>AND(#REF!,"AAAAAG+/no0=")</f>
        <v>#REF!</v>
      </c>
      <c r="EM242" t="e">
        <f>AND(#REF!,"AAAAAG+/no4=")</f>
        <v>#REF!</v>
      </c>
      <c r="EN242" t="e">
        <f>AND(#REF!,"AAAAAG+/no8=")</f>
        <v>#REF!</v>
      </c>
      <c r="EO242" t="e">
        <f>AND(#REF!,"AAAAAG+/npA=")</f>
        <v>#REF!</v>
      </c>
      <c r="EP242" t="e">
        <f>AND(#REF!,"AAAAAG+/npE=")</f>
        <v>#REF!</v>
      </c>
      <c r="EQ242" t="e">
        <f>AND(#REF!,"AAAAAG+/npI=")</f>
        <v>#REF!</v>
      </c>
      <c r="ER242" t="e">
        <f>AND(#REF!,"AAAAAG+/npM=")</f>
        <v>#REF!</v>
      </c>
      <c r="ES242" t="e">
        <f>AND(#REF!,"AAAAAG+/npQ=")</f>
        <v>#REF!</v>
      </c>
      <c r="ET242" t="e">
        <f>AND(#REF!,"AAAAAG+/npU=")</f>
        <v>#REF!</v>
      </c>
      <c r="EU242" t="e">
        <f>AND(#REF!,"AAAAAG+/npY=")</f>
        <v>#REF!</v>
      </c>
      <c r="EV242" t="e">
        <f>AND(#REF!,"AAAAAG+/npc=")</f>
        <v>#REF!</v>
      </c>
      <c r="EW242" t="e">
        <f>AND(#REF!,"AAAAAG+/npg=")</f>
        <v>#REF!</v>
      </c>
      <c r="EX242" t="e">
        <f>AND(#REF!,"AAAAAG+/npk=")</f>
        <v>#REF!</v>
      </c>
      <c r="EY242" t="e">
        <f>AND(#REF!,"AAAAAG+/npo=")</f>
        <v>#REF!</v>
      </c>
      <c r="EZ242" t="e">
        <f>AND(#REF!,"AAAAAG+/nps=")</f>
        <v>#REF!</v>
      </c>
      <c r="FA242" t="e">
        <f>AND(#REF!,"AAAAAG+/npw=")</f>
        <v>#REF!</v>
      </c>
      <c r="FB242" t="e">
        <f>AND(#REF!,"AAAAAG+/np0=")</f>
        <v>#REF!</v>
      </c>
      <c r="FC242" t="e">
        <f>AND(#REF!,"AAAAAG+/np4=")</f>
        <v>#REF!</v>
      </c>
      <c r="FD242" t="e">
        <f>AND(#REF!,"AAAAAG+/np8=")</f>
        <v>#REF!</v>
      </c>
      <c r="FE242" t="e">
        <f>AND(#REF!,"AAAAAG+/nqA=")</f>
        <v>#REF!</v>
      </c>
      <c r="FF242" t="e">
        <f>AND(#REF!,"AAAAAG+/nqE=")</f>
        <v>#REF!</v>
      </c>
      <c r="FG242" t="e">
        <f>AND(#REF!,"AAAAAG+/nqI=")</f>
        <v>#REF!</v>
      </c>
      <c r="FH242" t="e">
        <f>AND(#REF!,"AAAAAG+/nqM=")</f>
        <v>#REF!</v>
      </c>
      <c r="FI242" t="e">
        <f>AND(#REF!,"AAAAAG+/nqQ=")</f>
        <v>#REF!</v>
      </c>
      <c r="FJ242" t="e">
        <f>AND(#REF!,"AAAAAG+/nqU=")</f>
        <v>#REF!</v>
      </c>
      <c r="FK242" t="e">
        <f>AND(#REF!,"AAAAAG+/nqY=")</f>
        <v>#REF!</v>
      </c>
      <c r="FL242" t="e">
        <f>AND(#REF!,"AAAAAG+/nqc=")</f>
        <v>#REF!</v>
      </c>
      <c r="FM242" t="e">
        <f>AND(#REF!,"AAAAAG+/nqg=")</f>
        <v>#REF!</v>
      </c>
      <c r="FN242" t="e">
        <f>AND(#REF!,"AAAAAG+/nqk=")</f>
        <v>#REF!</v>
      </c>
      <c r="FO242" t="e">
        <f>AND(#REF!,"AAAAAG+/nqo=")</f>
        <v>#REF!</v>
      </c>
      <c r="FP242" t="e">
        <f>AND(#REF!,"AAAAAG+/nqs=")</f>
        <v>#REF!</v>
      </c>
      <c r="FQ242" t="e">
        <f>AND(#REF!,"AAAAAG+/nqw=")</f>
        <v>#REF!</v>
      </c>
      <c r="FR242" t="e">
        <f>AND(#REF!,"AAAAAG+/nq0=")</f>
        <v>#REF!</v>
      </c>
      <c r="FS242" t="e">
        <f>AND(#REF!,"AAAAAG+/nq4=")</f>
        <v>#REF!</v>
      </c>
      <c r="FT242" t="e">
        <f>AND(#REF!,"AAAAAG+/nq8=")</f>
        <v>#REF!</v>
      </c>
      <c r="FU242" t="e">
        <f>AND(#REF!,"AAAAAG+/nrA=")</f>
        <v>#REF!</v>
      </c>
      <c r="FV242" t="e">
        <f>AND(#REF!,"AAAAAG+/nrE=")</f>
        <v>#REF!</v>
      </c>
      <c r="FW242" t="e">
        <f>AND(#REF!,"AAAAAG+/nrI=")</f>
        <v>#REF!</v>
      </c>
      <c r="FX242" t="e">
        <f>AND(#REF!,"AAAAAG+/nrM=")</f>
        <v>#REF!</v>
      </c>
      <c r="FY242" t="e">
        <f>AND(#REF!,"AAAAAG+/nrQ=")</f>
        <v>#REF!</v>
      </c>
      <c r="FZ242" t="e">
        <f>AND(#REF!,"AAAAAG+/nrU=")</f>
        <v>#REF!</v>
      </c>
      <c r="GA242" t="e">
        <f>AND(#REF!,"AAAAAG+/nrY=")</f>
        <v>#REF!</v>
      </c>
      <c r="GB242" t="e">
        <f>AND(#REF!,"AAAAAG+/nrc=")</f>
        <v>#REF!</v>
      </c>
      <c r="GC242" t="e">
        <f>AND(#REF!,"AAAAAG+/nrg=")</f>
        <v>#REF!</v>
      </c>
      <c r="GD242" t="e">
        <f>AND(#REF!,"AAAAAG+/nrk=")</f>
        <v>#REF!</v>
      </c>
      <c r="GE242" t="e">
        <f>AND(#REF!,"AAAAAG+/nro=")</f>
        <v>#REF!</v>
      </c>
      <c r="GF242" t="e">
        <f>AND(#REF!,"AAAAAG+/nrs=")</f>
        <v>#REF!</v>
      </c>
      <c r="GG242" t="e">
        <f>AND(#REF!,"AAAAAG+/nrw=")</f>
        <v>#REF!</v>
      </c>
      <c r="GH242" t="e">
        <f>AND(#REF!,"AAAAAG+/nr0=")</f>
        <v>#REF!</v>
      </c>
      <c r="GI242" t="e">
        <f>AND(#REF!,"AAAAAG+/nr4=")</f>
        <v>#REF!</v>
      </c>
      <c r="GJ242" t="e">
        <f>AND(#REF!,"AAAAAG+/nr8=")</f>
        <v>#REF!</v>
      </c>
      <c r="GK242" t="e">
        <f>AND(#REF!,"AAAAAG+/nsA=")</f>
        <v>#REF!</v>
      </c>
      <c r="GL242" t="e">
        <f>AND(#REF!,"AAAAAG+/nsE=")</f>
        <v>#REF!</v>
      </c>
      <c r="GM242" t="e">
        <f>AND(#REF!,"AAAAAG+/nsI=")</f>
        <v>#REF!</v>
      </c>
      <c r="GN242" t="e">
        <f>AND(#REF!,"AAAAAG+/nsM=")</f>
        <v>#REF!</v>
      </c>
      <c r="GO242" t="e">
        <f>AND(#REF!,"AAAAAG+/nsQ=")</f>
        <v>#REF!</v>
      </c>
      <c r="GP242" t="e">
        <f>AND(#REF!,"AAAAAG+/nsU=")</f>
        <v>#REF!</v>
      </c>
      <c r="GQ242" t="e">
        <f>AND(#REF!,"AAAAAG+/nsY=")</f>
        <v>#REF!</v>
      </c>
      <c r="GR242" t="e">
        <f>AND(#REF!,"AAAAAG+/nsc=")</f>
        <v>#REF!</v>
      </c>
      <c r="GS242" t="e">
        <f>AND(#REF!,"AAAAAG+/nsg=")</f>
        <v>#REF!</v>
      </c>
      <c r="GT242" t="e">
        <f>AND(#REF!,"AAAAAG+/nsk=")</f>
        <v>#REF!</v>
      </c>
      <c r="GU242" t="e">
        <f>AND(#REF!,"AAAAAG+/nso=")</f>
        <v>#REF!</v>
      </c>
      <c r="GV242" t="e">
        <f>AND(#REF!,"AAAAAG+/nss=")</f>
        <v>#REF!</v>
      </c>
      <c r="GW242" t="e">
        <f>AND(#REF!,"AAAAAG+/nsw=")</f>
        <v>#REF!</v>
      </c>
      <c r="GX242" t="e">
        <f>AND(#REF!,"AAAAAG+/ns0=")</f>
        <v>#REF!</v>
      </c>
      <c r="GY242" t="e">
        <f>AND(#REF!,"AAAAAG+/ns4=")</f>
        <v>#REF!</v>
      </c>
      <c r="GZ242" t="e">
        <f>AND(#REF!,"AAAAAG+/ns8=")</f>
        <v>#REF!</v>
      </c>
      <c r="HA242" t="e">
        <f>AND(#REF!,"AAAAAG+/ntA=")</f>
        <v>#REF!</v>
      </c>
      <c r="HB242" t="e">
        <f>AND(#REF!,"AAAAAG+/ntE=")</f>
        <v>#REF!</v>
      </c>
      <c r="HC242" t="e">
        <f>AND(#REF!,"AAAAAG+/ntI=")</f>
        <v>#REF!</v>
      </c>
      <c r="HD242" t="e">
        <f>AND(#REF!,"AAAAAG+/ntM=")</f>
        <v>#REF!</v>
      </c>
      <c r="HE242" t="e">
        <f>AND(#REF!,"AAAAAG+/ntQ=")</f>
        <v>#REF!</v>
      </c>
      <c r="HF242" t="e">
        <f>AND(#REF!,"AAAAAG+/ntU=")</f>
        <v>#REF!</v>
      </c>
      <c r="HG242" t="e">
        <f>AND(#REF!,"AAAAAG+/ntY=")</f>
        <v>#REF!</v>
      </c>
      <c r="HH242" t="e">
        <f>AND(#REF!,"AAAAAG+/ntc=")</f>
        <v>#REF!</v>
      </c>
      <c r="HI242" t="e">
        <f>AND(#REF!,"AAAAAG+/ntg=")</f>
        <v>#REF!</v>
      </c>
      <c r="HJ242" t="e">
        <f>AND(#REF!,"AAAAAG+/ntk=")</f>
        <v>#REF!</v>
      </c>
      <c r="HK242" t="e">
        <f>AND(#REF!,"AAAAAG+/nto=")</f>
        <v>#REF!</v>
      </c>
      <c r="HL242" t="e">
        <f>AND(#REF!,"AAAAAG+/nts=")</f>
        <v>#REF!</v>
      </c>
      <c r="HM242" t="e">
        <f>AND(#REF!,"AAAAAG+/ntw=")</f>
        <v>#REF!</v>
      </c>
      <c r="HN242" t="e">
        <f>AND(#REF!,"AAAAAG+/nt0=")</f>
        <v>#REF!</v>
      </c>
      <c r="HO242" t="e">
        <f>AND(#REF!,"AAAAAG+/nt4=")</f>
        <v>#REF!</v>
      </c>
      <c r="HP242" t="e">
        <f>AND(#REF!,"AAAAAG+/nt8=")</f>
        <v>#REF!</v>
      </c>
      <c r="HQ242" t="e">
        <f>AND(#REF!,"AAAAAG+/nuA=")</f>
        <v>#REF!</v>
      </c>
      <c r="HR242" t="e">
        <f>AND(#REF!,"AAAAAG+/nuE=")</f>
        <v>#REF!</v>
      </c>
      <c r="HS242" t="e">
        <f>AND(#REF!,"AAAAAG+/nuI=")</f>
        <v>#REF!</v>
      </c>
      <c r="HT242" t="e">
        <f>AND(#REF!,"AAAAAG+/nuM=")</f>
        <v>#REF!</v>
      </c>
      <c r="HU242" t="e">
        <f>AND(#REF!,"AAAAAG+/nuQ=")</f>
        <v>#REF!</v>
      </c>
      <c r="HV242" t="e">
        <f>AND(#REF!,"AAAAAG+/nuU=")</f>
        <v>#REF!</v>
      </c>
      <c r="HW242" t="e">
        <f>AND(#REF!,"AAAAAG+/nuY=")</f>
        <v>#REF!</v>
      </c>
      <c r="HX242" t="e">
        <f>AND(#REF!,"AAAAAG+/nuc=")</f>
        <v>#REF!</v>
      </c>
      <c r="HY242" t="e">
        <f>AND(#REF!,"AAAAAG+/nug=")</f>
        <v>#REF!</v>
      </c>
      <c r="HZ242" t="e">
        <f>AND(#REF!,"AAAAAG+/nuk=")</f>
        <v>#REF!</v>
      </c>
      <c r="IA242" t="e">
        <f>AND(#REF!,"AAAAAG+/nuo=")</f>
        <v>#REF!</v>
      </c>
      <c r="IB242" t="e">
        <f>AND(#REF!,"AAAAAG+/nus=")</f>
        <v>#REF!</v>
      </c>
      <c r="IC242" t="e">
        <f>AND(#REF!,"AAAAAG+/nuw=")</f>
        <v>#REF!</v>
      </c>
      <c r="ID242" t="e">
        <f>AND(#REF!,"AAAAAG+/nu0=")</f>
        <v>#REF!</v>
      </c>
      <c r="IE242" t="e">
        <f>AND(#REF!,"AAAAAG+/nu4=")</f>
        <v>#REF!</v>
      </c>
      <c r="IF242" t="e">
        <f>AND(#REF!,"AAAAAG+/nu8=")</f>
        <v>#REF!</v>
      </c>
      <c r="IG242" t="e">
        <f>AND(#REF!,"AAAAAG+/nvA=")</f>
        <v>#REF!</v>
      </c>
      <c r="IH242" t="e">
        <f>AND(#REF!,"AAAAAG+/nvE=")</f>
        <v>#REF!</v>
      </c>
      <c r="II242" t="e">
        <f>AND(#REF!,"AAAAAG+/nvI=")</f>
        <v>#REF!</v>
      </c>
      <c r="IJ242" t="e">
        <f>AND(#REF!,"AAAAAG+/nvM=")</f>
        <v>#REF!</v>
      </c>
      <c r="IK242" t="e">
        <f>AND(#REF!,"AAAAAG+/nvQ=")</f>
        <v>#REF!</v>
      </c>
      <c r="IL242" t="e">
        <f>AND(#REF!,"AAAAAG+/nvU=")</f>
        <v>#REF!</v>
      </c>
      <c r="IM242" t="e">
        <f>AND(#REF!,"AAAAAG+/nvY=")</f>
        <v>#REF!</v>
      </c>
      <c r="IN242" t="e">
        <f>AND(#REF!,"AAAAAG+/nvc=")</f>
        <v>#REF!</v>
      </c>
      <c r="IO242" t="e">
        <f>AND(#REF!,"AAAAAG+/nvg=")</f>
        <v>#REF!</v>
      </c>
      <c r="IP242" t="e">
        <f>AND(#REF!,"AAAAAG+/nvk=")</f>
        <v>#REF!</v>
      </c>
      <c r="IQ242" t="e">
        <f>AND(#REF!,"AAAAAG+/nvo=")</f>
        <v>#REF!</v>
      </c>
      <c r="IR242" t="e">
        <f>AND(#REF!,"AAAAAG+/nvs=")</f>
        <v>#REF!</v>
      </c>
      <c r="IS242" t="e">
        <f>AND(#REF!,"AAAAAG+/nvw=")</f>
        <v>#REF!</v>
      </c>
      <c r="IT242" t="e">
        <f>AND(#REF!,"AAAAAG+/nv0=")</f>
        <v>#REF!</v>
      </c>
      <c r="IU242" t="e">
        <f>AND(#REF!,"AAAAAG+/nv4=")</f>
        <v>#REF!</v>
      </c>
      <c r="IV242" t="e">
        <f>AND(#REF!,"AAAAAG+/nv8=")</f>
        <v>#REF!</v>
      </c>
    </row>
    <row r="243" spans="1:256">
      <c r="A243" t="e">
        <f>AND(#REF!,"AAAAAB979wA=")</f>
        <v>#REF!</v>
      </c>
      <c r="B243" t="e">
        <f>AND(#REF!,"AAAAAB979wE=")</f>
        <v>#REF!</v>
      </c>
      <c r="C243" t="e">
        <f>AND(#REF!,"AAAAAB979wI=")</f>
        <v>#REF!</v>
      </c>
      <c r="D243" t="e">
        <f>AND(#REF!,"AAAAAB979wM=")</f>
        <v>#REF!</v>
      </c>
      <c r="E243" t="e">
        <f>AND(#REF!,"AAAAAB979wQ=")</f>
        <v>#REF!</v>
      </c>
      <c r="F243" t="e">
        <f>AND(#REF!,"AAAAAB979wU=")</f>
        <v>#REF!</v>
      </c>
      <c r="G243" t="e">
        <f>IF(#REF!,"AAAAAB979wY=",0)</f>
        <v>#REF!</v>
      </c>
      <c r="H243" t="e">
        <f>AND(#REF!,"AAAAAB979wc=")</f>
        <v>#REF!</v>
      </c>
      <c r="I243" t="e">
        <f>AND(#REF!,"AAAAAB979wg=")</f>
        <v>#REF!</v>
      </c>
      <c r="J243" t="e">
        <f>AND(#REF!,"AAAAAB979wk=")</f>
        <v>#REF!</v>
      </c>
      <c r="K243" t="e">
        <f>AND(#REF!,"AAAAAB979wo=")</f>
        <v>#REF!</v>
      </c>
      <c r="L243" t="e">
        <f>AND(#REF!,"AAAAAB979ws=")</f>
        <v>#REF!</v>
      </c>
      <c r="M243" t="e">
        <f>AND(#REF!,"AAAAAB979ww=")</f>
        <v>#REF!</v>
      </c>
      <c r="N243" t="e">
        <f>AND(#REF!,"AAAAAB979w0=")</f>
        <v>#REF!</v>
      </c>
      <c r="O243" t="e">
        <f>AND(#REF!,"AAAAAB979w4=")</f>
        <v>#REF!</v>
      </c>
      <c r="P243" t="e">
        <f>AND(#REF!,"AAAAAB979w8=")</f>
        <v>#REF!</v>
      </c>
      <c r="Q243" t="e">
        <f>AND(#REF!,"AAAAAB979xA=")</f>
        <v>#REF!</v>
      </c>
      <c r="R243" t="e">
        <f>AND(#REF!,"AAAAAB979xE=")</f>
        <v>#REF!</v>
      </c>
      <c r="S243" t="e">
        <f>AND(#REF!,"AAAAAB979xI=")</f>
        <v>#REF!</v>
      </c>
      <c r="T243" t="e">
        <f>AND(#REF!,"AAAAAB979xM=")</f>
        <v>#REF!</v>
      </c>
      <c r="U243" t="e">
        <f>AND(#REF!,"AAAAAB979xQ=")</f>
        <v>#REF!</v>
      </c>
      <c r="V243" t="e">
        <f>AND(#REF!,"AAAAAB979xU=")</f>
        <v>#REF!</v>
      </c>
      <c r="W243" t="e">
        <f>AND(#REF!,"AAAAAB979xY=")</f>
        <v>#REF!</v>
      </c>
      <c r="X243" t="e">
        <f>AND(#REF!,"AAAAAB979xc=")</f>
        <v>#REF!</v>
      </c>
      <c r="Y243" t="e">
        <f>AND(#REF!,"AAAAAB979xg=")</f>
        <v>#REF!</v>
      </c>
      <c r="Z243" t="e">
        <f>AND(#REF!,"AAAAAB979xk=")</f>
        <v>#REF!</v>
      </c>
      <c r="AA243" t="e">
        <f>AND(#REF!,"AAAAAB979xo=")</f>
        <v>#REF!</v>
      </c>
      <c r="AB243" t="e">
        <f>AND(#REF!,"AAAAAB979xs=")</f>
        <v>#REF!</v>
      </c>
      <c r="AC243" t="e">
        <f>AND(#REF!,"AAAAAB979xw=")</f>
        <v>#REF!</v>
      </c>
      <c r="AD243" t="e">
        <f>AND(#REF!,"AAAAAB979x0=")</f>
        <v>#REF!</v>
      </c>
      <c r="AE243" t="e">
        <f>AND(#REF!,"AAAAAB979x4=")</f>
        <v>#REF!</v>
      </c>
      <c r="AF243" t="e">
        <f>AND(#REF!,"AAAAAB979x8=")</f>
        <v>#REF!</v>
      </c>
      <c r="AG243" t="e">
        <f>AND(#REF!,"AAAAAB979yA=")</f>
        <v>#REF!</v>
      </c>
      <c r="AH243" t="e">
        <f>AND(#REF!,"AAAAAB979yE=")</f>
        <v>#REF!</v>
      </c>
      <c r="AI243" t="e">
        <f>AND(#REF!,"AAAAAB979yI=")</f>
        <v>#REF!</v>
      </c>
      <c r="AJ243" t="e">
        <f>AND(#REF!,"AAAAAB979yM=")</f>
        <v>#REF!</v>
      </c>
      <c r="AK243" t="e">
        <f>AND(#REF!,"AAAAAB979yQ=")</f>
        <v>#REF!</v>
      </c>
      <c r="AL243" t="e">
        <f>AND(#REF!,"AAAAAB979yU=")</f>
        <v>#REF!</v>
      </c>
      <c r="AM243" t="e">
        <f>AND(#REF!,"AAAAAB979yY=")</f>
        <v>#REF!</v>
      </c>
      <c r="AN243" t="e">
        <f>AND(#REF!,"AAAAAB979yc=")</f>
        <v>#REF!</v>
      </c>
      <c r="AO243" t="e">
        <f>AND(#REF!,"AAAAAB979yg=")</f>
        <v>#REF!</v>
      </c>
      <c r="AP243" t="e">
        <f>AND(#REF!,"AAAAAB979yk=")</f>
        <v>#REF!</v>
      </c>
      <c r="AQ243" t="e">
        <f>AND(#REF!,"AAAAAB979yo=")</f>
        <v>#REF!</v>
      </c>
      <c r="AR243" t="e">
        <f>AND(#REF!,"AAAAAB979ys=")</f>
        <v>#REF!</v>
      </c>
      <c r="AS243" t="e">
        <f>AND(#REF!,"AAAAAB979yw=")</f>
        <v>#REF!</v>
      </c>
      <c r="AT243" t="e">
        <f>AND(#REF!,"AAAAAB979y0=")</f>
        <v>#REF!</v>
      </c>
      <c r="AU243" t="e">
        <f>AND(#REF!,"AAAAAB979y4=")</f>
        <v>#REF!</v>
      </c>
      <c r="AV243" t="e">
        <f>AND(#REF!,"AAAAAB979y8=")</f>
        <v>#REF!</v>
      </c>
      <c r="AW243" t="e">
        <f>AND(#REF!,"AAAAAB979zA=")</f>
        <v>#REF!</v>
      </c>
      <c r="AX243" t="e">
        <f>AND(#REF!,"AAAAAB979zE=")</f>
        <v>#REF!</v>
      </c>
      <c r="AY243" t="e">
        <f>AND(#REF!,"AAAAAB979zI=")</f>
        <v>#REF!</v>
      </c>
      <c r="AZ243" t="e">
        <f>AND(#REF!,"AAAAAB979zM=")</f>
        <v>#REF!</v>
      </c>
      <c r="BA243" t="e">
        <f>AND(#REF!,"AAAAAB979zQ=")</f>
        <v>#REF!</v>
      </c>
      <c r="BB243" t="e">
        <f>AND(#REF!,"AAAAAB979zU=")</f>
        <v>#REF!</v>
      </c>
      <c r="BC243" t="e">
        <f>AND(#REF!,"AAAAAB979zY=")</f>
        <v>#REF!</v>
      </c>
      <c r="BD243" t="e">
        <f>AND(#REF!,"AAAAAB979zc=")</f>
        <v>#REF!</v>
      </c>
      <c r="BE243" t="e">
        <f>AND(#REF!,"AAAAAB979zg=")</f>
        <v>#REF!</v>
      </c>
      <c r="BF243" t="e">
        <f>AND(#REF!,"AAAAAB979zk=")</f>
        <v>#REF!</v>
      </c>
      <c r="BG243" t="e">
        <f>AND(#REF!,"AAAAAB979zo=")</f>
        <v>#REF!</v>
      </c>
      <c r="BH243" t="e">
        <f>AND(#REF!,"AAAAAB979zs=")</f>
        <v>#REF!</v>
      </c>
      <c r="BI243" t="e">
        <f>AND(#REF!,"AAAAAB979zw=")</f>
        <v>#REF!</v>
      </c>
      <c r="BJ243" t="e">
        <f>AND(#REF!,"AAAAAB979z0=")</f>
        <v>#REF!</v>
      </c>
      <c r="BK243" t="e">
        <f>AND(#REF!,"AAAAAB979z4=")</f>
        <v>#REF!</v>
      </c>
      <c r="BL243" t="e">
        <f>AND(#REF!,"AAAAAB979z8=")</f>
        <v>#REF!</v>
      </c>
      <c r="BM243" t="e">
        <f>AND(#REF!,"AAAAAB9790A=")</f>
        <v>#REF!</v>
      </c>
      <c r="BN243" t="e">
        <f>AND(#REF!,"AAAAAB9790E=")</f>
        <v>#REF!</v>
      </c>
      <c r="BO243" t="e">
        <f>AND(#REF!,"AAAAAB9790I=")</f>
        <v>#REF!</v>
      </c>
      <c r="BP243" t="e">
        <f>AND(#REF!,"AAAAAB9790M=")</f>
        <v>#REF!</v>
      </c>
      <c r="BQ243" t="e">
        <f>AND(#REF!,"AAAAAB9790Q=")</f>
        <v>#REF!</v>
      </c>
      <c r="BR243" t="e">
        <f>AND(#REF!,"AAAAAB9790U=")</f>
        <v>#REF!</v>
      </c>
      <c r="BS243" t="e">
        <f>AND(#REF!,"AAAAAB9790Y=")</f>
        <v>#REF!</v>
      </c>
      <c r="BT243" t="e">
        <f>AND(#REF!,"AAAAAB9790c=")</f>
        <v>#REF!</v>
      </c>
      <c r="BU243" t="e">
        <f>AND(#REF!,"AAAAAB9790g=")</f>
        <v>#REF!</v>
      </c>
      <c r="BV243" t="e">
        <f>AND(#REF!,"AAAAAB9790k=")</f>
        <v>#REF!</v>
      </c>
      <c r="BW243" t="e">
        <f>AND(#REF!,"AAAAAB9790o=")</f>
        <v>#REF!</v>
      </c>
      <c r="BX243" t="e">
        <f>AND(#REF!,"AAAAAB9790s=")</f>
        <v>#REF!</v>
      </c>
      <c r="BY243" t="e">
        <f>AND(#REF!,"AAAAAB9790w=")</f>
        <v>#REF!</v>
      </c>
      <c r="BZ243" t="e">
        <f>AND(#REF!,"AAAAAB97900=")</f>
        <v>#REF!</v>
      </c>
      <c r="CA243" t="e">
        <f>AND(#REF!,"AAAAAB97904=")</f>
        <v>#REF!</v>
      </c>
      <c r="CB243" t="e">
        <f>AND(#REF!,"AAAAAB97908=")</f>
        <v>#REF!</v>
      </c>
      <c r="CC243" t="e">
        <f>AND(#REF!,"AAAAAB9791A=")</f>
        <v>#REF!</v>
      </c>
      <c r="CD243" t="e">
        <f>AND(#REF!,"AAAAAB9791E=")</f>
        <v>#REF!</v>
      </c>
      <c r="CE243" t="e">
        <f>AND(#REF!,"AAAAAB9791I=")</f>
        <v>#REF!</v>
      </c>
      <c r="CF243" t="e">
        <f>AND(#REF!,"AAAAAB9791M=")</f>
        <v>#REF!</v>
      </c>
      <c r="CG243" t="e">
        <f>AND(#REF!,"AAAAAB9791Q=")</f>
        <v>#REF!</v>
      </c>
      <c r="CH243" t="e">
        <f>AND(#REF!,"AAAAAB9791U=")</f>
        <v>#REF!</v>
      </c>
      <c r="CI243" t="e">
        <f>AND(#REF!,"AAAAAB9791Y=")</f>
        <v>#REF!</v>
      </c>
      <c r="CJ243" t="e">
        <f>AND(#REF!,"AAAAAB9791c=")</f>
        <v>#REF!</v>
      </c>
      <c r="CK243" t="e">
        <f>AND(#REF!,"AAAAAB9791g=")</f>
        <v>#REF!</v>
      </c>
      <c r="CL243" t="e">
        <f>AND(#REF!,"AAAAAB9791k=")</f>
        <v>#REF!</v>
      </c>
      <c r="CM243" t="e">
        <f>AND(#REF!,"AAAAAB9791o=")</f>
        <v>#REF!</v>
      </c>
      <c r="CN243" t="e">
        <f>AND(#REF!,"AAAAAB9791s=")</f>
        <v>#REF!</v>
      </c>
      <c r="CO243" t="e">
        <f>AND(#REF!,"AAAAAB9791w=")</f>
        <v>#REF!</v>
      </c>
      <c r="CP243" t="e">
        <f>AND(#REF!,"AAAAAB97910=")</f>
        <v>#REF!</v>
      </c>
      <c r="CQ243" t="e">
        <f>AND(#REF!,"AAAAAB97914=")</f>
        <v>#REF!</v>
      </c>
      <c r="CR243" t="e">
        <f>AND(#REF!,"AAAAAB97918=")</f>
        <v>#REF!</v>
      </c>
      <c r="CS243" t="e">
        <f>AND(#REF!,"AAAAAB9792A=")</f>
        <v>#REF!</v>
      </c>
      <c r="CT243" t="e">
        <f>AND(#REF!,"AAAAAB9792E=")</f>
        <v>#REF!</v>
      </c>
      <c r="CU243" t="e">
        <f>AND(#REF!,"AAAAAB9792I=")</f>
        <v>#REF!</v>
      </c>
      <c r="CV243" t="e">
        <f>AND(#REF!,"AAAAAB9792M=")</f>
        <v>#REF!</v>
      </c>
      <c r="CW243" t="e">
        <f>AND(#REF!,"AAAAAB9792Q=")</f>
        <v>#REF!</v>
      </c>
      <c r="CX243" t="e">
        <f>AND(#REF!,"AAAAAB9792U=")</f>
        <v>#REF!</v>
      </c>
      <c r="CY243" t="e">
        <f>AND(#REF!,"AAAAAB9792Y=")</f>
        <v>#REF!</v>
      </c>
      <c r="CZ243" t="e">
        <f>AND(#REF!,"AAAAAB9792c=")</f>
        <v>#REF!</v>
      </c>
      <c r="DA243" t="e">
        <f>AND(#REF!,"AAAAAB9792g=")</f>
        <v>#REF!</v>
      </c>
      <c r="DB243" t="e">
        <f>AND(#REF!,"AAAAAB9792k=")</f>
        <v>#REF!</v>
      </c>
      <c r="DC243" t="e">
        <f>AND(#REF!,"AAAAAB9792o=")</f>
        <v>#REF!</v>
      </c>
      <c r="DD243" t="e">
        <f>AND(#REF!,"AAAAAB9792s=")</f>
        <v>#REF!</v>
      </c>
      <c r="DE243" t="e">
        <f>AND(#REF!,"AAAAAB9792w=")</f>
        <v>#REF!</v>
      </c>
      <c r="DF243" t="e">
        <f>AND(#REF!,"AAAAAB97920=")</f>
        <v>#REF!</v>
      </c>
      <c r="DG243" t="e">
        <f>AND(#REF!,"AAAAAB97924=")</f>
        <v>#REF!</v>
      </c>
      <c r="DH243" t="e">
        <f>AND(#REF!,"AAAAAB97928=")</f>
        <v>#REF!</v>
      </c>
      <c r="DI243" t="e">
        <f>AND(#REF!,"AAAAAB9793A=")</f>
        <v>#REF!</v>
      </c>
      <c r="DJ243" t="e">
        <f>AND(#REF!,"AAAAAB9793E=")</f>
        <v>#REF!</v>
      </c>
      <c r="DK243" t="e">
        <f>AND(#REF!,"AAAAAB9793I=")</f>
        <v>#REF!</v>
      </c>
      <c r="DL243" t="e">
        <f>AND(#REF!,"AAAAAB9793M=")</f>
        <v>#REF!</v>
      </c>
      <c r="DM243" t="e">
        <f>AND(#REF!,"AAAAAB9793Q=")</f>
        <v>#REF!</v>
      </c>
      <c r="DN243" t="e">
        <f>AND(#REF!,"AAAAAB9793U=")</f>
        <v>#REF!</v>
      </c>
      <c r="DO243" t="e">
        <f>AND(#REF!,"AAAAAB9793Y=")</f>
        <v>#REF!</v>
      </c>
      <c r="DP243" t="e">
        <f>AND(#REF!,"AAAAAB9793c=")</f>
        <v>#REF!</v>
      </c>
      <c r="DQ243" t="e">
        <f>AND(#REF!,"AAAAAB9793g=")</f>
        <v>#REF!</v>
      </c>
      <c r="DR243" t="e">
        <f>AND(#REF!,"AAAAAB9793k=")</f>
        <v>#REF!</v>
      </c>
      <c r="DS243" t="e">
        <f>AND(#REF!,"AAAAAB9793o=")</f>
        <v>#REF!</v>
      </c>
      <c r="DT243" t="e">
        <f>AND(#REF!,"AAAAAB9793s=")</f>
        <v>#REF!</v>
      </c>
      <c r="DU243" t="e">
        <f>AND(#REF!,"AAAAAB9793w=")</f>
        <v>#REF!</v>
      </c>
      <c r="DV243" t="e">
        <f>AND(#REF!,"AAAAAB97930=")</f>
        <v>#REF!</v>
      </c>
      <c r="DW243" t="e">
        <f>AND(#REF!,"AAAAAB97934=")</f>
        <v>#REF!</v>
      </c>
      <c r="DX243" t="e">
        <f>AND(#REF!,"AAAAAB97938=")</f>
        <v>#REF!</v>
      </c>
      <c r="DY243" t="e">
        <f>AND(#REF!,"AAAAAB9794A=")</f>
        <v>#REF!</v>
      </c>
      <c r="DZ243" t="e">
        <f>AND(#REF!,"AAAAAB9794E=")</f>
        <v>#REF!</v>
      </c>
      <c r="EA243" t="e">
        <f>AND(#REF!,"AAAAAB9794I=")</f>
        <v>#REF!</v>
      </c>
      <c r="EB243" t="e">
        <f>AND(#REF!,"AAAAAB9794M=")</f>
        <v>#REF!</v>
      </c>
      <c r="EC243" t="e">
        <f>AND(#REF!,"AAAAAB9794Q=")</f>
        <v>#REF!</v>
      </c>
      <c r="ED243" t="e">
        <f>AND(#REF!,"AAAAAB9794U=")</f>
        <v>#REF!</v>
      </c>
      <c r="EE243" t="e">
        <f>AND(#REF!,"AAAAAB9794Y=")</f>
        <v>#REF!</v>
      </c>
      <c r="EF243" t="e">
        <f>AND(#REF!,"AAAAAB9794c=")</f>
        <v>#REF!</v>
      </c>
      <c r="EG243" t="e">
        <f>AND(#REF!,"AAAAAB9794g=")</f>
        <v>#REF!</v>
      </c>
      <c r="EH243" t="e">
        <f>AND(#REF!,"AAAAAB9794k=")</f>
        <v>#REF!</v>
      </c>
      <c r="EI243" t="e">
        <f>AND(#REF!,"AAAAAB9794o=")</f>
        <v>#REF!</v>
      </c>
      <c r="EJ243" t="e">
        <f>AND(#REF!,"AAAAAB9794s=")</f>
        <v>#REF!</v>
      </c>
      <c r="EK243" t="e">
        <f>AND(#REF!,"AAAAAB9794w=")</f>
        <v>#REF!</v>
      </c>
      <c r="EL243" t="e">
        <f>AND(#REF!,"AAAAAB97940=")</f>
        <v>#REF!</v>
      </c>
      <c r="EM243" t="e">
        <f>AND(#REF!,"AAAAAB97944=")</f>
        <v>#REF!</v>
      </c>
      <c r="EN243" t="e">
        <f>AND(#REF!,"AAAAAB97948=")</f>
        <v>#REF!</v>
      </c>
      <c r="EO243" t="e">
        <f>AND(#REF!,"AAAAAB9795A=")</f>
        <v>#REF!</v>
      </c>
      <c r="EP243" t="e">
        <f>AND(#REF!,"AAAAAB9795E=")</f>
        <v>#REF!</v>
      </c>
      <c r="EQ243" t="e">
        <f>AND(#REF!,"AAAAAB9795I=")</f>
        <v>#REF!</v>
      </c>
      <c r="ER243" t="e">
        <f>AND(#REF!,"AAAAAB9795M=")</f>
        <v>#REF!</v>
      </c>
      <c r="ES243" t="e">
        <f>AND(#REF!,"AAAAAB9795Q=")</f>
        <v>#REF!</v>
      </c>
      <c r="ET243" t="e">
        <f>AND(#REF!,"AAAAAB9795U=")</f>
        <v>#REF!</v>
      </c>
      <c r="EU243" t="e">
        <f>AND(#REF!,"AAAAAB9795Y=")</f>
        <v>#REF!</v>
      </c>
      <c r="EV243" t="e">
        <f>AND(#REF!,"AAAAAB9795c=")</f>
        <v>#REF!</v>
      </c>
      <c r="EW243" t="e">
        <f>AND(#REF!,"AAAAAB9795g=")</f>
        <v>#REF!</v>
      </c>
      <c r="EX243" t="e">
        <f>AND(#REF!,"AAAAAB9795k=")</f>
        <v>#REF!</v>
      </c>
      <c r="EY243" t="e">
        <f>AND(#REF!,"AAAAAB9795o=")</f>
        <v>#REF!</v>
      </c>
      <c r="EZ243" t="e">
        <f>AND(#REF!,"AAAAAB9795s=")</f>
        <v>#REF!</v>
      </c>
      <c r="FA243" t="e">
        <f>AND(#REF!,"AAAAAB9795w=")</f>
        <v>#REF!</v>
      </c>
      <c r="FB243" t="e">
        <f>AND(#REF!,"AAAAAB97950=")</f>
        <v>#REF!</v>
      </c>
      <c r="FC243" t="e">
        <f>AND(#REF!,"AAAAAB97954=")</f>
        <v>#REF!</v>
      </c>
      <c r="FD243" t="e">
        <f>AND(#REF!,"AAAAAB97958=")</f>
        <v>#REF!</v>
      </c>
      <c r="FE243" t="e">
        <f>AND(#REF!,"AAAAAB9796A=")</f>
        <v>#REF!</v>
      </c>
      <c r="FF243" t="e">
        <f>AND(#REF!,"AAAAAB9796E=")</f>
        <v>#REF!</v>
      </c>
      <c r="FG243" t="e">
        <f>AND(#REF!,"AAAAAB9796I=")</f>
        <v>#REF!</v>
      </c>
      <c r="FH243" t="e">
        <f>AND(#REF!,"AAAAAB9796M=")</f>
        <v>#REF!</v>
      </c>
      <c r="FI243" t="e">
        <f>AND(#REF!,"AAAAAB9796Q=")</f>
        <v>#REF!</v>
      </c>
      <c r="FJ243" t="e">
        <f>AND(#REF!,"AAAAAB9796U=")</f>
        <v>#REF!</v>
      </c>
      <c r="FK243" t="e">
        <f>AND(#REF!,"AAAAAB9796Y=")</f>
        <v>#REF!</v>
      </c>
      <c r="FL243" t="e">
        <f>AND(#REF!,"AAAAAB9796c=")</f>
        <v>#REF!</v>
      </c>
      <c r="FM243" t="e">
        <f>AND(#REF!,"AAAAAB9796g=")</f>
        <v>#REF!</v>
      </c>
      <c r="FN243" t="e">
        <f>AND(#REF!,"AAAAAB9796k=")</f>
        <v>#REF!</v>
      </c>
      <c r="FO243" t="e">
        <f>AND(#REF!,"AAAAAB9796o=")</f>
        <v>#REF!</v>
      </c>
      <c r="FP243" t="e">
        <f>AND(#REF!,"AAAAAB9796s=")</f>
        <v>#REF!</v>
      </c>
      <c r="FQ243" t="e">
        <f>AND(#REF!,"AAAAAB9796w=")</f>
        <v>#REF!</v>
      </c>
      <c r="FR243" t="e">
        <f>AND(#REF!,"AAAAAB97960=")</f>
        <v>#REF!</v>
      </c>
      <c r="FS243" t="e">
        <f>AND(#REF!,"AAAAAB97964=")</f>
        <v>#REF!</v>
      </c>
      <c r="FT243" t="e">
        <f>AND(#REF!,"AAAAAB97968=")</f>
        <v>#REF!</v>
      </c>
      <c r="FU243" t="e">
        <f>AND(#REF!,"AAAAAB9797A=")</f>
        <v>#REF!</v>
      </c>
      <c r="FV243" t="e">
        <f>AND(#REF!,"AAAAAB9797E=")</f>
        <v>#REF!</v>
      </c>
      <c r="FW243" t="e">
        <f>AND(#REF!,"AAAAAB9797I=")</f>
        <v>#REF!</v>
      </c>
      <c r="FX243" t="e">
        <f>AND(#REF!,"AAAAAB9797M=")</f>
        <v>#REF!</v>
      </c>
      <c r="FY243" t="e">
        <f>AND(#REF!,"AAAAAB9797Q=")</f>
        <v>#REF!</v>
      </c>
      <c r="FZ243" t="e">
        <f>AND(#REF!,"AAAAAB9797U=")</f>
        <v>#REF!</v>
      </c>
      <c r="GA243" t="e">
        <f>AND(#REF!,"AAAAAB9797Y=")</f>
        <v>#REF!</v>
      </c>
      <c r="GB243" t="e">
        <f>AND(#REF!,"AAAAAB9797c=")</f>
        <v>#REF!</v>
      </c>
      <c r="GC243" t="e">
        <f>AND(#REF!,"AAAAAB9797g=")</f>
        <v>#REF!</v>
      </c>
      <c r="GD243" t="e">
        <f>AND(#REF!,"AAAAAB9797k=")</f>
        <v>#REF!</v>
      </c>
      <c r="GE243" t="e">
        <f>AND(#REF!,"AAAAAB9797o=")</f>
        <v>#REF!</v>
      </c>
      <c r="GF243" t="e">
        <f>AND(#REF!,"AAAAAB9797s=")</f>
        <v>#REF!</v>
      </c>
      <c r="GG243" t="e">
        <f>AND(#REF!,"AAAAAB9797w=")</f>
        <v>#REF!</v>
      </c>
      <c r="GH243" t="e">
        <f>AND(#REF!,"AAAAAB97970=")</f>
        <v>#REF!</v>
      </c>
      <c r="GI243" t="e">
        <f>AND(#REF!,"AAAAAB97974=")</f>
        <v>#REF!</v>
      </c>
      <c r="GJ243" t="e">
        <f>AND(#REF!,"AAAAAB97978=")</f>
        <v>#REF!</v>
      </c>
      <c r="GK243" t="e">
        <f>AND(#REF!,"AAAAAB9798A=")</f>
        <v>#REF!</v>
      </c>
      <c r="GL243" t="e">
        <f>AND(#REF!,"AAAAAB9798E=")</f>
        <v>#REF!</v>
      </c>
      <c r="GM243" t="e">
        <f>AND(#REF!,"AAAAAB9798I=")</f>
        <v>#REF!</v>
      </c>
      <c r="GN243" t="e">
        <f>AND(#REF!,"AAAAAB9798M=")</f>
        <v>#REF!</v>
      </c>
      <c r="GO243" t="e">
        <f>AND(#REF!,"AAAAAB9798Q=")</f>
        <v>#REF!</v>
      </c>
      <c r="GP243" t="e">
        <f>AND(#REF!,"AAAAAB9798U=")</f>
        <v>#REF!</v>
      </c>
      <c r="GQ243" t="e">
        <f>AND(#REF!,"AAAAAB9798Y=")</f>
        <v>#REF!</v>
      </c>
      <c r="GR243" t="e">
        <f>AND(#REF!,"AAAAAB9798c=")</f>
        <v>#REF!</v>
      </c>
      <c r="GS243" t="e">
        <f>AND(#REF!,"AAAAAB9798g=")</f>
        <v>#REF!</v>
      </c>
      <c r="GT243" t="e">
        <f>AND(#REF!,"AAAAAB9798k=")</f>
        <v>#REF!</v>
      </c>
      <c r="GU243" t="e">
        <f>AND(#REF!,"AAAAAB9798o=")</f>
        <v>#REF!</v>
      </c>
      <c r="GV243" t="e">
        <f>AND(#REF!,"AAAAAB9798s=")</f>
        <v>#REF!</v>
      </c>
      <c r="GW243" t="e">
        <f>AND(#REF!,"AAAAAB9798w=")</f>
        <v>#REF!</v>
      </c>
      <c r="GX243" t="e">
        <f>AND(#REF!,"AAAAAB97980=")</f>
        <v>#REF!</v>
      </c>
      <c r="GY243" t="e">
        <f>AND(#REF!,"AAAAAB97984=")</f>
        <v>#REF!</v>
      </c>
      <c r="GZ243" t="e">
        <f>AND(#REF!,"AAAAAB97988=")</f>
        <v>#REF!</v>
      </c>
      <c r="HA243" t="e">
        <f>AND(#REF!,"AAAAAB9799A=")</f>
        <v>#REF!</v>
      </c>
      <c r="HB243" t="e">
        <f>AND(#REF!,"AAAAAB9799E=")</f>
        <v>#REF!</v>
      </c>
      <c r="HC243" t="e">
        <f>AND(#REF!,"AAAAAB9799I=")</f>
        <v>#REF!</v>
      </c>
      <c r="HD243" t="e">
        <f>AND(#REF!,"AAAAAB9799M=")</f>
        <v>#REF!</v>
      </c>
      <c r="HE243" t="e">
        <f>AND(#REF!,"AAAAAB9799Q=")</f>
        <v>#REF!</v>
      </c>
      <c r="HF243" t="e">
        <f>AND(#REF!,"AAAAAB9799U=")</f>
        <v>#REF!</v>
      </c>
      <c r="HG243" t="e">
        <f>AND(#REF!,"AAAAAB9799Y=")</f>
        <v>#REF!</v>
      </c>
      <c r="HH243" t="e">
        <f>AND(#REF!,"AAAAAB9799c=")</f>
        <v>#REF!</v>
      </c>
      <c r="HI243" t="e">
        <f>AND(#REF!,"AAAAAB9799g=")</f>
        <v>#REF!</v>
      </c>
      <c r="HJ243" t="e">
        <f>AND(#REF!,"AAAAAB9799k=")</f>
        <v>#REF!</v>
      </c>
      <c r="HK243" t="e">
        <f>AND(#REF!,"AAAAAB9799o=")</f>
        <v>#REF!</v>
      </c>
      <c r="HL243" t="e">
        <f>AND(#REF!,"AAAAAB9799s=")</f>
        <v>#REF!</v>
      </c>
      <c r="HM243" t="e">
        <f>AND(#REF!,"AAAAAB9799w=")</f>
        <v>#REF!</v>
      </c>
      <c r="HN243" t="e">
        <f>AND(#REF!,"AAAAAB97990=")</f>
        <v>#REF!</v>
      </c>
      <c r="HO243" t="e">
        <f>AND(#REF!,"AAAAAB97994=")</f>
        <v>#REF!</v>
      </c>
      <c r="HP243" t="e">
        <f>AND(#REF!,"AAAAAB97998=")</f>
        <v>#REF!</v>
      </c>
      <c r="HQ243" t="e">
        <f>AND(#REF!,"AAAAAB979+A=")</f>
        <v>#REF!</v>
      </c>
      <c r="HR243" t="e">
        <f>AND(#REF!,"AAAAAB979+E=")</f>
        <v>#REF!</v>
      </c>
      <c r="HS243" t="e">
        <f>AND(#REF!,"AAAAAB979+I=")</f>
        <v>#REF!</v>
      </c>
      <c r="HT243" t="e">
        <f>AND(#REF!,"AAAAAB979+M=")</f>
        <v>#REF!</v>
      </c>
      <c r="HU243" t="e">
        <f>AND(#REF!,"AAAAAB979+Q=")</f>
        <v>#REF!</v>
      </c>
      <c r="HV243" t="e">
        <f>AND(#REF!,"AAAAAB979+U=")</f>
        <v>#REF!</v>
      </c>
      <c r="HW243" t="e">
        <f>AND(#REF!,"AAAAAB979+Y=")</f>
        <v>#REF!</v>
      </c>
      <c r="HX243" t="e">
        <f>AND(#REF!,"AAAAAB979+c=")</f>
        <v>#REF!</v>
      </c>
      <c r="HY243" t="e">
        <f>AND(#REF!,"AAAAAB979+g=")</f>
        <v>#REF!</v>
      </c>
      <c r="HZ243" t="e">
        <f>AND(#REF!,"AAAAAB979+k=")</f>
        <v>#REF!</v>
      </c>
      <c r="IA243" t="e">
        <f>IF(#REF!,"AAAAAB979+o=",0)</f>
        <v>#REF!</v>
      </c>
      <c r="IB243" t="e">
        <f>AND(#REF!,"AAAAAB979+s=")</f>
        <v>#REF!</v>
      </c>
      <c r="IC243" t="e">
        <f>AND(#REF!,"AAAAAB979+w=")</f>
        <v>#REF!</v>
      </c>
      <c r="ID243" t="e">
        <f>AND(#REF!,"AAAAAB979+0=")</f>
        <v>#REF!</v>
      </c>
      <c r="IE243" t="e">
        <f>AND(#REF!,"AAAAAB979+4=")</f>
        <v>#REF!</v>
      </c>
      <c r="IF243" t="e">
        <f>AND(#REF!,"AAAAAB979+8=")</f>
        <v>#REF!</v>
      </c>
      <c r="IG243" t="e">
        <f>AND(#REF!,"AAAAAB979/A=")</f>
        <v>#REF!</v>
      </c>
      <c r="IH243" t="e">
        <f>AND(#REF!,"AAAAAB979/E=")</f>
        <v>#REF!</v>
      </c>
      <c r="II243" t="e">
        <f>AND(#REF!,"AAAAAB979/I=")</f>
        <v>#REF!</v>
      </c>
      <c r="IJ243" t="e">
        <f>AND(#REF!,"AAAAAB979/M=")</f>
        <v>#REF!</v>
      </c>
      <c r="IK243" t="e">
        <f>AND(#REF!,"AAAAAB979/Q=")</f>
        <v>#REF!</v>
      </c>
      <c r="IL243" t="e">
        <f>AND(#REF!,"AAAAAB979/U=")</f>
        <v>#REF!</v>
      </c>
      <c r="IM243" t="e">
        <f>AND(#REF!,"AAAAAB979/Y=")</f>
        <v>#REF!</v>
      </c>
      <c r="IN243" t="e">
        <f>AND(#REF!,"AAAAAB979/c=")</f>
        <v>#REF!</v>
      </c>
      <c r="IO243" t="e">
        <f>AND(#REF!,"AAAAAB979/g=")</f>
        <v>#REF!</v>
      </c>
      <c r="IP243" t="e">
        <f>AND(#REF!,"AAAAAB979/k=")</f>
        <v>#REF!</v>
      </c>
      <c r="IQ243" t="e">
        <f>AND(#REF!,"AAAAAB979/o=")</f>
        <v>#REF!</v>
      </c>
      <c r="IR243" t="e">
        <f>AND(#REF!,"AAAAAB979/s=")</f>
        <v>#REF!</v>
      </c>
      <c r="IS243" t="e">
        <f>AND(#REF!,"AAAAAB979/w=")</f>
        <v>#REF!</v>
      </c>
      <c r="IT243" t="e">
        <f>AND(#REF!,"AAAAAB979/0=")</f>
        <v>#REF!</v>
      </c>
      <c r="IU243" t="e">
        <f>AND(#REF!,"AAAAAB979/4=")</f>
        <v>#REF!</v>
      </c>
      <c r="IV243" t="e">
        <f>AND(#REF!,"AAAAAB979/8=")</f>
        <v>#REF!</v>
      </c>
    </row>
    <row r="244" spans="1:256">
      <c r="A244" t="e">
        <f>AND(#REF!,"AAAAAHzfrwA=")</f>
        <v>#REF!</v>
      </c>
      <c r="B244" t="e">
        <f>AND(#REF!,"AAAAAHzfrwE=")</f>
        <v>#REF!</v>
      </c>
      <c r="C244" t="e">
        <f>AND(#REF!,"AAAAAHzfrwI=")</f>
        <v>#REF!</v>
      </c>
      <c r="D244" t="e">
        <f>AND(#REF!,"AAAAAHzfrwM=")</f>
        <v>#REF!</v>
      </c>
      <c r="E244" t="e">
        <f>AND(#REF!,"AAAAAHzfrwQ=")</f>
        <v>#REF!</v>
      </c>
      <c r="F244" t="e">
        <f>AND(#REF!,"AAAAAHzfrwU=")</f>
        <v>#REF!</v>
      </c>
      <c r="G244" t="e">
        <f>AND(#REF!,"AAAAAHzfrwY=")</f>
        <v>#REF!</v>
      </c>
      <c r="H244" t="e">
        <f>AND(#REF!,"AAAAAHzfrwc=")</f>
        <v>#REF!</v>
      </c>
      <c r="I244" t="e">
        <f>AND(#REF!,"AAAAAHzfrwg=")</f>
        <v>#REF!</v>
      </c>
      <c r="J244" t="e">
        <f>AND(#REF!,"AAAAAHzfrwk=")</f>
        <v>#REF!</v>
      </c>
      <c r="K244" t="e">
        <f>AND(#REF!,"AAAAAHzfrwo=")</f>
        <v>#REF!</v>
      </c>
      <c r="L244" t="e">
        <f>AND(#REF!,"AAAAAHzfrws=")</f>
        <v>#REF!</v>
      </c>
      <c r="M244" t="e">
        <f>AND(#REF!,"AAAAAHzfrww=")</f>
        <v>#REF!</v>
      </c>
      <c r="N244" t="e">
        <f>AND(#REF!,"AAAAAHzfrw0=")</f>
        <v>#REF!</v>
      </c>
      <c r="O244" t="e">
        <f>AND(#REF!,"AAAAAHzfrw4=")</f>
        <v>#REF!</v>
      </c>
      <c r="P244" t="e">
        <f>AND(#REF!,"AAAAAHzfrw8=")</f>
        <v>#REF!</v>
      </c>
      <c r="Q244" t="e">
        <f>AND(#REF!,"AAAAAHzfrxA=")</f>
        <v>#REF!</v>
      </c>
      <c r="R244" t="e">
        <f>AND(#REF!,"AAAAAHzfrxE=")</f>
        <v>#REF!</v>
      </c>
      <c r="S244" t="e">
        <f>AND(#REF!,"AAAAAHzfrxI=")</f>
        <v>#REF!</v>
      </c>
      <c r="T244" t="e">
        <f>AND(#REF!,"AAAAAHzfrxM=")</f>
        <v>#REF!</v>
      </c>
      <c r="U244" t="e">
        <f>AND(#REF!,"AAAAAHzfrxQ=")</f>
        <v>#REF!</v>
      </c>
      <c r="V244" t="e">
        <f>AND(#REF!,"AAAAAHzfrxU=")</f>
        <v>#REF!</v>
      </c>
      <c r="W244" t="e">
        <f>AND(#REF!,"AAAAAHzfrxY=")</f>
        <v>#REF!</v>
      </c>
      <c r="X244" t="e">
        <f>AND(#REF!,"AAAAAHzfrxc=")</f>
        <v>#REF!</v>
      </c>
      <c r="Y244" t="e">
        <f>AND(#REF!,"AAAAAHzfrxg=")</f>
        <v>#REF!</v>
      </c>
      <c r="Z244" t="e">
        <f>AND(#REF!,"AAAAAHzfrxk=")</f>
        <v>#REF!</v>
      </c>
      <c r="AA244" t="e">
        <f>AND(#REF!,"AAAAAHzfrxo=")</f>
        <v>#REF!</v>
      </c>
      <c r="AB244" t="e">
        <f>AND(#REF!,"AAAAAHzfrxs=")</f>
        <v>#REF!</v>
      </c>
      <c r="AC244" t="e">
        <f>AND(#REF!,"AAAAAHzfrxw=")</f>
        <v>#REF!</v>
      </c>
      <c r="AD244" t="e">
        <f>AND(#REF!,"AAAAAHzfrx0=")</f>
        <v>#REF!</v>
      </c>
      <c r="AE244" t="e">
        <f>AND(#REF!,"AAAAAHzfrx4=")</f>
        <v>#REF!</v>
      </c>
      <c r="AF244" t="e">
        <f>AND(#REF!,"AAAAAHzfrx8=")</f>
        <v>#REF!</v>
      </c>
      <c r="AG244" t="e">
        <f>AND(#REF!,"AAAAAHzfryA=")</f>
        <v>#REF!</v>
      </c>
      <c r="AH244" t="e">
        <f>AND(#REF!,"AAAAAHzfryE=")</f>
        <v>#REF!</v>
      </c>
      <c r="AI244" t="e">
        <f>AND(#REF!,"AAAAAHzfryI=")</f>
        <v>#REF!</v>
      </c>
      <c r="AJ244" t="e">
        <f>AND(#REF!,"AAAAAHzfryM=")</f>
        <v>#REF!</v>
      </c>
      <c r="AK244" t="e">
        <f>AND(#REF!,"AAAAAHzfryQ=")</f>
        <v>#REF!</v>
      </c>
      <c r="AL244" t="e">
        <f>AND(#REF!,"AAAAAHzfryU=")</f>
        <v>#REF!</v>
      </c>
      <c r="AM244" t="e">
        <f>AND(#REF!,"AAAAAHzfryY=")</f>
        <v>#REF!</v>
      </c>
      <c r="AN244" t="e">
        <f>AND(#REF!,"AAAAAHzfryc=")</f>
        <v>#REF!</v>
      </c>
      <c r="AO244" t="e">
        <f>AND(#REF!,"AAAAAHzfryg=")</f>
        <v>#REF!</v>
      </c>
      <c r="AP244" t="e">
        <f>AND(#REF!,"AAAAAHzfryk=")</f>
        <v>#REF!</v>
      </c>
      <c r="AQ244" t="e">
        <f>AND(#REF!,"AAAAAHzfryo=")</f>
        <v>#REF!</v>
      </c>
      <c r="AR244" t="e">
        <f>AND(#REF!,"AAAAAHzfrys=")</f>
        <v>#REF!</v>
      </c>
      <c r="AS244" t="e">
        <f>AND(#REF!,"AAAAAHzfryw=")</f>
        <v>#REF!</v>
      </c>
      <c r="AT244" t="e">
        <f>AND(#REF!,"AAAAAHzfry0=")</f>
        <v>#REF!</v>
      </c>
      <c r="AU244" t="e">
        <f>AND(#REF!,"AAAAAHzfry4=")</f>
        <v>#REF!</v>
      </c>
      <c r="AV244" t="e">
        <f>AND(#REF!,"AAAAAHzfry8=")</f>
        <v>#REF!</v>
      </c>
      <c r="AW244" t="e">
        <f>AND(#REF!,"AAAAAHzfrzA=")</f>
        <v>#REF!</v>
      </c>
      <c r="AX244" t="e">
        <f>AND(#REF!,"AAAAAHzfrzE=")</f>
        <v>#REF!</v>
      </c>
      <c r="AY244" t="e">
        <f>AND(#REF!,"AAAAAHzfrzI=")</f>
        <v>#REF!</v>
      </c>
      <c r="AZ244" t="e">
        <f>AND(#REF!,"AAAAAHzfrzM=")</f>
        <v>#REF!</v>
      </c>
      <c r="BA244" t="e">
        <f>AND(#REF!,"AAAAAHzfrzQ=")</f>
        <v>#REF!</v>
      </c>
      <c r="BB244" t="e">
        <f>AND(#REF!,"AAAAAHzfrzU=")</f>
        <v>#REF!</v>
      </c>
      <c r="BC244" t="e">
        <f>AND(#REF!,"AAAAAHzfrzY=")</f>
        <v>#REF!</v>
      </c>
      <c r="BD244" t="e">
        <f>AND(#REF!,"AAAAAHzfrzc=")</f>
        <v>#REF!</v>
      </c>
      <c r="BE244" t="e">
        <f>AND(#REF!,"AAAAAHzfrzg=")</f>
        <v>#REF!</v>
      </c>
      <c r="BF244" t="e">
        <f>AND(#REF!,"AAAAAHzfrzk=")</f>
        <v>#REF!</v>
      </c>
      <c r="BG244" t="e">
        <f>AND(#REF!,"AAAAAHzfrzo=")</f>
        <v>#REF!</v>
      </c>
      <c r="BH244" t="e">
        <f>AND(#REF!,"AAAAAHzfrzs=")</f>
        <v>#REF!</v>
      </c>
      <c r="BI244" t="e">
        <f>AND(#REF!,"AAAAAHzfrzw=")</f>
        <v>#REF!</v>
      </c>
      <c r="BJ244" t="e">
        <f>AND(#REF!,"AAAAAHzfrz0=")</f>
        <v>#REF!</v>
      </c>
      <c r="BK244" t="e">
        <f>AND(#REF!,"AAAAAHzfrz4=")</f>
        <v>#REF!</v>
      </c>
      <c r="BL244" t="e">
        <f>AND(#REF!,"AAAAAHzfrz8=")</f>
        <v>#REF!</v>
      </c>
      <c r="BM244" t="e">
        <f>AND(#REF!,"AAAAAHzfr0A=")</f>
        <v>#REF!</v>
      </c>
      <c r="BN244" t="e">
        <f>AND(#REF!,"AAAAAHzfr0E=")</f>
        <v>#REF!</v>
      </c>
      <c r="BO244" t="e">
        <f>AND(#REF!,"AAAAAHzfr0I=")</f>
        <v>#REF!</v>
      </c>
      <c r="BP244" t="e">
        <f>AND(#REF!,"AAAAAHzfr0M=")</f>
        <v>#REF!</v>
      </c>
      <c r="BQ244" t="e">
        <f>AND(#REF!,"AAAAAHzfr0Q=")</f>
        <v>#REF!</v>
      </c>
      <c r="BR244" t="e">
        <f>AND(#REF!,"AAAAAHzfr0U=")</f>
        <v>#REF!</v>
      </c>
      <c r="BS244" t="e">
        <f>AND(#REF!,"AAAAAHzfr0Y=")</f>
        <v>#REF!</v>
      </c>
      <c r="BT244" t="e">
        <f>AND(#REF!,"AAAAAHzfr0c=")</f>
        <v>#REF!</v>
      </c>
      <c r="BU244" t="e">
        <f>AND(#REF!,"AAAAAHzfr0g=")</f>
        <v>#REF!</v>
      </c>
      <c r="BV244" t="e">
        <f>AND(#REF!,"AAAAAHzfr0k=")</f>
        <v>#REF!</v>
      </c>
      <c r="BW244" t="e">
        <f>AND(#REF!,"AAAAAHzfr0o=")</f>
        <v>#REF!</v>
      </c>
      <c r="BX244" t="e">
        <f>AND(#REF!,"AAAAAHzfr0s=")</f>
        <v>#REF!</v>
      </c>
      <c r="BY244" t="e">
        <f>AND(#REF!,"AAAAAHzfr0w=")</f>
        <v>#REF!</v>
      </c>
      <c r="BZ244" t="e">
        <f>AND(#REF!,"AAAAAHzfr00=")</f>
        <v>#REF!</v>
      </c>
      <c r="CA244" t="e">
        <f>AND(#REF!,"AAAAAHzfr04=")</f>
        <v>#REF!</v>
      </c>
      <c r="CB244" t="e">
        <f>AND(#REF!,"AAAAAHzfr08=")</f>
        <v>#REF!</v>
      </c>
      <c r="CC244" t="e">
        <f>AND(#REF!,"AAAAAHzfr1A=")</f>
        <v>#REF!</v>
      </c>
      <c r="CD244" t="e">
        <f>AND(#REF!,"AAAAAHzfr1E=")</f>
        <v>#REF!</v>
      </c>
      <c r="CE244" t="e">
        <f>AND(#REF!,"AAAAAHzfr1I=")</f>
        <v>#REF!</v>
      </c>
      <c r="CF244" t="e">
        <f>AND(#REF!,"AAAAAHzfr1M=")</f>
        <v>#REF!</v>
      </c>
      <c r="CG244" t="e">
        <f>AND(#REF!,"AAAAAHzfr1Q=")</f>
        <v>#REF!</v>
      </c>
      <c r="CH244" t="e">
        <f>AND(#REF!,"AAAAAHzfr1U=")</f>
        <v>#REF!</v>
      </c>
      <c r="CI244" t="e">
        <f>AND(#REF!,"AAAAAHzfr1Y=")</f>
        <v>#REF!</v>
      </c>
      <c r="CJ244" t="e">
        <f>AND(#REF!,"AAAAAHzfr1c=")</f>
        <v>#REF!</v>
      </c>
      <c r="CK244" t="e">
        <f>AND(#REF!,"AAAAAHzfr1g=")</f>
        <v>#REF!</v>
      </c>
      <c r="CL244" t="e">
        <f>AND(#REF!,"AAAAAHzfr1k=")</f>
        <v>#REF!</v>
      </c>
      <c r="CM244" t="e">
        <f>AND(#REF!,"AAAAAHzfr1o=")</f>
        <v>#REF!</v>
      </c>
      <c r="CN244" t="e">
        <f>AND(#REF!,"AAAAAHzfr1s=")</f>
        <v>#REF!</v>
      </c>
      <c r="CO244" t="e">
        <f>AND(#REF!,"AAAAAHzfr1w=")</f>
        <v>#REF!</v>
      </c>
      <c r="CP244" t="e">
        <f>AND(#REF!,"AAAAAHzfr10=")</f>
        <v>#REF!</v>
      </c>
      <c r="CQ244" t="e">
        <f>AND(#REF!,"AAAAAHzfr14=")</f>
        <v>#REF!</v>
      </c>
      <c r="CR244" t="e">
        <f>AND(#REF!,"AAAAAHzfr18=")</f>
        <v>#REF!</v>
      </c>
      <c r="CS244" t="e">
        <f>AND(#REF!,"AAAAAHzfr2A=")</f>
        <v>#REF!</v>
      </c>
      <c r="CT244" t="e">
        <f>AND(#REF!,"AAAAAHzfr2E=")</f>
        <v>#REF!</v>
      </c>
      <c r="CU244" t="e">
        <f>AND(#REF!,"AAAAAHzfr2I=")</f>
        <v>#REF!</v>
      </c>
      <c r="CV244" t="e">
        <f>AND(#REF!,"AAAAAHzfr2M=")</f>
        <v>#REF!</v>
      </c>
      <c r="CW244" t="e">
        <f>AND(#REF!,"AAAAAHzfr2Q=")</f>
        <v>#REF!</v>
      </c>
      <c r="CX244" t="e">
        <f>AND(#REF!,"AAAAAHzfr2U=")</f>
        <v>#REF!</v>
      </c>
      <c r="CY244" t="e">
        <f>AND(#REF!,"AAAAAHzfr2Y=")</f>
        <v>#REF!</v>
      </c>
      <c r="CZ244" t="e">
        <f>AND(#REF!,"AAAAAHzfr2c=")</f>
        <v>#REF!</v>
      </c>
      <c r="DA244" t="e">
        <f>AND(#REF!,"AAAAAHzfr2g=")</f>
        <v>#REF!</v>
      </c>
      <c r="DB244" t="e">
        <f>AND(#REF!,"AAAAAHzfr2k=")</f>
        <v>#REF!</v>
      </c>
      <c r="DC244" t="e">
        <f>AND(#REF!,"AAAAAHzfr2o=")</f>
        <v>#REF!</v>
      </c>
      <c r="DD244" t="e">
        <f>AND(#REF!,"AAAAAHzfr2s=")</f>
        <v>#REF!</v>
      </c>
      <c r="DE244" t="e">
        <f>AND(#REF!,"AAAAAHzfr2w=")</f>
        <v>#REF!</v>
      </c>
      <c r="DF244" t="e">
        <f>AND(#REF!,"AAAAAHzfr20=")</f>
        <v>#REF!</v>
      </c>
      <c r="DG244" t="e">
        <f>AND(#REF!,"AAAAAHzfr24=")</f>
        <v>#REF!</v>
      </c>
      <c r="DH244" t="e">
        <f>AND(#REF!,"AAAAAHzfr28=")</f>
        <v>#REF!</v>
      </c>
      <c r="DI244" t="e">
        <f>AND(#REF!,"AAAAAHzfr3A=")</f>
        <v>#REF!</v>
      </c>
      <c r="DJ244" t="e">
        <f>AND(#REF!,"AAAAAHzfr3E=")</f>
        <v>#REF!</v>
      </c>
      <c r="DK244" t="e">
        <f>AND(#REF!,"AAAAAHzfr3I=")</f>
        <v>#REF!</v>
      </c>
      <c r="DL244" t="e">
        <f>AND(#REF!,"AAAAAHzfr3M=")</f>
        <v>#REF!</v>
      </c>
      <c r="DM244" t="e">
        <f>AND(#REF!,"AAAAAHzfr3Q=")</f>
        <v>#REF!</v>
      </c>
      <c r="DN244" t="e">
        <f>AND(#REF!,"AAAAAHzfr3U=")</f>
        <v>#REF!</v>
      </c>
      <c r="DO244" t="e">
        <f>AND(#REF!,"AAAAAHzfr3Y=")</f>
        <v>#REF!</v>
      </c>
      <c r="DP244" t="e">
        <f>AND(#REF!,"AAAAAHzfr3c=")</f>
        <v>#REF!</v>
      </c>
      <c r="DQ244" t="e">
        <f>AND(#REF!,"AAAAAHzfr3g=")</f>
        <v>#REF!</v>
      </c>
      <c r="DR244" t="e">
        <f>AND(#REF!,"AAAAAHzfr3k=")</f>
        <v>#REF!</v>
      </c>
      <c r="DS244" t="e">
        <f>AND(#REF!,"AAAAAHzfr3o=")</f>
        <v>#REF!</v>
      </c>
      <c r="DT244" t="e">
        <f>AND(#REF!,"AAAAAHzfr3s=")</f>
        <v>#REF!</v>
      </c>
      <c r="DU244" t="e">
        <f>AND(#REF!,"AAAAAHzfr3w=")</f>
        <v>#REF!</v>
      </c>
      <c r="DV244" t="e">
        <f>AND(#REF!,"AAAAAHzfr30=")</f>
        <v>#REF!</v>
      </c>
      <c r="DW244" t="e">
        <f>AND(#REF!,"AAAAAHzfr34=")</f>
        <v>#REF!</v>
      </c>
      <c r="DX244" t="e">
        <f>AND(#REF!,"AAAAAHzfr38=")</f>
        <v>#REF!</v>
      </c>
      <c r="DY244" t="e">
        <f>AND(#REF!,"AAAAAHzfr4A=")</f>
        <v>#REF!</v>
      </c>
      <c r="DZ244" t="e">
        <f>AND(#REF!,"AAAAAHzfr4E=")</f>
        <v>#REF!</v>
      </c>
      <c r="EA244" t="e">
        <f>AND(#REF!,"AAAAAHzfr4I=")</f>
        <v>#REF!</v>
      </c>
      <c r="EB244" t="e">
        <f>AND(#REF!,"AAAAAHzfr4M=")</f>
        <v>#REF!</v>
      </c>
      <c r="EC244" t="e">
        <f>AND(#REF!,"AAAAAHzfr4Q=")</f>
        <v>#REF!</v>
      </c>
      <c r="ED244" t="e">
        <f>AND(#REF!,"AAAAAHzfr4U=")</f>
        <v>#REF!</v>
      </c>
      <c r="EE244" t="e">
        <f>AND(#REF!,"AAAAAHzfr4Y=")</f>
        <v>#REF!</v>
      </c>
      <c r="EF244" t="e">
        <f>AND(#REF!,"AAAAAHzfr4c=")</f>
        <v>#REF!</v>
      </c>
      <c r="EG244" t="e">
        <f>AND(#REF!,"AAAAAHzfr4g=")</f>
        <v>#REF!</v>
      </c>
      <c r="EH244" t="e">
        <f>AND(#REF!,"AAAAAHzfr4k=")</f>
        <v>#REF!</v>
      </c>
      <c r="EI244" t="e">
        <f>AND(#REF!,"AAAAAHzfr4o=")</f>
        <v>#REF!</v>
      </c>
      <c r="EJ244" t="e">
        <f>AND(#REF!,"AAAAAHzfr4s=")</f>
        <v>#REF!</v>
      </c>
      <c r="EK244" t="e">
        <f>AND(#REF!,"AAAAAHzfr4w=")</f>
        <v>#REF!</v>
      </c>
      <c r="EL244" t="e">
        <f>AND(#REF!,"AAAAAHzfr40=")</f>
        <v>#REF!</v>
      </c>
      <c r="EM244" t="e">
        <f>AND(#REF!,"AAAAAHzfr44=")</f>
        <v>#REF!</v>
      </c>
      <c r="EN244" t="e">
        <f>AND(#REF!,"AAAAAHzfr48=")</f>
        <v>#REF!</v>
      </c>
      <c r="EO244" t="e">
        <f>AND(#REF!,"AAAAAHzfr5A=")</f>
        <v>#REF!</v>
      </c>
      <c r="EP244" t="e">
        <f>AND(#REF!,"AAAAAHzfr5E=")</f>
        <v>#REF!</v>
      </c>
      <c r="EQ244" t="e">
        <f>AND(#REF!,"AAAAAHzfr5I=")</f>
        <v>#REF!</v>
      </c>
      <c r="ER244" t="e">
        <f>AND(#REF!,"AAAAAHzfr5M=")</f>
        <v>#REF!</v>
      </c>
      <c r="ES244" t="e">
        <f>AND(#REF!,"AAAAAHzfr5Q=")</f>
        <v>#REF!</v>
      </c>
      <c r="ET244" t="e">
        <f>AND(#REF!,"AAAAAHzfr5U=")</f>
        <v>#REF!</v>
      </c>
      <c r="EU244" t="e">
        <f>AND(#REF!,"AAAAAHzfr5Y=")</f>
        <v>#REF!</v>
      </c>
      <c r="EV244" t="e">
        <f>AND(#REF!,"AAAAAHzfr5c=")</f>
        <v>#REF!</v>
      </c>
      <c r="EW244" t="e">
        <f>AND(#REF!,"AAAAAHzfr5g=")</f>
        <v>#REF!</v>
      </c>
      <c r="EX244" t="e">
        <f>AND(#REF!,"AAAAAHzfr5k=")</f>
        <v>#REF!</v>
      </c>
      <c r="EY244" t="e">
        <f>AND(#REF!,"AAAAAHzfr5o=")</f>
        <v>#REF!</v>
      </c>
      <c r="EZ244" t="e">
        <f>AND(#REF!,"AAAAAHzfr5s=")</f>
        <v>#REF!</v>
      </c>
      <c r="FA244" t="e">
        <f>AND(#REF!,"AAAAAHzfr5w=")</f>
        <v>#REF!</v>
      </c>
      <c r="FB244" t="e">
        <f>AND(#REF!,"AAAAAHzfr50=")</f>
        <v>#REF!</v>
      </c>
      <c r="FC244" t="e">
        <f>AND(#REF!,"AAAAAHzfr54=")</f>
        <v>#REF!</v>
      </c>
      <c r="FD244" t="e">
        <f>AND(#REF!,"AAAAAHzfr58=")</f>
        <v>#REF!</v>
      </c>
      <c r="FE244" t="e">
        <f>AND(#REF!,"AAAAAHzfr6A=")</f>
        <v>#REF!</v>
      </c>
      <c r="FF244" t="e">
        <f>AND(#REF!,"AAAAAHzfr6E=")</f>
        <v>#REF!</v>
      </c>
      <c r="FG244" t="e">
        <f>AND(#REF!,"AAAAAHzfr6I=")</f>
        <v>#REF!</v>
      </c>
      <c r="FH244" t="e">
        <f>AND(#REF!,"AAAAAHzfr6M=")</f>
        <v>#REF!</v>
      </c>
      <c r="FI244" t="e">
        <f>AND(#REF!,"AAAAAHzfr6Q=")</f>
        <v>#REF!</v>
      </c>
      <c r="FJ244" t="e">
        <f>AND(#REF!,"AAAAAHzfr6U=")</f>
        <v>#REF!</v>
      </c>
      <c r="FK244" t="e">
        <f>AND(#REF!,"AAAAAHzfr6Y=")</f>
        <v>#REF!</v>
      </c>
      <c r="FL244" t="e">
        <f>AND(#REF!,"AAAAAHzfr6c=")</f>
        <v>#REF!</v>
      </c>
      <c r="FM244" t="e">
        <f>AND(#REF!,"AAAAAHzfr6g=")</f>
        <v>#REF!</v>
      </c>
      <c r="FN244" t="e">
        <f>AND(#REF!,"AAAAAHzfr6k=")</f>
        <v>#REF!</v>
      </c>
      <c r="FO244" t="e">
        <f>AND(#REF!,"AAAAAHzfr6o=")</f>
        <v>#REF!</v>
      </c>
      <c r="FP244" t="e">
        <f>AND(#REF!,"AAAAAHzfr6s=")</f>
        <v>#REF!</v>
      </c>
      <c r="FQ244" t="e">
        <f>AND(#REF!,"AAAAAHzfr6w=")</f>
        <v>#REF!</v>
      </c>
      <c r="FR244" t="e">
        <f>AND(#REF!,"AAAAAHzfr60=")</f>
        <v>#REF!</v>
      </c>
      <c r="FS244" t="e">
        <f>AND(#REF!,"AAAAAHzfr64=")</f>
        <v>#REF!</v>
      </c>
      <c r="FT244" t="e">
        <f>AND(#REF!,"AAAAAHzfr68=")</f>
        <v>#REF!</v>
      </c>
      <c r="FU244" t="e">
        <f>AND(#REF!,"AAAAAHzfr7A=")</f>
        <v>#REF!</v>
      </c>
      <c r="FV244" t="e">
        <f>AND(#REF!,"AAAAAHzfr7E=")</f>
        <v>#REF!</v>
      </c>
      <c r="FW244" t="e">
        <f>AND(#REF!,"AAAAAHzfr7I=")</f>
        <v>#REF!</v>
      </c>
      <c r="FX244" t="e">
        <f>AND(#REF!,"AAAAAHzfr7M=")</f>
        <v>#REF!</v>
      </c>
      <c r="FY244" t="e">
        <f>AND(#REF!,"AAAAAHzfr7Q=")</f>
        <v>#REF!</v>
      </c>
      <c r="FZ244" t="e">
        <f>AND(#REF!,"AAAAAHzfr7U=")</f>
        <v>#REF!</v>
      </c>
      <c r="GA244" t="e">
        <f>AND(#REF!,"AAAAAHzfr7Y=")</f>
        <v>#REF!</v>
      </c>
      <c r="GB244" t="e">
        <f>AND(#REF!,"AAAAAHzfr7c=")</f>
        <v>#REF!</v>
      </c>
      <c r="GC244" t="e">
        <f>AND(#REF!,"AAAAAHzfr7g=")</f>
        <v>#REF!</v>
      </c>
      <c r="GD244" t="e">
        <f>AND(#REF!,"AAAAAHzfr7k=")</f>
        <v>#REF!</v>
      </c>
      <c r="GE244" t="e">
        <f>AND(#REF!,"AAAAAHzfr7o=")</f>
        <v>#REF!</v>
      </c>
      <c r="GF244" t="e">
        <f>AND(#REF!,"AAAAAHzfr7s=")</f>
        <v>#REF!</v>
      </c>
      <c r="GG244" t="e">
        <f>AND(#REF!,"AAAAAHzfr7w=")</f>
        <v>#REF!</v>
      </c>
      <c r="GH244" t="e">
        <f>AND(#REF!,"AAAAAHzfr70=")</f>
        <v>#REF!</v>
      </c>
      <c r="GI244" t="e">
        <f>AND(#REF!,"AAAAAHzfr74=")</f>
        <v>#REF!</v>
      </c>
      <c r="GJ244" t="e">
        <f>AND(#REF!,"AAAAAHzfr78=")</f>
        <v>#REF!</v>
      </c>
      <c r="GK244" t="e">
        <f>AND(#REF!,"AAAAAHzfr8A=")</f>
        <v>#REF!</v>
      </c>
      <c r="GL244" t="e">
        <f>AND(#REF!,"AAAAAHzfr8E=")</f>
        <v>#REF!</v>
      </c>
      <c r="GM244" t="e">
        <f>AND(#REF!,"AAAAAHzfr8I=")</f>
        <v>#REF!</v>
      </c>
      <c r="GN244" t="e">
        <f>AND(#REF!,"AAAAAHzfr8M=")</f>
        <v>#REF!</v>
      </c>
      <c r="GO244" t="e">
        <f>AND(#REF!,"AAAAAHzfr8Q=")</f>
        <v>#REF!</v>
      </c>
      <c r="GP244" t="e">
        <f>AND(#REF!,"AAAAAHzfr8U=")</f>
        <v>#REF!</v>
      </c>
      <c r="GQ244" t="e">
        <f>AND(#REF!,"AAAAAHzfr8Y=")</f>
        <v>#REF!</v>
      </c>
      <c r="GR244" t="e">
        <f>AND(#REF!,"AAAAAHzfr8c=")</f>
        <v>#REF!</v>
      </c>
      <c r="GS244" t="e">
        <f>AND(#REF!,"AAAAAHzfr8g=")</f>
        <v>#REF!</v>
      </c>
      <c r="GT244" t="e">
        <f>AND(#REF!,"AAAAAHzfr8k=")</f>
        <v>#REF!</v>
      </c>
      <c r="GU244" t="e">
        <f>AND(#REF!,"AAAAAHzfr8o=")</f>
        <v>#REF!</v>
      </c>
      <c r="GV244" t="e">
        <f>AND(#REF!,"AAAAAHzfr8s=")</f>
        <v>#REF!</v>
      </c>
      <c r="GW244" t="e">
        <f>AND(#REF!,"AAAAAHzfr8w=")</f>
        <v>#REF!</v>
      </c>
      <c r="GX244" t="e">
        <f>AND(#REF!,"AAAAAHzfr80=")</f>
        <v>#REF!</v>
      </c>
      <c r="GY244" t="e">
        <f>IF(#REF!,"AAAAAHzfr84=",0)</f>
        <v>#REF!</v>
      </c>
      <c r="GZ244" t="e">
        <f>AND(#REF!,"AAAAAHzfr88=")</f>
        <v>#REF!</v>
      </c>
      <c r="HA244" t="e">
        <f>AND(#REF!,"AAAAAHzfr9A=")</f>
        <v>#REF!</v>
      </c>
      <c r="HB244" t="e">
        <f>AND(#REF!,"AAAAAHzfr9E=")</f>
        <v>#REF!</v>
      </c>
      <c r="HC244" t="e">
        <f>AND(#REF!,"AAAAAHzfr9I=")</f>
        <v>#REF!</v>
      </c>
      <c r="HD244" t="e">
        <f>AND(#REF!,"AAAAAHzfr9M=")</f>
        <v>#REF!</v>
      </c>
      <c r="HE244" t="e">
        <f>AND(#REF!,"AAAAAHzfr9Q=")</f>
        <v>#REF!</v>
      </c>
      <c r="HF244" t="e">
        <f>AND(#REF!,"AAAAAHzfr9U=")</f>
        <v>#REF!</v>
      </c>
      <c r="HG244" t="e">
        <f>AND(#REF!,"AAAAAHzfr9Y=")</f>
        <v>#REF!</v>
      </c>
      <c r="HH244" t="e">
        <f>AND(#REF!,"AAAAAHzfr9c=")</f>
        <v>#REF!</v>
      </c>
      <c r="HI244" t="e">
        <f>AND(#REF!,"AAAAAHzfr9g=")</f>
        <v>#REF!</v>
      </c>
      <c r="HJ244" t="e">
        <f>AND(#REF!,"AAAAAHzfr9k=")</f>
        <v>#REF!</v>
      </c>
      <c r="HK244" t="e">
        <f>AND(#REF!,"AAAAAHzfr9o=")</f>
        <v>#REF!</v>
      </c>
      <c r="HL244" t="e">
        <f>AND(#REF!,"AAAAAHzfr9s=")</f>
        <v>#REF!</v>
      </c>
      <c r="HM244" t="e">
        <f>AND(#REF!,"AAAAAHzfr9w=")</f>
        <v>#REF!</v>
      </c>
      <c r="HN244" t="e">
        <f>AND(#REF!,"AAAAAHzfr90=")</f>
        <v>#REF!</v>
      </c>
      <c r="HO244" t="e">
        <f>AND(#REF!,"AAAAAHzfr94=")</f>
        <v>#REF!</v>
      </c>
      <c r="HP244" t="e">
        <f>AND(#REF!,"AAAAAHzfr98=")</f>
        <v>#REF!</v>
      </c>
      <c r="HQ244" t="e">
        <f>AND(#REF!,"AAAAAHzfr+A=")</f>
        <v>#REF!</v>
      </c>
      <c r="HR244" t="e">
        <f>AND(#REF!,"AAAAAHzfr+E=")</f>
        <v>#REF!</v>
      </c>
      <c r="HS244" t="e">
        <f>AND(#REF!,"AAAAAHzfr+I=")</f>
        <v>#REF!</v>
      </c>
      <c r="HT244" t="e">
        <f>AND(#REF!,"AAAAAHzfr+M=")</f>
        <v>#REF!</v>
      </c>
      <c r="HU244" t="e">
        <f>AND(#REF!,"AAAAAHzfr+Q=")</f>
        <v>#REF!</v>
      </c>
      <c r="HV244" t="e">
        <f>AND(#REF!,"AAAAAHzfr+U=")</f>
        <v>#REF!</v>
      </c>
      <c r="HW244" t="e">
        <f>AND(#REF!,"AAAAAHzfr+Y=")</f>
        <v>#REF!</v>
      </c>
      <c r="HX244" t="e">
        <f>AND(#REF!,"AAAAAHzfr+c=")</f>
        <v>#REF!</v>
      </c>
      <c r="HY244" t="e">
        <f>AND(#REF!,"AAAAAHzfr+g=")</f>
        <v>#REF!</v>
      </c>
      <c r="HZ244" t="e">
        <f>AND(#REF!,"AAAAAHzfr+k=")</f>
        <v>#REF!</v>
      </c>
      <c r="IA244" t="e">
        <f>AND(#REF!,"AAAAAHzfr+o=")</f>
        <v>#REF!</v>
      </c>
      <c r="IB244" t="e">
        <f>AND(#REF!,"AAAAAHzfr+s=")</f>
        <v>#REF!</v>
      </c>
      <c r="IC244" t="e">
        <f>AND(#REF!,"AAAAAHzfr+w=")</f>
        <v>#REF!</v>
      </c>
      <c r="ID244" t="e">
        <f>AND(#REF!,"AAAAAHzfr+0=")</f>
        <v>#REF!</v>
      </c>
      <c r="IE244" t="e">
        <f>AND(#REF!,"AAAAAHzfr+4=")</f>
        <v>#REF!</v>
      </c>
      <c r="IF244" t="e">
        <f>AND(#REF!,"AAAAAHzfr+8=")</f>
        <v>#REF!</v>
      </c>
      <c r="IG244" t="e">
        <f>AND(#REF!,"AAAAAHzfr/A=")</f>
        <v>#REF!</v>
      </c>
      <c r="IH244" t="e">
        <f>AND(#REF!,"AAAAAHzfr/E=")</f>
        <v>#REF!</v>
      </c>
      <c r="II244" t="e">
        <f>AND(#REF!,"AAAAAHzfr/I=")</f>
        <v>#REF!</v>
      </c>
      <c r="IJ244" t="e">
        <f>AND(#REF!,"AAAAAHzfr/M=")</f>
        <v>#REF!</v>
      </c>
      <c r="IK244" t="e">
        <f>AND(#REF!,"AAAAAHzfr/Q=")</f>
        <v>#REF!</v>
      </c>
      <c r="IL244" t="e">
        <f>AND(#REF!,"AAAAAHzfr/U=")</f>
        <v>#REF!</v>
      </c>
      <c r="IM244" t="e">
        <f>AND(#REF!,"AAAAAHzfr/Y=")</f>
        <v>#REF!</v>
      </c>
      <c r="IN244" t="e">
        <f>AND(#REF!,"AAAAAHzfr/c=")</f>
        <v>#REF!</v>
      </c>
      <c r="IO244" t="e">
        <f>AND(#REF!,"AAAAAHzfr/g=")</f>
        <v>#REF!</v>
      </c>
      <c r="IP244" t="e">
        <f>AND(#REF!,"AAAAAHzfr/k=")</f>
        <v>#REF!</v>
      </c>
      <c r="IQ244" t="e">
        <f>AND(#REF!,"AAAAAHzfr/o=")</f>
        <v>#REF!</v>
      </c>
      <c r="IR244" t="e">
        <f>AND(#REF!,"AAAAAHzfr/s=")</f>
        <v>#REF!</v>
      </c>
      <c r="IS244" t="e">
        <f>AND(#REF!,"AAAAAHzfr/w=")</f>
        <v>#REF!</v>
      </c>
      <c r="IT244" t="e">
        <f>AND(#REF!,"AAAAAHzfr/0=")</f>
        <v>#REF!</v>
      </c>
      <c r="IU244" t="e">
        <f>AND(#REF!,"AAAAAHzfr/4=")</f>
        <v>#REF!</v>
      </c>
      <c r="IV244" t="e">
        <f>AND(#REF!,"AAAAAHzfr/8=")</f>
        <v>#REF!</v>
      </c>
    </row>
    <row r="245" spans="1:256">
      <c r="A245" t="e">
        <f>AND(#REF!,"AAAAAFv3/wA=")</f>
        <v>#REF!</v>
      </c>
      <c r="B245" t="e">
        <f>AND(#REF!,"AAAAAFv3/wE=")</f>
        <v>#REF!</v>
      </c>
      <c r="C245" t="e">
        <f>AND(#REF!,"AAAAAFv3/wI=")</f>
        <v>#REF!</v>
      </c>
      <c r="D245" t="e">
        <f>AND(#REF!,"AAAAAFv3/wM=")</f>
        <v>#REF!</v>
      </c>
      <c r="E245" t="e">
        <f>AND(#REF!,"AAAAAFv3/wQ=")</f>
        <v>#REF!</v>
      </c>
      <c r="F245" t="e">
        <f>AND(#REF!,"AAAAAFv3/wU=")</f>
        <v>#REF!</v>
      </c>
      <c r="G245" t="e">
        <f>AND(#REF!,"AAAAAFv3/wY=")</f>
        <v>#REF!</v>
      </c>
      <c r="H245" t="e">
        <f>AND(#REF!,"AAAAAFv3/wc=")</f>
        <v>#REF!</v>
      </c>
      <c r="I245" t="e">
        <f>AND(#REF!,"AAAAAFv3/wg=")</f>
        <v>#REF!</v>
      </c>
      <c r="J245" t="e">
        <f>AND(#REF!,"AAAAAFv3/wk=")</f>
        <v>#REF!</v>
      </c>
      <c r="K245" t="e">
        <f>AND(#REF!,"AAAAAFv3/wo=")</f>
        <v>#REF!</v>
      </c>
      <c r="L245" t="e">
        <f>AND(#REF!,"AAAAAFv3/ws=")</f>
        <v>#REF!</v>
      </c>
      <c r="M245" t="e">
        <f>AND(#REF!,"AAAAAFv3/ww=")</f>
        <v>#REF!</v>
      </c>
      <c r="N245" t="e">
        <f>AND(#REF!,"AAAAAFv3/w0=")</f>
        <v>#REF!</v>
      </c>
      <c r="O245" t="e">
        <f>AND(#REF!,"AAAAAFv3/w4=")</f>
        <v>#REF!</v>
      </c>
      <c r="P245" t="e">
        <f>AND(#REF!,"AAAAAFv3/w8=")</f>
        <v>#REF!</v>
      </c>
      <c r="Q245" t="e">
        <f>AND(#REF!,"AAAAAFv3/xA=")</f>
        <v>#REF!</v>
      </c>
      <c r="R245" t="e">
        <f>AND(#REF!,"AAAAAFv3/xE=")</f>
        <v>#REF!</v>
      </c>
      <c r="S245" t="e">
        <f>AND(#REF!,"AAAAAFv3/xI=")</f>
        <v>#REF!</v>
      </c>
      <c r="T245" t="e">
        <f>AND(#REF!,"AAAAAFv3/xM=")</f>
        <v>#REF!</v>
      </c>
      <c r="U245" t="e">
        <f>AND(#REF!,"AAAAAFv3/xQ=")</f>
        <v>#REF!</v>
      </c>
      <c r="V245" t="e">
        <f>AND(#REF!,"AAAAAFv3/xU=")</f>
        <v>#REF!</v>
      </c>
      <c r="W245" t="e">
        <f>AND(#REF!,"AAAAAFv3/xY=")</f>
        <v>#REF!</v>
      </c>
      <c r="X245" t="e">
        <f>AND(#REF!,"AAAAAFv3/xc=")</f>
        <v>#REF!</v>
      </c>
      <c r="Y245" t="e">
        <f>AND(#REF!,"AAAAAFv3/xg=")</f>
        <v>#REF!</v>
      </c>
      <c r="Z245" t="e">
        <f>AND(#REF!,"AAAAAFv3/xk=")</f>
        <v>#REF!</v>
      </c>
      <c r="AA245" t="e">
        <f>AND(#REF!,"AAAAAFv3/xo=")</f>
        <v>#REF!</v>
      </c>
      <c r="AB245" t="e">
        <f>AND(#REF!,"AAAAAFv3/xs=")</f>
        <v>#REF!</v>
      </c>
      <c r="AC245" t="e">
        <f>AND(#REF!,"AAAAAFv3/xw=")</f>
        <v>#REF!</v>
      </c>
      <c r="AD245" t="e">
        <f>AND(#REF!,"AAAAAFv3/x0=")</f>
        <v>#REF!</v>
      </c>
      <c r="AE245" t="e">
        <f>AND(#REF!,"AAAAAFv3/x4=")</f>
        <v>#REF!</v>
      </c>
      <c r="AF245" t="e">
        <f>AND(#REF!,"AAAAAFv3/x8=")</f>
        <v>#REF!</v>
      </c>
      <c r="AG245" t="e">
        <f>AND(#REF!,"AAAAAFv3/yA=")</f>
        <v>#REF!</v>
      </c>
      <c r="AH245" t="e">
        <f>AND(#REF!,"AAAAAFv3/yE=")</f>
        <v>#REF!</v>
      </c>
      <c r="AI245" t="e">
        <f>AND(#REF!,"AAAAAFv3/yI=")</f>
        <v>#REF!</v>
      </c>
      <c r="AJ245" t="e">
        <f>AND(#REF!,"AAAAAFv3/yM=")</f>
        <v>#REF!</v>
      </c>
      <c r="AK245" t="e">
        <f>AND(#REF!,"AAAAAFv3/yQ=")</f>
        <v>#REF!</v>
      </c>
      <c r="AL245" t="e">
        <f>AND(#REF!,"AAAAAFv3/yU=")</f>
        <v>#REF!</v>
      </c>
      <c r="AM245" t="e">
        <f>AND(#REF!,"AAAAAFv3/yY=")</f>
        <v>#REF!</v>
      </c>
      <c r="AN245" t="e">
        <f>AND(#REF!,"AAAAAFv3/yc=")</f>
        <v>#REF!</v>
      </c>
      <c r="AO245" t="e">
        <f>AND(#REF!,"AAAAAFv3/yg=")</f>
        <v>#REF!</v>
      </c>
      <c r="AP245" t="e">
        <f>AND(#REF!,"AAAAAFv3/yk=")</f>
        <v>#REF!</v>
      </c>
      <c r="AQ245" t="e">
        <f>AND(#REF!,"AAAAAFv3/yo=")</f>
        <v>#REF!</v>
      </c>
      <c r="AR245" t="e">
        <f>AND(#REF!,"AAAAAFv3/ys=")</f>
        <v>#REF!</v>
      </c>
      <c r="AS245" t="e">
        <f>AND(#REF!,"AAAAAFv3/yw=")</f>
        <v>#REF!</v>
      </c>
      <c r="AT245" t="e">
        <f>AND(#REF!,"AAAAAFv3/y0=")</f>
        <v>#REF!</v>
      </c>
      <c r="AU245" t="e">
        <f>AND(#REF!,"AAAAAFv3/y4=")</f>
        <v>#REF!</v>
      </c>
      <c r="AV245" t="e">
        <f>AND(#REF!,"AAAAAFv3/y8=")</f>
        <v>#REF!</v>
      </c>
      <c r="AW245" t="e">
        <f>AND(#REF!,"AAAAAFv3/zA=")</f>
        <v>#REF!</v>
      </c>
      <c r="AX245" t="e">
        <f>AND(#REF!,"AAAAAFv3/zE=")</f>
        <v>#REF!</v>
      </c>
      <c r="AY245" t="e">
        <f>AND(#REF!,"AAAAAFv3/zI=")</f>
        <v>#REF!</v>
      </c>
      <c r="AZ245" t="e">
        <f>AND(#REF!,"AAAAAFv3/zM=")</f>
        <v>#REF!</v>
      </c>
      <c r="BA245" t="e">
        <f>AND(#REF!,"AAAAAFv3/zQ=")</f>
        <v>#REF!</v>
      </c>
      <c r="BB245" t="e">
        <f>AND(#REF!,"AAAAAFv3/zU=")</f>
        <v>#REF!</v>
      </c>
      <c r="BC245" t="e">
        <f>AND(#REF!,"AAAAAFv3/zY=")</f>
        <v>#REF!</v>
      </c>
      <c r="BD245" t="e">
        <f>AND(#REF!,"AAAAAFv3/zc=")</f>
        <v>#REF!</v>
      </c>
      <c r="BE245" t="e">
        <f>AND(#REF!,"AAAAAFv3/zg=")</f>
        <v>#REF!</v>
      </c>
      <c r="BF245" t="e">
        <f>AND(#REF!,"AAAAAFv3/zk=")</f>
        <v>#REF!</v>
      </c>
      <c r="BG245" t="e">
        <f>AND(#REF!,"AAAAAFv3/zo=")</f>
        <v>#REF!</v>
      </c>
      <c r="BH245" t="e">
        <f>AND(#REF!,"AAAAAFv3/zs=")</f>
        <v>#REF!</v>
      </c>
      <c r="BI245" t="e">
        <f>AND(#REF!,"AAAAAFv3/zw=")</f>
        <v>#REF!</v>
      </c>
      <c r="BJ245" t="e">
        <f>AND(#REF!,"AAAAAFv3/z0=")</f>
        <v>#REF!</v>
      </c>
      <c r="BK245" t="e">
        <f>AND(#REF!,"AAAAAFv3/z4=")</f>
        <v>#REF!</v>
      </c>
      <c r="BL245" t="e">
        <f>AND(#REF!,"AAAAAFv3/z8=")</f>
        <v>#REF!</v>
      </c>
      <c r="BM245" t="e">
        <f>AND(#REF!,"AAAAAFv3/0A=")</f>
        <v>#REF!</v>
      </c>
      <c r="BN245" t="e">
        <f>AND(#REF!,"AAAAAFv3/0E=")</f>
        <v>#REF!</v>
      </c>
      <c r="BO245" t="e">
        <f>AND(#REF!,"AAAAAFv3/0I=")</f>
        <v>#REF!</v>
      </c>
      <c r="BP245" t="e">
        <f>AND(#REF!,"AAAAAFv3/0M=")</f>
        <v>#REF!</v>
      </c>
      <c r="BQ245" t="e">
        <f>AND(#REF!,"AAAAAFv3/0Q=")</f>
        <v>#REF!</v>
      </c>
      <c r="BR245" t="e">
        <f>AND(#REF!,"AAAAAFv3/0U=")</f>
        <v>#REF!</v>
      </c>
      <c r="BS245" t="e">
        <f>AND(#REF!,"AAAAAFv3/0Y=")</f>
        <v>#REF!</v>
      </c>
      <c r="BT245" t="e">
        <f>AND(#REF!,"AAAAAFv3/0c=")</f>
        <v>#REF!</v>
      </c>
      <c r="BU245" t="e">
        <f>AND(#REF!,"AAAAAFv3/0g=")</f>
        <v>#REF!</v>
      </c>
      <c r="BV245" t="e">
        <f>AND(#REF!,"AAAAAFv3/0k=")</f>
        <v>#REF!</v>
      </c>
      <c r="BW245" t="e">
        <f>AND(#REF!,"AAAAAFv3/0o=")</f>
        <v>#REF!</v>
      </c>
      <c r="BX245" t="e">
        <f>AND(#REF!,"AAAAAFv3/0s=")</f>
        <v>#REF!</v>
      </c>
      <c r="BY245" t="e">
        <f>AND(#REF!,"AAAAAFv3/0w=")</f>
        <v>#REF!</v>
      </c>
      <c r="BZ245" t="e">
        <f>AND(#REF!,"AAAAAFv3/00=")</f>
        <v>#REF!</v>
      </c>
      <c r="CA245" t="e">
        <f>AND(#REF!,"AAAAAFv3/04=")</f>
        <v>#REF!</v>
      </c>
      <c r="CB245" t="e">
        <f>AND(#REF!,"AAAAAFv3/08=")</f>
        <v>#REF!</v>
      </c>
      <c r="CC245" t="e">
        <f>AND(#REF!,"AAAAAFv3/1A=")</f>
        <v>#REF!</v>
      </c>
      <c r="CD245" t="e">
        <f>AND(#REF!,"AAAAAFv3/1E=")</f>
        <v>#REF!</v>
      </c>
      <c r="CE245" t="e">
        <f>AND(#REF!,"AAAAAFv3/1I=")</f>
        <v>#REF!</v>
      </c>
      <c r="CF245" t="e">
        <f>AND(#REF!,"AAAAAFv3/1M=")</f>
        <v>#REF!</v>
      </c>
      <c r="CG245" t="e">
        <f>AND(#REF!,"AAAAAFv3/1Q=")</f>
        <v>#REF!</v>
      </c>
      <c r="CH245" t="e">
        <f>AND(#REF!,"AAAAAFv3/1U=")</f>
        <v>#REF!</v>
      </c>
      <c r="CI245" t="e">
        <f>AND(#REF!,"AAAAAFv3/1Y=")</f>
        <v>#REF!</v>
      </c>
      <c r="CJ245" t="e">
        <f>AND(#REF!,"AAAAAFv3/1c=")</f>
        <v>#REF!</v>
      </c>
      <c r="CK245" t="e">
        <f>AND(#REF!,"AAAAAFv3/1g=")</f>
        <v>#REF!</v>
      </c>
      <c r="CL245" t="e">
        <f>AND(#REF!,"AAAAAFv3/1k=")</f>
        <v>#REF!</v>
      </c>
      <c r="CM245" t="e">
        <f>AND(#REF!,"AAAAAFv3/1o=")</f>
        <v>#REF!</v>
      </c>
      <c r="CN245" t="e">
        <f>AND(#REF!,"AAAAAFv3/1s=")</f>
        <v>#REF!</v>
      </c>
      <c r="CO245" t="e">
        <f>AND(#REF!,"AAAAAFv3/1w=")</f>
        <v>#REF!</v>
      </c>
      <c r="CP245" t="e">
        <f>AND(#REF!,"AAAAAFv3/10=")</f>
        <v>#REF!</v>
      </c>
      <c r="CQ245" t="e">
        <f>AND(#REF!,"AAAAAFv3/14=")</f>
        <v>#REF!</v>
      </c>
      <c r="CR245" t="e">
        <f>AND(#REF!,"AAAAAFv3/18=")</f>
        <v>#REF!</v>
      </c>
      <c r="CS245" t="e">
        <f>AND(#REF!,"AAAAAFv3/2A=")</f>
        <v>#REF!</v>
      </c>
      <c r="CT245" t="e">
        <f>AND(#REF!,"AAAAAFv3/2E=")</f>
        <v>#REF!</v>
      </c>
      <c r="CU245" t="e">
        <f>AND(#REF!,"AAAAAFv3/2I=")</f>
        <v>#REF!</v>
      </c>
      <c r="CV245" t="e">
        <f>AND(#REF!,"AAAAAFv3/2M=")</f>
        <v>#REF!</v>
      </c>
      <c r="CW245" t="e">
        <f>AND(#REF!,"AAAAAFv3/2Q=")</f>
        <v>#REF!</v>
      </c>
      <c r="CX245" t="e">
        <f>AND(#REF!,"AAAAAFv3/2U=")</f>
        <v>#REF!</v>
      </c>
      <c r="CY245" t="e">
        <f>AND(#REF!,"AAAAAFv3/2Y=")</f>
        <v>#REF!</v>
      </c>
      <c r="CZ245" t="e">
        <f>AND(#REF!,"AAAAAFv3/2c=")</f>
        <v>#REF!</v>
      </c>
      <c r="DA245" t="e">
        <f>AND(#REF!,"AAAAAFv3/2g=")</f>
        <v>#REF!</v>
      </c>
      <c r="DB245" t="e">
        <f>AND(#REF!,"AAAAAFv3/2k=")</f>
        <v>#REF!</v>
      </c>
      <c r="DC245" t="e">
        <f>AND(#REF!,"AAAAAFv3/2o=")</f>
        <v>#REF!</v>
      </c>
      <c r="DD245" t="e">
        <f>AND(#REF!,"AAAAAFv3/2s=")</f>
        <v>#REF!</v>
      </c>
      <c r="DE245" t="e">
        <f>AND(#REF!,"AAAAAFv3/2w=")</f>
        <v>#REF!</v>
      </c>
      <c r="DF245" t="e">
        <f>AND(#REF!,"AAAAAFv3/20=")</f>
        <v>#REF!</v>
      </c>
      <c r="DG245" t="e">
        <f>AND(#REF!,"AAAAAFv3/24=")</f>
        <v>#REF!</v>
      </c>
      <c r="DH245" t="e">
        <f>AND(#REF!,"AAAAAFv3/28=")</f>
        <v>#REF!</v>
      </c>
      <c r="DI245" t="e">
        <f>AND(#REF!,"AAAAAFv3/3A=")</f>
        <v>#REF!</v>
      </c>
      <c r="DJ245" t="e">
        <f>AND(#REF!,"AAAAAFv3/3E=")</f>
        <v>#REF!</v>
      </c>
      <c r="DK245" t="e">
        <f>AND(#REF!,"AAAAAFv3/3I=")</f>
        <v>#REF!</v>
      </c>
      <c r="DL245" t="e">
        <f>AND(#REF!,"AAAAAFv3/3M=")</f>
        <v>#REF!</v>
      </c>
      <c r="DM245" t="e">
        <f>AND(#REF!,"AAAAAFv3/3Q=")</f>
        <v>#REF!</v>
      </c>
      <c r="DN245" t="e">
        <f>AND(#REF!,"AAAAAFv3/3U=")</f>
        <v>#REF!</v>
      </c>
      <c r="DO245" t="e">
        <f>AND(#REF!,"AAAAAFv3/3Y=")</f>
        <v>#REF!</v>
      </c>
      <c r="DP245" t="e">
        <f>AND(#REF!,"AAAAAFv3/3c=")</f>
        <v>#REF!</v>
      </c>
      <c r="DQ245" t="e">
        <f>AND(#REF!,"AAAAAFv3/3g=")</f>
        <v>#REF!</v>
      </c>
      <c r="DR245" t="e">
        <f>AND(#REF!,"AAAAAFv3/3k=")</f>
        <v>#REF!</v>
      </c>
      <c r="DS245" t="e">
        <f>AND(#REF!,"AAAAAFv3/3o=")</f>
        <v>#REF!</v>
      </c>
      <c r="DT245" t="e">
        <f>AND(#REF!,"AAAAAFv3/3s=")</f>
        <v>#REF!</v>
      </c>
      <c r="DU245" t="e">
        <f>AND(#REF!,"AAAAAFv3/3w=")</f>
        <v>#REF!</v>
      </c>
      <c r="DV245" t="e">
        <f>AND(#REF!,"AAAAAFv3/30=")</f>
        <v>#REF!</v>
      </c>
      <c r="DW245" t="e">
        <f>AND(#REF!,"AAAAAFv3/34=")</f>
        <v>#REF!</v>
      </c>
      <c r="DX245" t="e">
        <f>AND(#REF!,"AAAAAFv3/38=")</f>
        <v>#REF!</v>
      </c>
      <c r="DY245" t="e">
        <f>AND(#REF!,"AAAAAFv3/4A=")</f>
        <v>#REF!</v>
      </c>
      <c r="DZ245" t="e">
        <f>AND(#REF!,"AAAAAFv3/4E=")</f>
        <v>#REF!</v>
      </c>
      <c r="EA245" t="e">
        <f>AND(#REF!,"AAAAAFv3/4I=")</f>
        <v>#REF!</v>
      </c>
      <c r="EB245" t="e">
        <f>AND(#REF!,"AAAAAFv3/4M=")</f>
        <v>#REF!</v>
      </c>
      <c r="EC245" t="e">
        <f>AND(#REF!,"AAAAAFv3/4Q=")</f>
        <v>#REF!</v>
      </c>
      <c r="ED245" t="e">
        <f>AND(#REF!,"AAAAAFv3/4U=")</f>
        <v>#REF!</v>
      </c>
      <c r="EE245" t="e">
        <f>AND(#REF!,"AAAAAFv3/4Y=")</f>
        <v>#REF!</v>
      </c>
      <c r="EF245" t="e">
        <f>AND(#REF!,"AAAAAFv3/4c=")</f>
        <v>#REF!</v>
      </c>
      <c r="EG245" t="e">
        <f>AND(#REF!,"AAAAAFv3/4g=")</f>
        <v>#REF!</v>
      </c>
      <c r="EH245" t="e">
        <f>AND(#REF!,"AAAAAFv3/4k=")</f>
        <v>#REF!</v>
      </c>
      <c r="EI245" t="e">
        <f>AND(#REF!,"AAAAAFv3/4o=")</f>
        <v>#REF!</v>
      </c>
      <c r="EJ245" t="e">
        <f>AND(#REF!,"AAAAAFv3/4s=")</f>
        <v>#REF!</v>
      </c>
      <c r="EK245" t="e">
        <f>AND(#REF!,"AAAAAFv3/4w=")</f>
        <v>#REF!</v>
      </c>
      <c r="EL245" t="e">
        <f>AND(#REF!,"AAAAAFv3/40=")</f>
        <v>#REF!</v>
      </c>
      <c r="EM245" t="e">
        <f>AND(#REF!,"AAAAAFv3/44=")</f>
        <v>#REF!</v>
      </c>
      <c r="EN245" t="e">
        <f>AND(#REF!,"AAAAAFv3/48=")</f>
        <v>#REF!</v>
      </c>
      <c r="EO245" t="e">
        <f>AND(#REF!,"AAAAAFv3/5A=")</f>
        <v>#REF!</v>
      </c>
      <c r="EP245" t="e">
        <f>AND(#REF!,"AAAAAFv3/5E=")</f>
        <v>#REF!</v>
      </c>
      <c r="EQ245" t="e">
        <f>AND(#REF!,"AAAAAFv3/5I=")</f>
        <v>#REF!</v>
      </c>
      <c r="ER245" t="e">
        <f>AND(#REF!,"AAAAAFv3/5M=")</f>
        <v>#REF!</v>
      </c>
      <c r="ES245" t="e">
        <f>AND(#REF!,"AAAAAFv3/5Q=")</f>
        <v>#REF!</v>
      </c>
      <c r="ET245" t="e">
        <f>AND(#REF!,"AAAAAFv3/5U=")</f>
        <v>#REF!</v>
      </c>
      <c r="EU245" t="e">
        <f>AND(#REF!,"AAAAAFv3/5Y=")</f>
        <v>#REF!</v>
      </c>
      <c r="EV245" t="e">
        <f>AND(#REF!,"AAAAAFv3/5c=")</f>
        <v>#REF!</v>
      </c>
      <c r="EW245" t="e">
        <f>AND(#REF!,"AAAAAFv3/5g=")</f>
        <v>#REF!</v>
      </c>
      <c r="EX245" t="e">
        <f>AND(#REF!,"AAAAAFv3/5k=")</f>
        <v>#REF!</v>
      </c>
      <c r="EY245" t="e">
        <f>AND(#REF!,"AAAAAFv3/5o=")</f>
        <v>#REF!</v>
      </c>
      <c r="EZ245" t="e">
        <f>AND(#REF!,"AAAAAFv3/5s=")</f>
        <v>#REF!</v>
      </c>
      <c r="FA245" t="e">
        <f>AND(#REF!,"AAAAAFv3/5w=")</f>
        <v>#REF!</v>
      </c>
      <c r="FB245" t="e">
        <f>AND(#REF!,"AAAAAFv3/50=")</f>
        <v>#REF!</v>
      </c>
      <c r="FC245" t="e">
        <f>AND(#REF!,"AAAAAFv3/54=")</f>
        <v>#REF!</v>
      </c>
      <c r="FD245" t="e">
        <f>AND(#REF!,"AAAAAFv3/58=")</f>
        <v>#REF!</v>
      </c>
      <c r="FE245" t="e">
        <f>AND(#REF!,"AAAAAFv3/6A=")</f>
        <v>#REF!</v>
      </c>
      <c r="FF245" t="e">
        <f>AND(#REF!,"AAAAAFv3/6E=")</f>
        <v>#REF!</v>
      </c>
      <c r="FG245" t="e">
        <f>AND(#REF!,"AAAAAFv3/6I=")</f>
        <v>#REF!</v>
      </c>
      <c r="FH245" t="e">
        <f>AND(#REF!,"AAAAAFv3/6M=")</f>
        <v>#REF!</v>
      </c>
      <c r="FI245" t="e">
        <f>AND(#REF!,"AAAAAFv3/6Q=")</f>
        <v>#REF!</v>
      </c>
      <c r="FJ245" t="e">
        <f>AND(#REF!,"AAAAAFv3/6U=")</f>
        <v>#REF!</v>
      </c>
      <c r="FK245" t="e">
        <f>AND(#REF!,"AAAAAFv3/6Y=")</f>
        <v>#REF!</v>
      </c>
      <c r="FL245" t="e">
        <f>AND(#REF!,"AAAAAFv3/6c=")</f>
        <v>#REF!</v>
      </c>
      <c r="FM245" t="e">
        <f>AND(#REF!,"AAAAAFv3/6g=")</f>
        <v>#REF!</v>
      </c>
      <c r="FN245" t="e">
        <f>AND(#REF!,"AAAAAFv3/6k=")</f>
        <v>#REF!</v>
      </c>
      <c r="FO245" t="e">
        <f>AND(#REF!,"AAAAAFv3/6o=")</f>
        <v>#REF!</v>
      </c>
      <c r="FP245" t="e">
        <f>AND(#REF!,"AAAAAFv3/6s=")</f>
        <v>#REF!</v>
      </c>
      <c r="FQ245" t="e">
        <f>AND(#REF!,"AAAAAFv3/6w=")</f>
        <v>#REF!</v>
      </c>
      <c r="FR245" t="e">
        <f>AND(#REF!,"AAAAAFv3/60=")</f>
        <v>#REF!</v>
      </c>
      <c r="FS245" t="e">
        <f>AND(#REF!,"AAAAAFv3/64=")</f>
        <v>#REF!</v>
      </c>
      <c r="FT245" t="e">
        <f>AND(#REF!,"AAAAAFv3/68=")</f>
        <v>#REF!</v>
      </c>
      <c r="FU245" t="e">
        <f>AND(#REF!,"AAAAAFv3/7A=")</f>
        <v>#REF!</v>
      </c>
      <c r="FV245" t="e">
        <f>AND(#REF!,"AAAAAFv3/7E=")</f>
        <v>#REF!</v>
      </c>
      <c r="FW245" t="e">
        <f>IF(#REF!,"AAAAAFv3/7I=",0)</f>
        <v>#REF!</v>
      </c>
      <c r="FX245" t="e">
        <f>AND(#REF!,"AAAAAFv3/7M=")</f>
        <v>#REF!</v>
      </c>
      <c r="FY245" t="e">
        <f>AND(#REF!,"AAAAAFv3/7Q=")</f>
        <v>#REF!</v>
      </c>
      <c r="FZ245" t="e">
        <f>AND(#REF!,"AAAAAFv3/7U=")</f>
        <v>#REF!</v>
      </c>
      <c r="GA245" t="e">
        <f>AND(#REF!,"AAAAAFv3/7Y=")</f>
        <v>#REF!</v>
      </c>
      <c r="GB245" t="e">
        <f>AND(#REF!,"AAAAAFv3/7c=")</f>
        <v>#REF!</v>
      </c>
      <c r="GC245" t="e">
        <f>AND(#REF!,"AAAAAFv3/7g=")</f>
        <v>#REF!</v>
      </c>
      <c r="GD245" t="e">
        <f>AND(#REF!,"AAAAAFv3/7k=")</f>
        <v>#REF!</v>
      </c>
      <c r="GE245" t="e">
        <f>AND(#REF!,"AAAAAFv3/7o=")</f>
        <v>#REF!</v>
      </c>
      <c r="GF245" t="e">
        <f>AND(#REF!,"AAAAAFv3/7s=")</f>
        <v>#REF!</v>
      </c>
      <c r="GG245" t="e">
        <f>AND(#REF!,"AAAAAFv3/7w=")</f>
        <v>#REF!</v>
      </c>
      <c r="GH245" t="e">
        <f>AND(#REF!,"AAAAAFv3/70=")</f>
        <v>#REF!</v>
      </c>
      <c r="GI245" t="e">
        <f>AND(#REF!,"AAAAAFv3/74=")</f>
        <v>#REF!</v>
      </c>
      <c r="GJ245" t="e">
        <f>AND(#REF!,"AAAAAFv3/78=")</f>
        <v>#REF!</v>
      </c>
      <c r="GK245" t="e">
        <f>AND(#REF!,"AAAAAFv3/8A=")</f>
        <v>#REF!</v>
      </c>
      <c r="GL245" t="e">
        <f>AND(#REF!,"AAAAAFv3/8E=")</f>
        <v>#REF!</v>
      </c>
      <c r="GM245" t="e">
        <f>AND(#REF!,"AAAAAFv3/8I=")</f>
        <v>#REF!</v>
      </c>
      <c r="GN245" t="e">
        <f>AND(#REF!,"AAAAAFv3/8M=")</f>
        <v>#REF!</v>
      </c>
      <c r="GO245" t="e">
        <f>AND(#REF!,"AAAAAFv3/8Q=")</f>
        <v>#REF!</v>
      </c>
      <c r="GP245" t="e">
        <f>AND(#REF!,"AAAAAFv3/8U=")</f>
        <v>#REF!</v>
      </c>
      <c r="GQ245" t="e">
        <f>AND(#REF!,"AAAAAFv3/8Y=")</f>
        <v>#REF!</v>
      </c>
      <c r="GR245" t="e">
        <f>AND(#REF!,"AAAAAFv3/8c=")</f>
        <v>#REF!</v>
      </c>
      <c r="GS245" t="e">
        <f>AND(#REF!,"AAAAAFv3/8g=")</f>
        <v>#REF!</v>
      </c>
      <c r="GT245" t="e">
        <f>AND(#REF!,"AAAAAFv3/8k=")</f>
        <v>#REF!</v>
      </c>
      <c r="GU245" t="e">
        <f>AND(#REF!,"AAAAAFv3/8o=")</f>
        <v>#REF!</v>
      </c>
      <c r="GV245" t="e">
        <f>AND(#REF!,"AAAAAFv3/8s=")</f>
        <v>#REF!</v>
      </c>
      <c r="GW245" t="e">
        <f>AND(#REF!,"AAAAAFv3/8w=")</f>
        <v>#REF!</v>
      </c>
      <c r="GX245" t="e">
        <f>AND(#REF!,"AAAAAFv3/80=")</f>
        <v>#REF!</v>
      </c>
      <c r="GY245" t="e">
        <f>AND(#REF!,"AAAAAFv3/84=")</f>
        <v>#REF!</v>
      </c>
      <c r="GZ245" t="e">
        <f>AND(#REF!,"AAAAAFv3/88=")</f>
        <v>#REF!</v>
      </c>
      <c r="HA245" t="e">
        <f>AND(#REF!,"AAAAAFv3/9A=")</f>
        <v>#REF!</v>
      </c>
      <c r="HB245" t="e">
        <f>AND(#REF!,"AAAAAFv3/9E=")</f>
        <v>#REF!</v>
      </c>
      <c r="HC245" t="e">
        <f>AND(#REF!,"AAAAAFv3/9I=")</f>
        <v>#REF!</v>
      </c>
      <c r="HD245" t="e">
        <f>AND(#REF!,"AAAAAFv3/9M=")</f>
        <v>#REF!</v>
      </c>
      <c r="HE245" t="e">
        <f>AND(#REF!,"AAAAAFv3/9Q=")</f>
        <v>#REF!</v>
      </c>
      <c r="HF245" t="e">
        <f>AND(#REF!,"AAAAAFv3/9U=")</f>
        <v>#REF!</v>
      </c>
      <c r="HG245" t="e">
        <f>AND(#REF!,"AAAAAFv3/9Y=")</f>
        <v>#REF!</v>
      </c>
      <c r="HH245" t="e">
        <f>AND(#REF!,"AAAAAFv3/9c=")</f>
        <v>#REF!</v>
      </c>
      <c r="HI245" t="e">
        <f>AND(#REF!,"AAAAAFv3/9g=")</f>
        <v>#REF!</v>
      </c>
      <c r="HJ245" t="e">
        <f>AND(#REF!,"AAAAAFv3/9k=")</f>
        <v>#REF!</v>
      </c>
      <c r="HK245" t="e">
        <f>AND(#REF!,"AAAAAFv3/9o=")</f>
        <v>#REF!</v>
      </c>
      <c r="HL245" t="e">
        <f>AND(#REF!,"AAAAAFv3/9s=")</f>
        <v>#REF!</v>
      </c>
      <c r="HM245" t="e">
        <f>AND(#REF!,"AAAAAFv3/9w=")</f>
        <v>#REF!</v>
      </c>
      <c r="HN245" t="e">
        <f>AND(#REF!,"AAAAAFv3/90=")</f>
        <v>#REF!</v>
      </c>
      <c r="HO245" t="e">
        <f>AND(#REF!,"AAAAAFv3/94=")</f>
        <v>#REF!</v>
      </c>
      <c r="HP245" t="e">
        <f>AND(#REF!,"AAAAAFv3/98=")</f>
        <v>#REF!</v>
      </c>
      <c r="HQ245" t="e">
        <f>AND(#REF!,"AAAAAFv3/+A=")</f>
        <v>#REF!</v>
      </c>
      <c r="HR245" t="e">
        <f>AND(#REF!,"AAAAAFv3/+E=")</f>
        <v>#REF!</v>
      </c>
      <c r="HS245" t="e">
        <f>AND(#REF!,"AAAAAFv3/+I=")</f>
        <v>#REF!</v>
      </c>
      <c r="HT245" t="e">
        <f>AND(#REF!,"AAAAAFv3/+M=")</f>
        <v>#REF!</v>
      </c>
      <c r="HU245" t="e">
        <f>AND(#REF!,"AAAAAFv3/+Q=")</f>
        <v>#REF!</v>
      </c>
      <c r="HV245" t="e">
        <f>AND(#REF!,"AAAAAFv3/+U=")</f>
        <v>#REF!</v>
      </c>
      <c r="HW245" t="e">
        <f>AND(#REF!,"AAAAAFv3/+Y=")</f>
        <v>#REF!</v>
      </c>
      <c r="HX245" t="e">
        <f>AND(#REF!,"AAAAAFv3/+c=")</f>
        <v>#REF!</v>
      </c>
      <c r="HY245" t="e">
        <f>AND(#REF!,"AAAAAFv3/+g=")</f>
        <v>#REF!</v>
      </c>
      <c r="HZ245" t="e">
        <f>AND(#REF!,"AAAAAFv3/+k=")</f>
        <v>#REF!</v>
      </c>
      <c r="IA245" t="e">
        <f>AND(#REF!,"AAAAAFv3/+o=")</f>
        <v>#REF!</v>
      </c>
      <c r="IB245" t="e">
        <f>AND(#REF!,"AAAAAFv3/+s=")</f>
        <v>#REF!</v>
      </c>
      <c r="IC245" t="e">
        <f>AND(#REF!,"AAAAAFv3/+w=")</f>
        <v>#REF!</v>
      </c>
      <c r="ID245" t="e">
        <f>AND(#REF!,"AAAAAFv3/+0=")</f>
        <v>#REF!</v>
      </c>
      <c r="IE245" t="e">
        <f>AND(#REF!,"AAAAAFv3/+4=")</f>
        <v>#REF!</v>
      </c>
      <c r="IF245" t="e">
        <f>AND(#REF!,"AAAAAFv3/+8=")</f>
        <v>#REF!</v>
      </c>
      <c r="IG245" t="e">
        <f>AND(#REF!,"AAAAAFv3//A=")</f>
        <v>#REF!</v>
      </c>
      <c r="IH245" t="e">
        <f>AND(#REF!,"AAAAAFv3//E=")</f>
        <v>#REF!</v>
      </c>
      <c r="II245" t="e">
        <f>AND(#REF!,"AAAAAFv3//I=")</f>
        <v>#REF!</v>
      </c>
      <c r="IJ245" t="e">
        <f>AND(#REF!,"AAAAAFv3//M=")</f>
        <v>#REF!</v>
      </c>
      <c r="IK245" t="e">
        <f>AND(#REF!,"AAAAAFv3//Q=")</f>
        <v>#REF!</v>
      </c>
      <c r="IL245" t="e">
        <f>AND(#REF!,"AAAAAFv3//U=")</f>
        <v>#REF!</v>
      </c>
      <c r="IM245" t="e">
        <f>AND(#REF!,"AAAAAFv3//Y=")</f>
        <v>#REF!</v>
      </c>
      <c r="IN245" t="e">
        <f>AND(#REF!,"AAAAAFv3//c=")</f>
        <v>#REF!</v>
      </c>
      <c r="IO245" t="e">
        <f>AND(#REF!,"AAAAAFv3//g=")</f>
        <v>#REF!</v>
      </c>
      <c r="IP245" t="e">
        <f>AND(#REF!,"AAAAAFv3//k=")</f>
        <v>#REF!</v>
      </c>
      <c r="IQ245" t="e">
        <f>AND(#REF!,"AAAAAFv3//o=")</f>
        <v>#REF!</v>
      </c>
      <c r="IR245" t="e">
        <f>AND(#REF!,"AAAAAFv3//s=")</f>
        <v>#REF!</v>
      </c>
      <c r="IS245" t="e">
        <f>AND(#REF!,"AAAAAFv3//w=")</f>
        <v>#REF!</v>
      </c>
      <c r="IT245" t="e">
        <f>AND(#REF!,"AAAAAFv3//0=")</f>
        <v>#REF!</v>
      </c>
      <c r="IU245" t="e">
        <f>AND(#REF!,"AAAAAFv3//4=")</f>
        <v>#REF!</v>
      </c>
      <c r="IV245" t="e">
        <f>AND(#REF!,"AAAAAFv3//8=")</f>
        <v>#REF!</v>
      </c>
    </row>
    <row r="246" spans="1:256">
      <c r="A246" t="e">
        <f>AND(#REF!,"AAAAAGf/vwA=")</f>
        <v>#REF!</v>
      </c>
      <c r="B246" t="e">
        <f>AND(#REF!,"AAAAAGf/vwE=")</f>
        <v>#REF!</v>
      </c>
      <c r="C246" t="e">
        <f>AND(#REF!,"AAAAAGf/vwI=")</f>
        <v>#REF!</v>
      </c>
      <c r="D246" t="e">
        <f>AND(#REF!,"AAAAAGf/vwM=")</f>
        <v>#REF!</v>
      </c>
      <c r="E246" t="e">
        <f>AND(#REF!,"AAAAAGf/vwQ=")</f>
        <v>#REF!</v>
      </c>
      <c r="F246" t="e">
        <f>AND(#REF!,"AAAAAGf/vwU=")</f>
        <v>#REF!</v>
      </c>
      <c r="G246" t="e">
        <f>AND(#REF!,"AAAAAGf/vwY=")</f>
        <v>#REF!</v>
      </c>
      <c r="H246" t="e">
        <f>AND(#REF!,"AAAAAGf/vwc=")</f>
        <v>#REF!</v>
      </c>
      <c r="I246" t="e">
        <f>AND(#REF!,"AAAAAGf/vwg=")</f>
        <v>#REF!</v>
      </c>
      <c r="J246" t="e">
        <f>AND(#REF!,"AAAAAGf/vwk=")</f>
        <v>#REF!</v>
      </c>
      <c r="K246" t="e">
        <f>AND(#REF!,"AAAAAGf/vwo=")</f>
        <v>#REF!</v>
      </c>
      <c r="L246" t="e">
        <f>AND(#REF!,"AAAAAGf/vws=")</f>
        <v>#REF!</v>
      </c>
      <c r="M246" t="e">
        <f>AND(#REF!,"AAAAAGf/vww=")</f>
        <v>#REF!</v>
      </c>
      <c r="N246" t="e">
        <f>AND(#REF!,"AAAAAGf/vw0=")</f>
        <v>#REF!</v>
      </c>
      <c r="O246" t="e">
        <f>AND(#REF!,"AAAAAGf/vw4=")</f>
        <v>#REF!</v>
      </c>
      <c r="P246" t="e">
        <f>AND(#REF!,"AAAAAGf/vw8=")</f>
        <v>#REF!</v>
      </c>
      <c r="Q246" t="e">
        <f>AND(#REF!,"AAAAAGf/vxA=")</f>
        <v>#REF!</v>
      </c>
      <c r="R246" t="e">
        <f>AND(#REF!,"AAAAAGf/vxE=")</f>
        <v>#REF!</v>
      </c>
      <c r="S246" t="e">
        <f>AND(#REF!,"AAAAAGf/vxI=")</f>
        <v>#REF!</v>
      </c>
      <c r="T246" t="e">
        <f>AND(#REF!,"AAAAAGf/vxM=")</f>
        <v>#REF!</v>
      </c>
      <c r="U246" t="e">
        <f>AND(#REF!,"AAAAAGf/vxQ=")</f>
        <v>#REF!</v>
      </c>
      <c r="V246" t="e">
        <f>AND(#REF!,"AAAAAGf/vxU=")</f>
        <v>#REF!</v>
      </c>
      <c r="W246" t="e">
        <f>AND(#REF!,"AAAAAGf/vxY=")</f>
        <v>#REF!</v>
      </c>
      <c r="X246" t="e">
        <f>AND(#REF!,"AAAAAGf/vxc=")</f>
        <v>#REF!</v>
      </c>
      <c r="Y246" t="e">
        <f>AND(#REF!,"AAAAAGf/vxg=")</f>
        <v>#REF!</v>
      </c>
      <c r="Z246" t="e">
        <f>AND(#REF!,"AAAAAGf/vxk=")</f>
        <v>#REF!</v>
      </c>
      <c r="AA246" t="e">
        <f>AND(#REF!,"AAAAAGf/vxo=")</f>
        <v>#REF!</v>
      </c>
      <c r="AB246" t="e">
        <f>AND(#REF!,"AAAAAGf/vxs=")</f>
        <v>#REF!</v>
      </c>
      <c r="AC246" t="e">
        <f>AND(#REF!,"AAAAAGf/vxw=")</f>
        <v>#REF!</v>
      </c>
      <c r="AD246" t="e">
        <f>AND(#REF!,"AAAAAGf/vx0=")</f>
        <v>#REF!</v>
      </c>
      <c r="AE246" t="e">
        <f>AND(#REF!,"AAAAAGf/vx4=")</f>
        <v>#REF!</v>
      </c>
      <c r="AF246" t="e">
        <f>AND(#REF!,"AAAAAGf/vx8=")</f>
        <v>#REF!</v>
      </c>
      <c r="AG246" t="e">
        <f>AND(#REF!,"AAAAAGf/vyA=")</f>
        <v>#REF!</v>
      </c>
      <c r="AH246" t="e">
        <f>AND(#REF!,"AAAAAGf/vyE=")</f>
        <v>#REF!</v>
      </c>
      <c r="AI246" t="e">
        <f>AND(#REF!,"AAAAAGf/vyI=")</f>
        <v>#REF!</v>
      </c>
      <c r="AJ246" t="e">
        <f>AND(#REF!,"AAAAAGf/vyM=")</f>
        <v>#REF!</v>
      </c>
      <c r="AK246" t="e">
        <f>AND(#REF!,"AAAAAGf/vyQ=")</f>
        <v>#REF!</v>
      </c>
      <c r="AL246" t="e">
        <f>AND(#REF!,"AAAAAGf/vyU=")</f>
        <v>#REF!</v>
      </c>
      <c r="AM246" t="e">
        <f>AND(#REF!,"AAAAAGf/vyY=")</f>
        <v>#REF!</v>
      </c>
      <c r="AN246" t="e">
        <f>AND(#REF!,"AAAAAGf/vyc=")</f>
        <v>#REF!</v>
      </c>
      <c r="AO246" t="e">
        <f>AND(#REF!,"AAAAAGf/vyg=")</f>
        <v>#REF!</v>
      </c>
      <c r="AP246" t="e">
        <f>AND(#REF!,"AAAAAGf/vyk=")</f>
        <v>#REF!</v>
      </c>
      <c r="AQ246" t="e">
        <f>AND(#REF!,"AAAAAGf/vyo=")</f>
        <v>#REF!</v>
      </c>
      <c r="AR246" t="e">
        <f>AND(#REF!,"AAAAAGf/vys=")</f>
        <v>#REF!</v>
      </c>
      <c r="AS246" t="e">
        <f>AND(#REF!,"AAAAAGf/vyw=")</f>
        <v>#REF!</v>
      </c>
      <c r="AT246" t="e">
        <f>AND(#REF!,"AAAAAGf/vy0=")</f>
        <v>#REF!</v>
      </c>
      <c r="AU246" t="e">
        <f>AND(#REF!,"AAAAAGf/vy4=")</f>
        <v>#REF!</v>
      </c>
      <c r="AV246" t="e">
        <f>AND(#REF!,"AAAAAGf/vy8=")</f>
        <v>#REF!</v>
      </c>
      <c r="AW246" t="e">
        <f>AND(#REF!,"AAAAAGf/vzA=")</f>
        <v>#REF!</v>
      </c>
      <c r="AX246" t="e">
        <f>AND(#REF!,"AAAAAGf/vzE=")</f>
        <v>#REF!</v>
      </c>
      <c r="AY246" t="e">
        <f>AND(#REF!,"AAAAAGf/vzI=")</f>
        <v>#REF!</v>
      </c>
      <c r="AZ246" t="e">
        <f>AND(#REF!,"AAAAAGf/vzM=")</f>
        <v>#REF!</v>
      </c>
      <c r="BA246" t="e">
        <f>AND(#REF!,"AAAAAGf/vzQ=")</f>
        <v>#REF!</v>
      </c>
      <c r="BB246" t="e">
        <f>AND(#REF!,"AAAAAGf/vzU=")</f>
        <v>#REF!</v>
      </c>
      <c r="BC246" t="e">
        <f>AND(#REF!,"AAAAAGf/vzY=")</f>
        <v>#REF!</v>
      </c>
      <c r="BD246" t="e">
        <f>AND(#REF!,"AAAAAGf/vzc=")</f>
        <v>#REF!</v>
      </c>
      <c r="BE246" t="e">
        <f>AND(#REF!,"AAAAAGf/vzg=")</f>
        <v>#REF!</v>
      </c>
      <c r="BF246" t="e">
        <f>AND(#REF!,"AAAAAGf/vzk=")</f>
        <v>#REF!</v>
      </c>
      <c r="BG246" t="e">
        <f>AND(#REF!,"AAAAAGf/vzo=")</f>
        <v>#REF!</v>
      </c>
      <c r="BH246" t="e">
        <f>AND(#REF!,"AAAAAGf/vzs=")</f>
        <v>#REF!</v>
      </c>
      <c r="BI246" t="e">
        <f>AND(#REF!,"AAAAAGf/vzw=")</f>
        <v>#REF!</v>
      </c>
      <c r="BJ246" t="e">
        <f>AND(#REF!,"AAAAAGf/vz0=")</f>
        <v>#REF!</v>
      </c>
      <c r="BK246" t="e">
        <f>AND(#REF!,"AAAAAGf/vz4=")</f>
        <v>#REF!</v>
      </c>
      <c r="BL246" t="e">
        <f>AND(#REF!,"AAAAAGf/vz8=")</f>
        <v>#REF!</v>
      </c>
      <c r="BM246" t="e">
        <f>AND(#REF!,"AAAAAGf/v0A=")</f>
        <v>#REF!</v>
      </c>
      <c r="BN246" t="e">
        <f>AND(#REF!,"AAAAAGf/v0E=")</f>
        <v>#REF!</v>
      </c>
      <c r="BO246" t="e">
        <f>AND(#REF!,"AAAAAGf/v0I=")</f>
        <v>#REF!</v>
      </c>
      <c r="BP246" t="e">
        <f>AND(#REF!,"AAAAAGf/v0M=")</f>
        <v>#REF!</v>
      </c>
      <c r="BQ246" t="e">
        <f>AND(#REF!,"AAAAAGf/v0Q=")</f>
        <v>#REF!</v>
      </c>
      <c r="BR246" t="e">
        <f>AND(#REF!,"AAAAAGf/v0U=")</f>
        <v>#REF!</v>
      </c>
      <c r="BS246" t="e">
        <f>AND(#REF!,"AAAAAGf/v0Y=")</f>
        <v>#REF!</v>
      </c>
      <c r="BT246" t="e">
        <f>AND(#REF!,"AAAAAGf/v0c=")</f>
        <v>#REF!</v>
      </c>
      <c r="BU246" t="e">
        <f>AND(#REF!,"AAAAAGf/v0g=")</f>
        <v>#REF!</v>
      </c>
      <c r="BV246" t="e">
        <f>AND(#REF!,"AAAAAGf/v0k=")</f>
        <v>#REF!</v>
      </c>
      <c r="BW246" t="e">
        <f>AND(#REF!,"AAAAAGf/v0o=")</f>
        <v>#REF!</v>
      </c>
      <c r="BX246" t="e">
        <f>AND(#REF!,"AAAAAGf/v0s=")</f>
        <v>#REF!</v>
      </c>
      <c r="BY246" t="e">
        <f>AND(#REF!,"AAAAAGf/v0w=")</f>
        <v>#REF!</v>
      </c>
      <c r="BZ246" t="e">
        <f>AND(#REF!,"AAAAAGf/v00=")</f>
        <v>#REF!</v>
      </c>
      <c r="CA246" t="e">
        <f>AND(#REF!,"AAAAAGf/v04=")</f>
        <v>#REF!</v>
      </c>
      <c r="CB246" t="e">
        <f>AND(#REF!,"AAAAAGf/v08=")</f>
        <v>#REF!</v>
      </c>
      <c r="CC246" t="e">
        <f>AND(#REF!,"AAAAAGf/v1A=")</f>
        <v>#REF!</v>
      </c>
      <c r="CD246" t="e">
        <f>AND(#REF!,"AAAAAGf/v1E=")</f>
        <v>#REF!</v>
      </c>
      <c r="CE246" t="e">
        <f>AND(#REF!,"AAAAAGf/v1I=")</f>
        <v>#REF!</v>
      </c>
      <c r="CF246" t="e">
        <f>AND(#REF!,"AAAAAGf/v1M=")</f>
        <v>#REF!</v>
      </c>
      <c r="CG246" t="e">
        <f>AND(#REF!,"AAAAAGf/v1Q=")</f>
        <v>#REF!</v>
      </c>
      <c r="CH246" t="e">
        <f>AND(#REF!,"AAAAAGf/v1U=")</f>
        <v>#REF!</v>
      </c>
      <c r="CI246" t="e">
        <f>AND(#REF!,"AAAAAGf/v1Y=")</f>
        <v>#REF!</v>
      </c>
      <c r="CJ246" t="e">
        <f>AND(#REF!,"AAAAAGf/v1c=")</f>
        <v>#REF!</v>
      </c>
      <c r="CK246" t="e">
        <f>AND(#REF!,"AAAAAGf/v1g=")</f>
        <v>#REF!</v>
      </c>
      <c r="CL246" t="e">
        <f>AND(#REF!,"AAAAAGf/v1k=")</f>
        <v>#REF!</v>
      </c>
      <c r="CM246" t="e">
        <f>AND(#REF!,"AAAAAGf/v1o=")</f>
        <v>#REF!</v>
      </c>
      <c r="CN246" t="e">
        <f>AND(#REF!,"AAAAAGf/v1s=")</f>
        <v>#REF!</v>
      </c>
      <c r="CO246" t="e">
        <f>AND(#REF!,"AAAAAGf/v1w=")</f>
        <v>#REF!</v>
      </c>
      <c r="CP246" t="e">
        <f>AND(#REF!,"AAAAAGf/v10=")</f>
        <v>#REF!</v>
      </c>
      <c r="CQ246" t="e">
        <f>AND(#REF!,"AAAAAGf/v14=")</f>
        <v>#REF!</v>
      </c>
      <c r="CR246" t="e">
        <f>AND(#REF!,"AAAAAGf/v18=")</f>
        <v>#REF!</v>
      </c>
      <c r="CS246" t="e">
        <f>AND(#REF!,"AAAAAGf/v2A=")</f>
        <v>#REF!</v>
      </c>
      <c r="CT246" t="e">
        <f>AND(#REF!,"AAAAAGf/v2E=")</f>
        <v>#REF!</v>
      </c>
      <c r="CU246" t="e">
        <f>AND(#REF!,"AAAAAGf/v2I=")</f>
        <v>#REF!</v>
      </c>
      <c r="CV246" t="e">
        <f>AND(#REF!,"AAAAAGf/v2M=")</f>
        <v>#REF!</v>
      </c>
      <c r="CW246" t="e">
        <f>AND(#REF!,"AAAAAGf/v2Q=")</f>
        <v>#REF!</v>
      </c>
      <c r="CX246" t="e">
        <f>AND(#REF!,"AAAAAGf/v2U=")</f>
        <v>#REF!</v>
      </c>
      <c r="CY246" t="e">
        <f>AND(#REF!,"AAAAAGf/v2Y=")</f>
        <v>#REF!</v>
      </c>
      <c r="CZ246" t="e">
        <f>AND(#REF!,"AAAAAGf/v2c=")</f>
        <v>#REF!</v>
      </c>
      <c r="DA246" t="e">
        <f>AND(#REF!,"AAAAAGf/v2g=")</f>
        <v>#REF!</v>
      </c>
      <c r="DB246" t="e">
        <f>AND(#REF!,"AAAAAGf/v2k=")</f>
        <v>#REF!</v>
      </c>
      <c r="DC246" t="e">
        <f>AND(#REF!,"AAAAAGf/v2o=")</f>
        <v>#REF!</v>
      </c>
      <c r="DD246" t="e">
        <f>AND(#REF!,"AAAAAGf/v2s=")</f>
        <v>#REF!</v>
      </c>
      <c r="DE246" t="e">
        <f>AND(#REF!,"AAAAAGf/v2w=")</f>
        <v>#REF!</v>
      </c>
      <c r="DF246" t="e">
        <f>AND(#REF!,"AAAAAGf/v20=")</f>
        <v>#REF!</v>
      </c>
      <c r="DG246" t="e">
        <f>AND(#REF!,"AAAAAGf/v24=")</f>
        <v>#REF!</v>
      </c>
      <c r="DH246" t="e">
        <f>AND(#REF!,"AAAAAGf/v28=")</f>
        <v>#REF!</v>
      </c>
      <c r="DI246" t="e">
        <f>AND(#REF!,"AAAAAGf/v3A=")</f>
        <v>#REF!</v>
      </c>
      <c r="DJ246" t="e">
        <f>AND(#REF!,"AAAAAGf/v3E=")</f>
        <v>#REF!</v>
      </c>
      <c r="DK246" t="e">
        <f>AND(#REF!,"AAAAAGf/v3I=")</f>
        <v>#REF!</v>
      </c>
      <c r="DL246" t="e">
        <f>AND(#REF!,"AAAAAGf/v3M=")</f>
        <v>#REF!</v>
      </c>
      <c r="DM246" t="e">
        <f>AND(#REF!,"AAAAAGf/v3Q=")</f>
        <v>#REF!</v>
      </c>
      <c r="DN246" t="e">
        <f>AND(#REF!,"AAAAAGf/v3U=")</f>
        <v>#REF!</v>
      </c>
      <c r="DO246" t="e">
        <f>AND(#REF!,"AAAAAGf/v3Y=")</f>
        <v>#REF!</v>
      </c>
      <c r="DP246" t="e">
        <f>AND(#REF!,"AAAAAGf/v3c=")</f>
        <v>#REF!</v>
      </c>
      <c r="DQ246" t="e">
        <f>AND(#REF!,"AAAAAGf/v3g=")</f>
        <v>#REF!</v>
      </c>
      <c r="DR246" t="e">
        <f>AND(#REF!,"AAAAAGf/v3k=")</f>
        <v>#REF!</v>
      </c>
      <c r="DS246" t="e">
        <f>AND(#REF!,"AAAAAGf/v3o=")</f>
        <v>#REF!</v>
      </c>
      <c r="DT246" t="e">
        <f>AND(#REF!,"AAAAAGf/v3s=")</f>
        <v>#REF!</v>
      </c>
      <c r="DU246" t="e">
        <f>AND(#REF!,"AAAAAGf/v3w=")</f>
        <v>#REF!</v>
      </c>
      <c r="DV246" t="e">
        <f>AND(#REF!,"AAAAAGf/v30=")</f>
        <v>#REF!</v>
      </c>
      <c r="DW246" t="e">
        <f>AND(#REF!,"AAAAAGf/v34=")</f>
        <v>#REF!</v>
      </c>
      <c r="DX246" t="e">
        <f>AND(#REF!,"AAAAAGf/v38=")</f>
        <v>#REF!</v>
      </c>
      <c r="DY246" t="e">
        <f>AND(#REF!,"AAAAAGf/v4A=")</f>
        <v>#REF!</v>
      </c>
      <c r="DZ246" t="e">
        <f>AND(#REF!,"AAAAAGf/v4E=")</f>
        <v>#REF!</v>
      </c>
      <c r="EA246" t="e">
        <f>AND(#REF!,"AAAAAGf/v4I=")</f>
        <v>#REF!</v>
      </c>
      <c r="EB246" t="e">
        <f>AND(#REF!,"AAAAAGf/v4M=")</f>
        <v>#REF!</v>
      </c>
      <c r="EC246" t="e">
        <f>AND(#REF!,"AAAAAGf/v4Q=")</f>
        <v>#REF!</v>
      </c>
      <c r="ED246" t="e">
        <f>AND(#REF!,"AAAAAGf/v4U=")</f>
        <v>#REF!</v>
      </c>
      <c r="EE246" t="e">
        <f>AND(#REF!,"AAAAAGf/v4Y=")</f>
        <v>#REF!</v>
      </c>
      <c r="EF246" t="e">
        <f>AND(#REF!,"AAAAAGf/v4c=")</f>
        <v>#REF!</v>
      </c>
      <c r="EG246" t="e">
        <f>AND(#REF!,"AAAAAGf/v4g=")</f>
        <v>#REF!</v>
      </c>
      <c r="EH246" t="e">
        <f>AND(#REF!,"AAAAAGf/v4k=")</f>
        <v>#REF!</v>
      </c>
      <c r="EI246" t="e">
        <f>AND(#REF!,"AAAAAGf/v4o=")</f>
        <v>#REF!</v>
      </c>
      <c r="EJ246" t="e">
        <f>AND(#REF!,"AAAAAGf/v4s=")</f>
        <v>#REF!</v>
      </c>
      <c r="EK246" t="e">
        <f>AND(#REF!,"AAAAAGf/v4w=")</f>
        <v>#REF!</v>
      </c>
      <c r="EL246" t="e">
        <f>AND(#REF!,"AAAAAGf/v40=")</f>
        <v>#REF!</v>
      </c>
      <c r="EM246" t="e">
        <f>AND(#REF!,"AAAAAGf/v44=")</f>
        <v>#REF!</v>
      </c>
      <c r="EN246" t="e">
        <f>AND(#REF!,"AAAAAGf/v48=")</f>
        <v>#REF!</v>
      </c>
      <c r="EO246" t="e">
        <f>AND(#REF!,"AAAAAGf/v5A=")</f>
        <v>#REF!</v>
      </c>
      <c r="EP246" t="e">
        <f>AND(#REF!,"AAAAAGf/v5E=")</f>
        <v>#REF!</v>
      </c>
      <c r="EQ246" t="e">
        <f>AND(#REF!,"AAAAAGf/v5I=")</f>
        <v>#REF!</v>
      </c>
      <c r="ER246" t="e">
        <f>AND(#REF!,"AAAAAGf/v5M=")</f>
        <v>#REF!</v>
      </c>
      <c r="ES246" t="e">
        <f>AND(#REF!,"AAAAAGf/v5Q=")</f>
        <v>#REF!</v>
      </c>
      <c r="ET246" t="e">
        <f>AND(#REF!,"AAAAAGf/v5U=")</f>
        <v>#REF!</v>
      </c>
      <c r="EU246" t="e">
        <f>IF(#REF!,"AAAAAGf/v5Y=",0)</f>
        <v>#REF!</v>
      </c>
      <c r="EV246" t="e">
        <f>AND(#REF!,"AAAAAGf/v5c=")</f>
        <v>#REF!</v>
      </c>
      <c r="EW246" t="e">
        <f>AND(#REF!,"AAAAAGf/v5g=")</f>
        <v>#REF!</v>
      </c>
      <c r="EX246" t="e">
        <f>AND(#REF!,"AAAAAGf/v5k=")</f>
        <v>#REF!</v>
      </c>
      <c r="EY246" t="e">
        <f>AND(#REF!,"AAAAAGf/v5o=")</f>
        <v>#REF!</v>
      </c>
      <c r="EZ246" t="e">
        <f>AND(#REF!,"AAAAAGf/v5s=")</f>
        <v>#REF!</v>
      </c>
      <c r="FA246" t="e">
        <f>AND(#REF!,"AAAAAGf/v5w=")</f>
        <v>#REF!</v>
      </c>
      <c r="FB246" t="e">
        <f>AND(#REF!,"AAAAAGf/v50=")</f>
        <v>#REF!</v>
      </c>
      <c r="FC246" t="e">
        <f>AND(#REF!,"AAAAAGf/v54=")</f>
        <v>#REF!</v>
      </c>
      <c r="FD246" t="e">
        <f>AND(#REF!,"AAAAAGf/v58=")</f>
        <v>#REF!</v>
      </c>
      <c r="FE246" t="e">
        <f>AND(#REF!,"AAAAAGf/v6A=")</f>
        <v>#REF!</v>
      </c>
      <c r="FF246" t="e">
        <f>AND(#REF!,"AAAAAGf/v6E=")</f>
        <v>#REF!</v>
      </c>
      <c r="FG246" t="e">
        <f>AND(#REF!,"AAAAAGf/v6I=")</f>
        <v>#REF!</v>
      </c>
      <c r="FH246" t="e">
        <f>AND(#REF!,"AAAAAGf/v6M=")</f>
        <v>#REF!</v>
      </c>
      <c r="FI246" t="e">
        <f>AND(#REF!,"AAAAAGf/v6Q=")</f>
        <v>#REF!</v>
      </c>
      <c r="FJ246" t="e">
        <f>AND(#REF!,"AAAAAGf/v6U=")</f>
        <v>#REF!</v>
      </c>
      <c r="FK246" t="e">
        <f>AND(#REF!,"AAAAAGf/v6Y=")</f>
        <v>#REF!</v>
      </c>
      <c r="FL246" t="e">
        <f>AND(#REF!,"AAAAAGf/v6c=")</f>
        <v>#REF!</v>
      </c>
      <c r="FM246" t="e">
        <f>AND(#REF!,"AAAAAGf/v6g=")</f>
        <v>#REF!</v>
      </c>
      <c r="FN246" t="e">
        <f>AND(#REF!,"AAAAAGf/v6k=")</f>
        <v>#REF!</v>
      </c>
      <c r="FO246" t="e">
        <f>AND(#REF!,"AAAAAGf/v6o=")</f>
        <v>#REF!</v>
      </c>
      <c r="FP246" t="e">
        <f>AND(#REF!,"AAAAAGf/v6s=")</f>
        <v>#REF!</v>
      </c>
      <c r="FQ246" t="e">
        <f>AND(#REF!,"AAAAAGf/v6w=")</f>
        <v>#REF!</v>
      </c>
      <c r="FR246" t="e">
        <f>AND(#REF!,"AAAAAGf/v60=")</f>
        <v>#REF!</v>
      </c>
      <c r="FS246" t="e">
        <f>AND(#REF!,"AAAAAGf/v64=")</f>
        <v>#REF!</v>
      </c>
      <c r="FT246" t="e">
        <f>AND(#REF!,"AAAAAGf/v68=")</f>
        <v>#REF!</v>
      </c>
      <c r="FU246" t="e">
        <f>AND(#REF!,"AAAAAGf/v7A=")</f>
        <v>#REF!</v>
      </c>
      <c r="FV246" t="e">
        <f>AND(#REF!,"AAAAAGf/v7E=")</f>
        <v>#REF!</v>
      </c>
      <c r="FW246" t="e">
        <f>AND(#REF!,"AAAAAGf/v7I=")</f>
        <v>#REF!</v>
      </c>
      <c r="FX246" t="e">
        <f>AND(#REF!,"AAAAAGf/v7M=")</f>
        <v>#REF!</v>
      </c>
      <c r="FY246" t="e">
        <f>AND(#REF!,"AAAAAGf/v7Q=")</f>
        <v>#REF!</v>
      </c>
      <c r="FZ246" t="e">
        <f>AND(#REF!,"AAAAAGf/v7U=")</f>
        <v>#REF!</v>
      </c>
      <c r="GA246" t="e">
        <f>AND(#REF!,"AAAAAGf/v7Y=")</f>
        <v>#REF!</v>
      </c>
      <c r="GB246" t="e">
        <f>AND(#REF!,"AAAAAGf/v7c=")</f>
        <v>#REF!</v>
      </c>
      <c r="GC246" t="e">
        <f>AND(#REF!,"AAAAAGf/v7g=")</f>
        <v>#REF!</v>
      </c>
      <c r="GD246" t="e">
        <f>AND(#REF!,"AAAAAGf/v7k=")</f>
        <v>#REF!</v>
      </c>
      <c r="GE246" t="e">
        <f>AND(#REF!,"AAAAAGf/v7o=")</f>
        <v>#REF!</v>
      </c>
      <c r="GF246" t="e">
        <f>AND(#REF!,"AAAAAGf/v7s=")</f>
        <v>#REF!</v>
      </c>
      <c r="GG246" t="e">
        <f>AND(#REF!,"AAAAAGf/v7w=")</f>
        <v>#REF!</v>
      </c>
      <c r="GH246" t="e">
        <f>AND(#REF!,"AAAAAGf/v70=")</f>
        <v>#REF!</v>
      </c>
      <c r="GI246" t="e">
        <f>AND(#REF!,"AAAAAGf/v74=")</f>
        <v>#REF!</v>
      </c>
      <c r="GJ246" t="e">
        <f>AND(#REF!,"AAAAAGf/v78=")</f>
        <v>#REF!</v>
      </c>
      <c r="GK246" t="e">
        <f>AND(#REF!,"AAAAAGf/v8A=")</f>
        <v>#REF!</v>
      </c>
      <c r="GL246" t="e">
        <f>AND(#REF!,"AAAAAGf/v8E=")</f>
        <v>#REF!</v>
      </c>
      <c r="GM246" t="e">
        <f>AND(#REF!,"AAAAAGf/v8I=")</f>
        <v>#REF!</v>
      </c>
      <c r="GN246" t="e">
        <f>AND(#REF!,"AAAAAGf/v8M=")</f>
        <v>#REF!</v>
      </c>
      <c r="GO246" t="e">
        <f>AND(#REF!,"AAAAAGf/v8Q=")</f>
        <v>#REF!</v>
      </c>
      <c r="GP246" t="e">
        <f>AND(#REF!,"AAAAAGf/v8U=")</f>
        <v>#REF!</v>
      </c>
      <c r="GQ246" t="e">
        <f>AND(#REF!,"AAAAAGf/v8Y=")</f>
        <v>#REF!</v>
      </c>
      <c r="GR246" t="e">
        <f>AND(#REF!,"AAAAAGf/v8c=")</f>
        <v>#REF!</v>
      </c>
      <c r="GS246" t="e">
        <f>AND(#REF!,"AAAAAGf/v8g=")</f>
        <v>#REF!</v>
      </c>
      <c r="GT246" t="e">
        <f>AND(#REF!,"AAAAAGf/v8k=")</f>
        <v>#REF!</v>
      </c>
      <c r="GU246" t="e">
        <f>AND(#REF!,"AAAAAGf/v8o=")</f>
        <v>#REF!</v>
      </c>
      <c r="GV246" t="e">
        <f>AND(#REF!,"AAAAAGf/v8s=")</f>
        <v>#REF!</v>
      </c>
      <c r="GW246" t="e">
        <f>AND(#REF!,"AAAAAGf/v8w=")</f>
        <v>#REF!</v>
      </c>
      <c r="GX246" t="e">
        <f>AND(#REF!,"AAAAAGf/v80=")</f>
        <v>#REF!</v>
      </c>
      <c r="GY246" t="e">
        <f>AND(#REF!,"AAAAAGf/v84=")</f>
        <v>#REF!</v>
      </c>
      <c r="GZ246" t="e">
        <f>AND(#REF!,"AAAAAGf/v88=")</f>
        <v>#REF!</v>
      </c>
      <c r="HA246" t="e">
        <f>AND(#REF!,"AAAAAGf/v9A=")</f>
        <v>#REF!</v>
      </c>
      <c r="HB246" t="e">
        <f>AND(#REF!,"AAAAAGf/v9E=")</f>
        <v>#REF!</v>
      </c>
      <c r="HC246" t="e">
        <f>AND(#REF!,"AAAAAGf/v9I=")</f>
        <v>#REF!</v>
      </c>
      <c r="HD246" t="e">
        <f>AND(#REF!,"AAAAAGf/v9M=")</f>
        <v>#REF!</v>
      </c>
      <c r="HE246" t="e">
        <f>AND(#REF!,"AAAAAGf/v9Q=")</f>
        <v>#REF!</v>
      </c>
      <c r="HF246" t="e">
        <f>AND(#REF!,"AAAAAGf/v9U=")</f>
        <v>#REF!</v>
      </c>
      <c r="HG246" t="e">
        <f>AND(#REF!,"AAAAAGf/v9Y=")</f>
        <v>#REF!</v>
      </c>
      <c r="HH246" t="e">
        <f>AND(#REF!,"AAAAAGf/v9c=")</f>
        <v>#REF!</v>
      </c>
      <c r="HI246" t="e">
        <f>AND(#REF!,"AAAAAGf/v9g=")</f>
        <v>#REF!</v>
      </c>
      <c r="HJ246" t="e">
        <f>AND(#REF!,"AAAAAGf/v9k=")</f>
        <v>#REF!</v>
      </c>
      <c r="HK246" t="e">
        <f>AND(#REF!,"AAAAAGf/v9o=")</f>
        <v>#REF!</v>
      </c>
      <c r="HL246" t="e">
        <f>AND(#REF!,"AAAAAGf/v9s=")</f>
        <v>#REF!</v>
      </c>
      <c r="HM246" t="e">
        <f>AND(#REF!,"AAAAAGf/v9w=")</f>
        <v>#REF!</v>
      </c>
      <c r="HN246" t="e">
        <f>AND(#REF!,"AAAAAGf/v90=")</f>
        <v>#REF!</v>
      </c>
      <c r="HO246" t="e">
        <f>AND(#REF!,"AAAAAGf/v94=")</f>
        <v>#REF!</v>
      </c>
      <c r="HP246" t="e">
        <f>AND(#REF!,"AAAAAGf/v98=")</f>
        <v>#REF!</v>
      </c>
      <c r="HQ246" t="e">
        <f>AND(#REF!,"AAAAAGf/v+A=")</f>
        <v>#REF!</v>
      </c>
      <c r="HR246" t="e">
        <f>AND(#REF!,"AAAAAGf/v+E=")</f>
        <v>#REF!</v>
      </c>
      <c r="HS246" t="e">
        <f>AND(#REF!,"AAAAAGf/v+I=")</f>
        <v>#REF!</v>
      </c>
      <c r="HT246" t="e">
        <f>AND(#REF!,"AAAAAGf/v+M=")</f>
        <v>#REF!</v>
      </c>
      <c r="HU246" t="e">
        <f>AND(#REF!,"AAAAAGf/v+Q=")</f>
        <v>#REF!</v>
      </c>
      <c r="HV246" t="e">
        <f>AND(#REF!,"AAAAAGf/v+U=")</f>
        <v>#REF!</v>
      </c>
      <c r="HW246" t="e">
        <f>AND(#REF!,"AAAAAGf/v+Y=")</f>
        <v>#REF!</v>
      </c>
      <c r="HX246" t="e">
        <f>AND(#REF!,"AAAAAGf/v+c=")</f>
        <v>#REF!</v>
      </c>
      <c r="HY246" t="e">
        <f>AND(#REF!,"AAAAAGf/v+g=")</f>
        <v>#REF!</v>
      </c>
      <c r="HZ246" t="e">
        <f>AND(#REF!,"AAAAAGf/v+k=")</f>
        <v>#REF!</v>
      </c>
      <c r="IA246" t="e">
        <f>AND(#REF!,"AAAAAGf/v+o=")</f>
        <v>#REF!</v>
      </c>
      <c r="IB246" t="e">
        <f>AND(#REF!,"AAAAAGf/v+s=")</f>
        <v>#REF!</v>
      </c>
      <c r="IC246" t="e">
        <f>AND(#REF!,"AAAAAGf/v+w=")</f>
        <v>#REF!</v>
      </c>
      <c r="ID246" t="e">
        <f>AND(#REF!,"AAAAAGf/v+0=")</f>
        <v>#REF!</v>
      </c>
      <c r="IE246" t="e">
        <f>AND(#REF!,"AAAAAGf/v+4=")</f>
        <v>#REF!</v>
      </c>
      <c r="IF246" t="e">
        <f>AND(#REF!,"AAAAAGf/v+8=")</f>
        <v>#REF!</v>
      </c>
      <c r="IG246" t="e">
        <f>AND(#REF!,"AAAAAGf/v/A=")</f>
        <v>#REF!</v>
      </c>
      <c r="IH246" t="e">
        <f>AND(#REF!,"AAAAAGf/v/E=")</f>
        <v>#REF!</v>
      </c>
      <c r="II246" t="e">
        <f>AND(#REF!,"AAAAAGf/v/I=")</f>
        <v>#REF!</v>
      </c>
      <c r="IJ246" t="e">
        <f>AND(#REF!,"AAAAAGf/v/M=")</f>
        <v>#REF!</v>
      </c>
      <c r="IK246" t="e">
        <f>AND(#REF!,"AAAAAGf/v/Q=")</f>
        <v>#REF!</v>
      </c>
      <c r="IL246" t="e">
        <f>AND(#REF!,"AAAAAGf/v/U=")</f>
        <v>#REF!</v>
      </c>
      <c r="IM246" t="e">
        <f>AND(#REF!,"AAAAAGf/v/Y=")</f>
        <v>#REF!</v>
      </c>
      <c r="IN246" t="e">
        <f>AND(#REF!,"AAAAAGf/v/c=")</f>
        <v>#REF!</v>
      </c>
      <c r="IO246" t="e">
        <f>AND(#REF!,"AAAAAGf/v/g=")</f>
        <v>#REF!</v>
      </c>
      <c r="IP246" t="e">
        <f>AND(#REF!,"AAAAAGf/v/k=")</f>
        <v>#REF!</v>
      </c>
      <c r="IQ246" t="e">
        <f>AND(#REF!,"AAAAAGf/v/o=")</f>
        <v>#REF!</v>
      </c>
      <c r="IR246" t="e">
        <f>AND(#REF!,"AAAAAGf/v/s=")</f>
        <v>#REF!</v>
      </c>
      <c r="IS246" t="e">
        <f>AND(#REF!,"AAAAAGf/v/w=")</f>
        <v>#REF!</v>
      </c>
      <c r="IT246" t="e">
        <f>AND(#REF!,"AAAAAGf/v/0=")</f>
        <v>#REF!</v>
      </c>
      <c r="IU246" t="e">
        <f>AND(#REF!,"AAAAAGf/v/4=")</f>
        <v>#REF!</v>
      </c>
      <c r="IV246" t="e">
        <f>AND(#REF!,"AAAAAGf/v/8=")</f>
        <v>#REF!</v>
      </c>
    </row>
    <row r="247" spans="1:256">
      <c r="A247" t="e">
        <f>AND(#REF!,"AAAAADf/pwA=")</f>
        <v>#REF!</v>
      </c>
      <c r="B247" t="e">
        <f>AND(#REF!,"AAAAADf/pwE=")</f>
        <v>#REF!</v>
      </c>
      <c r="C247" t="e">
        <f>AND(#REF!,"AAAAADf/pwI=")</f>
        <v>#REF!</v>
      </c>
      <c r="D247" t="e">
        <f>AND(#REF!,"AAAAADf/pwM=")</f>
        <v>#REF!</v>
      </c>
      <c r="E247" t="e">
        <f>AND(#REF!,"AAAAADf/pwQ=")</f>
        <v>#REF!</v>
      </c>
      <c r="F247" t="e">
        <f>AND(#REF!,"AAAAADf/pwU=")</f>
        <v>#REF!</v>
      </c>
      <c r="G247" t="e">
        <f>AND(#REF!,"AAAAADf/pwY=")</f>
        <v>#REF!</v>
      </c>
      <c r="H247" t="e">
        <f>AND(#REF!,"AAAAADf/pwc=")</f>
        <v>#REF!</v>
      </c>
      <c r="I247" t="e">
        <f>AND(#REF!,"AAAAADf/pwg=")</f>
        <v>#REF!</v>
      </c>
      <c r="J247" t="e">
        <f>AND(#REF!,"AAAAADf/pwk=")</f>
        <v>#REF!</v>
      </c>
      <c r="K247" t="e">
        <f>AND(#REF!,"AAAAADf/pwo=")</f>
        <v>#REF!</v>
      </c>
      <c r="L247" t="e">
        <f>AND(#REF!,"AAAAADf/pws=")</f>
        <v>#REF!</v>
      </c>
      <c r="M247" t="e">
        <f>AND(#REF!,"AAAAADf/pww=")</f>
        <v>#REF!</v>
      </c>
      <c r="N247" t="e">
        <f>AND(#REF!,"AAAAADf/pw0=")</f>
        <v>#REF!</v>
      </c>
      <c r="O247" t="e">
        <f>AND(#REF!,"AAAAADf/pw4=")</f>
        <v>#REF!</v>
      </c>
      <c r="P247" t="e">
        <f>AND(#REF!,"AAAAADf/pw8=")</f>
        <v>#REF!</v>
      </c>
      <c r="Q247" t="e">
        <f>AND(#REF!,"AAAAADf/pxA=")</f>
        <v>#REF!</v>
      </c>
      <c r="R247" t="e">
        <f>AND(#REF!,"AAAAADf/pxE=")</f>
        <v>#REF!</v>
      </c>
      <c r="S247" t="e">
        <f>AND(#REF!,"AAAAADf/pxI=")</f>
        <v>#REF!</v>
      </c>
      <c r="T247" t="e">
        <f>AND(#REF!,"AAAAADf/pxM=")</f>
        <v>#REF!</v>
      </c>
      <c r="U247" t="e">
        <f>AND(#REF!,"AAAAADf/pxQ=")</f>
        <v>#REF!</v>
      </c>
      <c r="V247" t="e">
        <f>AND(#REF!,"AAAAADf/pxU=")</f>
        <v>#REF!</v>
      </c>
      <c r="W247" t="e">
        <f>AND(#REF!,"AAAAADf/pxY=")</f>
        <v>#REF!</v>
      </c>
      <c r="X247" t="e">
        <f>AND(#REF!,"AAAAADf/pxc=")</f>
        <v>#REF!</v>
      </c>
      <c r="Y247" t="e">
        <f>AND(#REF!,"AAAAADf/pxg=")</f>
        <v>#REF!</v>
      </c>
      <c r="Z247" t="e">
        <f>AND(#REF!,"AAAAADf/pxk=")</f>
        <v>#REF!</v>
      </c>
      <c r="AA247" t="e">
        <f>AND(#REF!,"AAAAADf/pxo=")</f>
        <v>#REF!</v>
      </c>
      <c r="AB247" t="e">
        <f>AND(#REF!,"AAAAADf/pxs=")</f>
        <v>#REF!</v>
      </c>
      <c r="AC247" t="e">
        <f>AND(#REF!,"AAAAADf/pxw=")</f>
        <v>#REF!</v>
      </c>
      <c r="AD247" t="e">
        <f>AND(#REF!,"AAAAADf/px0=")</f>
        <v>#REF!</v>
      </c>
      <c r="AE247" t="e">
        <f>AND(#REF!,"AAAAADf/px4=")</f>
        <v>#REF!</v>
      </c>
      <c r="AF247" t="e">
        <f>AND(#REF!,"AAAAADf/px8=")</f>
        <v>#REF!</v>
      </c>
      <c r="AG247" t="e">
        <f>AND(#REF!,"AAAAADf/pyA=")</f>
        <v>#REF!</v>
      </c>
      <c r="AH247" t="e">
        <f>AND(#REF!,"AAAAADf/pyE=")</f>
        <v>#REF!</v>
      </c>
      <c r="AI247" t="e">
        <f>AND(#REF!,"AAAAADf/pyI=")</f>
        <v>#REF!</v>
      </c>
      <c r="AJ247" t="e">
        <f>AND(#REF!,"AAAAADf/pyM=")</f>
        <v>#REF!</v>
      </c>
      <c r="AK247" t="e">
        <f>AND(#REF!,"AAAAADf/pyQ=")</f>
        <v>#REF!</v>
      </c>
      <c r="AL247" t="e">
        <f>AND(#REF!,"AAAAADf/pyU=")</f>
        <v>#REF!</v>
      </c>
      <c r="AM247" t="e">
        <f>AND(#REF!,"AAAAADf/pyY=")</f>
        <v>#REF!</v>
      </c>
      <c r="AN247" t="e">
        <f>AND(#REF!,"AAAAADf/pyc=")</f>
        <v>#REF!</v>
      </c>
      <c r="AO247" t="e">
        <f>AND(#REF!,"AAAAADf/pyg=")</f>
        <v>#REF!</v>
      </c>
      <c r="AP247" t="e">
        <f>AND(#REF!,"AAAAADf/pyk=")</f>
        <v>#REF!</v>
      </c>
      <c r="AQ247" t="e">
        <f>AND(#REF!,"AAAAADf/pyo=")</f>
        <v>#REF!</v>
      </c>
      <c r="AR247" t="e">
        <f>AND(#REF!,"AAAAADf/pys=")</f>
        <v>#REF!</v>
      </c>
      <c r="AS247" t="e">
        <f>AND(#REF!,"AAAAADf/pyw=")</f>
        <v>#REF!</v>
      </c>
      <c r="AT247" t="e">
        <f>AND(#REF!,"AAAAADf/py0=")</f>
        <v>#REF!</v>
      </c>
      <c r="AU247" t="e">
        <f>AND(#REF!,"AAAAADf/py4=")</f>
        <v>#REF!</v>
      </c>
      <c r="AV247" t="e">
        <f>AND(#REF!,"AAAAADf/py8=")</f>
        <v>#REF!</v>
      </c>
      <c r="AW247" t="e">
        <f>AND(#REF!,"AAAAADf/pzA=")</f>
        <v>#REF!</v>
      </c>
      <c r="AX247" t="e">
        <f>AND(#REF!,"AAAAADf/pzE=")</f>
        <v>#REF!</v>
      </c>
      <c r="AY247" t="e">
        <f>AND(#REF!,"AAAAADf/pzI=")</f>
        <v>#REF!</v>
      </c>
      <c r="AZ247" t="e">
        <f>AND(#REF!,"AAAAADf/pzM=")</f>
        <v>#REF!</v>
      </c>
      <c r="BA247" t="e">
        <f>AND(#REF!,"AAAAADf/pzQ=")</f>
        <v>#REF!</v>
      </c>
      <c r="BB247" t="e">
        <f>AND(#REF!,"AAAAADf/pzU=")</f>
        <v>#REF!</v>
      </c>
      <c r="BC247" t="e">
        <f>AND(#REF!,"AAAAADf/pzY=")</f>
        <v>#REF!</v>
      </c>
      <c r="BD247" t="e">
        <f>AND(#REF!,"AAAAADf/pzc=")</f>
        <v>#REF!</v>
      </c>
      <c r="BE247" t="e">
        <f>AND(#REF!,"AAAAADf/pzg=")</f>
        <v>#REF!</v>
      </c>
      <c r="BF247" t="e">
        <f>AND(#REF!,"AAAAADf/pzk=")</f>
        <v>#REF!</v>
      </c>
      <c r="BG247" t="e">
        <f>AND(#REF!,"AAAAADf/pzo=")</f>
        <v>#REF!</v>
      </c>
      <c r="BH247" t="e">
        <f>AND(#REF!,"AAAAADf/pzs=")</f>
        <v>#REF!</v>
      </c>
      <c r="BI247" t="e">
        <f>AND(#REF!,"AAAAADf/pzw=")</f>
        <v>#REF!</v>
      </c>
      <c r="BJ247" t="e">
        <f>AND(#REF!,"AAAAADf/pz0=")</f>
        <v>#REF!</v>
      </c>
      <c r="BK247" t="e">
        <f>AND(#REF!,"AAAAADf/pz4=")</f>
        <v>#REF!</v>
      </c>
      <c r="BL247" t="e">
        <f>AND(#REF!,"AAAAADf/pz8=")</f>
        <v>#REF!</v>
      </c>
      <c r="BM247" t="e">
        <f>AND(#REF!,"AAAAADf/p0A=")</f>
        <v>#REF!</v>
      </c>
      <c r="BN247" t="e">
        <f>AND(#REF!,"AAAAADf/p0E=")</f>
        <v>#REF!</v>
      </c>
      <c r="BO247" t="e">
        <f>AND(#REF!,"AAAAADf/p0I=")</f>
        <v>#REF!</v>
      </c>
      <c r="BP247" t="e">
        <f>AND(#REF!,"AAAAADf/p0M=")</f>
        <v>#REF!</v>
      </c>
      <c r="BQ247" t="e">
        <f>AND(#REF!,"AAAAADf/p0Q=")</f>
        <v>#REF!</v>
      </c>
      <c r="BR247" t="e">
        <f>AND(#REF!,"AAAAADf/p0U=")</f>
        <v>#REF!</v>
      </c>
      <c r="BS247" t="e">
        <f>AND(#REF!,"AAAAADf/p0Y=")</f>
        <v>#REF!</v>
      </c>
      <c r="BT247" t="e">
        <f>AND(#REF!,"AAAAADf/p0c=")</f>
        <v>#REF!</v>
      </c>
      <c r="BU247" t="e">
        <f>AND(#REF!,"AAAAADf/p0g=")</f>
        <v>#REF!</v>
      </c>
      <c r="BV247" t="e">
        <f>AND(#REF!,"AAAAADf/p0k=")</f>
        <v>#REF!</v>
      </c>
      <c r="BW247" t="e">
        <f>AND(#REF!,"AAAAADf/p0o=")</f>
        <v>#REF!</v>
      </c>
      <c r="BX247" t="e">
        <f>AND(#REF!,"AAAAADf/p0s=")</f>
        <v>#REF!</v>
      </c>
      <c r="BY247" t="e">
        <f>AND(#REF!,"AAAAADf/p0w=")</f>
        <v>#REF!</v>
      </c>
      <c r="BZ247" t="e">
        <f>AND(#REF!,"AAAAADf/p00=")</f>
        <v>#REF!</v>
      </c>
      <c r="CA247" t="e">
        <f>AND(#REF!,"AAAAADf/p04=")</f>
        <v>#REF!</v>
      </c>
      <c r="CB247" t="e">
        <f>AND(#REF!,"AAAAADf/p08=")</f>
        <v>#REF!</v>
      </c>
      <c r="CC247" t="e">
        <f>AND(#REF!,"AAAAADf/p1A=")</f>
        <v>#REF!</v>
      </c>
      <c r="CD247" t="e">
        <f>AND(#REF!,"AAAAADf/p1E=")</f>
        <v>#REF!</v>
      </c>
      <c r="CE247" t="e">
        <f>AND(#REF!,"AAAAADf/p1I=")</f>
        <v>#REF!</v>
      </c>
      <c r="CF247" t="e">
        <f>AND(#REF!,"AAAAADf/p1M=")</f>
        <v>#REF!</v>
      </c>
      <c r="CG247" t="e">
        <f>AND(#REF!,"AAAAADf/p1Q=")</f>
        <v>#REF!</v>
      </c>
      <c r="CH247" t="e">
        <f>AND(#REF!,"AAAAADf/p1U=")</f>
        <v>#REF!</v>
      </c>
      <c r="CI247" t="e">
        <f>AND(#REF!,"AAAAADf/p1Y=")</f>
        <v>#REF!</v>
      </c>
      <c r="CJ247" t="e">
        <f>AND(#REF!,"AAAAADf/p1c=")</f>
        <v>#REF!</v>
      </c>
      <c r="CK247" t="e">
        <f>AND(#REF!,"AAAAADf/p1g=")</f>
        <v>#REF!</v>
      </c>
      <c r="CL247" t="e">
        <f>AND(#REF!,"AAAAADf/p1k=")</f>
        <v>#REF!</v>
      </c>
      <c r="CM247" t="e">
        <f>AND(#REF!,"AAAAADf/p1o=")</f>
        <v>#REF!</v>
      </c>
      <c r="CN247" t="e">
        <f>AND(#REF!,"AAAAADf/p1s=")</f>
        <v>#REF!</v>
      </c>
      <c r="CO247" t="e">
        <f>AND(#REF!,"AAAAADf/p1w=")</f>
        <v>#REF!</v>
      </c>
      <c r="CP247" t="e">
        <f>AND(#REF!,"AAAAADf/p10=")</f>
        <v>#REF!</v>
      </c>
      <c r="CQ247" t="e">
        <f>AND(#REF!,"AAAAADf/p14=")</f>
        <v>#REF!</v>
      </c>
      <c r="CR247" t="e">
        <f>AND(#REF!,"AAAAADf/p18=")</f>
        <v>#REF!</v>
      </c>
      <c r="CS247" t="e">
        <f>AND(#REF!,"AAAAADf/p2A=")</f>
        <v>#REF!</v>
      </c>
      <c r="CT247" t="e">
        <f>AND(#REF!,"AAAAADf/p2E=")</f>
        <v>#REF!</v>
      </c>
      <c r="CU247" t="e">
        <f>AND(#REF!,"AAAAADf/p2I=")</f>
        <v>#REF!</v>
      </c>
      <c r="CV247" t="e">
        <f>AND(#REF!,"AAAAADf/p2M=")</f>
        <v>#REF!</v>
      </c>
      <c r="CW247" t="e">
        <f>AND(#REF!,"AAAAADf/p2Q=")</f>
        <v>#REF!</v>
      </c>
      <c r="CX247" t="e">
        <f>AND(#REF!,"AAAAADf/p2U=")</f>
        <v>#REF!</v>
      </c>
      <c r="CY247" t="e">
        <f>AND(#REF!,"AAAAADf/p2Y=")</f>
        <v>#REF!</v>
      </c>
      <c r="CZ247" t="e">
        <f>AND(#REF!,"AAAAADf/p2c=")</f>
        <v>#REF!</v>
      </c>
      <c r="DA247" t="e">
        <f>AND(#REF!,"AAAAADf/p2g=")</f>
        <v>#REF!</v>
      </c>
      <c r="DB247" t="e">
        <f>AND(#REF!,"AAAAADf/p2k=")</f>
        <v>#REF!</v>
      </c>
      <c r="DC247" t="e">
        <f>AND(#REF!,"AAAAADf/p2o=")</f>
        <v>#REF!</v>
      </c>
      <c r="DD247" t="e">
        <f>AND(#REF!,"AAAAADf/p2s=")</f>
        <v>#REF!</v>
      </c>
      <c r="DE247" t="e">
        <f>AND(#REF!,"AAAAADf/p2w=")</f>
        <v>#REF!</v>
      </c>
      <c r="DF247" t="e">
        <f>AND(#REF!,"AAAAADf/p20=")</f>
        <v>#REF!</v>
      </c>
      <c r="DG247" t="e">
        <f>AND(#REF!,"AAAAADf/p24=")</f>
        <v>#REF!</v>
      </c>
      <c r="DH247" t="e">
        <f>AND(#REF!,"AAAAADf/p28=")</f>
        <v>#REF!</v>
      </c>
      <c r="DI247" t="e">
        <f>AND(#REF!,"AAAAADf/p3A=")</f>
        <v>#REF!</v>
      </c>
      <c r="DJ247" t="e">
        <f>AND(#REF!,"AAAAADf/p3E=")</f>
        <v>#REF!</v>
      </c>
      <c r="DK247" t="e">
        <f>AND(#REF!,"AAAAADf/p3I=")</f>
        <v>#REF!</v>
      </c>
      <c r="DL247" t="e">
        <f>AND(#REF!,"AAAAADf/p3M=")</f>
        <v>#REF!</v>
      </c>
      <c r="DM247" t="e">
        <f>AND(#REF!,"AAAAADf/p3Q=")</f>
        <v>#REF!</v>
      </c>
      <c r="DN247" t="e">
        <f>AND(#REF!,"AAAAADf/p3U=")</f>
        <v>#REF!</v>
      </c>
      <c r="DO247" t="e">
        <f>AND(#REF!,"AAAAADf/p3Y=")</f>
        <v>#REF!</v>
      </c>
      <c r="DP247" t="e">
        <f>AND(#REF!,"AAAAADf/p3c=")</f>
        <v>#REF!</v>
      </c>
      <c r="DQ247" t="e">
        <f>AND(#REF!,"AAAAADf/p3g=")</f>
        <v>#REF!</v>
      </c>
      <c r="DR247" t="e">
        <f>AND(#REF!,"AAAAADf/p3k=")</f>
        <v>#REF!</v>
      </c>
      <c r="DS247" t="e">
        <f>IF(#REF!,"AAAAADf/p3o=",0)</f>
        <v>#REF!</v>
      </c>
      <c r="DT247" t="e">
        <f>AND(#REF!,"AAAAADf/p3s=")</f>
        <v>#REF!</v>
      </c>
      <c r="DU247" t="e">
        <f>AND(#REF!,"AAAAADf/p3w=")</f>
        <v>#REF!</v>
      </c>
      <c r="DV247" t="e">
        <f>AND(#REF!,"AAAAADf/p30=")</f>
        <v>#REF!</v>
      </c>
      <c r="DW247" t="e">
        <f>AND(#REF!,"AAAAADf/p34=")</f>
        <v>#REF!</v>
      </c>
      <c r="DX247" t="e">
        <f>AND(#REF!,"AAAAADf/p38=")</f>
        <v>#REF!</v>
      </c>
      <c r="DY247" t="e">
        <f>AND(#REF!,"AAAAADf/p4A=")</f>
        <v>#REF!</v>
      </c>
      <c r="DZ247" t="e">
        <f>AND(#REF!,"AAAAADf/p4E=")</f>
        <v>#REF!</v>
      </c>
      <c r="EA247" t="e">
        <f>AND(#REF!,"AAAAADf/p4I=")</f>
        <v>#REF!</v>
      </c>
      <c r="EB247" t="e">
        <f>AND(#REF!,"AAAAADf/p4M=")</f>
        <v>#REF!</v>
      </c>
      <c r="EC247" t="e">
        <f>AND(#REF!,"AAAAADf/p4Q=")</f>
        <v>#REF!</v>
      </c>
      <c r="ED247" t="e">
        <f>AND(#REF!,"AAAAADf/p4U=")</f>
        <v>#REF!</v>
      </c>
      <c r="EE247" t="e">
        <f>AND(#REF!,"AAAAADf/p4Y=")</f>
        <v>#REF!</v>
      </c>
      <c r="EF247" t="e">
        <f>AND(#REF!,"AAAAADf/p4c=")</f>
        <v>#REF!</v>
      </c>
      <c r="EG247" t="e">
        <f>AND(#REF!,"AAAAADf/p4g=")</f>
        <v>#REF!</v>
      </c>
      <c r="EH247" t="e">
        <f>AND(#REF!,"AAAAADf/p4k=")</f>
        <v>#REF!</v>
      </c>
      <c r="EI247" t="e">
        <f>AND(#REF!,"AAAAADf/p4o=")</f>
        <v>#REF!</v>
      </c>
      <c r="EJ247" t="e">
        <f>AND(#REF!,"AAAAADf/p4s=")</f>
        <v>#REF!</v>
      </c>
      <c r="EK247" t="e">
        <f>AND(#REF!,"AAAAADf/p4w=")</f>
        <v>#REF!</v>
      </c>
      <c r="EL247" t="e">
        <f>AND(#REF!,"AAAAADf/p40=")</f>
        <v>#REF!</v>
      </c>
      <c r="EM247" t="e">
        <f>AND(#REF!,"AAAAADf/p44=")</f>
        <v>#REF!</v>
      </c>
      <c r="EN247" t="e">
        <f>AND(#REF!,"AAAAADf/p48=")</f>
        <v>#REF!</v>
      </c>
      <c r="EO247" t="e">
        <f>AND(#REF!,"AAAAADf/p5A=")</f>
        <v>#REF!</v>
      </c>
      <c r="EP247" t="e">
        <f>AND(#REF!,"AAAAADf/p5E=")</f>
        <v>#REF!</v>
      </c>
      <c r="EQ247" t="e">
        <f>AND(#REF!,"AAAAADf/p5I=")</f>
        <v>#REF!</v>
      </c>
      <c r="ER247" t="e">
        <f>AND(#REF!,"AAAAADf/p5M=")</f>
        <v>#REF!</v>
      </c>
      <c r="ES247" t="e">
        <f>AND(#REF!,"AAAAADf/p5Q=")</f>
        <v>#REF!</v>
      </c>
      <c r="ET247" t="e">
        <f>AND(#REF!,"AAAAADf/p5U=")</f>
        <v>#REF!</v>
      </c>
      <c r="EU247" t="e">
        <f>AND(#REF!,"AAAAADf/p5Y=")</f>
        <v>#REF!</v>
      </c>
      <c r="EV247" t="e">
        <f>AND(#REF!,"AAAAADf/p5c=")</f>
        <v>#REF!</v>
      </c>
      <c r="EW247" t="e">
        <f>AND(#REF!,"AAAAADf/p5g=")</f>
        <v>#REF!</v>
      </c>
      <c r="EX247" t="e">
        <f>AND(#REF!,"AAAAADf/p5k=")</f>
        <v>#REF!</v>
      </c>
      <c r="EY247" t="e">
        <f>AND(#REF!,"AAAAADf/p5o=")</f>
        <v>#REF!</v>
      </c>
      <c r="EZ247" t="e">
        <f>AND(#REF!,"AAAAADf/p5s=")</f>
        <v>#REF!</v>
      </c>
      <c r="FA247" t="e">
        <f>AND(#REF!,"AAAAADf/p5w=")</f>
        <v>#REF!</v>
      </c>
      <c r="FB247" t="e">
        <f>AND(#REF!,"AAAAADf/p50=")</f>
        <v>#REF!</v>
      </c>
      <c r="FC247" t="e">
        <f>AND(#REF!,"AAAAADf/p54=")</f>
        <v>#REF!</v>
      </c>
      <c r="FD247" t="e">
        <f>AND(#REF!,"AAAAADf/p58=")</f>
        <v>#REF!</v>
      </c>
      <c r="FE247" t="e">
        <f>AND(#REF!,"AAAAADf/p6A=")</f>
        <v>#REF!</v>
      </c>
      <c r="FF247" t="e">
        <f>AND(#REF!,"AAAAADf/p6E=")</f>
        <v>#REF!</v>
      </c>
      <c r="FG247" t="e">
        <f>AND(#REF!,"AAAAADf/p6I=")</f>
        <v>#REF!</v>
      </c>
      <c r="FH247" t="e">
        <f>AND(#REF!,"AAAAADf/p6M=")</f>
        <v>#REF!</v>
      </c>
      <c r="FI247" t="e">
        <f>AND(#REF!,"AAAAADf/p6Q=")</f>
        <v>#REF!</v>
      </c>
      <c r="FJ247" t="e">
        <f>AND(#REF!,"AAAAADf/p6U=")</f>
        <v>#REF!</v>
      </c>
      <c r="FK247" t="e">
        <f>AND(#REF!,"AAAAADf/p6Y=")</f>
        <v>#REF!</v>
      </c>
      <c r="FL247" t="e">
        <f>AND(#REF!,"AAAAADf/p6c=")</f>
        <v>#REF!</v>
      </c>
      <c r="FM247" t="e">
        <f>AND(#REF!,"AAAAADf/p6g=")</f>
        <v>#REF!</v>
      </c>
      <c r="FN247" t="e">
        <f>AND(#REF!,"AAAAADf/p6k=")</f>
        <v>#REF!</v>
      </c>
      <c r="FO247" t="e">
        <f>AND(#REF!,"AAAAADf/p6o=")</f>
        <v>#REF!</v>
      </c>
      <c r="FP247" t="e">
        <f>AND(#REF!,"AAAAADf/p6s=")</f>
        <v>#REF!</v>
      </c>
      <c r="FQ247" t="e">
        <f>AND(#REF!,"AAAAADf/p6w=")</f>
        <v>#REF!</v>
      </c>
      <c r="FR247" t="e">
        <f>AND(#REF!,"AAAAADf/p60=")</f>
        <v>#REF!</v>
      </c>
      <c r="FS247" t="e">
        <f>AND(#REF!,"AAAAADf/p64=")</f>
        <v>#REF!</v>
      </c>
      <c r="FT247" t="e">
        <f>AND(#REF!,"AAAAADf/p68=")</f>
        <v>#REF!</v>
      </c>
      <c r="FU247" t="e">
        <f>AND(#REF!,"AAAAADf/p7A=")</f>
        <v>#REF!</v>
      </c>
      <c r="FV247" t="e">
        <f>AND(#REF!,"AAAAADf/p7E=")</f>
        <v>#REF!</v>
      </c>
      <c r="FW247" t="e">
        <f>AND(#REF!,"AAAAADf/p7I=")</f>
        <v>#REF!</v>
      </c>
      <c r="FX247" t="e">
        <f>AND(#REF!,"AAAAADf/p7M=")</f>
        <v>#REF!</v>
      </c>
      <c r="FY247" t="e">
        <f>AND(#REF!,"AAAAADf/p7Q=")</f>
        <v>#REF!</v>
      </c>
      <c r="FZ247" t="e">
        <f>AND(#REF!,"AAAAADf/p7U=")</f>
        <v>#REF!</v>
      </c>
      <c r="GA247" t="e">
        <f>AND(#REF!,"AAAAADf/p7Y=")</f>
        <v>#REF!</v>
      </c>
      <c r="GB247" t="e">
        <f>AND(#REF!,"AAAAADf/p7c=")</f>
        <v>#REF!</v>
      </c>
      <c r="GC247" t="e">
        <f>AND(#REF!,"AAAAADf/p7g=")</f>
        <v>#REF!</v>
      </c>
      <c r="GD247" t="e">
        <f>AND(#REF!,"AAAAADf/p7k=")</f>
        <v>#REF!</v>
      </c>
      <c r="GE247" t="e">
        <f>AND(#REF!,"AAAAADf/p7o=")</f>
        <v>#REF!</v>
      </c>
      <c r="GF247" t="e">
        <f>AND(#REF!,"AAAAADf/p7s=")</f>
        <v>#REF!</v>
      </c>
      <c r="GG247" t="e">
        <f>AND(#REF!,"AAAAADf/p7w=")</f>
        <v>#REF!</v>
      </c>
      <c r="GH247" t="e">
        <f>AND(#REF!,"AAAAADf/p70=")</f>
        <v>#REF!</v>
      </c>
      <c r="GI247" t="e">
        <f>AND(#REF!,"AAAAADf/p74=")</f>
        <v>#REF!</v>
      </c>
      <c r="GJ247" t="e">
        <f>AND(#REF!,"AAAAADf/p78=")</f>
        <v>#REF!</v>
      </c>
      <c r="GK247" t="e">
        <f>AND(#REF!,"AAAAADf/p8A=")</f>
        <v>#REF!</v>
      </c>
      <c r="GL247" t="e">
        <f>AND(#REF!,"AAAAADf/p8E=")</f>
        <v>#REF!</v>
      </c>
      <c r="GM247" t="e">
        <f>AND(#REF!,"AAAAADf/p8I=")</f>
        <v>#REF!</v>
      </c>
      <c r="GN247" t="e">
        <f>AND(#REF!,"AAAAADf/p8M=")</f>
        <v>#REF!</v>
      </c>
      <c r="GO247" t="e">
        <f>AND(#REF!,"AAAAADf/p8Q=")</f>
        <v>#REF!</v>
      </c>
      <c r="GP247" t="e">
        <f>AND(#REF!,"AAAAADf/p8U=")</f>
        <v>#REF!</v>
      </c>
      <c r="GQ247" t="e">
        <f>AND(#REF!,"AAAAADf/p8Y=")</f>
        <v>#REF!</v>
      </c>
      <c r="GR247" t="e">
        <f>AND(#REF!,"AAAAADf/p8c=")</f>
        <v>#REF!</v>
      </c>
      <c r="GS247" t="e">
        <f>AND(#REF!,"AAAAADf/p8g=")</f>
        <v>#REF!</v>
      </c>
      <c r="GT247" t="e">
        <f>AND(#REF!,"AAAAADf/p8k=")</f>
        <v>#REF!</v>
      </c>
      <c r="GU247" t="e">
        <f>AND(#REF!,"AAAAADf/p8o=")</f>
        <v>#REF!</v>
      </c>
      <c r="GV247" t="e">
        <f>AND(#REF!,"AAAAADf/p8s=")</f>
        <v>#REF!</v>
      </c>
      <c r="GW247" t="e">
        <f>AND(#REF!,"AAAAADf/p8w=")</f>
        <v>#REF!</v>
      </c>
      <c r="GX247" t="e">
        <f>AND(#REF!,"AAAAADf/p80=")</f>
        <v>#REF!</v>
      </c>
      <c r="GY247" t="e">
        <f>AND(#REF!,"AAAAADf/p84=")</f>
        <v>#REF!</v>
      </c>
      <c r="GZ247" t="e">
        <f>AND(#REF!,"AAAAADf/p88=")</f>
        <v>#REF!</v>
      </c>
      <c r="HA247" t="e">
        <f>AND(#REF!,"AAAAADf/p9A=")</f>
        <v>#REF!</v>
      </c>
      <c r="HB247" t="e">
        <f>AND(#REF!,"AAAAADf/p9E=")</f>
        <v>#REF!</v>
      </c>
      <c r="HC247" t="e">
        <f>AND(#REF!,"AAAAADf/p9I=")</f>
        <v>#REF!</v>
      </c>
      <c r="HD247" t="e">
        <f>AND(#REF!,"AAAAADf/p9M=")</f>
        <v>#REF!</v>
      </c>
      <c r="HE247" t="e">
        <f>AND(#REF!,"AAAAADf/p9Q=")</f>
        <v>#REF!</v>
      </c>
      <c r="HF247" t="e">
        <f>AND(#REF!,"AAAAADf/p9U=")</f>
        <v>#REF!</v>
      </c>
      <c r="HG247" t="e">
        <f>AND(#REF!,"AAAAADf/p9Y=")</f>
        <v>#REF!</v>
      </c>
      <c r="HH247" t="e">
        <f>AND(#REF!,"AAAAADf/p9c=")</f>
        <v>#REF!</v>
      </c>
      <c r="HI247" t="e">
        <f>AND(#REF!,"AAAAADf/p9g=")</f>
        <v>#REF!</v>
      </c>
      <c r="HJ247" t="e">
        <f>AND(#REF!,"AAAAADf/p9k=")</f>
        <v>#REF!</v>
      </c>
      <c r="HK247" t="e">
        <f>AND(#REF!,"AAAAADf/p9o=")</f>
        <v>#REF!</v>
      </c>
      <c r="HL247" t="e">
        <f>AND(#REF!,"AAAAADf/p9s=")</f>
        <v>#REF!</v>
      </c>
      <c r="HM247" t="e">
        <f>AND(#REF!,"AAAAADf/p9w=")</f>
        <v>#REF!</v>
      </c>
      <c r="HN247" t="e">
        <f>AND(#REF!,"AAAAADf/p90=")</f>
        <v>#REF!</v>
      </c>
      <c r="HO247" t="e">
        <f>AND(#REF!,"AAAAADf/p94=")</f>
        <v>#REF!</v>
      </c>
      <c r="HP247" t="e">
        <f>AND(#REF!,"AAAAADf/p98=")</f>
        <v>#REF!</v>
      </c>
      <c r="HQ247" t="e">
        <f>AND(#REF!,"AAAAADf/p+A=")</f>
        <v>#REF!</v>
      </c>
      <c r="HR247" t="e">
        <f>AND(#REF!,"AAAAADf/p+E=")</f>
        <v>#REF!</v>
      </c>
      <c r="HS247" t="e">
        <f>AND(#REF!,"AAAAADf/p+I=")</f>
        <v>#REF!</v>
      </c>
      <c r="HT247" t="e">
        <f>AND(#REF!,"AAAAADf/p+M=")</f>
        <v>#REF!</v>
      </c>
      <c r="HU247" t="e">
        <f>AND(#REF!,"AAAAADf/p+Q=")</f>
        <v>#REF!</v>
      </c>
      <c r="HV247" t="e">
        <f>AND(#REF!,"AAAAADf/p+U=")</f>
        <v>#REF!</v>
      </c>
      <c r="HW247" t="e">
        <f>AND(#REF!,"AAAAADf/p+Y=")</f>
        <v>#REF!</v>
      </c>
      <c r="HX247" t="e">
        <f>AND(#REF!,"AAAAADf/p+c=")</f>
        <v>#REF!</v>
      </c>
      <c r="HY247" t="e">
        <f>AND(#REF!,"AAAAADf/p+g=")</f>
        <v>#REF!</v>
      </c>
      <c r="HZ247" t="e">
        <f>AND(#REF!,"AAAAADf/p+k=")</f>
        <v>#REF!</v>
      </c>
      <c r="IA247" t="e">
        <f>AND(#REF!,"AAAAADf/p+o=")</f>
        <v>#REF!</v>
      </c>
      <c r="IB247" t="e">
        <f>AND(#REF!,"AAAAADf/p+s=")</f>
        <v>#REF!</v>
      </c>
      <c r="IC247" t="e">
        <f>AND(#REF!,"AAAAADf/p+w=")</f>
        <v>#REF!</v>
      </c>
      <c r="ID247" t="e">
        <f>AND(#REF!,"AAAAADf/p+0=")</f>
        <v>#REF!</v>
      </c>
      <c r="IE247" t="e">
        <f>AND(#REF!,"AAAAADf/p+4=")</f>
        <v>#REF!</v>
      </c>
      <c r="IF247" t="e">
        <f>AND(#REF!,"AAAAADf/p+8=")</f>
        <v>#REF!</v>
      </c>
      <c r="IG247" t="e">
        <f>AND(#REF!,"AAAAADf/p/A=")</f>
        <v>#REF!</v>
      </c>
      <c r="IH247" t="e">
        <f>AND(#REF!,"AAAAADf/p/E=")</f>
        <v>#REF!</v>
      </c>
      <c r="II247" t="e">
        <f>AND(#REF!,"AAAAADf/p/I=")</f>
        <v>#REF!</v>
      </c>
      <c r="IJ247" t="e">
        <f>AND(#REF!,"AAAAADf/p/M=")</f>
        <v>#REF!</v>
      </c>
      <c r="IK247" t="e">
        <f>AND(#REF!,"AAAAADf/p/Q=")</f>
        <v>#REF!</v>
      </c>
      <c r="IL247" t="e">
        <f>AND(#REF!,"AAAAADf/p/U=")</f>
        <v>#REF!</v>
      </c>
      <c r="IM247" t="e">
        <f>AND(#REF!,"AAAAADf/p/Y=")</f>
        <v>#REF!</v>
      </c>
      <c r="IN247" t="e">
        <f>AND(#REF!,"AAAAADf/p/c=")</f>
        <v>#REF!</v>
      </c>
      <c r="IO247" t="e">
        <f>AND(#REF!,"AAAAADf/p/g=")</f>
        <v>#REF!</v>
      </c>
      <c r="IP247" t="e">
        <f>AND(#REF!,"AAAAADf/p/k=")</f>
        <v>#REF!</v>
      </c>
      <c r="IQ247" t="e">
        <f>AND(#REF!,"AAAAADf/p/o=")</f>
        <v>#REF!</v>
      </c>
      <c r="IR247" t="e">
        <f>AND(#REF!,"AAAAADf/p/s=")</f>
        <v>#REF!</v>
      </c>
      <c r="IS247" t="e">
        <f>AND(#REF!,"AAAAADf/p/w=")</f>
        <v>#REF!</v>
      </c>
      <c r="IT247" t="e">
        <f>AND(#REF!,"AAAAADf/p/0=")</f>
        <v>#REF!</v>
      </c>
      <c r="IU247" t="e">
        <f>AND(#REF!,"AAAAADf/p/4=")</f>
        <v>#REF!</v>
      </c>
      <c r="IV247" t="e">
        <f>AND(#REF!,"AAAAADf/p/8=")</f>
        <v>#REF!</v>
      </c>
    </row>
    <row r="248" spans="1:256">
      <c r="A248" t="e">
        <f>AND(#REF!,"AAAAAHKviwA=")</f>
        <v>#REF!</v>
      </c>
      <c r="B248" t="e">
        <f>AND(#REF!,"AAAAAHKviwE=")</f>
        <v>#REF!</v>
      </c>
      <c r="C248" t="e">
        <f>AND(#REF!,"AAAAAHKviwI=")</f>
        <v>#REF!</v>
      </c>
      <c r="D248" t="e">
        <f>AND(#REF!,"AAAAAHKviwM=")</f>
        <v>#REF!</v>
      </c>
      <c r="E248" t="e">
        <f>AND(#REF!,"AAAAAHKviwQ=")</f>
        <v>#REF!</v>
      </c>
      <c r="F248" t="e">
        <f>AND(#REF!,"AAAAAHKviwU=")</f>
        <v>#REF!</v>
      </c>
      <c r="G248" t="e">
        <f>AND(#REF!,"AAAAAHKviwY=")</f>
        <v>#REF!</v>
      </c>
      <c r="H248" t="e">
        <f>AND(#REF!,"AAAAAHKviwc=")</f>
        <v>#REF!</v>
      </c>
      <c r="I248" t="e">
        <f>AND(#REF!,"AAAAAHKviwg=")</f>
        <v>#REF!</v>
      </c>
      <c r="J248" t="e">
        <f>AND(#REF!,"AAAAAHKviwk=")</f>
        <v>#REF!</v>
      </c>
      <c r="K248" t="e">
        <f>AND(#REF!,"AAAAAHKviwo=")</f>
        <v>#REF!</v>
      </c>
      <c r="L248" t="e">
        <f>AND(#REF!,"AAAAAHKviws=")</f>
        <v>#REF!</v>
      </c>
      <c r="M248" t="e">
        <f>AND(#REF!,"AAAAAHKviww=")</f>
        <v>#REF!</v>
      </c>
      <c r="N248" t="e">
        <f>AND(#REF!,"AAAAAHKviw0=")</f>
        <v>#REF!</v>
      </c>
      <c r="O248" t="e">
        <f>AND(#REF!,"AAAAAHKviw4=")</f>
        <v>#REF!</v>
      </c>
      <c r="P248" t="e">
        <f>AND(#REF!,"AAAAAHKviw8=")</f>
        <v>#REF!</v>
      </c>
      <c r="Q248" t="e">
        <f>AND(#REF!,"AAAAAHKvixA=")</f>
        <v>#REF!</v>
      </c>
      <c r="R248" t="e">
        <f>AND(#REF!,"AAAAAHKvixE=")</f>
        <v>#REF!</v>
      </c>
      <c r="S248" t="e">
        <f>AND(#REF!,"AAAAAHKvixI=")</f>
        <v>#REF!</v>
      </c>
      <c r="T248" t="e">
        <f>AND(#REF!,"AAAAAHKvixM=")</f>
        <v>#REF!</v>
      </c>
      <c r="U248" t="e">
        <f>AND(#REF!,"AAAAAHKvixQ=")</f>
        <v>#REF!</v>
      </c>
      <c r="V248" t="e">
        <f>AND(#REF!,"AAAAAHKvixU=")</f>
        <v>#REF!</v>
      </c>
      <c r="W248" t="e">
        <f>AND(#REF!,"AAAAAHKvixY=")</f>
        <v>#REF!</v>
      </c>
      <c r="X248" t="e">
        <f>AND(#REF!,"AAAAAHKvixc=")</f>
        <v>#REF!</v>
      </c>
      <c r="Y248" t="e">
        <f>AND(#REF!,"AAAAAHKvixg=")</f>
        <v>#REF!</v>
      </c>
      <c r="Z248" t="e">
        <f>AND(#REF!,"AAAAAHKvixk=")</f>
        <v>#REF!</v>
      </c>
      <c r="AA248" t="e">
        <f>AND(#REF!,"AAAAAHKvixo=")</f>
        <v>#REF!</v>
      </c>
      <c r="AB248" t="e">
        <f>AND(#REF!,"AAAAAHKvixs=")</f>
        <v>#REF!</v>
      </c>
      <c r="AC248" t="e">
        <f>AND(#REF!,"AAAAAHKvixw=")</f>
        <v>#REF!</v>
      </c>
      <c r="AD248" t="e">
        <f>AND(#REF!,"AAAAAHKvix0=")</f>
        <v>#REF!</v>
      </c>
      <c r="AE248" t="e">
        <f>AND(#REF!,"AAAAAHKvix4=")</f>
        <v>#REF!</v>
      </c>
      <c r="AF248" t="e">
        <f>AND(#REF!,"AAAAAHKvix8=")</f>
        <v>#REF!</v>
      </c>
      <c r="AG248" t="e">
        <f>AND(#REF!,"AAAAAHKviyA=")</f>
        <v>#REF!</v>
      </c>
      <c r="AH248" t="e">
        <f>AND(#REF!,"AAAAAHKviyE=")</f>
        <v>#REF!</v>
      </c>
      <c r="AI248" t="e">
        <f>AND(#REF!,"AAAAAHKviyI=")</f>
        <v>#REF!</v>
      </c>
      <c r="AJ248" t="e">
        <f>AND(#REF!,"AAAAAHKviyM=")</f>
        <v>#REF!</v>
      </c>
      <c r="AK248" t="e">
        <f>AND(#REF!,"AAAAAHKviyQ=")</f>
        <v>#REF!</v>
      </c>
      <c r="AL248" t="e">
        <f>AND(#REF!,"AAAAAHKviyU=")</f>
        <v>#REF!</v>
      </c>
      <c r="AM248" t="e">
        <f>AND(#REF!,"AAAAAHKviyY=")</f>
        <v>#REF!</v>
      </c>
      <c r="AN248" t="e">
        <f>AND(#REF!,"AAAAAHKviyc=")</f>
        <v>#REF!</v>
      </c>
      <c r="AO248" t="e">
        <f>AND(#REF!,"AAAAAHKviyg=")</f>
        <v>#REF!</v>
      </c>
      <c r="AP248" t="e">
        <f>AND(#REF!,"AAAAAHKviyk=")</f>
        <v>#REF!</v>
      </c>
      <c r="AQ248" t="e">
        <f>AND(#REF!,"AAAAAHKviyo=")</f>
        <v>#REF!</v>
      </c>
      <c r="AR248" t="e">
        <f>AND(#REF!,"AAAAAHKviys=")</f>
        <v>#REF!</v>
      </c>
      <c r="AS248" t="e">
        <f>AND(#REF!,"AAAAAHKviyw=")</f>
        <v>#REF!</v>
      </c>
      <c r="AT248" t="e">
        <f>AND(#REF!,"AAAAAHKviy0=")</f>
        <v>#REF!</v>
      </c>
      <c r="AU248" t="e">
        <f>AND(#REF!,"AAAAAHKviy4=")</f>
        <v>#REF!</v>
      </c>
      <c r="AV248" t="e">
        <f>AND(#REF!,"AAAAAHKviy8=")</f>
        <v>#REF!</v>
      </c>
      <c r="AW248" t="e">
        <f>AND(#REF!,"AAAAAHKvizA=")</f>
        <v>#REF!</v>
      </c>
      <c r="AX248" t="e">
        <f>AND(#REF!,"AAAAAHKvizE=")</f>
        <v>#REF!</v>
      </c>
      <c r="AY248" t="e">
        <f>AND(#REF!,"AAAAAHKvizI=")</f>
        <v>#REF!</v>
      </c>
      <c r="AZ248" t="e">
        <f>AND(#REF!,"AAAAAHKvizM=")</f>
        <v>#REF!</v>
      </c>
      <c r="BA248" t="e">
        <f>AND(#REF!,"AAAAAHKvizQ=")</f>
        <v>#REF!</v>
      </c>
      <c r="BB248" t="e">
        <f>AND(#REF!,"AAAAAHKvizU=")</f>
        <v>#REF!</v>
      </c>
      <c r="BC248" t="e">
        <f>AND(#REF!,"AAAAAHKvizY=")</f>
        <v>#REF!</v>
      </c>
      <c r="BD248" t="e">
        <f>AND(#REF!,"AAAAAHKvizc=")</f>
        <v>#REF!</v>
      </c>
      <c r="BE248" t="e">
        <f>AND(#REF!,"AAAAAHKvizg=")</f>
        <v>#REF!</v>
      </c>
      <c r="BF248" t="e">
        <f>AND(#REF!,"AAAAAHKvizk=")</f>
        <v>#REF!</v>
      </c>
      <c r="BG248" t="e">
        <f>AND(#REF!,"AAAAAHKvizo=")</f>
        <v>#REF!</v>
      </c>
      <c r="BH248" t="e">
        <f>AND(#REF!,"AAAAAHKvizs=")</f>
        <v>#REF!</v>
      </c>
      <c r="BI248" t="e">
        <f>AND(#REF!,"AAAAAHKvizw=")</f>
        <v>#REF!</v>
      </c>
      <c r="BJ248" t="e">
        <f>AND(#REF!,"AAAAAHKviz0=")</f>
        <v>#REF!</v>
      </c>
      <c r="BK248" t="e">
        <f>AND(#REF!,"AAAAAHKviz4=")</f>
        <v>#REF!</v>
      </c>
      <c r="BL248" t="e">
        <f>AND(#REF!,"AAAAAHKviz8=")</f>
        <v>#REF!</v>
      </c>
      <c r="BM248" t="e">
        <f>AND(#REF!,"AAAAAHKvi0A=")</f>
        <v>#REF!</v>
      </c>
      <c r="BN248" t="e">
        <f>AND(#REF!,"AAAAAHKvi0E=")</f>
        <v>#REF!</v>
      </c>
      <c r="BO248" t="e">
        <f>AND(#REF!,"AAAAAHKvi0I=")</f>
        <v>#REF!</v>
      </c>
      <c r="BP248" t="e">
        <f>AND(#REF!,"AAAAAHKvi0M=")</f>
        <v>#REF!</v>
      </c>
      <c r="BQ248" t="e">
        <f>AND(#REF!,"AAAAAHKvi0Q=")</f>
        <v>#REF!</v>
      </c>
      <c r="BR248" t="e">
        <f>AND(#REF!,"AAAAAHKvi0U=")</f>
        <v>#REF!</v>
      </c>
      <c r="BS248" t="e">
        <f>AND(#REF!,"AAAAAHKvi0Y=")</f>
        <v>#REF!</v>
      </c>
      <c r="BT248" t="e">
        <f>AND(#REF!,"AAAAAHKvi0c=")</f>
        <v>#REF!</v>
      </c>
      <c r="BU248" t="e">
        <f>AND(#REF!,"AAAAAHKvi0g=")</f>
        <v>#REF!</v>
      </c>
      <c r="BV248" t="e">
        <f>AND(#REF!,"AAAAAHKvi0k=")</f>
        <v>#REF!</v>
      </c>
      <c r="BW248" t="e">
        <f>AND(#REF!,"AAAAAHKvi0o=")</f>
        <v>#REF!</v>
      </c>
      <c r="BX248" t="e">
        <f>AND(#REF!,"AAAAAHKvi0s=")</f>
        <v>#REF!</v>
      </c>
      <c r="BY248" t="e">
        <f>AND(#REF!,"AAAAAHKvi0w=")</f>
        <v>#REF!</v>
      </c>
      <c r="BZ248" t="e">
        <f>AND(#REF!,"AAAAAHKvi00=")</f>
        <v>#REF!</v>
      </c>
      <c r="CA248" t="e">
        <f>AND(#REF!,"AAAAAHKvi04=")</f>
        <v>#REF!</v>
      </c>
      <c r="CB248" t="e">
        <f>AND(#REF!,"AAAAAHKvi08=")</f>
        <v>#REF!</v>
      </c>
      <c r="CC248" t="e">
        <f>AND(#REF!,"AAAAAHKvi1A=")</f>
        <v>#REF!</v>
      </c>
      <c r="CD248" t="e">
        <f>AND(#REF!,"AAAAAHKvi1E=")</f>
        <v>#REF!</v>
      </c>
      <c r="CE248" t="e">
        <f>AND(#REF!,"AAAAAHKvi1I=")</f>
        <v>#REF!</v>
      </c>
      <c r="CF248" t="e">
        <f>AND(#REF!,"AAAAAHKvi1M=")</f>
        <v>#REF!</v>
      </c>
      <c r="CG248" t="e">
        <f>AND(#REF!,"AAAAAHKvi1Q=")</f>
        <v>#REF!</v>
      </c>
      <c r="CH248" t="e">
        <f>AND(#REF!,"AAAAAHKvi1U=")</f>
        <v>#REF!</v>
      </c>
      <c r="CI248" t="e">
        <f>AND(#REF!,"AAAAAHKvi1Y=")</f>
        <v>#REF!</v>
      </c>
      <c r="CJ248" t="e">
        <f>AND(#REF!,"AAAAAHKvi1c=")</f>
        <v>#REF!</v>
      </c>
      <c r="CK248" t="e">
        <f>AND(#REF!,"AAAAAHKvi1g=")</f>
        <v>#REF!</v>
      </c>
      <c r="CL248" t="e">
        <f>AND(#REF!,"AAAAAHKvi1k=")</f>
        <v>#REF!</v>
      </c>
      <c r="CM248" t="e">
        <f>AND(#REF!,"AAAAAHKvi1o=")</f>
        <v>#REF!</v>
      </c>
      <c r="CN248" t="e">
        <f>AND(#REF!,"AAAAAHKvi1s=")</f>
        <v>#REF!</v>
      </c>
      <c r="CO248" t="e">
        <f>AND(#REF!,"AAAAAHKvi1w=")</f>
        <v>#REF!</v>
      </c>
      <c r="CP248" t="e">
        <f>AND(#REF!,"AAAAAHKvi10=")</f>
        <v>#REF!</v>
      </c>
      <c r="CQ248" t="e">
        <f>IF(#REF!,"AAAAAHKvi14=",0)</f>
        <v>#REF!</v>
      </c>
      <c r="CR248" t="e">
        <f>AND(#REF!,"AAAAAHKvi18=")</f>
        <v>#REF!</v>
      </c>
      <c r="CS248" t="e">
        <f>AND(#REF!,"AAAAAHKvi2A=")</f>
        <v>#REF!</v>
      </c>
      <c r="CT248" t="e">
        <f>AND(#REF!,"AAAAAHKvi2E=")</f>
        <v>#REF!</v>
      </c>
      <c r="CU248" t="e">
        <f>AND(#REF!,"AAAAAHKvi2I=")</f>
        <v>#REF!</v>
      </c>
      <c r="CV248" t="e">
        <f>AND(#REF!,"AAAAAHKvi2M=")</f>
        <v>#REF!</v>
      </c>
      <c r="CW248" t="e">
        <f>AND(#REF!,"AAAAAHKvi2Q=")</f>
        <v>#REF!</v>
      </c>
      <c r="CX248" t="e">
        <f>AND(#REF!,"AAAAAHKvi2U=")</f>
        <v>#REF!</v>
      </c>
      <c r="CY248" t="e">
        <f>AND(#REF!,"AAAAAHKvi2Y=")</f>
        <v>#REF!</v>
      </c>
      <c r="CZ248" t="e">
        <f>AND(#REF!,"AAAAAHKvi2c=")</f>
        <v>#REF!</v>
      </c>
      <c r="DA248" t="e">
        <f>AND(#REF!,"AAAAAHKvi2g=")</f>
        <v>#REF!</v>
      </c>
      <c r="DB248" t="e">
        <f>AND(#REF!,"AAAAAHKvi2k=")</f>
        <v>#REF!</v>
      </c>
      <c r="DC248" t="e">
        <f>AND(#REF!,"AAAAAHKvi2o=")</f>
        <v>#REF!</v>
      </c>
      <c r="DD248" t="e">
        <f>AND(#REF!,"AAAAAHKvi2s=")</f>
        <v>#REF!</v>
      </c>
      <c r="DE248" t="e">
        <f>AND(#REF!,"AAAAAHKvi2w=")</f>
        <v>#REF!</v>
      </c>
      <c r="DF248" t="e">
        <f>AND(#REF!,"AAAAAHKvi20=")</f>
        <v>#REF!</v>
      </c>
      <c r="DG248" t="e">
        <f>AND(#REF!,"AAAAAHKvi24=")</f>
        <v>#REF!</v>
      </c>
      <c r="DH248" t="e">
        <f>AND(#REF!,"AAAAAHKvi28=")</f>
        <v>#REF!</v>
      </c>
      <c r="DI248" t="e">
        <f>AND(#REF!,"AAAAAHKvi3A=")</f>
        <v>#REF!</v>
      </c>
      <c r="DJ248" t="e">
        <f>AND(#REF!,"AAAAAHKvi3E=")</f>
        <v>#REF!</v>
      </c>
      <c r="DK248" t="e">
        <f>AND(#REF!,"AAAAAHKvi3I=")</f>
        <v>#REF!</v>
      </c>
      <c r="DL248" t="e">
        <f>AND(#REF!,"AAAAAHKvi3M=")</f>
        <v>#REF!</v>
      </c>
      <c r="DM248" t="e">
        <f>AND(#REF!,"AAAAAHKvi3Q=")</f>
        <v>#REF!</v>
      </c>
      <c r="DN248" t="e">
        <f>AND(#REF!,"AAAAAHKvi3U=")</f>
        <v>#REF!</v>
      </c>
      <c r="DO248" t="e">
        <f>AND(#REF!,"AAAAAHKvi3Y=")</f>
        <v>#REF!</v>
      </c>
      <c r="DP248" t="e">
        <f>AND(#REF!,"AAAAAHKvi3c=")</f>
        <v>#REF!</v>
      </c>
      <c r="DQ248" t="e">
        <f>AND(#REF!,"AAAAAHKvi3g=")</f>
        <v>#REF!</v>
      </c>
      <c r="DR248" t="e">
        <f>AND(#REF!,"AAAAAHKvi3k=")</f>
        <v>#REF!</v>
      </c>
      <c r="DS248" t="e">
        <f>AND(#REF!,"AAAAAHKvi3o=")</f>
        <v>#REF!</v>
      </c>
      <c r="DT248" t="e">
        <f>AND(#REF!,"AAAAAHKvi3s=")</f>
        <v>#REF!</v>
      </c>
      <c r="DU248" t="e">
        <f>AND(#REF!,"AAAAAHKvi3w=")</f>
        <v>#REF!</v>
      </c>
      <c r="DV248" t="e">
        <f>AND(#REF!,"AAAAAHKvi30=")</f>
        <v>#REF!</v>
      </c>
      <c r="DW248" t="e">
        <f>AND(#REF!,"AAAAAHKvi34=")</f>
        <v>#REF!</v>
      </c>
      <c r="DX248" t="e">
        <f>AND(#REF!,"AAAAAHKvi38=")</f>
        <v>#REF!</v>
      </c>
      <c r="DY248" t="e">
        <f>AND(#REF!,"AAAAAHKvi4A=")</f>
        <v>#REF!</v>
      </c>
      <c r="DZ248" t="e">
        <f>AND(#REF!,"AAAAAHKvi4E=")</f>
        <v>#REF!</v>
      </c>
      <c r="EA248" t="e">
        <f>AND(#REF!,"AAAAAHKvi4I=")</f>
        <v>#REF!</v>
      </c>
      <c r="EB248" t="e">
        <f>AND(#REF!,"AAAAAHKvi4M=")</f>
        <v>#REF!</v>
      </c>
      <c r="EC248" t="e">
        <f>AND(#REF!,"AAAAAHKvi4Q=")</f>
        <v>#REF!</v>
      </c>
      <c r="ED248" t="e">
        <f>AND(#REF!,"AAAAAHKvi4U=")</f>
        <v>#REF!</v>
      </c>
      <c r="EE248" t="e">
        <f>AND(#REF!,"AAAAAHKvi4Y=")</f>
        <v>#REF!</v>
      </c>
      <c r="EF248" t="e">
        <f>AND(#REF!,"AAAAAHKvi4c=")</f>
        <v>#REF!</v>
      </c>
      <c r="EG248" t="e">
        <f>AND(#REF!,"AAAAAHKvi4g=")</f>
        <v>#REF!</v>
      </c>
      <c r="EH248" t="e">
        <f>AND(#REF!,"AAAAAHKvi4k=")</f>
        <v>#REF!</v>
      </c>
      <c r="EI248" t="e">
        <f>AND(#REF!,"AAAAAHKvi4o=")</f>
        <v>#REF!</v>
      </c>
      <c r="EJ248" t="e">
        <f>AND(#REF!,"AAAAAHKvi4s=")</f>
        <v>#REF!</v>
      </c>
      <c r="EK248" t="e">
        <f>AND(#REF!,"AAAAAHKvi4w=")</f>
        <v>#REF!</v>
      </c>
      <c r="EL248" t="e">
        <f>AND(#REF!,"AAAAAHKvi40=")</f>
        <v>#REF!</v>
      </c>
      <c r="EM248" t="e">
        <f>AND(#REF!,"AAAAAHKvi44=")</f>
        <v>#REF!</v>
      </c>
      <c r="EN248" t="e">
        <f>AND(#REF!,"AAAAAHKvi48=")</f>
        <v>#REF!</v>
      </c>
      <c r="EO248" t="e">
        <f>AND(#REF!,"AAAAAHKvi5A=")</f>
        <v>#REF!</v>
      </c>
      <c r="EP248" t="e">
        <f>AND(#REF!,"AAAAAHKvi5E=")</f>
        <v>#REF!</v>
      </c>
      <c r="EQ248" t="e">
        <f>AND(#REF!,"AAAAAHKvi5I=")</f>
        <v>#REF!</v>
      </c>
      <c r="ER248" t="e">
        <f>AND(#REF!,"AAAAAHKvi5M=")</f>
        <v>#REF!</v>
      </c>
      <c r="ES248" t="e">
        <f>AND(#REF!,"AAAAAHKvi5Q=")</f>
        <v>#REF!</v>
      </c>
      <c r="ET248" t="e">
        <f>AND(#REF!,"AAAAAHKvi5U=")</f>
        <v>#REF!</v>
      </c>
      <c r="EU248" t="e">
        <f>AND(#REF!,"AAAAAHKvi5Y=")</f>
        <v>#REF!</v>
      </c>
      <c r="EV248" t="e">
        <f>AND(#REF!,"AAAAAHKvi5c=")</f>
        <v>#REF!</v>
      </c>
      <c r="EW248" t="e">
        <f>AND(#REF!,"AAAAAHKvi5g=")</f>
        <v>#REF!</v>
      </c>
      <c r="EX248" t="e">
        <f>AND(#REF!,"AAAAAHKvi5k=")</f>
        <v>#REF!</v>
      </c>
      <c r="EY248" t="e">
        <f>AND(#REF!,"AAAAAHKvi5o=")</f>
        <v>#REF!</v>
      </c>
      <c r="EZ248" t="e">
        <f>AND(#REF!,"AAAAAHKvi5s=")</f>
        <v>#REF!</v>
      </c>
      <c r="FA248" t="e">
        <f>AND(#REF!,"AAAAAHKvi5w=")</f>
        <v>#REF!</v>
      </c>
      <c r="FB248" t="e">
        <f>AND(#REF!,"AAAAAHKvi50=")</f>
        <v>#REF!</v>
      </c>
      <c r="FC248" t="e">
        <f>AND(#REF!,"AAAAAHKvi54=")</f>
        <v>#REF!</v>
      </c>
      <c r="FD248" t="e">
        <f>AND(#REF!,"AAAAAHKvi58=")</f>
        <v>#REF!</v>
      </c>
      <c r="FE248" t="e">
        <f>AND(#REF!,"AAAAAHKvi6A=")</f>
        <v>#REF!</v>
      </c>
      <c r="FF248" t="e">
        <f>AND(#REF!,"AAAAAHKvi6E=")</f>
        <v>#REF!</v>
      </c>
      <c r="FG248" t="e">
        <f>AND(#REF!,"AAAAAHKvi6I=")</f>
        <v>#REF!</v>
      </c>
      <c r="FH248" t="e">
        <f>AND(#REF!,"AAAAAHKvi6M=")</f>
        <v>#REF!</v>
      </c>
      <c r="FI248" t="e">
        <f>AND(#REF!,"AAAAAHKvi6Q=")</f>
        <v>#REF!</v>
      </c>
      <c r="FJ248" t="e">
        <f>AND(#REF!,"AAAAAHKvi6U=")</f>
        <v>#REF!</v>
      </c>
      <c r="FK248" t="e">
        <f>AND(#REF!,"AAAAAHKvi6Y=")</f>
        <v>#REF!</v>
      </c>
      <c r="FL248" t="e">
        <f>AND(#REF!,"AAAAAHKvi6c=")</f>
        <v>#REF!</v>
      </c>
      <c r="FM248" t="e">
        <f>AND(#REF!,"AAAAAHKvi6g=")</f>
        <v>#REF!</v>
      </c>
      <c r="FN248" t="e">
        <f>AND(#REF!,"AAAAAHKvi6k=")</f>
        <v>#REF!</v>
      </c>
      <c r="FO248" t="e">
        <f>AND(#REF!,"AAAAAHKvi6o=")</f>
        <v>#REF!</v>
      </c>
      <c r="FP248" t="e">
        <f>AND(#REF!,"AAAAAHKvi6s=")</f>
        <v>#REF!</v>
      </c>
      <c r="FQ248" t="e">
        <f>AND(#REF!,"AAAAAHKvi6w=")</f>
        <v>#REF!</v>
      </c>
      <c r="FR248" t="e">
        <f>AND(#REF!,"AAAAAHKvi60=")</f>
        <v>#REF!</v>
      </c>
      <c r="FS248" t="e">
        <f>AND(#REF!,"AAAAAHKvi64=")</f>
        <v>#REF!</v>
      </c>
      <c r="FT248" t="e">
        <f>AND(#REF!,"AAAAAHKvi68=")</f>
        <v>#REF!</v>
      </c>
      <c r="FU248" t="e">
        <f>AND(#REF!,"AAAAAHKvi7A=")</f>
        <v>#REF!</v>
      </c>
      <c r="FV248" t="e">
        <f>AND(#REF!,"AAAAAHKvi7E=")</f>
        <v>#REF!</v>
      </c>
      <c r="FW248" t="e">
        <f>AND(#REF!,"AAAAAHKvi7I=")</f>
        <v>#REF!</v>
      </c>
      <c r="FX248" t="e">
        <f>AND(#REF!,"AAAAAHKvi7M=")</f>
        <v>#REF!</v>
      </c>
      <c r="FY248" t="e">
        <f>AND(#REF!,"AAAAAHKvi7Q=")</f>
        <v>#REF!</v>
      </c>
      <c r="FZ248" t="e">
        <f>AND(#REF!,"AAAAAHKvi7U=")</f>
        <v>#REF!</v>
      </c>
      <c r="GA248" t="e">
        <f>AND(#REF!,"AAAAAHKvi7Y=")</f>
        <v>#REF!</v>
      </c>
      <c r="GB248" t="e">
        <f>AND(#REF!,"AAAAAHKvi7c=")</f>
        <v>#REF!</v>
      </c>
      <c r="GC248" t="e">
        <f>AND(#REF!,"AAAAAHKvi7g=")</f>
        <v>#REF!</v>
      </c>
      <c r="GD248" t="e">
        <f>AND(#REF!,"AAAAAHKvi7k=")</f>
        <v>#REF!</v>
      </c>
      <c r="GE248" t="e">
        <f>AND(#REF!,"AAAAAHKvi7o=")</f>
        <v>#REF!</v>
      </c>
      <c r="GF248" t="e">
        <f>AND(#REF!,"AAAAAHKvi7s=")</f>
        <v>#REF!</v>
      </c>
      <c r="GG248" t="e">
        <f>AND(#REF!,"AAAAAHKvi7w=")</f>
        <v>#REF!</v>
      </c>
      <c r="GH248" t="e">
        <f>AND(#REF!,"AAAAAHKvi70=")</f>
        <v>#REF!</v>
      </c>
      <c r="GI248" t="e">
        <f>AND(#REF!,"AAAAAHKvi74=")</f>
        <v>#REF!</v>
      </c>
      <c r="GJ248" t="e">
        <f>AND(#REF!,"AAAAAHKvi78=")</f>
        <v>#REF!</v>
      </c>
      <c r="GK248" t="e">
        <f>AND(#REF!,"AAAAAHKvi8A=")</f>
        <v>#REF!</v>
      </c>
      <c r="GL248" t="e">
        <f>AND(#REF!,"AAAAAHKvi8E=")</f>
        <v>#REF!</v>
      </c>
      <c r="GM248" t="e">
        <f>AND(#REF!,"AAAAAHKvi8I=")</f>
        <v>#REF!</v>
      </c>
      <c r="GN248" t="e">
        <f>AND(#REF!,"AAAAAHKvi8M=")</f>
        <v>#REF!</v>
      </c>
      <c r="GO248" t="e">
        <f>AND(#REF!,"AAAAAHKvi8Q=")</f>
        <v>#REF!</v>
      </c>
      <c r="GP248" t="e">
        <f>AND(#REF!,"AAAAAHKvi8U=")</f>
        <v>#REF!</v>
      </c>
      <c r="GQ248" t="e">
        <f>AND(#REF!,"AAAAAHKvi8Y=")</f>
        <v>#REF!</v>
      </c>
      <c r="GR248" t="e">
        <f>AND(#REF!,"AAAAAHKvi8c=")</f>
        <v>#REF!</v>
      </c>
      <c r="GS248" t="e">
        <f>AND(#REF!,"AAAAAHKvi8g=")</f>
        <v>#REF!</v>
      </c>
      <c r="GT248" t="e">
        <f>AND(#REF!,"AAAAAHKvi8k=")</f>
        <v>#REF!</v>
      </c>
      <c r="GU248" t="e">
        <f>AND(#REF!,"AAAAAHKvi8o=")</f>
        <v>#REF!</v>
      </c>
      <c r="GV248" t="e">
        <f>AND(#REF!,"AAAAAHKvi8s=")</f>
        <v>#REF!</v>
      </c>
      <c r="GW248" t="e">
        <f>AND(#REF!,"AAAAAHKvi8w=")</f>
        <v>#REF!</v>
      </c>
      <c r="GX248" t="e">
        <f>AND(#REF!,"AAAAAHKvi80=")</f>
        <v>#REF!</v>
      </c>
      <c r="GY248" t="e">
        <f>AND(#REF!,"AAAAAHKvi84=")</f>
        <v>#REF!</v>
      </c>
      <c r="GZ248" t="e">
        <f>AND(#REF!,"AAAAAHKvi88=")</f>
        <v>#REF!</v>
      </c>
      <c r="HA248" t="e">
        <f>AND(#REF!,"AAAAAHKvi9A=")</f>
        <v>#REF!</v>
      </c>
      <c r="HB248" t="e">
        <f>AND(#REF!,"AAAAAHKvi9E=")</f>
        <v>#REF!</v>
      </c>
      <c r="HC248" t="e">
        <f>AND(#REF!,"AAAAAHKvi9I=")</f>
        <v>#REF!</v>
      </c>
      <c r="HD248" t="e">
        <f>AND(#REF!,"AAAAAHKvi9M=")</f>
        <v>#REF!</v>
      </c>
      <c r="HE248" t="e">
        <f>AND(#REF!,"AAAAAHKvi9Q=")</f>
        <v>#REF!</v>
      </c>
      <c r="HF248" t="e">
        <f>AND(#REF!,"AAAAAHKvi9U=")</f>
        <v>#REF!</v>
      </c>
      <c r="HG248" t="e">
        <f>AND(#REF!,"AAAAAHKvi9Y=")</f>
        <v>#REF!</v>
      </c>
      <c r="HH248" t="e">
        <f>AND(#REF!,"AAAAAHKvi9c=")</f>
        <v>#REF!</v>
      </c>
      <c r="HI248" t="e">
        <f>AND(#REF!,"AAAAAHKvi9g=")</f>
        <v>#REF!</v>
      </c>
      <c r="HJ248" t="e">
        <f>AND(#REF!,"AAAAAHKvi9k=")</f>
        <v>#REF!</v>
      </c>
      <c r="HK248" t="e">
        <f>AND(#REF!,"AAAAAHKvi9o=")</f>
        <v>#REF!</v>
      </c>
      <c r="HL248" t="e">
        <f>AND(#REF!,"AAAAAHKvi9s=")</f>
        <v>#REF!</v>
      </c>
      <c r="HM248" t="e">
        <f>AND(#REF!,"AAAAAHKvi9w=")</f>
        <v>#REF!</v>
      </c>
      <c r="HN248" t="e">
        <f>AND(#REF!,"AAAAAHKvi90=")</f>
        <v>#REF!</v>
      </c>
      <c r="HO248" t="e">
        <f>AND(#REF!,"AAAAAHKvi94=")</f>
        <v>#REF!</v>
      </c>
      <c r="HP248" t="e">
        <f>AND(#REF!,"AAAAAHKvi98=")</f>
        <v>#REF!</v>
      </c>
      <c r="HQ248" t="e">
        <f>AND(#REF!,"AAAAAHKvi+A=")</f>
        <v>#REF!</v>
      </c>
      <c r="HR248" t="e">
        <f>AND(#REF!,"AAAAAHKvi+E=")</f>
        <v>#REF!</v>
      </c>
      <c r="HS248" t="e">
        <f>AND(#REF!,"AAAAAHKvi+I=")</f>
        <v>#REF!</v>
      </c>
      <c r="HT248" t="e">
        <f>AND(#REF!,"AAAAAHKvi+M=")</f>
        <v>#REF!</v>
      </c>
      <c r="HU248" t="e">
        <f>AND(#REF!,"AAAAAHKvi+Q=")</f>
        <v>#REF!</v>
      </c>
      <c r="HV248" t="e">
        <f>AND(#REF!,"AAAAAHKvi+U=")</f>
        <v>#REF!</v>
      </c>
      <c r="HW248" t="e">
        <f>AND(#REF!,"AAAAAHKvi+Y=")</f>
        <v>#REF!</v>
      </c>
      <c r="HX248" t="e">
        <f>AND(#REF!,"AAAAAHKvi+c=")</f>
        <v>#REF!</v>
      </c>
      <c r="HY248" t="e">
        <f>AND(#REF!,"AAAAAHKvi+g=")</f>
        <v>#REF!</v>
      </c>
      <c r="HZ248" t="e">
        <f>AND(#REF!,"AAAAAHKvi+k=")</f>
        <v>#REF!</v>
      </c>
      <c r="IA248" t="e">
        <f>AND(#REF!,"AAAAAHKvi+o=")</f>
        <v>#REF!</v>
      </c>
      <c r="IB248" t="e">
        <f>AND(#REF!,"AAAAAHKvi+s=")</f>
        <v>#REF!</v>
      </c>
      <c r="IC248" t="e">
        <f>AND(#REF!,"AAAAAHKvi+w=")</f>
        <v>#REF!</v>
      </c>
      <c r="ID248" t="e">
        <f>AND(#REF!,"AAAAAHKvi+0=")</f>
        <v>#REF!</v>
      </c>
      <c r="IE248" t="e">
        <f>AND(#REF!,"AAAAAHKvi+4=")</f>
        <v>#REF!</v>
      </c>
      <c r="IF248" t="e">
        <f>AND(#REF!,"AAAAAHKvi+8=")</f>
        <v>#REF!</v>
      </c>
      <c r="IG248" t="e">
        <f>AND(#REF!,"AAAAAHKvi/A=")</f>
        <v>#REF!</v>
      </c>
      <c r="IH248" t="e">
        <f>AND(#REF!,"AAAAAHKvi/E=")</f>
        <v>#REF!</v>
      </c>
      <c r="II248" t="e">
        <f>AND(#REF!,"AAAAAHKvi/I=")</f>
        <v>#REF!</v>
      </c>
      <c r="IJ248" t="e">
        <f>AND(#REF!,"AAAAAHKvi/M=")</f>
        <v>#REF!</v>
      </c>
      <c r="IK248" t="e">
        <f>AND(#REF!,"AAAAAHKvi/Q=")</f>
        <v>#REF!</v>
      </c>
      <c r="IL248" t="e">
        <f>AND(#REF!,"AAAAAHKvi/U=")</f>
        <v>#REF!</v>
      </c>
      <c r="IM248" t="e">
        <f>AND(#REF!,"AAAAAHKvi/Y=")</f>
        <v>#REF!</v>
      </c>
      <c r="IN248" t="e">
        <f>AND(#REF!,"AAAAAHKvi/c=")</f>
        <v>#REF!</v>
      </c>
      <c r="IO248" t="e">
        <f>AND(#REF!,"AAAAAHKvi/g=")</f>
        <v>#REF!</v>
      </c>
      <c r="IP248" t="e">
        <f>AND(#REF!,"AAAAAHKvi/k=")</f>
        <v>#REF!</v>
      </c>
      <c r="IQ248" t="e">
        <f>AND(#REF!,"AAAAAHKvi/o=")</f>
        <v>#REF!</v>
      </c>
      <c r="IR248" t="e">
        <f>AND(#REF!,"AAAAAHKvi/s=")</f>
        <v>#REF!</v>
      </c>
      <c r="IS248" t="e">
        <f>AND(#REF!,"AAAAAHKvi/w=")</f>
        <v>#REF!</v>
      </c>
      <c r="IT248" t="e">
        <f>AND(#REF!,"AAAAAHKvi/0=")</f>
        <v>#REF!</v>
      </c>
      <c r="IU248" t="e">
        <f>AND(#REF!,"AAAAAHKvi/4=")</f>
        <v>#REF!</v>
      </c>
      <c r="IV248" t="e">
        <f>AND(#REF!,"AAAAAHKvi/8=")</f>
        <v>#REF!</v>
      </c>
    </row>
    <row r="249" spans="1:256">
      <c r="A249" t="e">
        <f>AND(#REF!,"AAAAADdnewA=")</f>
        <v>#REF!</v>
      </c>
      <c r="B249" t="e">
        <f>AND(#REF!,"AAAAADdnewE=")</f>
        <v>#REF!</v>
      </c>
      <c r="C249" t="e">
        <f>AND(#REF!,"AAAAADdnewI=")</f>
        <v>#REF!</v>
      </c>
      <c r="D249" t="e">
        <f>AND(#REF!,"AAAAADdnewM=")</f>
        <v>#REF!</v>
      </c>
      <c r="E249" t="e">
        <f>AND(#REF!,"AAAAADdnewQ=")</f>
        <v>#REF!</v>
      </c>
      <c r="F249" t="e">
        <f>AND(#REF!,"AAAAADdnewU=")</f>
        <v>#REF!</v>
      </c>
      <c r="G249" t="e">
        <f>AND(#REF!,"AAAAADdnewY=")</f>
        <v>#REF!</v>
      </c>
      <c r="H249" t="e">
        <f>AND(#REF!,"AAAAADdnewc=")</f>
        <v>#REF!</v>
      </c>
      <c r="I249" t="e">
        <f>AND(#REF!,"AAAAADdnewg=")</f>
        <v>#REF!</v>
      </c>
      <c r="J249" t="e">
        <f>AND(#REF!,"AAAAADdnewk=")</f>
        <v>#REF!</v>
      </c>
      <c r="K249" t="e">
        <f>AND(#REF!,"AAAAADdnewo=")</f>
        <v>#REF!</v>
      </c>
      <c r="L249" t="e">
        <f>AND(#REF!,"AAAAADdnews=")</f>
        <v>#REF!</v>
      </c>
      <c r="M249" t="e">
        <f>AND(#REF!,"AAAAADdneww=")</f>
        <v>#REF!</v>
      </c>
      <c r="N249" t="e">
        <f>AND(#REF!,"AAAAADdnew0=")</f>
        <v>#REF!</v>
      </c>
      <c r="O249" t="e">
        <f>AND(#REF!,"AAAAADdnew4=")</f>
        <v>#REF!</v>
      </c>
      <c r="P249" t="e">
        <f>AND(#REF!,"AAAAADdnew8=")</f>
        <v>#REF!</v>
      </c>
      <c r="Q249" t="e">
        <f>AND(#REF!,"AAAAADdnexA=")</f>
        <v>#REF!</v>
      </c>
      <c r="R249" t="e">
        <f>AND(#REF!,"AAAAADdnexE=")</f>
        <v>#REF!</v>
      </c>
      <c r="S249" t="e">
        <f>AND(#REF!,"AAAAADdnexI=")</f>
        <v>#REF!</v>
      </c>
      <c r="T249" t="e">
        <f>AND(#REF!,"AAAAADdnexM=")</f>
        <v>#REF!</v>
      </c>
      <c r="U249" t="e">
        <f>AND(#REF!,"AAAAADdnexQ=")</f>
        <v>#REF!</v>
      </c>
      <c r="V249" t="e">
        <f>AND(#REF!,"AAAAADdnexU=")</f>
        <v>#REF!</v>
      </c>
      <c r="W249" t="e">
        <f>AND(#REF!,"AAAAADdnexY=")</f>
        <v>#REF!</v>
      </c>
      <c r="X249" t="e">
        <f>AND(#REF!,"AAAAADdnexc=")</f>
        <v>#REF!</v>
      </c>
      <c r="Y249" t="e">
        <f>AND(#REF!,"AAAAADdnexg=")</f>
        <v>#REF!</v>
      </c>
      <c r="Z249" t="e">
        <f>AND(#REF!,"AAAAADdnexk=")</f>
        <v>#REF!</v>
      </c>
      <c r="AA249" t="e">
        <f>AND(#REF!,"AAAAADdnexo=")</f>
        <v>#REF!</v>
      </c>
      <c r="AB249" t="e">
        <f>AND(#REF!,"AAAAADdnexs=")</f>
        <v>#REF!</v>
      </c>
      <c r="AC249" t="e">
        <f>AND(#REF!,"AAAAADdnexw=")</f>
        <v>#REF!</v>
      </c>
      <c r="AD249" t="e">
        <f>AND(#REF!,"AAAAADdnex0=")</f>
        <v>#REF!</v>
      </c>
      <c r="AE249" t="e">
        <f>AND(#REF!,"AAAAADdnex4=")</f>
        <v>#REF!</v>
      </c>
      <c r="AF249" t="e">
        <f>AND(#REF!,"AAAAADdnex8=")</f>
        <v>#REF!</v>
      </c>
      <c r="AG249" t="e">
        <f>AND(#REF!,"AAAAADdneyA=")</f>
        <v>#REF!</v>
      </c>
      <c r="AH249" t="e">
        <f>AND(#REF!,"AAAAADdneyE=")</f>
        <v>#REF!</v>
      </c>
      <c r="AI249" t="e">
        <f>AND(#REF!,"AAAAADdneyI=")</f>
        <v>#REF!</v>
      </c>
      <c r="AJ249" t="e">
        <f>AND(#REF!,"AAAAADdneyM=")</f>
        <v>#REF!</v>
      </c>
      <c r="AK249" t="e">
        <f>AND(#REF!,"AAAAADdneyQ=")</f>
        <v>#REF!</v>
      </c>
      <c r="AL249" t="e">
        <f>AND(#REF!,"AAAAADdneyU=")</f>
        <v>#REF!</v>
      </c>
      <c r="AM249" t="e">
        <f>AND(#REF!,"AAAAADdneyY=")</f>
        <v>#REF!</v>
      </c>
      <c r="AN249" t="e">
        <f>AND(#REF!,"AAAAADdneyc=")</f>
        <v>#REF!</v>
      </c>
      <c r="AO249" t="e">
        <f>AND(#REF!,"AAAAADdneyg=")</f>
        <v>#REF!</v>
      </c>
      <c r="AP249" t="e">
        <f>AND(#REF!,"AAAAADdneyk=")</f>
        <v>#REF!</v>
      </c>
      <c r="AQ249" t="e">
        <f>AND(#REF!,"AAAAADdneyo=")</f>
        <v>#REF!</v>
      </c>
      <c r="AR249" t="e">
        <f>AND(#REF!,"AAAAADdneys=")</f>
        <v>#REF!</v>
      </c>
      <c r="AS249" t="e">
        <f>AND(#REF!,"AAAAADdneyw=")</f>
        <v>#REF!</v>
      </c>
      <c r="AT249" t="e">
        <f>AND(#REF!,"AAAAADdney0=")</f>
        <v>#REF!</v>
      </c>
      <c r="AU249" t="e">
        <f>AND(#REF!,"AAAAADdney4=")</f>
        <v>#REF!</v>
      </c>
      <c r="AV249" t="e">
        <f>AND(#REF!,"AAAAADdney8=")</f>
        <v>#REF!</v>
      </c>
      <c r="AW249" t="e">
        <f>AND(#REF!,"AAAAADdnezA=")</f>
        <v>#REF!</v>
      </c>
      <c r="AX249" t="e">
        <f>AND(#REF!,"AAAAADdnezE=")</f>
        <v>#REF!</v>
      </c>
      <c r="AY249" t="e">
        <f>AND(#REF!,"AAAAADdnezI=")</f>
        <v>#REF!</v>
      </c>
      <c r="AZ249" t="e">
        <f>AND(#REF!,"AAAAADdnezM=")</f>
        <v>#REF!</v>
      </c>
      <c r="BA249" t="e">
        <f>AND(#REF!,"AAAAADdnezQ=")</f>
        <v>#REF!</v>
      </c>
      <c r="BB249" t="e">
        <f>AND(#REF!,"AAAAADdnezU=")</f>
        <v>#REF!</v>
      </c>
      <c r="BC249" t="e">
        <f>AND(#REF!,"AAAAADdnezY=")</f>
        <v>#REF!</v>
      </c>
      <c r="BD249" t="e">
        <f>AND(#REF!,"AAAAADdnezc=")</f>
        <v>#REF!</v>
      </c>
      <c r="BE249" t="e">
        <f>AND(#REF!,"AAAAADdnezg=")</f>
        <v>#REF!</v>
      </c>
      <c r="BF249" t="e">
        <f>AND(#REF!,"AAAAADdnezk=")</f>
        <v>#REF!</v>
      </c>
      <c r="BG249" t="e">
        <f>AND(#REF!,"AAAAADdnezo=")</f>
        <v>#REF!</v>
      </c>
      <c r="BH249" t="e">
        <f>AND(#REF!,"AAAAADdnezs=")</f>
        <v>#REF!</v>
      </c>
      <c r="BI249" t="e">
        <f>AND(#REF!,"AAAAADdnezw=")</f>
        <v>#REF!</v>
      </c>
      <c r="BJ249" t="e">
        <f>AND(#REF!,"AAAAADdnez0=")</f>
        <v>#REF!</v>
      </c>
      <c r="BK249" t="e">
        <f>AND(#REF!,"AAAAADdnez4=")</f>
        <v>#REF!</v>
      </c>
      <c r="BL249" t="e">
        <f>AND(#REF!,"AAAAADdnez8=")</f>
        <v>#REF!</v>
      </c>
      <c r="BM249" t="e">
        <f>AND(#REF!,"AAAAADdne0A=")</f>
        <v>#REF!</v>
      </c>
      <c r="BN249" t="e">
        <f>AND(#REF!,"AAAAADdne0E=")</f>
        <v>#REF!</v>
      </c>
      <c r="BO249" t="e">
        <f>IF(#REF!,"AAAAADdne0I=",0)</f>
        <v>#REF!</v>
      </c>
      <c r="BP249" t="e">
        <f>AND(#REF!,"AAAAADdne0M=")</f>
        <v>#REF!</v>
      </c>
      <c r="BQ249" t="e">
        <f>AND(#REF!,"AAAAADdne0Q=")</f>
        <v>#REF!</v>
      </c>
      <c r="BR249" t="e">
        <f>AND(#REF!,"AAAAADdne0U=")</f>
        <v>#REF!</v>
      </c>
      <c r="BS249" t="e">
        <f>AND(#REF!,"AAAAADdne0Y=")</f>
        <v>#REF!</v>
      </c>
      <c r="BT249" t="e">
        <f>AND(#REF!,"AAAAADdne0c=")</f>
        <v>#REF!</v>
      </c>
      <c r="BU249" t="e">
        <f>AND(#REF!,"AAAAADdne0g=")</f>
        <v>#REF!</v>
      </c>
      <c r="BV249" t="e">
        <f>AND(#REF!,"AAAAADdne0k=")</f>
        <v>#REF!</v>
      </c>
      <c r="BW249" t="e">
        <f>AND(#REF!,"AAAAADdne0o=")</f>
        <v>#REF!</v>
      </c>
      <c r="BX249" t="e">
        <f>AND(#REF!,"AAAAADdne0s=")</f>
        <v>#REF!</v>
      </c>
      <c r="BY249" t="e">
        <f>AND(#REF!,"AAAAADdne0w=")</f>
        <v>#REF!</v>
      </c>
      <c r="BZ249" t="e">
        <f>AND(#REF!,"AAAAADdne00=")</f>
        <v>#REF!</v>
      </c>
      <c r="CA249" t="e">
        <f>AND(#REF!,"AAAAADdne04=")</f>
        <v>#REF!</v>
      </c>
      <c r="CB249" t="e">
        <f>AND(#REF!,"AAAAADdne08=")</f>
        <v>#REF!</v>
      </c>
      <c r="CC249" t="e">
        <f>AND(#REF!,"AAAAADdne1A=")</f>
        <v>#REF!</v>
      </c>
      <c r="CD249" t="e">
        <f>AND(#REF!,"AAAAADdne1E=")</f>
        <v>#REF!</v>
      </c>
      <c r="CE249" t="e">
        <f>AND(#REF!,"AAAAADdne1I=")</f>
        <v>#REF!</v>
      </c>
      <c r="CF249" t="e">
        <f>AND(#REF!,"AAAAADdne1M=")</f>
        <v>#REF!</v>
      </c>
      <c r="CG249" t="e">
        <f>AND(#REF!,"AAAAADdne1Q=")</f>
        <v>#REF!</v>
      </c>
      <c r="CH249" t="e">
        <f>AND(#REF!,"AAAAADdne1U=")</f>
        <v>#REF!</v>
      </c>
      <c r="CI249" t="e">
        <f>AND(#REF!,"AAAAADdne1Y=")</f>
        <v>#REF!</v>
      </c>
      <c r="CJ249" t="e">
        <f>AND(#REF!,"AAAAADdne1c=")</f>
        <v>#REF!</v>
      </c>
      <c r="CK249" t="e">
        <f>AND(#REF!,"AAAAADdne1g=")</f>
        <v>#REF!</v>
      </c>
      <c r="CL249" t="e">
        <f>AND(#REF!,"AAAAADdne1k=")</f>
        <v>#REF!</v>
      </c>
      <c r="CM249" t="e">
        <f>AND(#REF!,"AAAAADdne1o=")</f>
        <v>#REF!</v>
      </c>
      <c r="CN249" t="e">
        <f>AND(#REF!,"AAAAADdne1s=")</f>
        <v>#REF!</v>
      </c>
      <c r="CO249" t="e">
        <f>AND(#REF!,"AAAAADdne1w=")</f>
        <v>#REF!</v>
      </c>
      <c r="CP249" t="e">
        <f>AND(#REF!,"AAAAADdne10=")</f>
        <v>#REF!</v>
      </c>
      <c r="CQ249" t="e">
        <f>AND(#REF!,"AAAAADdne14=")</f>
        <v>#REF!</v>
      </c>
      <c r="CR249" t="e">
        <f>AND(#REF!,"AAAAADdne18=")</f>
        <v>#REF!</v>
      </c>
      <c r="CS249" t="e">
        <f>AND(#REF!,"AAAAADdne2A=")</f>
        <v>#REF!</v>
      </c>
      <c r="CT249" t="e">
        <f>AND(#REF!,"AAAAADdne2E=")</f>
        <v>#REF!</v>
      </c>
      <c r="CU249" t="e">
        <f>AND(#REF!,"AAAAADdne2I=")</f>
        <v>#REF!</v>
      </c>
      <c r="CV249" t="e">
        <f>AND(#REF!,"AAAAADdne2M=")</f>
        <v>#REF!</v>
      </c>
      <c r="CW249" t="e">
        <f>AND(#REF!,"AAAAADdne2Q=")</f>
        <v>#REF!</v>
      </c>
      <c r="CX249" t="e">
        <f>AND(#REF!,"AAAAADdne2U=")</f>
        <v>#REF!</v>
      </c>
      <c r="CY249" t="e">
        <f>AND(#REF!,"AAAAADdne2Y=")</f>
        <v>#REF!</v>
      </c>
      <c r="CZ249" t="e">
        <f>AND(#REF!,"AAAAADdne2c=")</f>
        <v>#REF!</v>
      </c>
      <c r="DA249" t="e">
        <f>AND(#REF!,"AAAAADdne2g=")</f>
        <v>#REF!</v>
      </c>
      <c r="DB249" t="e">
        <f>AND(#REF!,"AAAAADdne2k=")</f>
        <v>#REF!</v>
      </c>
      <c r="DC249" t="e">
        <f>AND(#REF!,"AAAAADdne2o=")</f>
        <v>#REF!</v>
      </c>
      <c r="DD249" t="e">
        <f>AND(#REF!,"AAAAADdne2s=")</f>
        <v>#REF!</v>
      </c>
      <c r="DE249" t="e">
        <f>AND(#REF!,"AAAAADdne2w=")</f>
        <v>#REF!</v>
      </c>
      <c r="DF249" t="e">
        <f>AND(#REF!,"AAAAADdne20=")</f>
        <v>#REF!</v>
      </c>
      <c r="DG249" t="e">
        <f>AND(#REF!,"AAAAADdne24=")</f>
        <v>#REF!</v>
      </c>
      <c r="DH249" t="e">
        <f>AND(#REF!,"AAAAADdne28=")</f>
        <v>#REF!</v>
      </c>
      <c r="DI249" t="e">
        <f>AND(#REF!,"AAAAADdne3A=")</f>
        <v>#REF!</v>
      </c>
      <c r="DJ249" t="e">
        <f>AND(#REF!,"AAAAADdne3E=")</f>
        <v>#REF!</v>
      </c>
      <c r="DK249" t="e">
        <f>AND(#REF!,"AAAAADdne3I=")</f>
        <v>#REF!</v>
      </c>
      <c r="DL249" t="e">
        <f>AND(#REF!,"AAAAADdne3M=")</f>
        <v>#REF!</v>
      </c>
      <c r="DM249" t="e">
        <f>AND(#REF!,"AAAAADdne3Q=")</f>
        <v>#REF!</v>
      </c>
      <c r="DN249" t="e">
        <f>AND(#REF!,"AAAAADdne3U=")</f>
        <v>#REF!</v>
      </c>
      <c r="DO249" t="e">
        <f>AND(#REF!,"AAAAADdne3Y=")</f>
        <v>#REF!</v>
      </c>
      <c r="DP249" t="e">
        <f>AND(#REF!,"AAAAADdne3c=")</f>
        <v>#REF!</v>
      </c>
      <c r="DQ249" t="e">
        <f>AND(#REF!,"AAAAADdne3g=")</f>
        <v>#REF!</v>
      </c>
      <c r="DR249" t="e">
        <f>AND(#REF!,"AAAAADdne3k=")</f>
        <v>#REF!</v>
      </c>
      <c r="DS249" t="e">
        <f>AND(#REF!,"AAAAADdne3o=")</f>
        <v>#REF!</v>
      </c>
      <c r="DT249" t="e">
        <f>AND(#REF!,"AAAAADdne3s=")</f>
        <v>#REF!</v>
      </c>
      <c r="DU249" t="e">
        <f>AND(#REF!,"AAAAADdne3w=")</f>
        <v>#REF!</v>
      </c>
      <c r="DV249" t="e">
        <f>AND(#REF!,"AAAAADdne30=")</f>
        <v>#REF!</v>
      </c>
      <c r="DW249" t="e">
        <f>AND(#REF!,"AAAAADdne34=")</f>
        <v>#REF!</v>
      </c>
      <c r="DX249" t="e">
        <f>AND(#REF!,"AAAAADdne38=")</f>
        <v>#REF!</v>
      </c>
      <c r="DY249" t="e">
        <f>AND(#REF!,"AAAAADdne4A=")</f>
        <v>#REF!</v>
      </c>
      <c r="DZ249" t="e">
        <f>AND(#REF!,"AAAAADdne4E=")</f>
        <v>#REF!</v>
      </c>
      <c r="EA249" t="e">
        <f>AND(#REF!,"AAAAADdne4I=")</f>
        <v>#REF!</v>
      </c>
      <c r="EB249" t="e">
        <f>AND(#REF!,"AAAAADdne4M=")</f>
        <v>#REF!</v>
      </c>
      <c r="EC249" t="e">
        <f>AND(#REF!,"AAAAADdne4Q=")</f>
        <v>#REF!</v>
      </c>
      <c r="ED249" t="e">
        <f>AND(#REF!,"AAAAADdne4U=")</f>
        <v>#REF!</v>
      </c>
      <c r="EE249" t="e">
        <f>AND(#REF!,"AAAAADdne4Y=")</f>
        <v>#REF!</v>
      </c>
      <c r="EF249" t="e">
        <f>AND(#REF!,"AAAAADdne4c=")</f>
        <v>#REF!</v>
      </c>
      <c r="EG249" t="e">
        <f>AND(#REF!,"AAAAADdne4g=")</f>
        <v>#REF!</v>
      </c>
      <c r="EH249" t="e">
        <f>AND(#REF!,"AAAAADdne4k=")</f>
        <v>#REF!</v>
      </c>
      <c r="EI249" t="e">
        <f>AND(#REF!,"AAAAADdne4o=")</f>
        <v>#REF!</v>
      </c>
      <c r="EJ249" t="e">
        <f>AND(#REF!,"AAAAADdne4s=")</f>
        <v>#REF!</v>
      </c>
      <c r="EK249" t="e">
        <f>AND(#REF!,"AAAAADdne4w=")</f>
        <v>#REF!</v>
      </c>
      <c r="EL249" t="e">
        <f>AND(#REF!,"AAAAADdne40=")</f>
        <v>#REF!</v>
      </c>
      <c r="EM249" t="e">
        <f>AND(#REF!,"AAAAADdne44=")</f>
        <v>#REF!</v>
      </c>
      <c r="EN249" t="e">
        <f>AND(#REF!,"AAAAADdne48=")</f>
        <v>#REF!</v>
      </c>
      <c r="EO249" t="e">
        <f>AND(#REF!,"AAAAADdne5A=")</f>
        <v>#REF!</v>
      </c>
      <c r="EP249" t="e">
        <f>AND(#REF!,"AAAAADdne5E=")</f>
        <v>#REF!</v>
      </c>
      <c r="EQ249" t="e">
        <f>AND(#REF!,"AAAAADdne5I=")</f>
        <v>#REF!</v>
      </c>
      <c r="ER249" t="e">
        <f>AND(#REF!,"AAAAADdne5M=")</f>
        <v>#REF!</v>
      </c>
      <c r="ES249" t="e">
        <f>AND(#REF!,"AAAAADdne5Q=")</f>
        <v>#REF!</v>
      </c>
      <c r="ET249" t="e">
        <f>AND(#REF!,"AAAAADdne5U=")</f>
        <v>#REF!</v>
      </c>
      <c r="EU249" t="e">
        <f>AND(#REF!,"AAAAADdne5Y=")</f>
        <v>#REF!</v>
      </c>
      <c r="EV249" t="e">
        <f>AND(#REF!,"AAAAADdne5c=")</f>
        <v>#REF!</v>
      </c>
      <c r="EW249" t="e">
        <f>AND(#REF!,"AAAAADdne5g=")</f>
        <v>#REF!</v>
      </c>
      <c r="EX249" t="e">
        <f>AND(#REF!,"AAAAADdne5k=")</f>
        <v>#REF!</v>
      </c>
      <c r="EY249" t="e">
        <f>AND(#REF!,"AAAAADdne5o=")</f>
        <v>#REF!</v>
      </c>
      <c r="EZ249" t="e">
        <f>AND(#REF!,"AAAAADdne5s=")</f>
        <v>#REF!</v>
      </c>
      <c r="FA249" t="e">
        <f>AND(#REF!,"AAAAADdne5w=")</f>
        <v>#REF!</v>
      </c>
      <c r="FB249" t="e">
        <f>AND(#REF!,"AAAAADdne50=")</f>
        <v>#REF!</v>
      </c>
      <c r="FC249" t="e">
        <f>AND(#REF!,"AAAAADdne54=")</f>
        <v>#REF!</v>
      </c>
      <c r="FD249" t="e">
        <f>AND(#REF!,"AAAAADdne58=")</f>
        <v>#REF!</v>
      </c>
      <c r="FE249" t="e">
        <f>AND(#REF!,"AAAAADdne6A=")</f>
        <v>#REF!</v>
      </c>
      <c r="FF249" t="e">
        <f>AND(#REF!,"AAAAADdne6E=")</f>
        <v>#REF!</v>
      </c>
      <c r="FG249" t="e">
        <f>AND(#REF!,"AAAAADdne6I=")</f>
        <v>#REF!</v>
      </c>
      <c r="FH249" t="e">
        <f>AND(#REF!,"AAAAADdne6M=")</f>
        <v>#REF!</v>
      </c>
      <c r="FI249" t="e">
        <f>AND(#REF!,"AAAAADdne6Q=")</f>
        <v>#REF!</v>
      </c>
      <c r="FJ249" t="e">
        <f>AND(#REF!,"AAAAADdne6U=")</f>
        <v>#REF!</v>
      </c>
      <c r="FK249" t="e">
        <f>AND(#REF!,"AAAAADdne6Y=")</f>
        <v>#REF!</v>
      </c>
      <c r="FL249" t="e">
        <f>AND(#REF!,"AAAAADdne6c=")</f>
        <v>#REF!</v>
      </c>
      <c r="FM249" t="e">
        <f>AND(#REF!,"AAAAADdne6g=")</f>
        <v>#REF!</v>
      </c>
      <c r="FN249" t="e">
        <f>AND(#REF!,"AAAAADdne6k=")</f>
        <v>#REF!</v>
      </c>
      <c r="FO249" t="e">
        <f>AND(#REF!,"AAAAADdne6o=")</f>
        <v>#REF!</v>
      </c>
      <c r="FP249" t="e">
        <f>AND(#REF!,"AAAAADdne6s=")</f>
        <v>#REF!</v>
      </c>
      <c r="FQ249" t="e">
        <f>AND(#REF!,"AAAAADdne6w=")</f>
        <v>#REF!</v>
      </c>
      <c r="FR249" t="e">
        <f>AND(#REF!,"AAAAADdne60=")</f>
        <v>#REF!</v>
      </c>
      <c r="FS249" t="e">
        <f>AND(#REF!,"AAAAADdne64=")</f>
        <v>#REF!</v>
      </c>
      <c r="FT249" t="e">
        <f>AND(#REF!,"AAAAADdne68=")</f>
        <v>#REF!</v>
      </c>
      <c r="FU249" t="e">
        <f>AND(#REF!,"AAAAADdne7A=")</f>
        <v>#REF!</v>
      </c>
      <c r="FV249" t="e">
        <f>AND(#REF!,"AAAAADdne7E=")</f>
        <v>#REF!</v>
      </c>
      <c r="FW249" t="e">
        <f>AND(#REF!,"AAAAADdne7I=")</f>
        <v>#REF!</v>
      </c>
      <c r="FX249" t="e">
        <f>AND(#REF!,"AAAAADdne7M=")</f>
        <v>#REF!</v>
      </c>
      <c r="FY249" t="e">
        <f>AND(#REF!,"AAAAADdne7Q=")</f>
        <v>#REF!</v>
      </c>
      <c r="FZ249" t="e">
        <f>AND(#REF!,"AAAAADdne7U=")</f>
        <v>#REF!</v>
      </c>
      <c r="GA249" t="e">
        <f>AND(#REF!,"AAAAADdne7Y=")</f>
        <v>#REF!</v>
      </c>
      <c r="GB249" t="e">
        <f>AND(#REF!,"AAAAADdne7c=")</f>
        <v>#REF!</v>
      </c>
      <c r="GC249" t="e">
        <f>AND(#REF!,"AAAAADdne7g=")</f>
        <v>#REF!</v>
      </c>
      <c r="GD249" t="e">
        <f>AND(#REF!,"AAAAADdne7k=")</f>
        <v>#REF!</v>
      </c>
      <c r="GE249" t="e">
        <f>AND(#REF!,"AAAAADdne7o=")</f>
        <v>#REF!</v>
      </c>
      <c r="GF249" t="e">
        <f>AND(#REF!,"AAAAADdne7s=")</f>
        <v>#REF!</v>
      </c>
      <c r="GG249" t="e">
        <f>AND(#REF!,"AAAAADdne7w=")</f>
        <v>#REF!</v>
      </c>
      <c r="GH249" t="e">
        <f>AND(#REF!,"AAAAADdne70=")</f>
        <v>#REF!</v>
      </c>
      <c r="GI249" t="e">
        <f>AND(#REF!,"AAAAADdne74=")</f>
        <v>#REF!</v>
      </c>
      <c r="GJ249" t="e">
        <f>AND(#REF!,"AAAAADdne78=")</f>
        <v>#REF!</v>
      </c>
      <c r="GK249" t="e">
        <f>AND(#REF!,"AAAAADdne8A=")</f>
        <v>#REF!</v>
      </c>
      <c r="GL249" t="e">
        <f>AND(#REF!,"AAAAADdne8E=")</f>
        <v>#REF!</v>
      </c>
      <c r="GM249" t="e">
        <f>AND(#REF!,"AAAAADdne8I=")</f>
        <v>#REF!</v>
      </c>
      <c r="GN249" t="e">
        <f>AND(#REF!,"AAAAADdne8M=")</f>
        <v>#REF!</v>
      </c>
      <c r="GO249" t="e">
        <f>AND(#REF!,"AAAAADdne8Q=")</f>
        <v>#REF!</v>
      </c>
      <c r="GP249" t="e">
        <f>AND(#REF!,"AAAAADdne8U=")</f>
        <v>#REF!</v>
      </c>
      <c r="GQ249" t="e">
        <f>AND(#REF!,"AAAAADdne8Y=")</f>
        <v>#REF!</v>
      </c>
      <c r="GR249" t="e">
        <f>AND(#REF!,"AAAAADdne8c=")</f>
        <v>#REF!</v>
      </c>
      <c r="GS249" t="e">
        <f>AND(#REF!,"AAAAADdne8g=")</f>
        <v>#REF!</v>
      </c>
      <c r="GT249" t="e">
        <f>AND(#REF!,"AAAAADdne8k=")</f>
        <v>#REF!</v>
      </c>
      <c r="GU249" t="e">
        <f>AND(#REF!,"AAAAADdne8o=")</f>
        <v>#REF!</v>
      </c>
      <c r="GV249" t="e">
        <f>AND(#REF!,"AAAAADdne8s=")</f>
        <v>#REF!</v>
      </c>
      <c r="GW249" t="e">
        <f>AND(#REF!,"AAAAADdne8w=")</f>
        <v>#REF!</v>
      </c>
      <c r="GX249" t="e">
        <f>AND(#REF!,"AAAAADdne80=")</f>
        <v>#REF!</v>
      </c>
      <c r="GY249" t="e">
        <f>AND(#REF!,"AAAAADdne84=")</f>
        <v>#REF!</v>
      </c>
      <c r="GZ249" t="e">
        <f>AND(#REF!,"AAAAADdne88=")</f>
        <v>#REF!</v>
      </c>
      <c r="HA249" t="e">
        <f>AND(#REF!,"AAAAADdne9A=")</f>
        <v>#REF!</v>
      </c>
      <c r="HB249" t="e">
        <f>AND(#REF!,"AAAAADdne9E=")</f>
        <v>#REF!</v>
      </c>
      <c r="HC249" t="e">
        <f>AND(#REF!,"AAAAADdne9I=")</f>
        <v>#REF!</v>
      </c>
      <c r="HD249" t="e">
        <f>AND(#REF!,"AAAAADdne9M=")</f>
        <v>#REF!</v>
      </c>
      <c r="HE249" t="e">
        <f>AND(#REF!,"AAAAADdne9Q=")</f>
        <v>#REF!</v>
      </c>
      <c r="HF249" t="e">
        <f>AND(#REF!,"AAAAADdne9U=")</f>
        <v>#REF!</v>
      </c>
      <c r="HG249" t="e">
        <f>AND(#REF!,"AAAAADdne9Y=")</f>
        <v>#REF!</v>
      </c>
      <c r="HH249" t="e">
        <f>AND(#REF!,"AAAAADdne9c=")</f>
        <v>#REF!</v>
      </c>
      <c r="HI249" t="e">
        <f>AND(#REF!,"AAAAADdne9g=")</f>
        <v>#REF!</v>
      </c>
      <c r="HJ249" t="e">
        <f>AND(#REF!,"AAAAADdne9k=")</f>
        <v>#REF!</v>
      </c>
      <c r="HK249" t="e">
        <f>AND(#REF!,"AAAAADdne9o=")</f>
        <v>#REF!</v>
      </c>
      <c r="HL249" t="e">
        <f>AND(#REF!,"AAAAADdne9s=")</f>
        <v>#REF!</v>
      </c>
      <c r="HM249" t="e">
        <f>AND(#REF!,"AAAAADdne9w=")</f>
        <v>#REF!</v>
      </c>
      <c r="HN249" t="e">
        <f>AND(#REF!,"AAAAADdne90=")</f>
        <v>#REF!</v>
      </c>
      <c r="HO249" t="e">
        <f>AND(#REF!,"AAAAADdne94=")</f>
        <v>#REF!</v>
      </c>
      <c r="HP249" t="e">
        <f>AND(#REF!,"AAAAADdne98=")</f>
        <v>#REF!</v>
      </c>
      <c r="HQ249" t="e">
        <f>AND(#REF!,"AAAAADdne+A=")</f>
        <v>#REF!</v>
      </c>
      <c r="HR249" t="e">
        <f>AND(#REF!,"AAAAADdne+E=")</f>
        <v>#REF!</v>
      </c>
      <c r="HS249" t="e">
        <f>AND(#REF!,"AAAAADdne+I=")</f>
        <v>#REF!</v>
      </c>
      <c r="HT249" t="e">
        <f>AND(#REF!,"AAAAADdne+M=")</f>
        <v>#REF!</v>
      </c>
      <c r="HU249" t="e">
        <f>AND(#REF!,"AAAAADdne+Q=")</f>
        <v>#REF!</v>
      </c>
      <c r="HV249" t="e">
        <f>AND(#REF!,"AAAAADdne+U=")</f>
        <v>#REF!</v>
      </c>
      <c r="HW249" t="e">
        <f>AND(#REF!,"AAAAADdne+Y=")</f>
        <v>#REF!</v>
      </c>
      <c r="HX249" t="e">
        <f>AND(#REF!,"AAAAADdne+c=")</f>
        <v>#REF!</v>
      </c>
      <c r="HY249" t="e">
        <f>AND(#REF!,"AAAAADdne+g=")</f>
        <v>#REF!</v>
      </c>
      <c r="HZ249" t="e">
        <f>AND(#REF!,"AAAAADdne+k=")</f>
        <v>#REF!</v>
      </c>
      <c r="IA249" t="e">
        <f>AND(#REF!,"AAAAADdne+o=")</f>
        <v>#REF!</v>
      </c>
      <c r="IB249" t="e">
        <f>AND(#REF!,"AAAAADdne+s=")</f>
        <v>#REF!</v>
      </c>
      <c r="IC249" t="e">
        <f>AND(#REF!,"AAAAADdne+w=")</f>
        <v>#REF!</v>
      </c>
      <c r="ID249" t="e">
        <f>AND(#REF!,"AAAAADdne+0=")</f>
        <v>#REF!</v>
      </c>
      <c r="IE249" t="e">
        <f>AND(#REF!,"AAAAADdne+4=")</f>
        <v>#REF!</v>
      </c>
      <c r="IF249" t="e">
        <f>AND(#REF!,"AAAAADdne+8=")</f>
        <v>#REF!</v>
      </c>
      <c r="IG249" t="e">
        <f>AND(#REF!,"AAAAADdne/A=")</f>
        <v>#REF!</v>
      </c>
      <c r="IH249" t="e">
        <f>AND(#REF!,"AAAAADdne/E=")</f>
        <v>#REF!</v>
      </c>
      <c r="II249" t="e">
        <f>AND(#REF!,"AAAAADdne/I=")</f>
        <v>#REF!</v>
      </c>
      <c r="IJ249" t="e">
        <f>AND(#REF!,"AAAAADdne/M=")</f>
        <v>#REF!</v>
      </c>
      <c r="IK249" t="e">
        <f>AND(#REF!,"AAAAADdne/Q=")</f>
        <v>#REF!</v>
      </c>
      <c r="IL249" t="e">
        <f>AND(#REF!,"AAAAADdne/U=")</f>
        <v>#REF!</v>
      </c>
      <c r="IM249" t="e">
        <f>AND(#REF!,"AAAAADdne/Y=")</f>
        <v>#REF!</v>
      </c>
      <c r="IN249" t="e">
        <f>AND(#REF!,"AAAAADdne/c=")</f>
        <v>#REF!</v>
      </c>
      <c r="IO249" t="e">
        <f>AND(#REF!,"AAAAADdne/g=")</f>
        <v>#REF!</v>
      </c>
      <c r="IP249" t="e">
        <f>AND(#REF!,"AAAAADdne/k=")</f>
        <v>#REF!</v>
      </c>
      <c r="IQ249" t="e">
        <f>AND(#REF!,"AAAAADdne/o=")</f>
        <v>#REF!</v>
      </c>
      <c r="IR249" t="e">
        <f>AND(#REF!,"AAAAADdne/s=")</f>
        <v>#REF!</v>
      </c>
      <c r="IS249" t="e">
        <f>AND(#REF!,"AAAAADdne/w=")</f>
        <v>#REF!</v>
      </c>
      <c r="IT249" t="e">
        <f>AND(#REF!,"AAAAADdne/0=")</f>
        <v>#REF!</v>
      </c>
      <c r="IU249" t="e">
        <f>AND(#REF!,"AAAAADdne/4=")</f>
        <v>#REF!</v>
      </c>
      <c r="IV249" t="e">
        <f>AND(#REF!,"AAAAADdne/8=")</f>
        <v>#REF!</v>
      </c>
    </row>
    <row r="250" spans="1:256">
      <c r="A250" t="e">
        <f>AND(#REF!,"AAAAACx9uwA=")</f>
        <v>#REF!</v>
      </c>
      <c r="B250" t="e">
        <f>AND(#REF!,"AAAAACx9uwE=")</f>
        <v>#REF!</v>
      </c>
      <c r="C250" t="e">
        <f>AND(#REF!,"AAAAACx9uwI=")</f>
        <v>#REF!</v>
      </c>
      <c r="D250" t="e">
        <f>AND(#REF!,"AAAAACx9uwM=")</f>
        <v>#REF!</v>
      </c>
      <c r="E250" t="e">
        <f>AND(#REF!,"AAAAACx9uwQ=")</f>
        <v>#REF!</v>
      </c>
      <c r="F250" t="e">
        <f>AND(#REF!,"AAAAACx9uwU=")</f>
        <v>#REF!</v>
      </c>
      <c r="G250" t="e">
        <f>AND(#REF!,"AAAAACx9uwY=")</f>
        <v>#REF!</v>
      </c>
      <c r="H250" t="e">
        <f>AND(#REF!,"AAAAACx9uwc=")</f>
        <v>#REF!</v>
      </c>
      <c r="I250" t="e">
        <f>AND(#REF!,"AAAAACx9uwg=")</f>
        <v>#REF!</v>
      </c>
      <c r="J250" t="e">
        <f>AND(#REF!,"AAAAACx9uwk=")</f>
        <v>#REF!</v>
      </c>
      <c r="K250" t="e">
        <f>AND(#REF!,"AAAAACx9uwo=")</f>
        <v>#REF!</v>
      </c>
      <c r="L250" t="e">
        <f>AND(#REF!,"AAAAACx9uws=")</f>
        <v>#REF!</v>
      </c>
      <c r="M250" t="e">
        <f>AND(#REF!,"AAAAACx9uww=")</f>
        <v>#REF!</v>
      </c>
      <c r="N250" t="e">
        <f>AND(#REF!,"AAAAACx9uw0=")</f>
        <v>#REF!</v>
      </c>
      <c r="O250" t="e">
        <f>AND(#REF!,"AAAAACx9uw4=")</f>
        <v>#REF!</v>
      </c>
      <c r="P250" t="e">
        <f>AND(#REF!,"AAAAACx9uw8=")</f>
        <v>#REF!</v>
      </c>
      <c r="Q250" t="e">
        <f>AND(#REF!,"AAAAACx9uxA=")</f>
        <v>#REF!</v>
      </c>
      <c r="R250" t="e">
        <f>AND(#REF!,"AAAAACx9uxE=")</f>
        <v>#REF!</v>
      </c>
      <c r="S250" t="e">
        <f>AND(#REF!,"AAAAACx9uxI=")</f>
        <v>#REF!</v>
      </c>
      <c r="T250" t="e">
        <f>AND(#REF!,"AAAAACx9uxM=")</f>
        <v>#REF!</v>
      </c>
      <c r="U250" t="e">
        <f>AND(#REF!,"AAAAACx9uxQ=")</f>
        <v>#REF!</v>
      </c>
      <c r="V250" t="e">
        <f>AND(#REF!,"AAAAACx9uxU=")</f>
        <v>#REF!</v>
      </c>
      <c r="W250" t="e">
        <f>AND(#REF!,"AAAAACx9uxY=")</f>
        <v>#REF!</v>
      </c>
      <c r="X250" t="e">
        <f>AND(#REF!,"AAAAACx9uxc=")</f>
        <v>#REF!</v>
      </c>
      <c r="Y250" t="e">
        <f>AND(#REF!,"AAAAACx9uxg=")</f>
        <v>#REF!</v>
      </c>
      <c r="Z250" t="e">
        <f>AND(#REF!,"AAAAACx9uxk=")</f>
        <v>#REF!</v>
      </c>
      <c r="AA250" t="e">
        <f>AND(#REF!,"AAAAACx9uxo=")</f>
        <v>#REF!</v>
      </c>
      <c r="AB250" t="e">
        <f>AND(#REF!,"AAAAACx9uxs=")</f>
        <v>#REF!</v>
      </c>
      <c r="AC250" t="e">
        <f>AND(#REF!,"AAAAACx9uxw=")</f>
        <v>#REF!</v>
      </c>
      <c r="AD250" t="e">
        <f>AND(#REF!,"AAAAACx9ux0=")</f>
        <v>#REF!</v>
      </c>
      <c r="AE250" t="e">
        <f>AND(#REF!,"AAAAACx9ux4=")</f>
        <v>#REF!</v>
      </c>
      <c r="AF250" t="e">
        <f>AND(#REF!,"AAAAACx9ux8=")</f>
        <v>#REF!</v>
      </c>
      <c r="AG250" t="e">
        <f>AND(#REF!,"AAAAACx9uyA=")</f>
        <v>#REF!</v>
      </c>
      <c r="AH250" t="e">
        <f>AND(#REF!,"AAAAACx9uyE=")</f>
        <v>#REF!</v>
      </c>
      <c r="AI250" t="e">
        <f>AND(#REF!,"AAAAACx9uyI=")</f>
        <v>#REF!</v>
      </c>
      <c r="AJ250" t="e">
        <f>AND(#REF!,"AAAAACx9uyM=")</f>
        <v>#REF!</v>
      </c>
      <c r="AK250" t="e">
        <f>AND(#REF!,"AAAAACx9uyQ=")</f>
        <v>#REF!</v>
      </c>
      <c r="AL250" t="e">
        <f>AND(#REF!,"AAAAACx9uyU=")</f>
        <v>#REF!</v>
      </c>
      <c r="AM250" t="e">
        <f>IF(#REF!,"AAAAACx9uyY=",0)</f>
        <v>#REF!</v>
      </c>
      <c r="AN250" t="e">
        <f>AND(#REF!,"AAAAACx9uyc=")</f>
        <v>#REF!</v>
      </c>
      <c r="AO250" t="e">
        <f>AND(#REF!,"AAAAACx9uyg=")</f>
        <v>#REF!</v>
      </c>
      <c r="AP250" t="e">
        <f>AND(#REF!,"AAAAACx9uyk=")</f>
        <v>#REF!</v>
      </c>
      <c r="AQ250" t="e">
        <f>AND(#REF!,"AAAAACx9uyo=")</f>
        <v>#REF!</v>
      </c>
      <c r="AR250" t="e">
        <f>AND(#REF!,"AAAAACx9uys=")</f>
        <v>#REF!</v>
      </c>
      <c r="AS250" t="e">
        <f>AND(#REF!,"AAAAACx9uyw=")</f>
        <v>#REF!</v>
      </c>
      <c r="AT250" t="e">
        <f>AND(#REF!,"AAAAACx9uy0=")</f>
        <v>#REF!</v>
      </c>
      <c r="AU250" t="e">
        <f>AND(#REF!,"AAAAACx9uy4=")</f>
        <v>#REF!</v>
      </c>
      <c r="AV250" t="e">
        <f>AND(#REF!,"AAAAACx9uy8=")</f>
        <v>#REF!</v>
      </c>
      <c r="AW250" t="e">
        <f>AND(#REF!,"AAAAACx9uzA=")</f>
        <v>#REF!</v>
      </c>
      <c r="AX250" t="e">
        <f>AND(#REF!,"AAAAACx9uzE=")</f>
        <v>#REF!</v>
      </c>
      <c r="AY250" t="e">
        <f>AND(#REF!,"AAAAACx9uzI=")</f>
        <v>#REF!</v>
      </c>
      <c r="AZ250" t="e">
        <f>AND(#REF!,"AAAAACx9uzM=")</f>
        <v>#REF!</v>
      </c>
      <c r="BA250" t="e">
        <f>AND(#REF!,"AAAAACx9uzQ=")</f>
        <v>#REF!</v>
      </c>
      <c r="BB250" t="e">
        <f>AND(#REF!,"AAAAACx9uzU=")</f>
        <v>#REF!</v>
      </c>
      <c r="BC250" t="e">
        <f>AND(#REF!,"AAAAACx9uzY=")</f>
        <v>#REF!</v>
      </c>
      <c r="BD250" t="e">
        <f>AND(#REF!,"AAAAACx9uzc=")</f>
        <v>#REF!</v>
      </c>
      <c r="BE250" t="e">
        <f>AND(#REF!,"AAAAACx9uzg=")</f>
        <v>#REF!</v>
      </c>
      <c r="BF250" t="e">
        <f>AND(#REF!,"AAAAACx9uzk=")</f>
        <v>#REF!</v>
      </c>
      <c r="BG250" t="e">
        <f>AND(#REF!,"AAAAACx9uzo=")</f>
        <v>#REF!</v>
      </c>
      <c r="BH250" t="e">
        <f>AND(#REF!,"AAAAACx9uzs=")</f>
        <v>#REF!</v>
      </c>
      <c r="BI250" t="e">
        <f>AND(#REF!,"AAAAACx9uzw=")</f>
        <v>#REF!</v>
      </c>
      <c r="BJ250" t="e">
        <f>AND(#REF!,"AAAAACx9uz0=")</f>
        <v>#REF!</v>
      </c>
      <c r="BK250" t="e">
        <f>AND(#REF!,"AAAAACx9uz4=")</f>
        <v>#REF!</v>
      </c>
      <c r="BL250" t="e">
        <f>AND(#REF!,"AAAAACx9uz8=")</f>
        <v>#REF!</v>
      </c>
      <c r="BM250" t="e">
        <f>AND(#REF!,"AAAAACx9u0A=")</f>
        <v>#REF!</v>
      </c>
      <c r="BN250" t="e">
        <f>AND(#REF!,"AAAAACx9u0E=")</f>
        <v>#REF!</v>
      </c>
      <c r="BO250" t="e">
        <f>AND(#REF!,"AAAAACx9u0I=")</f>
        <v>#REF!</v>
      </c>
      <c r="BP250" t="e">
        <f>AND(#REF!,"AAAAACx9u0M=")</f>
        <v>#REF!</v>
      </c>
      <c r="BQ250" t="e">
        <f>AND(#REF!,"AAAAACx9u0Q=")</f>
        <v>#REF!</v>
      </c>
      <c r="BR250" t="e">
        <f>AND(#REF!,"AAAAACx9u0U=")</f>
        <v>#REF!</v>
      </c>
      <c r="BS250" t="e">
        <f>AND(#REF!,"AAAAACx9u0Y=")</f>
        <v>#REF!</v>
      </c>
      <c r="BT250" t="e">
        <f>AND(#REF!,"AAAAACx9u0c=")</f>
        <v>#REF!</v>
      </c>
      <c r="BU250" t="e">
        <f>AND(#REF!,"AAAAACx9u0g=")</f>
        <v>#REF!</v>
      </c>
      <c r="BV250" t="e">
        <f>AND(#REF!,"AAAAACx9u0k=")</f>
        <v>#REF!</v>
      </c>
      <c r="BW250" t="e">
        <f>AND(#REF!,"AAAAACx9u0o=")</f>
        <v>#REF!</v>
      </c>
      <c r="BX250" t="e">
        <f>AND(#REF!,"AAAAACx9u0s=")</f>
        <v>#REF!</v>
      </c>
      <c r="BY250" t="e">
        <f>AND(#REF!,"AAAAACx9u0w=")</f>
        <v>#REF!</v>
      </c>
      <c r="BZ250" t="e">
        <f>AND(#REF!,"AAAAACx9u00=")</f>
        <v>#REF!</v>
      </c>
      <c r="CA250" t="e">
        <f>AND(#REF!,"AAAAACx9u04=")</f>
        <v>#REF!</v>
      </c>
      <c r="CB250" t="e">
        <f>AND(#REF!,"AAAAACx9u08=")</f>
        <v>#REF!</v>
      </c>
      <c r="CC250" t="e">
        <f>AND(#REF!,"AAAAACx9u1A=")</f>
        <v>#REF!</v>
      </c>
      <c r="CD250" t="e">
        <f>AND(#REF!,"AAAAACx9u1E=")</f>
        <v>#REF!</v>
      </c>
      <c r="CE250" t="e">
        <f>AND(#REF!,"AAAAACx9u1I=")</f>
        <v>#REF!</v>
      </c>
      <c r="CF250" t="e">
        <f>AND(#REF!,"AAAAACx9u1M=")</f>
        <v>#REF!</v>
      </c>
      <c r="CG250" t="e">
        <f>AND(#REF!,"AAAAACx9u1Q=")</f>
        <v>#REF!</v>
      </c>
      <c r="CH250" t="e">
        <f>AND(#REF!,"AAAAACx9u1U=")</f>
        <v>#REF!</v>
      </c>
      <c r="CI250" t="e">
        <f>AND(#REF!,"AAAAACx9u1Y=")</f>
        <v>#REF!</v>
      </c>
      <c r="CJ250" t="e">
        <f>AND(#REF!,"AAAAACx9u1c=")</f>
        <v>#REF!</v>
      </c>
      <c r="CK250" t="e">
        <f>AND(#REF!,"AAAAACx9u1g=")</f>
        <v>#REF!</v>
      </c>
      <c r="CL250" t="e">
        <f>AND(#REF!,"AAAAACx9u1k=")</f>
        <v>#REF!</v>
      </c>
      <c r="CM250" t="e">
        <f>AND(#REF!,"AAAAACx9u1o=")</f>
        <v>#REF!</v>
      </c>
      <c r="CN250" t="e">
        <f>AND(#REF!,"AAAAACx9u1s=")</f>
        <v>#REF!</v>
      </c>
      <c r="CO250" t="e">
        <f>AND(#REF!,"AAAAACx9u1w=")</f>
        <v>#REF!</v>
      </c>
      <c r="CP250" t="e">
        <f>AND(#REF!,"AAAAACx9u10=")</f>
        <v>#REF!</v>
      </c>
      <c r="CQ250" t="e">
        <f>AND(#REF!,"AAAAACx9u14=")</f>
        <v>#REF!</v>
      </c>
      <c r="CR250" t="e">
        <f>AND(#REF!,"AAAAACx9u18=")</f>
        <v>#REF!</v>
      </c>
      <c r="CS250" t="e">
        <f>AND(#REF!,"AAAAACx9u2A=")</f>
        <v>#REF!</v>
      </c>
      <c r="CT250" t="e">
        <f>AND(#REF!,"AAAAACx9u2E=")</f>
        <v>#REF!</v>
      </c>
      <c r="CU250" t="e">
        <f>AND(#REF!,"AAAAACx9u2I=")</f>
        <v>#REF!</v>
      </c>
      <c r="CV250" t="e">
        <f>AND(#REF!,"AAAAACx9u2M=")</f>
        <v>#REF!</v>
      </c>
      <c r="CW250" t="e">
        <f>AND(#REF!,"AAAAACx9u2Q=")</f>
        <v>#REF!</v>
      </c>
      <c r="CX250" t="e">
        <f>AND(#REF!,"AAAAACx9u2U=")</f>
        <v>#REF!</v>
      </c>
      <c r="CY250" t="e">
        <f>AND(#REF!,"AAAAACx9u2Y=")</f>
        <v>#REF!</v>
      </c>
      <c r="CZ250" t="e">
        <f>AND(#REF!,"AAAAACx9u2c=")</f>
        <v>#REF!</v>
      </c>
      <c r="DA250" t="e">
        <f>AND(#REF!,"AAAAACx9u2g=")</f>
        <v>#REF!</v>
      </c>
      <c r="DB250" t="e">
        <f>AND(#REF!,"AAAAACx9u2k=")</f>
        <v>#REF!</v>
      </c>
      <c r="DC250" t="e">
        <f>AND(#REF!,"AAAAACx9u2o=")</f>
        <v>#REF!</v>
      </c>
      <c r="DD250" t="e">
        <f>AND(#REF!,"AAAAACx9u2s=")</f>
        <v>#REF!</v>
      </c>
      <c r="DE250" t="e">
        <f>AND(#REF!,"AAAAACx9u2w=")</f>
        <v>#REF!</v>
      </c>
      <c r="DF250" t="e">
        <f>AND(#REF!,"AAAAACx9u20=")</f>
        <v>#REF!</v>
      </c>
      <c r="DG250" t="e">
        <f>AND(#REF!,"AAAAACx9u24=")</f>
        <v>#REF!</v>
      </c>
      <c r="DH250" t="e">
        <f>AND(#REF!,"AAAAACx9u28=")</f>
        <v>#REF!</v>
      </c>
      <c r="DI250" t="e">
        <f>AND(#REF!,"AAAAACx9u3A=")</f>
        <v>#REF!</v>
      </c>
      <c r="DJ250" t="e">
        <f>AND(#REF!,"AAAAACx9u3E=")</f>
        <v>#REF!</v>
      </c>
      <c r="DK250" t="e">
        <f>AND(#REF!,"AAAAACx9u3I=")</f>
        <v>#REF!</v>
      </c>
      <c r="DL250" t="e">
        <f>AND(#REF!,"AAAAACx9u3M=")</f>
        <v>#REF!</v>
      </c>
      <c r="DM250" t="e">
        <f>AND(#REF!,"AAAAACx9u3Q=")</f>
        <v>#REF!</v>
      </c>
      <c r="DN250" t="e">
        <f>AND(#REF!,"AAAAACx9u3U=")</f>
        <v>#REF!</v>
      </c>
      <c r="DO250" t="e">
        <f>AND(#REF!,"AAAAACx9u3Y=")</f>
        <v>#REF!</v>
      </c>
      <c r="DP250" t="e">
        <f>AND(#REF!,"AAAAACx9u3c=")</f>
        <v>#REF!</v>
      </c>
      <c r="DQ250" t="e">
        <f>AND(#REF!,"AAAAACx9u3g=")</f>
        <v>#REF!</v>
      </c>
      <c r="DR250" t="e">
        <f>AND(#REF!,"AAAAACx9u3k=")</f>
        <v>#REF!</v>
      </c>
      <c r="DS250" t="e">
        <f>AND(#REF!,"AAAAACx9u3o=")</f>
        <v>#REF!</v>
      </c>
      <c r="DT250" t="e">
        <f>AND(#REF!,"AAAAACx9u3s=")</f>
        <v>#REF!</v>
      </c>
      <c r="DU250" t="e">
        <f>AND(#REF!,"AAAAACx9u3w=")</f>
        <v>#REF!</v>
      </c>
      <c r="DV250" t="e">
        <f>AND(#REF!,"AAAAACx9u30=")</f>
        <v>#REF!</v>
      </c>
      <c r="DW250" t="e">
        <f>AND(#REF!,"AAAAACx9u34=")</f>
        <v>#REF!</v>
      </c>
      <c r="DX250" t="e">
        <f>AND(#REF!,"AAAAACx9u38=")</f>
        <v>#REF!</v>
      </c>
      <c r="DY250" t="e">
        <f>AND(#REF!,"AAAAACx9u4A=")</f>
        <v>#REF!</v>
      </c>
      <c r="DZ250" t="e">
        <f>AND(#REF!,"AAAAACx9u4E=")</f>
        <v>#REF!</v>
      </c>
      <c r="EA250" t="e">
        <f>AND(#REF!,"AAAAACx9u4I=")</f>
        <v>#REF!</v>
      </c>
      <c r="EB250" t="e">
        <f>AND(#REF!,"AAAAACx9u4M=")</f>
        <v>#REF!</v>
      </c>
      <c r="EC250" t="e">
        <f>AND(#REF!,"AAAAACx9u4Q=")</f>
        <v>#REF!</v>
      </c>
      <c r="ED250" t="e">
        <f>AND(#REF!,"AAAAACx9u4U=")</f>
        <v>#REF!</v>
      </c>
      <c r="EE250" t="e">
        <f>AND(#REF!,"AAAAACx9u4Y=")</f>
        <v>#REF!</v>
      </c>
      <c r="EF250" t="e">
        <f>AND(#REF!,"AAAAACx9u4c=")</f>
        <v>#REF!</v>
      </c>
      <c r="EG250" t="e">
        <f>AND(#REF!,"AAAAACx9u4g=")</f>
        <v>#REF!</v>
      </c>
      <c r="EH250" t="e">
        <f>AND(#REF!,"AAAAACx9u4k=")</f>
        <v>#REF!</v>
      </c>
      <c r="EI250" t="e">
        <f>AND(#REF!,"AAAAACx9u4o=")</f>
        <v>#REF!</v>
      </c>
      <c r="EJ250" t="e">
        <f>AND(#REF!,"AAAAACx9u4s=")</f>
        <v>#REF!</v>
      </c>
      <c r="EK250" t="e">
        <f>AND(#REF!,"AAAAACx9u4w=")</f>
        <v>#REF!</v>
      </c>
      <c r="EL250" t="e">
        <f>AND(#REF!,"AAAAACx9u40=")</f>
        <v>#REF!</v>
      </c>
      <c r="EM250" t="e">
        <f>AND(#REF!,"AAAAACx9u44=")</f>
        <v>#REF!</v>
      </c>
      <c r="EN250" t="e">
        <f>AND(#REF!,"AAAAACx9u48=")</f>
        <v>#REF!</v>
      </c>
      <c r="EO250" t="e">
        <f>AND(#REF!,"AAAAACx9u5A=")</f>
        <v>#REF!</v>
      </c>
      <c r="EP250" t="e">
        <f>AND(#REF!,"AAAAACx9u5E=")</f>
        <v>#REF!</v>
      </c>
      <c r="EQ250" t="e">
        <f>AND(#REF!,"AAAAACx9u5I=")</f>
        <v>#REF!</v>
      </c>
      <c r="ER250" t="e">
        <f>AND(#REF!,"AAAAACx9u5M=")</f>
        <v>#REF!</v>
      </c>
      <c r="ES250" t="e">
        <f>AND(#REF!,"AAAAACx9u5Q=")</f>
        <v>#REF!</v>
      </c>
      <c r="ET250" t="e">
        <f>AND(#REF!,"AAAAACx9u5U=")</f>
        <v>#REF!</v>
      </c>
      <c r="EU250" t="e">
        <f>AND(#REF!,"AAAAACx9u5Y=")</f>
        <v>#REF!</v>
      </c>
      <c r="EV250" t="e">
        <f>AND(#REF!,"AAAAACx9u5c=")</f>
        <v>#REF!</v>
      </c>
      <c r="EW250" t="e">
        <f>AND(#REF!,"AAAAACx9u5g=")</f>
        <v>#REF!</v>
      </c>
      <c r="EX250" t="e">
        <f>AND(#REF!,"AAAAACx9u5k=")</f>
        <v>#REF!</v>
      </c>
      <c r="EY250" t="e">
        <f>AND(#REF!,"AAAAACx9u5o=")</f>
        <v>#REF!</v>
      </c>
      <c r="EZ250" t="e">
        <f>AND(#REF!,"AAAAACx9u5s=")</f>
        <v>#REF!</v>
      </c>
      <c r="FA250" t="e">
        <f>AND(#REF!,"AAAAACx9u5w=")</f>
        <v>#REF!</v>
      </c>
      <c r="FB250" t="e">
        <f>AND(#REF!,"AAAAACx9u50=")</f>
        <v>#REF!</v>
      </c>
      <c r="FC250" t="e">
        <f>AND(#REF!,"AAAAACx9u54=")</f>
        <v>#REF!</v>
      </c>
      <c r="FD250" t="e">
        <f>AND(#REF!,"AAAAACx9u58=")</f>
        <v>#REF!</v>
      </c>
      <c r="FE250" t="e">
        <f>AND(#REF!,"AAAAACx9u6A=")</f>
        <v>#REF!</v>
      </c>
      <c r="FF250" t="e">
        <f>AND(#REF!,"AAAAACx9u6E=")</f>
        <v>#REF!</v>
      </c>
      <c r="FG250" t="e">
        <f>AND(#REF!,"AAAAACx9u6I=")</f>
        <v>#REF!</v>
      </c>
      <c r="FH250" t="e">
        <f>AND(#REF!,"AAAAACx9u6M=")</f>
        <v>#REF!</v>
      </c>
      <c r="FI250" t="e">
        <f>AND(#REF!,"AAAAACx9u6Q=")</f>
        <v>#REF!</v>
      </c>
      <c r="FJ250" t="e">
        <f>AND(#REF!,"AAAAACx9u6U=")</f>
        <v>#REF!</v>
      </c>
      <c r="FK250" t="e">
        <f>AND(#REF!,"AAAAACx9u6Y=")</f>
        <v>#REF!</v>
      </c>
      <c r="FL250" t="e">
        <f>AND(#REF!,"AAAAACx9u6c=")</f>
        <v>#REF!</v>
      </c>
      <c r="FM250" t="e">
        <f>AND(#REF!,"AAAAACx9u6g=")</f>
        <v>#REF!</v>
      </c>
      <c r="FN250" t="e">
        <f>AND(#REF!,"AAAAACx9u6k=")</f>
        <v>#REF!</v>
      </c>
      <c r="FO250" t="e">
        <f>AND(#REF!,"AAAAACx9u6o=")</f>
        <v>#REF!</v>
      </c>
      <c r="FP250" t="e">
        <f>AND(#REF!,"AAAAACx9u6s=")</f>
        <v>#REF!</v>
      </c>
      <c r="FQ250" t="e">
        <f>AND(#REF!,"AAAAACx9u6w=")</f>
        <v>#REF!</v>
      </c>
      <c r="FR250" t="e">
        <f>AND(#REF!,"AAAAACx9u60=")</f>
        <v>#REF!</v>
      </c>
      <c r="FS250" t="e">
        <f>AND(#REF!,"AAAAACx9u64=")</f>
        <v>#REF!</v>
      </c>
      <c r="FT250" t="e">
        <f>AND(#REF!,"AAAAACx9u68=")</f>
        <v>#REF!</v>
      </c>
      <c r="FU250" t="e">
        <f>AND(#REF!,"AAAAACx9u7A=")</f>
        <v>#REF!</v>
      </c>
      <c r="FV250" t="e">
        <f>AND(#REF!,"AAAAACx9u7E=")</f>
        <v>#REF!</v>
      </c>
      <c r="FW250" t="e">
        <f>AND(#REF!,"AAAAACx9u7I=")</f>
        <v>#REF!</v>
      </c>
      <c r="FX250" t="e">
        <f>AND(#REF!,"AAAAACx9u7M=")</f>
        <v>#REF!</v>
      </c>
      <c r="FY250" t="e">
        <f>AND(#REF!,"AAAAACx9u7Q=")</f>
        <v>#REF!</v>
      </c>
      <c r="FZ250" t="e">
        <f>AND(#REF!,"AAAAACx9u7U=")</f>
        <v>#REF!</v>
      </c>
      <c r="GA250" t="e">
        <f>AND(#REF!,"AAAAACx9u7Y=")</f>
        <v>#REF!</v>
      </c>
      <c r="GB250" t="e">
        <f>AND(#REF!,"AAAAACx9u7c=")</f>
        <v>#REF!</v>
      </c>
      <c r="GC250" t="e">
        <f>AND(#REF!,"AAAAACx9u7g=")</f>
        <v>#REF!</v>
      </c>
      <c r="GD250" t="e">
        <f>AND(#REF!,"AAAAACx9u7k=")</f>
        <v>#REF!</v>
      </c>
      <c r="GE250" t="e">
        <f>AND(#REF!,"AAAAACx9u7o=")</f>
        <v>#REF!</v>
      </c>
      <c r="GF250" t="e">
        <f>AND(#REF!,"AAAAACx9u7s=")</f>
        <v>#REF!</v>
      </c>
      <c r="GG250" t="e">
        <f>AND(#REF!,"AAAAACx9u7w=")</f>
        <v>#REF!</v>
      </c>
      <c r="GH250" t="e">
        <f>AND(#REF!,"AAAAACx9u70=")</f>
        <v>#REF!</v>
      </c>
      <c r="GI250" t="e">
        <f>AND(#REF!,"AAAAACx9u74=")</f>
        <v>#REF!</v>
      </c>
      <c r="GJ250" t="e">
        <f>AND(#REF!,"AAAAACx9u78=")</f>
        <v>#REF!</v>
      </c>
      <c r="GK250" t="e">
        <f>AND(#REF!,"AAAAACx9u8A=")</f>
        <v>#REF!</v>
      </c>
      <c r="GL250" t="e">
        <f>AND(#REF!,"AAAAACx9u8E=")</f>
        <v>#REF!</v>
      </c>
      <c r="GM250" t="e">
        <f>AND(#REF!,"AAAAACx9u8I=")</f>
        <v>#REF!</v>
      </c>
      <c r="GN250" t="e">
        <f>AND(#REF!,"AAAAACx9u8M=")</f>
        <v>#REF!</v>
      </c>
      <c r="GO250" t="e">
        <f>AND(#REF!,"AAAAACx9u8Q=")</f>
        <v>#REF!</v>
      </c>
      <c r="GP250" t="e">
        <f>AND(#REF!,"AAAAACx9u8U=")</f>
        <v>#REF!</v>
      </c>
      <c r="GQ250" t="e">
        <f>AND(#REF!,"AAAAACx9u8Y=")</f>
        <v>#REF!</v>
      </c>
      <c r="GR250" t="e">
        <f>AND(#REF!,"AAAAACx9u8c=")</f>
        <v>#REF!</v>
      </c>
      <c r="GS250" t="e">
        <f>AND(#REF!,"AAAAACx9u8g=")</f>
        <v>#REF!</v>
      </c>
      <c r="GT250" t="e">
        <f>AND(#REF!,"AAAAACx9u8k=")</f>
        <v>#REF!</v>
      </c>
      <c r="GU250" t="e">
        <f>AND(#REF!,"AAAAACx9u8o=")</f>
        <v>#REF!</v>
      </c>
      <c r="GV250" t="e">
        <f>AND(#REF!,"AAAAACx9u8s=")</f>
        <v>#REF!</v>
      </c>
      <c r="GW250" t="e">
        <f>AND(#REF!,"AAAAACx9u8w=")</f>
        <v>#REF!</v>
      </c>
      <c r="GX250" t="e">
        <f>AND(#REF!,"AAAAACx9u80=")</f>
        <v>#REF!</v>
      </c>
      <c r="GY250" t="e">
        <f>AND(#REF!,"AAAAACx9u84=")</f>
        <v>#REF!</v>
      </c>
      <c r="GZ250" t="e">
        <f>AND(#REF!,"AAAAACx9u88=")</f>
        <v>#REF!</v>
      </c>
      <c r="HA250" t="e">
        <f>AND(#REF!,"AAAAACx9u9A=")</f>
        <v>#REF!</v>
      </c>
      <c r="HB250" t="e">
        <f>AND(#REF!,"AAAAACx9u9E=")</f>
        <v>#REF!</v>
      </c>
      <c r="HC250" t="e">
        <f>AND(#REF!,"AAAAACx9u9I=")</f>
        <v>#REF!</v>
      </c>
      <c r="HD250" t="e">
        <f>AND(#REF!,"AAAAACx9u9M=")</f>
        <v>#REF!</v>
      </c>
      <c r="HE250" t="e">
        <f>AND(#REF!,"AAAAACx9u9Q=")</f>
        <v>#REF!</v>
      </c>
      <c r="HF250" t="e">
        <f>AND(#REF!,"AAAAACx9u9U=")</f>
        <v>#REF!</v>
      </c>
      <c r="HG250" t="e">
        <f>AND(#REF!,"AAAAACx9u9Y=")</f>
        <v>#REF!</v>
      </c>
      <c r="HH250" t="e">
        <f>AND(#REF!,"AAAAACx9u9c=")</f>
        <v>#REF!</v>
      </c>
      <c r="HI250" t="e">
        <f>AND(#REF!,"AAAAACx9u9g=")</f>
        <v>#REF!</v>
      </c>
      <c r="HJ250" t="e">
        <f>AND(#REF!,"AAAAACx9u9k=")</f>
        <v>#REF!</v>
      </c>
      <c r="HK250" t="e">
        <f>AND(#REF!,"AAAAACx9u9o=")</f>
        <v>#REF!</v>
      </c>
      <c r="HL250" t="e">
        <f>AND(#REF!,"AAAAACx9u9s=")</f>
        <v>#REF!</v>
      </c>
      <c r="HM250" t="e">
        <f>AND(#REF!,"AAAAACx9u9w=")</f>
        <v>#REF!</v>
      </c>
      <c r="HN250" t="e">
        <f>AND(#REF!,"AAAAACx9u90=")</f>
        <v>#REF!</v>
      </c>
      <c r="HO250" t="e">
        <f>AND(#REF!,"AAAAACx9u94=")</f>
        <v>#REF!</v>
      </c>
      <c r="HP250" t="e">
        <f>AND(#REF!,"AAAAACx9u98=")</f>
        <v>#REF!</v>
      </c>
      <c r="HQ250" t="e">
        <f>AND(#REF!,"AAAAACx9u+A=")</f>
        <v>#REF!</v>
      </c>
      <c r="HR250" t="e">
        <f>AND(#REF!,"AAAAACx9u+E=")</f>
        <v>#REF!</v>
      </c>
      <c r="HS250" t="e">
        <f>AND(#REF!,"AAAAACx9u+I=")</f>
        <v>#REF!</v>
      </c>
      <c r="HT250" t="e">
        <f>AND(#REF!,"AAAAACx9u+M=")</f>
        <v>#REF!</v>
      </c>
      <c r="HU250" t="e">
        <f>AND(#REF!,"AAAAACx9u+Q=")</f>
        <v>#REF!</v>
      </c>
      <c r="HV250" t="e">
        <f>AND(#REF!,"AAAAACx9u+U=")</f>
        <v>#REF!</v>
      </c>
      <c r="HW250" t="e">
        <f>AND(#REF!,"AAAAACx9u+Y=")</f>
        <v>#REF!</v>
      </c>
      <c r="HX250" t="e">
        <f>AND(#REF!,"AAAAACx9u+c=")</f>
        <v>#REF!</v>
      </c>
      <c r="HY250" t="e">
        <f>AND(#REF!,"AAAAACx9u+g=")</f>
        <v>#REF!</v>
      </c>
      <c r="HZ250" t="e">
        <f>AND(#REF!,"AAAAACx9u+k=")</f>
        <v>#REF!</v>
      </c>
      <c r="IA250" t="e">
        <f>AND(#REF!,"AAAAACx9u+o=")</f>
        <v>#REF!</v>
      </c>
      <c r="IB250" t="e">
        <f>AND(#REF!,"AAAAACx9u+s=")</f>
        <v>#REF!</v>
      </c>
      <c r="IC250" t="e">
        <f>AND(#REF!,"AAAAACx9u+w=")</f>
        <v>#REF!</v>
      </c>
      <c r="ID250" t="e">
        <f>AND(#REF!,"AAAAACx9u+0=")</f>
        <v>#REF!</v>
      </c>
      <c r="IE250" t="e">
        <f>AND(#REF!,"AAAAACx9u+4=")</f>
        <v>#REF!</v>
      </c>
      <c r="IF250" t="e">
        <f>AND(#REF!,"AAAAACx9u+8=")</f>
        <v>#REF!</v>
      </c>
      <c r="IG250" t="e">
        <f>AND(#REF!,"AAAAACx9u/A=")</f>
        <v>#REF!</v>
      </c>
      <c r="IH250" t="e">
        <f>AND(#REF!,"AAAAACx9u/E=")</f>
        <v>#REF!</v>
      </c>
      <c r="II250" t="e">
        <f>AND(#REF!,"AAAAACx9u/I=")</f>
        <v>#REF!</v>
      </c>
      <c r="IJ250" t="e">
        <f>AND(#REF!,"AAAAACx9u/M=")</f>
        <v>#REF!</v>
      </c>
      <c r="IK250" t="e">
        <f>AND(#REF!,"AAAAACx9u/Q=")</f>
        <v>#REF!</v>
      </c>
      <c r="IL250" t="e">
        <f>AND(#REF!,"AAAAACx9u/U=")</f>
        <v>#REF!</v>
      </c>
      <c r="IM250" t="e">
        <f>AND(#REF!,"AAAAACx9u/Y=")</f>
        <v>#REF!</v>
      </c>
      <c r="IN250" t="e">
        <f>AND(#REF!,"AAAAACx9u/c=")</f>
        <v>#REF!</v>
      </c>
      <c r="IO250" t="e">
        <f>AND(#REF!,"AAAAACx9u/g=")</f>
        <v>#REF!</v>
      </c>
      <c r="IP250" t="e">
        <f>AND(#REF!,"AAAAACx9u/k=")</f>
        <v>#REF!</v>
      </c>
      <c r="IQ250" t="e">
        <f>AND(#REF!,"AAAAACx9u/o=")</f>
        <v>#REF!</v>
      </c>
      <c r="IR250" t="e">
        <f>AND(#REF!,"AAAAACx9u/s=")</f>
        <v>#REF!</v>
      </c>
      <c r="IS250" t="e">
        <f>AND(#REF!,"AAAAACx9u/w=")</f>
        <v>#REF!</v>
      </c>
      <c r="IT250" t="e">
        <f>AND(#REF!,"AAAAACx9u/0=")</f>
        <v>#REF!</v>
      </c>
      <c r="IU250" t="e">
        <f>AND(#REF!,"AAAAACx9u/4=")</f>
        <v>#REF!</v>
      </c>
      <c r="IV250" t="e">
        <f>AND(#REF!,"AAAAACx9u/8=")</f>
        <v>#REF!</v>
      </c>
    </row>
    <row r="251" spans="1:256">
      <c r="A251" t="e">
        <f>AND(#REF!,"AAAAAF/uVgA=")</f>
        <v>#REF!</v>
      </c>
      <c r="B251" t="e">
        <f>AND(#REF!,"AAAAAF/uVgE=")</f>
        <v>#REF!</v>
      </c>
      <c r="C251" t="e">
        <f>AND(#REF!,"AAAAAF/uVgI=")</f>
        <v>#REF!</v>
      </c>
      <c r="D251" t="e">
        <f>AND(#REF!,"AAAAAF/uVgM=")</f>
        <v>#REF!</v>
      </c>
      <c r="E251" t="e">
        <f>AND(#REF!,"AAAAAF/uVgQ=")</f>
        <v>#REF!</v>
      </c>
      <c r="F251" t="e">
        <f>AND(#REF!,"AAAAAF/uVgU=")</f>
        <v>#REF!</v>
      </c>
      <c r="G251" t="e">
        <f>AND(#REF!,"AAAAAF/uVgY=")</f>
        <v>#REF!</v>
      </c>
      <c r="H251" t="e">
        <f>AND(#REF!,"AAAAAF/uVgc=")</f>
        <v>#REF!</v>
      </c>
      <c r="I251" t="e">
        <f>AND(#REF!,"AAAAAF/uVgg=")</f>
        <v>#REF!</v>
      </c>
      <c r="J251" t="e">
        <f>AND(#REF!,"AAAAAF/uVgk=")</f>
        <v>#REF!</v>
      </c>
      <c r="K251" t="e">
        <f>IF(#REF!,"AAAAAF/uVgo=",0)</f>
        <v>#REF!</v>
      </c>
      <c r="L251" t="e">
        <f>AND(#REF!,"AAAAAF/uVgs=")</f>
        <v>#REF!</v>
      </c>
      <c r="M251" t="e">
        <f>AND(#REF!,"AAAAAF/uVgw=")</f>
        <v>#REF!</v>
      </c>
      <c r="N251" t="e">
        <f>AND(#REF!,"AAAAAF/uVg0=")</f>
        <v>#REF!</v>
      </c>
      <c r="O251" t="e">
        <f>AND(#REF!,"AAAAAF/uVg4=")</f>
        <v>#REF!</v>
      </c>
      <c r="P251" t="e">
        <f>AND(#REF!,"AAAAAF/uVg8=")</f>
        <v>#REF!</v>
      </c>
      <c r="Q251" t="e">
        <f>AND(#REF!,"AAAAAF/uVhA=")</f>
        <v>#REF!</v>
      </c>
      <c r="R251" t="e">
        <f>AND(#REF!,"AAAAAF/uVhE=")</f>
        <v>#REF!</v>
      </c>
      <c r="S251" t="e">
        <f>AND(#REF!,"AAAAAF/uVhI=")</f>
        <v>#REF!</v>
      </c>
      <c r="T251" t="e">
        <f>AND(#REF!,"AAAAAF/uVhM=")</f>
        <v>#REF!</v>
      </c>
      <c r="U251" t="e">
        <f>AND(#REF!,"AAAAAF/uVhQ=")</f>
        <v>#REF!</v>
      </c>
      <c r="V251" t="e">
        <f>AND(#REF!,"AAAAAF/uVhU=")</f>
        <v>#REF!</v>
      </c>
      <c r="W251" t="e">
        <f>AND(#REF!,"AAAAAF/uVhY=")</f>
        <v>#REF!</v>
      </c>
      <c r="X251" t="e">
        <f>AND(#REF!,"AAAAAF/uVhc=")</f>
        <v>#REF!</v>
      </c>
      <c r="Y251" t="e">
        <f>AND(#REF!,"AAAAAF/uVhg=")</f>
        <v>#REF!</v>
      </c>
      <c r="Z251" t="e">
        <f>AND(#REF!,"AAAAAF/uVhk=")</f>
        <v>#REF!</v>
      </c>
      <c r="AA251" t="e">
        <f>AND(#REF!,"AAAAAF/uVho=")</f>
        <v>#REF!</v>
      </c>
      <c r="AB251" t="e">
        <f>AND(#REF!,"AAAAAF/uVhs=")</f>
        <v>#REF!</v>
      </c>
      <c r="AC251" t="e">
        <f>AND(#REF!,"AAAAAF/uVhw=")</f>
        <v>#REF!</v>
      </c>
      <c r="AD251" t="e">
        <f>AND(#REF!,"AAAAAF/uVh0=")</f>
        <v>#REF!</v>
      </c>
      <c r="AE251" t="e">
        <f>AND(#REF!,"AAAAAF/uVh4=")</f>
        <v>#REF!</v>
      </c>
      <c r="AF251" t="e">
        <f>AND(#REF!,"AAAAAF/uVh8=")</f>
        <v>#REF!</v>
      </c>
      <c r="AG251" t="e">
        <f>AND(#REF!,"AAAAAF/uViA=")</f>
        <v>#REF!</v>
      </c>
      <c r="AH251" t="e">
        <f>AND(#REF!,"AAAAAF/uViE=")</f>
        <v>#REF!</v>
      </c>
      <c r="AI251" t="e">
        <f>AND(#REF!,"AAAAAF/uViI=")</f>
        <v>#REF!</v>
      </c>
      <c r="AJ251" t="e">
        <f>AND(#REF!,"AAAAAF/uViM=")</f>
        <v>#REF!</v>
      </c>
      <c r="AK251" t="e">
        <f>AND(#REF!,"AAAAAF/uViQ=")</f>
        <v>#REF!</v>
      </c>
      <c r="AL251" t="e">
        <f>AND(#REF!,"AAAAAF/uViU=")</f>
        <v>#REF!</v>
      </c>
      <c r="AM251" t="e">
        <f>AND(#REF!,"AAAAAF/uViY=")</f>
        <v>#REF!</v>
      </c>
      <c r="AN251" t="e">
        <f>AND(#REF!,"AAAAAF/uVic=")</f>
        <v>#REF!</v>
      </c>
      <c r="AO251" t="e">
        <f>AND(#REF!,"AAAAAF/uVig=")</f>
        <v>#REF!</v>
      </c>
      <c r="AP251" t="e">
        <f>AND(#REF!,"AAAAAF/uVik=")</f>
        <v>#REF!</v>
      </c>
      <c r="AQ251" t="e">
        <f>AND(#REF!,"AAAAAF/uVio=")</f>
        <v>#REF!</v>
      </c>
      <c r="AR251" t="e">
        <f>AND(#REF!,"AAAAAF/uVis=")</f>
        <v>#REF!</v>
      </c>
      <c r="AS251" t="e">
        <f>AND(#REF!,"AAAAAF/uViw=")</f>
        <v>#REF!</v>
      </c>
      <c r="AT251" t="e">
        <f>AND(#REF!,"AAAAAF/uVi0=")</f>
        <v>#REF!</v>
      </c>
      <c r="AU251" t="e">
        <f>AND(#REF!,"AAAAAF/uVi4=")</f>
        <v>#REF!</v>
      </c>
      <c r="AV251" t="e">
        <f>AND(#REF!,"AAAAAF/uVi8=")</f>
        <v>#REF!</v>
      </c>
      <c r="AW251" t="e">
        <f>AND(#REF!,"AAAAAF/uVjA=")</f>
        <v>#REF!</v>
      </c>
      <c r="AX251" t="e">
        <f>AND(#REF!,"AAAAAF/uVjE=")</f>
        <v>#REF!</v>
      </c>
      <c r="AY251" t="e">
        <f>AND(#REF!,"AAAAAF/uVjI=")</f>
        <v>#REF!</v>
      </c>
      <c r="AZ251" t="e">
        <f>AND(#REF!,"AAAAAF/uVjM=")</f>
        <v>#REF!</v>
      </c>
      <c r="BA251" t="e">
        <f>AND(#REF!,"AAAAAF/uVjQ=")</f>
        <v>#REF!</v>
      </c>
      <c r="BB251" t="e">
        <f>AND(#REF!,"AAAAAF/uVjU=")</f>
        <v>#REF!</v>
      </c>
      <c r="BC251" t="e">
        <f>AND(#REF!,"AAAAAF/uVjY=")</f>
        <v>#REF!</v>
      </c>
      <c r="BD251" t="e">
        <f>AND(#REF!,"AAAAAF/uVjc=")</f>
        <v>#REF!</v>
      </c>
      <c r="BE251" t="e">
        <f>AND(#REF!,"AAAAAF/uVjg=")</f>
        <v>#REF!</v>
      </c>
      <c r="BF251" t="e">
        <f>AND(#REF!,"AAAAAF/uVjk=")</f>
        <v>#REF!</v>
      </c>
      <c r="BG251" t="e">
        <f>AND(#REF!,"AAAAAF/uVjo=")</f>
        <v>#REF!</v>
      </c>
      <c r="BH251" t="e">
        <f>AND(#REF!,"AAAAAF/uVjs=")</f>
        <v>#REF!</v>
      </c>
      <c r="BI251" t="e">
        <f>AND(#REF!,"AAAAAF/uVjw=")</f>
        <v>#REF!</v>
      </c>
      <c r="BJ251" t="e">
        <f>AND(#REF!,"AAAAAF/uVj0=")</f>
        <v>#REF!</v>
      </c>
      <c r="BK251" t="e">
        <f>AND(#REF!,"AAAAAF/uVj4=")</f>
        <v>#REF!</v>
      </c>
      <c r="BL251" t="e">
        <f>AND(#REF!,"AAAAAF/uVj8=")</f>
        <v>#REF!</v>
      </c>
      <c r="BM251" t="e">
        <f>AND(#REF!,"AAAAAF/uVkA=")</f>
        <v>#REF!</v>
      </c>
      <c r="BN251" t="e">
        <f>AND(#REF!,"AAAAAF/uVkE=")</f>
        <v>#REF!</v>
      </c>
      <c r="BO251" t="e">
        <f>AND(#REF!,"AAAAAF/uVkI=")</f>
        <v>#REF!</v>
      </c>
      <c r="BP251" t="e">
        <f>AND(#REF!,"AAAAAF/uVkM=")</f>
        <v>#REF!</v>
      </c>
      <c r="BQ251" t="e">
        <f>AND(#REF!,"AAAAAF/uVkQ=")</f>
        <v>#REF!</v>
      </c>
      <c r="BR251" t="e">
        <f>AND(#REF!,"AAAAAF/uVkU=")</f>
        <v>#REF!</v>
      </c>
      <c r="BS251" t="e">
        <f>AND(#REF!,"AAAAAF/uVkY=")</f>
        <v>#REF!</v>
      </c>
      <c r="BT251" t="e">
        <f>AND(#REF!,"AAAAAF/uVkc=")</f>
        <v>#REF!</v>
      </c>
      <c r="BU251" t="e">
        <f>AND(#REF!,"AAAAAF/uVkg=")</f>
        <v>#REF!</v>
      </c>
      <c r="BV251" t="e">
        <f>AND(#REF!,"AAAAAF/uVkk=")</f>
        <v>#REF!</v>
      </c>
      <c r="BW251" t="e">
        <f>AND(#REF!,"AAAAAF/uVko=")</f>
        <v>#REF!</v>
      </c>
      <c r="BX251" t="e">
        <f>AND(#REF!,"AAAAAF/uVks=")</f>
        <v>#REF!</v>
      </c>
      <c r="BY251" t="e">
        <f>AND(#REF!,"AAAAAF/uVkw=")</f>
        <v>#REF!</v>
      </c>
      <c r="BZ251" t="e">
        <f>AND(#REF!,"AAAAAF/uVk0=")</f>
        <v>#REF!</v>
      </c>
      <c r="CA251" t="e">
        <f>AND(#REF!,"AAAAAF/uVk4=")</f>
        <v>#REF!</v>
      </c>
      <c r="CB251" t="e">
        <f>AND(#REF!,"AAAAAF/uVk8=")</f>
        <v>#REF!</v>
      </c>
      <c r="CC251" t="e">
        <f>AND(#REF!,"AAAAAF/uVlA=")</f>
        <v>#REF!</v>
      </c>
      <c r="CD251" t="e">
        <f>AND(#REF!,"AAAAAF/uVlE=")</f>
        <v>#REF!</v>
      </c>
      <c r="CE251" t="e">
        <f>AND(#REF!,"AAAAAF/uVlI=")</f>
        <v>#REF!</v>
      </c>
      <c r="CF251" t="e">
        <f>AND(#REF!,"AAAAAF/uVlM=")</f>
        <v>#REF!</v>
      </c>
      <c r="CG251" t="e">
        <f>AND(#REF!,"AAAAAF/uVlQ=")</f>
        <v>#REF!</v>
      </c>
      <c r="CH251" t="e">
        <f>AND(#REF!,"AAAAAF/uVlU=")</f>
        <v>#REF!</v>
      </c>
      <c r="CI251" t="e">
        <f>AND(#REF!,"AAAAAF/uVlY=")</f>
        <v>#REF!</v>
      </c>
      <c r="CJ251" t="e">
        <f>AND(#REF!,"AAAAAF/uVlc=")</f>
        <v>#REF!</v>
      </c>
      <c r="CK251" t="e">
        <f>AND(#REF!,"AAAAAF/uVlg=")</f>
        <v>#REF!</v>
      </c>
      <c r="CL251" t="e">
        <f>AND(#REF!,"AAAAAF/uVlk=")</f>
        <v>#REF!</v>
      </c>
      <c r="CM251" t="e">
        <f>AND(#REF!,"AAAAAF/uVlo=")</f>
        <v>#REF!</v>
      </c>
      <c r="CN251" t="e">
        <f>AND(#REF!,"AAAAAF/uVls=")</f>
        <v>#REF!</v>
      </c>
      <c r="CO251" t="e">
        <f>AND(#REF!,"AAAAAF/uVlw=")</f>
        <v>#REF!</v>
      </c>
      <c r="CP251" t="e">
        <f>AND(#REF!,"AAAAAF/uVl0=")</f>
        <v>#REF!</v>
      </c>
      <c r="CQ251" t="e">
        <f>AND(#REF!,"AAAAAF/uVl4=")</f>
        <v>#REF!</v>
      </c>
      <c r="CR251" t="e">
        <f>AND(#REF!,"AAAAAF/uVl8=")</f>
        <v>#REF!</v>
      </c>
      <c r="CS251" t="e">
        <f>AND(#REF!,"AAAAAF/uVmA=")</f>
        <v>#REF!</v>
      </c>
      <c r="CT251" t="e">
        <f>AND(#REF!,"AAAAAF/uVmE=")</f>
        <v>#REF!</v>
      </c>
      <c r="CU251" t="e">
        <f>AND(#REF!,"AAAAAF/uVmI=")</f>
        <v>#REF!</v>
      </c>
      <c r="CV251" t="e">
        <f>AND(#REF!,"AAAAAF/uVmM=")</f>
        <v>#REF!</v>
      </c>
      <c r="CW251" t="e">
        <f>AND(#REF!,"AAAAAF/uVmQ=")</f>
        <v>#REF!</v>
      </c>
      <c r="CX251" t="e">
        <f>AND(#REF!,"AAAAAF/uVmU=")</f>
        <v>#REF!</v>
      </c>
      <c r="CY251" t="e">
        <f>AND(#REF!,"AAAAAF/uVmY=")</f>
        <v>#REF!</v>
      </c>
      <c r="CZ251" t="e">
        <f>AND(#REF!,"AAAAAF/uVmc=")</f>
        <v>#REF!</v>
      </c>
      <c r="DA251" t="e">
        <f>AND(#REF!,"AAAAAF/uVmg=")</f>
        <v>#REF!</v>
      </c>
      <c r="DB251" t="e">
        <f>AND(#REF!,"AAAAAF/uVmk=")</f>
        <v>#REF!</v>
      </c>
      <c r="DC251" t="e">
        <f>AND(#REF!,"AAAAAF/uVmo=")</f>
        <v>#REF!</v>
      </c>
      <c r="DD251" t="e">
        <f>AND(#REF!,"AAAAAF/uVms=")</f>
        <v>#REF!</v>
      </c>
      <c r="DE251" t="e">
        <f>AND(#REF!,"AAAAAF/uVmw=")</f>
        <v>#REF!</v>
      </c>
      <c r="DF251" t="e">
        <f>AND(#REF!,"AAAAAF/uVm0=")</f>
        <v>#REF!</v>
      </c>
      <c r="DG251" t="e">
        <f>AND(#REF!,"AAAAAF/uVm4=")</f>
        <v>#REF!</v>
      </c>
      <c r="DH251" t="e">
        <f>AND(#REF!,"AAAAAF/uVm8=")</f>
        <v>#REF!</v>
      </c>
      <c r="DI251" t="e">
        <f>AND(#REF!,"AAAAAF/uVnA=")</f>
        <v>#REF!</v>
      </c>
      <c r="DJ251" t="e">
        <f>AND(#REF!,"AAAAAF/uVnE=")</f>
        <v>#REF!</v>
      </c>
      <c r="DK251" t="e">
        <f>AND(#REF!,"AAAAAF/uVnI=")</f>
        <v>#REF!</v>
      </c>
      <c r="DL251" t="e">
        <f>AND(#REF!,"AAAAAF/uVnM=")</f>
        <v>#REF!</v>
      </c>
      <c r="DM251" t="e">
        <f>AND(#REF!,"AAAAAF/uVnQ=")</f>
        <v>#REF!</v>
      </c>
      <c r="DN251" t="e">
        <f>AND(#REF!,"AAAAAF/uVnU=")</f>
        <v>#REF!</v>
      </c>
      <c r="DO251" t="e">
        <f>AND(#REF!,"AAAAAF/uVnY=")</f>
        <v>#REF!</v>
      </c>
      <c r="DP251" t="e">
        <f>AND(#REF!,"AAAAAF/uVnc=")</f>
        <v>#REF!</v>
      </c>
      <c r="DQ251" t="e">
        <f>AND(#REF!,"AAAAAF/uVng=")</f>
        <v>#REF!</v>
      </c>
      <c r="DR251" t="e">
        <f>AND(#REF!,"AAAAAF/uVnk=")</f>
        <v>#REF!</v>
      </c>
      <c r="DS251" t="e">
        <f>AND(#REF!,"AAAAAF/uVno=")</f>
        <v>#REF!</v>
      </c>
      <c r="DT251" t="e">
        <f>AND(#REF!,"AAAAAF/uVns=")</f>
        <v>#REF!</v>
      </c>
      <c r="DU251" t="e">
        <f>AND(#REF!,"AAAAAF/uVnw=")</f>
        <v>#REF!</v>
      </c>
      <c r="DV251" t="e">
        <f>AND(#REF!,"AAAAAF/uVn0=")</f>
        <v>#REF!</v>
      </c>
      <c r="DW251" t="e">
        <f>AND(#REF!,"AAAAAF/uVn4=")</f>
        <v>#REF!</v>
      </c>
      <c r="DX251" t="e">
        <f>AND(#REF!,"AAAAAF/uVn8=")</f>
        <v>#REF!</v>
      </c>
      <c r="DY251" t="e">
        <f>AND(#REF!,"AAAAAF/uVoA=")</f>
        <v>#REF!</v>
      </c>
      <c r="DZ251" t="e">
        <f>AND(#REF!,"AAAAAF/uVoE=")</f>
        <v>#REF!</v>
      </c>
      <c r="EA251" t="e">
        <f>AND(#REF!,"AAAAAF/uVoI=")</f>
        <v>#REF!</v>
      </c>
      <c r="EB251" t="e">
        <f>AND(#REF!,"AAAAAF/uVoM=")</f>
        <v>#REF!</v>
      </c>
      <c r="EC251" t="e">
        <f>AND(#REF!,"AAAAAF/uVoQ=")</f>
        <v>#REF!</v>
      </c>
      <c r="ED251" t="e">
        <f>AND(#REF!,"AAAAAF/uVoU=")</f>
        <v>#REF!</v>
      </c>
      <c r="EE251" t="e">
        <f>AND(#REF!,"AAAAAF/uVoY=")</f>
        <v>#REF!</v>
      </c>
      <c r="EF251" t="e">
        <f>AND(#REF!,"AAAAAF/uVoc=")</f>
        <v>#REF!</v>
      </c>
      <c r="EG251" t="e">
        <f>AND(#REF!,"AAAAAF/uVog=")</f>
        <v>#REF!</v>
      </c>
      <c r="EH251" t="e">
        <f>AND(#REF!,"AAAAAF/uVok=")</f>
        <v>#REF!</v>
      </c>
      <c r="EI251" t="e">
        <f>AND(#REF!,"AAAAAF/uVoo=")</f>
        <v>#REF!</v>
      </c>
      <c r="EJ251" t="e">
        <f>AND(#REF!,"AAAAAF/uVos=")</f>
        <v>#REF!</v>
      </c>
      <c r="EK251" t="e">
        <f>AND(#REF!,"AAAAAF/uVow=")</f>
        <v>#REF!</v>
      </c>
      <c r="EL251" t="e">
        <f>AND(#REF!,"AAAAAF/uVo0=")</f>
        <v>#REF!</v>
      </c>
      <c r="EM251" t="e">
        <f>AND(#REF!,"AAAAAF/uVo4=")</f>
        <v>#REF!</v>
      </c>
      <c r="EN251" t="e">
        <f>AND(#REF!,"AAAAAF/uVo8=")</f>
        <v>#REF!</v>
      </c>
      <c r="EO251" t="e">
        <f>AND(#REF!,"AAAAAF/uVpA=")</f>
        <v>#REF!</v>
      </c>
      <c r="EP251" t="e">
        <f>AND(#REF!,"AAAAAF/uVpE=")</f>
        <v>#REF!</v>
      </c>
      <c r="EQ251" t="e">
        <f>AND(#REF!,"AAAAAF/uVpI=")</f>
        <v>#REF!</v>
      </c>
      <c r="ER251" t="e">
        <f>AND(#REF!,"AAAAAF/uVpM=")</f>
        <v>#REF!</v>
      </c>
      <c r="ES251" t="e">
        <f>AND(#REF!,"AAAAAF/uVpQ=")</f>
        <v>#REF!</v>
      </c>
      <c r="ET251" t="e">
        <f>AND(#REF!,"AAAAAF/uVpU=")</f>
        <v>#REF!</v>
      </c>
      <c r="EU251" t="e">
        <f>AND(#REF!,"AAAAAF/uVpY=")</f>
        <v>#REF!</v>
      </c>
      <c r="EV251" t="e">
        <f>AND(#REF!,"AAAAAF/uVpc=")</f>
        <v>#REF!</v>
      </c>
      <c r="EW251" t="e">
        <f>AND(#REF!,"AAAAAF/uVpg=")</f>
        <v>#REF!</v>
      </c>
      <c r="EX251" t="e">
        <f>AND(#REF!,"AAAAAF/uVpk=")</f>
        <v>#REF!</v>
      </c>
      <c r="EY251" t="e">
        <f>AND(#REF!,"AAAAAF/uVpo=")</f>
        <v>#REF!</v>
      </c>
      <c r="EZ251" t="e">
        <f>AND(#REF!,"AAAAAF/uVps=")</f>
        <v>#REF!</v>
      </c>
      <c r="FA251" t="e">
        <f>AND(#REF!,"AAAAAF/uVpw=")</f>
        <v>#REF!</v>
      </c>
      <c r="FB251" t="e">
        <f>AND(#REF!,"AAAAAF/uVp0=")</f>
        <v>#REF!</v>
      </c>
      <c r="FC251" t="e">
        <f>AND(#REF!,"AAAAAF/uVp4=")</f>
        <v>#REF!</v>
      </c>
      <c r="FD251" t="e">
        <f>AND(#REF!,"AAAAAF/uVp8=")</f>
        <v>#REF!</v>
      </c>
      <c r="FE251" t="e">
        <f>AND(#REF!,"AAAAAF/uVqA=")</f>
        <v>#REF!</v>
      </c>
      <c r="FF251" t="e">
        <f>AND(#REF!,"AAAAAF/uVqE=")</f>
        <v>#REF!</v>
      </c>
      <c r="FG251" t="e">
        <f>AND(#REF!,"AAAAAF/uVqI=")</f>
        <v>#REF!</v>
      </c>
      <c r="FH251" t="e">
        <f>AND(#REF!,"AAAAAF/uVqM=")</f>
        <v>#REF!</v>
      </c>
      <c r="FI251" t="e">
        <f>AND(#REF!,"AAAAAF/uVqQ=")</f>
        <v>#REF!</v>
      </c>
      <c r="FJ251" t="e">
        <f>AND(#REF!,"AAAAAF/uVqU=")</f>
        <v>#REF!</v>
      </c>
      <c r="FK251" t="e">
        <f>AND(#REF!,"AAAAAF/uVqY=")</f>
        <v>#REF!</v>
      </c>
      <c r="FL251" t="e">
        <f>AND(#REF!,"AAAAAF/uVqc=")</f>
        <v>#REF!</v>
      </c>
      <c r="FM251" t="e">
        <f>AND(#REF!,"AAAAAF/uVqg=")</f>
        <v>#REF!</v>
      </c>
      <c r="FN251" t="e">
        <f>AND(#REF!,"AAAAAF/uVqk=")</f>
        <v>#REF!</v>
      </c>
      <c r="FO251" t="e">
        <f>AND(#REF!,"AAAAAF/uVqo=")</f>
        <v>#REF!</v>
      </c>
      <c r="FP251" t="e">
        <f>AND(#REF!,"AAAAAF/uVqs=")</f>
        <v>#REF!</v>
      </c>
      <c r="FQ251" t="e">
        <f>AND(#REF!,"AAAAAF/uVqw=")</f>
        <v>#REF!</v>
      </c>
      <c r="FR251" t="e">
        <f>AND(#REF!,"AAAAAF/uVq0=")</f>
        <v>#REF!</v>
      </c>
      <c r="FS251" t="e">
        <f>AND(#REF!,"AAAAAF/uVq4=")</f>
        <v>#REF!</v>
      </c>
      <c r="FT251" t="e">
        <f>AND(#REF!,"AAAAAF/uVq8=")</f>
        <v>#REF!</v>
      </c>
      <c r="FU251" t="e">
        <f>AND(#REF!,"AAAAAF/uVrA=")</f>
        <v>#REF!</v>
      </c>
      <c r="FV251" t="e">
        <f>AND(#REF!,"AAAAAF/uVrE=")</f>
        <v>#REF!</v>
      </c>
      <c r="FW251" t="e">
        <f>AND(#REF!,"AAAAAF/uVrI=")</f>
        <v>#REF!</v>
      </c>
      <c r="FX251" t="e">
        <f>AND(#REF!,"AAAAAF/uVrM=")</f>
        <v>#REF!</v>
      </c>
      <c r="FY251" t="e">
        <f>AND(#REF!,"AAAAAF/uVrQ=")</f>
        <v>#REF!</v>
      </c>
      <c r="FZ251" t="e">
        <f>AND(#REF!,"AAAAAF/uVrU=")</f>
        <v>#REF!</v>
      </c>
      <c r="GA251" t="e">
        <f>AND(#REF!,"AAAAAF/uVrY=")</f>
        <v>#REF!</v>
      </c>
      <c r="GB251" t="e">
        <f>AND(#REF!,"AAAAAF/uVrc=")</f>
        <v>#REF!</v>
      </c>
      <c r="GC251" t="e">
        <f>AND(#REF!,"AAAAAF/uVrg=")</f>
        <v>#REF!</v>
      </c>
      <c r="GD251" t="e">
        <f>AND(#REF!,"AAAAAF/uVrk=")</f>
        <v>#REF!</v>
      </c>
      <c r="GE251" t="e">
        <f>AND(#REF!,"AAAAAF/uVro=")</f>
        <v>#REF!</v>
      </c>
      <c r="GF251" t="e">
        <f>AND(#REF!,"AAAAAF/uVrs=")</f>
        <v>#REF!</v>
      </c>
      <c r="GG251" t="e">
        <f>AND(#REF!,"AAAAAF/uVrw=")</f>
        <v>#REF!</v>
      </c>
      <c r="GH251" t="e">
        <f>AND(#REF!,"AAAAAF/uVr0=")</f>
        <v>#REF!</v>
      </c>
      <c r="GI251" t="e">
        <f>AND(#REF!,"AAAAAF/uVr4=")</f>
        <v>#REF!</v>
      </c>
      <c r="GJ251" t="e">
        <f>AND(#REF!,"AAAAAF/uVr8=")</f>
        <v>#REF!</v>
      </c>
      <c r="GK251" t="e">
        <f>AND(#REF!,"AAAAAF/uVsA=")</f>
        <v>#REF!</v>
      </c>
      <c r="GL251" t="e">
        <f>AND(#REF!,"AAAAAF/uVsE=")</f>
        <v>#REF!</v>
      </c>
      <c r="GM251" t="e">
        <f>AND(#REF!,"AAAAAF/uVsI=")</f>
        <v>#REF!</v>
      </c>
      <c r="GN251" t="e">
        <f>AND(#REF!,"AAAAAF/uVsM=")</f>
        <v>#REF!</v>
      </c>
      <c r="GO251" t="e">
        <f>AND(#REF!,"AAAAAF/uVsQ=")</f>
        <v>#REF!</v>
      </c>
      <c r="GP251" t="e">
        <f>AND(#REF!,"AAAAAF/uVsU=")</f>
        <v>#REF!</v>
      </c>
      <c r="GQ251" t="e">
        <f>AND(#REF!,"AAAAAF/uVsY=")</f>
        <v>#REF!</v>
      </c>
      <c r="GR251" t="e">
        <f>AND(#REF!,"AAAAAF/uVsc=")</f>
        <v>#REF!</v>
      </c>
      <c r="GS251" t="e">
        <f>AND(#REF!,"AAAAAF/uVsg=")</f>
        <v>#REF!</v>
      </c>
      <c r="GT251" t="e">
        <f>AND(#REF!,"AAAAAF/uVsk=")</f>
        <v>#REF!</v>
      </c>
      <c r="GU251" t="e">
        <f>AND(#REF!,"AAAAAF/uVso=")</f>
        <v>#REF!</v>
      </c>
      <c r="GV251" t="e">
        <f>AND(#REF!,"AAAAAF/uVss=")</f>
        <v>#REF!</v>
      </c>
      <c r="GW251" t="e">
        <f>AND(#REF!,"AAAAAF/uVsw=")</f>
        <v>#REF!</v>
      </c>
      <c r="GX251" t="e">
        <f>AND(#REF!,"AAAAAF/uVs0=")</f>
        <v>#REF!</v>
      </c>
      <c r="GY251" t="e">
        <f>AND(#REF!,"AAAAAF/uVs4=")</f>
        <v>#REF!</v>
      </c>
      <c r="GZ251" t="e">
        <f>AND(#REF!,"AAAAAF/uVs8=")</f>
        <v>#REF!</v>
      </c>
      <c r="HA251" t="e">
        <f>AND(#REF!,"AAAAAF/uVtA=")</f>
        <v>#REF!</v>
      </c>
      <c r="HB251" t="e">
        <f>AND(#REF!,"AAAAAF/uVtE=")</f>
        <v>#REF!</v>
      </c>
      <c r="HC251" t="e">
        <f>AND(#REF!,"AAAAAF/uVtI=")</f>
        <v>#REF!</v>
      </c>
      <c r="HD251" t="e">
        <f>AND(#REF!,"AAAAAF/uVtM=")</f>
        <v>#REF!</v>
      </c>
      <c r="HE251" t="e">
        <f>AND(#REF!,"AAAAAF/uVtQ=")</f>
        <v>#REF!</v>
      </c>
      <c r="HF251" t="e">
        <f>AND(#REF!,"AAAAAF/uVtU=")</f>
        <v>#REF!</v>
      </c>
      <c r="HG251" t="e">
        <f>AND(#REF!,"AAAAAF/uVtY=")</f>
        <v>#REF!</v>
      </c>
      <c r="HH251" t="e">
        <f>AND(#REF!,"AAAAAF/uVtc=")</f>
        <v>#REF!</v>
      </c>
      <c r="HI251" t="e">
        <f>AND(#REF!,"AAAAAF/uVtg=")</f>
        <v>#REF!</v>
      </c>
      <c r="HJ251" t="e">
        <f>AND(#REF!,"AAAAAF/uVtk=")</f>
        <v>#REF!</v>
      </c>
      <c r="HK251" t="e">
        <f>AND(#REF!,"AAAAAF/uVto=")</f>
        <v>#REF!</v>
      </c>
      <c r="HL251" t="e">
        <f>AND(#REF!,"AAAAAF/uVts=")</f>
        <v>#REF!</v>
      </c>
      <c r="HM251" t="e">
        <f>AND(#REF!,"AAAAAF/uVtw=")</f>
        <v>#REF!</v>
      </c>
      <c r="HN251" t="e">
        <f>AND(#REF!,"AAAAAF/uVt0=")</f>
        <v>#REF!</v>
      </c>
      <c r="HO251" t="e">
        <f>AND(#REF!,"AAAAAF/uVt4=")</f>
        <v>#REF!</v>
      </c>
      <c r="HP251" t="e">
        <f>AND(#REF!,"AAAAAF/uVt8=")</f>
        <v>#REF!</v>
      </c>
      <c r="HQ251" t="e">
        <f>AND(#REF!,"AAAAAF/uVuA=")</f>
        <v>#REF!</v>
      </c>
      <c r="HR251" t="e">
        <f>AND(#REF!,"AAAAAF/uVuE=")</f>
        <v>#REF!</v>
      </c>
      <c r="HS251" t="e">
        <f>AND(#REF!,"AAAAAF/uVuI=")</f>
        <v>#REF!</v>
      </c>
      <c r="HT251" t="e">
        <f>AND(#REF!,"AAAAAF/uVuM=")</f>
        <v>#REF!</v>
      </c>
      <c r="HU251" t="e">
        <f>AND(#REF!,"AAAAAF/uVuQ=")</f>
        <v>#REF!</v>
      </c>
      <c r="HV251" t="e">
        <f>AND(#REF!,"AAAAAF/uVuU=")</f>
        <v>#REF!</v>
      </c>
      <c r="HW251" t="e">
        <f>AND(#REF!,"AAAAAF/uVuY=")</f>
        <v>#REF!</v>
      </c>
      <c r="HX251" t="e">
        <f>AND(#REF!,"AAAAAF/uVuc=")</f>
        <v>#REF!</v>
      </c>
      <c r="HY251" t="e">
        <f>AND(#REF!,"AAAAAF/uVug=")</f>
        <v>#REF!</v>
      </c>
      <c r="HZ251" t="e">
        <f>AND(#REF!,"AAAAAF/uVuk=")</f>
        <v>#REF!</v>
      </c>
      <c r="IA251" t="e">
        <f>AND(#REF!,"AAAAAF/uVuo=")</f>
        <v>#REF!</v>
      </c>
      <c r="IB251" t="e">
        <f>AND(#REF!,"AAAAAF/uVus=")</f>
        <v>#REF!</v>
      </c>
      <c r="IC251" t="e">
        <f>AND(#REF!,"AAAAAF/uVuw=")</f>
        <v>#REF!</v>
      </c>
      <c r="ID251" t="e">
        <f>AND(#REF!,"AAAAAF/uVu0=")</f>
        <v>#REF!</v>
      </c>
      <c r="IE251" t="e">
        <f>IF(#REF!,"AAAAAF/uVu4=",0)</f>
        <v>#REF!</v>
      </c>
      <c r="IF251" t="e">
        <f>AND(#REF!,"AAAAAF/uVu8=")</f>
        <v>#REF!</v>
      </c>
      <c r="IG251" t="e">
        <f>AND(#REF!,"AAAAAF/uVvA=")</f>
        <v>#REF!</v>
      </c>
      <c r="IH251" t="e">
        <f>AND(#REF!,"AAAAAF/uVvE=")</f>
        <v>#REF!</v>
      </c>
      <c r="II251" t="e">
        <f>AND(#REF!,"AAAAAF/uVvI=")</f>
        <v>#REF!</v>
      </c>
      <c r="IJ251" t="e">
        <f>AND(#REF!,"AAAAAF/uVvM=")</f>
        <v>#REF!</v>
      </c>
      <c r="IK251" t="e">
        <f>AND(#REF!,"AAAAAF/uVvQ=")</f>
        <v>#REF!</v>
      </c>
      <c r="IL251" t="e">
        <f>AND(#REF!,"AAAAAF/uVvU=")</f>
        <v>#REF!</v>
      </c>
      <c r="IM251" t="e">
        <f>AND(#REF!,"AAAAAF/uVvY=")</f>
        <v>#REF!</v>
      </c>
      <c r="IN251" t="e">
        <f>AND(#REF!,"AAAAAF/uVvc=")</f>
        <v>#REF!</v>
      </c>
      <c r="IO251" t="e">
        <f>AND(#REF!,"AAAAAF/uVvg=")</f>
        <v>#REF!</v>
      </c>
      <c r="IP251" t="e">
        <f>AND(#REF!,"AAAAAF/uVvk=")</f>
        <v>#REF!</v>
      </c>
      <c r="IQ251" t="e">
        <f>AND(#REF!,"AAAAAF/uVvo=")</f>
        <v>#REF!</v>
      </c>
      <c r="IR251" t="e">
        <f>AND(#REF!,"AAAAAF/uVvs=")</f>
        <v>#REF!</v>
      </c>
      <c r="IS251" t="e">
        <f>AND(#REF!,"AAAAAF/uVvw=")</f>
        <v>#REF!</v>
      </c>
      <c r="IT251" t="e">
        <f>AND(#REF!,"AAAAAF/uVv0=")</f>
        <v>#REF!</v>
      </c>
      <c r="IU251" t="e">
        <f>AND(#REF!,"AAAAAF/uVv4=")</f>
        <v>#REF!</v>
      </c>
      <c r="IV251" t="e">
        <f>AND(#REF!,"AAAAAF/uVv8=")</f>
        <v>#REF!</v>
      </c>
    </row>
    <row r="252" spans="1:256">
      <c r="A252" t="e">
        <f>AND(#REF!,"AAAAADe3xwA=")</f>
        <v>#REF!</v>
      </c>
      <c r="B252" t="e">
        <f>AND(#REF!,"AAAAADe3xwE=")</f>
        <v>#REF!</v>
      </c>
      <c r="C252" t="e">
        <f>AND(#REF!,"AAAAADe3xwI=")</f>
        <v>#REF!</v>
      </c>
      <c r="D252" t="e">
        <f>AND(#REF!,"AAAAADe3xwM=")</f>
        <v>#REF!</v>
      </c>
      <c r="E252" t="e">
        <f>AND(#REF!,"AAAAADe3xwQ=")</f>
        <v>#REF!</v>
      </c>
      <c r="F252" t="e">
        <f>AND(#REF!,"AAAAADe3xwU=")</f>
        <v>#REF!</v>
      </c>
      <c r="G252" t="e">
        <f>AND(#REF!,"AAAAADe3xwY=")</f>
        <v>#REF!</v>
      </c>
      <c r="H252" t="e">
        <f>AND(#REF!,"AAAAADe3xwc=")</f>
        <v>#REF!</v>
      </c>
      <c r="I252" t="e">
        <f>AND(#REF!,"AAAAADe3xwg=")</f>
        <v>#REF!</v>
      </c>
      <c r="J252" t="e">
        <f>AND(#REF!,"AAAAADe3xwk=")</f>
        <v>#REF!</v>
      </c>
      <c r="K252" t="e">
        <f>AND(#REF!,"AAAAADe3xwo=")</f>
        <v>#REF!</v>
      </c>
      <c r="L252" t="e">
        <f>AND(#REF!,"AAAAADe3xws=")</f>
        <v>#REF!</v>
      </c>
      <c r="M252" t="e">
        <f>AND(#REF!,"AAAAADe3xww=")</f>
        <v>#REF!</v>
      </c>
      <c r="N252" t="e">
        <f>AND(#REF!,"AAAAADe3xw0=")</f>
        <v>#REF!</v>
      </c>
      <c r="O252" t="e">
        <f>AND(#REF!,"AAAAADe3xw4=")</f>
        <v>#REF!</v>
      </c>
      <c r="P252" t="e">
        <f>AND(#REF!,"AAAAADe3xw8=")</f>
        <v>#REF!</v>
      </c>
      <c r="Q252" t="e">
        <f>AND(#REF!,"AAAAADe3xxA=")</f>
        <v>#REF!</v>
      </c>
      <c r="R252" t="e">
        <f>AND(#REF!,"AAAAADe3xxE=")</f>
        <v>#REF!</v>
      </c>
      <c r="S252" t="e">
        <f>AND(#REF!,"AAAAADe3xxI=")</f>
        <v>#REF!</v>
      </c>
      <c r="T252" t="e">
        <f>AND(#REF!,"AAAAADe3xxM=")</f>
        <v>#REF!</v>
      </c>
      <c r="U252" t="e">
        <f>AND(#REF!,"AAAAADe3xxQ=")</f>
        <v>#REF!</v>
      </c>
      <c r="V252" t="e">
        <f>AND(#REF!,"AAAAADe3xxU=")</f>
        <v>#REF!</v>
      </c>
      <c r="W252" t="e">
        <f>AND(#REF!,"AAAAADe3xxY=")</f>
        <v>#REF!</v>
      </c>
      <c r="X252" t="e">
        <f>AND(#REF!,"AAAAADe3xxc=")</f>
        <v>#REF!</v>
      </c>
      <c r="Y252" t="e">
        <f>AND(#REF!,"AAAAADe3xxg=")</f>
        <v>#REF!</v>
      </c>
      <c r="Z252" t="e">
        <f>AND(#REF!,"AAAAADe3xxk=")</f>
        <v>#REF!</v>
      </c>
      <c r="AA252" t="e">
        <f>AND(#REF!,"AAAAADe3xxo=")</f>
        <v>#REF!</v>
      </c>
      <c r="AB252" t="e">
        <f>AND(#REF!,"AAAAADe3xxs=")</f>
        <v>#REF!</v>
      </c>
      <c r="AC252" t="e">
        <f>AND(#REF!,"AAAAADe3xxw=")</f>
        <v>#REF!</v>
      </c>
      <c r="AD252" t="e">
        <f>AND(#REF!,"AAAAADe3xx0=")</f>
        <v>#REF!</v>
      </c>
      <c r="AE252" t="e">
        <f>AND(#REF!,"AAAAADe3xx4=")</f>
        <v>#REF!</v>
      </c>
      <c r="AF252" t="e">
        <f>AND(#REF!,"AAAAADe3xx8=")</f>
        <v>#REF!</v>
      </c>
      <c r="AG252" t="e">
        <f>AND(#REF!,"AAAAADe3xyA=")</f>
        <v>#REF!</v>
      </c>
      <c r="AH252" t="e">
        <f>AND(#REF!,"AAAAADe3xyE=")</f>
        <v>#REF!</v>
      </c>
      <c r="AI252" t="e">
        <f>AND(#REF!,"AAAAADe3xyI=")</f>
        <v>#REF!</v>
      </c>
      <c r="AJ252" t="e">
        <f>AND(#REF!,"AAAAADe3xyM=")</f>
        <v>#REF!</v>
      </c>
      <c r="AK252" t="e">
        <f>AND(#REF!,"AAAAADe3xyQ=")</f>
        <v>#REF!</v>
      </c>
      <c r="AL252" t="e">
        <f>AND(#REF!,"AAAAADe3xyU=")</f>
        <v>#REF!</v>
      </c>
      <c r="AM252" t="e">
        <f>AND(#REF!,"AAAAADe3xyY=")</f>
        <v>#REF!</v>
      </c>
      <c r="AN252" t="e">
        <f>AND(#REF!,"AAAAADe3xyc=")</f>
        <v>#REF!</v>
      </c>
      <c r="AO252" t="e">
        <f>AND(#REF!,"AAAAADe3xyg=")</f>
        <v>#REF!</v>
      </c>
      <c r="AP252" t="e">
        <f>AND(#REF!,"AAAAADe3xyk=")</f>
        <v>#REF!</v>
      </c>
      <c r="AQ252" t="e">
        <f>AND(#REF!,"AAAAADe3xyo=")</f>
        <v>#REF!</v>
      </c>
      <c r="AR252" t="e">
        <f>AND(#REF!,"AAAAADe3xys=")</f>
        <v>#REF!</v>
      </c>
      <c r="AS252" t="e">
        <f>AND(#REF!,"AAAAADe3xyw=")</f>
        <v>#REF!</v>
      </c>
      <c r="AT252" t="e">
        <f>AND(#REF!,"AAAAADe3xy0=")</f>
        <v>#REF!</v>
      </c>
      <c r="AU252" t="e">
        <f>AND(#REF!,"AAAAADe3xy4=")</f>
        <v>#REF!</v>
      </c>
      <c r="AV252" t="e">
        <f>AND(#REF!,"AAAAADe3xy8=")</f>
        <v>#REF!</v>
      </c>
      <c r="AW252" t="e">
        <f>AND(#REF!,"AAAAADe3xzA=")</f>
        <v>#REF!</v>
      </c>
      <c r="AX252" t="e">
        <f>AND(#REF!,"AAAAADe3xzE=")</f>
        <v>#REF!</v>
      </c>
      <c r="AY252" t="e">
        <f>AND(#REF!,"AAAAADe3xzI=")</f>
        <v>#REF!</v>
      </c>
      <c r="AZ252" t="e">
        <f>AND(#REF!,"AAAAADe3xzM=")</f>
        <v>#REF!</v>
      </c>
      <c r="BA252" t="e">
        <f>AND(#REF!,"AAAAADe3xzQ=")</f>
        <v>#REF!</v>
      </c>
      <c r="BB252" t="e">
        <f>AND(#REF!,"AAAAADe3xzU=")</f>
        <v>#REF!</v>
      </c>
      <c r="BC252" t="e">
        <f>AND(#REF!,"AAAAADe3xzY=")</f>
        <v>#REF!</v>
      </c>
      <c r="BD252" t="e">
        <f>AND(#REF!,"AAAAADe3xzc=")</f>
        <v>#REF!</v>
      </c>
      <c r="BE252" t="e">
        <f>AND(#REF!,"AAAAADe3xzg=")</f>
        <v>#REF!</v>
      </c>
      <c r="BF252" t="e">
        <f>AND(#REF!,"AAAAADe3xzk=")</f>
        <v>#REF!</v>
      </c>
      <c r="BG252" t="e">
        <f>AND(#REF!,"AAAAADe3xzo=")</f>
        <v>#REF!</v>
      </c>
      <c r="BH252" t="e">
        <f>AND(#REF!,"AAAAADe3xzs=")</f>
        <v>#REF!</v>
      </c>
      <c r="BI252" t="e">
        <f>AND(#REF!,"AAAAADe3xzw=")</f>
        <v>#REF!</v>
      </c>
      <c r="BJ252" t="e">
        <f>AND(#REF!,"AAAAADe3xz0=")</f>
        <v>#REF!</v>
      </c>
      <c r="BK252" t="e">
        <f>AND(#REF!,"AAAAADe3xz4=")</f>
        <v>#REF!</v>
      </c>
      <c r="BL252" t="e">
        <f>AND(#REF!,"AAAAADe3xz8=")</f>
        <v>#REF!</v>
      </c>
      <c r="BM252" t="e">
        <f>AND(#REF!,"AAAAADe3x0A=")</f>
        <v>#REF!</v>
      </c>
      <c r="BN252" t="e">
        <f>AND(#REF!,"AAAAADe3x0E=")</f>
        <v>#REF!</v>
      </c>
      <c r="BO252" t="e">
        <f>AND(#REF!,"AAAAADe3x0I=")</f>
        <v>#REF!</v>
      </c>
      <c r="BP252" t="e">
        <f>AND(#REF!,"AAAAADe3x0M=")</f>
        <v>#REF!</v>
      </c>
      <c r="BQ252" t="e">
        <f>AND(#REF!,"AAAAADe3x0Q=")</f>
        <v>#REF!</v>
      </c>
      <c r="BR252" t="e">
        <f>AND(#REF!,"AAAAADe3x0U=")</f>
        <v>#REF!</v>
      </c>
      <c r="BS252" t="e">
        <f>AND(#REF!,"AAAAADe3x0Y=")</f>
        <v>#REF!</v>
      </c>
      <c r="BT252" t="e">
        <f>AND(#REF!,"AAAAADe3x0c=")</f>
        <v>#REF!</v>
      </c>
      <c r="BU252" t="e">
        <f>AND(#REF!,"AAAAADe3x0g=")</f>
        <v>#REF!</v>
      </c>
      <c r="BV252" t="e">
        <f>AND(#REF!,"AAAAADe3x0k=")</f>
        <v>#REF!</v>
      </c>
      <c r="BW252" t="e">
        <f>AND(#REF!,"AAAAADe3x0o=")</f>
        <v>#REF!</v>
      </c>
      <c r="BX252" t="e">
        <f>AND(#REF!,"AAAAADe3x0s=")</f>
        <v>#REF!</v>
      </c>
      <c r="BY252" t="e">
        <f>AND(#REF!,"AAAAADe3x0w=")</f>
        <v>#REF!</v>
      </c>
      <c r="BZ252" t="e">
        <f>AND(#REF!,"AAAAADe3x00=")</f>
        <v>#REF!</v>
      </c>
      <c r="CA252" t="e">
        <f>AND(#REF!,"AAAAADe3x04=")</f>
        <v>#REF!</v>
      </c>
      <c r="CB252" t="e">
        <f>AND(#REF!,"AAAAADe3x08=")</f>
        <v>#REF!</v>
      </c>
      <c r="CC252" t="e">
        <f>AND(#REF!,"AAAAADe3x1A=")</f>
        <v>#REF!</v>
      </c>
      <c r="CD252" t="e">
        <f>AND(#REF!,"AAAAADe3x1E=")</f>
        <v>#REF!</v>
      </c>
      <c r="CE252" t="e">
        <f>AND(#REF!,"AAAAADe3x1I=")</f>
        <v>#REF!</v>
      </c>
      <c r="CF252" t="e">
        <f>AND(#REF!,"AAAAADe3x1M=")</f>
        <v>#REF!</v>
      </c>
      <c r="CG252" t="e">
        <f>AND(#REF!,"AAAAADe3x1Q=")</f>
        <v>#REF!</v>
      </c>
      <c r="CH252" t="e">
        <f>AND(#REF!,"AAAAADe3x1U=")</f>
        <v>#REF!</v>
      </c>
      <c r="CI252" t="e">
        <f>AND(#REF!,"AAAAADe3x1Y=")</f>
        <v>#REF!</v>
      </c>
      <c r="CJ252" t="e">
        <f>AND(#REF!,"AAAAADe3x1c=")</f>
        <v>#REF!</v>
      </c>
      <c r="CK252" t="e">
        <f>AND(#REF!,"AAAAADe3x1g=")</f>
        <v>#REF!</v>
      </c>
      <c r="CL252" t="e">
        <f>AND(#REF!,"AAAAADe3x1k=")</f>
        <v>#REF!</v>
      </c>
      <c r="CM252" t="e">
        <f>AND(#REF!,"AAAAADe3x1o=")</f>
        <v>#REF!</v>
      </c>
      <c r="CN252" t="e">
        <f>AND(#REF!,"AAAAADe3x1s=")</f>
        <v>#REF!</v>
      </c>
      <c r="CO252" t="e">
        <f>AND(#REF!,"AAAAADe3x1w=")</f>
        <v>#REF!</v>
      </c>
      <c r="CP252" t="e">
        <f>AND(#REF!,"AAAAADe3x10=")</f>
        <v>#REF!</v>
      </c>
      <c r="CQ252" t="e">
        <f>AND(#REF!,"AAAAADe3x14=")</f>
        <v>#REF!</v>
      </c>
      <c r="CR252" t="e">
        <f>AND(#REF!,"AAAAADe3x18=")</f>
        <v>#REF!</v>
      </c>
      <c r="CS252" t="e">
        <f>AND(#REF!,"AAAAADe3x2A=")</f>
        <v>#REF!</v>
      </c>
      <c r="CT252" t="e">
        <f>AND(#REF!,"AAAAADe3x2E=")</f>
        <v>#REF!</v>
      </c>
      <c r="CU252" t="e">
        <f>AND(#REF!,"AAAAADe3x2I=")</f>
        <v>#REF!</v>
      </c>
      <c r="CV252" t="e">
        <f>AND(#REF!,"AAAAADe3x2M=")</f>
        <v>#REF!</v>
      </c>
      <c r="CW252" t="e">
        <f>AND(#REF!,"AAAAADe3x2Q=")</f>
        <v>#REF!</v>
      </c>
      <c r="CX252" t="e">
        <f>AND(#REF!,"AAAAADe3x2U=")</f>
        <v>#REF!</v>
      </c>
      <c r="CY252" t="e">
        <f>AND(#REF!,"AAAAADe3x2Y=")</f>
        <v>#REF!</v>
      </c>
      <c r="CZ252" t="e">
        <f>AND(#REF!,"AAAAADe3x2c=")</f>
        <v>#REF!</v>
      </c>
      <c r="DA252" t="e">
        <f>AND(#REF!,"AAAAADe3x2g=")</f>
        <v>#REF!</v>
      </c>
      <c r="DB252" t="e">
        <f>AND(#REF!,"AAAAADe3x2k=")</f>
        <v>#REF!</v>
      </c>
      <c r="DC252" t="e">
        <f>AND(#REF!,"AAAAADe3x2o=")</f>
        <v>#REF!</v>
      </c>
      <c r="DD252" t="e">
        <f>AND(#REF!,"AAAAADe3x2s=")</f>
        <v>#REF!</v>
      </c>
      <c r="DE252" t="e">
        <f>AND(#REF!,"AAAAADe3x2w=")</f>
        <v>#REF!</v>
      </c>
      <c r="DF252" t="e">
        <f>AND(#REF!,"AAAAADe3x20=")</f>
        <v>#REF!</v>
      </c>
      <c r="DG252" t="e">
        <f>AND(#REF!,"AAAAADe3x24=")</f>
        <v>#REF!</v>
      </c>
      <c r="DH252" t="e">
        <f>AND(#REF!,"AAAAADe3x28=")</f>
        <v>#REF!</v>
      </c>
      <c r="DI252" t="e">
        <f>AND(#REF!,"AAAAADe3x3A=")</f>
        <v>#REF!</v>
      </c>
      <c r="DJ252" t="e">
        <f>AND(#REF!,"AAAAADe3x3E=")</f>
        <v>#REF!</v>
      </c>
      <c r="DK252" t="e">
        <f>AND(#REF!,"AAAAADe3x3I=")</f>
        <v>#REF!</v>
      </c>
      <c r="DL252" t="e">
        <f>AND(#REF!,"AAAAADe3x3M=")</f>
        <v>#REF!</v>
      </c>
      <c r="DM252" t="e">
        <f>AND(#REF!,"AAAAADe3x3Q=")</f>
        <v>#REF!</v>
      </c>
      <c r="DN252" t="e">
        <f>AND(#REF!,"AAAAADe3x3U=")</f>
        <v>#REF!</v>
      </c>
      <c r="DO252" t="e">
        <f>AND(#REF!,"AAAAADe3x3Y=")</f>
        <v>#REF!</v>
      </c>
      <c r="DP252" t="e">
        <f>AND(#REF!,"AAAAADe3x3c=")</f>
        <v>#REF!</v>
      </c>
      <c r="DQ252" t="e">
        <f>AND(#REF!,"AAAAADe3x3g=")</f>
        <v>#REF!</v>
      </c>
      <c r="DR252" t="e">
        <f>AND(#REF!,"AAAAADe3x3k=")</f>
        <v>#REF!</v>
      </c>
      <c r="DS252" t="e">
        <f>AND(#REF!,"AAAAADe3x3o=")</f>
        <v>#REF!</v>
      </c>
      <c r="DT252" t="e">
        <f>AND(#REF!,"AAAAADe3x3s=")</f>
        <v>#REF!</v>
      </c>
      <c r="DU252" t="e">
        <f>AND(#REF!,"AAAAADe3x3w=")</f>
        <v>#REF!</v>
      </c>
      <c r="DV252" t="e">
        <f>AND(#REF!,"AAAAADe3x30=")</f>
        <v>#REF!</v>
      </c>
      <c r="DW252" t="e">
        <f>AND(#REF!,"AAAAADe3x34=")</f>
        <v>#REF!</v>
      </c>
      <c r="DX252" t="e">
        <f>AND(#REF!,"AAAAADe3x38=")</f>
        <v>#REF!</v>
      </c>
      <c r="DY252" t="e">
        <f>AND(#REF!,"AAAAADe3x4A=")</f>
        <v>#REF!</v>
      </c>
      <c r="DZ252" t="e">
        <f>AND(#REF!,"AAAAADe3x4E=")</f>
        <v>#REF!</v>
      </c>
      <c r="EA252" t="e">
        <f>AND(#REF!,"AAAAADe3x4I=")</f>
        <v>#REF!</v>
      </c>
      <c r="EB252" t="e">
        <f>AND(#REF!,"AAAAADe3x4M=")</f>
        <v>#REF!</v>
      </c>
      <c r="EC252" t="e">
        <f>AND(#REF!,"AAAAADe3x4Q=")</f>
        <v>#REF!</v>
      </c>
      <c r="ED252" t="e">
        <f>AND(#REF!,"AAAAADe3x4U=")</f>
        <v>#REF!</v>
      </c>
      <c r="EE252" t="e">
        <f>AND(#REF!,"AAAAADe3x4Y=")</f>
        <v>#REF!</v>
      </c>
      <c r="EF252" t="e">
        <f>AND(#REF!,"AAAAADe3x4c=")</f>
        <v>#REF!</v>
      </c>
      <c r="EG252" t="e">
        <f>AND(#REF!,"AAAAADe3x4g=")</f>
        <v>#REF!</v>
      </c>
      <c r="EH252" t="e">
        <f>AND(#REF!,"AAAAADe3x4k=")</f>
        <v>#REF!</v>
      </c>
      <c r="EI252" t="e">
        <f>AND(#REF!,"AAAAADe3x4o=")</f>
        <v>#REF!</v>
      </c>
      <c r="EJ252" t="e">
        <f>AND(#REF!,"AAAAADe3x4s=")</f>
        <v>#REF!</v>
      </c>
      <c r="EK252" t="e">
        <f>AND(#REF!,"AAAAADe3x4w=")</f>
        <v>#REF!</v>
      </c>
      <c r="EL252" t="e">
        <f>AND(#REF!,"AAAAADe3x40=")</f>
        <v>#REF!</v>
      </c>
      <c r="EM252" t="e">
        <f>AND(#REF!,"AAAAADe3x44=")</f>
        <v>#REF!</v>
      </c>
      <c r="EN252" t="e">
        <f>AND(#REF!,"AAAAADe3x48=")</f>
        <v>#REF!</v>
      </c>
      <c r="EO252" t="e">
        <f>AND(#REF!,"AAAAADe3x5A=")</f>
        <v>#REF!</v>
      </c>
      <c r="EP252" t="e">
        <f>AND(#REF!,"AAAAADe3x5E=")</f>
        <v>#REF!</v>
      </c>
      <c r="EQ252" t="e">
        <f>AND(#REF!,"AAAAADe3x5I=")</f>
        <v>#REF!</v>
      </c>
      <c r="ER252" t="e">
        <f>AND(#REF!,"AAAAADe3x5M=")</f>
        <v>#REF!</v>
      </c>
      <c r="ES252" t="e">
        <f>AND(#REF!,"AAAAADe3x5Q=")</f>
        <v>#REF!</v>
      </c>
      <c r="ET252" t="e">
        <f>AND(#REF!,"AAAAADe3x5U=")</f>
        <v>#REF!</v>
      </c>
      <c r="EU252" t="e">
        <f>AND(#REF!,"AAAAADe3x5Y=")</f>
        <v>#REF!</v>
      </c>
      <c r="EV252" t="e">
        <f>AND(#REF!,"AAAAADe3x5c=")</f>
        <v>#REF!</v>
      </c>
      <c r="EW252" t="e">
        <f>AND(#REF!,"AAAAADe3x5g=")</f>
        <v>#REF!</v>
      </c>
      <c r="EX252" t="e">
        <f>AND(#REF!,"AAAAADe3x5k=")</f>
        <v>#REF!</v>
      </c>
      <c r="EY252" t="e">
        <f>AND(#REF!,"AAAAADe3x5o=")</f>
        <v>#REF!</v>
      </c>
      <c r="EZ252" t="e">
        <f>AND(#REF!,"AAAAADe3x5s=")</f>
        <v>#REF!</v>
      </c>
      <c r="FA252" t="e">
        <f>AND(#REF!,"AAAAADe3x5w=")</f>
        <v>#REF!</v>
      </c>
      <c r="FB252" t="e">
        <f>AND(#REF!,"AAAAADe3x50=")</f>
        <v>#REF!</v>
      </c>
      <c r="FC252" t="e">
        <f>AND(#REF!,"AAAAADe3x54=")</f>
        <v>#REF!</v>
      </c>
      <c r="FD252" t="e">
        <f>AND(#REF!,"AAAAADe3x58=")</f>
        <v>#REF!</v>
      </c>
      <c r="FE252" t="e">
        <f>AND(#REF!,"AAAAADe3x6A=")</f>
        <v>#REF!</v>
      </c>
      <c r="FF252" t="e">
        <f>AND(#REF!,"AAAAADe3x6E=")</f>
        <v>#REF!</v>
      </c>
      <c r="FG252" t="e">
        <f>AND(#REF!,"AAAAADe3x6I=")</f>
        <v>#REF!</v>
      </c>
      <c r="FH252" t="e">
        <f>AND(#REF!,"AAAAADe3x6M=")</f>
        <v>#REF!</v>
      </c>
      <c r="FI252" t="e">
        <f>AND(#REF!,"AAAAADe3x6Q=")</f>
        <v>#REF!</v>
      </c>
      <c r="FJ252" t="e">
        <f>AND(#REF!,"AAAAADe3x6U=")</f>
        <v>#REF!</v>
      </c>
      <c r="FK252" t="e">
        <f>AND(#REF!,"AAAAADe3x6Y=")</f>
        <v>#REF!</v>
      </c>
      <c r="FL252" t="e">
        <f>AND(#REF!,"AAAAADe3x6c=")</f>
        <v>#REF!</v>
      </c>
      <c r="FM252" t="e">
        <f>AND(#REF!,"AAAAADe3x6g=")</f>
        <v>#REF!</v>
      </c>
      <c r="FN252" t="e">
        <f>AND(#REF!,"AAAAADe3x6k=")</f>
        <v>#REF!</v>
      </c>
      <c r="FO252" t="e">
        <f>AND(#REF!,"AAAAADe3x6o=")</f>
        <v>#REF!</v>
      </c>
      <c r="FP252" t="e">
        <f>AND(#REF!,"AAAAADe3x6s=")</f>
        <v>#REF!</v>
      </c>
      <c r="FQ252" t="e">
        <f>AND(#REF!,"AAAAADe3x6w=")</f>
        <v>#REF!</v>
      </c>
      <c r="FR252" t="e">
        <f>AND(#REF!,"AAAAADe3x60=")</f>
        <v>#REF!</v>
      </c>
      <c r="FS252" t="e">
        <f>AND(#REF!,"AAAAADe3x64=")</f>
        <v>#REF!</v>
      </c>
      <c r="FT252" t="e">
        <f>AND(#REF!,"AAAAADe3x68=")</f>
        <v>#REF!</v>
      </c>
      <c r="FU252" t="e">
        <f>AND(#REF!,"AAAAADe3x7A=")</f>
        <v>#REF!</v>
      </c>
      <c r="FV252" t="e">
        <f>AND(#REF!,"AAAAADe3x7E=")</f>
        <v>#REF!</v>
      </c>
      <c r="FW252" t="e">
        <f>AND(#REF!,"AAAAADe3x7I=")</f>
        <v>#REF!</v>
      </c>
      <c r="FX252" t="e">
        <f>AND(#REF!,"AAAAADe3x7M=")</f>
        <v>#REF!</v>
      </c>
      <c r="FY252" t="e">
        <f>AND(#REF!,"AAAAADe3x7Q=")</f>
        <v>#REF!</v>
      </c>
      <c r="FZ252" t="e">
        <f>AND(#REF!,"AAAAADe3x7U=")</f>
        <v>#REF!</v>
      </c>
      <c r="GA252" t="e">
        <f>AND(#REF!,"AAAAADe3x7Y=")</f>
        <v>#REF!</v>
      </c>
      <c r="GB252" t="e">
        <f>AND(#REF!,"AAAAADe3x7c=")</f>
        <v>#REF!</v>
      </c>
      <c r="GC252" t="e">
        <f>AND(#REF!,"AAAAADe3x7g=")</f>
        <v>#REF!</v>
      </c>
      <c r="GD252" t="e">
        <f>AND(#REF!,"AAAAADe3x7k=")</f>
        <v>#REF!</v>
      </c>
      <c r="GE252" t="e">
        <f>AND(#REF!,"AAAAADe3x7o=")</f>
        <v>#REF!</v>
      </c>
      <c r="GF252" t="e">
        <f>AND(#REF!,"AAAAADe3x7s=")</f>
        <v>#REF!</v>
      </c>
      <c r="GG252" t="e">
        <f>AND(#REF!,"AAAAADe3x7w=")</f>
        <v>#REF!</v>
      </c>
      <c r="GH252" t="e">
        <f>AND(#REF!,"AAAAADe3x70=")</f>
        <v>#REF!</v>
      </c>
      <c r="GI252" t="e">
        <f>AND(#REF!,"AAAAADe3x74=")</f>
        <v>#REF!</v>
      </c>
      <c r="GJ252" t="e">
        <f>AND(#REF!,"AAAAADe3x78=")</f>
        <v>#REF!</v>
      </c>
      <c r="GK252" t="e">
        <f>AND(#REF!,"AAAAADe3x8A=")</f>
        <v>#REF!</v>
      </c>
      <c r="GL252" t="e">
        <f>AND(#REF!,"AAAAADe3x8E=")</f>
        <v>#REF!</v>
      </c>
      <c r="GM252" t="e">
        <f>AND(#REF!,"AAAAADe3x8I=")</f>
        <v>#REF!</v>
      </c>
      <c r="GN252" t="e">
        <f>AND(#REF!,"AAAAADe3x8M=")</f>
        <v>#REF!</v>
      </c>
      <c r="GO252" t="e">
        <f>AND(#REF!,"AAAAADe3x8Q=")</f>
        <v>#REF!</v>
      </c>
      <c r="GP252" t="e">
        <f>AND(#REF!,"AAAAADe3x8U=")</f>
        <v>#REF!</v>
      </c>
      <c r="GQ252" t="e">
        <f>AND(#REF!,"AAAAADe3x8Y=")</f>
        <v>#REF!</v>
      </c>
      <c r="GR252" t="e">
        <f>AND(#REF!,"AAAAADe3x8c=")</f>
        <v>#REF!</v>
      </c>
      <c r="GS252" t="e">
        <f>AND(#REF!,"AAAAADe3x8g=")</f>
        <v>#REF!</v>
      </c>
      <c r="GT252" t="e">
        <f>AND(#REF!,"AAAAADe3x8k=")</f>
        <v>#REF!</v>
      </c>
      <c r="GU252" t="e">
        <f>AND(#REF!,"AAAAADe3x8o=")</f>
        <v>#REF!</v>
      </c>
      <c r="GV252" t="e">
        <f>AND(#REF!,"AAAAADe3x8s=")</f>
        <v>#REF!</v>
      </c>
      <c r="GW252" t="e">
        <f>AND(#REF!,"AAAAADe3x8w=")</f>
        <v>#REF!</v>
      </c>
      <c r="GX252" t="e">
        <f>AND(#REF!,"AAAAADe3x80=")</f>
        <v>#REF!</v>
      </c>
      <c r="GY252" t="e">
        <f>AND(#REF!,"AAAAADe3x84=")</f>
        <v>#REF!</v>
      </c>
      <c r="GZ252" t="e">
        <f>AND(#REF!,"AAAAADe3x88=")</f>
        <v>#REF!</v>
      </c>
      <c r="HA252" t="e">
        <f>AND(#REF!,"AAAAADe3x9A=")</f>
        <v>#REF!</v>
      </c>
      <c r="HB252" t="e">
        <f>AND(#REF!,"AAAAADe3x9E=")</f>
        <v>#REF!</v>
      </c>
      <c r="HC252" t="e">
        <f>IF(#REF!,"AAAAADe3x9I=",0)</f>
        <v>#REF!</v>
      </c>
      <c r="HD252" t="e">
        <f>AND(#REF!,"AAAAADe3x9M=")</f>
        <v>#REF!</v>
      </c>
      <c r="HE252" t="e">
        <f>AND(#REF!,"AAAAADe3x9Q=")</f>
        <v>#REF!</v>
      </c>
      <c r="HF252" t="e">
        <f>AND(#REF!,"AAAAADe3x9U=")</f>
        <v>#REF!</v>
      </c>
      <c r="HG252" t="e">
        <f>AND(#REF!,"AAAAADe3x9Y=")</f>
        <v>#REF!</v>
      </c>
      <c r="HH252" t="e">
        <f>AND(#REF!,"AAAAADe3x9c=")</f>
        <v>#REF!</v>
      </c>
      <c r="HI252" t="e">
        <f>AND(#REF!,"AAAAADe3x9g=")</f>
        <v>#REF!</v>
      </c>
      <c r="HJ252" t="e">
        <f>AND(#REF!,"AAAAADe3x9k=")</f>
        <v>#REF!</v>
      </c>
      <c r="HK252" t="e">
        <f>AND(#REF!,"AAAAADe3x9o=")</f>
        <v>#REF!</v>
      </c>
      <c r="HL252" t="e">
        <f>AND(#REF!,"AAAAADe3x9s=")</f>
        <v>#REF!</v>
      </c>
      <c r="HM252" t="e">
        <f>AND(#REF!,"AAAAADe3x9w=")</f>
        <v>#REF!</v>
      </c>
      <c r="HN252" t="e">
        <f>AND(#REF!,"AAAAADe3x90=")</f>
        <v>#REF!</v>
      </c>
      <c r="HO252" t="e">
        <f>AND(#REF!,"AAAAADe3x94=")</f>
        <v>#REF!</v>
      </c>
      <c r="HP252" t="e">
        <f>AND(#REF!,"AAAAADe3x98=")</f>
        <v>#REF!</v>
      </c>
      <c r="HQ252" t="e">
        <f>AND(#REF!,"AAAAADe3x+A=")</f>
        <v>#REF!</v>
      </c>
      <c r="HR252" t="e">
        <f>AND(#REF!,"AAAAADe3x+E=")</f>
        <v>#REF!</v>
      </c>
      <c r="HS252" t="e">
        <f>AND(#REF!,"AAAAADe3x+I=")</f>
        <v>#REF!</v>
      </c>
      <c r="HT252" t="e">
        <f>AND(#REF!,"AAAAADe3x+M=")</f>
        <v>#REF!</v>
      </c>
      <c r="HU252" t="e">
        <f>AND(#REF!,"AAAAADe3x+Q=")</f>
        <v>#REF!</v>
      </c>
      <c r="HV252" t="e">
        <f>AND(#REF!,"AAAAADe3x+U=")</f>
        <v>#REF!</v>
      </c>
      <c r="HW252" t="e">
        <f>AND(#REF!,"AAAAADe3x+Y=")</f>
        <v>#REF!</v>
      </c>
      <c r="HX252" t="e">
        <f>AND(#REF!,"AAAAADe3x+c=")</f>
        <v>#REF!</v>
      </c>
      <c r="HY252" t="e">
        <f>AND(#REF!,"AAAAADe3x+g=")</f>
        <v>#REF!</v>
      </c>
      <c r="HZ252" t="e">
        <f>AND(#REF!,"AAAAADe3x+k=")</f>
        <v>#REF!</v>
      </c>
      <c r="IA252" t="e">
        <f>AND(#REF!,"AAAAADe3x+o=")</f>
        <v>#REF!</v>
      </c>
      <c r="IB252" t="e">
        <f>AND(#REF!,"AAAAADe3x+s=")</f>
        <v>#REF!</v>
      </c>
      <c r="IC252" t="e">
        <f>AND(#REF!,"AAAAADe3x+w=")</f>
        <v>#REF!</v>
      </c>
      <c r="ID252" t="e">
        <f>AND(#REF!,"AAAAADe3x+0=")</f>
        <v>#REF!</v>
      </c>
      <c r="IE252" t="e">
        <f>AND(#REF!,"AAAAADe3x+4=")</f>
        <v>#REF!</v>
      </c>
      <c r="IF252" t="e">
        <f>AND(#REF!,"AAAAADe3x+8=")</f>
        <v>#REF!</v>
      </c>
      <c r="IG252" t="e">
        <f>AND(#REF!,"AAAAADe3x/A=")</f>
        <v>#REF!</v>
      </c>
      <c r="IH252" t="e">
        <f>AND(#REF!,"AAAAADe3x/E=")</f>
        <v>#REF!</v>
      </c>
      <c r="II252" t="e">
        <f>AND(#REF!,"AAAAADe3x/I=")</f>
        <v>#REF!</v>
      </c>
      <c r="IJ252" t="e">
        <f>AND(#REF!,"AAAAADe3x/M=")</f>
        <v>#REF!</v>
      </c>
      <c r="IK252" t="e">
        <f>AND(#REF!,"AAAAADe3x/Q=")</f>
        <v>#REF!</v>
      </c>
      <c r="IL252" t="e">
        <f>AND(#REF!,"AAAAADe3x/U=")</f>
        <v>#REF!</v>
      </c>
      <c r="IM252" t="e">
        <f>AND(#REF!,"AAAAADe3x/Y=")</f>
        <v>#REF!</v>
      </c>
      <c r="IN252" t="e">
        <f>AND(#REF!,"AAAAADe3x/c=")</f>
        <v>#REF!</v>
      </c>
      <c r="IO252" t="e">
        <f>AND(#REF!,"AAAAADe3x/g=")</f>
        <v>#REF!</v>
      </c>
      <c r="IP252" t="e">
        <f>AND(#REF!,"AAAAADe3x/k=")</f>
        <v>#REF!</v>
      </c>
      <c r="IQ252" t="e">
        <f>AND(#REF!,"AAAAADe3x/o=")</f>
        <v>#REF!</v>
      </c>
      <c r="IR252" t="e">
        <f>AND(#REF!,"AAAAADe3x/s=")</f>
        <v>#REF!</v>
      </c>
      <c r="IS252" t="e">
        <f>AND(#REF!,"AAAAADe3x/w=")</f>
        <v>#REF!</v>
      </c>
      <c r="IT252" t="e">
        <f>AND(#REF!,"AAAAADe3x/0=")</f>
        <v>#REF!</v>
      </c>
      <c r="IU252" t="e">
        <f>AND(#REF!,"AAAAADe3x/4=")</f>
        <v>#REF!</v>
      </c>
      <c r="IV252" t="e">
        <f>AND(#REF!,"AAAAADe3x/8=")</f>
        <v>#REF!</v>
      </c>
    </row>
    <row r="253" spans="1:256">
      <c r="A253" t="e">
        <f>AND(#REF!,"AAAAADj6vgA=")</f>
        <v>#REF!</v>
      </c>
      <c r="B253" t="e">
        <f>AND(#REF!,"AAAAADj6vgE=")</f>
        <v>#REF!</v>
      </c>
      <c r="C253" t="e">
        <f>AND(#REF!,"AAAAADj6vgI=")</f>
        <v>#REF!</v>
      </c>
      <c r="D253" t="e">
        <f>AND(#REF!,"AAAAADj6vgM=")</f>
        <v>#REF!</v>
      </c>
      <c r="E253" t="e">
        <f>AND(#REF!,"AAAAADj6vgQ=")</f>
        <v>#REF!</v>
      </c>
      <c r="F253" t="e">
        <f>AND(#REF!,"AAAAADj6vgU=")</f>
        <v>#REF!</v>
      </c>
      <c r="G253" t="e">
        <f>AND(#REF!,"AAAAADj6vgY=")</f>
        <v>#REF!</v>
      </c>
      <c r="H253" t="e">
        <f>AND(#REF!,"AAAAADj6vgc=")</f>
        <v>#REF!</v>
      </c>
      <c r="I253" t="e">
        <f>AND(#REF!,"AAAAADj6vgg=")</f>
        <v>#REF!</v>
      </c>
      <c r="J253" t="e">
        <f>AND(#REF!,"AAAAADj6vgk=")</f>
        <v>#REF!</v>
      </c>
      <c r="K253" t="e">
        <f>AND(#REF!,"AAAAADj6vgo=")</f>
        <v>#REF!</v>
      </c>
      <c r="L253" t="e">
        <f>AND(#REF!,"AAAAADj6vgs=")</f>
        <v>#REF!</v>
      </c>
      <c r="M253" t="e">
        <f>AND(#REF!,"AAAAADj6vgw=")</f>
        <v>#REF!</v>
      </c>
      <c r="N253" t="e">
        <f>AND(#REF!,"AAAAADj6vg0=")</f>
        <v>#REF!</v>
      </c>
      <c r="O253" t="e">
        <f>AND(#REF!,"AAAAADj6vg4=")</f>
        <v>#REF!</v>
      </c>
      <c r="P253" t="e">
        <f>AND(#REF!,"AAAAADj6vg8=")</f>
        <v>#REF!</v>
      </c>
      <c r="Q253" t="e">
        <f>AND(#REF!,"AAAAADj6vhA=")</f>
        <v>#REF!</v>
      </c>
      <c r="R253" t="e">
        <f>AND(#REF!,"AAAAADj6vhE=")</f>
        <v>#REF!</v>
      </c>
      <c r="S253" t="e">
        <f>AND(#REF!,"AAAAADj6vhI=")</f>
        <v>#REF!</v>
      </c>
      <c r="T253" t="e">
        <f>AND(#REF!,"AAAAADj6vhM=")</f>
        <v>#REF!</v>
      </c>
      <c r="U253" t="e">
        <f>AND(#REF!,"AAAAADj6vhQ=")</f>
        <v>#REF!</v>
      </c>
      <c r="V253" t="e">
        <f>AND(#REF!,"AAAAADj6vhU=")</f>
        <v>#REF!</v>
      </c>
      <c r="W253" t="e">
        <f>AND(#REF!,"AAAAADj6vhY=")</f>
        <v>#REF!</v>
      </c>
      <c r="X253" t="e">
        <f>AND(#REF!,"AAAAADj6vhc=")</f>
        <v>#REF!</v>
      </c>
      <c r="Y253" t="e">
        <f>AND(#REF!,"AAAAADj6vhg=")</f>
        <v>#REF!</v>
      </c>
      <c r="Z253" t="e">
        <f>AND(#REF!,"AAAAADj6vhk=")</f>
        <v>#REF!</v>
      </c>
      <c r="AA253" t="e">
        <f>AND(#REF!,"AAAAADj6vho=")</f>
        <v>#REF!</v>
      </c>
      <c r="AB253" t="e">
        <f>AND(#REF!,"AAAAADj6vhs=")</f>
        <v>#REF!</v>
      </c>
      <c r="AC253" t="e">
        <f>AND(#REF!,"AAAAADj6vhw=")</f>
        <v>#REF!</v>
      </c>
      <c r="AD253" t="e">
        <f>AND(#REF!,"AAAAADj6vh0=")</f>
        <v>#REF!</v>
      </c>
      <c r="AE253" t="e">
        <f>AND(#REF!,"AAAAADj6vh4=")</f>
        <v>#REF!</v>
      </c>
      <c r="AF253" t="e">
        <f>AND(#REF!,"AAAAADj6vh8=")</f>
        <v>#REF!</v>
      </c>
      <c r="AG253" t="e">
        <f>AND(#REF!,"AAAAADj6viA=")</f>
        <v>#REF!</v>
      </c>
      <c r="AH253" t="e">
        <f>AND(#REF!,"AAAAADj6viE=")</f>
        <v>#REF!</v>
      </c>
      <c r="AI253" t="e">
        <f>AND(#REF!,"AAAAADj6viI=")</f>
        <v>#REF!</v>
      </c>
      <c r="AJ253" t="e">
        <f>AND(#REF!,"AAAAADj6viM=")</f>
        <v>#REF!</v>
      </c>
      <c r="AK253" t="e">
        <f>AND(#REF!,"AAAAADj6viQ=")</f>
        <v>#REF!</v>
      </c>
      <c r="AL253" t="e">
        <f>AND(#REF!,"AAAAADj6viU=")</f>
        <v>#REF!</v>
      </c>
      <c r="AM253" t="e">
        <f>AND(#REF!,"AAAAADj6viY=")</f>
        <v>#REF!</v>
      </c>
      <c r="AN253" t="e">
        <f>AND(#REF!,"AAAAADj6vic=")</f>
        <v>#REF!</v>
      </c>
      <c r="AO253" t="e">
        <f>AND(#REF!,"AAAAADj6vig=")</f>
        <v>#REF!</v>
      </c>
      <c r="AP253" t="e">
        <f>AND(#REF!,"AAAAADj6vik=")</f>
        <v>#REF!</v>
      </c>
      <c r="AQ253" t="e">
        <f>AND(#REF!,"AAAAADj6vio=")</f>
        <v>#REF!</v>
      </c>
      <c r="AR253" t="e">
        <f>AND(#REF!,"AAAAADj6vis=")</f>
        <v>#REF!</v>
      </c>
      <c r="AS253" t="e">
        <f>AND(#REF!,"AAAAADj6viw=")</f>
        <v>#REF!</v>
      </c>
      <c r="AT253" t="e">
        <f>AND(#REF!,"AAAAADj6vi0=")</f>
        <v>#REF!</v>
      </c>
      <c r="AU253" t="e">
        <f>AND(#REF!,"AAAAADj6vi4=")</f>
        <v>#REF!</v>
      </c>
      <c r="AV253" t="e">
        <f>AND(#REF!,"AAAAADj6vi8=")</f>
        <v>#REF!</v>
      </c>
      <c r="AW253" t="e">
        <f>AND(#REF!,"AAAAADj6vjA=")</f>
        <v>#REF!</v>
      </c>
      <c r="AX253" t="e">
        <f>AND(#REF!,"AAAAADj6vjE=")</f>
        <v>#REF!</v>
      </c>
      <c r="AY253" t="e">
        <f>AND(#REF!,"AAAAADj6vjI=")</f>
        <v>#REF!</v>
      </c>
      <c r="AZ253" t="e">
        <f>AND(#REF!,"AAAAADj6vjM=")</f>
        <v>#REF!</v>
      </c>
      <c r="BA253" t="e">
        <f>AND(#REF!,"AAAAADj6vjQ=")</f>
        <v>#REF!</v>
      </c>
      <c r="BB253" t="e">
        <f>AND(#REF!,"AAAAADj6vjU=")</f>
        <v>#REF!</v>
      </c>
      <c r="BC253" t="e">
        <f>AND(#REF!,"AAAAADj6vjY=")</f>
        <v>#REF!</v>
      </c>
      <c r="BD253" t="e">
        <f>AND(#REF!,"AAAAADj6vjc=")</f>
        <v>#REF!</v>
      </c>
      <c r="BE253" t="e">
        <f>AND(#REF!,"AAAAADj6vjg=")</f>
        <v>#REF!</v>
      </c>
      <c r="BF253" t="e">
        <f>AND(#REF!,"AAAAADj6vjk=")</f>
        <v>#REF!</v>
      </c>
      <c r="BG253" t="e">
        <f>AND(#REF!,"AAAAADj6vjo=")</f>
        <v>#REF!</v>
      </c>
      <c r="BH253" t="e">
        <f>AND(#REF!,"AAAAADj6vjs=")</f>
        <v>#REF!</v>
      </c>
      <c r="BI253" t="e">
        <f>AND(#REF!,"AAAAADj6vjw=")</f>
        <v>#REF!</v>
      </c>
      <c r="BJ253" t="e">
        <f>AND(#REF!,"AAAAADj6vj0=")</f>
        <v>#REF!</v>
      </c>
      <c r="BK253" t="e">
        <f>AND(#REF!,"AAAAADj6vj4=")</f>
        <v>#REF!</v>
      </c>
      <c r="BL253" t="e">
        <f>AND(#REF!,"AAAAADj6vj8=")</f>
        <v>#REF!</v>
      </c>
      <c r="BM253" t="e">
        <f>AND(#REF!,"AAAAADj6vkA=")</f>
        <v>#REF!</v>
      </c>
      <c r="BN253" t="e">
        <f>AND(#REF!,"AAAAADj6vkE=")</f>
        <v>#REF!</v>
      </c>
      <c r="BO253" t="e">
        <f>AND(#REF!,"AAAAADj6vkI=")</f>
        <v>#REF!</v>
      </c>
      <c r="BP253" t="e">
        <f>AND(#REF!,"AAAAADj6vkM=")</f>
        <v>#REF!</v>
      </c>
      <c r="BQ253" t="e">
        <f>AND(#REF!,"AAAAADj6vkQ=")</f>
        <v>#REF!</v>
      </c>
      <c r="BR253" t="e">
        <f>AND(#REF!,"AAAAADj6vkU=")</f>
        <v>#REF!</v>
      </c>
      <c r="BS253" t="e">
        <f>AND(#REF!,"AAAAADj6vkY=")</f>
        <v>#REF!</v>
      </c>
      <c r="BT253" t="e">
        <f>AND(#REF!,"AAAAADj6vkc=")</f>
        <v>#REF!</v>
      </c>
      <c r="BU253" t="e">
        <f>AND(#REF!,"AAAAADj6vkg=")</f>
        <v>#REF!</v>
      </c>
      <c r="BV253" t="e">
        <f>AND(#REF!,"AAAAADj6vkk=")</f>
        <v>#REF!</v>
      </c>
      <c r="BW253" t="e">
        <f>AND(#REF!,"AAAAADj6vko=")</f>
        <v>#REF!</v>
      </c>
      <c r="BX253" t="e">
        <f>AND(#REF!,"AAAAADj6vks=")</f>
        <v>#REF!</v>
      </c>
      <c r="BY253" t="e">
        <f>AND(#REF!,"AAAAADj6vkw=")</f>
        <v>#REF!</v>
      </c>
      <c r="BZ253" t="e">
        <f>AND(#REF!,"AAAAADj6vk0=")</f>
        <v>#REF!</v>
      </c>
      <c r="CA253" t="e">
        <f>AND(#REF!,"AAAAADj6vk4=")</f>
        <v>#REF!</v>
      </c>
      <c r="CB253" t="e">
        <f>AND(#REF!,"AAAAADj6vk8=")</f>
        <v>#REF!</v>
      </c>
      <c r="CC253" t="e">
        <f>AND(#REF!,"AAAAADj6vlA=")</f>
        <v>#REF!</v>
      </c>
      <c r="CD253" t="e">
        <f>AND(#REF!,"AAAAADj6vlE=")</f>
        <v>#REF!</v>
      </c>
      <c r="CE253" t="e">
        <f>AND(#REF!,"AAAAADj6vlI=")</f>
        <v>#REF!</v>
      </c>
      <c r="CF253" t="e">
        <f>AND(#REF!,"AAAAADj6vlM=")</f>
        <v>#REF!</v>
      </c>
      <c r="CG253" t="e">
        <f>AND(#REF!,"AAAAADj6vlQ=")</f>
        <v>#REF!</v>
      </c>
      <c r="CH253" t="e">
        <f>AND(#REF!,"AAAAADj6vlU=")</f>
        <v>#REF!</v>
      </c>
      <c r="CI253" t="e">
        <f>AND(#REF!,"AAAAADj6vlY=")</f>
        <v>#REF!</v>
      </c>
      <c r="CJ253" t="e">
        <f>AND(#REF!,"AAAAADj6vlc=")</f>
        <v>#REF!</v>
      </c>
      <c r="CK253" t="e">
        <f>AND(#REF!,"AAAAADj6vlg=")</f>
        <v>#REF!</v>
      </c>
      <c r="CL253" t="e">
        <f>AND(#REF!,"AAAAADj6vlk=")</f>
        <v>#REF!</v>
      </c>
      <c r="CM253" t="e">
        <f>AND(#REF!,"AAAAADj6vlo=")</f>
        <v>#REF!</v>
      </c>
      <c r="CN253" t="e">
        <f>AND(#REF!,"AAAAADj6vls=")</f>
        <v>#REF!</v>
      </c>
      <c r="CO253" t="e">
        <f>AND(#REF!,"AAAAADj6vlw=")</f>
        <v>#REF!</v>
      </c>
      <c r="CP253" t="e">
        <f>AND(#REF!,"AAAAADj6vl0=")</f>
        <v>#REF!</v>
      </c>
      <c r="CQ253" t="e">
        <f>AND(#REF!,"AAAAADj6vl4=")</f>
        <v>#REF!</v>
      </c>
      <c r="CR253" t="e">
        <f>AND(#REF!,"AAAAADj6vl8=")</f>
        <v>#REF!</v>
      </c>
      <c r="CS253" t="e">
        <f>AND(#REF!,"AAAAADj6vmA=")</f>
        <v>#REF!</v>
      </c>
      <c r="CT253" t="e">
        <f>AND(#REF!,"AAAAADj6vmE=")</f>
        <v>#REF!</v>
      </c>
      <c r="CU253" t="e">
        <f>AND(#REF!,"AAAAADj6vmI=")</f>
        <v>#REF!</v>
      </c>
      <c r="CV253" t="e">
        <f>AND(#REF!,"AAAAADj6vmM=")</f>
        <v>#REF!</v>
      </c>
      <c r="CW253" t="e">
        <f>AND(#REF!,"AAAAADj6vmQ=")</f>
        <v>#REF!</v>
      </c>
      <c r="CX253" t="e">
        <f>AND(#REF!,"AAAAADj6vmU=")</f>
        <v>#REF!</v>
      </c>
      <c r="CY253" t="e">
        <f>AND(#REF!,"AAAAADj6vmY=")</f>
        <v>#REF!</v>
      </c>
      <c r="CZ253" t="e">
        <f>AND(#REF!,"AAAAADj6vmc=")</f>
        <v>#REF!</v>
      </c>
      <c r="DA253" t="e">
        <f>AND(#REF!,"AAAAADj6vmg=")</f>
        <v>#REF!</v>
      </c>
      <c r="DB253" t="e">
        <f>AND(#REF!,"AAAAADj6vmk=")</f>
        <v>#REF!</v>
      </c>
      <c r="DC253" t="e">
        <f>AND(#REF!,"AAAAADj6vmo=")</f>
        <v>#REF!</v>
      </c>
      <c r="DD253" t="e">
        <f>AND(#REF!,"AAAAADj6vms=")</f>
        <v>#REF!</v>
      </c>
      <c r="DE253" t="e">
        <f>AND(#REF!,"AAAAADj6vmw=")</f>
        <v>#REF!</v>
      </c>
      <c r="DF253" t="e">
        <f>AND(#REF!,"AAAAADj6vm0=")</f>
        <v>#REF!</v>
      </c>
      <c r="DG253" t="e">
        <f>AND(#REF!,"AAAAADj6vm4=")</f>
        <v>#REF!</v>
      </c>
      <c r="DH253" t="e">
        <f>AND(#REF!,"AAAAADj6vm8=")</f>
        <v>#REF!</v>
      </c>
      <c r="DI253" t="e">
        <f>AND(#REF!,"AAAAADj6vnA=")</f>
        <v>#REF!</v>
      </c>
      <c r="DJ253" t="e">
        <f>AND(#REF!,"AAAAADj6vnE=")</f>
        <v>#REF!</v>
      </c>
      <c r="DK253" t="e">
        <f>AND(#REF!,"AAAAADj6vnI=")</f>
        <v>#REF!</v>
      </c>
      <c r="DL253" t="e">
        <f>AND(#REF!,"AAAAADj6vnM=")</f>
        <v>#REF!</v>
      </c>
      <c r="DM253" t="e">
        <f>AND(#REF!,"AAAAADj6vnQ=")</f>
        <v>#REF!</v>
      </c>
      <c r="DN253" t="e">
        <f>AND(#REF!,"AAAAADj6vnU=")</f>
        <v>#REF!</v>
      </c>
      <c r="DO253" t="e">
        <f>AND(#REF!,"AAAAADj6vnY=")</f>
        <v>#REF!</v>
      </c>
      <c r="DP253" t="e">
        <f>AND(#REF!,"AAAAADj6vnc=")</f>
        <v>#REF!</v>
      </c>
      <c r="DQ253" t="e">
        <f>AND(#REF!,"AAAAADj6vng=")</f>
        <v>#REF!</v>
      </c>
      <c r="DR253" t="e">
        <f>AND(#REF!,"AAAAADj6vnk=")</f>
        <v>#REF!</v>
      </c>
      <c r="DS253" t="e">
        <f>AND(#REF!,"AAAAADj6vno=")</f>
        <v>#REF!</v>
      </c>
      <c r="DT253" t="e">
        <f>AND(#REF!,"AAAAADj6vns=")</f>
        <v>#REF!</v>
      </c>
      <c r="DU253" t="e">
        <f>AND(#REF!,"AAAAADj6vnw=")</f>
        <v>#REF!</v>
      </c>
      <c r="DV253" t="e">
        <f>AND(#REF!,"AAAAADj6vn0=")</f>
        <v>#REF!</v>
      </c>
      <c r="DW253" t="e">
        <f>AND(#REF!,"AAAAADj6vn4=")</f>
        <v>#REF!</v>
      </c>
      <c r="DX253" t="e">
        <f>AND(#REF!,"AAAAADj6vn8=")</f>
        <v>#REF!</v>
      </c>
      <c r="DY253" t="e">
        <f>AND(#REF!,"AAAAADj6voA=")</f>
        <v>#REF!</v>
      </c>
      <c r="DZ253" t="e">
        <f>AND(#REF!,"AAAAADj6voE=")</f>
        <v>#REF!</v>
      </c>
      <c r="EA253" t="e">
        <f>AND(#REF!,"AAAAADj6voI=")</f>
        <v>#REF!</v>
      </c>
      <c r="EB253" t="e">
        <f>AND(#REF!,"AAAAADj6voM=")</f>
        <v>#REF!</v>
      </c>
      <c r="EC253" t="e">
        <f>AND(#REF!,"AAAAADj6voQ=")</f>
        <v>#REF!</v>
      </c>
      <c r="ED253" t="e">
        <f>AND(#REF!,"AAAAADj6voU=")</f>
        <v>#REF!</v>
      </c>
      <c r="EE253" t="e">
        <f>AND(#REF!,"AAAAADj6voY=")</f>
        <v>#REF!</v>
      </c>
      <c r="EF253" t="e">
        <f>AND(#REF!,"AAAAADj6voc=")</f>
        <v>#REF!</v>
      </c>
      <c r="EG253" t="e">
        <f>AND(#REF!,"AAAAADj6vog=")</f>
        <v>#REF!</v>
      </c>
      <c r="EH253" t="e">
        <f>AND(#REF!,"AAAAADj6vok=")</f>
        <v>#REF!</v>
      </c>
      <c r="EI253" t="e">
        <f>AND(#REF!,"AAAAADj6voo=")</f>
        <v>#REF!</v>
      </c>
      <c r="EJ253" t="e">
        <f>AND(#REF!,"AAAAADj6vos=")</f>
        <v>#REF!</v>
      </c>
      <c r="EK253" t="e">
        <f>AND(#REF!,"AAAAADj6vow=")</f>
        <v>#REF!</v>
      </c>
      <c r="EL253" t="e">
        <f>AND(#REF!,"AAAAADj6vo0=")</f>
        <v>#REF!</v>
      </c>
      <c r="EM253" t="e">
        <f>AND(#REF!,"AAAAADj6vo4=")</f>
        <v>#REF!</v>
      </c>
      <c r="EN253" t="e">
        <f>AND(#REF!,"AAAAADj6vo8=")</f>
        <v>#REF!</v>
      </c>
      <c r="EO253" t="e">
        <f>AND(#REF!,"AAAAADj6vpA=")</f>
        <v>#REF!</v>
      </c>
      <c r="EP253" t="e">
        <f>AND(#REF!,"AAAAADj6vpE=")</f>
        <v>#REF!</v>
      </c>
      <c r="EQ253" t="e">
        <f>AND(#REF!,"AAAAADj6vpI=")</f>
        <v>#REF!</v>
      </c>
      <c r="ER253" t="e">
        <f>AND(#REF!,"AAAAADj6vpM=")</f>
        <v>#REF!</v>
      </c>
      <c r="ES253" t="e">
        <f>AND(#REF!,"AAAAADj6vpQ=")</f>
        <v>#REF!</v>
      </c>
      <c r="ET253" t="e">
        <f>AND(#REF!,"AAAAADj6vpU=")</f>
        <v>#REF!</v>
      </c>
      <c r="EU253" t="e">
        <f>AND(#REF!,"AAAAADj6vpY=")</f>
        <v>#REF!</v>
      </c>
      <c r="EV253" t="e">
        <f>AND(#REF!,"AAAAADj6vpc=")</f>
        <v>#REF!</v>
      </c>
      <c r="EW253" t="e">
        <f>AND(#REF!,"AAAAADj6vpg=")</f>
        <v>#REF!</v>
      </c>
      <c r="EX253" t="e">
        <f>AND(#REF!,"AAAAADj6vpk=")</f>
        <v>#REF!</v>
      </c>
      <c r="EY253" t="e">
        <f>AND(#REF!,"AAAAADj6vpo=")</f>
        <v>#REF!</v>
      </c>
      <c r="EZ253" t="e">
        <f>AND(#REF!,"AAAAADj6vps=")</f>
        <v>#REF!</v>
      </c>
      <c r="FA253" t="e">
        <f>AND(#REF!,"AAAAADj6vpw=")</f>
        <v>#REF!</v>
      </c>
      <c r="FB253" t="e">
        <f>AND(#REF!,"AAAAADj6vp0=")</f>
        <v>#REF!</v>
      </c>
      <c r="FC253" t="e">
        <f>AND(#REF!,"AAAAADj6vp4=")</f>
        <v>#REF!</v>
      </c>
      <c r="FD253" t="e">
        <f>AND(#REF!,"AAAAADj6vp8=")</f>
        <v>#REF!</v>
      </c>
      <c r="FE253" t="e">
        <f>AND(#REF!,"AAAAADj6vqA=")</f>
        <v>#REF!</v>
      </c>
      <c r="FF253" t="e">
        <f>AND(#REF!,"AAAAADj6vqE=")</f>
        <v>#REF!</v>
      </c>
      <c r="FG253" t="e">
        <f>AND(#REF!,"AAAAADj6vqI=")</f>
        <v>#REF!</v>
      </c>
      <c r="FH253" t="e">
        <f>AND(#REF!,"AAAAADj6vqM=")</f>
        <v>#REF!</v>
      </c>
      <c r="FI253" t="e">
        <f>AND(#REF!,"AAAAADj6vqQ=")</f>
        <v>#REF!</v>
      </c>
      <c r="FJ253" t="e">
        <f>AND(#REF!,"AAAAADj6vqU=")</f>
        <v>#REF!</v>
      </c>
      <c r="FK253" t="e">
        <f>AND(#REF!,"AAAAADj6vqY=")</f>
        <v>#REF!</v>
      </c>
      <c r="FL253" t="e">
        <f>AND(#REF!,"AAAAADj6vqc=")</f>
        <v>#REF!</v>
      </c>
      <c r="FM253" t="e">
        <f>AND(#REF!,"AAAAADj6vqg=")</f>
        <v>#REF!</v>
      </c>
      <c r="FN253" t="e">
        <f>AND(#REF!,"AAAAADj6vqk=")</f>
        <v>#REF!</v>
      </c>
      <c r="FO253" t="e">
        <f>AND(#REF!,"AAAAADj6vqo=")</f>
        <v>#REF!</v>
      </c>
      <c r="FP253" t="e">
        <f>AND(#REF!,"AAAAADj6vqs=")</f>
        <v>#REF!</v>
      </c>
      <c r="FQ253" t="e">
        <f>AND(#REF!,"AAAAADj6vqw=")</f>
        <v>#REF!</v>
      </c>
      <c r="FR253" t="e">
        <f>AND(#REF!,"AAAAADj6vq0=")</f>
        <v>#REF!</v>
      </c>
      <c r="FS253" t="e">
        <f>AND(#REF!,"AAAAADj6vq4=")</f>
        <v>#REF!</v>
      </c>
      <c r="FT253" t="e">
        <f>AND(#REF!,"AAAAADj6vq8=")</f>
        <v>#REF!</v>
      </c>
      <c r="FU253" t="e">
        <f>AND(#REF!,"AAAAADj6vrA=")</f>
        <v>#REF!</v>
      </c>
      <c r="FV253" t="e">
        <f>AND(#REF!,"AAAAADj6vrE=")</f>
        <v>#REF!</v>
      </c>
      <c r="FW253" t="e">
        <f>AND(#REF!,"AAAAADj6vrI=")</f>
        <v>#REF!</v>
      </c>
      <c r="FX253" t="e">
        <f>AND(#REF!,"AAAAADj6vrM=")</f>
        <v>#REF!</v>
      </c>
      <c r="FY253" t="e">
        <f>AND(#REF!,"AAAAADj6vrQ=")</f>
        <v>#REF!</v>
      </c>
      <c r="FZ253" t="e">
        <f>AND(#REF!,"AAAAADj6vrU=")</f>
        <v>#REF!</v>
      </c>
      <c r="GA253" t="e">
        <f>IF(#REF!,"AAAAADj6vrY=",0)</f>
        <v>#REF!</v>
      </c>
      <c r="GB253" t="e">
        <f>AND(#REF!,"AAAAADj6vrc=")</f>
        <v>#REF!</v>
      </c>
      <c r="GC253" t="e">
        <f>AND(#REF!,"AAAAADj6vrg=")</f>
        <v>#REF!</v>
      </c>
      <c r="GD253" t="e">
        <f>AND(#REF!,"AAAAADj6vrk=")</f>
        <v>#REF!</v>
      </c>
      <c r="GE253" t="e">
        <f>AND(#REF!,"AAAAADj6vro=")</f>
        <v>#REF!</v>
      </c>
      <c r="GF253" t="e">
        <f>AND(#REF!,"AAAAADj6vrs=")</f>
        <v>#REF!</v>
      </c>
      <c r="GG253" t="e">
        <f>AND(#REF!,"AAAAADj6vrw=")</f>
        <v>#REF!</v>
      </c>
      <c r="GH253" t="e">
        <f>AND(#REF!,"AAAAADj6vr0=")</f>
        <v>#REF!</v>
      </c>
      <c r="GI253" t="e">
        <f>AND(#REF!,"AAAAADj6vr4=")</f>
        <v>#REF!</v>
      </c>
      <c r="GJ253" t="e">
        <f>AND(#REF!,"AAAAADj6vr8=")</f>
        <v>#REF!</v>
      </c>
      <c r="GK253" t="e">
        <f>AND(#REF!,"AAAAADj6vsA=")</f>
        <v>#REF!</v>
      </c>
      <c r="GL253" t="e">
        <f>AND(#REF!,"AAAAADj6vsE=")</f>
        <v>#REF!</v>
      </c>
      <c r="GM253" t="e">
        <f>AND(#REF!,"AAAAADj6vsI=")</f>
        <v>#REF!</v>
      </c>
      <c r="GN253" t="e">
        <f>AND(#REF!,"AAAAADj6vsM=")</f>
        <v>#REF!</v>
      </c>
      <c r="GO253" t="e">
        <f>AND(#REF!,"AAAAADj6vsQ=")</f>
        <v>#REF!</v>
      </c>
      <c r="GP253" t="e">
        <f>AND(#REF!,"AAAAADj6vsU=")</f>
        <v>#REF!</v>
      </c>
      <c r="GQ253" t="e">
        <f>AND(#REF!,"AAAAADj6vsY=")</f>
        <v>#REF!</v>
      </c>
      <c r="GR253" t="e">
        <f>AND(#REF!,"AAAAADj6vsc=")</f>
        <v>#REF!</v>
      </c>
      <c r="GS253" t="e">
        <f>AND(#REF!,"AAAAADj6vsg=")</f>
        <v>#REF!</v>
      </c>
      <c r="GT253" t="e">
        <f>AND(#REF!,"AAAAADj6vsk=")</f>
        <v>#REF!</v>
      </c>
      <c r="GU253" t="e">
        <f>AND(#REF!,"AAAAADj6vso=")</f>
        <v>#REF!</v>
      </c>
      <c r="GV253" t="e">
        <f>AND(#REF!,"AAAAADj6vss=")</f>
        <v>#REF!</v>
      </c>
      <c r="GW253" t="e">
        <f>AND(#REF!,"AAAAADj6vsw=")</f>
        <v>#REF!</v>
      </c>
      <c r="GX253" t="e">
        <f>AND(#REF!,"AAAAADj6vs0=")</f>
        <v>#REF!</v>
      </c>
      <c r="GY253" t="e">
        <f>AND(#REF!,"AAAAADj6vs4=")</f>
        <v>#REF!</v>
      </c>
      <c r="GZ253" t="e">
        <f>AND(#REF!,"AAAAADj6vs8=")</f>
        <v>#REF!</v>
      </c>
      <c r="HA253" t="e">
        <f>AND(#REF!,"AAAAADj6vtA=")</f>
        <v>#REF!</v>
      </c>
      <c r="HB253" t="e">
        <f>AND(#REF!,"AAAAADj6vtE=")</f>
        <v>#REF!</v>
      </c>
      <c r="HC253" t="e">
        <f>AND(#REF!,"AAAAADj6vtI=")</f>
        <v>#REF!</v>
      </c>
      <c r="HD253" t="e">
        <f>AND(#REF!,"AAAAADj6vtM=")</f>
        <v>#REF!</v>
      </c>
      <c r="HE253" t="e">
        <f>AND(#REF!,"AAAAADj6vtQ=")</f>
        <v>#REF!</v>
      </c>
      <c r="HF253" t="e">
        <f>AND(#REF!,"AAAAADj6vtU=")</f>
        <v>#REF!</v>
      </c>
      <c r="HG253" t="e">
        <f>AND(#REF!,"AAAAADj6vtY=")</f>
        <v>#REF!</v>
      </c>
      <c r="HH253" t="e">
        <f>AND(#REF!,"AAAAADj6vtc=")</f>
        <v>#REF!</v>
      </c>
      <c r="HI253" t="e">
        <f>AND(#REF!,"AAAAADj6vtg=")</f>
        <v>#REF!</v>
      </c>
      <c r="HJ253" t="e">
        <f>AND(#REF!,"AAAAADj6vtk=")</f>
        <v>#REF!</v>
      </c>
      <c r="HK253" t="e">
        <f>AND(#REF!,"AAAAADj6vto=")</f>
        <v>#REF!</v>
      </c>
      <c r="HL253" t="e">
        <f>AND(#REF!,"AAAAADj6vts=")</f>
        <v>#REF!</v>
      </c>
      <c r="HM253" t="e">
        <f>AND(#REF!,"AAAAADj6vtw=")</f>
        <v>#REF!</v>
      </c>
      <c r="HN253" t="e">
        <f>AND(#REF!,"AAAAADj6vt0=")</f>
        <v>#REF!</v>
      </c>
      <c r="HO253" t="e">
        <f>AND(#REF!,"AAAAADj6vt4=")</f>
        <v>#REF!</v>
      </c>
      <c r="HP253" t="e">
        <f>AND(#REF!,"AAAAADj6vt8=")</f>
        <v>#REF!</v>
      </c>
      <c r="HQ253" t="e">
        <f>AND(#REF!,"AAAAADj6vuA=")</f>
        <v>#REF!</v>
      </c>
      <c r="HR253" t="e">
        <f>AND(#REF!,"AAAAADj6vuE=")</f>
        <v>#REF!</v>
      </c>
      <c r="HS253" t="e">
        <f>AND(#REF!,"AAAAADj6vuI=")</f>
        <v>#REF!</v>
      </c>
      <c r="HT253" t="e">
        <f>AND(#REF!,"AAAAADj6vuM=")</f>
        <v>#REF!</v>
      </c>
      <c r="HU253" t="e">
        <f>AND(#REF!,"AAAAADj6vuQ=")</f>
        <v>#REF!</v>
      </c>
      <c r="HV253" t="e">
        <f>AND(#REF!,"AAAAADj6vuU=")</f>
        <v>#REF!</v>
      </c>
      <c r="HW253" t="e">
        <f>AND(#REF!,"AAAAADj6vuY=")</f>
        <v>#REF!</v>
      </c>
      <c r="HX253" t="e">
        <f>AND(#REF!,"AAAAADj6vuc=")</f>
        <v>#REF!</v>
      </c>
      <c r="HY253" t="e">
        <f>AND(#REF!,"AAAAADj6vug=")</f>
        <v>#REF!</v>
      </c>
      <c r="HZ253" t="e">
        <f>AND(#REF!,"AAAAADj6vuk=")</f>
        <v>#REF!</v>
      </c>
      <c r="IA253" t="e">
        <f>AND(#REF!,"AAAAADj6vuo=")</f>
        <v>#REF!</v>
      </c>
      <c r="IB253" t="e">
        <f>AND(#REF!,"AAAAADj6vus=")</f>
        <v>#REF!</v>
      </c>
      <c r="IC253" t="e">
        <f>AND(#REF!,"AAAAADj6vuw=")</f>
        <v>#REF!</v>
      </c>
      <c r="ID253" t="e">
        <f>AND(#REF!,"AAAAADj6vu0=")</f>
        <v>#REF!</v>
      </c>
      <c r="IE253" t="e">
        <f>AND(#REF!,"AAAAADj6vu4=")</f>
        <v>#REF!</v>
      </c>
      <c r="IF253" t="e">
        <f>AND(#REF!,"AAAAADj6vu8=")</f>
        <v>#REF!</v>
      </c>
      <c r="IG253" t="e">
        <f>AND(#REF!,"AAAAADj6vvA=")</f>
        <v>#REF!</v>
      </c>
      <c r="IH253" t="e">
        <f>AND(#REF!,"AAAAADj6vvE=")</f>
        <v>#REF!</v>
      </c>
      <c r="II253" t="e">
        <f>AND(#REF!,"AAAAADj6vvI=")</f>
        <v>#REF!</v>
      </c>
      <c r="IJ253" t="e">
        <f>AND(#REF!,"AAAAADj6vvM=")</f>
        <v>#REF!</v>
      </c>
      <c r="IK253" t="e">
        <f>AND(#REF!,"AAAAADj6vvQ=")</f>
        <v>#REF!</v>
      </c>
      <c r="IL253" t="e">
        <f>AND(#REF!,"AAAAADj6vvU=")</f>
        <v>#REF!</v>
      </c>
      <c r="IM253" t="e">
        <f>AND(#REF!,"AAAAADj6vvY=")</f>
        <v>#REF!</v>
      </c>
      <c r="IN253" t="e">
        <f>AND(#REF!,"AAAAADj6vvc=")</f>
        <v>#REF!</v>
      </c>
      <c r="IO253" t="e">
        <f>AND(#REF!,"AAAAADj6vvg=")</f>
        <v>#REF!</v>
      </c>
      <c r="IP253" t="e">
        <f>AND(#REF!,"AAAAADj6vvk=")</f>
        <v>#REF!</v>
      </c>
      <c r="IQ253" t="e">
        <f>AND(#REF!,"AAAAADj6vvo=")</f>
        <v>#REF!</v>
      </c>
      <c r="IR253" t="e">
        <f>AND(#REF!,"AAAAADj6vvs=")</f>
        <v>#REF!</v>
      </c>
      <c r="IS253" t="e">
        <f>AND(#REF!,"AAAAADj6vvw=")</f>
        <v>#REF!</v>
      </c>
      <c r="IT253" t="e">
        <f>AND(#REF!,"AAAAADj6vv0=")</f>
        <v>#REF!</v>
      </c>
      <c r="IU253" t="e">
        <f>AND(#REF!,"AAAAADj6vv4=")</f>
        <v>#REF!</v>
      </c>
      <c r="IV253" t="e">
        <f>AND(#REF!,"AAAAADj6vv8=")</f>
        <v>#REF!</v>
      </c>
    </row>
    <row r="254" spans="1:256">
      <c r="A254" t="e">
        <f>AND(#REF!,"AAAAAHX1/gA=")</f>
        <v>#REF!</v>
      </c>
      <c r="B254" t="e">
        <f>AND(#REF!,"AAAAAHX1/gE=")</f>
        <v>#REF!</v>
      </c>
      <c r="C254" t="e">
        <f>AND(#REF!,"AAAAAHX1/gI=")</f>
        <v>#REF!</v>
      </c>
      <c r="D254" t="e">
        <f>AND(#REF!,"AAAAAHX1/gM=")</f>
        <v>#REF!</v>
      </c>
      <c r="E254" t="e">
        <f>AND(#REF!,"AAAAAHX1/gQ=")</f>
        <v>#REF!</v>
      </c>
      <c r="F254" t="e">
        <f>AND(#REF!,"AAAAAHX1/gU=")</f>
        <v>#REF!</v>
      </c>
      <c r="G254" t="e">
        <f>AND(#REF!,"AAAAAHX1/gY=")</f>
        <v>#REF!</v>
      </c>
      <c r="H254" t="e">
        <f>AND(#REF!,"AAAAAHX1/gc=")</f>
        <v>#REF!</v>
      </c>
      <c r="I254" t="e">
        <f>AND(#REF!,"AAAAAHX1/gg=")</f>
        <v>#REF!</v>
      </c>
      <c r="J254" t="e">
        <f>AND(#REF!,"AAAAAHX1/gk=")</f>
        <v>#REF!</v>
      </c>
      <c r="K254" t="e">
        <f>AND(#REF!,"AAAAAHX1/go=")</f>
        <v>#REF!</v>
      </c>
      <c r="L254" t="e">
        <f>AND(#REF!,"AAAAAHX1/gs=")</f>
        <v>#REF!</v>
      </c>
      <c r="M254" t="e">
        <f>AND(#REF!,"AAAAAHX1/gw=")</f>
        <v>#REF!</v>
      </c>
      <c r="N254" t="e">
        <f>AND(#REF!,"AAAAAHX1/g0=")</f>
        <v>#REF!</v>
      </c>
      <c r="O254" t="e">
        <f>AND(#REF!,"AAAAAHX1/g4=")</f>
        <v>#REF!</v>
      </c>
      <c r="P254" t="e">
        <f>AND(#REF!,"AAAAAHX1/g8=")</f>
        <v>#REF!</v>
      </c>
      <c r="Q254" t="e">
        <f>AND(#REF!,"AAAAAHX1/hA=")</f>
        <v>#REF!</v>
      </c>
      <c r="R254" t="e">
        <f>AND(#REF!,"AAAAAHX1/hE=")</f>
        <v>#REF!</v>
      </c>
      <c r="S254" t="e">
        <f>AND(#REF!,"AAAAAHX1/hI=")</f>
        <v>#REF!</v>
      </c>
      <c r="T254" t="e">
        <f>AND(#REF!,"AAAAAHX1/hM=")</f>
        <v>#REF!</v>
      </c>
      <c r="U254" t="e">
        <f>AND(#REF!,"AAAAAHX1/hQ=")</f>
        <v>#REF!</v>
      </c>
      <c r="V254" t="e">
        <f>AND(#REF!,"AAAAAHX1/hU=")</f>
        <v>#REF!</v>
      </c>
      <c r="W254" t="e">
        <f>AND(#REF!,"AAAAAHX1/hY=")</f>
        <v>#REF!</v>
      </c>
      <c r="X254" t="e">
        <f>AND(#REF!,"AAAAAHX1/hc=")</f>
        <v>#REF!</v>
      </c>
      <c r="Y254" t="e">
        <f>AND(#REF!,"AAAAAHX1/hg=")</f>
        <v>#REF!</v>
      </c>
      <c r="Z254" t="e">
        <f>AND(#REF!,"AAAAAHX1/hk=")</f>
        <v>#REF!</v>
      </c>
      <c r="AA254" t="e">
        <f>AND(#REF!,"AAAAAHX1/ho=")</f>
        <v>#REF!</v>
      </c>
      <c r="AB254" t="e">
        <f>AND(#REF!,"AAAAAHX1/hs=")</f>
        <v>#REF!</v>
      </c>
      <c r="AC254" t="e">
        <f>AND(#REF!,"AAAAAHX1/hw=")</f>
        <v>#REF!</v>
      </c>
      <c r="AD254" t="e">
        <f>AND(#REF!,"AAAAAHX1/h0=")</f>
        <v>#REF!</v>
      </c>
      <c r="AE254" t="e">
        <f>AND(#REF!,"AAAAAHX1/h4=")</f>
        <v>#REF!</v>
      </c>
      <c r="AF254" t="e">
        <f>AND(#REF!,"AAAAAHX1/h8=")</f>
        <v>#REF!</v>
      </c>
      <c r="AG254" t="e">
        <f>AND(#REF!,"AAAAAHX1/iA=")</f>
        <v>#REF!</v>
      </c>
      <c r="AH254" t="e">
        <f>AND(#REF!,"AAAAAHX1/iE=")</f>
        <v>#REF!</v>
      </c>
      <c r="AI254" t="e">
        <f>AND(#REF!,"AAAAAHX1/iI=")</f>
        <v>#REF!</v>
      </c>
      <c r="AJ254" t="e">
        <f>AND(#REF!,"AAAAAHX1/iM=")</f>
        <v>#REF!</v>
      </c>
      <c r="AK254" t="e">
        <f>AND(#REF!,"AAAAAHX1/iQ=")</f>
        <v>#REF!</v>
      </c>
      <c r="AL254" t="e">
        <f>AND(#REF!,"AAAAAHX1/iU=")</f>
        <v>#REF!</v>
      </c>
      <c r="AM254" t="e">
        <f>AND(#REF!,"AAAAAHX1/iY=")</f>
        <v>#REF!</v>
      </c>
      <c r="AN254" t="e">
        <f>AND(#REF!,"AAAAAHX1/ic=")</f>
        <v>#REF!</v>
      </c>
      <c r="AO254" t="e">
        <f>AND(#REF!,"AAAAAHX1/ig=")</f>
        <v>#REF!</v>
      </c>
      <c r="AP254" t="e">
        <f>AND(#REF!,"AAAAAHX1/ik=")</f>
        <v>#REF!</v>
      </c>
      <c r="AQ254" t="e">
        <f>AND(#REF!,"AAAAAHX1/io=")</f>
        <v>#REF!</v>
      </c>
      <c r="AR254" t="e">
        <f>AND(#REF!,"AAAAAHX1/is=")</f>
        <v>#REF!</v>
      </c>
      <c r="AS254" t="e">
        <f>AND(#REF!,"AAAAAHX1/iw=")</f>
        <v>#REF!</v>
      </c>
      <c r="AT254" t="e">
        <f>AND(#REF!,"AAAAAHX1/i0=")</f>
        <v>#REF!</v>
      </c>
      <c r="AU254" t="e">
        <f>AND(#REF!,"AAAAAHX1/i4=")</f>
        <v>#REF!</v>
      </c>
      <c r="AV254" t="e">
        <f>AND(#REF!,"AAAAAHX1/i8=")</f>
        <v>#REF!</v>
      </c>
      <c r="AW254" t="e">
        <f>AND(#REF!,"AAAAAHX1/jA=")</f>
        <v>#REF!</v>
      </c>
      <c r="AX254" t="e">
        <f>AND(#REF!,"AAAAAHX1/jE=")</f>
        <v>#REF!</v>
      </c>
      <c r="AY254" t="e">
        <f>AND(#REF!,"AAAAAHX1/jI=")</f>
        <v>#REF!</v>
      </c>
      <c r="AZ254" t="e">
        <f>AND(#REF!,"AAAAAHX1/jM=")</f>
        <v>#REF!</v>
      </c>
      <c r="BA254" t="e">
        <f>AND(#REF!,"AAAAAHX1/jQ=")</f>
        <v>#REF!</v>
      </c>
      <c r="BB254" t="e">
        <f>AND(#REF!,"AAAAAHX1/jU=")</f>
        <v>#REF!</v>
      </c>
      <c r="BC254" t="e">
        <f>AND(#REF!,"AAAAAHX1/jY=")</f>
        <v>#REF!</v>
      </c>
      <c r="BD254" t="e">
        <f>AND(#REF!,"AAAAAHX1/jc=")</f>
        <v>#REF!</v>
      </c>
      <c r="BE254" t="e">
        <f>AND(#REF!,"AAAAAHX1/jg=")</f>
        <v>#REF!</v>
      </c>
      <c r="BF254" t="e">
        <f>AND(#REF!,"AAAAAHX1/jk=")</f>
        <v>#REF!</v>
      </c>
      <c r="BG254" t="e">
        <f>AND(#REF!,"AAAAAHX1/jo=")</f>
        <v>#REF!</v>
      </c>
      <c r="BH254" t="e">
        <f>AND(#REF!,"AAAAAHX1/js=")</f>
        <v>#REF!</v>
      </c>
      <c r="BI254" t="e">
        <f>AND(#REF!,"AAAAAHX1/jw=")</f>
        <v>#REF!</v>
      </c>
      <c r="BJ254" t="e">
        <f>AND(#REF!,"AAAAAHX1/j0=")</f>
        <v>#REF!</v>
      </c>
      <c r="BK254" t="e">
        <f>AND(#REF!,"AAAAAHX1/j4=")</f>
        <v>#REF!</v>
      </c>
      <c r="BL254" t="e">
        <f>AND(#REF!,"AAAAAHX1/j8=")</f>
        <v>#REF!</v>
      </c>
      <c r="BM254" t="e">
        <f>AND(#REF!,"AAAAAHX1/kA=")</f>
        <v>#REF!</v>
      </c>
      <c r="BN254" t="e">
        <f>AND(#REF!,"AAAAAHX1/kE=")</f>
        <v>#REF!</v>
      </c>
      <c r="BO254" t="e">
        <f>AND(#REF!,"AAAAAHX1/kI=")</f>
        <v>#REF!</v>
      </c>
      <c r="BP254" t="e">
        <f>AND(#REF!,"AAAAAHX1/kM=")</f>
        <v>#REF!</v>
      </c>
      <c r="BQ254" t="e">
        <f>AND(#REF!,"AAAAAHX1/kQ=")</f>
        <v>#REF!</v>
      </c>
      <c r="BR254" t="e">
        <f>AND(#REF!,"AAAAAHX1/kU=")</f>
        <v>#REF!</v>
      </c>
      <c r="BS254" t="e">
        <f>AND(#REF!,"AAAAAHX1/kY=")</f>
        <v>#REF!</v>
      </c>
      <c r="BT254" t="e">
        <f>AND(#REF!,"AAAAAHX1/kc=")</f>
        <v>#REF!</v>
      </c>
      <c r="BU254" t="e">
        <f>AND(#REF!,"AAAAAHX1/kg=")</f>
        <v>#REF!</v>
      </c>
      <c r="BV254" t="e">
        <f>AND(#REF!,"AAAAAHX1/kk=")</f>
        <v>#REF!</v>
      </c>
      <c r="BW254" t="e">
        <f>AND(#REF!,"AAAAAHX1/ko=")</f>
        <v>#REF!</v>
      </c>
      <c r="BX254" t="e">
        <f>AND(#REF!,"AAAAAHX1/ks=")</f>
        <v>#REF!</v>
      </c>
      <c r="BY254" t="e">
        <f>AND(#REF!,"AAAAAHX1/kw=")</f>
        <v>#REF!</v>
      </c>
      <c r="BZ254" t="e">
        <f>AND(#REF!,"AAAAAHX1/k0=")</f>
        <v>#REF!</v>
      </c>
      <c r="CA254" t="e">
        <f>AND(#REF!,"AAAAAHX1/k4=")</f>
        <v>#REF!</v>
      </c>
      <c r="CB254" t="e">
        <f>AND(#REF!,"AAAAAHX1/k8=")</f>
        <v>#REF!</v>
      </c>
      <c r="CC254" t="e">
        <f>AND(#REF!,"AAAAAHX1/lA=")</f>
        <v>#REF!</v>
      </c>
      <c r="CD254" t="e">
        <f>AND(#REF!,"AAAAAHX1/lE=")</f>
        <v>#REF!</v>
      </c>
      <c r="CE254" t="e">
        <f>AND(#REF!,"AAAAAHX1/lI=")</f>
        <v>#REF!</v>
      </c>
      <c r="CF254" t="e">
        <f>AND(#REF!,"AAAAAHX1/lM=")</f>
        <v>#REF!</v>
      </c>
      <c r="CG254" t="e">
        <f>AND(#REF!,"AAAAAHX1/lQ=")</f>
        <v>#REF!</v>
      </c>
      <c r="CH254" t="e">
        <f>AND(#REF!,"AAAAAHX1/lU=")</f>
        <v>#REF!</v>
      </c>
      <c r="CI254" t="e">
        <f>AND(#REF!,"AAAAAHX1/lY=")</f>
        <v>#REF!</v>
      </c>
      <c r="CJ254" t="e">
        <f>AND(#REF!,"AAAAAHX1/lc=")</f>
        <v>#REF!</v>
      </c>
      <c r="CK254" t="e">
        <f>AND(#REF!,"AAAAAHX1/lg=")</f>
        <v>#REF!</v>
      </c>
      <c r="CL254" t="e">
        <f>AND(#REF!,"AAAAAHX1/lk=")</f>
        <v>#REF!</v>
      </c>
      <c r="CM254" t="e">
        <f>AND(#REF!,"AAAAAHX1/lo=")</f>
        <v>#REF!</v>
      </c>
      <c r="CN254" t="e">
        <f>AND(#REF!,"AAAAAHX1/ls=")</f>
        <v>#REF!</v>
      </c>
      <c r="CO254" t="e">
        <f>AND(#REF!,"AAAAAHX1/lw=")</f>
        <v>#REF!</v>
      </c>
      <c r="CP254" t="e">
        <f>AND(#REF!,"AAAAAHX1/l0=")</f>
        <v>#REF!</v>
      </c>
      <c r="CQ254" t="e">
        <f>AND(#REF!,"AAAAAHX1/l4=")</f>
        <v>#REF!</v>
      </c>
      <c r="CR254" t="e">
        <f>AND(#REF!,"AAAAAHX1/l8=")</f>
        <v>#REF!</v>
      </c>
      <c r="CS254" t="e">
        <f>AND(#REF!,"AAAAAHX1/mA=")</f>
        <v>#REF!</v>
      </c>
      <c r="CT254" t="e">
        <f>AND(#REF!,"AAAAAHX1/mE=")</f>
        <v>#REF!</v>
      </c>
      <c r="CU254" t="e">
        <f>AND(#REF!,"AAAAAHX1/mI=")</f>
        <v>#REF!</v>
      </c>
      <c r="CV254" t="e">
        <f>AND(#REF!,"AAAAAHX1/mM=")</f>
        <v>#REF!</v>
      </c>
      <c r="CW254" t="e">
        <f>AND(#REF!,"AAAAAHX1/mQ=")</f>
        <v>#REF!</v>
      </c>
      <c r="CX254" t="e">
        <f>AND(#REF!,"AAAAAHX1/mU=")</f>
        <v>#REF!</v>
      </c>
      <c r="CY254" t="e">
        <f>AND(#REF!,"AAAAAHX1/mY=")</f>
        <v>#REF!</v>
      </c>
      <c r="CZ254" t="e">
        <f>AND(#REF!,"AAAAAHX1/mc=")</f>
        <v>#REF!</v>
      </c>
      <c r="DA254" t="e">
        <f>AND(#REF!,"AAAAAHX1/mg=")</f>
        <v>#REF!</v>
      </c>
      <c r="DB254" t="e">
        <f>AND(#REF!,"AAAAAHX1/mk=")</f>
        <v>#REF!</v>
      </c>
      <c r="DC254" t="e">
        <f>AND(#REF!,"AAAAAHX1/mo=")</f>
        <v>#REF!</v>
      </c>
      <c r="DD254" t="e">
        <f>AND(#REF!,"AAAAAHX1/ms=")</f>
        <v>#REF!</v>
      </c>
      <c r="DE254" t="e">
        <f>AND(#REF!,"AAAAAHX1/mw=")</f>
        <v>#REF!</v>
      </c>
      <c r="DF254" t="e">
        <f>AND(#REF!,"AAAAAHX1/m0=")</f>
        <v>#REF!</v>
      </c>
      <c r="DG254" t="e">
        <f>AND(#REF!,"AAAAAHX1/m4=")</f>
        <v>#REF!</v>
      </c>
      <c r="DH254" t="e">
        <f>AND(#REF!,"AAAAAHX1/m8=")</f>
        <v>#REF!</v>
      </c>
      <c r="DI254" t="e">
        <f>AND(#REF!,"AAAAAHX1/nA=")</f>
        <v>#REF!</v>
      </c>
      <c r="DJ254" t="e">
        <f>AND(#REF!,"AAAAAHX1/nE=")</f>
        <v>#REF!</v>
      </c>
      <c r="DK254" t="e">
        <f>AND(#REF!,"AAAAAHX1/nI=")</f>
        <v>#REF!</v>
      </c>
      <c r="DL254" t="e">
        <f>AND(#REF!,"AAAAAHX1/nM=")</f>
        <v>#REF!</v>
      </c>
      <c r="DM254" t="e">
        <f>AND(#REF!,"AAAAAHX1/nQ=")</f>
        <v>#REF!</v>
      </c>
      <c r="DN254" t="e">
        <f>AND(#REF!,"AAAAAHX1/nU=")</f>
        <v>#REF!</v>
      </c>
      <c r="DO254" t="e">
        <f>AND(#REF!,"AAAAAHX1/nY=")</f>
        <v>#REF!</v>
      </c>
      <c r="DP254" t="e">
        <f>AND(#REF!,"AAAAAHX1/nc=")</f>
        <v>#REF!</v>
      </c>
      <c r="DQ254" t="e">
        <f>AND(#REF!,"AAAAAHX1/ng=")</f>
        <v>#REF!</v>
      </c>
      <c r="DR254" t="e">
        <f>AND(#REF!,"AAAAAHX1/nk=")</f>
        <v>#REF!</v>
      </c>
      <c r="DS254" t="e">
        <f>AND(#REF!,"AAAAAHX1/no=")</f>
        <v>#REF!</v>
      </c>
      <c r="DT254" t="e">
        <f>AND(#REF!,"AAAAAHX1/ns=")</f>
        <v>#REF!</v>
      </c>
      <c r="DU254" t="e">
        <f>AND(#REF!,"AAAAAHX1/nw=")</f>
        <v>#REF!</v>
      </c>
      <c r="DV254" t="e">
        <f>AND(#REF!,"AAAAAHX1/n0=")</f>
        <v>#REF!</v>
      </c>
      <c r="DW254" t="e">
        <f>AND(#REF!,"AAAAAHX1/n4=")</f>
        <v>#REF!</v>
      </c>
      <c r="DX254" t="e">
        <f>AND(#REF!,"AAAAAHX1/n8=")</f>
        <v>#REF!</v>
      </c>
      <c r="DY254" t="e">
        <f>AND(#REF!,"AAAAAHX1/oA=")</f>
        <v>#REF!</v>
      </c>
      <c r="DZ254" t="e">
        <f>AND(#REF!,"AAAAAHX1/oE=")</f>
        <v>#REF!</v>
      </c>
      <c r="EA254" t="e">
        <f>AND(#REF!,"AAAAAHX1/oI=")</f>
        <v>#REF!</v>
      </c>
      <c r="EB254" t="e">
        <f>AND(#REF!,"AAAAAHX1/oM=")</f>
        <v>#REF!</v>
      </c>
      <c r="EC254" t="e">
        <f>AND(#REF!,"AAAAAHX1/oQ=")</f>
        <v>#REF!</v>
      </c>
      <c r="ED254" t="e">
        <f>AND(#REF!,"AAAAAHX1/oU=")</f>
        <v>#REF!</v>
      </c>
      <c r="EE254" t="e">
        <f>AND(#REF!,"AAAAAHX1/oY=")</f>
        <v>#REF!</v>
      </c>
      <c r="EF254" t="e">
        <f>AND(#REF!,"AAAAAHX1/oc=")</f>
        <v>#REF!</v>
      </c>
      <c r="EG254" t="e">
        <f>AND(#REF!,"AAAAAHX1/og=")</f>
        <v>#REF!</v>
      </c>
      <c r="EH254" t="e">
        <f>AND(#REF!,"AAAAAHX1/ok=")</f>
        <v>#REF!</v>
      </c>
      <c r="EI254" t="e">
        <f>AND(#REF!,"AAAAAHX1/oo=")</f>
        <v>#REF!</v>
      </c>
      <c r="EJ254" t="e">
        <f>AND(#REF!,"AAAAAHX1/os=")</f>
        <v>#REF!</v>
      </c>
      <c r="EK254" t="e">
        <f>AND(#REF!,"AAAAAHX1/ow=")</f>
        <v>#REF!</v>
      </c>
      <c r="EL254" t="e">
        <f>AND(#REF!,"AAAAAHX1/o0=")</f>
        <v>#REF!</v>
      </c>
      <c r="EM254" t="e">
        <f>AND(#REF!,"AAAAAHX1/o4=")</f>
        <v>#REF!</v>
      </c>
      <c r="EN254" t="e">
        <f>AND(#REF!,"AAAAAHX1/o8=")</f>
        <v>#REF!</v>
      </c>
      <c r="EO254" t="e">
        <f>AND(#REF!,"AAAAAHX1/pA=")</f>
        <v>#REF!</v>
      </c>
      <c r="EP254" t="e">
        <f>AND(#REF!,"AAAAAHX1/pE=")</f>
        <v>#REF!</v>
      </c>
      <c r="EQ254" t="e">
        <f>AND(#REF!,"AAAAAHX1/pI=")</f>
        <v>#REF!</v>
      </c>
      <c r="ER254" t="e">
        <f>AND(#REF!,"AAAAAHX1/pM=")</f>
        <v>#REF!</v>
      </c>
      <c r="ES254" t="e">
        <f>AND(#REF!,"AAAAAHX1/pQ=")</f>
        <v>#REF!</v>
      </c>
      <c r="ET254" t="e">
        <f>AND(#REF!,"AAAAAHX1/pU=")</f>
        <v>#REF!</v>
      </c>
      <c r="EU254" t="e">
        <f>AND(#REF!,"AAAAAHX1/pY=")</f>
        <v>#REF!</v>
      </c>
      <c r="EV254" t="e">
        <f>AND(#REF!,"AAAAAHX1/pc=")</f>
        <v>#REF!</v>
      </c>
      <c r="EW254" t="e">
        <f>AND(#REF!,"AAAAAHX1/pg=")</f>
        <v>#REF!</v>
      </c>
      <c r="EX254" t="e">
        <f>AND(#REF!,"AAAAAHX1/pk=")</f>
        <v>#REF!</v>
      </c>
      <c r="EY254" t="e">
        <f>IF(#REF!,"AAAAAHX1/po=",0)</f>
        <v>#REF!</v>
      </c>
      <c r="EZ254" t="e">
        <f>AND(#REF!,"AAAAAHX1/ps=")</f>
        <v>#REF!</v>
      </c>
      <c r="FA254" t="e">
        <f>AND(#REF!,"AAAAAHX1/pw=")</f>
        <v>#REF!</v>
      </c>
      <c r="FB254" t="e">
        <f>AND(#REF!,"AAAAAHX1/p0=")</f>
        <v>#REF!</v>
      </c>
      <c r="FC254" t="e">
        <f>AND(#REF!,"AAAAAHX1/p4=")</f>
        <v>#REF!</v>
      </c>
      <c r="FD254" t="e">
        <f>AND(#REF!,"AAAAAHX1/p8=")</f>
        <v>#REF!</v>
      </c>
      <c r="FE254" t="e">
        <f>AND(#REF!,"AAAAAHX1/qA=")</f>
        <v>#REF!</v>
      </c>
      <c r="FF254" t="e">
        <f>AND(#REF!,"AAAAAHX1/qE=")</f>
        <v>#REF!</v>
      </c>
      <c r="FG254" t="e">
        <f>AND(#REF!,"AAAAAHX1/qI=")</f>
        <v>#REF!</v>
      </c>
      <c r="FH254" t="e">
        <f>AND(#REF!,"AAAAAHX1/qM=")</f>
        <v>#REF!</v>
      </c>
      <c r="FI254" t="e">
        <f>AND(#REF!,"AAAAAHX1/qQ=")</f>
        <v>#REF!</v>
      </c>
      <c r="FJ254" t="e">
        <f>AND(#REF!,"AAAAAHX1/qU=")</f>
        <v>#REF!</v>
      </c>
      <c r="FK254" t="e">
        <f>AND(#REF!,"AAAAAHX1/qY=")</f>
        <v>#REF!</v>
      </c>
      <c r="FL254" t="e">
        <f>AND(#REF!,"AAAAAHX1/qc=")</f>
        <v>#REF!</v>
      </c>
      <c r="FM254" t="e">
        <f>AND(#REF!,"AAAAAHX1/qg=")</f>
        <v>#REF!</v>
      </c>
      <c r="FN254" t="e">
        <f>AND(#REF!,"AAAAAHX1/qk=")</f>
        <v>#REF!</v>
      </c>
      <c r="FO254" t="e">
        <f>AND(#REF!,"AAAAAHX1/qo=")</f>
        <v>#REF!</v>
      </c>
      <c r="FP254" t="e">
        <f>AND(#REF!,"AAAAAHX1/qs=")</f>
        <v>#REF!</v>
      </c>
      <c r="FQ254" t="e">
        <f>AND(#REF!,"AAAAAHX1/qw=")</f>
        <v>#REF!</v>
      </c>
      <c r="FR254" t="e">
        <f>AND(#REF!,"AAAAAHX1/q0=")</f>
        <v>#REF!</v>
      </c>
      <c r="FS254" t="e">
        <f>AND(#REF!,"AAAAAHX1/q4=")</f>
        <v>#REF!</v>
      </c>
      <c r="FT254" t="e">
        <f>AND(#REF!,"AAAAAHX1/q8=")</f>
        <v>#REF!</v>
      </c>
      <c r="FU254" t="e">
        <f>AND(#REF!,"AAAAAHX1/rA=")</f>
        <v>#REF!</v>
      </c>
      <c r="FV254" t="e">
        <f>AND(#REF!,"AAAAAHX1/rE=")</f>
        <v>#REF!</v>
      </c>
      <c r="FW254" t="e">
        <f>AND(#REF!,"AAAAAHX1/rI=")</f>
        <v>#REF!</v>
      </c>
      <c r="FX254" t="e">
        <f>AND(#REF!,"AAAAAHX1/rM=")</f>
        <v>#REF!</v>
      </c>
      <c r="FY254" t="e">
        <f>AND(#REF!,"AAAAAHX1/rQ=")</f>
        <v>#REF!</v>
      </c>
      <c r="FZ254" t="e">
        <f>AND(#REF!,"AAAAAHX1/rU=")</f>
        <v>#REF!</v>
      </c>
      <c r="GA254" t="e">
        <f>AND(#REF!,"AAAAAHX1/rY=")</f>
        <v>#REF!</v>
      </c>
      <c r="GB254" t="e">
        <f>AND(#REF!,"AAAAAHX1/rc=")</f>
        <v>#REF!</v>
      </c>
      <c r="GC254" t="e">
        <f>AND(#REF!,"AAAAAHX1/rg=")</f>
        <v>#REF!</v>
      </c>
      <c r="GD254" t="e">
        <f>AND(#REF!,"AAAAAHX1/rk=")</f>
        <v>#REF!</v>
      </c>
      <c r="GE254" t="e">
        <f>AND(#REF!,"AAAAAHX1/ro=")</f>
        <v>#REF!</v>
      </c>
      <c r="GF254" t="e">
        <f>AND(#REF!,"AAAAAHX1/rs=")</f>
        <v>#REF!</v>
      </c>
      <c r="GG254" t="e">
        <f>AND(#REF!,"AAAAAHX1/rw=")</f>
        <v>#REF!</v>
      </c>
      <c r="GH254" t="e">
        <f>AND(#REF!,"AAAAAHX1/r0=")</f>
        <v>#REF!</v>
      </c>
      <c r="GI254" t="e">
        <f>AND(#REF!,"AAAAAHX1/r4=")</f>
        <v>#REF!</v>
      </c>
      <c r="GJ254" t="e">
        <f>AND(#REF!,"AAAAAHX1/r8=")</f>
        <v>#REF!</v>
      </c>
      <c r="GK254" t="e">
        <f>AND(#REF!,"AAAAAHX1/sA=")</f>
        <v>#REF!</v>
      </c>
      <c r="GL254" t="e">
        <f>AND(#REF!,"AAAAAHX1/sE=")</f>
        <v>#REF!</v>
      </c>
      <c r="GM254" t="e">
        <f>AND(#REF!,"AAAAAHX1/sI=")</f>
        <v>#REF!</v>
      </c>
      <c r="GN254" t="e">
        <f>AND(#REF!,"AAAAAHX1/sM=")</f>
        <v>#REF!</v>
      </c>
      <c r="GO254" t="e">
        <f>AND(#REF!,"AAAAAHX1/sQ=")</f>
        <v>#REF!</v>
      </c>
      <c r="GP254" t="e">
        <f>AND(#REF!,"AAAAAHX1/sU=")</f>
        <v>#REF!</v>
      </c>
      <c r="GQ254" t="e">
        <f>AND(#REF!,"AAAAAHX1/sY=")</f>
        <v>#REF!</v>
      </c>
      <c r="GR254" t="e">
        <f>AND(#REF!,"AAAAAHX1/sc=")</f>
        <v>#REF!</v>
      </c>
      <c r="GS254" t="e">
        <f>AND(#REF!,"AAAAAHX1/sg=")</f>
        <v>#REF!</v>
      </c>
      <c r="GT254" t="e">
        <f>AND(#REF!,"AAAAAHX1/sk=")</f>
        <v>#REF!</v>
      </c>
      <c r="GU254" t="e">
        <f>AND(#REF!,"AAAAAHX1/so=")</f>
        <v>#REF!</v>
      </c>
      <c r="GV254" t="e">
        <f>AND(#REF!,"AAAAAHX1/ss=")</f>
        <v>#REF!</v>
      </c>
      <c r="GW254" t="e">
        <f>AND(#REF!,"AAAAAHX1/sw=")</f>
        <v>#REF!</v>
      </c>
      <c r="GX254" t="e">
        <f>AND(#REF!,"AAAAAHX1/s0=")</f>
        <v>#REF!</v>
      </c>
      <c r="GY254" t="e">
        <f>AND(#REF!,"AAAAAHX1/s4=")</f>
        <v>#REF!</v>
      </c>
      <c r="GZ254" t="e">
        <f>AND(#REF!,"AAAAAHX1/s8=")</f>
        <v>#REF!</v>
      </c>
      <c r="HA254" t="e">
        <f>AND(#REF!,"AAAAAHX1/tA=")</f>
        <v>#REF!</v>
      </c>
      <c r="HB254" t="e">
        <f>AND(#REF!,"AAAAAHX1/tE=")</f>
        <v>#REF!</v>
      </c>
      <c r="HC254" t="e">
        <f>AND(#REF!,"AAAAAHX1/tI=")</f>
        <v>#REF!</v>
      </c>
      <c r="HD254" t="e">
        <f>AND(#REF!,"AAAAAHX1/tM=")</f>
        <v>#REF!</v>
      </c>
      <c r="HE254" t="e">
        <f>AND(#REF!,"AAAAAHX1/tQ=")</f>
        <v>#REF!</v>
      </c>
      <c r="HF254" t="e">
        <f>AND(#REF!,"AAAAAHX1/tU=")</f>
        <v>#REF!</v>
      </c>
      <c r="HG254" t="e">
        <f>AND(#REF!,"AAAAAHX1/tY=")</f>
        <v>#REF!</v>
      </c>
      <c r="HH254" t="e">
        <f>AND(#REF!,"AAAAAHX1/tc=")</f>
        <v>#REF!</v>
      </c>
      <c r="HI254" t="e">
        <f>AND(#REF!,"AAAAAHX1/tg=")</f>
        <v>#REF!</v>
      </c>
      <c r="HJ254" t="e">
        <f>AND(#REF!,"AAAAAHX1/tk=")</f>
        <v>#REF!</v>
      </c>
      <c r="HK254" t="e">
        <f>AND(#REF!,"AAAAAHX1/to=")</f>
        <v>#REF!</v>
      </c>
      <c r="HL254" t="e">
        <f>AND(#REF!,"AAAAAHX1/ts=")</f>
        <v>#REF!</v>
      </c>
      <c r="HM254" t="e">
        <f>AND(#REF!,"AAAAAHX1/tw=")</f>
        <v>#REF!</v>
      </c>
      <c r="HN254" t="e">
        <f>AND(#REF!,"AAAAAHX1/t0=")</f>
        <v>#REF!</v>
      </c>
      <c r="HO254" t="e">
        <f>AND(#REF!,"AAAAAHX1/t4=")</f>
        <v>#REF!</v>
      </c>
      <c r="HP254" t="e">
        <f>AND(#REF!,"AAAAAHX1/t8=")</f>
        <v>#REF!</v>
      </c>
      <c r="HQ254" t="e">
        <f>AND(#REF!,"AAAAAHX1/uA=")</f>
        <v>#REF!</v>
      </c>
      <c r="HR254" t="e">
        <f>AND(#REF!,"AAAAAHX1/uE=")</f>
        <v>#REF!</v>
      </c>
      <c r="HS254" t="e">
        <f>AND(#REF!,"AAAAAHX1/uI=")</f>
        <v>#REF!</v>
      </c>
      <c r="HT254" t="e">
        <f>AND(#REF!,"AAAAAHX1/uM=")</f>
        <v>#REF!</v>
      </c>
      <c r="HU254" t="e">
        <f>AND(#REF!,"AAAAAHX1/uQ=")</f>
        <v>#REF!</v>
      </c>
      <c r="HV254" t="e">
        <f>AND(#REF!,"AAAAAHX1/uU=")</f>
        <v>#REF!</v>
      </c>
      <c r="HW254" t="e">
        <f>AND(#REF!,"AAAAAHX1/uY=")</f>
        <v>#REF!</v>
      </c>
      <c r="HX254" t="e">
        <f>AND(#REF!,"AAAAAHX1/uc=")</f>
        <v>#REF!</v>
      </c>
      <c r="HY254" t="e">
        <f>AND(#REF!,"AAAAAHX1/ug=")</f>
        <v>#REF!</v>
      </c>
      <c r="HZ254" t="e">
        <f>AND(#REF!,"AAAAAHX1/uk=")</f>
        <v>#REF!</v>
      </c>
      <c r="IA254" t="e">
        <f>AND(#REF!,"AAAAAHX1/uo=")</f>
        <v>#REF!</v>
      </c>
      <c r="IB254" t="e">
        <f>AND(#REF!,"AAAAAHX1/us=")</f>
        <v>#REF!</v>
      </c>
      <c r="IC254" t="e">
        <f>AND(#REF!,"AAAAAHX1/uw=")</f>
        <v>#REF!</v>
      </c>
      <c r="ID254" t="e">
        <f>AND(#REF!,"AAAAAHX1/u0=")</f>
        <v>#REF!</v>
      </c>
      <c r="IE254" t="e">
        <f>AND(#REF!,"AAAAAHX1/u4=")</f>
        <v>#REF!</v>
      </c>
      <c r="IF254" t="e">
        <f>AND(#REF!,"AAAAAHX1/u8=")</f>
        <v>#REF!</v>
      </c>
      <c r="IG254" t="e">
        <f>AND(#REF!,"AAAAAHX1/vA=")</f>
        <v>#REF!</v>
      </c>
      <c r="IH254" t="e">
        <f>AND(#REF!,"AAAAAHX1/vE=")</f>
        <v>#REF!</v>
      </c>
      <c r="II254" t="e">
        <f>AND(#REF!,"AAAAAHX1/vI=")</f>
        <v>#REF!</v>
      </c>
      <c r="IJ254" t="e">
        <f>AND(#REF!,"AAAAAHX1/vM=")</f>
        <v>#REF!</v>
      </c>
      <c r="IK254" t="e">
        <f>AND(#REF!,"AAAAAHX1/vQ=")</f>
        <v>#REF!</v>
      </c>
      <c r="IL254" t="e">
        <f>AND(#REF!,"AAAAAHX1/vU=")</f>
        <v>#REF!</v>
      </c>
      <c r="IM254" t="e">
        <f>AND(#REF!,"AAAAAHX1/vY=")</f>
        <v>#REF!</v>
      </c>
      <c r="IN254" t="e">
        <f>AND(#REF!,"AAAAAHX1/vc=")</f>
        <v>#REF!</v>
      </c>
      <c r="IO254" t="e">
        <f>AND(#REF!,"AAAAAHX1/vg=")</f>
        <v>#REF!</v>
      </c>
      <c r="IP254" t="e">
        <f>AND(#REF!,"AAAAAHX1/vk=")</f>
        <v>#REF!</v>
      </c>
      <c r="IQ254" t="e">
        <f>AND(#REF!,"AAAAAHX1/vo=")</f>
        <v>#REF!</v>
      </c>
      <c r="IR254" t="e">
        <f>AND(#REF!,"AAAAAHX1/vs=")</f>
        <v>#REF!</v>
      </c>
      <c r="IS254" t="e">
        <f>AND(#REF!,"AAAAAHX1/vw=")</f>
        <v>#REF!</v>
      </c>
      <c r="IT254" t="e">
        <f>AND(#REF!,"AAAAAHX1/v0=")</f>
        <v>#REF!</v>
      </c>
      <c r="IU254" t="e">
        <f>AND(#REF!,"AAAAAHX1/v4=")</f>
        <v>#REF!</v>
      </c>
      <c r="IV254" t="e">
        <f>AND(#REF!,"AAAAAHX1/v8=")</f>
        <v>#REF!</v>
      </c>
    </row>
    <row r="255" spans="1:256">
      <c r="A255" t="e">
        <f>AND(#REF!,"AAAAAHJ+/wA=")</f>
        <v>#REF!</v>
      </c>
      <c r="B255" t="e">
        <f>AND(#REF!,"AAAAAHJ+/wE=")</f>
        <v>#REF!</v>
      </c>
      <c r="C255" t="e">
        <f>AND(#REF!,"AAAAAHJ+/wI=")</f>
        <v>#REF!</v>
      </c>
      <c r="D255" t="e">
        <f>AND(#REF!,"AAAAAHJ+/wM=")</f>
        <v>#REF!</v>
      </c>
      <c r="E255" t="e">
        <f>AND(#REF!,"AAAAAHJ+/wQ=")</f>
        <v>#REF!</v>
      </c>
      <c r="F255" t="e">
        <f>AND(#REF!,"AAAAAHJ+/wU=")</f>
        <v>#REF!</v>
      </c>
      <c r="G255" t="e">
        <f>AND(#REF!,"AAAAAHJ+/wY=")</f>
        <v>#REF!</v>
      </c>
      <c r="H255" t="e">
        <f>AND(#REF!,"AAAAAHJ+/wc=")</f>
        <v>#REF!</v>
      </c>
      <c r="I255" t="e">
        <f>AND(#REF!,"AAAAAHJ+/wg=")</f>
        <v>#REF!</v>
      </c>
      <c r="J255" t="e">
        <f>AND(#REF!,"AAAAAHJ+/wk=")</f>
        <v>#REF!</v>
      </c>
      <c r="K255" t="e">
        <f>AND(#REF!,"AAAAAHJ+/wo=")</f>
        <v>#REF!</v>
      </c>
      <c r="L255" t="e">
        <f>AND(#REF!,"AAAAAHJ+/ws=")</f>
        <v>#REF!</v>
      </c>
      <c r="M255" t="e">
        <f>AND(#REF!,"AAAAAHJ+/ww=")</f>
        <v>#REF!</v>
      </c>
      <c r="N255" t="e">
        <f>AND(#REF!,"AAAAAHJ+/w0=")</f>
        <v>#REF!</v>
      </c>
      <c r="O255" t="e">
        <f>AND(#REF!,"AAAAAHJ+/w4=")</f>
        <v>#REF!</v>
      </c>
      <c r="P255" t="e">
        <f>AND(#REF!,"AAAAAHJ+/w8=")</f>
        <v>#REF!</v>
      </c>
      <c r="Q255" t="e">
        <f>AND(#REF!,"AAAAAHJ+/xA=")</f>
        <v>#REF!</v>
      </c>
      <c r="R255" t="e">
        <f>AND(#REF!,"AAAAAHJ+/xE=")</f>
        <v>#REF!</v>
      </c>
      <c r="S255" t="e">
        <f>AND(#REF!,"AAAAAHJ+/xI=")</f>
        <v>#REF!</v>
      </c>
      <c r="T255" t="e">
        <f>AND(#REF!,"AAAAAHJ+/xM=")</f>
        <v>#REF!</v>
      </c>
      <c r="U255" t="e">
        <f>AND(#REF!,"AAAAAHJ+/xQ=")</f>
        <v>#REF!</v>
      </c>
      <c r="V255" t="e">
        <f>AND(#REF!,"AAAAAHJ+/xU=")</f>
        <v>#REF!</v>
      </c>
      <c r="W255" t="e">
        <f>AND(#REF!,"AAAAAHJ+/xY=")</f>
        <v>#REF!</v>
      </c>
      <c r="X255" t="e">
        <f>AND(#REF!,"AAAAAHJ+/xc=")</f>
        <v>#REF!</v>
      </c>
      <c r="Y255" t="e">
        <f>AND(#REF!,"AAAAAHJ+/xg=")</f>
        <v>#REF!</v>
      </c>
      <c r="Z255" t="e">
        <f>AND(#REF!,"AAAAAHJ+/xk=")</f>
        <v>#REF!</v>
      </c>
      <c r="AA255" t="e">
        <f>AND(#REF!,"AAAAAHJ+/xo=")</f>
        <v>#REF!</v>
      </c>
      <c r="AB255" t="e">
        <f>AND(#REF!,"AAAAAHJ+/xs=")</f>
        <v>#REF!</v>
      </c>
      <c r="AC255" t="e">
        <f>AND(#REF!,"AAAAAHJ+/xw=")</f>
        <v>#REF!</v>
      </c>
      <c r="AD255" t="e">
        <f>AND(#REF!,"AAAAAHJ+/x0=")</f>
        <v>#REF!</v>
      </c>
      <c r="AE255" t="e">
        <f>AND(#REF!,"AAAAAHJ+/x4=")</f>
        <v>#REF!</v>
      </c>
      <c r="AF255" t="e">
        <f>AND(#REF!,"AAAAAHJ+/x8=")</f>
        <v>#REF!</v>
      </c>
      <c r="AG255" t="e">
        <f>AND(#REF!,"AAAAAHJ+/yA=")</f>
        <v>#REF!</v>
      </c>
      <c r="AH255" t="e">
        <f>AND(#REF!,"AAAAAHJ+/yE=")</f>
        <v>#REF!</v>
      </c>
      <c r="AI255" t="e">
        <f>AND(#REF!,"AAAAAHJ+/yI=")</f>
        <v>#REF!</v>
      </c>
      <c r="AJ255" t="e">
        <f>AND(#REF!,"AAAAAHJ+/yM=")</f>
        <v>#REF!</v>
      </c>
      <c r="AK255" t="e">
        <f>AND(#REF!,"AAAAAHJ+/yQ=")</f>
        <v>#REF!</v>
      </c>
      <c r="AL255" t="e">
        <f>AND(#REF!,"AAAAAHJ+/yU=")</f>
        <v>#REF!</v>
      </c>
      <c r="AM255" t="e">
        <f>AND(#REF!,"AAAAAHJ+/yY=")</f>
        <v>#REF!</v>
      </c>
      <c r="AN255" t="e">
        <f>AND(#REF!,"AAAAAHJ+/yc=")</f>
        <v>#REF!</v>
      </c>
      <c r="AO255" t="e">
        <f>AND(#REF!,"AAAAAHJ+/yg=")</f>
        <v>#REF!</v>
      </c>
      <c r="AP255" t="e">
        <f>AND(#REF!,"AAAAAHJ+/yk=")</f>
        <v>#REF!</v>
      </c>
      <c r="AQ255" t="e">
        <f>AND(#REF!,"AAAAAHJ+/yo=")</f>
        <v>#REF!</v>
      </c>
      <c r="AR255" t="e">
        <f>AND(#REF!,"AAAAAHJ+/ys=")</f>
        <v>#REF!</v>
      </c>
      <c r="AS255" t="e">
        <f>AND(#REF!,"AAAAAHJ+/yw=")</f>
        <v>#REF!</v>
      </c>
      <c r="AT255" t="e">
        <f>AND(#REF!,"AAAAAHJ+/y0=")</f>
        <v>#REF!</v>
      </c>
      <c r="AU255" t="e">
        <f>AND(#REF!,"AAAAAHJ+/y4=")</f>
        <v>#REF!</v>
      </c>
      <c r="AV255" t="e">
        <f>AND(#REF!,"AAAAAHJ+/y8=")</f>
        <v>#REF!</v>
      </c>
      <c r="AW255" t="e">
        <f>AND(#REF!,"AAAAAHJ+/zA=")</f>
        <v>#REF!</v>
      </c>
      <c r="AX255" t="e">
        <f>AND(#REF!,"AAAAAHJ+/zE=")</f>
        <v>#REF!</v>
      </c>
      <c r="AY255" t="e">
        <f>AND(#REF!,"AAAAAHJ+/zI=")</f>
        <v>#REF!</v>
      </c>
      <c r="AZ255" t="e">
        <f>AND(#REF!,"AAAAAHJ+/zM=")</f>
        <v>#REF!</v>
      </c>
      <c r="BA255" t="e">
        <f>AND(#REF!,"AAAAAHJ+/zQ=")</f>
        <v>#REF!</v>
      </c>
      <c r="BB255" t="e">
        <f>AND(#REF!,"AAAAAHJ+/zU=")</f>
        <v>#REF!</v>
      </c>
      <c r="BC255" t="e">
        <f>AND(#REF!,"AAAAAHJ+/zY=")</f>
        <v>#REF!</v>
      </c>
      <c r="BD255" t="e">
        <f>AND(#REF!,"AAAAAHJ+/zc=")</f>
        <v>#REF!</v>
      </c>
      <c r="BE255" t="e">
        <f>AND(#REF!,"AAAAAHJ+/zg=")</f>
        <v>#REF!</v>
      </c>
      <c r="BF255" t="e">
        <f>AND(#REF!,"AAAAAHJ+/zk=")</f>
        <v>#REF!</v>
      </c>
      <c r="BG255" t="e">
        <f>AND(#REF!,"AAAAAHJ+/zo=")</f>
        <v>#REF!</v>
      </c>
      <c r="BH255" t="e">
        <f>AND(#REF!,"AAAAAHJ+/zs=")</f>
        <v>#REF!</v>
      </c>
      <c r="BI255" t="e">
        <f>AND(#REF!,"AAAAAHJ+/zw=")</f>
        <v>#REF!</v>
      </c>
      <c r="BJ255" t="e">
        <f>AND(#REF!,"AAAAAHJ+/z0=")</f>
        <v>#REF!</v>
      </c>
      <c r="BK255" t="e">
        <f>AND(#REF!,"AAAAAHJ+/z4=")</f>
        <v>#REF!</v>
      </c>
      <c r="BL255" t="e">
        <f>AND(#REF!,"AAAAAHJ+/z8=")</f>
        <v>#REF!</v>
      </c>
      <c r="BM255" t="e">
        <f>AND(#REF!,"AAAAAHJ+/0A=")</f>
        <v>#REF!</v>
      </c>
      <c r="BN255" t="e">
        <f>AND(#REF!,"AAAAAHJ+/0E=")</f>
        <v>#REF!</v>
      </c>
      <c r="BO255" t="e">
        <f>AND(#REF!,"AAAAAHJ+/0I=")</f>
        <v>#REF!</v>
      </c>
      <c r="BP255" t="e">
        <f>AND(#REF!,"AAAAAHJ+/0M=")</f>
        <v>#REF!</v>
      </c>
      <c r="BQ255" t="e">
        <f>AND(#REF!,"AAAAAHJ+/0Q=")</f>
        <v>#REF!</v>
      </c>
      <c r="BR255" t="e">
        <f>AND(#REF!,"AAAAAHJ+/0U=")</f>
        <v>#REF!</v>
      </c>
      <c r="BS255" t="e">
        <f>AND(#REF!,"AAAAAHJ+/0Y=")</f>
        <v>#REF!</v>
      </c>
      <c r="BT255" t="e">
        <f>AND(#REF!,"AAAAAHJ+/0c=")</f>
        <v>#REF!</v>
      </c>
      <c r="BU255" t="e">
        <f>AND(#REF!,"AAAAAHJ+/0g=")</f>
        <v>#REF!</v>
      </c>
      <c r="BV255" t="e">
        <f>AND(#REF!,"AAAAAHJ+/0k=")</f>
        <v>#REF!</v>
      </c>
      <c r="BW255" t="e">
        <f>AND(#REF!,"AAAAAHJ+/0o=")</f>
        <v>#REF!</v>
      </c>
      <c r="BX255" t="e">
        <f>AND(#REF!,"AAAAAHJ+/0s=")</f>
        <v>#REF!</v>
      </c>
      <c r="BY255" t="e">
        <f>AND(#REF!,"AAAAAHJ+/0w=")</f>
        <v>#REF!</v>
      </c>
      <c r="BZ255" t="e">
        <f>AND(#REF!,"AAAAAHJ+/00=")</f>
        <v>#REF!</v>
      </c>
      <c r="CA255" t="e">
        <f>AND(#REF!,"AAAAAHJ+/04=")</f>
        <v>#REF!</v>
      </c>
      <c r="CB255" t="e">
        <f>AND(#REF!,"AAAAAHJ+/08=")</f>
        <v>#REF!</v>
      </c>
      <c r="CC255" t="e">
        <f>AND(#REF!,"AAAAAHJ+/1A=")</f>
        <v>#REF!</v>
      </c>
      <c r="CD255" t="e">
        <f>AND(#REF!,"AAAAAHJ+/1E=")</f>
        <v>#REF!</v>
      </c>
      <c r="CE255" t="e">
        <f>AND(#REF!,"AAAAAHJ+/1I=")</f>
        <v>#REF!</v>
      </c>
      <c r="CF255" t="e">
        <f>AND(#REF!,"AAAAAHJ+/1M=")</f>
        <v>#REF!</v>
      </c>
      <c r="CG255" t="e">
        <f>AND(#REF!,"AAAAAHJ+/1Q=")</f>
        <v>#REF!</v>
      </c>
      <c r="CH255" t="e">
        <f>AND(#REF!,"AAAAAHJ+/1U=")</f>
        <v>#REF!</v>
      </c>
      <c r="CI255" t="e">
        <f>AND(#REF!,"AAAAAHJ+/1Y=")</f>
        <v>#REF!</v>
      </c>
      <c r="CJ255" t="e">
        <f>AND(#REF!,"AAAAAHJ+/1c=")</f>
        <v>#REF!</v>
      </c>
      <c r="CK255" t="e">
        <f>AND(#REF!,"AAAAAHJ+/1g=")</f>
        <v>#REF!</v>
      </c>
      <c r="CL255" t="e">
        <f>AND(#REF!,"AAAAAHJ+/1k=")</f>
        <v>#REF!</v>
      </c>
      <c r="CM255" t="e">
        <f>AND(#REF!,"AAAAAHJ+/1o=")</f>
        <v>#REF!</v>
      </c>
      <c r="CN255" t="e">
        <f>AND(#REF!,"AAAAAHJ+/1s=")</f>
        <v>#REF!</v>
      </c>
      <c r="CO255" t="e">
        <f>AND(#REF!,"AAAAAHJ+/1w=")</f>
        <v>#REF!</v>
      </c>
      <c r="CP255" t="e">
        <f>AND(#REF!,"AAAAAHJ+/10=")</f>
        <v>#REF!</v>
      </c>
      <c r="CQ255" t="e">
        <f>AND(#REF!,"AAAAAHJ+/14=")</f>
        <v>#REF!</v>
      </c>
      <c r="CR255" t="e">
        <f>AND(#REF!,"AAAAAHJ+/18=")</f>
        <v>#REF!</v>
      </c>
      <c r="CS255" t="e">
        <f>AND(#REF!,"AAAAAHJ+/2A=")</f>
        <v>#REF!</v>
      </c>
      <c r="CT255" t="e">
        <f>AND(#REF!,"AAAAAHJ+/2E=")</f>
        <v>#REF!</v>
      </c>
      <c r="CU255" t="e">
        <f>AND(#REF!,"AAAAAHJ+/2I=")</f>
        <v>#REF!</v>
      </c>
      <c r="CV255" t="e">
        <f>AND(#REF!,"AAAAAHJ+/2M=")</f>
        <v>#REF!</v>
      </c>
      <c r="CW255" t="e">
        <f>AND(#REF!,"AAAAAHJ+/2Q=")</f>
        <v>#REF!</v>
      </c>
      <c r="CX255" t="e">
        <f>AND(#REF!,"AAAAAHJ+/2U=")</f>
        <v>#REF!</v>
      </c>
      <c r="CY255" t="e">
        <f>AND(#REF!,"AAAAAHJ+/2Y=")</f>
        <v>#REF!</v>
      </c>
      <c r="CZ255" t="e">
        <f>AND(#REF!,"AAAAAHJ+/2c=")</f>
        <v>#REF!</v>
      </c>
      <c r="DA255" t="e">
        <f>AND(#REF!,"AAAAAHJ+/2g=")</f>
        <v>#REF!</v>
      </c>
      <c r="DB255" t="e">
        <f>AND(#REF!,"AAAAAHJ+/2k=")</f>
        <v>#REF!</v>
      </c>
      <c r="DC255" t="e">
        <f>AND(#REF!,"AAAAAHJ+/2o=")</f>
        <v>#REF!</v>
      </c>
      <c r="DD255" t="e">
        <f>AND(#REF!,"AAAAAHJ+/2s=")</f>
        <v>#REF!</v>
      </c>
      <c r="DE255" t="e">
        <f>AND(#REF!,"AAAAAHJ+/2w=")</f>
        <v>#REF!</v>
      </c>
      <c r="DF255" t="e">
        <f>AND(#REF!,"AAAAAHJ+/20=")</f>
        <v>#REF!</v>
      </c>
      <c r="DG255" t="e">
        <f>AND(#REF!,"AAAAAHJ+/24=")</f>
        <v>#REF!</v>
      </c>
      <c r="DH255" t="e">
        <f>AND(#REF!,"AAAAAHJ+/28=")</f>
        <v>#REF!</v>
      </c>
      <c r="DI255" t="e">
        <f>AND(#REF!,"AAAAAHJ+/3A=")</f>
        <v>#REF!</v>
      </c>
      <c r="DJ255" t="e">
        <f>AND(#REF!,"AAAAAHJ+/3E=")</f>
        <v>#REF!</v>
      </c>
      <c r="DK255" t="e">
        <f>AND(#REF!,"AAAAAHJ+/3I=")</f>
        <v>#REF!</v>
      </c>
      <c r="DL255" t="e">
        <f>AND(#REF!,"AAAAAHJ+/3M=")</f>
        <v>#REF!</v>
      </c>
      <c r="DM255" t="e">
        <f>AND(#REF!,"AAAAAHJ+/3Q=")</f>
        <v>#REF!</v>
      </c>
      <c r="DN255" t="e">
        <f>AND(#REF!,"AAAAAHJ+/3U=")</f>
        <v>#REF!</v>
      </c>
      <c r="DO255" t="e">
        <f>AND(#REF!,"AAAAAHJ+/3Y=")</f>
        <v>#REF!</v>
      </c>
      <c r="DP255" t="e">
        <f>AND(#REF!,"AAAAAHJ+/3c=")</f>
        <v>#REF!</v>
      </c>
      <c r="DQ255" t="e">
        <f>AND(#REF!,"AAAAAHJ+/3g=")</f>
        <v>#REF!</v>
      </c>
      <c r="DR255" t="e">
        <f>AND(#REF!,"AAAAAHJ+/3k=")</f>
        <v>#REF!</v>
      </c>
      <c r="DS255" t="e">
        <f>AND(#REF!,"AAAAAHJ+/3o=")</f>
        <v>#REF!</v>
      </c>
      <c r="DT255" t="e">
        <f>AND(#REF!,"AAAAAHJ+/3s=")</f>
        <v>#REF!</v>
      </c>
      <c r="DU255" t="e">
        <f>AND(#REF!,"AAAAAHJ+/3w=")</f>
        <v>#REF!</v>
      </c>
      <c r="DV255" t="e">
        <f>AND(#REF!,"AAAAAHJ+/30=")</f>
        <v>#REF!</v>
      </c>
      <c r="DW255" t="e">
        <f>IF(#REF!,"AAAAAHJ+/34=",0)</f>
        <v>#REF!</v>
      </c>
      <c r="DX255" t="e">
        <f>AND(#REF!,"AAAAAHJ+/38=")</f>
        <v>#REF!</v>
      </c>
      <c r="DY255" t="e">
        <f>AND(#REF!,"AAAAAHJ+/4A=")</f>
        <v>#REF!</v>
      </c>
      <c r="DZ255" t="e">
        <f>AND(#REF!,"AAAAAHJ+/4E=")</f>
        <v>#REF!</v>
      </c>
      <c r="EA255" t="e">
        <f>AND(#REF!,"AAAAAHJ+/4I=")</f>
        <v>#REF!</v>
      </c>
      <c r="EB255" t="e">
        <f>AND(#REF!,"AAAAAHJ+/4M=")</f>
        <v>#REF!</v>
      </c>
      <c r="EC255" t="e">
        <f>AND(#REF!,"AAAAAHJ+/4Q=")</f>
        <v>#REF!</v>
      </c>
      <c r="ED255" t="e">
        <f>AND(#REF!,"AAAAAHJ+/4U=")</f>
        <v>#REF!</v>
      </c>
      <c r="EE255" t="e">
        <f>AND(#REF!,"AAAAAHJ+/4Y=")</f>
        <v>#REF!</v>
      </c>
      <c r="EF255" t="e">
        <f>AND(#REF!,"AAAAAHJ+/4c=")</f>
        <v>#REF!</v>
      </c>
      <c r="EG255" t="e">
        <f>AND(#REF!,"AAAAAHJ+/4g=")</f>
        <v>#REF!</v>
      </c>
      <c r="EH255" t="e">
        <f>AND(#REF!,"AAAAAHJ+/4k=")</f>
        <v>#REF!</v>
      </c>
      <c r="EI255" t="e">
        <f>AND(#REF!,"AAAAAHJ+/4o=")</f>
        <v>#REF!</v>
      </c>
      <c r="EJ255" t="e">
        <f>AND(#REF!,"AAAAAHJ+/4s=")</f>
        <v>#REF!</v>
      </c>
      <c r="EK255" t="e">
        <f>AND(#REF!,"AAAAAHJ+/4w=")</f>
        <v>#REF!</v>
      </c>
      <c r="EL255" t="e">
        <f>AND(#REF!,"AAAAAHJ+/40=")</f>
        <v>#REF!</v>
      </c>
      <c r="EM255" t="e">
        <f>AND(#REF!,"AAAAAHJ+/44=")</f>
        <v>#REF!</v>
      </c>
      <c r="EN255" t="e">
        <f>AND(#REF!,"AAAAAHJ+/48=")</f>
        <v>#REF!</v>
      </c>
      <c r="EO255" t="e">
        <f>AND(#REF!,"AAAAAHJ+/5A=")</f>
        <v>#REF!</v>
      </c>
      <c r="EP255" t="e">
        <f>AND(#REF!,"AAAAAHJ+/5E=")</f>
        <v>#REF!</v>
      </c>
      <c r="EQ255" t="e">
        <f>AND(#REF!,"AAAAAHJ+/5I=")</f>
        <v>#REF!</v>
      </c>
      <c r="ER255" t="e">
        <f>AND(#REF!,"AAAAAHJ+/5M=")</f>
        <v>#REF!</v>
      </c>
      <c r="ES255" t="e">
        <f>AND(#REF!,"AAAAAHJ+/5Q=")</f>
        <v>#REF!</v>
      </c>
      <c r="ET255" t="e">
        <f>AND(#REF!,"AAAAAHJ+/5U=")</f>
        <v>#REF!</v>
      </c>
      <c r="EU255" t="e">
        <f>AND(#REF!,"AAAAAHJ+/5Y=")</f>
        <v>#REF!</v>
      </c>
      <c r="EV255" t="e">
        <f>AND(#REF!,"AAAAAHJ+/5c=")</f>
        <v>#REF!</v>
      </c>
      <c r="EW255" t="e">
        <f>AND(#REF!,"AAAAAHJ+/5g=")</f>
        <v>#REF!</v>
      </c>
      <c r="EX255" t="e">
        <f>AND(#REF!,"AAAAAHJ+/5k=")</f>
        <v>#REF!</v>
      </c>
      <c r="EY255" t="e">
        <f>AND(#REF!,"AAAAAHJ+/5o=")</f>
        <v>#REF!</v>
      </c>
      <c r="EZ255" t="e">
        <f>AND(#REF!,"AAAAAHJ+/5s=")</f>
        <v>#REF!</v>
      </c>
      <c r="FA255" t="e">
        <f>AND(#REF!,"AAAAAHJ+/5w=")</f>
        <v>#REF!</v>
      </c>
      <c r="FB255" t="e">
        <f>AND(#REF!,"AAAAAHJ+/50=")</f>
        <v>#REF!</v>
      </c>
      <c r="FC255" t="e">
        <f>AND(#REF!,"AAAAAHJ+/54=")</f>
        <v>#REF!</v>
      </c>
      <c r="FD255" t="e">
        <f>AND(#REF!,"AAAAAHJ+/58=")</f>
        <v>#REF!</v>
      </c>
      <c r="FE255" t="e">
        <f>AND(#REF!,"AAAAAHJ+/6A=")</f>
        <v>#REF!</v>
      </c>
      <c r="FF255" t="e">
        <f>AND(#REF!,"AAAAAHJ+/6E=")</f>
        <v>#REF!</v>
      </c>
      <c r="FG255" t="e">
        <f>AND(#REF!,"AAAAAHJ+/6I=")</f>
        <v>#REF!</v>
      </c>
      <c r="FH255" t="e">
        <f>AND(#REF!,"AAAAAHJ+/6M=")</f>
        <v>#REF!</v>
      </c>
      <c r="FI255" t="e">
        <f>AND(#REF!,"AAAAAHJ+/6Q=")</f>
        <v>#REF!</v>
      </c>
      <c r="FJ255" t="e">
        <f>AND(#REF!,"AAAAAHJ+/6U=")</f>
        <v>#REF!</v>
      </c>
      <c r="FK255" t="e">
        <f>AND(#REF!,"AAAAAHJ+/6Y=")</f>
        <v>#REF!</v>
      </c>
      <c r="FL255" t="e">
        <f>AND(#REF!,"AAAAAHJ+/6c=")</f>
        <v>#REF!</v>
      </c>
      <c r="FM255" t="e">
        <f>AND(#REF!,"AAAAAHJ+/6g=")</f>
        <v>#REF!</v>
      </c>
      <c r="FN255" t="e">
        <f>AND(#REF!,"AAAAAHJ+/6k=")</f>
        <v>#REF!</v>
      </c>
      <c r="FO255" t="e">
        <f>AND(#REF!,"AAAAAHJ+/6o=")</f>
        <v>#REF!</v>
      </c>
      <c r="FP255" t="e">
        <f>AND(#REF!,"AAAAAHJ+/6s=")</f>
        <v>#REF!</v>
      </c>
      <c r="FQ255" t="e">
        <f>AND(#REF!,"AAAAAHJ+/6w=")</f>
        <v>#REF!</v>
      </c>
      <c r="FR255" t="e">
        <f>AND(#REF!,"AAAAAHJ+/60=")</f>
        <v>#REF!</v>
      </c>
      <c r="FS255" t="e">
        <f>AND(#REF!,"AAAAAHJ+/64=")</f>
        <v>#REF!</v>
      </c>
      <c r="FT255" t="e">
        <f>AND(#REF!,"AAAAAHJ+/68=")</f>
        <v>#REF!</v>
      </c>
      <c r="FU255" t="e">
        <f>AND(#REF!,"AAAAAHJ+/7A=")</f>
        <v>#REF!</v>
      </c>
      <c r="FV255" t="e">
        <f>AND(#REF!,"AAAAAHJ+/7E=")</f>
        <v>#REF!</v>
      </c>
      <c r="FW255" t="e">
        <f>AND(#REF!,"AAAAAHJ+/7I=")</f>
        <v>#REF!</v>
      </c>
      <c r="FX255" t="e">
        <f>AND(#REF!,"AAAAAHJ+/7M=")</f>
        <v>#REF!</v>
      </c>
      <c r="FY255" t="e">
        <f>AND(#REF!,"AAAAAHJ+/7Q=")</f>
        <v>#REF!</v>
      </c>
      <c r="FZ255" t="e">
        <f>AND(#REF!,"AAAAAHJ+/7U=")</f>
        <v>#REF!</v>
      </c>
      <c r="GA255" t="e">
        <f>AND(#REF!,"AAAAAHJ+/7Y=")</f>
        <v>#REF!</v>
      </c>
      <c r="GB255" t="e">
        <f>AND(#REF!,"AAAAAHJ+/7c=")</f>
        <v>#REF!</v>
      </c>
      <c r="GC255" t="e">
        <f>AND(#REF!,"AAAAAHJ+/7g=")</f>
        <v>#REF!</v>
      </c>
      <c r="GD255" t="e">
        <f>AND(#REF!,"AAAAAHJ+/7k=")</f>
        <v>#REF!</v>
      </c>
      <c r="GE255" t="e">
        <f>AND(#REF!,"AAAAAHJ+/7o=")</f>
        <v>#REF!</v>
      </c>
      <c r="GF255" t="e">
        <f>AND(#REF!,"AAAAAHJ+/7s=")</f>
        <v>#REF!</v>
      </c>
      <c r="GG255" t="e">
        <f>AND(#REF!,"AAAAAHJ+/7w=")</f>
        <v>#REF!</v>
      </c>
      <c r="GH255" t="e">
        <f>AND(#REF!,"AAAAAHJ+/70=")</f>
        <v>#REF!</v>
      </c>
      <c r="GI255" t="e">
        <f>AND(#REF!,"AAAAAHJ+/74=")</f>
        <v>#REF!</v>
      </c>
      <c r="GJ255" t="e">
        <f>AND(#REF!,"AAAAAHJ+/78=")</f>
        <v>#REF!</v>
      </c>
      <c r="GK255" t="e">
        <f>AND(#REF!,"AAAAAHJ+/8A=")</f>
        <v>#REF!</v>
      </c>
      <c r="GL255" t="e">
        <f>AND(#REF!,"AAAAAHJ+/8E=")</f>
        <v>#REF!</v>
      </c>
      <c r="GM255" t="e">
        <f>AND(#REF!,"AAAAAHJ+/8I=")</f>
        <v>#REF!</v>
      </c>
      <c r="GN255" t="e">
        <f>AND(#REF!,"AAAAAHJ+/8M=")</f>
        <v>#REF!</v>
      </c>
      <c r="GO255" t="e">
        <f>AND(#REF!,"AAAAAHJ+/8Q=")</f>
        <v>#REF!</v>
      </c>
      <c r="GP255" t="e">
        <f>AND(#REF!,"AAAAAHJ+/8U=")</f>
        <v>#REF!</v>
      </c>
      <c r="GQ255" t="e">
        <f>AND(#REF!,"AAAAAHJ+/8Y=")</f>
        <v>#REF!</v>
      </c>
      <c r="GR255" t="e">
        <f>AND(#REF!,"AAAAAHJ+/8c=")</f>
        <v>#REF!</v>
      </c>
      <c r="GS255" t="e">
        <f>AND(#REF!,"AAAAAHJ+/8g=")</f>
        <v>#REF!</v>
      </c>
      <c r="GT255" t="e">
        <f>AND(#REF!,"AAAAAHJ+/8k=")</f>
        <v>#REF!</v>
      </c>
      <c r="GU255" t="e">
        <f>AND(#REF!,"AAAAAHJ+/8o=")</f>
        <v>#REF!</v>
      </c>
      <c r="GV255" t="e">
        <f>AND(#REF!,"AAAAAHJ+/8s=")</f>
        <v>#REF!</v>
      </c>
      <c r="GW255" t="e">
        <f>AND(#REF!,"AAAAAHJ+/8w=")</f>
        <v>#REF!</v>
      </c>
      <c r="GX255" t="e">
        <f>AND(#REF!,"AAAAAHJ+/80=")</f>
        <v>#REF!</v>
      </c>
      <c r="GY255" t="e">
        <f>AND(#REF!,"AAAAAHJ+/84=")</f>
        <v>#REF!</v>
      </c>
      <c r="GZ255" t="e">
        <f>AND(#REF!,"AAAAAHJ+/88=")</f>
        <v>#REF!</v>
      </c>
      <c r="HA255" t="e">
        <f>AND(#REF!,"AAAAAHJ+/9A=")</f>
        <v>#REF!</v>
      </c>
      <c r="HB255" t="e">
        <f>AND(#REF!,"AAAAAHJ+/9E=")</f>
        <v>#REF!</v>
      </c>
      <c r="HC255" t="e">
        <f>AND(#REF!,"AAAAAHJ+/9I=")</f>
        <v>#REF!</v>
      </c>
      <c r="HD255" t="e">
        <f>AND(#REF!,"AAAAAHJ+/9M=")</f>
        <v>#REF!</v>
      </c>
      <c r="HE255" t="e">
        <f>AND(#REF!,"AAAAAHJ+/9Q=")</f>
        <v>#REF!</v>
      </c>
      <c r="HF255" t="e">
        <f>AND(#REF!,"AAAAAHJ+/9U=")</f>
        <v>#REF!</v>
      </c>
      <c r="HG255" t="e">
        <f>AND(#REF!,"AAAAAHJ+/9Y=")</f>
        <v>#REF!</v>
      </c>
      <c r="HH255" t="e">
        <f>AND(#REF!,"AAAAAHJ+/9c=")</f>
        <v>#REF!</v>
      </c>
      <c r="HI255" t="e">
        <f>AND(#REF!,"AAAAAHJ+/9g=")</f>
        <v>#REF!</v>
      </c>
      <c r="HJ255" t="e">
        <f>AND(#REF!,"AAAAAHJ+/9k=")</f>
        <v>#REF!</v>
      </c>
      <c r="HK255" t="e">
        <f>AND(#REF!,"AAAAAHJ+/9o=")</f>
        <v>#REF!</v>
      </c>
      <c r="HL255" t="e">
        <f>AND(#REF!,"AAAAAHJ+/9s=")</f>
        <v>#REF!</v>
      </c>
      <c r="HM255" t="e">
        <f>AND(#REF!,"AAAAAHJ+/9w=")</f>
        <v>#REF!</v>
      </c>
      <c r="HN255" t="e">
        <f>AND(#REF!,"AAAAAHJ+/90=")</f>
        <v>#REF!</v>
      </c>
      <c r="HO255" t="e">
        <f>AND(#REF!,"AAAAAHJ+/94=")</f>
        <v>#REF!</v>
      </c>
      <c r="HP255" t="e">
        <f>AND(#REF!,"AAAAAHJ+/98=")</f>
        <v>#REF!</v>
      </c>
      <c r="HQ255" t="e">
        <f>AND(#REF!,"AAAAAHJ+/+A=")</f>
        <v>#REF!</v>
      </c>
      <c r="HR255" t="e">
        <f>AND(#REF!,"AAAAAHJ+/+E=")</f>
        <v>#REF!</v>
      </c>
      <c r="HS255" t="e">
        <f>AND(#REF!,"AAAAAHJ+/+I=")</f>
        <v>#REF!</v>
      </c>
      <c r="HT255" t="e">
        <f>AND(#REF!,"AAAAAHJ+/+M=")</f>
        <v>#REF!</v>
      </c>
      <c r="HU255" t="e">
        <f>AND(#REF!,"AAAAAHJ+/+Q=")</f>
        <v>#REF!</v>
      </c>
      <c r="HV255" t="e">
        <f>AND(#REF!,"AAAAAHJ+/+U=")</f>
        <v>#REF!</v>
      </c>
      <c r="HW255" t="e">
        <f>AND(#REF!,"AAAAAHJ+/+Y=")</f>
        <v>#REF!</v>
      </c>
      <c r="HX255" t="e">
        <f>AND(#REF!,"AAAAAHJ+/+c=")</f>
        <v>#REF!</v>
      </c>
      <c r="HY255" t="e">
        <f>AND(#REF!,"AAAAAHJ+/+g=")</f>
        <v>#REF!</v>
      </c>
      <c r="HZ255" t="e">
        <f>AND(#REF!,"AAAAAHJ+/+k=")</f>
        <v>#REF!</v>
      </c>
      <c r="IA255" t="e">
        <f>AND(#REF!,"AAAAAHJ+/+o=")</f>
        <v>#REF!</v>
      </c>
      <c r="IB255" t="e">
        <f>AND(#REF!,"AAAAAHJ+/+s=")</f>
        <v>#REF!</v>
      </c>
      <c r="IC255" t="e">
        <f>AND(#REF!,"AAAAAHJ+/+w=")</f>
        <v>#REF!</v>
      </c>
      <c r="ID255" t="e">
        <f>AND(#REF!,"AAAAAHJ+/+0=")</f>
        <v>#REF!</v>
      </c>
      <c r="IE255" t="e">
        <f>AND(#REF!,"AAAAAHJ+/+4=")</f>
        <v>#REF!</v>
      </c>
      <c r="IF255" t="e">
        <f>AND(#REF!,"AAAAAHJ+/+8=")</f>
        <v>#REF!</v>
      </c>
      <c r="IG255" t="e">
        <f>AND(#REF!,"AAAAAHJ+//A=")</f>
        <v>#REF!</v>
      </c>
      <c r="IH255" t="e">
        <f>AND(#REF!,"AAAAAHJ+//E=")</f>
        <v>#REF!</v>
      </c>
      <c r="II255" t="e">
        <f>AND(#REF!,"AAAAAHJ+//I=")</f>
        <v>#REF!</v>
      </c>
      <c r="IJ255" t="e">
        <f>AND(#REF!,"AAAAAHJ+//M=")</f>
        <v>#REF!</v>
      </c>
      <c r="IK255" t="e">
        <f>AND(#REF!,"AAAAAHJ+//Q=")</f>
        <v>#REF!</v>
      </c>
      <c r="IL255" t="e">
        <f>AND(#REF!,"AAAAAHJ+//U=")</f>
        <v>#REF!</v>
      </c>
      <c r="IM255" t="e">
        <f>AND(#REF!,"AAAAAHJ+//Y=")</f>
        <v>#REF!</v>
      </c>
      <c r="IN255" t="e">
        <f>AND(#REF!,"AAAAAHJ+//c=")</f>
        <v>#REF!</v>
      </c>
      <c r="IO255" t="e">
        <f>AND(#REF!,"AAAAAHJ+//g=")</f>
        <v>#REF!</v>
      </c>
      <c r="IP255" t="e">
        <f>AND(#REF!,"AAAAAHJ+//k=")</f>
        <v>#REF!</v>
      </c>
      <c r="IQ255" t="e">
        <f>AND(#REF!,"AAAAAHJ+//o=")</f>
        <v>#REF!</v>
      </c>
      <c r="IR255" t="e">
        <f>AND(#REF!,"AAAAAHJ+//s=")</f>
        <v>#REF!</v>
      </c>
      <c r="IS255" t="e">
        <f>AND(#REF!,"AAAAAHJ+//w=")</f>
        <v>#REF!</v>
      </c>
      <c r="IT255" t="e">
        <f>AND(#REF!,"AAAAAHJ+//0=")</f>
        <v>#REF!</v>
      </c>
      <c r="IU255" t="e">
        <f>AND(#REF!,"AAAAAHJ+//4=")</f>
        <v>#REF!</v>
      </c>
      <c r="IV255" t="e">
        <f>AND(#REF!,"AAAAAHJ+//8=")</f>
        <v>#REF!</v>
      </c>
    </row>
    <row r="256" spans="1:256">
      <c r="A256" t="e">
        <f>AND(#REF!,"AAAAAD96vwA=")</f>
        <v>#REF!</v>
      </c>
      <c r="B256" t="e">
        <f>AND(#REF!,"AAAAAD96vwE=")</f>
        <v>#REF!</v>
      </c>
      <c r="C256" t="e">
        <f>AND(#REF!,"AAAAAD96vwI=")</f>
        <v>#REF!</v>
      </c>
      <c r="D256" t="e">
        <f>AND(#REF!,"AAAAAD96vwM=")</f>
        <v>#REF!</v>
      </c>
      <c r="E256" t="e">
        <f>AND(#REF!,"AAAAAD96vwQ=")</f>
        <v>#REF!</v>
      </c>
      <c r="F256" t="e">
        <f>AND(#REF!,"AAAAAD96vwU=")</f>
        <v>#REF!</v>
      </c>
      <c r="G256" t="e">
        <f>AND(#REF!,"AAAAAD96vwY=")</f>
        <v>#REF!</v>
      </c>
      <c r="H256" t="e">
        <f>AND(#REF!,"AAAAAD96vwc=")</f>
        <v>#REF!</v>
      </c>
      <c r="I256" t="e">
        <f>AND(#REF!,"AAAAAD96vwg=")</f>
        <v>#REF!</v>
      </c>
      <c r="J256" t="e">
        <f>AND(#REF!,"AAAAAD96vwk=")</f>
        <v>#REF!</v>
      </c>
      <c r="K256" t="e">
        <f>AND(#REF!,"AAAAAD96vwo=")</f>
        <v>#REF!</v>
      </c>
      <c r="L256" t="e">
        <f>AND(#REF!,"AAAAAD96vws=")</f>
        <v>#REF!</v>
      </c>
      <c r="M256" t="e">
        <f>AND(#REF!,"AAAAAD96vww=")</f>
        <v>#REF!</v>
      </c>
      <c r="N256" t="e">
        <f>AND(#REF!,"AAAAAD96vw0=")</f>
        <v>#REF!</v>
      </c>
      <c r="O256" t="e">
        <f>AND(#REF!,"AAAAAD96vw4=")</f>
        <v>#REF!</v>
      </c>
      <c r="P256" t="e">
        <f>AND(#REF!,"AAAAAD96vw8=")</f>
        <v>#REF!</v>
      </c>
      <c r="Q256" t="e">
        <f>AND(#REF!,"AAAAAD96vxA=")</f>
        <v>#REF!</v>
      </c>
      <c r="R256" t="e">
        <f>AND(#REF!,"AAAAAD96vxE=")</f>
        <v>#REF!</v>
      </c>
      <c r="S256" t="e">
        <f>AND(#REF!,"AAAAAD96vxI=")</f>
        <v>#REF!</v>
      </c>
      <c r="T256" t="e">
        <f>AND(#REF!,"AAAAAD96vxM=")</f>
        <v>#REF!</v>
      </c>
      <c r="U256" t="e">
        <f>AND(#REF!,"AAAAAD96vxQ=")</f>
        <v>#REF!</v>
      </c>
      <c r="V256" t="e">
        <f>AND(#REF!,"AAAAAD96vxU=")</f>
        <v>#REF!</v>
      </c>
      <c r="W256" t="e">
        <f>AND(#REF!,"AAAAAD96vxY=")</f>
        <v>#REF!</v>
      </c>
      <c r="X256" t="e">
        <f>AND(#REF!,"AAAAAD96vxc=")</f>
        <v>#REF!</v>
      </c>
      <c r="Y256" t="e">
        <f>AND(#REF!,"AAAAAD96vxg=")</f>
        <v>#REF!</v>
      </c>
      <c r="Z256" t="e">
        <f>AND(#REF!,"AAAAAD96vxk=")</f>
        <v>#REF!</v>
      </c>
      <c r="AA256" t="e">
        <f>AND(#REF!,"AAAAAD96vxo=")</f>
        <v>#REF!</v>
      </c>
      <c r="AB256" t="e">
        <f>AND(#REF!,"AAAAAD96vxs=")</f>
        <v>#REF!</v>
      </c>
      <c r="AC256" t="e">
        <f>AND(#REF!,"AAAAAD96vxw=")</f>
        <v>#REF!</v>
      </c>
      <c r="AD256" t="e">
        <f>AND(#REF!,"AAAAAD96vx0=")</f>
        <v>#REF!</v>
      </c>
      <c r="AE256" t="e">
        <f>AND(#REF!,"AAAAAD96vx4=")</f>
        <v>#REF!</v>
      </c>
      <c r="AF256" t="e">
        <f>AND(#REF!,"AAAAAD96vx8=")</f>
        <v>#REF!</v>
      </c>
      <c r="AG256" t="e">
        <f>AND(#REF!,"AAAAAD96vyA=")</f>
        <v>#REF!</v>
      </c>
      <c r="AH256" t="e">
        <f>AND(#REF!,"AAAAAD96vyE=")</f>
        <v>#REF!</v>
      </c>
      <c r="AI256" t="e">
        <f>AND(#REF!,"AAAAAD96vyI=")</f>
        <v>#REF!</v>
      </c>
      <c r="AJ256" t="e">
        <f>AND(#REF!,"AAAAAD96vyM=")</f>
        <v>#REF!</v>
      </c>
      <c r="AK256" t="e">
        <f>AND(#REF!,"AAAAAD96vyQ=")</f>
        <v>#REF!</v>
      </c>
      <c r="AL256" t="e">
        <f>AND(#REF!,"AAAAAD96vyU=")</f>
        <v>#REF!</v>
      </c>
      <c r="AM256" t="e">
        <f>AND(#REF!,"AAAAAD96vyY=")</f>
        <v>#REF!</v>
      </c>
      <c r="AN256" t="e">
        <f>AND(#REF!,"AAAAAD96vyc=")</f>
        <v>#REF!</v>
      </c>
      <c r="AO256" t="e">
        <f>AND(#REF!,"AAAAAD96vyg=")</f>
        <v>#REF!</v>
      </c>
      <c r="AP256" t="e">
        <f>AND(#REF!,"AAAAAD96vyk=")</f>
        <v>#REF!</v>
      </c>
      <c r="AQ256" t="e">
        <f>AND(#REF!,"AAAAAD96vyo=")</f>
        <v>#REF!</v>
      </c>
      <c r="AR256" t="e">
        <f>AND(#REF!,"AAAAAD96vys=")</f>
        <v>#REF!</v>
      </c>
      <c r="AS256" t="e">
        <f>AND(#REF!,"AAAAAD96vyw=")</f>
        <v>#REF!</v>
      </c>
      <c r="AT256" t="e">
        <f>AND(#REF!,"AAAAAD96vy0=")</f>
        <v>#REF!</v>
      </c>
      <c r="AU256" t="e">
        <f>AND(#REF!,"AAAAAD96vy4=")</f>
        <v>#REF!</v>
      </c>
      <c r="AV256" t="e">
        <f>AND(#REF!,"AAAAAD96vy8=")</f>
        <v>#REF!</v>
      </c>
      <c r="AW256" t="e">
        <f>AND(#REF!,"AAAAAD96vzA=")</f>
        <v>#REF!</v>
      </c>
      <c r="AX256" t="e">
        <f>AND(#REF!,"AAAAAD96vzE=")</f>
        <v>#REF!</v>
      </c>
      <c r="AY256" t="e">
        <f>AND(#REF!,"AAAAAD96vzI=")</f>
        <v>#REF!</v>
      </c>
      <c r="AZ256" t="e">
        <f>AND(#REF!,"AAAAAD96vzM=")</f>
        <v>#REF!</v>
      </c>
      <c r="BA256" t="e">
        <f>AND(#REF!,"AAAAAD96vzQ=")</f>
        <v>#REF!</v>
      </c>
      <c r="BB256" t="e">
        <f>AND(#REF!,"AAAAAD96vzU=")</f>
        <v>#REF!</v>
      </c>
      <c r="BC256" t="e">
        <f>AND(#REF!,"AAAAAD96vzY=")</f>
        <v>#REF!</v>
      </c>
      <c r="BD256" t="e">
        <f>AND(#REF!,"AAAAAD96vzc=")</f>
        <v>#REF!</v>
      </c>
      <c r="BE256" t="e">
        <f>AND(#REF!,"AAAAAD96vzg=")</f>
        <v>#REF!</v>
      </c>
      <c r="BF256" t="e">
        <f>AND(#REF!,"AAAAAD96vzk=")</f>
        <v>#REF!</v>
      </c>
      <c r="BG256" t="e">
        <f>AND(#REF!,"AAAAAD96vzo=")</f>
        <v>#REF!</v>
      </c>
      <c r="BH256" t="e">
        <f>AND(#REF!,"AAAAAD96vzs=")</f>
        <v>#REF!</v>
      </c>
      <c r="BI256" t="e">
        <f>AND(#REF!,"AAAAAD96vzw=")</f>
        <v>#REF!</v>
      </c>
      <c r="BJ256" t="e">
        <f>AND(#REF!,"AAAAAD96vz0=")</f>
        <v>#REF!</v>
      </c>
      <c r="BK256" t="e">
        <f>AND(#REF!,"AAAAAD96vz4=")</f>
        <v>#REF!</v>
      </c>
      <c r="BL256" t="e">
        <f>AND(#REF!,"AAAAAD96vz8=")</f>
        <v>#REF!</v>
      </c>
      <c r="BM256" t="e">
        <f>AND(#REF!,"AAAAAD96v0A=")</f>
        <v>#REF!</v>
      </c>
      <c r="BN256" t="e">
        <f>AND(#REF!,"AAAAAD96v0E=")</f>
        <v>#REF!</v>
      </c>
      <c r="BO256" t="e">
        <f>AND(#REF!,"AAAAAD96v0I=")</f>
        <v>#REF!</v>
      </c>
      <c r="BP256" t="e">
        <f>AND(#REF!,"AAAAAD96v0M=")</f>
        <v>#REF!</v>
      </c>
      <c r="BQ256" t="e">
        <f>AND(#REF!,"AAAAAD96v0Q=")</f>
        <v>#REF!</v>
      </c>
      <c r="BR256" t="e">
        <f>AND(#REF!,"AAAAAD96v0U=")</f>
        <v>#REF!</v>
      </c>
      <c r="BS256" t="e">
        <f>AND(#REF!,"AAAAAD96v0Y=")</f>
        <v>#REF!</v>
      </c>
      <c r="BT256" t="e">
        <f>AND(#REF!,"AAAAAD96v0c=")</f>
        <v>#REF!</v>
      </c>
      <c r="BU256" t="e">
        <f>AND(#REF!,"AAAAAD96v0g=")</f>
        <v>#REF!</v>
      </c>
      <c r="BV256" t="e">
        <f>AND(#REF!,"AAAAAD96v0k=")</f>
        <v>#REF!</v>
      </c>
      <c r="BW256" t="e">
        <f>AND(#REF!,"AAAAAD96v0o=")</f>
        <v>#REF!</v>
      </c>
      <c r="BX256" t="e">
        <f>AND(#REF!,"AAAAAD96v0s=")</f>
        <v>#REF!</v>
      </c>
      <c r="BY256" t="e">
        <f>AND(#REF!,"AAAAAD96v0w=")</f>
        <v>#REF!</v>
      </c>
      <c r="BZ256" t="e">
        <f>AND(#REF!,"AAAAAD96v00=")</f>
        <v>#REF!</v>
      </c>
      <c r="CA256" t="e">
        <f>AND(#REF!,"AAAAAD96v04=")</f>
        <v>#REF!</v>
      </c>
      <c r="CB256" t="e">
        <f>AND(#REF!,"AAAAAD96v08=")</f>
        <v>#REF!</v>
      </c>
      <c r="CC256" t="e">
        <f>AND(#REF!,"AAAAAD96v1A=")</f>
        <v>#REF!</v>
      </c>
      <c r="CD256" t="e">
        <f>AND(#REF!,"AAAAAD96v1E=")</f>
        <v>#REF!</v>
      </c>
      <c r="CE256" t="e">
        <f>AND(#REF!,"AAAAAD96v1I=")</f>
        <v>#REF!</v>
      </c>
      <c r="CF256" t="e">
        <f>AND(#REF!,"AAAAAD96v1M=")</f>
        <v>#REF!</v>
      </c>
      <c r="CG256" t="e">
        <f>AND(#REF!,"AAAAAD96v1Q=")</f>
        <v>#REF!</v>
      </c>
      <c r="CH256" t="e">
        <f>AND(#REF!,"AAAAAD96v1U=")</f>
        <v>#REF!</v>
      </c>
      <c r="CI256" t="e">
        <f>AND(#REF!,"AAAAAD96v1Y=")</f>
        <v>#REF!</v>
      </c>
      <c r="CJ256" t="e">
        <f>AND(#REF!,"AAAAAD96v1c=")</f>
        <v>#REF!</v>
      </c>
      <c r="CK256" t="e">
        <f>AND(#REF!,"AAAAAD96v1g=")</f>
        <v>#REF!</v>
      </c>
      <c r="CL256" t="e">
        <f>AND(#REF!,"AAAAAD96v1k=")</f>
        <v>#REF!</v>
      </c>
      <c r="CM256" t="e">
        <f>AND(#REF!,"AAAAAD96v1o=")</f>
        <v>#REF!</v>
      </c>
      <c r="CN256" t="e">
        <f>AND(#REF!,"AAAAAD96v1s=")</f>
        <v>#REF!</v>
      </c>
      <c r="CO256" t="e">
        <f>AND(#REF!,"AAAAAD96v1w=")</f>
        <v>#REF!</v>
      </c>
      <c r="CP256" t="e">
        <f>AND(#REF!,"AAAAAD96v10=")</f>
        <v>#REF!</v>
      </c>
      <c r="CQ256" t="e">
        <f>AND(#REF!,"AAAAAD96v14=")</f>
        <v>#REF!</v>
      </c>
      <c r="CR256" t="e">
        <f>AND(#REF!,"AAAAAD96v18=")</f>
        <v>#REF!</v>
      </c>
      <c r="CS256" t="e">
        <f>AND(#REF!,"AAAAAD96v2A=")</f>
        <v>#REF!</v>
      </c>
      <c r="CT256" t="e">
        <f>AND(#REF!,"AAAAAD96v2E=")</f>
        <v>#REF!</v>
      </c>
      <c r="CU256" t="e">
        <f>IF(#REF!,"AAAAAD96v2I=",0)</f>
        <v>#REF!</v>
      </c>
      <c r="CV256" t="e">
        <f>AND(#REF!,"AAAAAD96v2M=")</f>
        <v>#REF!</v>
      </c>
      <c r="CW256" t="e">
        <f>AND(#REF!,"AAAAAD96v2Q=")</f>
        <v>#REF!</v>
      </c>
      <c r="CX256" t="e">
        <f>AND(#REF!,"AAAAAD96v2U=")</f>
        <v>#REF!</v>
      </c>
      <c r="CY256" t="e">
        <f>AND(#REF!,"AAAAAD96v2Y=")</f>
        <v>#REF!</v>
      </c>
      <c r="CZ256" t="e">
        <f>AND(#REF!,"AAAAAD96v2c=")</f>
        <v>#REF!</v>
      </c>
      <c r="DA256" t="e">
        <f>AND(#REF!,"AAAAAD96v2g=")</f>
        <v>#REF!</v>
      </c>
      <c r="DB256" t="e">
        <f>AND(#REF!,"AAAAAD96v2k=")</f>
        <v>#REF!</v>
      </c>
      <c r="DC256" t="e">
        <f>AND(#REF!,"AAAAAD96v2o=")</f>
        <v>#REF!</v>
      </c>
      <c r="DD256" t="e">
        <f>AND(#REF!,"AAAAAD96v2s=")</f>
        <v>#REF!</v>
      </c>
      <c r="DE256" t="e">
        <f>AND(#REF!,"AAAAAD96v2w=")</f>
        <v>#REF!</v>
      </c>
      <c r="DF256" t="e">
        <f>AND(#REF!,"AAAAAD96v20=")</f>
        <v>#REF!</v>
      </c>
      <c r="DG256" t="e">
        <f>AND(#REF!,"AAAAAD96v24=")</f>
        <v>#REF!</v>
      </c>
      <c r="DH256" t="e">
        <f>AND(#REF!,"AAAAAD96v28=")</f>
        <v>#REF!</v>
      </c>
      <c r="DI256" t="e">
        <f>AND(#REF!,"AAAAAD96v3A=")</f>
        <v>#REF!</v>
      </c>
      <c r="DJ256" t="e">
        <f>AND(#REF!,"AAAAAD96v3E=")</f>
        <v>#REF!</v>
      </c>
      <c r="DK256" t="e">
        <f>AND(#REF!,"AAAAAD96v3I=")</f>
        <v>#REF!</v>
      </c>
      <c r="DL256" t="e">
        <f>AND(#REF!,"AAAAAD96v3M=")</f>
        <v>#REF!</v>
      </c>
      <c r="DM256" t="e">
        <f>AND(#REF!,"AAAAAD96v3Q=")</f>
        <v>#REF!</v>
      </c>
      <c r="DN256" t="e">
        <f>AND(#REF!,"AAAAAD96v3U=")</f>
        <v>#REF!</v>
      </c>
      <c r="DO256" t="e">
        <f>AND(#REF!,"AAAAAD96v3Y=")</f>
        <v>#REF!</v>
      </c>
      <c r="DP256" t="e">
        <f>AND(#REF!,"AAAAAD96v3c=")</f>
        <v>#REF!</v>
      </c>
      <c r="DQ256" t="e">
        <f>AND(#REF!,"AAAAAD96v3g=")</f>
        <v>#REF!</v>
      </c>
      <c r="DR256" t="e">
        <f>AND(#REF!,"AAAAAD96v3k=")</f>
        <v>#REF!</v>
      </c>
      <c r="DS256" t="e">
        <f>AND(#REF!,"AAAAAD96v3o=")</f>
        <v>#REF!</v>
      </c>
      <c r="DT256" t="e">
        <f>AND(#REF!,"AAAAAD96v3s=")</f>
        <v>#REF!</v>
      </c>
      <c r="DU256" t="e">
        <f>AND(#REF!,"AAAAAD96v3w=")</f>
        <v>#REF!</v>
      </c>
      <c r="DV256" t="e">
        <f>AND(#REF!,"AAAAAD96v30=")</f>
        <v>#REF!</v>
      </c>
      <c r="DW256" t="e">
        <f>AND(#REF!,"AAAAAD96v34=")</f>
        <v>#REF!</v>
      </c>
      <c r="DX256" t="e">
        <f>AND(#REF!,"AAAAAD96v38=")</f>
        <v>#REF!</v>
      </c>
      <c r="DY256" t="e">
        <f>AND(#REF!,"AAAAAD96v4A=")</f>
        <v>#REF!</v>
      </c>
      <c r="DZ256" t="e">
        <f>AND(#REF!,"AAAAAD96v4E=")</f>
        <v>#REF!</v>
      </c>
      <c r="EA256" t="e">
        <f>AND(#REF!,"AAAAAD96v4I=")</f>
        <v>#REF!</v>
      </c>
      <c r="EB256" t="e">
        <f>AND(#REF!,"AAAAAD96v4M=")</f>
        <v>#REF!</v>
      </c>
      <c r="EC256" t="e">
        <f>AND(#REF!,"AAAAAD96v4Q=")</f>
        <v>#REF!</v>
      </c>
      <c r="ED256" t="e">
        <f>AND(#REF!,"AAAAAD96v4U=")</f>
        <v>#REF!</v>
      </c>
      <c r="EE256" t="e">
        <f>AND(#REF!,"AAAAAD96v4Y=")</f>
        <v>#REF!</v>
      </c>
      <c r="EF256" t="e">
        <f>AND(#REF!,"AAAAAD96v4c=")</f>
        <v>#REF!</v>
      </c>
      <c r="EG256" t="e">
        <f>AND(#REF!,"AAAAAD96v4g=")</f>
        <v>#REF!</v>
      </c>
      <c r="EH256" t="e">
        <f>AND(#REF!,"AAAAAD96v4k=")</f>
        <v>#REF!</v>
      </c>
      <c r="EI256" t="e">
        <f>AND(#REF!,"AAAAAD96v4o=")</f>
        <v>#REF!</v>
      </c>
      <c r="EJ256" t="e">
        <f>AND(#REF!,"AAAAAD96v4s=")</f>
        <v>#REF!</v>
      </c>
      <c r="EK256" t="e">
        <f>AND(#REF!,"AAAAAD96v4w=")</f>
        <v>#REF!</v>
      </c>
      <c r="EL256" t="e">
        <f>AND(#REF!,"AAAAAD96v40=")</f>
        <v>#REF!</v>
      </c>
      <c r="EM256" t="e">
        <f>AND(#REF!,"AAAAAD96v44=")</f>
        <v>#REF!</v>
      </c>
      <c r="EN256" t="e">
        <f>AND(#REF!,"AAAAAD96v48=")</f>
        <v>#REF!</v>
      </c>
      <c r="EO256" t="e">
        <f>AND(#REF!,"AAAAAD96v5A=")</f>
        <v>#REF!</v>
      </c>
      <c r="EP256" t="e">
        <f>AND(#REF!,"AAAAAD96v5E=")</f>
        <v>#REF!</v>
      </c>
      <c r="EQ256" t="e">
        <f>AND(#REF!,"AAAAAD96v5I=")</f>
        <v>#REF!</v>
      </c>
      <c r="ER256" t="e">
        <f>AND(#REF!,"AAAAAD96v5M=")</f>
        <v>#REF!</v>
      </c>
      <c r="ES256" t="e">
        <f>AND(#REF!,"AAAAAD96v5Q=")</f>
        <v>#REF!</v>
      </c>
      <c r="ET256" t="e">
        <f>AND(#REF!,"AAAAAD96v5U=")</f>
        <v>#REF!</v>
      </c>
      <c r="EU256" t="e">
        <f>AND(#REF!,"AAAAAD96v5Y=")</f>
        <v>#REF!</v>
      </c>
      <c r="EV256" t="e">
        <f>AND(#REF!,"AAAAAD96v5c=")</f>
        <v>#REF!</v>
      </c>
      <c r="EW256" t="e">
        <f>AND(#REF!,"AAAAAD96v5g=")</f>
        <v>#REF!</v>
      </c>
      <c r="EX256" t="e">
        <f>AND(#REF!,"AAAAAD96v5k=")</f>
        <v>#REF!</v>
      </c>
      <c r="EY256" t="e">
        <f>AND(#REF!,"AAAAAD96v5o=")</f>
        <v>#REF!</v>
      </c>
      <c r="EZ256" t="e">
        <f>AND(#REF!,"AAAAAD96v5s=")</f>
        <v>#REF!</v>
      </c>
      <c r="FA256" t="e">
        <f>AND(#REF!,"AAAAAD96v5w=")</f>
        <v>#REF!</v>
      </c>
      <c r="FB256" t="e">
        <f>AND(#REF!,"AAAAAD96v50=")</f>
        <v>#REF!</v>
      </c>
      <c r="FC256" t="e">
        <f>AND(#REF!,"AAAAAD96v54=")</f>
        <v>#REF!</v>
      </c>
      <c r="FD256" t="e">
        <f>AND(#REF!,"AAAAAD96v58=")</f>
        <v>#REF!</v>
      </c>
      <c r="FE256" t="e">
        <f>AND(#REF!,"AAAAAD96v6A=")</f>
        <v>#REF!</v>
      </c>
      <c r="FF256" t="e">
        <f>AND(#REF!,"AAAAAD96v6E=")</f>
        <v>#REF!</v>
      </c>
      <c r="FG256" t="e">
        <f>AND(#REF!,"AAAAAD96v6I=")</f>
        <v>#REF!</v>
      </c>
      <c r="FH256" t="e">
        <f>AND(#REF!,"AAAAAD96v6M=")</f>
        <v>#REF!</v>
      </c>
      <c r="FI256" t="e">
        <f>AND(#REF!,"AAAAAD96v6Q=")</f>
        <v>#REF!</v>
      </c>
      <c r="FJ256" t="e">
        <f>AND(#REF!,"AAAAAD96v6U=")</f>
        <v>#REF!</v>
      </c>
      <c r="FK256" t="e">
        <f>AND(#REF!,"AAAAAD96v6Y=")</f>
        <v>#REF!</v>
      </c>
      <c r="FL256" t="e">
        <f>AND(#REF!,"AAAAAD96v6c=")</f>
        <v>#REF!</v>
      </c>
      <c r="FM256" t="e">
        <f>AND(#REF!,"AAAAAD96v6g=")</f>
        <v>#REF!</v>
      </c>
      <c r="FN256" t="e">
        <f>AND(#REF!,"AAAAAD96v6k=")</f>
        <v>#REF!</v>
      </c>
      <c r="FO256" t="e">
        <f>AND(#REF!,"AAAAAD96v6o=")</f>
        <v>#REF!</v>
      </c>
      <c r="FP256" t="e">
        <f>AND(#REF!,"AAAAAD96v6s=")</f>
        <v>#REF!</v>
      </c>
      <c r="FQ256" t="e">
        <f>AND(#REF!,"AAAAAD96v6w=")</f>
        <v>#REF!</v>
      </c>
      <c r="FR256" t="e">
        <f>AND(#REF!,"AAAAAD96v60=")</f>
        <v>#REF!</v>
      </c>
      <c r="FS256" t="e">
        <f>AND(#REF!,"AAAAAD96v64=")</f>
        <v>#REF!</v>
      </c>
      <c r="FT256" t="e">
        <f>AND(#REF!,"AAAAAD96v68=")</f>
        <v>#REF!</v>
      </c>
      <c r="FU256" t="e">
        <f>AND(#REF!,"AAAAAD96v7A=")</f>
        <v>#REF!</v>
      </c>
      <c r="FV256" t="e">
        <f>AND(#REF!,"AAAAAD96v7E=")</f>
        <v>#REF!</v>
      </c>
      <c r="FW256" t="e">
        <f>AND(#REF!,"AAAAAD96v7I=")</f>
        <v>#REF!</v>
      </c>
      <c r="FX256" t="e">
        <f>AND(#REF!,"AAAAAD96v7M=")</f>
        <v>#REF!</v>
      </c>
      <c r="FY256" t="e">
        <f>AND(#REF!,"AAAAAD96v7Q=")</f>
        <v>#REF!</v>
      </c>
      <c r="FZ256" t="e">
        <f>AND(#REF!,"AAAAAD96v7U=")</f>
        <v>#REF!</v>
      </c>
      <c r="GA256" t="e">
        <f>AND(#REF!,"AAAAAD96v7Y=")</f>
        <v>#REF!</v>
      </c>
      <c r="GB256" t="e">
        <f>AND(#REF!,"AAAAAD96v7c=")</f>
        <v>#REF!</v>
      </c>
      <c r="GC256" t="e">
        <f>AND(#REF!,"AAAAAD96v7g=")</f>
        <v>#REF!</v>
      </c>
      <c r="GD256" t="e">
        <f>AND(#REF!,"AAAAAD96v7k=")</f>
        <v>#REF!</v>
      </c>
      <c r="GE256" t="e">
        <f>AND(#REF!,"AAAAAD96v7o=")</f>
        <v>#REF!</v>
      </c>
      <c r="GF256" t="e">
        <f>AND(#REF!,"AAAAAD96v7s=")</f>
        <v>#REF!</v>
      </c>
      <c r="GG256" t="e">
        <f>AND(#REF!,"AAAAAD96v7w=")</f>
        <v>#REF!</v>
      </c>
      <c r="GH256" t="e">
        <f>AND(#REF!,"AAAAAD96v70=")</f>
        <v>#REF!</v>
      </c>
      <c r="GI256" t="e">
        <f>AND(#REF!,"AAAAAD96v74=")</f>
        <v>#REF!</v>
      </c>
      <c r="GJ256" t="e">
        <f>AND(#REF!,"AAAAAD96v78=")</f>
        <v>#REF!</v>
      </c>
      <c r="GK256" t="e">
        <f>AND(#REF!,"AAAAAD96v8A=")</f>
        <v>#REF!</v>
      </c>
      <c r="GL256" t="e">
        <f>AND(#REF!,"AAAAAD96v8E=")</f>
        <v>#REF!</v>
      </c>
      <c r="GM256" t="e">
        <f>AND(#REF!,"AAAAAD96v8I=")</f>
        <v>#REF!</v>
      </c>
      <c r="GN256" t="e">
        <f>AND(#REF!,"AAAAAD96v8M=")</f>
        <v>#REF!</v>
      </c>
      <c r="GO256" t="e">
        <f>AND(#REF!,"AAAAAD96v8Q=")</f>
        <v>#REF!</v>
      </c>
      <c r="GP256" t="e">
        <f>AND(#REF!,"AAAAAD96v8U=")</f>
        <v>#REF!</v>
      </c>
      <c r="GQ256" t="e">
        <f>AND(#REF!,"AAAAAD96v8Y=")</f>
        <v>#REF!</v>
      </c>
      <c r="GR256" t="e">
        <f>AND(#REF!,"AAAAAD96v8c=")</f>
        <v>#REF!</v>
      </c>
      <c r="GS256" t="e">
        <f>AND(#REF!,"AAAAAD96v8g=")</f>
        <v>#REF!</v>
      </c>
      <c r="GT256" t="e">
        <f>AND(#REF!,"AAAAAD96v8k=")</f>
        <v>#REF!</v>
      </c>
      <c r="GU256" t="e">
        <f>AND(#REF!,"AAAAAD96v8o=")</f>
        <v>#REF!</v>
      </c>
      <c r="GV256" t="e">
        <f>AND(#REF!,"AAAAAD96v8s=")</f>
        <v>#REF!</v>
      </c>
      <c r="GW256" t="e">
        <f>AND(#REF!,"AAAAAD96v8w=")</f>
        <v>#REF!</v>
      </c>
      <c r="GX256" t="e">
        <f>AND(#REF!,"AAAAAD96v80=")</f>
        <v>#REF!</v>
      </c>
      <c r="GY256" t="e">
        <f>AND(#REF!,"AAAAAD96v84=")</f>
        <v>#REF!</v>
      </c>
      <c r="GZ256" t="e">
        <f>AND(#REF!,"AAAAAD96v88=")</f>
        <v>#REF!</v>
      </c>
      <c r="HA256" t="e">
        <f>AND(#REF!,"AAAAAD96v9A=")</f>
        <v>#REF!</v>
      </c>
      <c r="HB256" t="e">
        <f>AND(#REF!,"AAAAAD96v9E=")</f>
        <v>#REF!</v>
      </c>
      <c r="HC256" t="e">
        <f>AND(#REF!,"AAAAAD96v9I=")</f>
        <v>#REF!</v>
      </c>
      <c r="HD256" t="e">
        <f>AND(#REF!,"AAAAAD96v9M=")</f>
        <v>#REF!</v>
      </c>
      <c r="HE256" t="e">
        <f>AND(#REF!,"AAAAAD96v9Q=")</f>
        <v>#REF!</v>
      </c>
      <c r="HF256" t="e">
        <f>AND(#REF!,"AAAAAD96v9U=")</f>
        <v>#REF!</v>
      </c>
      <c r="HG256" t="e">
        <f>AND(#REF!,"AAAAAD96v9Y=")</f>
        <v>#REF!</v>
      </c>
      <c r="HH256" t="e">
        <f>AND(#REF!,"AAAAAD96v9c=")</f>
        <v>#REF!</v>
      </c>
      <c r="HI256" t="e">
        <f>AND(#REF!,"AAAAAD96v9g=")</f>
        <v>#REF!</v>
      </c>
      <c r="HJ256" t="e">
        <f>AND(#REF!,"AAAAAD96v9k=")</f>
        <v>#REF!</v>
      </c>
      <c r="HK256" t="e">
        <f>AND(#REF!,"AAAAAD96v9o=")</f>
        <v>#REF!</v>
      </c>
      <c r="HL256" t="e">
        <f>AND(#REF!,"AAAAAD96v9s=")</f>
        <v>#REF!</v>
      </c>
      <c r="HM256" t="e">
        <f>AND(#REF!,"AAAAAD96v9w=")</f>
        <v>#REF!</v>
      </c>
      <c r="HN256" t="e">
        <f>AND(#REF!,"AAAAAD96v90=")</f>
        <v>#REF!</v>
      </c>
      <c r="HO256" t="e">
        <f>AND(#REF!,"AAAAAD96v94=")</f>
        <v>#REF!</v>
      </c>
      <c r="HP256" t="e">
        <f>AND(#REF!,"AAAAAD96v98=")</f>
        <v>#REF!</v>
      </c>
      <c r="HQ256" t="e">
        <f>AND(#REF!,"AAAAAD96v+A=")</f>
        <v>#REF!</v>
      </c>
      <c r="HR256" t="e">
        <f>AND(#REF!,"AAAAAD96v+E=")</f>
        <v>#REF!</v>
      </c>
      <c r="HS256" t="e">
        <f>AND(#REF!,"AAAAAD96v+I=")</f>
        <v>#REF!</v>
      </c>
      <c r="HT256" t="e">
        <f>AND(#REF!,"AAAAAD96v+M=")</f>
        <v>#REF!</v>
      </c>
      <c r="HU256" t="e">
        <f>AND(#REF!,"AAAAAD96v+Q=")</f>
        <v>#REF!</v>
      </c>
      <c r="HV256" t="e">
        <f>AND(#REF!,"AAAAAD96v+U=")</f>
        <v>#REF!</v>
      </c>
      <c r="HW256" t="e">
        <f>AND(#REF!,"AAAAAD96v+Y=")</f>
        <v>#REF!</v>
      </c>
      <c r="HX256" t="e">
        <f>AND(#REF!,"AAAAAD96v+c=")</f>
        <v>#REF!</v>
      </c>
      <c r="HY256" t="e">
        <f>AND(#REF!,"AAAAAD96v+g=")</f>
        <v>#REF!</v>
      </c>
      <c r="HZ256" t="e">
        <f>AND(#REF!,"AAAAAD96v+k=")</f>
        <v>#REF!</v>
      </c>
      <c r="IA256" t="e">
        <f>AND(#REF!,"AAAAAD96v+o=")</f>
        <v>#REF!</v>
      </c>
      <c r="IB256" t="e">
        <f>AND(#REF!,"AAAAAD96v+s=")</f>
        <v>#REF!</v>
      </c>
      <c r="IC256" t="e">
        <f>AND(#REF!,"AAAAAD96v+w=")</f>
        <v>#REF!</v>
      </c>
      <c r="ID256" t="e">
        <f>AND(#REF!,"AAAAAD96v+0=")</f>
        <v>#REF!</v>
      </c>
      <c r="IE256" t="e">
        <f>AND(#REF!,"AAAAAD96v+4=")</f>
        <v>#REF!</v>
      </c>
      <c r="IF256" t="e">
        <f>AND(#REF!,"AAAAAD96v+8=")</f>
        <v>#REF!</v>
      </c>
      <c r="IG256" t="e">
        <f>AND(#REF!,"AAAAAD96v/A=")</f>
        <v>#REF!</v>
      </c>
      <c r="IH256" t="e">
        <f>AND(#REF!,"AAAAAD96v/E=")</f>
        <v>#REF!</v>
      </c>
      <c r="II256" t="e">
        <f>AND(#REF!,"AAAAAD96v/I=")</f>
        <v>#REF!</v>
      </c>
      <c r="IJ256" t="e">
        <f>AND(#REF!,"AAAAAD96v/M=")</f>
        <v>#REF!</v>
      </c>
      <c r="IK256" t="e">
        <f>AND(#REF!,"AAAAAD96v/Q=")</f>
        <v>#REF!</v>
      </c>
      <c r="IL256" t="e">
        <f>AND(#REF!,"AAAAAD96v/U=")</f>
        <v>#REF!</v>
      </c>
      <c r="IM256" t="e">
        <f>AND(#REF!,"AAAAAD96v/Y=")</f>
        <v>#REF!</v>
      </c>
      <c r="IN256" t="e">
        <f>AND(#REF!,"AAAAAD96v/c=")</f>
        <v>#REF!</v>
      </c>
      <c r="IO256" t="e">
        <f>AND(#REF!,"AAAAAD96v/g=")</f>
        <v>#REF!</v>
      </c>
      <c r="IP256" t="e">
        <f>AND(#REF!,"AAAAAD96v/k=")</f>
        <v>#REF!</v>
      </c>
      <c r="IQ256" t="e">
        <f>AND(#REF!,"AAAAAD96v/o=")</f>
        <v>#REF!</v>
      </c>
      <c r="IR256" t="e">
        <f>AND(#REF!,"AAAAAD96v/s=")</f>
        <v>#REF!</v>
      </c>
      <c r="IS256" t="e">
        <f>AND(#REF!,"AAAAAD96v/w=")</f>
        <v>#REF!</v>
      </c>
      <c r="IT256" t="e">
        <f>AND(#REF!,"AAAAAD96v/0=")</f>
        <v>#REF!</v>
      </c>
      <c r="IU256" t="e">
        <f>AND(#REF!,"AAAAAD96v/4=")</f>
        <v>#REF!</v>
      </c>
      <c r="IV256" t="e">
        <f>AND(#REF!,"AAAAAD96v/8=")</f>
        <v>#REF!</v>
      </c>
    </row>
    <row r="257" spans="1:256">
      <c r="A257" t="e">
        <f>AND(#REF!,"AAAAAG/++gA=")</f>
        <v>#REF!</v>
      </c>
      <c r="B257" t="e">
        <f>AND(#REF!,"AAAAAG/++gE=")</f>
        <v>#REF!</v>
      </c>
      <c r="C257" t="e">
        <f>AND(#REF!,"AAAAAG/++gI=")</f>
        <v>#REF!</v>
      </c>
      <c r="D257" t="e">
        <f>AND(#REF!,"AAAAAG/++gM=")</f>
        <v>#REF!</v>
      </c>
      <c r="E257" t="e">
        <f>AND(#REF!,"AAAAAG/++gQ=")</f>
        <v>#REF!</v>
      </c>
      <c r="F257" t="e">
        <f>AND(#REF!,"AAAAAG/++gU=")</f>
        <v>#REF!</v>
      </c>
      <c r="G257" t="e">
        <f>AND(#REF!,"AAAAAG/++gY=")</f>
        <v>#REF!</v>
      </c>
      <c r="H257" t="e">
        <f>AND(#REF!,"AAAAAG/++gc=")</f>
        <v>#REF!</v>
      </c>
      <c r="I257" t="e">
        <f>AND(#REF!,"AAAAAG/++gg=")</f>
        <v>#REF!</v>
      </c>
      <c r="J257" t="e">
        <f>AND(#REF!,"AAAAAG/++gk=")</f>
        <v>#REF!</v>
      </c>
      <c r="K257" t="e">
        <f>AND(#REF!,"AAAAAG/++go=")</f>
        <v>#REF!</v>
      </c>
      <c r="L257" t="e">
        <f>AND(#REF!,"AAAAAG/++gs=")</f>
        <v>#REF!</v>
      </c>
      <c r="M257" t="e">
        <f>AND(#REF!,"AAAAAG/++gw=")</f>
        <v>#REF!</v>
      </c>
      <c r="N257" t="e">
        <f>AND(#REF!,"AAAAAG/++g0=")</f>
        <v>#REF!</v>
      </c>
      <c r="O257" t="e">
        <f>AND(#REF!,"AAAAAG/++g4=")</f>
        <v>#REF!</v>
      </c>
      <c r="P257" t="e">
        <f>AND(#REF!,"AAAAAG/++g8=")</f>
        <v>#REF!</v>
      </c>
      <c r="Q257" t="e">
        <f>AND(#REF!,"AAAAAG/++hA=")</f>
        <v>#REF!</v>
      </c>
      <c r="R257" t="e">
        <f>AND(#REF!,"AAAAAG/++hE=")</f>
        <v>#REF!</v>
      </c>
      <c r="S257" t="e">
        <f>AND(#REF!,"AAAAAG/++hI=")</f>
        <v>#REF!</v>
      </c>
      <c r="T257" t="e">
        <f>AND(#REF!,"AAAAAG/++hM=")</f>
        <v>#REF!</v>
      </c>
      <c r="U257" t="e">
        <f>AND(#REF!,"AAAAAG/++hQ=")</f>
        <v>#REF!</v>
      </c>
      <c r="V257" t="e">
        <f>AND(#REF!,"AAAAAG/++hU=")</f>
        <v>#REF!</v>
      </c>
      <c r="W257" t="e">
        <f>AND(#REF!,"AAAAAG/++hY=")</f>
        <v>#REF!</v>
      </c>
      <c r="X257" t="e">
        <f>AND(#REF!,"AAAAAG/++hc=")</f>
        <v>#REF!</v>
      </c>
      <c r="Y257" t="e">
        <f>AND(#REF!,"AAAAAG/++hg=")</f>
        <v>#REF!</v>
      </c>
      <c r="Z257" t="e">
        <f>AND(#REF!,"AAAAAG/++hk=")</f>
        <v>#REF!</v>
      </c>
      <c r="AA257" t="e">
        <f>AND(#REF!,"AAAAAG/++ho=")</f>
        <v>#REF!</v>
      </c>
      <c r="AB257" t="e">
        <f>AND(#REF!,"AAAAAG/++hs=")</f>
        <v>#REF!</v>
      </c>
      <c r="AC257" t="e">
        <f>AND(#REF!,"AAAAAG/++hw=")</f>
        <v>#REF!</v>
      </c>
      <c r="AD257" t="e">
        <f>AND(#REF!,"AAAAAG/++h0=")</f>
        <v>#REF!</v>
      </c>
      <c r="AE257" t="e">
        <f>AND(#REF!,"AAAAAG/++h4=")</f>
        <v>#REF!</v>
      </c>
      <c r="AF257" t="e">
        <f>AND(#REF!,"AAAAAG/++h8=")</f>
        <v>#REF!</v>
      </c>
      <c r="AG257" t="e">
        <f>AND(#REF!,"AAAAAG/++iA=")</f>
        <v>#REF!</v>
      </c>
      <c r="AH257" t="e">
        <f>AND(#REF!,"AAAAAG/++iE=")</f>
        <v>#REF!</v>
      </c>
      <c r="AI257" t="e">
        <f>AND(#REF!,"AAAAAG/++iI=")</f>
        <v>#REF!</v>
      </c>
      <c r="AJ257" t="e">
        <f>AND(#REF!,"AAAAAG/++iM=")</f>
        <v>#REF!</v>
      </c>
      <c r="AK257" t="e">
        <f>AND(#REF!,"AAAAAG/++iQ=")</f>
        <v>#REF!</v>
      </c>
      <c r="AL257" t="e">
        <f>AND(#REF!,"AAAAAG/++iU=")</f>
        <v>#REF!</v>
      </c>
      <c r="AM257" t="e">
        <f>AND(#REF!,"AAAAAG/++iY=")</f>
        <v>#REF!</v>
      </c>
      <c r="AN257" t="e">
        <f>AND(#REF!,"AAAAAG/++ic=")</f>
        <v>#REF!</v>
      </c>
      <c r="AO257" t="e">
        <f>AND(#REF!,"AAAAAG/++ig=")</f>
        <v>#REF!</v>
      </c>
      <c r="AP257" t="e">
        <f>AND(#REF!,"AAAAAG/++ik=")</f>
        <v>#REF!</v>
      </c>
      <c r="AQ257" t="e">
        <f>AND(#REF!,"AAAAAG/++io=")</f>
        <v>#REF!</v>
      </c>
      <c r="AR257" t="e">
        <f>AND(#REF!,"AAAAAG/++is=")</f>
        <v>#REF!</v>
      </c>
      <c r="AS257" t="e">
        <f>AND(#REF!,"AAAAAG/++iw=")</f>
        <v>#REF!</v>
      </c>
      <c r="AT257" t="e">
        <f>AND(#REF!,"AAAAAG/++i0=")</f>
        <v>#REF!</v>
      </c>
      <c r="AU257" t="e">
        <f>AND(#REF!,"AAAAAG/++i4=")</f>
        <v>#REF!</v>
      </c>
      <c r="AV257" t="e">
        <f>AND(#REF!,"AAAAAG/++i8=")</f>
        <v>#REF!</v>
      </c>
      <c r="AW257" t="e">
        <f>AND(#REF!,"AAAAAG/++jA=")</f>
        <v>#REF!</v>
      </c>
      <c r="AX257" t="e">
        <f>AND(#REF!,"AAAAAG/++jE=")</f>
        <v>#REF!</v>
      </c>
      <c r="AY257" t="e">
        <f>AND(#REF!,"AAAAAG/++jI=")</f>
        <v>#REF!</v>
      </c>
      <c r="AZ257" t="e">
        <f>AND(#REF!,"AAAAAG/++jM=")</f>
        <v>#REF!</v>
      </c>
      <c r="BA257" t="e">
        <f>AND(#REF!,"AAAAAG/++jQ=")</f>
        <v>#REF!</v>
      </c>
      <c r="BB257" t="e">
        <f>AND(#REF!,"AAAAAG/++jU=")</f>
        <v>#REF!</v>
      </c>
      <c r="BC257" t="e">
        <f>AND(#REF!,"AAAAAG/++jY=")</f>
        <v>#REF!</v>
      </c>
      <c r="BD257" t="e">
        <f>AND(#REF!,"AAAAAG/++jc=")</f>
        <v>#REF!</v>
      </c>
      <c r="BE257" t="e">
        <f>AND(#REF!,"AAAAAG/++jg=")</f>
        <v>#REF!</v>
      </c>
      <c r="BF257" t="e">
        <f>AND(#REF!,"AAAAAG/++jk=")</f>
        <v>#REF!</v>
      </c>
      <c r="BG257" t="e">
        <f>AND(#REF!,"AAAAAG/++jo=")</f>
        <v>#REF!</v>
      </c>
      <c r="BH257" t="e">
        <f>AND(#REF!,"AAAAAG/++js=")</f>
        <v>#REF!</v>
      </c>
      <c r="BI257" t="e">
        <f>AND(#REF!,"AAAAAG/++jw=")</f>
        <v>#REF!</v>
      </c>
      <c r="BJ257" t="e">
        <f>AND(#REF!,"AAAAAG/++j0=")</f>
        <v>#REF!</v>
      </c>
      <c r="BK257" t="e">
        <f>AND(#REF!,"AAAAAG/++j4=")</f>
        <v>#REF!</v>
      </c>
      <c r="BL257" t="e">
        <f>AND(#REF!,"AAAAAG/++j8=")</f>
        <v>#REF!</v>
      </c>
      <c r="BM257" t="e">
        <f>AND(#REF!,"AAAAAG/++kA=")</f>
        <v>#REF!</v>
      </c>
      <c r="BN257" t="e">
        <f>AND(#REF!,"AAAAAG/++kE=")</f>
        <v>#REF!</v>
      </c>
      <c r="BO257" t="e">
        <f>AND(#REF!,"AAAAAG/++kI=")</f>
        <v>#REF!</v>
      </c>
      <c r="BP257" t="e">
        <f>AND(#REF!,"AAAAAG/++kM=")</f>
        <v>#REF!</v>
      </c>
      <c r="BQ257" t="e">
        <f>AND(#REF!,"AAAAAG/++kQ=")</f>
        <v>#REF!</v>
      </c>
      <c r="BR257" t="e">
        <f>AND(#REF!,"AAAAAG/++kU=")</f>
        <v>#REF!</v>
      </c>
      <c r="BS257" t="e">
        <f>IF(#REF!,"AAAAAG/++kY=",0)</f>
        <v>#REF!</v>
      </c>
      <c r="BT257" t="e">
        <f>AND(#REF!,"AAAAAG/++kc=")</f>
        <v>#REF!</v>
      </c>
      <c r="BU257" t="e">
        <f>AND(#REF!,"AAAAAG/++kg=")</f>
        <v>#REF!</v>
      </c>
      <c r="BV257" t="e">
        <f>AND(#REF!,"AAAAAG/++kk=")</f>
        <v>#REF!</v>
      </c>
      <c r="BW257" t="e">
        <f>AND(#REF!,"AAAAAG/++ko=")</f>
        <v>#REF!</v>
      </c>
      <c r="BX257" t="e">
        <f>AND(#REF!,"AAAAAG/++ks=")</f>
        <v>#REF!</v>
      </c>
      <c r="BY257" t="e">
        <f>AND(#REF!,"AAAAAG/++kw=")</f>
        <v>#REF!</v>
      </c>
      <c r="BZ257" t="e">
        <f>AND(#REF!,"AAAAAG/++k0=")</f>
        <v>#REF!</v>
      </c>
      <c r="CA257" t="e">
        <f>AND(#REF!,"AAAAAG/++k4=")</f>
        <v>#REF!</v>
      </c>
      <c r="CB257" t="e">
        <f>AND(#REF!,"AAAAAG/++k8=")</f>
        <v>#REF!</v>
      </c>
      <c r="CC257" t="e">
        <f>AND(#REF!,"AAAAAG/++lA=")</f>
        <v>#REF!</v>
      </c>
      <c r="CD257" t="e">
        <f>AND(#REF!,"AAAAAG/++lE=")</f>
        <v>#REF!</v>
      </c>
      <c r="CE257" t="e">
        <f>AND(#REF!,"AAAAAG/++lI=")</f>
        <v>#REF!</v>
      </c>
      <c r="CF257" t="e">
        <f>AND(#REF!,"AAAAAG/++lM=")</f>
        <v>#REF!</v>
      </c>
      <c r="CG257" t="e">
        <f>AND(#REF!,"AAAAAG/++lQ=")</f>
        <v>#REF!</v>
      </c>
      <c r="CH257" t="e">
        <f>AND(#REF!,"AAAAAG/++lU=")</f>
        <v>#REF!</v>
      </c>
      <c r="CI257" t="e">
        <f>AND(#REF!,"AAAAAG/++lY=")</f>
        <v>#REF!</v>
      </c>
      <c r="CJ257" t="e">
        <f>AND(#REF!,"AAAAAG/++lc=")</f>
        <v>#REF!</v>
      </c>
      <c r="CK257" t="e">
        <f>AND(#REF!,"AAAAAG/++lg=")</f>
        <v>#REF!</v>
      </c>
      <c r="CL257" t="e">
        <f>AND(#REF!,"AAAAAG/++lk=")</f>
        <v>#REF!</v>
      </c>
      <c r="CM257" t="e">
        <f>AND(#REF!,"AAAAAG/++lo=")</f>
        <v>#REF!</v>
      </c>
      <c r="CN257" t="e">
        <f>AND(#REF!,"AAAAAG/++ls=")</f>
        <v>#REF!</v>
      </c>
      <c r="CO257" t="e">
        <f>AND(#REF!,"AAAAAG/++lw=")</f>
        <v>#REF!</v>
      </c>
      <c r="CP257" t="e">
        <f>AND(#REF!,"AAAAAG/++l0=")</f>
        <v>#REF!</v>
      </c>
      <c r="CQ257" t="e">
        <f>AND(#REF!,"AAAAAG/++l4=")</f>
        <v>#REF!</v>
      </c>
      <c r="CR257" t="e">
        <f>AND(#REF!,"AAAAAG/++l8=")</f>
        <v>#REF!</v>
      </c>
      <c r="CS257" t="e">
        <f>AND(#REF!,"AAAAAG/++mA=")</f>
        <v>#REF!</v>
      </c>
      <c r="CT257" t="e">
        <f>AND(#REF!,"AAAAAG/++mE=")</f>
        <v>#REF!</v>
      </c>
      <c r="CU257" t="e">
        <f>AND(#REF!,"AAAAAG/++mI=")</f>
        <v>#REF!</v>
      </c>
      <c r="CV257" t="e">
        <f>AND(#REF!,"AAAAAG/++mM=")</f>
        <v>#REF!</v>
      </c>
      <c r="CW257" t="e">
        <f>AND(#REF!,"AAAAAG/++mQ=")</f>
        <v>#REF!</v>
      </c>
      <c r="CX257" t="e">
        <f>AND(#REF!,"AAAAAG/++mU=")</f>
        <v>#REF!</v>
      </c>
      <c r="CY257" t="e">
        <f>AND(#REF!,"AAAAAG/++mY=")</f>
        <v>#REF!</v>
      </c>
      <c r="CZ257" t="e">
        <f>AND(#REF!,"AAAAAG/++mc=")</f>
        <v>#REF!</v>
      </c>
      <c r="DA257" t="e">
        <f>AND(#REF!,"AAAAAG/++mg=")</f>
        <v>#REF!</v>
      </c>
      <c r="DB257" t="e">
        <f>AND(#REF!,"AAAAAG/++mk=")</f>
        <v>#REF!</v>
      </c>
      <c r="DC257" t="e">
        <f>AND(#REF!,"AAAAAG/++mo=")</f>
        <v>#REF!</v>
      </c>
      <c r="DD257" t="e">
        <f>AND(#REF!,"AAAAAG/++ms=")</f>
        <v>#REF!</v>
      </c>
      <c r="DE257" t="e">
        <f>AND(#REF!,"AAAAAG/++mw=")</f>
        <v>#REF!</v>
      </c>
      <c r="DF257" t="e">
        <f>AND(#REF!,"AAAAAG/++m0=")</f>
        <v>#REF!</v>
      </c>
      <c r="DG257" t="e">
        <f>AND(#REF!,"AAAAAG/++m4=")</f>
        <v>#REF!</v>
      </c>
      <c r="DH257" t="e">
        <f>AND(#REF!,"AAAAAG/++m8=")</f>
        <v>#REF!</v>
      </c>
      <c r="DI257" t="e">
        <f>AND(#REF!,"AAAAAG/++nA=")</f>
        <v>#REF!</v>
      </c>
      <c r="DJ257" t="e">
        <f>AND(#REF!,"AAAAAG/++nE=")</f>
        <v>#REF!</v>
      </c>
      <c r="DK257" t="e">
        <f>AND(#REF!,"AAAAAG/++nI=")</f>
        <v>#REF!</v>
      </c>
      <c r="DL257" t="e">
        <f>AND(#REF!,"AAAAAG/++nM=")</f>
        <v>#REF!</v>
      </c>
      <c r="DM257" t="e">
        <f>AND(#REF!,"AAAAAG/++nQ=")</f>
        <v>#REF!</v>
      </c>
      <c r="DN257" t="e">
        <f>AND(#REF!,"AAAAAG/++nU=")</f>
        <v>#REF!</v>
      </c>
      <c r="DO257" t="e">
        <f>AND(#REF!,"AAAAAG/++nY=")</f>
        <v>#REF!</v>
      </c>
      <c r="DP257" t="e">
        <f>AND(#REF!,"AAAAAG/++nc=")</f>
        <v>#REF!</v>
      </c>
      <c r="DQ257" t="e">
        <f>AND(#REF!,"AAAAAG/++ng=")</f>
        <v>#REF!</v>
      </c>
      <c r="DR257" t="e">
        <f>AND(#REF!,"AAAAAG/++nk=")</f>
        <v>#REF!</v>
      </c>
      <c r="DS257" t="e">
        <f>AND(#REF!,"AAAAAG/++no=")</f>
        <v>#REF!</v>
      </c>
      <c r="DT257" t="e">
        <f>AND(#REF!,"AAAAAG/++ns=")</f>
        <v>#REF!</v>
      </c>
      <c r="DU257" t="e">
        <f>AND(#REF!,"AAAAAG/++nw=")</f>
        <v>#REF!</v>
      </c>
      <c r="DV257" t="e">
        <f>AND(#REF!,"AAAAAG/++n0=")</f>
        <v>#REF!</v>
      </c>
      <c r="DW257" t="e">
        <f>AND(#REF!,"AAAAAG/++n4=")</f>
        <v>#REF!</v>
      </c>
      <c r="DX257" t="e">
        <f>AND(#REF!,"AAAAAG/++n8=")</f>
        <v>#REF!</v>
      </c>
      <c r="DY257" t="e">
        <f>AND(#REF!,"AAAAAG/++oA=")</f>
        <v>#REF!</v>
      </c>
      <c r="DZ257" t="e">
        <f>AND(#REF!,"AAAAAG/++oE=")</f>
        <v>#REF!</v>
      </c>
      <c r="EA257" t="e">
        <f>AND(#REF!,"AAAAAG/++oI=")</f>
        <v>#REF!</v>
      </c>
      <c r="EB257" t="e">
        <f>AND(#REF!,"AAAAAG/++oM=")</f>
        <v>#REF!</v>
      </c>
      <c r="EC257" t="e">
        <f>AND(#REF!,"AAAAAG/++oQ=")</f>
        <v>#REF!</v>
      </c>
      <c r="ED257" t="e">
        <f>AND(#REF!,"AAAAAG/++oU=")</f>
        <v>#REF!</v>
      </c>
      <c r="EE257" t="e">
        <f>AND(#REF!,"AAAAAG/++oY=")</f>
        <v>#REF!</v>
      </c>
      <c r="EF257" t="e">
        <f>AND(#REF!,"AAAAAG/++oc=")</f>
        <v>#REF!</v>
      </c>
      <c r="EG257" t="e">
        <f>AND(#REF!,"AAAAAG/++og=")</f>
        <v>#REF!</v>
      </c>
      <c r="EH257" t="e">
        <f>AND(#REF!,"AAAAAG/++ok=")</f>
        <v>#REF!</v>
      </c>
      <c r="EI257" t="e">
        <f>AND(#REF!,"AAAAAG/++oo=")</f>
        <v>#REF!</v>
      </c>
      <c r="EJ257" t="e">
        <f>AND(#REF!,"AAAAAG/++os=")</f>
        <v>#REF!</v>
      </c>
      <c r="EK257" t="e">
        <f>AND(#REF!,"AAAAAG/++ow=")</f>
        <v>#REF!</v>
      </c>
      <c r="EL257" t="e">
        <f>AND(#REF!,"AAAAAG/++o0=")</f>
        <v>#REF!</v>
      </c>
      <c r="EM257" t="e">
        <f>AND(#REF!,"AAAAAG/++o4=")</f>
        <v>#REF!</v>
      </c>
      <c r="EN257" t="e">
        <f>AND(#REF!,"AAAAAG/++o8=")</f>
        <v>#REF!</v>
      </c>
      <c r="EO257" t="e">
        <f>AND(#REF!,"AAAAAG/++pA=")</f>
        <v>#REF!</v>
      </c>
      <c r="EP257" t="e">
        <f>AND(#REF!,"AAAAAG/++pE=")</f>
        <v>#REF!</v>
      </c>
      <c r="EQ257" t="e">
        <f>AND(#REF!,"AAAAAG/++pI=")</f>
        <v>#REF!</v>
      </c>
      <c r="ER257" t="e">
        <f>AND(#REF!,"AAAAAG/++pM=")</f>
        <v>#REF!</v>
      </c>
      <c r="ES257" t="e">
        <f>AND(#REF!,"AAAAAG/++pQ=")</f>
        <v>#REF!</v>
      </c>
      <c r="ET257" t="e">
        <f>AND(#REF!,"AAAAAG/++pU=")</f>
        <v>#REF!</v>
      </c>
      <c r="EU257" t="e">
        <f>AND(#REF!,"AAAAAG/++pY=")</f>
        <v>#REF!</v>
      </c>
      <c r="EV257" t="e">
        <f>AND(#REF!,"AAAAAG/++pc=")</f>
        <v>#REF!</v>
      </c>
      <c r="EW257" t="e">
        <f>AND(#REF!,"AAAAAG/++pg=")</f>
        <v>#REF!</v>
      </c>
      <c r="EX257" t="e">
        <f>AND(#REF!,"AAAAAG/++pk=")</f>
        <v>#REF!</v>
      </c>
      <c r="EY257" t="e">
        <f>AND(#REF!,"AAAAAG/++po=")</f>
        <v>#REF!</v>
      </c>
      <c r="EZ257" t="e">
        <f>AND(#REF!,"AAAAAG/++ps=")</f>
        <v>#REF!</v>
      </c>
      <c r="FA257" t="e">
        <f>AND(#REF!,"AAAAAG/++pw=")</f>
        <v>#REF!</v>
      </c>
      <c r="FB257" t="e">
        <f>AND(#REF!,"AAAAAG/++p0=")</f>
        <v>#REF!</v>
      </c>
      <c r="FC257" t="e">
        <f>AND(#REF!,"AAAAAG/++p4=")</f>
        <v>#REF!</v>
      </c>
      <c r="FD257" t="e">
        <f>AND(#REF!,"AAAAAG/++p8=")</f>
        <v>#REF!</v>
      </c>
      <c r="FE257" t="e">
        <f>AND(#REF!,"AAAAAG/++qA=")</f>
        <v>#REF!</v>
      </c>
      <c r="FF257" t="e">
        <f>AND(#REF!,"AAAAAG/++qE=")</f>
        <v>#REF!</v>
      </c>
      <c r="FG257" t="e">
        <f>AND(#REF!,"AAAAAG/++qI=")</f>
        <v>#REF!</v>
      </c>
      <c r="FH257" t="e">
        <f>AND(#REF!,"AAAAAG/++qM=")</f>
        <v>#REF!</v>
      </c>
      <c r="FI257" t="e">
        <f>AND(#REF!,"AAAAAG/++qQ=")</f>
        <v>#REF!</v>
      </c>
      <c r="FJ257" t="e">
        <f>AND(#REF!,"AAAAAG/++qU=")</f>
        <v>#REF!</v>
      </c>
      <c r="FK257" t="e">
        <f>AND(#REF!,"AAAAAG/++qY=")</f>
        <v>#REF!</v>
      </c>
      <c r="FL257" t="e">
        <f>AND(#REF!,"AAAAAG/++qc=")</f>
        <v>#REF!</v>
      </c>
      <c r="FM257" t="e">
        <f>AND(#REF!,"AAAAAG/++qg=")</f>
        <v>#REF!</v>
      </c>
      <c r="FN257" t="e">
        <f>AND(#REF!,"AAAAAG/++qk=")</f>
        <v>#REF!</v>
      </c>
      <c r="FO257" t="e">
        <f>AND(#REF!,"AAAAAG/++qo=")</f>
        <v>#REF!</v>
      </c>
      <c r="FP257" t="e">
        <f>AND(#REF!,"AAAAAG/++qs=")</f>
        <v>#REF!</v>
      </c>
      <c r="FQ257" t="e">
        <f>AND(#REF!,"AAAAAG/++qw=")</f>
        <v>#REF!</v>
      </c>
      <c r="FR257" t="e">
        <f>AND(#REF!,"AAAAAG/++q0=")</f>
        <v>#REF!</v>
      </c>
      <c r="FS257" t="e">
        <f>AND(#REF!,"AAAAAG/++q4=")</f>
        <v>#REF!</v>
      </c>
      <c r="FT257" t="e">
        <f>AND(#REF!,"AAAAAG/++q8=")</f>
        <v>#REF!</v>
      </c>
      <c r="FU257" t="e">
        <f>AND(#REF!,"AAAAAG/++rA=")</f>
        <v>#REF!</v>
      </c>
      <c r="FV257" t="e">
        <f>AND(#REF!,"AAAAAG/++rE=")</f>
        <v>#REF!</v>
      </c>
      <c r="FW257" t="e">
        <f>AND(#REF!,"AAAAAG/++rI=")</f>
        <v>#REF!</v>
      </c>
      <c r="FX257" t="e">
        <f>AND(#REF!,"AAAAAG/++rM=")</f>
        <v>#REF!</v>
      </c>
      <c r="FY257" t="e">
        <f>AND(#REF!,"AAAAAG/++rQ=")</f>
        <v>#REF!</v>
      </c>
      <c r="FZ257" t="e">
        <f>AND(#REF!,"AAAAAG/++rU=")</f>
        <v>#REF!</v>
      </c>
      <c r="GA257" t="e">
        <f>AND(#REF!,"AAAAAG/++rY=")</f>
        <v>#REF!</v>
      </c>
      <c r="GB257" t="e">
        <f>AND(#REF!,"AAAAAG/++rc=")</f>
        <v>#REF!</v>
      </c>
      <c r="GC257" t="e">
        <f>AND(#REF!,"AAAAAG/++rg=")</f>
        <v>#REF!</v>
      </c>
      <c r="GD257" t="e">
        <f>AND(#REF!,"AAAAAG/++rk=")</f>
        <v>#REF!</v>
      </c>
      <c r="GE257" t="e">
        <f>AND(#REF!,"AAAAAG/++ro=")</f>
        <v>#REF!</v>
      </c>
      <c r="GF257" t="e">
        <f>AND(#REF!,"AAAAAG/++rs=")</f>
        <v>#REF!</v>
      </c>
      <c r="GG257" t="e">
        <f>AND(#REF!,"AAAAAG/++rw=")</f>
        <v>#REF!</v>
      </c>
      <c r="GH257" t="e">
        <f>AND(#REF!,"AAAAAG/++r0=")</f>
        <v>#REF!</v>
      </c>
      <c r="GI257" t="e">
        <f>AND(#REF!,"AAAAAG/++r4=")</f>
        <v>#REF!</v>
      </c>
      <c r="GJ257" t="e">
        <f>AND(#REF!,"AAAAAG/++r8=")</f>
        <v>#REF!</v>
      </c>
      <c r="GK257" t="e">
        <f>AND(#REF!,"AAAAAG/++sA=")</f>
        <v>#REF!</v>
      </c>
      <c r="GL257" t="e">
        <f>AND(#REF!,"AAAAAG/++sE=")</f>
        <v>#REF!</v>
      </c>
      <c r="GM257" t="e">
        <f>AND(#REF!,"AAAAAG/++sI=")</f>
        <v>#REF!</v>
      </c>
      <c r="GN257" t="e">
        <f>AND(#REF!,"AAAAAG/++sM=")</f>
        <v>#REF!</v>
      </c>
      <c r="GO257" t="e">
        <f>AND(#REF!,"AAAAAG/++sQ=")</f>
        <v>#REF!</v>
      </c>
      <c r="GP257" t="e">
        <f>AND(#REF!,"AAAAAG/++sU=")</f>
        <v>#REF!</v>
      </c>
      <c r="GQ257" t="e">
        <f>AND(#REF!,"AAAAAG/++sY=")</f>
        <v>#REF!</v>
      </c>
      <c r="GR257" t="e">
        <f>AND(#REF!,"AAAAAG/++sc=")</f>
        <v>#REF!</v>
      </c>
      <c r="GS257" t="e">
        <f>AND(#REF!,"AAAAAG/++sg=")</f>
        <v>#REF!</v>
      </c>
      <c r="GT257" t="e">
        <f>AND(#REF!,"AAAAAG/++sk=")</f>
        <v>#REF!</v>
      </c>
      <c r="GU257" t="e">
        <f>AND(#REF!,"AAAAAG/++so=")</f>
        <v>#REF!</v>
      </c>
      <c r="GV257" t="e">
        <f>AND(#REF!,"AAAAAG/++ss=")</f>
        <v>#REF!</v>
      </c>
      <c r="GW257" t="e">
        <f>AND(#REF!,"AAAAAG/++sw=")</f>
        <v>#REF!</v>
      </c>
      <c r="GX257" t="e">
        <f>AND(#REF!,"AAAAAG/++s0=")</f>
        <v>#REF!</v>
      </c>
      <c r="GY257" t="e">
        <f>AND(#REF!,"AAAAAG/++s4=")</f>
        <v>#REF!</v>
      </c>
      <c r="GZ257" t="e">
        <f>AND(#REF!,"AAAAAG/++s8=")</f>
        <v>#REF!</v>
      </c>
      <c r="HA257" t="e">
        <f>AND(#REF!,"AAAAAG/++tA=")</f>
        <v>#REF!</v>
      </c>
      <c r="HB257" t="e">
        <f>AND(#REF!,"AAAAAG/++tE=")</f>
        <v>#REF!</v>
      </c>
      <c r="HC257" t="e">
        <f>AND(#REF!,"AAAAAG/++tI=")</f>
        <v>#REF!</v>
      </c>
      <c r="HD257" t="e">
        <f>AND(#REF!,"AAAAAG/++tM=")</f>
        <v>#REF!</v>
      </c>
      <c r="HE257" t="e">
        <f>AND(#REF!,"AAAAAG/++tQ=")</f>
        <v>#REF!</v>
      </c>
      <c r="HF257" t="e">
        <f>AND(#REF!,"AAAAAG/++tU=")</f>
        <v>#REF!</v>
      </c>
      <c r="HG257" t="e">
        <f>AND(#REF!,"AAAAAG/++tY=")</f>
        <v>#REF!</v>
      </c>
      <c r="HH257" t="e">
        <f>AND(#REF!,"AAAAAG/++tc=")</f>
        <v>#REF!</v>
      </c>
      <c r="HI257" t="e">
        <f>AND(#REF!,"AAAAAG/++tg=")</f>
        <v>#REF!</v>
      </c>
      <c r="HJ257" t="e">
        <f>AND(#REF!,"AAAAAG/++tk=")</f>
        <v>#REF!</v>
      </c>
      <c r="HK257" t="e">
        <f>AND(#REF!,"AAAAAG/++to=")</f>
        <v>#REF!</v>
      </c>
      <c r="HL257" t="e">
        <f>AND(#REF!,"AAAAAG/++ts=")</f>
        <v>#REF!</v>
      </c>
      <c r="HM257" t="e">
        <f>AND(#REF!,"AAAAAG/++tw=")</f>
        <v>#REF!</v>
      </c>
      <c r="HN257" t="e">
        <f>AND(#REF!,"AAAAAG/++t0=")</f>
        <v>#REF!</v>
      </c>
      <c r="HO257" t="e">
        <f>AND(#REF!,"AAAAAG/++t4=")</f>
        <v>#REF!</v>
      </c>
      <c r="HP257" t="e">
        <f>AND(#REF!,"AAAAAG/++t8=")</f>
        <v>#REF!</v>
      </c>
      <c r="HQ257" t="e">
        <f>AND(#REF!,"AAAAAG/++uA=")</f>
        <v>#REF!</v>
      </c>
      <c r="HR257" t="e">
        <f>AND(#REF!,"AAAAAG/++uE=")</f>
        <v>#REF!</v>
      </c>
      <c r="HS257" t="e">
        <f>AND(#REF!,"AAAAAG/++uI=")</f>
        <v>#REF!</v>
      </c>
      <c r="HT257" t="e">
        <f>AND(#REF!,"AAAAAG/++uM=")</f>
        <v>#REF!</v>
      </c>
      <c r="HU257" t="e">
        <f>AND(#REF!,"AAAAAG/++uQ=")</f>
        <v>#REF!</v>
      </c>
      <c r="HV257" t="e">
        <f>AND(#REF!,"AAAAAG/++uU=")</f>
        <v>#REF!</v>
      </c>
      <c r="HW257" t="e">
        <f>AND(#REF!,"AAAAAG/++uY=")</f>
        <v>#REF!</v>
      </c>
      <c r="HX257" t="e">
        <f>AND(#REF!,"AAAAAG/++uc=")</f>
        <v>#REF!</v>
      </c>
      <c r="HY257" t="e">
        <f>AND(#REF!,"AAAAAG/++ug=")</f>
        <v>#REF!</v>
      </c>
      <c r="HZ257" t="e">
        <f>AND(#REF!,"AAAAAG/++uk=")</f>
        <v>#REF!</v>
      </c>
      <c r="IA257" t="e">
        <f>AND(#REF!,"AAAAAG/++uo=")</f>
        <v>#REF!</v>
      </c>
      <c r="IB257" t="e">
        <f>AND(#REF!,"AAAAAG/++us=")</f>
        <v>#REF!</v>
      </c>
      <c r="IC257" t="e">
        <f>AND(#REF!,"AAAAAG/++uw=")</f>
        <v>#REF!</v>
      </c>
      <c r="ID257" t="e">
        <f>AND(#REF!,"AAAAAG/++u0=")</f>
        <v>#REF!</v>
      </c>
      <c r="IE257" t="e">
        <f>AND(#REF!,"AAAAAG/++u4=")</f>
        <v>#REF!</v>
      </c>
      <c r="IF257" t="e">
        <f>AND(#REF!,"AAAAAG/++u8=")</f>
        <v>#REF!</v>
      </c>
      <c r="IG257" t="e">
        <f>AND(#REF!,"AAAAAG/++vA=")</f>
        <v>#REF!</v>
      </c>
      <c r="IH257" t="e">
        <f>AND(#REF!,"AAAAAG/++vE=")</f>
        <v>#REF!</v>
      </c>
      <c r="II257" t="e">
        <f>AND(#REF!,"AAAAAG/++vI=")</f>
        <v>#REF!</v>
      </c>
      <c r="IJ257" t="e">
        <f>AND(#REF!,"AAAAAG/++vM=")</f>
        <v>#REF!</v>
      </c>
      <c r="IK257" t="e">
        <f>AND(#REF!,"AAAAAG/++vQ=")</f>
        <v>#REF!</v>
      </c>
      <c r="IL257" t="e">
        <f>AND(#REF!,"AAAAAG/++vU=")</f>
        <v>#REF!</v>
      </c>
      <c r="IM257" t="e">
        <f>AND(#REF!,"AAAAAG/++vY=")</f>
        <v>#REF!</v>
      </c>
      <c r="IN257" t="e">
        <f>AND(#REF!,"AAAAAG/++vc=")</f>
        <v>#REF!</v>
      </c>
      <c r="IO257" t="e">
        <f>AND(#REF!,"AAAAAG/++vg=")</f>
        <v>#REF!</v>
      </c>
      <c r="IP257" t="e">
        <f>AND(#REF!,"AAAAAG/++vk=")</f>
        <v>#REF!</v>
      </c>
      <c r="IQ257" t="e">
        <f>AND(#REF!,"AAAAAG/++vo=")</f>
        <v>#REF!</v>
      </c>
      <c r="IR257" t="e">
        <f>AND(#REF!,"AAAAAG/++vs=")</f>
        <v>#REF!</v>
      </c>
      <c r="IS257" t="e">
        <f>AND(#REF!,"AAAAAG/++vw=")</f>
        <v>#REF!</v>
      </c>
      <c r="IT257" t="e">
        <f>AND(#REF!,"AAAAAG/++v0=")</f>
        <v>#REF!</v>
      </c>
      <c r="IU257" t="e">
        <f>AND(#REF!,"AAAAAG/++v4=")</f>
        <v>#REF!</v>
      </c>
      <c r="IV257" t="e">
        <f>AND(#REF!,"AAAAAG/++v8=")</f>
        <v>#REF!</v>
      </c>
    </row>
    <row r="258" spans="1:256">
      <c r="A258" t="e">
        <f>AND(#REF!,"AAAAAG///wA=")</f>
        <v>#REF!</v>
      </c>
      <c r="B258" t="e">
        <f>AND(#REF!,"AAAAAG///wE=")</f>
        <v>#REF!</v>
      </c>
      <c r="C258" t="e">
        <f>AND(#REF!,"AAAAAG///wI=")</f>
        <v>#REF!</v>
      </c>
      <c r="D258" t="e">
        <f>AND(#REF!,"AAAAAG///wM=")</f>
        <v>#REF!</v>
      </c>
      <c r="E258" t="e">
        <f>AND(#REF!,"AAAAAG///wQ=")</f>
        <v>#REF!</v>
      </c>
      <c r="F258" t="e">
        <f>AND(#REF!,"AAAAAG///wU=")</f>
        <v>#REF!</v>
      </c>
      <c r="G258" t="e">
        <f>AND(#REF!,"AAAAAG///wY=")</f>
        <v>#REF!</v>
      </c>
      <c r="H258" t="e">
        <f>AND(#REF!,"AAAAAG///wc=")</f>
        <v>#REF!</v>
      </c>
      <c r="I258" t="e">
        <f>AND(#REF!,"AAAAAG///wg=")</f>
        <v>#REF!</v>
      </c>
      <c r="J258" t="e">
        <f>AND(#REF!,"AAAAAG///wk=")</f>
        <v>#REF!</v>
      </c>
      <c r="K258" t="e">
        <f>AND(#REF!,"AAAAAG///wo=")</f>
        <v>#REF!</v>
      </c>
      <c r="L258" t="e">
        <f>AND(#REF!,"AAAAAG///ws=")</f>
        <v>#REF!</v>
      </c>
      <c r="M258" t="e">
        <f>AND(#REF!,"AAAAAG///ww=")</f>
        <v>#REF!</v>
      </c>
      <c r="N258" t="e">
        <f>AND(#REF!,"AAAAAG///w0=")</f>
        <v>#REF!</v>
      </c>
      <c r="O258" t="e">
        <f>AND(#REF!,"AAAAAG///w4=")</f>
        <v>#REF!</v>
      </c>
      <c r="P258" t="e">
        <f>AND(#REF!,"AAAAAG///w8=")</f>
        <v>#REF!</v>
      </c>
      <c r="Q258" t="e">
        <f>AND(#REF!,"AAAAAG///xA=")</f>
        <v>#REF!</v>
      </c>
      <c r="R258" t="e">
        <f>AND(#REF!,"AAAAAG///xE=")</f>
        <v>#REF!</v>
      </c>
      <c r="S258" t="e">
        <f>AND(#REF!,"AAAAAG///xI=")</f>
        <v>#REF!</v>
      </c>
      <c r="T258" t="e">
        <f>AND(#REF!,"AAAAAG///xM=")</f>
        <v>#REF!</v>
      </c>
      <c r="U258" t="e">
        <f>AND(#REF!,"AAAAAG///xQ=")</f>
        <v>#REF!</v>
      </c>
      <c r="V258" t="e">
        <f>AND(#REF!,"AAAAAG///xU=")</f>
        <v>#REF!</v>
      </c>
      <c r="W258" t="e">
        <f>AND(#REF!,"AAAAAG///xY=")</f>
        <v>#REF!</v>
      </c>
      <c r="X258" t="e">
        <f>AND(#REF!,"AAAAAG///xc=")</f>
        <v>#REF!</v>
      </c>
      <c r="Y258" t="e">
        <f>AND(#REF!,"AAAAAG///xg=")</f>
        <v>#REF!</v>
      </c>
      <c r="Z258" t="e">
        <f>AND(#REF!,"AAAAAG///xk=")</f>
        <v>#REF!</v>
      </c>
      <c r="AA258" t="e">
        <f>AND(#REF!,"AAAAAG///xo=")</f>
        <v>#REF!</v>
      </c>
      <c r="AB258" t="e">
        <f>AND(#REF!,"AAAAAG///xs=")</f>
        <v>#REF!</v>
      </c>
      <c r="AC258" t="e">
        <f>AND(#REF!,"AAAAAG///xw=")</f>
        <v>#REF!</v>
      </c>
      <c r="AD258" t="e">
        <f>AND(#REF!,"AAAAAG///x0=")</f>
        <v>#REF!</v>
      </c>
      <c r="AE258" t="e">
        <f>AND(#REF!,"AAAAAG///x4=")</f>
        <v>#REF!</v>
      </c>
      <c r="AF258" t="e">
        <f>AND(#REF!,"AAAAAG///x8=")</f>
        <v>#REF!</v>
      </c>
      <c r="AG258" t="e">
        <f>AND(#REF!,"AAAAAG///yA=")</f>
        <v>#REF!</v>
      </c>
      <c r="AH258" t="e">
        <f>AND(#REF!,"AAAAAG///yE=")</f>
        <v>#REF!</v>
      </c>
      <c r="AI258" t="e">
        <f>AND(#REF!,"AAAAAG///yI=")</f>
        <v>#REF!</v>
      </c>
      <c r="AJ258" t="e">
        <f>AND(#REF!,"AAAAAG///yM=")</f>
        <v>#REF!</v>
      </c>
      <c r="AK258" t="e">
        <f>AND(#REF!,"AAAAAG///yQ=")</f>
        <v>#REF!</v>
      </c>
      <c r="AL258" t="e">
        <f>AND(#REF!,"AAAAAG///yU=")</f>
        <v>#REF!</v>
      </c>
      <c r="AM258" t="e">
        <f>AND(#REF!,"AAAAAG///yY=")</f>
        <v>#REF!</v>
      </c>
      <c r="AN258" t="e">
        <f>AND(#REF!,"AAAAAG///yc=")</f>
        <v>#REF!</v>
      </c>
      <c r="AO258" t="e">
        <f>AND(#REF!,"AAAAAG///yg=")</f>
        <v>#REF!</v>
      </c>
      <c r="AP258" t="e">
        <f>AND(#REF!,"AAAAAG///yk=")</f>
        <v>#REF!</v>
      </c>
      <c r="AQ258" t="e">
        <f>IF(#REF!,"AAAAAG///yo=",0)</f>
        <v>#REF!</v>
      </c>
      <c r="AR258" t="e">
        <f>AND(#REF!,"AAAAAG///ys=")</f>
        <v>#REF!</v>
      </c>
      <c r="AS258" t="e">
        <f>AND(#REF!,"AAAAAG///yw=")</f>
        <v>#REF!</v>
      </c>
      <c r="AT258" t="e">
        <f>AND(#REF!,"AAAAAG///y0=")</f>
        <v>#REF!</v>
      </c>
      <c r="AU258" t="e">
        <f>AND(#REF!,"AAAAAG///y4=")</f>
        <v>#REF!</v>
      </c>
      <c r="AV258" t="e">
        <f>AND(#REF!,"AAAAAG///y8=")</f>
        <v>#REF!</v>
      </c>
      <c r="AW258" t="e">
        <f>AND(#REF!,"AAAAAG///zA=")</f>
        <v>#REF!</v>
      </c>
      <c r="AX258" t="e">
        <f>AND(#REF!,"AAAAAG///zE=")</f>
        <v>#REF!</v>
      </c>
      <c r="AY258" t="e">
        <f>AND(#REF!,"AAAAAG///zI=")</f>
        <v>#REF!</v>
      </c>
      <c r="AZ258" t="e">
        <f>AND(#REF!,"AAAAAG///zM=")</f>
        <v>#REF!</v>
      </c>
      <c r="BA258" t="e">
        <f>AND(#REF!,"AAAAAG///zQ=")</f>
        <v>#REF!</v>
      </c>
      <c r="BB258" t="e">
        <f>AND(#REF!,"AAAAAG///zU=")</f>
        <v>#REF!</v>
      </c>
      <c r="BC258" t="e">
        <f>AND(#REF!,"AAAAAG///zY=")</f>
        <v>#REF!</v>
      </c>
      <c r="BD258" t="e">
        <f>AND(#REF!,"AAAAAG///zc=")</f>
        <v>#REF!</v>
      </c>
      <c r="BE258" t="e">
        <f>AND(#REF!,"AAAAAG///zg=")</f>
        <v>#REF!</v>
      </c>
      <c r="BF258" t="e">
        <f>AND(#REF!,"AAAAAG///zk=")</f>
        <v>#REF!</v>
      </c>
      <c r="BG258" t="e">
        <f>AND(#REF!,"AAAAAG///zo=")</f>
        <v>#REF!</v>
      </c>
      <c r="BH258" t="e">
        <f>AND(#REF!,"AAAAAG///zs=")</f>
        <v>#REF!</v>
      </c>
      <c r="BI258" t="e">
        <f>AND(#REF!,"AAAAAG///zw=")</f>
        <v>#REF!</v>
      </c>
      <c r="BJ258" t="e">
        <f>AND(#REF!,"AAAAAG///z0=")</f>
        <v>#REF!</v>
      </c>
      <c r="BK258" t="e">
        <f>AND(#REF!,"AAAAAG///z4=")</f>
        <v>#REF!</v>
      </c>
      <c r="BL258" t="e">
        <f>AND(#REF!,"AAAAAG///z8=")</f>
        <v>#REF!</v>
      </c>
      <c r="BM258" t="e">
        <f>AND(#REF!,"AAAAAG///0A=")</f>
        <v>#REF!</v>
      </c>
      <c r="BN258" t="e">
        <f>AND(#REF!,"AAAAAG///0E=")</f>
        <v>#REF!</v>
      </c>
      <c r="BO258" t="e">
        <f>AND(#REF!,"AAAAAG///0I=")</f>
        <v>#REF!</v>
      </c>
      <c r="BP258" t="e">
        <f>AND(#REF!,"AAAAAG///0M=")</f>
        <v>#REF!</v>
      </c>
      <c r="BQ258" t="e">
        <f>AND(#REF!,"AAAAAG///0Q=")</f>
        <v>#REF!</v>
      </c>
      <c r="BR258" t="e">
        <f>AND(#REF!,"AAAAAG///0U=")</f>
        <v>#REF!</v>
      </c>
      <c r="BS258" t="e">
        <f>AND(#REF!,"AAAAAG///0Y=")</f>
        <v>#REF!</v>
      </c>
      <c r="BT258" t="e">
        <f>AND(#REF!,"AAAAAG///0c=")</f>
        <v>#REF!</v>
      </c>
      <c r="BU258" t="e">
        <f>AND(#REF!,"AAAAAG///0g=")</f>
        <v>#REF!</v>
      </c>
      <c r="BV258" t="e">
        <f>AND(#REF!,"AAAAAG///0k=")</f>
        <v>#REF!</v>
      </c>
      <c r="BW258" t="e">
        <f>AND(#REF!,"AAAAAG///0o=")</f>
        <v>#REF!</v>
      </c>
      <c r="BX258" t="e">
        <f>AND(#REF!,"AAAAAG///0s=")</f>
        <v>#REF!</v>
      </c>
      <c r="BY258" t="e">
        <f>AND(#REF!,"AAAAAG///0w=")</f>
        <v>#REF!</v>
      </c>
      <c r="BZ258" t="e">
        <f>AND(#REF!,"AAAAAG///00=")</f>
        <v>#REF!</v>
      </c>
      <c r="CA258" t="e">
        <f>AND(#REF!,"AAAAAG///04=")</f>
        <v>#REF!</v>
      </c>
      <c r="CB258" t="e">
        <f>AND(#REF!,"AAAAAG///08=")</f>
        <v>#REF!</v>
      </c>
      <c r="CC258" t="e">
        <f>AND(#REF!,"AAAAAG///1A=")</f>
        <v>#REF!</v>
      </c>
      <c r="CD258" t="e">
        <f>AND(#REF!,"AAAAAG///1E=")</f>
        <v>#REF!</v>
      </c>
      <c r="CE258" t="e">
        <f>AND(#REF!,"AAAAAG///1I=")</f>
        <v>#REF!</v>
      </c>
      <c r="CF258" t="e">
        <f>AND(#REF!,"AAAAAG///1M=")</f>
        <v>#REF!</v>
      </c>
      <c r="CG258" t="e">
        <f>AND(#REF!,"AAAAAG///1Q=")</f>
        <v>#REF!</v>
      </c>
      <c r="CH258" t="e">
        <f>AND(#REF!,"AAAAAG///1U=")</f>
        <v>#REF!</v>
      </c>
      <c r="CI258" t="e">
        <f>AND(#REF!,"AAAAAG///1Y=")</f>
        <v>#REF!</v>
      </c>
      <c r="CJ258" t="e">
        <f>AND(#REF!,"AAAAAG///1c=")</f>
        <v>#REF!</v>
      </c>
      <c r="CK258" t="e">
        <f>AND(#REF!,"AAAAAG///1g=")</f>
        <v>#REF!</v>
      </c>
      <c r="CL258" t="e">
        <f>AND(#REF!,"AAAAAG///1k=")</f>
        <v>#REF!</v>
      </c>
      <c r="CM258" t="e">
        <f>AND(#REF!,"AAAAAG///1o=")</f>
        <v>#REF!</v>
      </c>
      <c r="CN258" t="e">
        <f>AND(#REF!,"AAAAAG///1s=")</f>
        <v>#REF!</v>
      </c>
      <c r="CO258" t="e">
        <f>AND(#REF!,"AAAAAG///1w=")</f>
        <v>#REF!</v>
      </c>
      <c r="CP258" t="e">
        <f>AND(#REF!,"AAAAAG///10=")</f>
        <v>#REF!</v>
      </c>
      <c r="CQ258" t="e">
        <f>AND(#REF!,"AAAAAG///14=")</f>
        <v>#REF!</v>
      </c>
      <c r="CR258" t="e">
        <f>AND(#REF!,"AAAAAG///18=")</f>
        <v>#REF!</v>
      </c>
      <c r="CS258" t="e">
        <f>AND(#REF!,"AAAAAG///2A=")</f>
        <v>#REF!</v>
      </c>
      <c r="CT258" t="e">
        <f>AND(#REF!,"AAAAAG///2E=")</f>
        <v>#REF!</v>
      </c>
      <c r="CU258" t="e">
        <f>AND(#REF!,"AAAAAG///2I=")</f>
        <v>#REF!</v>
      </c>
      <c r="CV258" t="e">
        <f>AND(#REF!,"AAAAAG///2M=")</f>
        <v>#REF!</v>
      </c>
      <c r="CW258" t="e">
        <f>AND(#REF!,"AAAAAG///2Q=")</f>
        <v>#REF!</v>
      </c>
      <c r="CX258" t="e">
        <f>AND(#REF!,"AAAAAG///2U=")</f>
        <v>#REF!</v>
      </c>
      <c r="CY258" t="e">
        <f>AND(#REF!,"AAAAAG///2Y=")</f>
        <v>#REF!</v>
      </c>
      <c r="CZ258" t="e">
        <f>AND(#REF!,"AAAAAG///2c=")</f>
        <v>#REF!</v>
      </c>
      <c r="DA258" t="e">
        <f>AND(#REF!,"AAAAAG///2g=")</f>
        <v>#REF!</v>
      </c>
      <c r="DB258" t="e">
        <f>AND(#REF!,"AAAAAG///2k=")</f>
        <v>#REF!</v>
      </c>
      <c r="DC258" t="e">
        <f>AND(#REF!,"AAAAAG///2o=")</f>
        <v>#REF!</v>
      </c>
      <c r="DD258" t="e">
        <f>AND(#REF!,"AAAAAG///2s=")</f>
        <v>#REF!</v>
      </c>
      <c r="DE258" t="e">
        <f>AND(#REF!,"AAAAAG///2w=")</f>
        <v>#REF!</v>
      </c>
      <c r="DF258" t="e">
        <f>AND(#REF!,"AAAAAG///20=")</f>
        <v>#REF!</v>
      </c>
      <c r="DG258" t="e">
        <f>AND(#REF!,"AAAAAG///24=")</f>
        <v>#REF!</v>
      </c>
      <c r="DH258" t="e">
        <f>AND(#REF!,"AAAAAG///28=")</f>
        <v>#REF!</v>
      </c>
      <c r="DI258" t="e">
        <f>AND(#REF!,"AAAAAG///3A=")</f>
        <v>#REF!</v>
      </c>
      <c r="DJ258" t="e">
        <f>AND(#REF!,"AAAAAG///3E=")</f>
        <v>#REF!</v>
      </c>
      <c r="DK258" t="e">
        <f>AND(#REF!,"AAAAAG///3I=")</f>
        <v>#REF!</v>
      </c>
      <c r="DL258" t="e">
        <f>AND(#REF!,"AAAAAG///3M=")</f>
        <v>#REF!</v>
      </c>
      <c r="DM258" t="e">
        <f>AND(#REF!,"AAAAAG///3Q=")</f>
        <v>#REF!</v>
      </c>
      <c r="DN258" t="e">
        <f>AND(#REF!,"AAAAAG///3U=")</f>
        <v>#REF!</v>
      </c>
      <c r="DO258" t="e">
        <f>AND(#REF!,"AAAAAG///3Y=")</f>
        <v>#REF!</v>
      </c>
      <c r="DP258" t="e">
        <f>AND(#REF!,"AAAAAG///3c=")</f>
        <v>#REF!</v>
      </c>
      <c r="DQ258" t="e">
        <f>AND(#REF!,"AAAAAG///3g=")</f>
        <v>#REF!</v>
      </c>
      <c r="DR258" t="e">
        <f>AND(#REF!,"AAAAAG///3k=")</f>
        <v>#REF!</v>
      </c>
      <c r="DS258" t="e">
        <f>AND(#REF!,"AAAAAG///3o=")</f>
        <v>#REF!</v>
      </c>
      <c r="DT258" t="e">
        <f>AND(#REF!,"AAAAAG///3s=")</f>
        <v>#REF!</v>
      </c>
      <c r="DU258" t="e">
        <f>AND(#REF!,"AAAAAG///3w=")</f>
        <v>#REF!</v>
      </c>
      <c r="DV258" t="e">
        <f>AND(#REF!,"AAAAAG///30=")</f>
        <v>#REF!</v>
      </c>
      <c r="DW258" t="e">
        <f>AND(#REF!,"AAAAAG///34=")</f>
        <v>#REF!</v>
      </c>
      <c r="DX258" t="e">
        <f>AND(#REF!,"AAAAAG///38=")</f>
        <v>#REF!</v>
      </c>
      <c r="DY258" t="e">
        <f>AND(#REF!,"AAAAAG///4A=")</f>
        <v>#REF!</v>
      </c>
      <c r="DZ258" t="e">
        <f>AND(#REF!,"AAAAAG///4E=")</f>
        <v>#REF!</v>
      </c>
      <c r="EA258" t="e">
        <f>AND(#REF!,"AAAAAG///4I=")</f>
        <v>#REF!</v>
      </c>
      <c r="EB258" t="e">
        <f>AND(#REF!,"AAAAAG///4M=")</f>
        <v>#REF!</v>
      </c>
      <c r="EC258" t="e">
        <f>AND(#REF!,"AAAAAG///4Q=")</f>
        <v>#REF!</v>
      </c>
      <c r="ED258" t="e">
        <f>AND(#REF!,"AAAAAG///4U=")</f>
        <v>#REF!</v>
      </c>
      <c r="EE258" t="e">
        <f>AND(#REF!,"AAAAAG///4Y=")</f>
        <v>#REF!</v>
      </c>
      <c r="EF258" t="e">
        <f>AND(#REF!,"AAAAAG///4c=")</f>
        <v>#REF!</v>
      </c>
      <c r="EG258" t="e">
        <f>AND(#REF!,"AAAAAG///4g=")</f>
        <v>#REF!</v>
      </c>
      <c r="EH258" t="e">
        <f>AND(#REF!,"AAAAAG///4k=")</f>
        <v>#REF!</v>
      </c>
      <c r="EI258" t="e">
        <f>AND(#REF!,"AAAAAG///4o=")</f>
        <v>#REF!</v>
      </c>
      <c r="EJ258" t="e">
        <f>AND(#REF!,"AAAAAG///4s=")</f>
        <v>#REF!</v>
      </c>
      <c r="EK258" t="e">
        <f>AND(#REF!,"AAAAAG///4w=")</f>
        <v>#REF!</v>
      </c>
      <c r="EL258" t="e">
        <f>AND(#REF!,"AAAAAG///40=")</f>
        <v>#REF!</v>
      </c>
      <c r="EM258" t="e">
        <f>AND(#REF!,"AAAAAG///44=")</f>
        <v>#REF!</v>
      </c>
      <c r="EN258" t="e">
        <f>AND(#REF!,"AAAAAG///48=")</f>
        <v>#REF!</v>
      </c>
      <c r="EO258" t="e">
        <f>AND(#REF!,"AAAAAG///5A=")</f>
        <v>#REF!</v>
      </c>
      <c r="EP258" t="e">
        <f>AND(#REF!,"AAAAAG///5E=")</f>
        <v>#REF!</v>
      </c>
      <c r="EQ258" t="e">
        <f>AND(#REF!,"AAAAAG///5I=")</f>
        <v>#REF!</v>
      </c>
      <c r="ER258" t="e">
        <f>AND(#REF!,"AAAAAG///5M=")</f>
        <v>#REF!</v>
      </c>
      <c r="ES258" t="e">
        <f>AND(#REF!,"AAAAAG///5Q=")</f>
        <v>#REF!</v>
      </c>
      <c r="ET258" t="e">
        <f>AND(#REF!,"AAAAAG///5U=")</f>
        <v>#REF!</v>
      </c>
      <c r="EU258" t="e">
        <f>AND(#REF!,"AAAAAG///5Y=")</f>
        <v>#REF!</v>
      </c>
      <c r="EV258" t="e">
        <f>AND(#REF!,"AAAAAG///5c=")</f>
        <v>#REF!</v>
      </c>
      <c r="EW258" t="e">
        <f>AND(#REF!,"AAAAAG///5g=")</f>
        <v>#REF!</v>
      </c>
      <c r="EX258" t="e">
        <f>AND(#REF!,"AAAAAG///5k=")</f>
        <v>#REF!</v>
      </c>
      <c r="EY258" t="e">
        <f>AND(#REF!,"AAAAAG///5o=")</f>
        <v>#REF!</v>
      </c>
      <c r="EZ258" t="e">
        <f>AND(#REF!,"AAAAAG///5s=")</f>
        <v>#REF!</v>
      </c>
      <c r="FA258" t="e">
        <f>AND(#REF!,"AAAAAG///5w=")</f>
        <v>#REF!</v>
      </c>
      <c r="FB258" t="e">
        <f>AND(#REF!,"AAAAAG///50=")</f>
        <v>#REF!</v>
      </c>
      <c r="FC258" t="e">
        <f>AND(#REF!,"AAAAAG///54=")</f>
        <v>#REF!</v>
      </c>
      <c r="FD258" t="e">
        <f>AND(#REF!,"AAAAAG///58=")</f>
        <v>#REF!</v>
      </c>
      <c r="FE258" t="e">
        <f>AND(#REF!,"AAAAAG///6A=")</f>
        <v>#REF!</v>
      </c>
      <c r="FF258" t="e">
        <f>AND(#REF!,"AAAAAG///6E=")</f>
        <v>#REF!</v>
      </c>
      <c r="FG258" t="e">
        <f>AND(#REF!,"AAAAAG///6I=")</f>
        <v>#REF!</v>
      </c>
      <c r="FH258" t="e">
        <f>AND(#REF!,"AAAAAG///6M=")</f>
        <v>#REF!</v>
      </c>
      <c r="FI258" t="e">
        <f>AND(#REF!,"AAAAAG///6Q=")</f>
        <v>#REF!</v>
      </c>
      <c r="FJ258" t="e">
        <f>AND(#REF!,"AAAAAG///6U=")</f>
        <v>#REF!</v>
      </c>
      <c r="FK258" t="e">
        <f>AND(#REF!,"AAAAAG///6Y=")</f>
        <v>#REF!</v>
      </c>
      <c r="FL258" t="e">
        <f>AND(#REF!,"AAAAAG///6c=")</f>
        <v>#REF!</v>
      </c>
      <c r="FM258" t="e">
        <f>AND(#REF!,"AAAAAG///6g=")</f>
        <v>#REF!</v>
      </c>
      <c r="FN258" t="e">
        <f>AND(#REF!,"AAAAAG///6k=")</f>
        <v>#REF!</v>
      </c>
      <c r="FO258" t="e">
        <f>AND(#REF!,"AAAAAG///6o=")</f>
        <v>#REF!</v>
      </c>
      <c r="FP258" t="e">
        <f>AND(#REF!,"AAAAAG///6s=")</f>
        <v>#REF!</v>
      </c>
      <c r="FQ258" t="e">
        <f>AND(#REF!,"AAAAAG///6w=")</f>
        <v>#REF!</v>
      </c>
      <c r="FR258" t="e">
        <f>AND(#REF!,"AAAAAG///60=")</f>
        <v>#REF!</v>
      </c>
      <c r="FS258" t="e">
        <f>AND(#REF!,"AAAAAG///64=")</f>
        <v>#REF!</v>
      </c>
      <c r="FT258" t="e">
        <f>AND(#REF!,"AAAAAG///68=")</f>
        <v>#REF!</v>
      </c>
      <c r="FU258" t="e">
        <f>AND(#REF!,"AAAAAG///7A=")</f>
        <v>#REF!</v>
      </c>
      <c r="FV258" t="e">
        <f>AND(#REF!,"AAAAAG///7E=")</f>
        <v>#REF!</v>
      </c>
      <c r="FW258" t="e">
        <f>AND(#REF!,"AAAAAG///7I=")</f>
        <v>#REF!</v>
      </c>
      <c r="FX258" t="e">
        <f>AND(#REF!,"AAAAAG///7M=")</f>
        <v>#REF!</v>
      </c>
      <c r="FY258" t="e">
        <f>AND(#REF!,"AAAAAG///7Q=")</f>
        <v>#REF!</v>
      </c>
      <c r="FZ258" t="e">
        <f>AND(#REF!,"AAAAAG///7U=")</f>
        <v>#REF!</v>
      </c>
      <c r="GA258" t="e">
        <f>AND(#REF!,"AAAAAG///7Y=")</f>
        <v>#REF!</v>
      </c>
      <c r="GB258" t="e">
        <f>AND(#REF!,"AAAAAG///7c=")</f>
        <v>#REF!</v>
      </c>
      <c r="GC258" t="e">
        <f>AND(#REF!,"AAAAAG///7g=")</f>
        <v>#REF!</v>
      </c>
      <c r="GD258" t="e">
        <f>AND(#REF!,"AAAAAG///7k=")</f>
        <v>#REF!</v>
      </c>
      <c r="GE258" t="e">
        <f>AND(#REF!,"AAAAAG///7o=")</f>
        <v>#REF!</v>
      </c>
      <c r="GF258" t="e">
        <f>AND(#REF!,"AAAAAG///7s=")</f>
        <v>#REF!</v>
      </c>
      <c r="GG258" t="e">
        <f>AND(#REF!,"AAAAAG///7w=")</f>
        <v>#REF!</v>
      </c>
      <c r="GH258" t="e">
        <f>AND(#REF!,"AAAAAG///70=")</f>
        <v>#REF!</v>
      </c>
      <c r="GI258" t="e">
        <f>AND(#REF!,"AAAAAG///74=")</f>
        <v>#REF!</v>
      </c>
      <c r="GJ258" t="e">
        <f>AND(#REF!,"AAAAAG///78=")</f>
        <v>#REF!</v>
      </c>
      <c r="GK258" t="e">
        <f>AND(#REF!,"AAAAAG///8A=")</f>
        <v>#REF!</v>
      </c>
      <c r="GL258" t="e">
        <f>AND(#REF!,"AAAAAG///8E=")</f>
        <v>#REF!</v>
      </c>
      <c r="GM258" t="e">
        <f>AND(#REF!,"AAAAAG///8I=")</f>
        <v>#REF!</v>
      </c>
      <c r="GN258" t="e">
        <f>AND(#REF!,"AAAAAG///8M=")</f>
        <v>#REF!</v>
      </c>
      <c r="GO258" t="e">
        <f>AND(#REF!,"AAAAAG///8Q=")</f>
        <v>#REF!</v>
      </c>
      <c r="GP258" t="e">
        <f>AND(#REF!,"AAAAAG///8U=")</f>
        <v>#REF!</v>
      </c>
      <c r="GQ258" t="e">
        <f>AND(#REF!,"AAAAAG///8Y=")</f>
        <v>#REF!</v>
      </c>
      <c r="GR258" t="e">
        <f>AND(#REF!,"AAAAAG///8c=")</f>
        <v>#REF!</v>
      </c>
      <c r="GS258" t="e">
        <f>AND(#REF!,"AAAAAG///8g=")</f>
        <v>#REF!</v>
      </c>
      <c r="GT258" t="e">
        <f>AND(#REF!,"AAAAAG///8k=")</f>
        <v>#REF!</v>
      </c>
      <c r="GU258" t="e">
        <f>AND(#REF!,"AAAAAG///8o=")</f>
        <v>#REF!</v>
      </c>
      <c r="GV258" t="e">
        <f>AND(#REF!,"AAAAAG///8s=")</f>
        <v>#REF!</v>
      </c>
      <c r="GW258" t="e">
        <f>AND(#REF!,"AAAAAG///8w=")</f>
        <v>#REF!</v>
      </c>
      <c r="GX258" t="e">
        <f>AND(#REF!,"AAAAAG///80=")</f>
        <v>#REF!</v>
      </c>
      <c r="GY258" t="e">
        <f>AND(#REF!,"AAAAAG///84=")</f>
        <v>#REF!</v>
      </c>
      <c r="GZ258" t="e">
        <f>AND(#REF!,"AAAAAG///88=")</f>
        <v>#REF!</v>
      </c>
      <c r="HA258" t="e">
        <f>AND(#REF!,"AAAAAG///9A=")</f>
        <v>#REF!</v>
      </c>
      <c r="HB258" t="e">
        <f>AND(#REF!,"AAAAAG///9E=")</f>
        <v>#REF!</v>
      </c>
      <c r="HC258" t="e">
        <f>AND(#REF!,"AAAAAG///9I=")</f>
        <v>#REF!</v>
      </c>
      <c r="HD258" t="e">
        <f>AND(#REF!,"AAAAAG///9M=")</f>
        <v>#REF!</v>
      </c>
      <c r="HE258" t="e">
        <f>AND(#REF!,"AAAAAG///9Q=")</f>
        <v>#REF!</v>
      </c>
      <c r="HF258" t="e">
        <f>AND(#REF!,"AAAAAG///9U=")</f>
        <v>#REF!</v>
      </c>
      <c r="HG258" t="e">
        <f>AND(#REF!,"AAAAAG///9Y=")</f>
        <v>#REF!</v>
      </c>
      <c r="HH258" t="e">
        <f>AND(#REF!,"AAAAAG///9c=")</f>
        <v>#REF!</v>
      </c>
      <c r="HI258" t="e">
        <f>AND(#REF!,"AAAAAG///9g=")</f>
        <v>#REF!</v>
      </c>
      <c r="HJ258" t="e">
        <f>AND(#REF!,"AAAAAG///9k=")</f>
        <v>#REF!</v>
      </c>
      <c r="HK258" t="e">
        <f>AND(#REF!,"AAAAAG///9o=")</f>
        <v>#REF!</v>
      </c>
      <c r="HL258" t="e">
        <f>AND(#REF!,"AAAAAG///9s=")</f>
        <v>#REF!</v>
      </c>
      <c r="HM258" t="e">
        <f>AND(#REF!,"AAAAAG///9w=")</f>
        <v>#REF!</v>
      </c>
      <c r="HN258" t="e">
        <f>AND(#REF!,"AAAAAG///90=")</f>
        <v>#REF!</v>
      </c>
      <c r="HO258" t="e">
        <f>AND(#REF!,"AAAAAG///94=")</f>
        <v>#REF!</v>
      </c>
      <c r="HP258" t="e">
        <f>AND(#REF!,"AAAAAG///98=")</f>
        <v>#REF!</v>
      </c>
      <c r="HQ258" t="e">
        <f>AND(#REF!,"AAAAAG///+A=")</f>
        <v>#REF!</v>
      </c>
      <c r="HR258" t="e">
        <f>AND(#REF!,"AAAAAG///+E=")</f>
        <v>#REF!</v>
      </c>
      <c r="HS258" t="e">
        <f>AND(#REF!,"AAAAAG///+I=")</f>
        <v>#REF!</v>
      </c>
      <c r="HT258" t="e">
        <f>AND(#REF!,"AAAAAG///+M=")</f>
        <v>#REF!</v>
      </c>
      <c r="HU258" t="e">
        <f>AND(#REF!,"AAAAAG///+Q=")</f>
        <v>#REF!</v>
      </c>
      <c r="HV258" t="e">
        <f>AND(#REF!,"AAAAAG///+U=")</f>
        <v>#REF!</v>
      </c>
      <c r="HW258" t="e">
        <f>AND(#REF!,"AAAAAG///+Y=")</f>
        <v>#REF!</v>
      </c>
      <c r="HX258" t="e">
        <f>AND(#REF!,"AAAAAG///+c=")</f>
        <v>#REF!</v>
      </c>
      <c r="HY258" t="e">
        <f>AND(#REF!,"AAAAAG///+g=")</f>
        <v>#REF!</v>
      </c>
      <c r="HZ258" t="e">
        <f>AND(#REF!,"AAAAAG///+k=")</f>
        <v>#REF!</v>
      </c>
      <c r="IA258" t="e">
        <f>AND(#REF!,"AAAAAG///+o=")</f>
        <v>#REF!</v>
      </c>
      <c r="IB258" t="e">
        <f>AND(#REF!,"AAAAAG///+s=")</f>
        <v>#REF!</v>
      </c>
      <c r="IC258" t="e">
        <f>AND(#REF!,"AAAAAG///+w=")</f>
        <v>#REF!</v>
      </c>
      <c r="ID258" t="e">
        <f>AND(#REF!,"AAAAAG///+0=")</f>
        <v>#REF!</v>
      </c>
      <c r="IE258" t="e">
        <f>AND(#REF!,"AAAAAG///+4=")</f>
        <v>#REF!</v>
      </c>
      <c r="IF258" t="e">
        <f>AND(#REF!,"AAAAAG///+8=")</f>
        <v>#REF!</v>
      </c>
      <c r="IG258" t="e">
        <f>AND(#REF!,"AAAAAG////A=")</f>
        <v>#REF!</v>
      </c>
      <c r="IH258" t="e">
        <f>AND(#REF!,"AAAAAG////E=")</f>
        <v>#REF!</v>
      </c>
      <c r="II258" t="e">
        <f>AND(#REF!,"AAAAAG////I=")</f>
        <v>#REF!</v>
      </c>
      <c r="IJ258" t="e">
        <f>AND(#REF!,"AAAAAG////M=")</f>
        <v>#REF!</v>
      </c>
      <c r="IK258" t="e">
        <f>AND(#REF!,"AAAAAG////Q=")</f>
        <v>#REF!</v>
      </c>
      <c r="IL258" t="e">
        <f>AND(#REF!,"AAAAAG////U=")</f>
        <v>#REF!</v>
      </c>
      <c r="IM258" t="e">
        <f>AND(#REF!,"AAAAAG////Y=")</f>
        <v>#REF!</v>
      </c>
      <c r="IN258" t="e">
        <f>AND(#REF!,"AAAAAG////c=")</f>
        <v>#REF!</v>
      </c>
      <c r="IO258" t="e">
        <f>AND(#REF!,"AAAAAG////g=")</f>
        <v>#REF!</v>
      </c>
      <c r="IP258" t="e">
        <f>AND(#REF!,"AAAAAG////k=")</f>
        <v>#REF!</v>
      </c>
      <c r="IQ258" t="e">
        <f>AND(#REF!,"AAAAAG////o=")</f>
        <v>#REF!</v>
      </c>
      <c r="IR258" t="e">
        <f>AND(#REF!,"AAAAAG////s=")</f>
        <v>#REF!</v>
      </c>
      <c r="IS258" t="e">
        <f>AND(#REF!,"AAAAAG////w=")</f>
        <v>#REF!</v>
      </c>
      <c r="IT258" t="e">
        <f>AND(#REF!,"AAAAAG////0=")</f>
        <v>#REF!</v>
      </c>
      <c r="IU258" t="e">
        <f>AND(#REF!,"AAAAAG////4=")</f>
        <v>#REF!</v>
      </c>
      <c r="IV258" t="e">
        <f>AND(#REF!,"AAAAAG////8=")</f>
        <v>#REF!</v>
      </c>
    </row>
    <row r="259" spans="1:256">
      <c r="A259" t="e">
        <f>AND(#REF!,"AAAAADXj3wA=")</f>
        <v>#REF!</v>
      </c>
      <c r="B259" t="e">
        <f>AND(#REF!,"AAAAADXj3wE=")</f>
        <v>#REF!</v>
      </c>
      <c r="C259" t="e">
        <f>AND(#REF!,"AAAAADXj3wI=")</f>
        <v>#REF!</v>
      </c>
      <c r="D259" t="e">
        <f>AND(#REF!,"AAAAADXj3wM=")</f>
        <v>#REF!</v>
      </c>
      <c r="E259" t="e">
        <f>AND(#REF!,"AAAAADXj3wQ=")</f>
        <v>#REF!</v>
      </c>
      <c r="F259" t="e">
        <f>AND(#REF!,"AAAAADXj3wU=")</f>
        <v>#REF!</v>
      </c>
      <c r="G259" t="e">
        <f>AND(#REF!,"AAAAADXj3wY=")</f>
        <v>#REF!</v>
      </c>
      <c r="H259" t="e">
        <f>AND(#REF!,"AAAAADXj3wc=")</f>
        <v>#REF!</v>
      </c>
      <c r="I259" t="e">
        <f>AND(#REF!,"AAAAADXj3wg=")</f>
        <v>#REF!</v>
      </c>
      <c r="J259" t="e">
        <f>AND(#REF!,"AAAAADXj3wk=")</f>
        <v>#REF!</v>
      </c>
      <c r="K259" t="e">
        <f>AND(#REF!,"AAAAADXj3wo=")</f>
        <v>#REF!</v>
      </c>
      <c r="L259" t="e">
        <f>AND(#REF!,"AAAAADXj3ws=")</f>
        <v>#REF!</v>
      </c>
      <c r="M259" t="e">
        <f>AND(#REF!,"AAAAADXj3ww=")</f>
        <v>#REF!</v>
      </c>
      <c r="N259" t="e">
        <f>AND(#REF!,"AAAAADXj3w0=")</f>
        <v>#REF!</v>
      </c>
      <c r="O259" t="e">
        <f>IF(#REF!,"AAAAADXj3w4=",0)</f>
        <v>#REF!</v>
      </c>
      <c r="P259" t="e">
        <f>AND(#REF!,"AAAAADXj3w8=")</f>
        <v>#REF!</v>
      </c>
      <c r="Q259" t="e">
        <f>AND(#REF!,"AAAAADXj3xA=")</f>
        <v>#REF!</v>
      </c>
      <c r="R259" t="e">
        <f>AND(#REF!,"AAAAADXj3xE=")</f>
        <v>#REF!</v>
      </c>
      <c r="S259" t="e">
        <f>AND(#REF!,"AAAAADXj3xI=")</f>
        <v>#REF!</v>
      </c>
      <c r="T259" t="e">
        <f>AND(#REF!,"AAAAADXj3xM=")</f>
        <v>#REF!</v>
      </c>
      <c r="U259" t="e">
        <f>AND(#REF!,"AAAAADXj3xQ=")</f>
        <v>#REF!</v>
      </c>
      <c r="V259" t="e">
        <f>AND(#REF!,"AAAAADXj3xU=")</f>
        <v>#REF!</v>
      </c>
      <c r="W259" t="e">
        <f>AND(#REF!,"AAAAADXj3xY=")</f>
        <v>#REF!</v>
      </c>
      <c r="X259" t="e">
        <f>AND(#REF!,"AAAAADXj3xc=")</f>
        <v>#REF!</v>
      </c>
      <c r="Y259" t="e">
        <f>AND(#REF!,"AAAAADXj3xg=")</f>
        <v>#REF!</v>
      </c>
      <c r="Z259" t="e">
        <f>AND(#REF!,"AAAAADXj3xk=")</f>
        <v>#REF!</v>
      </c>
      <c r="AA259" t="e">
        <f>AND(#REF!,"AAAAADXj3xo=")</f>
        <v>#REF!</v>
      </c>
      <c r="AB259" t="e">
        <f>AND(#REF!,"AAAAADXj3xs=")</f>
        <v>#REF!</v>
      </c>
      <c r="AC259" t="e">
        <f>AND(#REF!,"AAAAADXj3xw=")</f>
        <v>#REF!</v>
      </c>
      <c r="AD259" t="e">
        <f>AND(#REF!,"AAAAADXj3x0=")</f>
        <v>#REF!</v>
      </c>
      <c r="AE259" t="e">
        <f>AND(#REF!,"AAAAADXj3x4=")</f>
        <v>#REF!</v>
      </c>
      <c r="AF259" t="e">
        <f>AND(#REF!,"AAAAADXj3x8=")</f>
        <v>#REF!</v>
      </c>
      <c r="AG259" t="e">
        <f>AND(#REF!,"AAAAADXj3yA=")</f>
        <v>#REF!</v>
      </c>
      <c r="AH259" t="e">
        <f>AND(#REF!,"AAAAADXj3yE=")</f>
        <v>#REF!</v>
      </c>
      <c r="AI259" t="e">
        <f>AND(#REF!,"AAAAADXj3yI=")</f>
        <v>#REF!</v>
      </c>
      <c r="AJ259" t="e">
        <f>AND(#REF!,"AAAAADXj3yM=")</f>
        <v>#REF!</v>
      </c>
      <c r="AK259" t="e">
        <f>AND(#REF!,"AAAAADXj3yQ=")</f>
        <v>#REF!</v>
      </c>
      <c r="AL259" t="e">
        <f>AND(#REF!,"AAAAADXj3yU=")</f>
        <v>#REF!</v>
      </c>
      <c r="AM259" t="e">
        <f>AND(#REF!,"AAAAADXj3yY=")</f>
        <v>#REF!</v>
      </c>
      <c r="AN259" t="e">
        <f>AND(#REF!,"AAAAADXj3yc=")</f>
        <v>#REF!</v>
      </c>
      <c r="AO259" t="e">
        <f>AND(#REF!,"AAAAADXj3yg=")</f>
        <v>#REF!</v>
      </c>
      <c r="AP259" t="e">
        <f>AND(#REF!,"AAAAADXj3yk=")</f>
        <v>#REF!</v>
      </c>
      <c r="AQ259" t="e">
        <f>AND(#REF!,"AAAAADXj3yo=")</f>
        <v>#REF!</v>
      </c>
      <c r="AR259" t="e">
        <f>AND(#REF!,"AAAAADXj3ys=")</f>
        <v>#REF!</v>
      </c>
      <c r="AS259" t="e">
        <f>AND(#REF!,"AAAAADXj3yw=")</f>
        <v>#REF!</v>
      </c>
      <c r="AT259" t="e">
        <f>AND(#REF!,"AAAAADXj3y0=")</f>
        <v>#REF!</v>
      </c>
      <c r="AU259" t="e">
        <f>AND(#REF!,"AAAAADXj3y4=")</f>
        <v>#REF!</v>
      </c>
      <c r="AV259" t="e">
        <f>AND(#REF!,"AAAAADXj3y8=")</f>
        <v>#REF!</v>
      </c>
      <c r="AW259" t="e">
        <f>AND(#REF!,"AAAAADXj3zA=")</f>
        <v>#REF!</v>
      </c>
      <c r="AX259" t="e">
        <f>AND(#REF!,"AAAAADXj3zE=")</f>
        <v>#REF!</v>
      </c>
      <c r="AY259" t="e">
        <f>AND(#REF!,"AAAAADXj3zI=")</f>
        <v>#REF!</v>
      </c>
      <c r="AZ259" t="e">
        <f>AND(#REF!,"AAAAADXj3zM=")</f>
        <v>#REF!</v>
      </c>
      <c r="BA259" t="e">
        <f>AND(#REF!,"AAAAADXj3zQ=")</f>
        <v>#REF!</v>
      </c>
      <c r="BB259" t="e">
        <f>AND(#REF!,"AAAAADXj3zU=")</f>
        <v>#REF!</v>
      </c>
      <c r="BC259" t="e">
        <f>AND(#REF!,"AAAAADXj3zY=")</f>
        <v>#REF!</v>
      </c>
      <c r="BD259" t="e">
        <f>AND(#REF!,"AAAAADXj3zc=")</f>
        <v>#REF!</v>
      </c>
      <c r="BE259" t="e">
        <f>AND(#REF!,"AAAAADXj3zg=")</f>
        <v>#REF!</v>
      </c>
      <c r="BF259" t="e">
        <f>AND(#REF!,"AAAAADXj3zk=")</f>
        <v>#REF!</v>
      </c>
      <c r="BG259" t="e">
        <f>AND(#REF!,"AAAAADXj3zo=")</f>
        <v>#REF!</v>
      </c>
      <c r="BH259" t="e">
        <f>AND(#REF!,"AAAAADXj3zs=")</f>
        <v>#REF!</v>
      </c>
      <c r="BI259" t="e">
        <f>AND(#REF!,"AAAAADXj3zw=")</f>
        <v>#REF!</v>
      </c>
      <c r="BJ259" t="e">
        <f>AND(#REF!,"AAAAADXj3z0=")</f>
        <v>#REF!</v>
      </c>
      <c r="BK259" t="e">
        <f>AND(#REF!,"AAAAADXj3z4=")</f>
        <v>#REF!</v>
      </c>
      <c r="BL259" t="e">
        <f>AND(#REF!,"AAAAADXj3z8=")</f>
        <v>#REF!</v>
      </c>
      <c r="BM259" t="e">
        <f>AND(#REF!,"AAAAADXj30A=")</f>
        <v>#REF!</v>
      </c>
      <c r="BN259" t="e">
        <f>AND(#REF!,"AAAAADXj30E=")</f>
        <v>#REF!</v>
      </c>
      <c r="BO259" t="e">
        <f>AND(#REF!,"AAAAADXj30I=")</f>
        <v>#REF!</v>
      </c>
      <c r="BP259" t="e">
        <f>AND(#REF!,"AAAAADXj30M=")</f>
        <v>#REF!</v>
      </c>
      <c r="BQ259" t="e">
        <f>AND(#REF!,"AAAAADXj30Q=")</f>
        <v>#REF!</v>
      </c>
      <c r="BR259" t="e">
        <f>AND(#REF!,"AAAAADXj30U=")</f>
        <v>#REF!</v>
      </c>
      <c r="BS259" t="e">
        <f>AND(#REF!,"AAAAADXj30Y=")</f>
        <v>#REF!</v>
      </c>
      <c r="BT259" t="e">
        <f>AND(#REF!,"AAAAADXj30c=")</f>
        <v>#REF!</v>
      </c>
      <c r="BU259" t="e">
        <f>AND(#REF!,"AAAAADXj30g=")</f>
        <v>#REF!</v>
      </c>
      <c r="BV259" t="e">
        <f>AND(#REF!,"AAAAADXj30k=")</f>
        <v>#REF!</v>
      </c>
      <c r="BW259" t="e">
        <f>AND(#REF!,"AAAAADXj30o=")</f>
        <v>#REF!</v>
      </c>
      <c r="BX259" t="e">
        <f>AND(#REF!,"AAAAADXj30s=")</f>
        <v>#REF!</v>
      </c>
      <c r="BY259" t="e">
        <f>AND(#REF!,"AAAAADXj30w=")</f>
        <v>#REF!</v>
      </c>
      <c r="BZ259" t="e">
        <f>AND(#REF!,"AAAAADXj300=")</f>
        <v>#REF!</v>
      </c>
      <c r="CA259" t="e">
        <f>AND(#REF!,"AAAAADXj304=")</f>
        <v>#REF!</v>
      </c>
      <c r="CB259" t="e">
        <f>AND(#REF!,"AAAAADXj308=")</f>
        <v>#REF!</v>
      </c>
      <c r="CC259" t="e">
        <f>AND(#REF!,"AAAAADXj31A=")</f>
        <v>#REF!</v>
      </c>
      <c r="CD259" t="e">
        <f>AND(#REF!,"AAAAADXj31E=")</f>
        <v>#REF!</v>
      </c>
      <c r="CE259" t="e">
        <f>AND(#REF!,"AAAAADXj31I=")</f>
        <v>#REF!</v>
      </c>
      <c r="CF259" t="e">
        <f>AND(#REF!,"AAAAADXj31M=")</f>
        <v>#REF!</v>
      </c>
      <c r="CG259" t="e">
        <f>AND(#REF!,"AAAAADXj31Q=")</f>
        <v>#REF!</v>
      </c>
      <c r="CH259" t="e">
        <f>AND(#REF!,"AAAAADXj31U=")</f>
        <v>#REF!</v>
      </c>
      <c r="CI259" t="e">
        <f>AND(#REF!,"AAAAADXj31Y=")</f>
        <v>#REF!</v>
      </c>
      <c r="CJ259" t="e">
        <f>AND(#REF!,"AAAAADXj31c=")</f>
        <v>#REF!</v>
      </c>
      <c r="CK259" t="e">
        <f>AND(#REF!,"AAAAADXj31g=")</f>
        <v>#REF!</v>
      </c>
      <c r="CL259" t="e">
        <f>AND(#REF!,"AAAAADXj31k=")</f>
        <v>#REF!</v>
      </c>
      <c r="CM259" t="e">
        <f>AND(#REF!,"AAAAADXj31o=")</f>
        <v>#REF!</v>
      </c>
      <c r="CN259" t="e">
        <f>AND(#REF!,"AAAAADXj31s=")</f>
        <v>#REF!</v>
      </c>
      <c r="CO259" t="e">
        <f>AND(#REF!,"AAAAADXj31w=")</f>
        <v>#REF!</v>
      </c>
      <c r="CP259" t="e">
        <f>AND(#REF!,"AAAAADXj310=")</f>
        <v>#REF!</v>
      </c>
      <c r="CQ259" t="e">
        <f>AND(#REF!,"AAAAADXj314=")</f>
        <v>#REF!</v>
      </c>
      <c r="CR259" t="e">
        <f>AND(#REF!,"AAAAADXj318=")</f>
        <v>#REF!</v>
      </c>
      <c r="CS259" t="e">
        <f>AND(#REF!,"AAAAADXj32A=")</f>
        <v>#REF!</v>
      </c>
      <c r="CT259" t="e">
        <f>AND(#REF!,"AAAAADXj32E=")</f>
        <v>#REF!</v>
      </c>
      <c r="CU259" t="e">
        <f>AND(#REF!,"AAAAADXj32I=")</f>
        <v>#REF!</v>
      </c>
      <c r="CV259" t="e">
        <f>AND(#REF!,"AAAAADXj32M=")</f>
        <v>#REF!</v>
      </c>
      <c r="CW259" t="e">
        <f>AND(#REF!,"AAAAADXj32Q=")</f>
        <v>#REF!</v>
      </c>
      <c r="CX259" t="e">
        <f>AND(#REF!,"AAAAADXj32U=")</f>
        <v>#REF!</v>
      </c>
      <c r="CY259" t="e">
        <f>AND(#REF!,"AAAAADXj32Y=")</f>
        <v>#REF!</v>
      </c>
      <c r="CZ259" t="e">
        <f>AND(#REF!,"AAAAADXj32c=")</f>
        <v>#REF!</v>
      </c>
      <c r="DA259" t="e">
        <f>AND(#REF!,"AAAAADXj32g=")</f>
        <v>#REF!</v>
      </c>
      <c r="DB259" t="e">
        <f>AND(#REF!,"AAAAADXj32k=")</f>
        <v>#REF!</v>
      </c>
      <c r="DC259" t="e">
        <f>AND(#REF!,"AAAAADXj32o=")</f>
        <v>#REF!</v>
      </c>
      <c r="DD259" t="e">
        <f>AND(#REF!,"AAAAADXj32s=")</f>
        <v>#REF!</v>
      </c>
      <c r="DE259" t="e">
        <f>AND(#REF!,"AAAAADXj32w=")</f>
        <v>#REF!</v>
      </c>
      <c r="DF259" t="e">
        <f>AND(#REF!,"AAAAADXj320=")</f>
        <v>#REF!</v>
      </c>
      <c r="DG259" t="e">
        <f>AND(#REF!,"AAAAADXj324=")</f>
        <v>#REF!</v>
      </c>
      <c r="DH259" t="e">
        <f>AND(#REF!,"AAAAADXj328=")</f>
        <v>#REF!</v>
      </c>
      <c r="DI259" t="e">
        <f>AND(#REF!,"AAAAADXj33A=")</f>
        <v>#REF!</v>
      </c>
      <c r="DJ259" t="e">
        <f>AND(#REF!,"AAAAADXj33E=")</f>
        <v>#REF!</v>
      </c>
      <c r="DK259" t="e">
        <f>AND(#REF!,"AAAAADXj33I=")</f>
        <v>#REF!</v>
      </c>
      <c r="DL259" t="e">
        <f>AND(#REF!,"AAAAADXj33M=")</f>
        <v>#REF!</v>
      </c>
      <c r="DM259" t="e">
        <f>AND(#REF!,"AAAAADXj33Q=")</f>
        <v>#REF!</v>
      </c>
      <c r="DN259" t="e">
        <f>AND(#REF!,"AAAAADXj33U=")</f>
        <v>#REF!</v>
      </c>
      <c r="DO259" t="e">
        <f>AND(#REF!,"AAAAADXj33Y=")</f>
        <v>#REF!</v>
      </c>
      <c r="DP259" t="e">
        <f>AND(#REF!,"AAAAADXj33c=")</f>
        <v>#REF!</v>
      </c>
      <c r="DQ259" t="e">
        <f>AND(#REF!,"AAAAADXj33g=")</f>
        <v>#REF!</v>
      </c>
      <c r="DR259" t="e">
        <f>AND(#REF!,"AAAAADXj33k=")</f>
        <v>#REF!</v>
      </c>
      <c r="DS259" t="e">
        <f>AND(#REF!,"AAAAADXj33o=")</f>
        <v>#REF!</v>
      </c>
      <c r="DT259" t="e">
        <f>AND(#REF!,"AAAAADXj33s=")</f>
        <v>#REF!</v>
      </c>
      <c r="DU259" t="e">
        <f>AND(#REF!,"AAAAADXj33w=")</f>
        <v>#REF!</v>
      </c>
      <c r="DV259" t="e">
        <f>AND(#REF!,"AAAAADXj330=")</f>
        <v>#REF!</v>
      </c>
      <c r="DW259" t="e">
        <f>AND(#REF!,"AAAAADXj334=")</f>
        <v>#REF!</v>
      </c>
      <c r="DX259" t="e">
        <f>AND(#REF!,"AAAAADXj338=")</f>
        <v>#REF!</v>
      </c>
      <c r="DY259" t="e">
        <f>AND(#REF!,"AAAAADXj34A=")</f>
        <v>#REF!</v>
      </c>
      <c r="DZ259" t="e">
        <f>AND(#REF!,"AAAAADXj34E=")</f>
        <v>#REF!</v>
      </c>
      <c r="EA259" t="e">
        <f>AND(#REF!,"AAAAADXj34I=")</f>
        <v>#REF!</v>
      </c>
      <c r="EB259" t="e">
        <f>AND(#REF!,"AAAAADXj34M=")</f>
        <v>#REF!</v>
      </c>
      <c r="EC259" t="e">
        <f>AND(#REF!,"AAAAADXj34Q=")</f>
        <v>#REF!</v>
      </c>
      <c r="ED259" t="e">
        <f>AND(#REF!,"AAAAADXj34U=")</f>
        <v>#REF!</v>
      </c>
      <c r="EE259" t="e">
        <f>AND(#REF!,"AAAAADXj34Y=")</f>
        <v>#REF!</v>
      </c>
      <c r="EF259" t="e">
        <f>AND(#REF!,"AAAAADXj34c=")</f>
        <v>#REF!</v>
      </c>
      <c r="EG259" t="e">
        <f>AND(#REF!,"AAAAADXj34g=")</f>
        <v>#REF!</v>
      </c>
      <c r="EH259" t="e">
        <f>AND(#REF!,"AAAAADXj34k=")</f>
        <v>#REF!</v>
      </c>
      <c r="EI259" t="e">
        <f>AND(#REF!,"AAAAADXj34o=")</f>
        <v>#REF!</v>
      </c>
      <c r="EJ259" t="e">
        <f>AND(#REF!,"AAAAADXj34s=")</f>
        <v>#REF!</v>
      </c>
      <c r="EK259" t="e">
        <f>AND(#REF!,"AAAAADXj34w=")</f>
        <v>#REF!</v>
      </c>
      <c r="EL259" t="e">
        <f>AND(#REF!,"AAAAADXj340=")</f>
        <v>#REF!</v>
      </c>
      <c r="EM259" t="e">
        <f>AND(#REF!,"AAAAADXj344=")</f>
        <v>#REF!</v>
      </c>
      <c r="EN259" t="e">
        <f>AND(#REF!,"AAAAADXj348=")</f>
        <v>#REF!</v>
      </c>
      <c r="EO259" t="e">
        <f>AND(#REF!,"AAAAADXj35A=")</f>
        <v>#REF!</v>
      </c>
      <c r="EP259" t="e">
        <f>AND(#REF!,"AAAAADXj35E=")</f>
        <v>#REF!</v>
      </c>
      <c r="EQ259" t="e">
        <f>AND(#REF!,"AAAAADXj35I=")</f>
        <v>#REF!</v>
      </c>
      <c r="ER259" t="e">
        <f>AND(#REF!,"AAAAADXj35M=")</f>
        <v>#REF!</v>
      </c>
      <c r="ES259" t="e">
        <f>AND(#REF!,"AAAAADXj35Q=")</f>
        <v>#REF!</v>
      </c>
      <c r="ET259" t="e">
        <f>AND(#REF!,"AAAAADXj35U=")</f>
        <v>#REF!</v>
      </c>
      <c r="EU259" t="e">
        <f>AND(#REF!,"AAAAADXj35Y=")</f>
        <v>#REF!</v>
      </c>
      <c r="EV259" t="e">
        <f>AND(#REF!,"AAAAADXj35c=")</f>
        <v>#REF!</v>
      </c>
      <c r="EW259" t="e">
        <f>AND(#REF!,"AAAAADXj35g=")</f>
        <v>#REF!</v>
      </c>
      <c r="EX259" t="e">
        <f>AND(#REF!,"AAAAADXj35k=")</f>
        <v>#REF!</v>
      </c>
      <c r="EY259" t="e">
        <f>AND(#REF!,"AAAAADXj35o=")</f>
        <v>#REF!</v>
      </c>
      <c r="EZ259" t="e">
        <f>AND(#REF!,"AAAAADXj35s=")</f>
        <v>#REF!</v>
      </c>
      <c r="FA259" t="e">
        <f>AND(#REF!,"AAAAADXj35w=")</f>
        <v>#REF!</v>
      </c>
      <c r="FB259" t="e">
        <f>AND(#REF!,"AAAAADXj350=")</f>
        <v>#REF!</v>
      </c>
      <c r="FC259" t="e">
        <f>AND(#REF!,"AAAAADXj354=")</f>
        <v>#REF!</v>
      </c>
      <c r="FD259" t="e">
        <f>AND(#REF!,"AAAAADXj358=")</f>
        <v>#REF!</v>
      </c>
      <c r="FE259" t="e">
        <f>AND(#REF!,"AAAAADXj36A=")</f>
        <v>#REF!</v>
      </c>
      <c r="FF259" t="e">
        <f>AND(#REF!,"AAAAADXj36E=")</f>
        <v>#REF!</v>
      </c>
      <c r="FG259" t="e">
        <f>AND(#REF!,"AAAAADXj36I=")</f>
        <v>#REF!</v>
      </c>
      <c r="FH259" t="e">
        <f>AND(#REF!,"AAAAADXj36M=")</f>
        <v>#REF!</v>
      </c>
      <c r="FI259" t="e">
        <f>AND(#REF!,"AAAAADXj36Q=")</f>
        <v>#REF!</v>
      </c>
      <c r="FJ259" t="e">
        <f>AND(#REF!,"AAAAADXj36U=")</f>
        <v>#REF!</v>
      </c>
      <c r="FK259" t="e">
        <f>AND(#REF!,"AAAAADXj36Y=")</f>
        <v>#REF!</v>
      </c>
      <c r="FL259" t="e">
        <f>AND(#REF!,"AAAAADXj36c=")</f>
        <v>#REF!</v>
      </c>
      <c r="FM259" t="e">
        <f>AND(#REF!,"AAAAADXj36g=")</f>
        <v>#REF!</v>
      </c>
      <c r="FN259" t="e">
        <f>AND(#REF!,"AAAAADXj36k=")</f>
        <v>#REF!</v>
      </c>
      <c r="FO259" t="e">
        <f>AND(#REF!,"AAAAADXj36o=")</f>
        <v>#REF!</v>
      </c>
      <c r="FP259" t="e">
        <f>AND(#REF!,"AAAAADXj36s=")</f>
        <v>#REF!</v>
      </c>
      <c r="FQ259" t="e">
        <f>AND(#REF!,"AAAAADXj36w=")</f>
        <v>#REF!</v>
      </c>
      <c r="FR259" t="e">
        <f>AND(#REF!,"AAAAADXj360=")</f>
        <v>#REF!</v>
      </c>
      <c r="FS259" t="e">
        <f>AND(#REF!,"AAAAADXj364=")</f>
        <v>#REF!</v>
      </c>
      <c r="FT259" t="e">
        <f>AND(#REF!,"AAAAADXj368=")</f>
        <v>#REF!</v>
      </c>
      <c r="FU259" t="e">
        <f>AND(#REF!,"AAAAADXj37A=")</f>
        <v>#REF!</v>
      </c>
      <c r="FV259" t="e">
        <f>AND(#REF!,"AAAAADXj37E=")</f>
        <v>#REF!</v>
      </c>
      <c r="FW259" t="e">
        <f>AND(#REF!,"AAAAADXj37I=")</f>
        <v>#REF!</v>
      </c>
      <c r="FX259" t="e">
        <f>AND(#REF!,"AAAAADXj37M=")</f>
        <v>#REF!</v>
      </c>
      <c r="FY259" t="e">
        <f>AND(#REF!,"AAAAADXj37Q=")</f>
        <v>#REF!</v>
      </c>
      <c r="FZ259" t="e">
        <f>AND(#REF!,"AAAAADXj37U=")</f>
        <v>#REF!</v>
      </c>
      <c r="GA259" t="e">
        <f>AND(#REF!,"AAAAADXj37Y=")</f>
        <v>#REF!</v>
      </c>
      <c r="GB259" t="e">
        <f>AND(#REF!,"AAAAADXj37c=")</f>
        <v>#REF!</v>
      </c>
      <c r="GC259" t="e">
        <f>AND(#REF!,"AAAAADXj37g=")</f>
        <v>#REF!</v>
      </c>
      <c r="GD259" t="e">
        <f>AND(#REF!,"AAAAADXj37k=")</f>
        <v>#REF!</v>
      </c>
      <c r="GE259" t="e">
        <f>AND(#REF!,"AAAAADXj37o=")</f>
        <v>#REF!</v>
      </c>
      <c r="GF259" t="e">
        <f>AND(#REF!,"AAAAADXj37s=")</f>
        <v>#REF!</v>
      </c>
      <c r="GG259" t="e">
        <f>AND(#REF!,"AAAAADXj37w=")</f>
        <v>#REF!</v>
      </c>
      <c r="GH259" t="e">
        <f>AND(#REF!,"AAAAADXj370=")</f>
        <v>#REF!</v>
      </c>
      <c r="GI259" t="e">
        <f>AND(#REF!,"AAAAADXj374=")</f>
        <v>#REF!</v>
      </c>
      <c r="GJ259" t="e">
        <f>AND(#REF!,"AAAAADXj378=")</f>
        <v>#REF!</v>
      </c>
      <c r="GK259" t="e">
        <f>AND(#REF!,"AAAAADXj38A=")</f>
        <v>#REF!</v>
      </c>
      <c r="GL259" t="e">
        <f>AND(#REF!,"AAAAADXj38E=")</f>
        <v>#REF!</v>
      </c>
      <c r="GM259" t="e">
        <f>AND(#REF!,"AAAAADXj38I=")</f>
        <v>#REF!</v>
      </c>
      <c r="GN259" t="e">
        <f>AND(#REF!,"AAAAADXj38M=")</f>
        <v>#REF!</v>
      </c>
      <c r="GO259" t="e">
        <f>AND(#REF!,"AAAAADXj38Q=")</f>
        <v>#REF!</v>
      </c>
      <c r="GP259" t="e">
        <f>AND(#REF!,"AAAAADXj38U=")</f>
        <v>#REF!</v>
      </c>
      <c r="GQ259" t="e">
        <f>AND(#REF!,"AAAAADXj38Y=")</f>
        <v>#REF!</v>
      </c>
      <c r="GR259" t="e">
        <f>AND(#REF!,"AAAAADXj38c=")</f>
        <v>#REF!</v>
      </c>
      <c r="GS259" t="e">
        <f>AND(#REF!,"AAAAADXj38g=")</f>
        <v>#REF!</v>
      </c>
      <c r="GT259" t="e">
        <f>AND(#REF!,"AAAAADXj38k=")</f>
        <v>#REF!</v>
      </c>
      <c r="GU259" t="e">
        <f>AND(#REF!,"AAAAADXj38o=")</f>
        <v>#REF!</v>
      </c>
      <c r="GV259" t="e">
        <f>AND(#REF!,"AAAAADXj38s=")</f>
        <v>#REF!</v>
      </c>
      <c r="GW259" t="e">
        <f>AND(#REF!,"AAAAADXj38w=")</f>
        <v>#REF!</v>
      </c>
      <c r="GX259" t="e">
        <f>AND(#REF!,"AAAAADXj380=")</f>
        <v>#REF!</v>
      </c>
      <c r="GY259" t="e">
        <f>AND(#REF!,"AAAAADXj384=")</f>
        <v>#REF!</v>
      </c>
      <c r="GZ259" t="e">
        <f>AND(#REF!,"AAAAADXj388=")</f>
        <v>#REF!</v>
      </c>
      <c r="HA259" t="e">
        <f>AND(#REF!,"AAAAADXj39A=")</f>
        <v>#REF!</v>
      </c>
      <c r="HB259" t="e">
        <f>AND(#REF!,"AAAAADXj39E=")</f>
        <v>#REF!</v>
      </c>
      <c r="HC259" t="e">
        <f>AND(#REF!,"AAAAADXj39I=")</f>
        <v>#REF!</v>
      </c>
      <c r="HD259" t="e">
        <f>AND(#REF!,"AAAAADXj39M=")</f>
        <v>#REF!</v>
      </c>
      <c r="HE259" t="e">
        <f>AND(#REF!,"AAAAADXj39Q=")</f>
        <v>#REF!</v>
      </c>
      <c r="HF259" t="e">
        <f>AND(#REF!,"AAAAADXj39U=")</f>
        <v>#REF!</v>
      </c>
      <c r="HG259" t="e">
        <f>AND(#REF!,"AAAAADXj39Y=")</f>
        <v>#REF!</v>
      </c>
      <c r="HH259" t="e">
        <f>AND(#REF!,"AAAAADXj39c=")</f>
        <v>#REF!</v>
      </c>
      <c r="HI259" t="e">
        <f>AND(#REF!,"AAAAADXj39g=")</f>
        <v>#REF!</v>
      </c>
      <c r="HJ259" t="e">
        <f>AND(#REF!,"AAAAADXj39k=")</f>
        <v>#REF!</v>
      </c>
      <c r="HK259" t="e">
        <f>AND(#REF!,"AAAAADXj39o=")</f>
        <v>#REF!</v>
      </c>
      <c r="HL259" t="e">
        <f>AND(#REF!,"AAAAADXj39s=")</f>
        <v>#REF!</v>
      </c>
      <c r="HM259" t="e">
        <f>AND(#REF!,"AAAAADXj39w=")</f>
        <v>#REF!</v>
      </c>
      <c r="HN259" t="e">
        <f>AND(#REF!,"AAAAADXj390=")</f>
        <v>#REF!</v>
      </c>
      <c r="HO259" t="e">
        <f>AND(#REF!,"AAAAADXj394=")</f>
        <v>#REF!</v>
      </c>
      <c r="HP259" t="e">
        <f>AND(#REF!,"AAAAADXj398=")</f>
        <v>#REF!</v>
      </c>
      <c r="HQ259" t="e">
        <f>AND(#REF!,"AAAAADXj3+A=")</f>
        <v>#REF!</v>
      </c>
      <c r="HR259" t="e">
        <f>AND(#REF!,"AAAAADXj3+E=")</f>
        <v>#REF!</v>
      </c>
      <c r="HS259" t="e">
        <f>AND(#REF!,"AAAAADXj3+I=")</f>
        <v>#REF!</v>
      </c>
      <c r="HT259" t="e">
        <f>AND(#REF!,"AAAAADXj3+M=")</f>
        <v>#REF!</v>
      </c>
      <c r="HU259" t="e">
        <f>AND(#REF!,"AAAAADXj3+Q=")</f>
        <v>#REF!</v>
      </c>
      <c r="HV259" t="e">
        <f>AND(#REF!,"AAAAADXj3+U=")</f>
        <v>#REF!</v>
      </c>
      <c r="HW259" t="e">
        <f>AND(#REF!,"AAAAADXj3+Y=")</f>
        <v>#REF!</v>
      </c>
      <c r="HX259" t="e">
        <f>AND(#REF!,"AAAAADXj3+c=")</f>
        <v>#REF!</v>
      </c>
      <c r="HY259" t="e">
        <f>AND(#REF!,"AAAAADXj3+g=")</f>
        <v>#REF!</v>
      </c>
      <c r="HZ259" t="e">
        <f>AND(#REF!,"AAAAADXj3+k=")</f>
        <v>#REF!</v>
      </c>
      <c r="IA259" t="e">
        <f>AND(#REF!,"AAAAADXj3+o=")</f>
        <v>#REF!</v>
      </c>
      <c r="IB259" t="e">
        <f>AND(#REF!,"AAAAADXj3+s=")</f>
        <v>#REF!</v>
      </c>
      <c r="IC259" t="e">
        <f>AND(#REF!,"AAAAADXj3+w=")</f>
        <v>#REF!</v>
      </c>
      <c r="ID259" t="e">
        <f>AND(#REF!,"AAAAADXj3+0=")</f>
        <v>#REF!</v>
      </c>
      <c r="IE259" t="e">
        <f>AND(#REF!,"AAAAADXj3+4=")</f>
        <v>#REF!</v>
      </c>
      <c r="IF259" t="e">
        <f>AND(#REF!,"AAAAADXj3+8=")</f>
        <v>#REF!</v>
      </c>
      <c r="IG259" t="e">
        <f>AND(#REF!,"AAAAADXj3/A=")</f>
        <v>#REF!</v>
      </c>
      <c r="IH259" t="e">
        <f>AND(#REF!,"AAAAADXj3/E=")</f>
        <v>#REF!</v>
      </c>
      <c r="II259" t="e">
        <f>IF(#REF!,"AAAAADXj3/I=",0)</f>
        <v>#REF!</v>
      </c>
      <c r="IJ259" t="e">
        <f>AND(#REF!,"AAAAADXj3/M=")</f>
        <v>#REF!</v>
      </c>
      <c r="IK259" t="e">
        <f>AND(#REF!,"AAAAADXj3/Q=")</f>
        <v>#REF!</v>
      </c>
      <c r="IL259" t="e">
        <f>AND(#REF!,"AAAAADXj3/U=")</f>
        <v>#REF!</v>
      </c>
      <c r="IM259" t="e">
        <f>AND(#REF!,"AAAAADXj3/Y=")</f>
        <v>#REF!</v>
      </c>
      <c r="IN259" t="e">
        <f>AND(#REF!,"AAAAADXj3/c=")</f>
        <v>#REF!</v>
      </c>
      <c r="IO259" t="e">
        <f>AND(#REF!,"AAAAADXj3/g=")</f>
        <v>#REF!</v>
      </c>
      <c r="IP259" t="e">
        <f>AND(#REF!,"AAAAADXj3/k=")</f>
        <v>#REF!</v>
      </c>
      <c r="IQ259" t="e">
        <f>AND(#REF!,"AAAAADXj3/o=")</f>
        <v>#REF!</v>
      </c>
      <c r="IR259" t="e">
        <f>AND(#REF!,"AAAAADXj3/s=")</f>
        <v>#REF!</v>
      </c>
      <c r="IS259" t="e">
        <f>AND(#REF!,"AAAAADXj3/w=")</f>
        <v>#REF!</v>
      </c>
      <c r="IT259" t="e">
        <f>AND(#REF!,"AAAAADXj3/0=")</f>
        <v>#REF!</v>
      </c>
      <c r="IU259" t="e">
        <f>AND(#REF!,"AAAAADXj3/4=")</f>
        <v>#REF!</v>
      </c>
      <c r="IV259" t="e">
        <f>AND(#REF!,"AAAAADXj3/8=")</f>
        <v>#REF!</v>
      </c>
    </row>
    <row r="260" spans="1:256">
      <c r="A260" t="e">
        <f>AND(#REF!,"AAAAAC/X5AA=")</f>
        <v>#REF!</v>
      </c>
      <c r="B260" t="e">
        <f>AND(#REF!,"AAAAAC/X5AE=")</f>
        <v>#REF!</v>
      </c>
      <c r="C260" t="e">
        <f>AND(#REF!,"AAAAAC/X5AI=")</f>
        <v>#REF!</v>
      </c>
      <c r="D260" t="e">
        <f>AND(#REF!,"AAAAAC/X5AM=")</f>
        <v>#REF!</v>
      </c>
      <c r="E260" t="e">
        <f>AND(#REF!,"AAAAAC/X5AQ=")</f>
        <v>#REF!</v>
      </c>
      <c r="F260" t="e">
        <f>AND(#REF!,"AAAAAC/X5AU=")</f>
        <v>#REF!</v>
      </c>
      <c r="G260" t="e">
        <f>AND(#REF!,"AAAAAC/X5AY=")</f>
        <v>#REF!</v>
      </c>
      <c r="H260" t="e">
        <f>AND(#REF!,"AAAAAC/X5Ac=")</f>
        <v>#REF!</v>
      </c>
      <c r="I260" t="e">
        <f>AND(#REF!,"AAAAAC/X5Ag=")</f>
        <v>#REF!</v>
      </c>
      <c r="J260" t="e">
        <f>AND(#REF!,"AAAAAC/X5Ak=")</f>
        <v>#REF!</v>
      </c>
      <c r="K260" t="e">
        <f>AND(#REF!,"AAAAAC/X5Ao=")</f>
        <v>#REF!</v>
      </c>
      <c r="L260" t="e">
        <f>AND(#REF!,"AAAAAC/X5As=")</f>
        <v>#REF!</v>
      </c>
      <c r="M260" t="e">
        <f>AND(#REF!,"AAAAAC/X5Aw=")</f>
        <v>#REF!</v>
      </c>
      <c r="N260" t="e">
        <f>AND(#REF!,"AAAAAC/X5A0=")</f>
        <v>#REF!</v>
      </c>
      <c r="O260" t="e">
        <f>AND(#REF!,"AAAAAC/X5A4=")</f>
        <v>#REF!</v>
      </c>
      <c r="P260" t="e">
        <f>AND(#REF!,"AAAAAC/X5A8=")</f>
        <v>#REF!</v>
      </c>
      <c r="Q260" t="e">
        <f>AND(#REF!,"AAAAAC/X5BA=")</f>
        <v>#REF!</v>
      </c>
      <c r="R260" t="e">
        <f>AND(#REF!,"AAAAAC/X5BE=")</f>
        <v>#REF!</v>
      </c>
      <c r="S260" t="e">
        <f>AND(#REF!,"AAAAAC/X5BI=")</f>
        <v>#REF!</v>
      </c>
      <c r="T260" t="e">
        <f>AND(#REF!,"AAAAAC/X5BM=")</f>
        <v>#REF!</v>
      </c>
      <c r="U260" t="e">
        <f>AND(#REF!,"AAAAAC/X5BQ=")</f>
        <v>#REF!</v>
      </c>
      <c r="V260" t="e">
        <f>AND(#REF!,"AAAAAC/X5BU=")</f>
        <v>#REF!</v>
      </c>
      <c r="W260" t="e">
        <f>AND(#REF!,"AAAAAC/X5BY=")</f>
        <v>#REF!</v>
      </c>
      <c r="X260" t="e">
        <f>AND(#REF!,"AAAAAC/X5Bc=")</f>
        <v>#REF!</v>
      </c>
      <c r="Y260" t="e">
        <f>AND(#REF!,"AAAAAC/X5Bg=")</f>
        <v>#REF!</v>
      </c>
      <c r="Z260" t="e">
        <f>AND(#REF!,"AAAAAC/X5Bk=")</f>
        <v>#REF!</v>
      </c>
      <c r="AA260" t="e">
        <f>AND(#REF!,"AAAAAC/X5Bo=")</f>
        <v>#REF!</v>
      </c>
      <c r="AB260" t="e">
        <f>AND(#REF!,"AAAAAC/X5Bs=")</f>
        <v>#REF!</v>
      </c>
      <c r="AC260" t="e">
        <f>AND(#REF!,"AAAAAC/X5Bw=")</f>
        <v>#REF!</v>
      </c>
      <c r="AD260" t="e">
        <f>AND(#REF!,"AAAAAC/X5B0=")</f>
        <v>#REF!</v>
      </c>
      <c r="AE260" t="e">
        <f>AND(#REF!,"AAAAAC/X5B4=")</f>
        <v>#REF!</v>
      </c>
      <c r="AF260" t="e">
        <f>AND(#REF!,"AAAAAC/X5B8=")</f>
        <v>#REF!</v>
      </c>
      <c r="AG260" t="e">
        <f>AND(#REF!,"AAAAAC/X5CA=")</f>
        <v>#REF!</v>
      </c>
      <c r="AH260" t="e">
        <f>AND(#REF!,"AAAAAC/X5CE=")</f>
        <v>#REF!</v>
      </c>
      <c r="AI260" t="e">
        <f>AND(#REF!,"AAAAAC/X5CI=")</f>
        <v>#REF!</v>
      </c>
      <c r="AJ260" t="e">
        <f>AND(#REF!,"AAAAAC/X5CM=")</f>
        <v>#REF!</v>
      </c>
      <c r="AK260" t="e">
        <f>AND(#REF!,"AAAAAC/X5CQ=")</f>
        <v>#REF!</v>
      </c>
      <c r="AL260" t="e">
        <f>AND(#REF!,"AAAAAC/X5CU=")</f>
        <v>#REF!</v>
      </c>
      <c r="AM260" t="e">
        <f>AND(#REF!,"AAAAAC/X5CY=")</f>
        <v>#REF!</v>
      </c>
      <c r="AN260" t="e">
        <f>AND(#REF!,"AAAAAC/X5Cc=")</f>
        <v>#REF!</v>
      </c>
      <c r="AO260" t="e">
        <f>AND(#REF!,"AAAAAC/X5Cg=")</f>
        <v>#REF!</v>
      </c>
      <c r="AP260" t="e">
        <f>AND(#REF!,"AAAAAC/X5Ck=")</f>
        <v>#REF!</v>
      </c>
      <c r="AQ260" t="e">
        <f>AND(#REF!,"AAAAAC/X5Co=")</f>
        <v>#REF!</v>
      </c>
      <c r="AR260" t="e">
        <f>AND(#REF!,"AAAAAC/X5Cs=")</f>
        <v>#REF!</v>
      </c>
      <c r="AS260" t="e">
        <f>AND(#REF!,"AAAAAC/X5Cw=")</f>
        <v>#REF!</v>
      </c>
      <c r="AT260" t="e">
        <f>AND(#REF!,"AAAAAC/X5C0=")</f>
        <v>#REF!</v>
      </c>
      <c r="AU260" t="e">
        <f>AND(#REF!,"AAAAAC/X5C4=")</f>
        <v>#REF!</v>
      </c>
      <c r="AV260" t="e">
        <f>AND(#REF!,"AAAAAC/X5C8=")</f>
        <v>#REF!</v>
      </c>
      <c r="AW260" t="e">
        <f>AND(#REF!,"AAAAAC/X5DA=")</f>
        <v>#REF!</v>
      </c>
      <c r="AX260" t="e">
        <f>AND(#REF!,"AAAAAC/X5DE=")</f>
        <v>#REF!</v>
      </c>
      <c r="AY260" t="e">
        <f>AND(#REF!,"AAAAAC/X5DI=")</f>
        <v>#REF!</v>
      </c>
      <c r="AZ260" t="e">
        <f>AND(#REF!,"AAAAAC/X5DM=")</f>
        <v>#REF!</v>
      </c>
      <c r="BA260" t="e">
        <f>AND(#REF!,"AAAAAC/X5DQ=")</f>
        <v>#REF!</v>
      </c>
      <c r="BB260" t="e">
        <f>AND(#REF!,"AAAAAC/X5DU=")</f>
        <v>#REF!</v>
      </c>
      <c r="BC260" t="e">
        <f>AND(#REF!,"AAAAAC/X5DY=")</f>
        <v>#REF!</v>
      </c>
      <c r="BD260" t="e">
        <f>AND(#REF!,"AAAAAC/X5Dc=")</f>
        <v>#REF!</v>
      </c>
      <c r="BE260" t="e">
        <f>AND(#REF!,"AAAAAC/X5Dg=")</f>
        <v>#REF!</v>
      </c>
      <c r="BF260" t="e">
        <f>AND(#REF!,"AAAAAC/X5Dk=")</f>
        <v>#REF!</v>
      </c>
      <c r="BG260" t="e">
        <f>AND(#REF!,"AAAAAC/X5Do=")</f>
        <v>#REF!</v>
      </c>
      <c r="BH260" t="e">
        <f>AND(#REF!,"AAAAAC/X5Ds=")</f>
        <v>#REF!</v>
      </c>
      <c r="BI260" t="e">
        <f>AND(#REF!,"AAAAAC/X5Dw=")</f>
        <v>#REF!</v>
      </c>
      <c r="BJ260" t="e">
        <f>AND(#REF!,"AAAAAC/X5D0=")</f>
        <v>#REF!</v>
      </c>
      <c r="BK260" t="e">
        <f>AND(#REF!,"AAAAAC/X5D4=")</f>
        <v>#REF!</v>
      </c>
      <c r="BL260" t="e">
        <f>AND(#REF!,"AAAAAC/X5D8=")</f>
        <v>#REF!</v>
      </c>
      <c r="BM260" t="e">
        <f>AND(#REF!,"AAAAAC/X5EA=")</f>
        <v>#REF!</v>
      </c>
      <c r="BN260" t="e">
        <f>AND(#REF!,"AAAAAC/X5EE=")</f>
        <v>#REF!</v>
      </c>
      <c r="BO260" t="e">
        <f>AND(#REF!,"AAAAAC/X5EI=")</f>
        <v>#REF!</v>
      </c>
      <c r="BP260" t="e">
        <f>AND(#REF!,"AAAAAC/X5EM=")</f>
        <v>#REF!</v>
      </c>
      <c r="BQ260" t="e">
        <f>AND(#REF!,"AAAAAC/X5EQ=")</f>
        <v>#REF!</v>
      </c>
      <c r="BR260" t="e">
        <f>AND(#REF!,"AAAAAC/X5EU=")</f>
        <v>#REF!</v>
      </c>
      <c r="BS260" t="e">
        <f>AND(#REF!,"AAAAAC/X5EY=")</f>
        <v>#REF!</v>
      </c>
      <c r="BT260" t="e">
        <f>AND(#REF!,"AAAAAC/X5Ec=")</f>
        <v>#REF!</v>
      </c>
      <c r="BU260" t="e">
        <f>AND(#REF!,"AAAAAC/X5Eg=")</f>
        <v>#REF!</v>
      </c>
      <c r="BV260" t="e">
        <f>AND(#REF!,"AAAAAC/X5Ek=")</f>
        <v>#REF!</v>
      </c>
      <c r="BW260" t="e">
        <f>AND(#REF!,"AAAAAC/X5Eo=")</f>
        <v>#REF!</v>
      </c>
      <c r="BX260" t="e">
        <f>AND(#REF!,"AAAAAC/X5Es=")</f>
        <v>#REF!</v>
      </c>
      <c r="BY260" t="e">
        <f>AND(#REF!,"AAAAAC/X5Ew=")</f>
        <v>#REF!</v>
      </c>
      <c r="BZ260" t="e">
        <f>AND(#REF!,"AAAAAC/X5E0=")</f>
        <v>#REF!</v>
      </c>
      <c r="CA260" t="e">
        <f>AND(#REF!,"AAAAAC/X5E4=")</f>
        <v>#REF!</v>
      </c>
      <c r="CB260" t="e">
        <f>AND(#REF!,"AAAAAC/X5E8=")</f>
        <v>#REF!</v>
      </c>
      <c r="CC260" t="e">
        <f>AND(#REF!,"AAAAAC/X5FA=")</f>
        <v>#REF!</v>
      </c>
      <c r="CD260" t="e">
        <f>AND(#REF!,"AAAAAC/X5FE=")</f>
        <v>#REF!</v>
      </c>
      <c r="CE260" t="e">
        <f>AND(#REF!,"AAAAAC/X5FI=")</f>
        <v>#REF!</v>
      </c>
      <c r="CF260" t="e">
        <f>AND(#REF!,"AAAAAC/X5FM=")</f>
        <v>#REF!</v>
      </c>
      <c r="CG260" t="e">
        <f>AND(#REF!,"AAAAAC/X5FQ=")</f>
        <v>#REF!</v>
      </c>
      <c r="CH260" t="e">
        <f>AND(#REF!,"AAAAAC/X5FU=")</f>
        <v>#REF!</v>
      </c>
      <c r="CI260" t="e">
        <f>AND(#REF!,"AAAAAC/X5FY=")</f>
        <v>#REF!</v>
      </c>
      <c r="CJ260" t="e">
        <f>AND(#REF!,"AAAAAC/X5Fc=")</f>
        <v>#REF!</v>
      </c>
      <c r="CK260" t="e">
        <f>AND(#REF!,"AAAAAC/X5Fg=")</f>
        <v>#REF!</v>
      </c>
      <c r="CL260" t="e">
        <f>AND(#REF!,"AAAAAC/X5Fk=")</f>
        <v>#REF!</v>
      </c>
      <c r="CM260" t="e">
        <f>AND(#REF!,"AAAAAC/X5Fo=")</f>
        <v>#REF!</v>
      </c>
      <c r="CN260" t="e">
        <f>AND(#REF!,"AAAAAC/X5Fs=")</f>
        <v>#REF!</v>
      </c>
      <c r="CO260" t="e">
        <f>AND(#REF!,"AAAAAC/X5Fw=")</f>
        <v>#REF!</v>
      </c>
      <c r="CP260" t="e">
        <f>AND(#REF!,"AAAAAC/X5F0=")</f>
        <v>#REF!</v>
      </c>
      <c r="CQ260" t="e">
        <f>AND(#REF!,"AAAAAC/X5F4=")</f>
        <v>#REF!</v>
      </c>
      <c r="CR260" t="e">
        <f>AND(#REF!,"AAAAAC/X5F8=")</f>
        <v>#REF!</v>
      </c>
      <c r="CS260" t="e">
        <f>AND(#REF!,"AAAAAC/X5GA=")</f>
        <v>#REF!</v>
      </c>
      <c r="CT260" t="e">
        <f>AND(#REF!,"AAAAAC/X5GE=")</f>
        <v>#REF!</v>
      </c>
      <c r="CU260" t="e">
        <f>AND(#REF!,"AAAAAC/X5GI=")</f>
        <v>#REF!</v>
      </c>
      <c r="CV260" t="e">
        <f>AND(#REF!,"AAAAAC/X5GM=")</f>
        <v>#REF!</v>
      </c>
      <c r="CW260" t="e">
        <f>AND(#REF!,"AAAAAC/X5GQ=")</f>
        <v>#REF!</v>
      </c>
      <c r="CX260" t="e">
        <f>AND(#REF!,"AAAAAC/X5GU=")</f>
        <v>#REF!</v>
      </c>
      <c r="CY260" t="e">
        <f>AND(#REF!,"AAAAAC/X5GY=")</f>
        <v>#REF!</v>
      </c>
      <c r="CZ260" t="e">
        <f>AND(#REF!,"AAAAAC/X5Gc=")</f>
        <v>#REF!</v>
      </c>
      <c r="DA260" t="e">
        <f>AND(#REF!,"AAAAAC/X5Gg=")</f>
        <v>#REF!</v>
      </c>
      <c r="DB260" t="e">
        <f>AND(#REF!,"AAAAAC/X5Gk=")</f>
        <v>#REF!</v>
      </c>
      <c r="DC260" t="e">
        <f>AND(#REF!,"AAAAAC/X5Go=")</f>
        <v>#REF!</v>
      </c>
      <c r="DD260" t="e">
        <f>AND(#REF!,"AAAAAC/X5Gs=")</f>
        <v>#REF!</v>
      </c>
      <c r="DE260" t="e">
        <f>AND(#REF!,"AAAAAC/X5Gw=")</f>
        <v>#REF!</v>
      </c>
      <c r="DF260" t="e">
        <f>AND(#REF!,"AAAAAC/X5G0=")</f>
        <v>#REF!</v>
      </c>
      <c r="DG260" t="e">
        <f>AND(#REF!,"AAAAAC/X5G4=")</f>
        <v>#REF!</v>
      </c>
      <c r="DH260" t="e">
        <f>AND(#REF!,"AAAAAC/X5G8=")</f>
        <v>#REF!</v>
      </c>
      <c r="DI260" t="e">
        <f>AND(#REF!,"AAAAAC/X5HA=")</f>
        <v>#REF!</v>
      </c>
      <c r="DJ260" t="e">
        <f>AND(#REF!,"AAAAAC/X5HE=")</f>
        <v>#REF!</v>
      </c>
      <c r="DK260" t="e">
        <f>AND(#REF!,"AAAAAC/X5HI=")</f>
        <v>#REF!</v>
      </c>
      <c r="DL260" t="e">
        <f>AND(#REF!,"AAAAAC/X5HM=")</f>
        <v>#REF!</v>
      </c>
      <c r="DM260" t="e">
        <f>AND(#REF!,"AAAAAC/X5HQ=")</f>
        <v>#REF!</v>
      </c>
      <c r="DN260" t="e">
        <f>AND(#REF!,"AAAAAC/X5HU=")</f>
        <v>#REF!</v>
      </c>
      <c r="DO260" t="e">
        <f>AND(#REF!,"AAAAAC/X5HY=")</f>
        <v>#REF!</v>
      </c>
      <c r="DP260" t="e">
        <f>AND(#REF!,"AAAAAC/X5Hc=")</f>
        <v>#REF!</v>
      </c>
      <c r="DQ260" t="e">
        <f>AND(#REF!,"AAAAAC/X5Hg=")</f>
        <v>#REF!</v>
      </c>
      <c r="DR260" t="e">
        <f>AND(#REF!,"AAAAAC/X5Hk=")</f>
        <v>#REF!</v>
      </c>
      <c r="DS260" t="e">
        <f>AND(#REF!,"AAAAAC/X5Ho=")</f>
        <v>#REF!</v>
      </c>
      <c r="DT260" t="e">
        <f>AND(#REF!,"AAAAAC/X5Hs=")</f>
        <v>#REF!</v>
      </c>
      <c r="DU260" t="e">
        <f>AND(#REF!,"AAAAAC/X5Hw=")</f>
        <v>#REF!</v>
      </c>
      <c r="DV260" t="e">
        <f>AND(#REF!,"AAAAAC/X5H0=")</f>
        <v>#REF!</v>
      </c>
      <c r="DW260" t="e">
        <f>AND(#REF!,"AAAAAC/X5H4=")</f>
        <v>#REF!</v>
      </c>
      <c r="DX260" t="e">
        <f>AND(#REF!,"AAAAAC/X5H8=")</f>
        <v>#REF!</v>
      </c>
      <c r="DY260" t="e">
        <f>AND(#REF!,"AAAAAC/X5IA=")</f>
        <v>#REF!</v>
      </c>
      <c r="DZ260" t="e">
        <f>AND(#REF!,"AAAAAC/X5IE=")</f>
        <v>#REF!</v>
      </c>
      <c r="EA260" t="e">
        <f>AND(#REF!,"AAAAAC/X5II=")</f>
        <v>#REF!</v>
      </c>
      <c r="EB260" t="e">
        <f>AND(#REF!,"AAAAAC/X5IM=")</f>
        <v>#REF!</v>
      </c>
      <c r="EC260" t="e">
        <f>AND(#REF!,"AAAAAC/X5IQ=")</f>
        <v>#REF!</v>
      </c>
      <c r="ED260" t="e">
        <f>AND(#REF!,"AAAAAC/X5IU=")</f>
        <v>#REF!</v>
      </c>
      <c r="EE260" t="e">
        <f>AND(#REF!,"AAAAAC/X5IY=")</f>
        <v>#REF!</v>
      </c>
      <c r="EF260" t="e">
        <f>AND(#REF!,"AAAAAC/X5Ic=")</f>
        <v>#REF!</v>
      </c>
      <c r="EG260" t="e">
        <f>AND(#REF!,"AAAAAC/X5Ig=")</f>
        <v>#REF!</v>
      </c>
      <c r="EH260" t="e">
        <f>AND(#REF!,"AAAAAC/X5Ik=")</f>
        <v>#REF!</v>
      </c>
      <c r="EI260" t="e">
        <f>AND(#REF!,"AAAAAC/X5Io=")</f>
        <v>#REF!</v>
      </c>
      <c r="EJ260" t="e">
        <f>AND(#REF!,"AAAAAC/X5Is=")</f>
        <v>#REF!</v>
      </c>
      <c r="EK260" t="e">
        <f>AND(#REF!,"AAAAAC/X5Iw=")</f>
        <v>#REF!</v>
      </c>
      <c r="EL260" t="e">
        <f>AND(#REF!,"AAAAAC/X5I0=")</f>
        <v>#REF!</v>
      </c>
      <c r="EM260" t="e">
        <f>AND(#REF!,"AAAAAC/X5I4=")</f>
        <v>#REF!</v>
      </c>
      <c r="EN260" t="e">
        <f>AND(#REF!,"AAAAAC/X5I8=")</f>
        <v>#REF!</v>
      </c>
      <c r="EO260" t="e">
        <f>AND(#REF!,"AAAAAC/X5JA=")</f>
        <v>#REF!</v>
      </c>
      <c r="EP260" t="e">
        <f>AND(#REF!,"AAAAAC/X5JE=")</f>
        <v>#REF!</v>
      </c>
      <c r="EQ260" t="e">
        <f>AND(#REF!,"AAAAAC/X5JI=")</f>
        <v>#REF!</v>
      </c>
      <c r="ER260" t="e">
        <f>AND(#REF!,"AAAAAC/X5JM=")</f>
        <v>#REF!</v>
      </c>
      <c r="ES260" t="e">
        <f>AND(#REF!,"AAAAAC/X5JQ=")</f>
        <v>#REF!</v>
      </c>
      <c r="ET260" t="e">
        <f>AND(#REF!,"AAAAAC/X5JU=")</f>
        <v>#REF!</v>
      </c>
      <c r="EU260" t="e">
        <f>AND(#REF!,"AAAAAC/X5JY=")</f>
        <v>#REF!</v>
      </c>
      <c r="EV260" t="e">
        <f>AND(#REF!,"AAAAAC/X5Jc=")</f>
        <v>#REF!</v>
      </c>
      <c r="EW260" t="e">
        <f>AND(#REF!,"AAAAAC/X5Jg=")</f>
        <v>#REF!</v>
      </c>
      <c r="EX260" t="e">
        <f>AND(#REF!,"AAAAAC/X5Jk=")</f>
        <v>#REF!</v>
      </c>
      <c r="EY260" t="e">
        <f>AND(#REF!,"AAAAAC/X5Jo=")</f>
        <v>#REF!</v>
      </c>
      <c r="EZ260" t="e">
        <f>AND(#REF!,"AAAAAC/X5Js=")</f>
        <v>#REF!</v>
      </c>
      <c r="FA260" t="e">
        <f>AND(#REF!,"AAAAAC/X5Jw=")</f>
        <v>#REF!</v>
      </c>
      <c r="FB260" t="e">
        <f>AND(#REF!,"AAAAAC/X5J0=")</f>
        <v>#REF!</v>
      </c>
      <c r="FC260" t="e">
        <f>AND(#REF!,"AAAAAC/X5J4=")</f>
        <v>#REF!</v>
      </c>
      <c r="FD260" t="e">
        <f>AND(#REF!,"AAAAAC/X5J8=")</f>
        <v>#REF!</v>
      </c>
      <c r="FE260" t="e">
        <f>AND(#REF!,"AAAAAC/X5KA=")</f>
        <v>#REF!</v>
      </c>
      <c r="FF260" t="e">
        <f>AND(#REF!,"AAAAAC/X5KE=")</f>
        <v>#REF!</v>
      </c>
      <c r="FG260" t="e">
        <f>AND(#REF!,"AAAAAC/X5KI=")</f>
        <v>#REF!</v>
      </c>
      <c r="FH260" t="e">
        <f>AND(#REF!,"AAAAAC/X5KM=")</f>
        <v>#REF!</v>
      </c>
      <c r="FI260" t="e">
        <f>AND(#REF!,"AAAAAC/X5KQ=")</f>
        <v>#REF!</v>
      </c>
      <c r="FJ260" t="e">
        <f>AND(#REF!,"AAAAAC/X5KU=")</f>
        <v>#REF!</v>
      </c>
      <c r="FK260" t="e">
        <f>AND(#REF!,"AAAAAC/X5KY=")</f>
        <v>#REF!</v>
      </c>
      <c r="FL260" t="e">
        <f>AND(#REF!,"AAAAAC/X5Kc=")</f>
        <v>#REF!</v>
      </c>
      <c r="FM260" t="e">
        <f>AND(#REF!,"AAAAAC/X5Kg=")</f>
        <v>#REF!</v>
      </c>
      <c r="FN260" t="e">
        <f>AND(#REF!,"AAAAAC/X5Kk=")</f>
        <v>#REF!</v>
      </c>
      <c r="FO260" t="e">
        <f>AND(#REF!,"AAAAAC/X5Ko=")</f>
        <v>#REF!</v>
      </c>
      <c r="FP260" t="e">
        <f>AND(#REF!,"AAAAAC/X5Ks=")</f>
        <v>#REF!</v>
      </c>
      <c r="FQ260" t="e">
        <f>AND(#REF!,"AAAAAC/X5Kw=")</f>
        <v>#REF!</v>
      </c>
      <c r="FR260" t="e">
        <f>AND(#REF!,"AAAAAC/X5K0=")</f>
        <v>#REF!</v>
      </c>
      <c r="FS260" t="e">
        <f>AND(#REF!,"AAAAAC/X5K4=")</f>
        <v>#REF!</v>
      </c>
      <c r="FT260" t="e">
        <f>AND(#REF!,"AAAAAC/X5K8=")</f>
        <v>#REF!</v>
      </c>
      <c r="FU260" t="e">
        <f>AND(#REF!,"AAAAAC/X5LA=")</f>
        <v>#REF!</v>
      </c>
      <c r="FV260" t="e">
        <f>AND(#REF!,"AAAAAC/X5LE=")</f>
        <v>#REF!</v>
      </c>
      <c r="FW260" t="e">
        <f>AND(#REF!,"AAAAAC/X5LI=")</f>
        <v>#REF!</v>
      </c>
      <c r="FX260" t="e">
        <f>AND(#REF!,"AAAAAC/X5LM=")</f>
        <v>#REF!</v>
      </c>
      <c r="FY260" t="e">
        <f>AND(#REF!,"AAAAAC/X5LQ=")</f>
        <v>#REF!</v>
      </c>
      <c r="FZ260" t="e">
        <f>AND(#REF!,"AAAAAC/X5LU=")</f>
        <v>#REF!</v>
      </c>
      <c r="GA260" t="e">
        <f>AND(#REF!,"AAAAAC/X5LY=")</f>
        <v>#REF!</v>
      </c>
      <c r="GB260" t="e">
        <f>AND(#REF!,"AAAAAC/X5Lc=")</f>
        <v>#REF!</v>
      </c>
      <c r="GC260" t="e">
        <f>AND(#REF!,"AAAAAC/X5Lg=")</f>
        <v>#REF!</v>
      </c>
      <c r="GD260" t="e">
        <f>AND(#REF!,"AAAAAC/X5Lk=")</f>
        <v>#REF!</v>
      </c>
      <c r="GE260" t="e">
        <f>AND(#REF!,"AAAAAC/X5Lo=")</f>
        <v>#REF!</v>
      </c>
      <c r="GF260" t="e">
        <f>AND(#REF!,"AAAAAC/X5Ls=")</f>
        <v>#REF!</v>
      </c>
      <c r="GG260" t="e">
        <f>AND(#REF!,"AAAAAC/X5Lw=")</f>
        <v>#REF!</v>
      </c>
      <c r="GH260" t="e">
        <f>AND(#REF!,"AAAAAC/X5L0=")</f>
        <v>#REF!</v>
      </c>
      <c r="GI260" t="e">
        <f>AND(#REF!,"AAAAAC/X5L4=")</f>
        <v>#REF!</v>
      </c>
      <c r="GJ260" t="e">
        <f>AND(#REF!,"AAAAAC/X5L8=")</f>
        <v>#REF!</v>
      </c>
      <c r="GK260" t="e">
        <f>AND(#REF!,"AAAAAC/X5MA=")</f>
        <v>#REF!</v>
      </c>
      <c r="GL260" t="e">
        <f>AND(#REF!,"AAAAAC/X5ME=")</f>
        <v>#REF!</v>
      </c>
      <c r="GM260" t="e">
        <f>AND(#REF!,"AAAAAC/X5MI=")</f>
        <v>#REF!</v>
      </c>
      <c r="GN260" t="e">
        <f>AND(#REF!,"AAAAAC/X5MM=")</f>
        <v>#REF!</v>
      </c>
      <c r="GO260" t="e">
        <f>AND(#REF!,"AAAAAC/X5MQ=")</f>
        <v>#REF!</v>
      </c>
      <c r="GP260" t="e">
        <f>AND(#REF!,"AAAAAC/X5MU=")</f>
        <v>#REF!</v>
      </c>
      <c r="GQ260" t="e">
        <f>AND(#REF!,"AAAAAC/X5MY=")</f>
        <v>#REF!</v>
      </c>
      <c r="GR260" t="e">
        <f>AND(#REF!,"AAAAAC/X5Mc=")</f>
        <v>#REF!</v>
      </c>
      <c r="GS260" t="e">
        <f>AND(#REF!,"AAAAAC/X5Mg=")</f>
        <v>#REF!</v>
      </c>
      <c r="GT260" t="e">
        <f>AND(#REF!,"AAAAAC/X5Mk=")</f>
        <v>#REF!</v>
      </c>
      <c r="GU260" t="e">
        <f>AND(#REF!,"AAAAAC/X5Mo=")</f>
        <v>#REF!</v>
      </c>
      <c r="GV260" t="e">
        <f>AND(#REF!,"AAAAAC/X5Ms=")</f>
        <v>#REF!</v>
      </c>
      <c r="GW260" t="e">
        <f>AND(#REF!,"AAAAAC/X5Mw=")</f>
        <v>#REF!</v>
      </c>
      <c r="GX260" t="e">
        <f>AND(#REF!,"AAAAAC/X5M0=")</f>
        <v>#REF!</v>
      </c>
      <c r="GY260" t="e">
        <f>AND(#REF!,"AAAAAC/X5M4=")</f>
        <v>#REF!</v>
      </c>
      <c r="GZ260" t="e">
        <f>AND(#REF!,"AAAAAC/X5M8=")</f>
        <v>#REF!</v>
      </c>
      <c r="HA260" t="e">
        <f>AND(#REF!,"AAAAAC/X5NA=")</f>
        <v>#REF!</v>
      </c>
      <c r="HB260" t="e">
        <f>AND(#REF!,"AAAAAC/X5NE=")</f>
        <v>#REF!</v>
      </c>
      <c r="HC260" t="e">
        <f>AND(#REF!,"AAAAAC/X5NI=")</f>
        <v>#REF!</v>
      </c>
      <c r="HD260" t="e">
        <f>AND(#REF!,"AAAAAC/X5NM=")</f>
        <v>#REF!</v>
      </c>
      <c r="HE260" t="e">
        <f>AND(#REF!,"AAAAAC/X5NQ=")</f>
        <v>#REF!</v>
      </c>
      <c r="HF260" t="e">
        <f>AND(#REF!,"AAAAAC/X5NU=")</f>
        <v>#REF!</v>
      </c>
      <c r="HG260" t="e">
        <f>IF(#REF!,"AAAAAC/X5NY=",0)</f>
        <v>#REF!</v>
      </c>
      <c r="HH260" t="e">
        <f>AND(#REF!,"AAAAAC/X5Nc=")</f>
        <v>#REF!</v>
      </c>
      <c r="HI260" t="e">
        <f>AND(#REF!,"AAAAAC/X5Ng=")</f>
        <v>#REF!</v>
      </c>
      <c r="HJ260" t="e">
        <f>AND(#REF!,"AAAAAC/X5Nk=")</f>
        <v>#REF!</v>
      </c>
      <c r="HK260" t="e">
        <f>AND(#REF!,"AAAAAC/X5No=")</f>
        <v>#REF!</v>
      </c>
      <c r="HL260" t="e">
        <f>AND(#REF!,"AAAAAC/X5Ns=")</f>
        <v>#REF!</v>
      </c>
      <c r="HM260" t="e">
        <f>AND(#REF!,"AAAAAC/X5Nw=")</f>
        <v>#REF!</v>
      </c>
      <c r="HN260" t="e">
        <f>AND(#REF!,"AAAAAC/X5N0=")</f>
        <v>#REF!</v>
      </c>
      <c r="HO260" t="e">
        <f>AND(#REF!,"AAAAAC/X5N4=")</f>
        <v>#REF!</v>
      </c>
      <c r="HP260" t="e">
        <f>AND(#REF!,"AAAAAC/X5N8=")</f>
        <v>#REF!</v>
      </c>
      <c r="HQ260" t="e">
        <f>AND(#REF!,"AAAAAC/X5OA=")</f>
        <v>#REF!</v>
      </c>
      <c r="HR260" t="e">
        <f>AND(#REF!,"AAAAAC/X5OE=")</f>
        <v>#REF!</v>
      </c>
      <c r="HS260" t="e">
        <f>AND(#REF!,"AAAAAC/X5OI=")</f>
        <v>#REF!</v>
      </c>
      <c r="HT260" t="e">
        <f>AND(#REF!,"AAAAAC/X5OM=")</f>
        <v>#REF!</v>
      </c>
      <c r="HU260" t="e">
        <f>AND(#REF!,"AAAAAC/X5OQ=")</f>
        <v>#REF!</v>
      </c>
      <c r="HV260" t="e">
        <f>AND(#REF!,"AAAAAC/X5OU=")</f>
        <v>#REF!</v>
      </c>
      <c r="HW260" t="e">
        <f>AND(#REF!,"AAAAAC/X5OY=")</f>
        <v>#REF!</v>
      </c>
      <c r="HX260" t="e">
        <f>AND(#REF!,"AAAAAC/X5Oc=")</f>
        <v>#REF!</v>
      </c>
      <c r="HY260" t="e">
        <f>AND(#REF!,"AAAAAC/X5Og=")</f>
        <v>#REF!</v>
      </c>
      <c r="HZ260" t="e">
        <f>AND(#REF!,"AAAAAC/X5Ok=")</f>
        <v>#REF!</v>
      </c>
      <c r="IA260" t="e">
        <f>AND(#REF!,"AAAAAC/X5Oo=")</f>
        <v>#REF!</v>
      </c>
      <c r="IB260" t="e">
        <f>AND(#REF!,"AAAAAC/X5Os=")</f>
        <v>#REF!</v>
      </c>
      <c r="IC260" t="e">
        <f>AND(#REF!,"AAAAAC/X5Ow=")</f>
        <v>#REF!</v>
      </c>
      <c r="ID260" t="e">
        <f>AND(#REF!,"AAAAAC/X5O0=")</f>
        <v>#REF!</v>
      </c>
      <c r="IE260" t="e">
        <f>AND(#REF!,"AAAAAC/X5O4=")</f>
        <v>#REF!</v>
      </c>
      <c r="IF260" t="e">
        <f>AND(#REF!,"AAAAAC/X5O8=")</f>
        <v>#REF!</v>
      </c>
      <c r="IG260" t="e">
        <f>AND(#REF!,"AAAAAC/X5PA=")</f>
        <v>#REF!</v>
      </c>
      <c r="IH260" t="e">
        <f>AND(#REF!,"AAAAAC/X5PE=")</f>
        <v>#REF!</v>
      </c>
      <c r="II260" t="e">
        <f>AND(#REF!,"AAAAAC/X5PI=")</f>
        <v>#REF!</v>
      </c>
      <c r="IJ260" t="e">
        <f>AND(#REF!,"AAAAAC/X5PM=")</f>
        <v>#REF!</v>
      </c>
      <c r="IK260" t="e">
        <f>AND(#REF!,"AAAAAC/X5PQ=")</f>
        <v>#REF!</v>
      </c>
      <c r="IL260" t="e">
        <f>AND(#REF!,"AAAAAC/X5PU=")</f>
        <v>#REF!</v>
      </c>
      <c r="IM260" t="e">
        <f>AND(#REF!,"AAAAAC/X5PY=")</f>
        <v>#REF!</v>
      </c>
      <c r="IN260" t="e">
        <f>AND(#REF!,"AAAAAC/X5Pc=")</f>
        <v>#REF!</v>
      </c>
      <c r="IO260" t="e">
        <f>AND(#REF!,"AAAAAC/X5Pg=")</f>
        <v>#REF!</v>
      </c>
      <c r="IP260" t="e">
        <f>AND(#REF!,"AAAAAC/X5Pk=")</f>
        <v>#REF!</v>
      </c>
      <c r="IQ260" t="e">
        <f>AND(#REF!,"AAAAAC/X5Po=")</f>
        <v>#REF!</v>
      </c>
      <c r="IR260" t="e">
        <f>AND(#REF!,"AAAAAC/X5Ps=")</f>
        <v>#REF!</v>
      </c>
      <c r="IS260" t="e">
        <f>AND(#REF!,"AAAAAC/X5Pw=")</f>
        <v>#REF!</v>
      </c>
      <c r="IT260" t="e">
        <f>AND(#REF!,"AAAAAC/X5P0=")</f>
        <v>#REF!</v>
      </c>
      <c r="IU260" t="e">
        <f>AND(#REF!,"AAAAAC/X5P4=")</f>
        <v>#REF!</v>
      </c>
      <c r="IV260" t="e">
        <f>AND(#REF!,"AAAAAC/X5P8=")</f>
        <v>#REF!</v>
      </c>
    </row>
    <row r="261" spans="1:256">
      <c r="A261" t="e">
        <f>AND(#REF!,"AAAAAH/a9QA=")</f>
        <v>#REF!</v>
      </c>
      <c r="B261" t="e">
        <f>AND(#REF!,"AAAAAH/a9QE=")</f>
        <v>#REF!</v>
      </c>
      <c r="C261" t="e">
        <f>AND(#REF!,"AAAAAH/a9QI=")</f>
        <v>#REF!</v>
      </c>
      <c r="D261" t="e">
        <f>AND(#REF!,"AAAAAH/a9QM=")</f>
        <v>#REF!</v>
      </c>
      <c r="E261" t="e">
        <f>AND(#REF!,"AAAAAH/a9QQ=")</f>
        <v>#REF!</v>
      </c>
      <c r="F261" t="e">
        <f>AND(#REF!,"AAAAAH/a9QU=")</f>
        <v>#REF!</v>
      </c>
      <c r="G261" t="e">
        <f>AND(#REF!,"AAAAAH/a9QY=")</f>
        <v>#REF!</v>
      </c>
      <c r="H261" t="e">
        <f>AND(#REF!,"AAAAAH/a9Qc=")</f>
        <v>#REF!</v>
      </c>
      <c r="I261" t="e">
        <f>AND(#REF!,"AAAAAH/a9Qg=")</f>
        <v>#REF!</v>
      </c>
      <c r="J261" t="e">
        <f>AND(#REF!,"AAAAAH/a9Qk=")</f>
        <v>#REF!</v>
      </c>
      <c r="K261" t="e">
        <f>AND(#REF!,"AAAAAH/a9Qo=")</f>
        <v>#REF!</v>
      </c>
      <c r="L261" t="e">
        <f>AND(#REF!,"AAAAAH/a9Qs=")</f>
        <v>#REF!</v>
      </c>
      <c r="M261" t="e">
        <f>AND(#REF!,"AAAAAH/a9Qw=")</f>
        <v>#REF!</v>
      </c>
      <c r="N261" t="e">
        <f>AND(#REF!,"AAAAAH/a9Q0=")</f>
        <v>#REF!</v>
      </c>
      <c r="O261" t="e">
        <f>AND(#REF!,"AAAAAH/a9Q4=")</f>
        <v>#REF!</v>
      </c>
      <c r="P261" t="e">
        <f>AND(#REF!,"AAAAAH/a9Q8=")</f>
        <v>#REF!</v>
      </c>
      <c r="Q261" t="e">
        <f>AND(#REF!,"AAAAAH/a9RA=")</f>
        <v>#REF!</v>
      </c>
      <c r="R261" t="e">
        <f>AND(#REF!,"AAAAAH/a9RE=")</f>
        <v>#REF!</v>
      </c>
      <c r="S261" t="e">
        <f>AND(#REF!,"AAAAAH/a9RI=")</f>
        <v>#REF!</v>
      </c>
      <c r="T261" t="e">
        <f>AND(#REF!,"AAAAAH/a9RM=")</f>
        <v>#REF!</v>
      </c>
      <c r="U261" t="e">
        <f>AND(#REF!,"AAAAAH/a9RQ=")</f>
        <v>#REF!</v>
      </c>
      <c r="V261" t="e">
        <f>AND(#REF!,"AAAAAH/a9RU=")</f>
        <v>#REF!</v>
      </c>
      <c r="W261" t="e">
        <f>AND(#REF!,"AAAAAH/a9RY=")</f>
        <v>#REF!</v>
      </c>
      <c r="X261" t="e">
        <f>AND(#REF!,"AAAAAH/a9Rc=")</f>
        <v>#REF!</v>
      </c>
      <c r="Y261" t="e">
        <f>AND(#REF!,"AAAAAH/a9Rg=")</f>
        <v>#REF!</v>
      </c>
      <c r="Z261" t="e">
        <f>AND(#REF!,"AAAAAH/a9Rk=")</f>
        <v>#REF!</v>
      </c>
      <c r="AA261" t="e">
        <f>AND(#REF!,"AAAAAH/a9Ro=")</f>
        <v>#REF!</v>
      </c>
      <c r="AB261" t="e">
        <f>AND(#REF!,"AAAAAH/a9Rs=")</f>
        <v>#REF!</v>
      </c>
      <c r="AC261" t="e">
        <f>AND(#REF!,"AAAAAH/a9Rw=")</f>
        <v>#REF!</v>
      </c>
      <c r="AD261" t="e">
        <f>AND(#REF!,"AAAAAH/a9R0=")</f>
        <v>#REF!</v>
      </c>
      <c r="AE261" t="e">
        <f>AND(#REF!,"AAAAAH/a9R4=")</f>
        <v>#REF!</v>
      </c>
      <c r="AF261" t="e">
        <f>AND(#REF!,"AAAAAH/a9R8=")</f>
        <v>#REF!</v>
      </c>
      <c r="AG261" t="e">
        <f>AND(#REF!,"AAAAAH/a9SA=")</f>
        <v>#REF!</v>
      </c>
      <c r="AH261" t="e">
        <f>AND(#REF!,"AAAAAH/a9SE=")</f>
        <v>#REF!</v>
      </c>
      <c r="AI261" t="e">
        <f>AND(#REF!,"AAAAAH/a9SI=")</f>
        <v>#REF!</v>
      </c>
      <c r="AJ261" t="e">
        <f>AND(#REF!,"AAAAAH/a9SM=")</f>
        <v>#REF!</v>
      </c>
      <c r="AK261" t="e">
        <f>AND(#REF!,"AAAAAH/a9SQ=")</f>
        <v>#REF!</v>
      </c>
      <c r="AL261" t="e">
        <f>AND(#REF!,"AAAAAH/a9SU=")</f>
        <v>#REF!</v>
      </c>
      <c r="AM261" t="e">
        <f>AND(#REF!,"AAAAAH/a9SY=")</f>
        <v>#REF!</v>
      </c>
      <c r="AN261" t="e">
        <f>AND(#REF!,"AAAAAH/a9Sc=")</f>
        <v>#REF!</v>
      </c>
      <c r="AO261" t="e">
        <f>AND(#REF!,"AAAAAH/a9Sg=")</f>
        <v>#REF!</v>
      </c>
      <c r="AP261" t="e">
        <f>AND(#REF!,"AAAAAH/a9Sk=")</f>
        <v>#REF!</v>
      </c>
      <c r="AQ261" t="e">
        <f>AND(#REF!,"AAAAAH/a9So=")</f>
        <v>#REF!</v>
      </c>
      <c r="AR261" t="e">
        <f>AND(#REF!,"AAAAAH/a9Ss=")</f>
        <v>#REF!</v>
      </c>
      <c r="AS261" t="e">
        <f>AND(#REF!,"AAAAAH/a9Sw=")</f>
        <v>#REF!</v>
      </c>
      <c r="AT261" t="e">
        <f>AND(#REF!,"AAAAAH/a9S0=")</f>
        <v>#REF!</v>
      </c>
      <c r="AU261" t="e">
        <f>AND(#REF!,"AAAAAH/a9S4=")</f>
        <v>#REF!</v>
      </c>
      <c r="AV261" t="e">
        <f>AND(#REF!,"AAAAAH/a9S8=")</f>
        <v>#REF!</v>
      </c>
      <c r="AW261" t="e">
        <f>AND(#REF!,"AAAAAH/a9TA=")</f>
        <v>#REF!</v>
      </c>
      <c r="AX261" t="e">
        <f>AND(#REF!,"AAAAAH/a9TE=")</f>
        <v>#REF!</v>
      </c>
      <c r="AY261" t="e">
        <f>AND(#REF!,"AAAAAH/a9TI=")</f>
        <v>#REF!</v>
      </c>
      <c r="AZ261" t="e">
        <f>AND(#REF!,"AAAAAH/a9TM=")</f>
        <v>#REF!</v>
      </c>
      <c r="BA261" t="e">
        <f>AND(#REF!,"AAAAAH/a9TQ=")</f>
        <v>#REF!</v>
      </c>
      <c r="BB261" t="e">
        <f>AND(#REF!,"AAAAAH/a9TU=")</f>
        <v>#REF!</v>
      </c>
      <c r="BC261" t="e">
        <f>AND(#REF!,"AAAAAH/a9TY=")</f>
        <v>#REF!</v>
      </c>
      <c r="BD261" t="e">
        <f>AND(#REF!,"AAAAAH/a9Tc=")</f>
        <v>#REF!</v>
      </c>
      <c r="BE261" t="e">
        <f>AND(#REF!,"AAAAAH/a9Tg=")</f>
        <v>#REF!</v>
      </c>
      <c r="BF261" t="e">
        <f>AND(#REF!,"AAAAAH/a9Tk=")</f>
        <v>#REF!</v>
      </c>
      <c r="BG261" t="e">
        <f>AND(#REF!,"AAAAAH/a9To=")</f>
        <v>#REF!</v>
      </c>
      <c r="BH261" t="e">
        <f>AND(#REF!,"AAAAAH/a9Ts=")</f>
        <v>#REF!</v>
      </c>
      <c r="BI261" t="e">
        <f>AND(#REF!,"AAAAAH/a9Tw=")</f>
        <v>#REF!</v>
      </c>
      <c r="BJ261" t="e">
        <f>AND(#REF!,"AAAAAH/a9T0=")</f>
        <v>#REF!</v>
      </c>
      <c r="BK261" t="e">
        <f>AND(#REF!,"AAAAAH/a9T4=")</f>
        <v>#REF!</v>
      </c>
      <c r="BL261" t="e">
        <f>AND(#REF!,"AAAAAH/a9T8=")</f>
        <v>#REF!</v>
      </c>
      <c r="BM261" t="e">
        <f>AND(#REF!,"AAAAAH/a9UA=")</f>
        <v>#REF!</v>
      </c>
      <c r="BN261" t="e">
        <f>AND(#REF!,"AAAAAH/a9UE=")</f>
        <v>#REF!</v>
      </c>
      <c r="BO261" t="e">
        <f>AND(#REF!,"AAAAAH/a9UI=")</f>
        <v>#REF!</v>
      </c>
      <c r="BP261" t="e">
        <f>AND(#REF!,"AAAAAH/a9UM=")</f>
        <v>#REF!</v>
      </c>
      <c r="BQ261" t="e">
        <f>AND(#REF!,"AAAAAH/a9UQ=")</f>
        <v>#REF!</v>
      </c>
      <c r="BR261" t="e">
        <f>AND(#REF!,"AAAAAH/a9UU=")</f>
        <v>#REF!</v>
      </c>
      <c r="BS261" t="e">
        <f>AND(#REF!,"AAAAAH/a9UY=")</f>
        <v>#REF!</v>
      </c>
      <c r="BT261" t="e">
        <f>AND(#REF!,"AAAAAH/a9Uc=")</f>
        <v>#REF!</v>
      </c>
      <c r="BU261" t="e">
        <f>AND(#REF!,"AAAAAH/a9Ug=")</f>
        <v>#REF!</v>
      </c>
      <c r="BV261" t="e">
        <f>AND(#REF!,"AAAAAH/a9Uk=")</f>
        <v>#REF!</v>
      </c>
      <c r="BW261" t="e">
        <f>AND(#REF!,"AAAAAH/a9Uo=")</f>
        <v>#REF!</v>
      </c>
      <c r="BX261" t="e">
        <f>AND(#REF!,"AAAAAH/a9Us=")</f>
        <v>#REF!</v>
      </c>
      <c r="BY261" t="e">
        <f>AND(#REF!,"AAAAAH/a9Uw=")</f>
        <v>#REF!</v>
      </c>
      <c r="BZ261" t="e">
        <f>AND(#REF!,"AAAAAH/a9U0=")</f>
        <v>#REF!</v>
      </c>
      <c r="CA261" t="e">
        <f>AND(#REF!,"AAAAAH/a9U4=")</f>
        <v>#REF!</v>
      </c>
      <c r="CB261" t="e">
        <f>AND(#REF!,"AAAAAH/a9U8=")</f>
        <v>#REF!</v>
      </c>
      <c r="CC261" t="e">
        <f>AND(#REF!,"AAAAAH/a9VA=")</f>
        <v>#REF!</v>
      </c>
      <c r="CD261" t="e">
        <f>AND(#REF!,"AAAAAH/a9VE=")</f>
        <v>#REF!</v>
      </c>
      <c r="CE261" t="e">
        <f>AND(#REF!,"AAAAAH/a9VI=")</f>
        <v>#REF!</v>
      </c>
      <c r="CF261" t="e">
        <f>AND(#REF!,"AAAAAH/a9VM=")</f>
        <v>#REF!</v>
      </c>
      <c r="CG261" t="e">
        <f>AND(#REF!,"AAAAAH/a9VQ=")</f>
        <v>#REF!</v>
      </c>
      <c r="CH261" t="e">
        <f>AND(#REF!,"AAAAAH/a9VU=")</f>
        <v>#REF!</v>
      </c>
      <c r="CI261" t="e">
        <f>AND(#REF!,"AAAAAH/a9VY=")</f>
        <v>#REF!</v>
      </c>
      <c r="CJ261" t="e">
        <f>AND(#REF!,"AAAAAH/a9Vc=")</f>
        <v>#REF!</v>
      </c>
      <c r="CK261" t="e">
        <f>AND(#REF!,"AAAAAH/a9Vg=")</f>
        <v>#REF!</v>
      </c>
      <c r="CL261" t="e">
        <f>AND(#REF!,"AAAAAH/a9Vk=")</f>
        <v>#REF!</v>
      </c>
      <c r="CM261" t="e">
        <f>AND(#REF!,"AAAAAH/a9Vo=")</f>
        <v>#REF!</v>
      </c>
      <c r="CN261" t="e">
        <f>AND(#REF!,"AAAAAH/a9Vs=")</f>
        <v>#REF!</v>
      </c>
      <c r="CO261" t="e">
        <f>AND(#REF!,"AAAAAH/a9Vw=")</f>
        <v>#REF!</v>
      </c>
      <c r="CP261" t="e">
        <f>AND(#REF!,"AAAAAH/a9V0=")</f>
        <v>#REF!</v>
      </c>
      <c r="CQ261" t="e">
        <f>AND(#REF!,"AAAAAH/a9V4=")</f>
        <v>#REF!</v>
      </c>
      <c r="CR261" t="e">
        <f>AND(#REF!,"AAAAAH/a9V8=")</f>
        <v>#REF!</v>
      </c>
      <c r="CS261" t="e">
        <f>AND(#REF!,"AAAAAH/a9WA=")</f>
        <v>#REF!</v>
      </c>
      <c r="CT261" t="e">
        <f>AND(#REF!,"AAAAAH/a9WE=")</f>
        <v>#REF!</v>
      </c>
      <c r="CU261" t="e">
        <f>AND(#REF!,"AAAAAH/a9WI=")</f>
        <v>#REF!</v>
      </c>
      <c r="CV261" t="e">
        <f>AND(#REF!,"AAAAAH/a9WM=")</f>
        <v>#REF!</v>
      </c>
      <c r="CW261" t="e">
        <f>AND(#REF!,"AAAAAH/a9WQ=")</f>
        <v>#REF!</v>
      </c>
      <c r="CX261" t="e">
        <f>AND(#REF!,"AAAAAH/a9WU=")</f>
        <v>#REF!</v>
      </c>
      <c r="CY261" t="e">
        <f>AND(#REF!,"AAAAAH/a9WY=")</f>
        <v>#REF!</v>
      </c>
      <c r="CZ261" t="e">
        <f>AND(#REF!,"AAAAAH/a9Wc=")</f>
        <v>#REF!</v>
      </c>
      <c r="DA261" t="e">
        <f>AND(#REF!,"AAAAAH/a9Wg=")</f>
        <v>#REF!</v>
      </c>
      <c r="DB261" t="e">
        <f>AND(#REF!,"AAAAAH/a9Wk=")</f>
        <v>#REF!</v>
      </c>
      <c r="DC261" t="e">
        <f>AND(#REF!,"AAAAAH/a9Wo=")</f>
        <v>#REF!</v>
      </c>
      <c r="DD261" t="e">
        <f>AND(#REF!,"AAAAAH/a9Ws=")</f>
        <v>#REF!</v>
      </c>
      <c r="DE261" t="e">
        <f>AND(#REF!,"AAAAAH/a9Ww=")</f>
        <v>#REF!</v>
      </c>
      <c r="DF261" t="e">
        <f>AND(#REF!,"AAAAAH/a9W0=")</f>
        <v>#REF!</v>
      </c>
      <c r="DG261" t="e">
        <f>AND(#REF!,"AAAAAH/a9W4=")</f>
        <v>#REF!</v>
      </c>
      <c r="DH261" t="e">
        <f>AND(#REF!,"AAAAAH/a9W8=")</f>
        <v>#REF!</v>
      </c>
      <c r="DI261" t="e">
        <f>AND(#REF!,"AAAAAH/a9XA=")</f>
        <v>#REF!</v>
      </c>
      <c r="DJ261" t="e">
        <f>AND(#REF!,"AAAAAH/a9XE=")</f>
        <v>#REF!</v>
      </c>
      <c r="DK261" t="e">
        <f>AND(#REF!,"AAAAAH/a9XI=")</f>
        <v>#REF!</v>
      </c>
      <c r="DL261" t="e">
        <f>AND(#REF!,"AAAAAH/a9XM=")</f>
        <v>#REF!</v>
      </c>
      <c r="DM261" t="e">
        <f>AND(#REF!,"AAAAAH/a9XQ=")</f>
        <v>#REF!</v>
      </c>
      <c r="DN261" t="e">
        <f>AND(#REF!,"AAAAAH/a9XU=")</f>
        <v>#REF!</v>
      </c>
      <c r="DO261" t="e">
        <f>AND(#REF!,"AAAAAH/a9XY=")</f>
        <v>#REF!</v>
      </c>
      <c r="DP261" t="e">
        <f>AND(#REF!,"AAAAAH/a9Xc=")</f>
        <v>#REF!</v>
      </c>
      <c r="DQ261" t="e">
        <f>AND(#REF!,"AAAAAH/a9Xg=")</f>
        <v>#REF!</v>
      </c>
      <c r="DR261" t="e">
        <f>AND(#REF!,"AAAAAH/a9Xk=")</f>
        <v>#REF!</v>
      </c>
      <c r="DS261" t="e">
        <f>AND(#REF!,"AAAAAH/a9Xo=")</f>
        <v>#REF!</v>
      </c>
      <c r="DT261" t="e">
        <f>AND(#REF!,"AAAAAH/a9Xs=")</f>
        <v>#REF!</v>
      </c>
      <c r="DU261" t="e">
        <f>AND(#REF!,"AAAAAH/a9Xw=")</f>
        <v>#REF!</v>
      </c>
      <c r="DV261" t="e">
        <f>AND(#REF!,"AAAAAH/a9X0=")</f>
        <v>#REF!</v>
      </c>
      <c r="DW261" t="e">
        <f>AND(#REF!,"AAAAAH/a9X4=")</f>
        <v>#REF!</v>
      </c>
      <c r="DX261" t="e">
        <f>AND(#REF!,"AAAAAH/a9X8=")</f>
        <v>#REF!</v>
      </c>
      <c r="DY261" t="e">
        <f>AND(#REF!,"AAAAAH/a9YA=")</f>
        <v>#REF!</v>
      </c>
      <c r="DZ261" t="e">
        <f>AND(#REF!,"AAAAAH/a9YE=")</f>
        <v>#REF!</v>
      </c>
      <c r="EA261" t="e">
        <f>AND(#REF!,"AAAAAH/a9YI=")</f>
        <v>#REF!</v>
      </c>
      <c r="EB261" t="e">
        <f>AND(#REF!,"AAAAAH/a9YM=")</f>
        <v>#REF!</v>
      </c>
      <c r="EC261" t="e">
        <f>AND(#REF!,"AAAAAH/a9YQ=")</f>
        <v>#REF!</v>
      </c>
      <c r="ED261" t="e">
        <f>AND(#REF!,"AAAAAH/a9YU=")</f>
        <v>#REF!</v>
      </c>
      <c r="EE261" t="e">
        <f>AND(#REF!,"AAAAAH/a9YY=")</f>
        <v>#REF!</v>
      </c>
      <c r="EF261" t="e">
        <f>AND(#REF!,"AAAAAH/a9Yc=")</f>
        <v>#REF!</v>
      </c>
      <c r="EG261" t="e">
        <f>AND(#REF!,"AAAAAH/a9Yg=")</f>
        <v>#REF!</v>
      </c>
      <c r="EH261" t="e">
        <f>AND(#REF!,"AAAAAH/a9Yk=")</f>
        <v>#REF!</v>
      </c>
      <c r="EI261" t="e">
        <f>AND(#REF!,"AAAAAH/a9Yo=")</f>
        <v>#REF!</v>
      </c>
      <c r="EJ261" t="e">
        <f>AND(#REF!,"AAAAAH/a9Ys=")</f>
        <v>#REF!</v>
      </c>
      <c r="EK261" t="e">
        <f>AND(#REF!,"AAAAAH/a9Yw=")</f>
        <v>#REF!</v>
      </c>
      <c r="EL261" t="e">
        <f>AND(#REF!,"AAAAAH/a9Y0=")</f>
        <v>#REF!</v>
      </c>
      <c r="EM261" t="e">
        <f>AND(#REF!,"AAAAAH/a9Y4=")</f>
        <v>#REF!</v>
      </c>
      <c r="EN261" t="e">
        <f>AND(#REF!,"AAAAAH/a9Y8=")</f>
        <v>#REF!</v>
      </c>
      <c r="EO261" t="e">
        <f>AND(#REF!,"AAAAAH/a9ZA=")</f>
        <v>#REF!</v>
      </c>
      <c r="EP261" t="e">
        <f>AND(#REF!,"AAAAAH/a9ZE=")</f>
        <v>#REF!</v>
      </c>
      <c r="EQ261" t="e">
        <f>AND(#REF!,"AAAAAH/a9ZI=")</f>
        <v>#REF!</v>
      </c>
      <c r="ER261" t="e">
        <f>AND(#REF!,"AAAAAH/a9ZM=")</f>
        <v>#REF!</v>
      </c>
      <c r="ES261" t="e">
        <f>AND(#REF!,"AAAAAH/a9ZQ=")</f>
        <v>#REF!</v>
      </c>
      <c r="ET261" t="e">
        <f>AND(#REF!,"AAAAAH/a9ZU=")</f>
        <v>#REF!</v>
      </c>
      <c r="EU261" t="e">
        <f>AND(#REF!,"AAAAAH/a9ZY=")</f>
        <v>#REF!</v>
      </c>
      <c r="EV261" t="e">
        <f>AND(#REF!,"AAAAAH/a9Zc=")</f>
        <v>#REF!</v>
      </c>
      <c r="EW261" t="e">
        <f>AND(#REF!,"AAAAAH/a9Zg=")</f>
        <v>#REF!</v>
      </c>
      <c r="EX261" t="e">
        <f>AND(#REF!,"AAAAAH/a9Zk=")</f>
        <v>#REF!</v>
      </c>
      <c r="EY261" t="e">
        <f>AND(#REF!,"AAAAAH/a9Zo=")</f>
        <v>#REF!</v>
      </c>
      <c r="EZ261" t="e">
        <f>AND(#REF!,"AAAAAH/a9Zs=")</f>
        <v>#REF!</v>
      </c>
      <c r="FA261" t="e">
        <f>AND(#REF!,"AAAAAH/a9Zw=")</f>
        <v>#REF!</v>
      </c>
      <c r="FB261" t="e">
        <f>AND(#REF!,"AAAAAH/a9Z0=")</f>
        <v>#REF!</v>
      </c>
      <c r="FC261" t="e">
        <f>AND(#REF!,"AAAAAH/a9Z4=")</f>
        <v>#REF!</v>
      </c>
      <c r="FD261" t="e">
        <f>AND(#REF!,"AAAAAH/a9Z8=")</f>
        <v>#REF!</v>
      </c>
      <c r="FE261" t="e">
        <f>AND(#REF!,"AAAAAH/a9aA=")</f>
        <v>#REF!</v>
      </c>
      <c r="FF261" t="e">
        <f>AND(#REF!,"AAAAAH/a9aE=")</f>
        <v>#REF!</v>
      </c>
      <c r="FG261" t="e">
        <f>AND(#REF!,"AAAAAH/a9aI=")</f>
        <v>#REF!</v>
      </c>
      <c r="FH261" t="e">
        <f>AND(#REF!,"AAAAAH/a9aM=")</f>
        <v>#REF!</v>
      </c>
      <c r="FI261" t="e">
        <f>AND(#REF!,"AAAAAH/a9aQ=")</f>
        <v>#REF!</v>
      </c>
      <c r="FJ261" t="e">
        <f>AND(#REF!,"AAAAAH/a9aU=")</f>
        <v>#REF!</v>
      </c>
      <c r="FK261" t="e">
        <f>AND(#REF!,"AAAAAH/a9aY=")</f>
        <v>#REF!</v>
      </c>
      <c r="FL261" t="e">
        <f>AND(#REF!,"AAAAAH/a9ac=")</f>
        <v>#REF!</v>
      </c>
      <c r="FM261" t="e">
        <f>AND(#REF!,"AAAAAH/a9ag=")</f>
        <v>#REF!</v>
      </c>
      <c r="FN261" t="e">
        <f>AND(#REF!,"AAAAAH/a9ak=")</f>
        <v>#REF!</v>
      </c>
      <c r="FO261" t="e">
        <f>AND(#REF!,"AAAAAH/a9ao=")</f>
        <v>#REF!</v>
      </c>
      <c r="FP261" t="e">
        <f>AND(#REF!,"AAAAAH/a9as=")</f>
        <v>#REF!</v>
      </c>
      <c r="FQ261" t="e">
        <f>AND(#REF!,"AAAAAH/a9aw=")</f>
        <v>#REF!</v>
      </c>
      <c r="FR261" t="e">
        <f>AND(#REF!,"AAAAAH/a9a0=")</f>
        <v>#REF!</v>
      </c>
      <c r="FS261" t="e">
        <f>AND(#REF!,"AAAAAH/a9a4=")</f>
        <v>#REF!</v>
      </c>
      <c r="FT261" t="e">
        <f>AND(#REF!,"AAAAAH/a9a8=")</f>
        <v>#REF!</v>
      </c>
      <c r="FU261" t="e">
        <f>AND(#REF!,"AAAAAH/a9bA=")</f>
        <v>#REF!</v>
      </c>
      <c r="FV261" t="e">
        <f>AND(#REF!,"AAAAAH/a9bE=")</f>
        <v>#REF!</v>
      </c>
      <c r="FW261" t="e">
        <f>AND(#REF!,"AAAAAH/a9bI=")</f>
        <v>#REF!</v>
      </c>
      <c r="FX261" t="e">
        <f>AND(#REF!,"AAAAAH/a9bM=")</f>
        <v>#REF!</v>
      </c>
      <c r="FY261" t="e">
        <f>AND(#REF!,"AAAAAH/a9bQ=")</f>
        <v>#REF!</v>
      </c>
      <c r="FZ261" t="e">
        <f>AND(#REF!,"AAAAAH/a9bU=")</f>
        <v>#REF!</v>
      </c>
      <c r="GA261" t="e">
        <f>AND(#REF!,"AAAAAH/a9bY=")</f>
        <v>#REF!</v>
      </c>
      <c r="GB261" t="e">
        <f>AND(#REF!,"AAAAAH/a9bc=")</f>
        <v>#REF!</v>
      </c>
      <c r="GC261" t="e">
        <f>AND(#REF!,"AAAAAH/a9bg=")</f>
        <v>#REF!</v>
      </c>
      <c r="GD261" t="e">
        <f>AND(#REF!,"AAAAAH/a9bk=")</f>
        <v>#REF!</v>
      </c>
      <c r="GE261" t="e">
        <f>IF(#REF!,"AAAAAH/a9bo=",0)</f>
        <v>#REF!</v>
      </c>
      <c r="GF261" t="e">
        <f>AND(#REF!,"AAAAAH/a9bs=")</f>
        <v>#REF!</v>
      </c>
      <c r="GG261" t="e">
        <f>AND(#REF!,"AAAAAH/a9bw=")</f>
        <v>#REF!</v>
      </c>
      <c r="GH261" t="e">
        <f>AND(#REF!,"AAAAAH/a9b0=")</f>
        <v>#REF!</v>
      </c>
      <c r="GI261" t="e">
        <f>AND(#REF!,"AAAAAH/a9b4=")</f>
        <v>#REF!</v>
      </c>
      <c r="GJ261" t="e">
        <f>AND(#REF!,"AAAAAH/a9b8=")</f>
        <v>#REF!</v>
      </c>
      <c r="GK261" t="e">
        <f>AND(#REF!,"AAAAAH/a9cA=")</f>
        <v>#REF!</v>
      </c>
      <c r="GL261" t="e">
        <f>AND(#REF!,"AAAAAH/a9cE=")</f>
        <v>#REF!</v>
      </c>
      <c r="GM261" t="e">
        <f>AND(#REF!,"AAAAAH/a9cI=")</f>
        <v>#REF!</v>
      </c>
      <c r="GN261" t="e">
        <f>AND(#REF!,"AAAAAH/a9cM=")</f>
        <v>#REF!</v>
      </c>
      <c r="GO261" t="e">
        <f>AND(#REF!,"AAAAAH/a9cQ=")</f>
        <v>#REF!</v>
      </c>
      <c r="GP261" t="e">
        <f>AND(#REF!,"AAAAAH/a9cU=")</f>
        <v>#REF!</v>
      </c>
      <c r="GQ261" t="e">
        <f>AND(#REF!,"AAAAAH/a9cY=")</f>
        <v>#REF!</v>
      </c>
      <c r="GR261" t="e">
        <f>AND(#REF!,"AAAAAH/a9cc=")</f>
        <v>#REF!</v>
      </c>
      <c r="GS261" t="e">
        <f>AND(#REF!,"AAAAAH/a9cg=")</f>
        <v>#REF!</v>
      </c>
      <c r="GT261" t="e">
        <f>AND(#REF!,"AAAAAH/a9ck=")</f>
        <v>#REF!</v>
      </c>
      <c r="GU261" t="e">
        <f>AND(#REF!,"AAAAAH/a9co=")</f>
        <v>#REF!</v>
      </c>
      <c r="GV261" t="e">
        <f>AND(#REF!,"AAAAAH/a9cs=")</f>
        <v>#REF!</v>
      </c>
      <c r="GW261" t="e">
        <f>AND(#REF!,"AAAAAH/a9cw=")</f>
        <v>#REF!</v>
      </c>
      <c r="GX261" t="e">
        <f>AND(#REF!,"AAAAAH/a9c0=")</f>
        <v>#REF!</v>
      </c>
      <c r="GY261" t="e">
        <f>AND(#REF!,"AAAAAH/a9c4=")</f>
        <v>#REF!</v>
      </c>
      <c r="GZ261" t="e">
        <f>AND(#REF!,"AAAAAH/a9c8=")</f>
        <v>#REF!</v>
      </c>
      <c r="HA261" t="e">
        <f>AND(#REF!,"AAAAAH/a9dA=")</f>
        <v>#REF!</v>
      </c>
      <c r="HB261" t="e">
        <f>AND(#REF!,"AAAAAH/a9dE=")</f>
        <v>#REF!</v>
      </c>
      <c r="HC261" t="e">
        <f>AND(#REF!,"AAAAAH/a9dI=")</f>
        <v>#REF!</v>
      </c>
      <c r="HD261" t="e">
        <f>AND(#REF!,"AAAAAH/a9dM=")</f>
        <v>#REF!</v>
      </c>
      <c r="HE261" t="e">
        <f>AND(#REF!,"AAAAAH/a9dQ=")</f>
        <v>#REF!</v>
      </c>
      <c r="HF261" t="e">
        <f>AND(#REF!,"AAAAAH/a9dU=")</f>
        <v>#REF!</v>
      </c>
      <c r="HG261" t="e">
        <f>AND(#REF!,"AAAAAH/a9dY=")</f>
        <v>#REF!</v>
      </c>
      <c r="HH261" t="e">
        <f>AND(#REF!,"AAAAAH/a9dc=")</f>
        <v>#REF!</v>
      </c>
      <c r="HI261" t="e">
        <f>AND(#REF!,"AAAAAH/a9dg=")</f>
        <v>#REF!</v>
      </c>
      <c r="HJ261" t="e">
        <f>AND(#REF!,"AAAAAH/a9dk=")</f>
        <v>#REF!</v>
      </c>
      <c r="HK261" t="e">
        <f>AND(#REF!,"AAAAAH/a9do=")</f>
        <v>#REF!</v>
      </c>
      <c r="HL261" t="e">
        <f>AND(#REF!,"AAAAAH/a9ds=")</f>
        <v>#REF!</v>
      </c>
      <c r="HM261" t="e">
        <f>AND(#REF!,"AAAAAH/a9dw=")</f>
        <v>#REF!</v>
      </c>
      <c r="HN261" t="e">
        <f>AND(#REF!,"AAAAAH/a9d0=")</f>
        <v>#REF!</v>
      </c>
      <c r="HO261" t="e">
        <f>AND(#REF!,"AAAAAH/a9d4=")</f>
        <v>#REF!</v>
      </c>
      <c r="HP261" t="e">
        <f>AND(#REF!,"AAAAAH/a9d8=")</f>
        <v>#REF!</v>
      </c>
      <c r="HQ261" t="e">
        <f>AND(#REF!,"AAAAAH/a9eA=")</f>
        <v>#REF!</v>
      </c>
      <c r="HR261" t="e">
        <f>AND(#REF!,"AAAAAH/a9eE=")</f>
        <v>#REF!</v>
      </c>
      <c r="HS261" t="e">
        <f>AND(#REF!,"AAAAAH/a9eI=")</f>
        <v>#REF!</v>
      </c>
      <c r="HT261" t="e">
        <f>AND(#REF!,"AAAAAH/a9eM=")</f>
        <v>#REF!</v>
      </c>
      <c r="HU261" t="e">
        <f>AND(#REF!,"AAAAAH/a9eQ=")</f>
        <v>#REF!</v>
      </c>
      <c r="HV261" t="e">
        <f>AND(#REF!,"AAAAAH/a9eU=")</f>
        <v>#REF!</v>
      </c>
      <c r="HW261" t="e">
        <f>AND(#REF!,"AAAAAH/a9eY=")</f>
        <v>#REF!</v>
      </c>
      <c r="HX261" t="e">
        <f>AND(#REF!,"AAAAAH/a9ec=")</f>
        <v>#REF!</v>
      </c>
      <c r="HY261" t="e">
        <f>AND(#REF!,"AAAAAH/a9eg=")</f>
        <v>#REF!</v>
      </c>
      <c r="HZ261" t="e">
        <f>AND(#REF!,"AAAAAH/a9ek=")</f>
        <v>#REF!</v>
      </c>
      <c r="IA261" t="e">
        <f>AND(#REF!,"AAAAAH/a9eo=")</f>
        <v>#REF!</v>
      </c>
      <c r="IB261" t="e">
        <f>AND(#REF!,"AAAAAH/a9es=")</f>
        <v>#REF!</v>
      </c>
      <c r="IC261" t="e">
        <f>AND(#REF!,"AAAAAH/a9ew=")</f>
        <v>#REF!</v>
      </c>
      <c r="ID261" t="e">
        <f>AND(#REF!,"AAAAAH/a9e0=")</f>
        <v>#REF!</v>
      </c>
      <c r="IE261" t="e">
        <f>AND(#REF!,"AAAAAH/a9e4=")</f>
        <v>#REF!</v>
      </c>
      <c r="IF261" t="e">
        <f>AND(#REF!,"AAAAAH/a9e8=")</f>
        <v>#REF!</v>
      </c>
      <c r="IG261" t="e">
        <f>AND(#REF!,"AAAAAH/a9fA=")</f>
        <v>#REF!</v>
      </c>
      <c r="IH261" t="e">
        <f>AND(#REF!,"AAAAAH/a9fE=")</f>
        <v>#REF!</v>
      </c>
      <c r="II261" t="e">
        <f>AND(#REF!,"AAAAAH/a9fI=")</f>
        <v>#REF!</v>
      </c>
      <c r="IJ261" t="e">
        <f>AND(#REF!,"AAAAAH/a9fM=")</f>
        <v>#REF!</v>
      </c>
      <c r="IK261" t="e">
        <f>AND(#REF!,"AAAAAH/a9fQ=")</f>
        <v>#REF!</v>
      </c>
      <c r="IL261" t="e">
        <f>AND(#REF!,"AAAAAH/a9fU=")</f>
        <v>#REF!</v>
      </c>
      <c r="IM261" t="e">
        <f>AND(#REF!,"AAAAAH/a9fY=")</f>
        <v>#REF!</v>
      </c>
      <c r="IN261" t="e">
        <f>AND(#REF!,"AAAAAH/a9fc=")</f>
        <v>#REF!</v>
      </c>
      <c r="IO261" t="e">
        <f>AND(#REF!,"AAAAAH/a9fg=")</f>
        <v>#REF!</v>
      </c>
      <c r="IP261" t="e">
        <f>AND(#REF!,"AAAAAH/a9fk=")</f>
        <v>#REF!</v>
      </c>
      <c r="IQ261" t="e">
        <f>AND(#REF!,"AAAAAH/a9fo=")</f>
        <v>#REF!</v>
      </c>
      <c r="IR261" t="e">
        <f>AND(#REF!,"AAAAAH/a9fs=")</f>
        <v>#REF!</v>
      </c>
      <c r="IS261" t="e">
        <f>AND(#REF!,"AAAAAH/a9fw=")</f>
        <v>#REF!</v>
      </c>
      <c r="IT261" t="e">
        <f>AND(#REF!,"AAAAAH/a9f0=")</f>
        <v>#REF!</v>
      </c>
      <c r="IU261" t="e">
        <f>AND(#REF!,"AAAAAH/a9f4=")</f>
        <v>#REF!</v>
      </c>
      <c r="IV261" t="e">
        <f>AND(#REF!,"AAAAAH/a9f8=")</f>
        <v>#REF!</v>
      </c>
    </row>
    <row r="262" spans="1:256">
      <c r="A262" t="e">
        <f>AND(#REF!,"AAAAAHxYPwA=")</f>
        <v>#REF!</v>
      </c>
      <c r="B262" t="e">
        <f>AND(#REF!,"AAAAAHxYPwE=")</f>
        <v>#REF!</v>
      </c>
      <c r="C262" t="e">
        <f>AND(#REF!,"AAAAAHxYPwI=")</f>
        <v>#REF!</v>
      </c>
      <c r="D262" t="e">
        <f>AND(#REF!,"AAAAAHxYPwM=")</f>
        <v>#REF!</v>
      </c>
      <c r="E262" t="e">
        <f>AND(#REF!,"AAAAAHxYPwQ=")</f>
        <v>#REF!</v>
      </c>
      <c r="F262" t="e">
        <f>AND(#REF!,"AAAAAHxYPwU=")</f>
        <v>#REF!</v>
      </c>
      <c r="G262" t="e">
        <f>AND(#REF!,"AAAAAHxYPwY=")</f>
        <v>#REF!</v>
      </c>
      <c r="H262" t="e">
        <f>AND(#REF!,"AAAAAHxYPwc=")</f>
        <v>#REF!</v>
      </c>
      <c r="I262" t="e">
        <f>AND(#REF!,"AAAAAHxYPwg=")</f>
        <v>#REF!</v>
      </c>
      <c r="J262" t="e">
        <f>AND(#REF!,"AAAAAHxYPwk=")</f>
        <v>#REF!</v>
      </c>
      <c r="K262" t="e">
        <f>AND(#REF!,"AAAAAHxYPwo=")</f>
        <v>#REF!</v>
      </c>
      <c r="L262" t="e">
        <f>AND(#REF!,"AAAAAHxYPws=")</f>
        <v>#REF!</v>
      </c>
      <c r="M262" t="e">
        <f>AND(#REF!,"AAAAAHxYPww=")</f>
        <v>#REF!</v>
      </c>
      <c r="N262" t="e">
        <f>AND(#REF!,"AAAAAHxYPw0=")</f>
        <v>#REF!</v>
      </c>
      <c r="O262" t="e">
        <f>AND(#REF!,"AAAAAHxYPw4=")</f>
        <v>#REF!</v>
      </c>
      <c r="P262" t="e">
        <f>AND(#REF!,"AAAAAHxYPw8=")</f>
        <v>#REF!</v>
      </c>
      <c r="Q262" t="e">
        <f>AND(#REF!,"AAAAAHxYPxA=")</f>
        <v>#REF!</v>
      </c>
      <c r="R262" t="e">
        <f>AND(#REF!,"AAAAAHxYPxE=")</f>
        <v>#REF!</v>
      </c>
      <c r="S262" t="e">
        <f>AND(#REF!,"AAAAAHxYPxI=")</f>
        <v>#REF!</v>
      </c>
      <c r="T262" t="e">
        <f>AND(#REF!,"AAAAAHxYPxM=")</f>
        <v>#REF!</v>
      </c>
      <c r="U262" t="e">
        <f>AND(#REF!,"AAAAAHxYPxQ=")</f>
        <v>#REF!</v>
      </c>
      <c r="V262" t="e">
        <f>AND(#REF!,"AAAAAHxYPxU=")</f>
        <v>#REF!</v>
      </c>
      <c r="W262" t="e">
        <f>AND(#REF!,"AAAAAHxYPxY=")</f>
        <v>#REF!</v>
      </c>
      <c r="X262" t="e">
        <f>AND(#REF!,"AAAAAHxYPxc=")</f>
        <v>#REF!</v>
      </c>
      <c r="Y262" t="e">
        <f>AND(#REF!,"AAAAAHxYPxg=")</f>
        <v>#REF!</v>
      </c>
      <c r="Z262" t="e">
        <f>AND(#REF!,"AAAAAHxYPxk=")</f>
        <v>#REF!</v>
      </c>
      <c r="AA262" t="e">
        <f>AND(#REF!,"AAAAAHxYPxo=")</f>
        <v>#REF!</v>
      </c>
      <c r="AB262" t="e">
        <f>AND(#REF!,"AAAAAHxYPxs=")</f>
        <v>#REF!</v>
      </c>
      <c r="AC262" t="e">
        <f>AND(#REF!,"AAAAAHxYPxw=")</f>
        <v>#REF!</v>
      </c>
      <c r="AD262" t="e">
        <f>AND(#REF!,"AAAAAHxYPx0=")</f>
        <v>#REF!</v>
      </c>
      <c r="AE262" t="e">
        <f>AND(#REF!,"AAAAAHxYPx4=")</f>
        <v>#REF!</v>
      </c>
      <c r="AF262" t="e">
        <f>AND(#REF!,"AAAAAHxYPx8=")</f>
        <v>#REF!</v>
      </c>
      <c r="AG262" t="e">
        <f>AND(#REF!,"AAAAAHxYPyA=")</f>
        <v>#REF!</v>
      </c>
      <c r="AH262" t="e">
        <f>AND(#REF!,"AAAAAHxYPyE=")</f>
        <v>#REF!</v>
      </c>
      <c r="AI262" t="e">
        <f>AND(#REF!,"AAAAAHxYPyI=")</f>
        <v>#REF!</v>
      </c>
      <c r="AJ262" t="e">
        <f>AND(#REF!,"AAAAAHxYPyM=")</f>
        <v>#REF!</v>
      </c>
      <c r="AK262" t="e">
        <f>AND(#REF!,"AAAAAHxYPyQ=")</f>
        <v>#REF!</v>
      </c>
      <c r="AL262" t="e">
        <f>AND(#REF!,"AAAAAHxYPyU=")</f>
        <v>#REF!</v>
      </c>
      <c r="AM262" t="e">
        <f>AND(#REF!,"AAAAAHxYPyY=")</f>
        <v>#REF!</v>
      </c>
      <c r="AN262" t="e">
        <f>AND(#REF!,"AAAAAHxYPyc=")</f>
        <v>#REF!</v>
      </c>
      <c r="AO262" t="e">
        <f>AND(#REF!,"AAAAAHxYPyg=")</f>
        <v>#REF!</v>
      </c>
      <c r="AP262" t="e">
        <f>AND(#REF!,"AAAAAHxYPyk=")</f>
        <v>#REF!</v>
      </c>
      <c r="AQ262" t="e">
        <f>AND(#REF!,"AAAAAHxYPyo=")</f>
        <v>#REF!</v>
      </c>
      <c r="AR262" t="e">
        <f>AND(#REF!,"AAAAAHxYPys=")</f>
        <v>#REF!</v>
      </c>
      <c r="AS262" t="e">
        <f>AND(#REF!,"AAAAAHxYPyw=")</f>
        <v>#REF!</v>
      </c>
      <c r="AT262" t="e">
        <f>AND(#REF!,"AAAAAHxYPy0=")</f>
        <v>#REF!</v>
      </c>
      <c r="AU262" t="e">
        <f>AND(#REF!,"AAAAAHxYPy4=")</f>
        <v>#REF!</v>
      </c>
      <c r="AV262" t="e">
        <f>AND(#REF!,"AAAAAHxYPy8=")</f>
        <v>#REF!</v>
      </c>
      <c r="AW262" t="e">
        <f>AND(#REF!,"AAAAAHxYPzA=")</f>
        <v>#REF!</v>
      </c>
      <c r="AX262" t="e">
        <f>AND(#REF!,"AAAAAHxYPzE=")</f>
        <v>#REF!</v>
      </c>
      <c r="AY262" t="e">
        <f>AND(#REF!,"AAAAAHxYPzI=")</f>
        <v>#REF!</v>
      </c>
      <c r="AZ262" t="e">
        <f>AND(#REF!,"AAAAAHxYPzM=")</f>
        <v>#REF!</v>
      </c>
      <c r="BA262" t="e">
        <f>AND(#REF!,"AAAAAHxYPzQ=")</f>
        <v>#REF!</v>
      </c>
      <c r="BB262" t="e">
        <f>AND(#REF!,"AAAAAHxYPzU=")</f>
        <v>#REF!</v>
      </c>
      <c r="BC262" t="e">
        <f>AND(#REF!,"AAAAAHxYPzY=")</f>
        <v>#REF!</v>
      </c>
      <c r="BD262" t="e">
        <f>AND(#REF!,"AAAAAHxYPzc=")</f>
        <v>#REF!</v>
      </c>
      <c r="BE262" t="e">
        <f>AND(#REF!,"AAAAAHxYPzg=")</f>
        <v>#REF!</v>
      </c>
      <c r="BF262" t="e">
        <f>AND(#REF!,"AAAAAHxYPzk=")</f>
        <v>#REF!</v>
      </c>
      <c r="BG262" t="e">
        <f>AND(#REF!,"AAAAAHxYPzo=")</f>
        <v>#REF!</v>
      </c>
      <c r="BH262" t="e">
        <f>AND(#REF!,"AAAAAHxYPzs=")</f>
        <v>#REF!</v>
      </c>
      <c r="BI262" t="e">
        <f>AND(#REF!,"AAAAAHxYPzw=")</f>
        <v>#REF!</v>
      </c>
      <c r="BJ262" t="e">
        <f>AND(#REF!,"AAAAAHxYPz0=")</f>
        <v>#REF!</v>
      </c>
      <c r="BK262" t="e">
        <f>AND(#REF!,"AAAAAHxYPz4=")</f>
        <v>#REF!</v>
      </c>
      <c r="BL262" t="e">
        <f>AND(#REF!,"AAAAAHxYPz8=")</f>
        <v>#REF!</v>
      </c>
      <c r="BM262" t="e">
        <f>AND(#REF!,"AAAAAHxYP0A=")</f>
        <v>#REF!</v>
      </c>
      <c r="BN262" t="e">
        <f>AND(#REF!,"AAAAAHxYP0E=")</f>
        <v>#REF!</v>
      </c>
      <c r="BO262" t="e">
        <f>AND(#REF!,"AAAAAHxYP0I=")</f>
        <v>#REF!</v>
      </c>
      <c r="BP262" t="e">
        <f>AND(#REF!,"AAAAAHxYP0M=")</f>
        <v>#REF!</v>
      </c>
      <c r="BQ262" t="e">
        <f>AND(#REF!,"AAAAAHxYP0Q=")</f>
        <v>#REF!</v>
      </c>
      <c r="BR262" t="e">
        <f>AND(#REF!,"AAAAAHxYP0U=")</f>
        <v>#REF!</v>
      </c>
      <c r="BS262" t="e">
        <f>AND(#REF!,"AAAAAHxYP0Y=")</f>
        <v>#REF!</v>
      </c>
      <c r="BT262" t="e">
        <f>AND(#REF!,"AAAAAHxYP0c=")</f>
        <v>#REF!</v>
      </c>
      <c r="BU262" t="e">
        <f>AND(#REF!,"AAAAAHxYP0g=")</f>
        <v>#REF!</v>
      </c>
      <c r="BV262" t="e">
        <f>AND(#REF!,"AAAAAHxYP0k=")</f>
        <v>#REF!</v>
      </c>
      <c r="BW262" t="e">
        <f>AND(#REF!,"AAAAAHxYP0o=")</f>
        <v>#REF!</v>
      </c>
      <c r="BX262" t="e">
        <f>AND(#REF!,"AAAAAHxYP0s=")</f>
        <v>#REF!</v>
      </c>
      <c r="BY262" t="e">
        <f>AND(#REF!,"AAAAAHxYP0w=")</f>
        <v>#REF!</v>
      </c>
      <c r="BZ262" t="e">
        <f>AND(#REF!,"AAAAAHxYP00=")</f>
        <v>#REF!</v>
      </c>
      <c r="CA262" t="e">
        <f>AND(#REF!,"AAAAAHxYP04=")</f>
        <v>#REF!</v>
      </c>
      <c r="CB262" t="e">
        <f>AND(#REF!,"AAAAAHxYP08=")</f>
        <v>#REF!</v>
      </c>
      <c r="CC262" t="e">
        <f>AND(#REF!,"AAAAAHxYP1A=")</f>
        <v>#REF!</v>
      </c>
      <c r="CD262" t="e">
        <f>AND(#REF!,"AAAAAHxYP1E=")</f>
        <v>#REF!</v>
      </c>
      <c r="CE262" t="e">
        <f>AND(#REF!,"AAAAAHxYP1I=")</f>
        <v>#REF!</v>
      </c>
      <c r="CF262" t="e">
        <f>AND(#REF!,"AAAAAHxYP1M=")</f>
        <v>#REF!</v>
      </c>
      <c r="CG262" t="e">
        <f>AND(#REF!,"AAAAAHxYP1Q=")</f>
        <v>#REF!</v>
      </c>
      <c r="CH262" t="e">
        <f>AND(#REF!,"AAAAAHxYP1U=")</f>
        <v>#REF!</v>
      </c>
      <c r="CI262" t="e">
        <f>AND(#REF!,"AAAAAHxYP1Y=")</f>
        <v>#REF!</v>
      </c>
      <c r="CJ262" t="e">
        <f>AND(#REF!,"AAAAAHxYP1c=")</f>
        <v>#REF!</v>
      </c>
      <c r="CK262" t="e">
        <f>AND(#REF!,"AAAAAHxYP1g=")</f>
        <v>#REF!</v>
      </c>
      <c r="CL262" t="e">
        <f>AND(#REF!,"AAAAAHxYP1k=")</f>
        <v>#REF!</v>
      </c>
      <c r="CM262" t="e">
        <f>AND(#REF!,"AAAAAHxYP1o=")</f>
        <v>#REF!</v>
      </c>
      <c r="CN262" t="e">
        <f>AND(#REF!,"AAAAAHxYP1s=")</f>
        <v>#REF!</v>
      </c>
      <c r="CO262" t="e">
        <f>AND(#REF!,"AAAAAHxYP1w=")</f>
        <v>#REF!</v>
      </c>
      <c r="CP262" t="e">
        <f>AND(#REF!,"AAAAAHxYP10=")</f>
        <v>#REF!</v>
      </c>
      <c r="CQ262" t="e">
        <f>AND(#REF!,"AAAAAHxYP14=")</f>
        <v>#REF!</v>
      </c>
      <c r="CR262" t="e">
        <f>AND(#REF!,"AAAAAHxYP18=")</f>
        <v>#REF!</v>
      </c>
      <c r="CS262" t="e">
        <f>AND(#REF!,"AAAAAHxYP2A=")</f>
        <v>#REF!</v>
      </c>
      <c r="CT262" t="e">
        <f>AND(#REF!,"AAAAAHxYP2E=")</f>
        <v>#REF!</v>
      </c>
      <c r="CU262" t="e">
        <f>AND(#REF!,"AAAAAHxYP2I=")</f>
        <v>#REF!</v>
      </c>
      <c r="CV262" t="e">
        <f>AND(#REF!,"AAAAAHxYP2M=")</f>
        <v>#REF!</v>
      </c>
      <c r="CW262" t="e">
        <f>AND(#REF!,"AAAAAHxYP2Q=")</f>
        <v>#REF!</v>
      </c>
      <c r="CX262" t="e">
        <f>AND(#REF!,"AAAAAHxYP2U=")</f>
        <v>#REF!</v>
      </c>
      <c r="CY262" t="e">
        <f>AND(#REF!,"AAAAAHxYP2Y=")</f>
        <v>#REF!</v>
      </c>
      <c r="CZ262" t="e">
        <f>AND(#REF!,"AAAAAHxYP2c=")</f>
        <v>#REF!</v>
      </c>
      <c r="DA262" t="e">
        <f>AND(#REF!,"AAAAAHxYP2g=")</f>
        <v>#REF!</v>
      </c>
      <c r="DB262" t="e">
        <f>AND(#REF!,"AAAAAHxYP2k=")</f>
        <v>#REF!</v>
      </c>
      <c r="DC262" t="e">
        <f>AND(#REF!,"AAAAAHxYP2o=")</f>
        <v>#REF!</v>
      </c>
      <c r="DD262" t="e">
        <f>AND(#REF!,"AAAAAHxYP2s=")</f>
        <v>#REF!</v>
      </c>
      <c r="DE262" t="e">
        <f>AND(#REF!,"AAAAAHxYP2w=")</f>
        <v>#REF!</v>
      </c>
      <c r="DF262" t="e">
        <f>AND(#REF!,"AAAAAHxYP20=")</f>
        <v>#REF!</v>
      </c>
      <c r="DG262" t="e">
        <f>AND(#REF!,"AAAAAHxYP24=")</f>
        <v>#REF!</v>
      </c>
      <c r="DH262" t="e">
        <f>AND(#REF!,"AAAAAHxYP28=")</f>
        <v>#REF!</v>
      </c>
      <c r="DI262" t="e">
        <f>AND(#REF!,"AAAAAHxYP3A=")</f>
        <v>#REF!</v>
      </c>
      <c r="DJ262" t="e">
        <f>AND(#REF!,"AAAAAHxYP3E=")</f>
        <v>#REF!</v>
      </c>
      <c r="DK262" t="e">
        <f>AND(#REF!,"AAAAAHxYP3I=")</f>
        <v>#REF!</v>
      </c>
      <c r="DL262" t="e">
        <f>AND(#REF!,"AAAAAHxYP3M=")</f>
        <v>#REF!</v>
      </c>
      <c r="DM262" t="e">
        <f>AND(#REF!,"AAAAAHxYP3Q=")</f>
        <v>#REF!</v>
      </c>
      <c r="DN262" t="e">
        <f>AND(#REF!,"AAAAAHxYP3U=")</f>
        <v>#REF!</v>
      </c>
      <c r="DO262" t="e">
        <f>AND(#REF!,"AAAAAHxYP3Y=")</f>
        <v>#REF!</v>
      </c>
      <c r="DP262" t="e">
        <f>AND(#REF!,"AAAAAHxYP3c=")</f>
        <v>#REF!</v>
      </c>
      <c r="DQ262" t="e">
        <f>AND(#REF!,"AAAAAHxYP3g=")</f>
        <v>#REF!</v>
      </c>
      <c r="DR262" t="e">
        <f>AND(#REF!,"AAAAAHxYP3k=")</f>
        <v>#REF!</v>
      </c>
      <c r="DS262" t="e">
        <f>AND(#REF!,"AAAAAHxYP3o=")</f>
        <v>#REF!</v>
      </c>
      <c r="DT262" t="e">
        <f>AND(#REF!,"AAAAAHxYP3s=")</f>
        <v>#REF!</v>
      </c>
      <c r="DU262" t="e">
        <f>AND(#REF!,"AAAAAHxYP3w=")</f>
        <v>#REF!</v>
      </c>
      <c r="DV262" t="e">
        <f>AND(#REF!,"AAAAAHxYP30=")</f>
        <v>#REF!</v>
      </c>
      <c r="DW262" t="e">
        <f>AND(#REF!,"AAAAAHxYP34=")</f>
        <v>#REF!</v>
      </c>
      <c r="DX262" t="e">
        <f>AND(#REF!,"AAAAAHxYP38=")</f>
        <v>#REF!</v>
      </c>
      <c r="DY262" t="e">
        <f>AND(#REF!,"AAAAAHxYP4A=")</f>
        <v>#REF!</v>
      </c>
      <c r="DZ262" t="e">
        <f>AND(#REF!,"AAAAAHxYP4E=")</f>
        <v>#REF!</v>
      </c>
      <c r="EA262" t="e">
        <f>AND(#REF!,"AAAAAHxYP4I=")</f>
        <v>#REF!</v>
      </c>
      <c r="EB262" t="e">
        <f>AND(#REF!,"AAAAAHxYP4M=")</f>
        <v>#REF!</v>
      </c>
      <c r="EC262" t="e">
        <f>AND(#REF!,"AAAAAHxYP4Q=")</f>
        <v>#REF!</v>
      </c>
      <c r="ED262" t="e">
        <f>AND(#REF!,"AAAAAHxYP4U=")</f>
        <v>#REF!</v>
      </c>
      <c r="EE262" t="e">
        <f>AND(#REF!,"AAAAAHxYP4Y=")</f>
        <v>#REF!</v>
      </c>
      <c r="EF262" t="e">
        <f>AND(#REF!,"AAAAAHxYP4c=")</f>
        <v>#REF!</v>
      </c>
      <c r="EG262" t="e">
        <f>AND(#REF!,"AAAAAHxYP4g=")</f>
        <v>#REF!</v>
      </c>
      <c r="EH262" t="e">
        <f>AND(#REF!,"AAAAAHxYP4k=")</f>
        <v>#REF!</v>
      </c>
      <c r="EI262" t="e">
        <f>AND(#REF!,"AAAAAHxYP4o=")</f>
        <v>#REF!</v>
      </c>
      <c r="EJ262" t="e">
        <f>AND(#REF!,"AAAAAHxYP4s=")</f>
        <v>#REF!</v>
      </c>
      <c r="EK262" t="e">
        <f>AND(#REF!,"AAAAAHxYP4w=")</f>
        <v>#REF!</v>
      </c>
      <c r="EL262" t="e">
        <f>AND(#REF!,"AAAAAHxYP40=")</f>
        <v>#REF!</v>
      </c>
      <c r="EM262" t="e">
        <f>AND(#REF!,"AAAAAHxYP44=")</f>
        <v>#REF!</v>
      </c>
      <c r="EN262" t="e">
        <f>AND(#REF!,"AAAAAHxYP48=")</f>
        <v>#REF!</v>
      </c>
      <c r="EO262" t="e">
        <f>AND(#REF!,"AAAAAHxYP5A=")</f>
        <v>#REF!</v>
      </c>
      <c r="EP262" t="e">
        <f>AND(#REF!,"AAAAAHxYP5E=")</f>
        <v>#REF!</v>
      </c>
      <c r="EQ262" t="e">
        <f>AND(#REF!,"AAAAAHxYP5I=")</f>
        <v>#REF!</v>
      </c>
      <c r="ER262" t="e">
        <f>AND(#REF!,"AAAAAHxYP5M=")</f>
        <v>#REF!</v>
      </c>
      <c r="ES262" t="e">
        <f>AND(#REF!,"AAAAAHxYP5Q=")</f>
        <v>#REF!</v>
      </c>
      <c r="ET262" t="e">
        <f>AND(#REF!,"AAAAAHxYP5U=")</f>
        <v>#REF!</v>
      </c>
      <c r="EU262" t="e">
        <f>AND(#REF!,"AAAAAHxYP5Y=")</f>
        <v>#REF!</v>
      </c>
      <c r="EV262" t="e">
        <f>AND(#REF!,"AAAAAHxYP5c=")</f>
        <v>#REF!</v>
      </c>
      <c r="EW262" t="e">
        <f>AND(#REF!,"AAAAAHxYP5g=")</f>
        <v>#REF!</v>
      </c>
      <c r="EX262" t="e">
        <f>AND(#REF!,"AAAAAHxYP5k=")</f>
        <v>#REF!</v>
      </c>
      <c r="EY262" t="e">
        <f>AND(#REF!,"AAAAAHxYP5o=")</f>
        <v>#REF!</v>
      </c>
      <c r="EZ262" t="e">
        <f>AND(#REF!,"AAAAAHxYP5s=")</f>
        <v>#REF!</v>
      </c>
      <c r="FA262" t="e">
        <f>AND(#REF!,"AAAAAHxYP5w=")</f>
        <v>#REF!</v>
      </c>
      <c r="FB262" t="e">
        <f>AND(#REF!,"AAAAAHxYP50=")</f>
        <v>#REF!</v>
      </c>
      <c r="FC262" t="e">
        <f>IF(#REF!,"AAAAAHxYP54=",0)</f>
        <v>#REF!</v>
      </c>
      <c r="FD262" t="e">
        <f>AND(#REF!,"AAAAAHxYP58=")</f>
        <v>#REF!</v>
      </c>
      <c r="FE262" t="e">
        <f>AND(#REF!,"AAAAAHxYP6A=")</f>
        <v>#REF!</v>
      </c>
      <c r="FF262" t="e">
        <f>AND(#REF!,"AAAAAHxYP6E=")</f>
        <v>#REF!</v>
      </c>
      <c r="FG262" t="e">
        <f>AND(#REF!,"AAAAAHxYP6I=")</f>
        <v>#REF!</v>
      </c>
      <c r="FH262" t="e">
        <f>AND(#REF!,"AAAAAHxYP6M=")</f>
        <v>#REF!</v>
      </c>
      <c r="FI262" t="e">
        <f>AND(#REF!,"AAAAAHxYP6Q=")</f>
        <v>#REF!</v>
      </c>
      <c r="FJ262" t="e">
        <f>AND(#REF!,"AAAAAHxYP6U=")</f>
        <v>#REF!</v>
      </c>
      <c r="FK262" t="e">
        <f>AND(#REF!,"AAAAAHxYP6Y=")</f>
        <v>#REF!</v>
      </c>
      <c r="FL262" t="e">
        <f>AND(#REF!,"AAAAAHxYP6c=")</f>
        <v>#REF!</v>
      </c>
      <c r="FM262" t="e">
        <f>AND(#REF!,"AAAAAHxYP6g=")</f>
        <v>#REF!</v>
      </c>
      <c r="FN262" t="e">
        <f>AND(#REF!,"AAAAAHxYP6k=")</f>
        <v>#REF!</v>
      </c>
      <c r="FO262" t="e">
        <f>AND(#REF!,"AAAAAHxYP6o=")</f>
        <v>#REF!</v>
      </c>
      <c r="FP262" t="e">
        <f>AND(#REF!,"AAAAAHxYP6s=")</f>
        <v>#REF!</v>
      </c>
      <c r="FQ262" t="e">
        <f>AND(#REF!,"AAAAAHxYP6w=")</f>
        <v>#REF!</v>
      </c>
      <c r="FR262" t="e">
        <f>AND(#REF!,"AAAAAHxYP60=")</f>
        <v>#REF!</v>
      </c>
      <c r="FS262" t="e">
        <f>AND(#REF!,"AAAAAHxYP64=")</f>
        <v>#REF!</v>
      </c>
      <c r="FT262" t="e">
        <f>AND(#REF!,"AAAAAHxYP68=")</f>
        <v>#REF!</v>
      </c>
      <c r="FU262" t="e">
        <f>AND(#REF!,"AAAAAHxYP7A=")</f>
        <v>#REF!</v>
      </c>
      <c r="FV262" t="e">
        <f>AND(#REF!,"AAAAAHxYP7E=")</f>
        <v>#REF!</v>
      </c>
      <c r="FW262" t="e">
        <f>AND(#REF!,"AAAAAHxYP7I=")</f>
        <v>#REF!</v>
      </c>
      <c r="FX262" t="e">
        <f>AND(#REF!,"AAAAAHxYP7M=")</f>
        <v>#REF!</v>
      </c>
      <c r="FY262" t="e">
        <f>AND(#REF!,"AAAAAHxYP7Q=")</f>
        <v>#REF!</v>
      </c>
      <c r="FZ262" t="e">
        <f>AND(#REF!,"AAAAAHxYP7U=")</f>
        <v>#REF!</v>
      </c>
      <c r="GA262" t="e">
        <f>AND(#REF!,"AAAAAHxYP7Y=")</f>
        <v>#REF!</v>
      </c>
      <c r="GB262" t="e">
        <f>AND(#REF!,"AAAAAHxYP7c=")</f>
        <v>#REF!</v>
      </c>
      <c r="GC262" t="e">
        <f>AND(#REF!,"AAAAAHxYP7g=")</f>
        <v>#REF!</v>
      </c>
      <c r="GD262" t="e">
        <f>AND(#REF!,"AAAAAHxYP7k=")</f>
        <v>#REF!</v>
      </c>
      <c r="GE262" t="e">
        <f>AND(#REF!,"AAAAAHxYP7o=")</f>
        <v>#REF!</v>
      </c>
      <c r="GF262" t="e">
        <f>AND(#REF!,"AAAAAHxYP7s=")</f>
        <v>#REF!</v>
      </c>
      <c r="GG262" t="e">
        <f>AND(#REF!,"AAAAAHxYP7w=")</f>
        <v>#REF!</v>
      </c>
      <c r="GH262" t="e">
        <f>AND(#REF!,"AAAAAHxYP70=")</f>
        <v>#REF!</v>
      </c>
      <c r="GI262" t="e">
        <f>AND(#REF!,"AAAAAHxYP74=")</f>
        <v>#REF!</v>
      </c>
      <c r="GJ262" t="e">
        <f>AND(#REF!,"AAAAAHxYP78=")</f>
        <v>#REF!</v>
      </c>
      <c r="GK262" t="e">
        <f>AND(#REF!,"AAAAAHxYP8A=")</f>
        <v>#REF!</v>
      </c>
      <c r="GL262" t="e">
        <f>AND(#REF!,"AAAAAHxYP8E=")</f>
        <v>#REF!</v>
      </c>
      <c r="GM262" t="e">
        <f>AND(#REF!,"AAAAAHxYP8I=")</f>
        <v>#REF!</v>
      </c>
      <c r="GN262" t="e">
        <f>AND(#REF!,"AAAAAHxYP8M=")</f>
        <v>#REF!</v>
      </c>
      <c r="GO262" t="e">
        <f>AND(#REF!,"AAAAAHxYP8Q=")</f>
        <v>#REF!</v>
      </c>
      <c r="GP262" t="e">
        <f>AND(#REF!,"AAAAAHxYP8U=")</f>
        <v>#REF!</v>
      </c>
      <c r="GQ262" t="e">
        <f>AND(#REF!,"AAAAAHxYP8Y=")</f>
        <v>#REF!</v>
      </c>
      <c r="GR262" t="e">
        <f>AND(#REF!,"AAAAAHxYP8c=")</f>
        <v>#REF!</v>
      </c>
      <c r="GS262" t="e">
        <f>AND(#REF!,"AAAAAHxYP8g=")</f>
        <v>#REF!</v>
      </c>
      <c r="GT262" t="e">
        <f>AND(#REF!,"AAAAAHxYP8k=")</f>
        <v>#REF!</v>
      </c>
      <c r="GU262" t="e">
        <f>AND(#REF!,"AAAAAHxYP8o=")</f>
        <v>#REF!</v>
      </c>
      <c r="GV262" t="e">
        <f>AND(#REF!,"AAAAAHxYP8s=")</f>
        <v>#REF!</v>
      </c>
      <c r="GW262" t="e">
        <f>AND(#REF!,"AAAAAHxYP8w=")</f>
        <v>#REF!</v>
      </c>
      <c r="GX262" t="e">
        <f>AND(#REF!,"AAAAAHxYP80=")</f>
        <v>#REF!</v>
      </c>
      <c r="GY262" t="e">
        <f>AND(#REF!,"AAAAAHxYP84=")</f>
        <v>#REF!</v>
      </c>
      <c r="GZ262" t="e">
        <f>AND(#REF!,"AAAAAHxYP88=")</f>
        <v>#REF!</v>
      </c>
      <c r="HA262" t="e">
        <f>AND(#REF!,"AAAAAHxYP9A=")</f>
        <v>#REF!</v>
      </c>
      <c r="HB262" t="e">
        <f>AND(#REF!,"AAAAAHxYP9E=")</f>
        <v>#REF!</v>
      </c>
      <c r="HC262" t="e">
        <f>AND(#REF!,"AAAAAHxYP9I=")</f>
        <v>#REF!</v>
      </c>
      <c r="HD262" t="e">
        <f>AND(#REF!,"AAAAAHxYP9M=")</f>
        <v>#REF!</v>
      </c>
      <c r="HE262" t="e">
        <f>AND(#REF!,"AAAAAHxYP9Q=")</f>
        <v>#REF!</v>
      </c>
      <c r="HF262" t="e">
        <f>AND(#REF!,"AAAAAHxYP9U=")</f>
        <v>#REF!</v>
      </c>
      <c r="HG262" t="e">
        <f>AND(#REF!,"AAAAAHxYP9Y=")</f>
        <v>#REF!</v>
      </c>
      <c r="HH262" t="e">
        <f>AND(#REF!,"AAAAAHxYP9c=")</f>
        <v>#REF!</v>
      </c>
      <c r="HI262" t="e">
        <f>AND(#REF!,"AAAAAHxYP9g=")</f>
        <v>#REF!</v>
      </c>
      <c r="HJ262" t="e">
        <f>AND(#REF!,"AAAAAHxYP9k=")</f>
        <v>#REF!</v>
      </c>
      <c r="HK262" t="e">
        <f>AND(#REF!,"AAAAAHxYP9o=")</f>
        <v>#REF!</v>
      </c>
      <c r="HL262" t="e">
        <f>AND(#REF!,"AAAAAHxYP9s=")</f>
        <v>#REF!</v>
      </c>
      <c r="HM262" t="e">
        <f>AND(#REF!,"AAAAAHxYP9w=")</f>
        <v>#REF!</v>
      </c>
      <c r="HN262" t="e">
        <f>AND(#REF!,"AAAAAHxYP90=")</f>
        <v>#REF!</v>
      </c>
      <c r="HO262" t="e">
        <f>AND(#REF!,"AAAAAHxYP94=")</f>
        <v>#REF!</v>
      </c>
      <c r="HP262" t="e">
        <f>AND(#REF!,"AAAAAHxYP98=")</f>
        <v>#REF!</v>
      </c>
      <c r="HQ262" t="e">
        <f>AND(#REF!,"AAAAAHxYP+A=")</f>
        <v>#REF!</v>
      </c>
      <c r="HR262" t="e">
        <f>AND(#REF!,"AAAAAHxYP+E=")</f>
        <v>#REF!</v>
      </c>
      <c r="HS262" t="e">
        <f>AND(#REF!,"AAAAAHxYP+I=")</f>
        <v>#REF!</v>
      </c>
      <c r="HT262" t="e">
        <f>AND(#REF!,"AAAAAHxYP+M=")</f>
        <v>#REF!</v>
      </c>
      <c r="HU262" t="e">
        <f>AND(#REF!,"AAAAAHxYP+Q=")</f>
        <v>#REF!</v>
      </c>
      <c r="HV262" t="e">
        <f>AND(#REF!,"AAAAAHxYP+U=")</f>
        <v>#REF!</v>
      </c>
      <c r="HW262" t="e">
        <f>AND(#REF!,"AAAAAHxYP+Y=")</f>
        <v>#REF!</v>
      </c>
      <c r="HX262" t="e">
        <f>AND(#REF!,"AAAAAHxYP+c=")</f>
        <v>#REF!</v>
      </c>
      <c r="HY262" t="e">
        <f>AND(#REF!,"AAAAAHxYP+g=")</f>
        <v>#REF!</v>
      </c>
      <c r="HZ262" t="e">
        <f>AND(#REF!,"AAAAAHxYP+k=")</f>
        <v>#REF!</v>
      </c>
      <c r="IA262" t="e">
        <f>AND(#REF!,"AAAAAHxYP+o=")</f>
        <v>#REF!</v>
      </c>
      <c r="IB262" t="e">
        <f>AND(#REF!,"AAAAAHxYP+s=")</f>
        <v>#REF!</v>
      </c>
      <c r="IC262" t="e">
        <f>AND(#REF!,"AAAAAHxYP+w=")</f>
        <v>#REF!</v>
      </c>
      <c r="ID262" t="e">
        <f>AND(#REF!,"AAAAAHxYP+0=")</f>
        <v>#REF!</v>
      </c>
      <c r="IE262" t="e">
        <f>AND(#REF!,"AAAAAHxYP+4=")</f>
        <v>#REF!</v>
      </c>
      <c r="IF262" t="e">
        <f>AND(#REF!,"AAAAAHxYP+8=")</f>
        <v>#REF!</v>
      </c>
      <c r="IG262" t="e">
        <f>AND(#REF!,"AAAAAHxYP/A=")</f>
        <v>#REF!</v>
      </c>
      <c r="IH262" t="e">
        <f>AND(#REF!,"AAAAAHxYP/E=")</f>
        <v>#REF!</v>
      </c>
      <c r="II262" t="e">
        <f>AND(#REF!,"AAAAAHxYP/I=")</f>
        <v>#REF!</v>
      </c>
      <c r="IJ262" t="e">
        <f>AND(#REF!,"AAAAAHxYP/M=")</f>
        <v>#REF!</v>
      </c>
      <c r="IK262" t="e">
        <f>AND(#REF!,"AAAAAHxYP/Q=")</f>
        <v>#REF!</v>
      </c>
      <c r="IL262" t="e">
        <f>AND(#REF!,"AAAAAHxYP/U=")</f>
        <v>#REF!</v>
      </c>
      <c r="IM262" t="e">
        <f>AND(#REF!,"AAAAAHxYP/Y=")</f>
        <v>#REF!</v>
      </c>
      <c r="IN262" t="e">
        <f>AND(#REF!,"AAAAAHxYP/c=")</f>
        <v>#REF!</v>
      </c>
      <c r="IO262" t="e">
        <f>AND(#REF!,"AAAAAHxYP/g=")</f>
        <v>#REF!</v>
      </c>
      <c r="IP262" t="e">
        <f>AND(#REF!,"AAAAAHxYP/k=")</f>
        <v>#REF!</v>
      </c>
      <c r="IQ262" t="e">
        <f>AND(#REF!,"AAAAAHxYP/o=")</f>
        <v>#REF!</v>
      </c>
      <c r="IR262" t="e">
        <f>AND(#REF!,"AAAAAHxYP/s=")</f>
        <v>#REF!</v>
      </c>
      <c r="IS262" t="e">
        <f>AND(#REF!,"AAAAAHxYP/w=")</f>
        <v>#REF!</v>
      </c>
      <c r="IT262" t="e">
        <f>AND(#REF!,"AAAAAHxYP/0=")</f>
        <v>#REF!</v>
      </c>
      <c r="IU262" t="e">
        <f>AND(#REF!,"AAAAAHxYP/4=")</f>
        <v>#REF!</v>
      </c>
      <c r="IV262" t="e">
        <f>AND(#REF!,"AAAAAHxYP/8=")</f>
        <v>#REF!</v>
      </c>
    </row>
    <row r="263" spans="1:256">
      <c r="A263" t="e">
        <f>AND(#REF!,"AAAAAFf3lwA=")</f>
        <v>#REF!</v>
      </c>
      <c r="B263" t="e">
        <f>AND(#REF!,"AAAAAFf3lwE=")</f>
        <v>#REF!</v>
      </c>
      <c r="C263" t="e">
        <f>AND(#REF!,"AAAAAFf3lwI=")</f>
        <v>#REF!</v>
      </c>
      <c r="D263" t="e">
        <f>AND(#REF!,"AAAAAFf3lwM=")</f>
        <v>#REF!</v>
      </c>
      <c r="E263" t="e">
        <f>AND(#REF!,"AAAAAFf3lwQ=")</f>
        <v>#REF!</v>
      </c>
      <c r="F263" t="e">
        <f>AND(#REF!,"AAAAAFf3lwU=")</f>
        <v>#REF!</v>
      </c>
      <c r="G263" t="e">
        <f>AND(#REF!,"AAAAAFf3lwY=")</f>
        <v>#REF!</v>
      </c>
      <c r="H263" t="e">
        <f>AND(#REF!,"AAAAAFf3lwc=")</f>
        <v>#REF!</v>
      </c>
      <c r="I263" t="e">
        <f>AND(#REF!,"AAAAAFf3lwg=")</f>
        <v>#REF!</v>
      </c>
      <c r="J263" t="e">
        <f>AND(#REF!,"AAAAAFf3lwk=")</f>
        <v>#REF!</v>
      </c>
      <c r="K263" t="e">
        <f>AND(#REF!,"AAAAAFf3lwo=")</f>
        <v>#REF!</v>
      </c>
      <c r="L263" t="e">
        <f>AND(#REF!,"AAAAAFf3lws=")</f>
        <v>#REF!</v>
      </c>
      <c r="M263" t="e">
        <f>AND(#REF!,"AAAAAFf3lww=")</f>
        <v>#REF!</v>
      </c>
      <c r="N263" t="e">
        <f>AND(#REF!,"AAAAAFf3lw0=")</f>
        <v>#REF!</v>
      </c>
      <c r="O263" t="e">
        <f>AND(#REF!,"AAAAAFf3lw4=")</f>
        <v>#REF!</v>
      </c>
      <c r="P263" t="e">
        <f>AND(#REF!,"AAAAAFf3lw8=")</f>
        <v>#REF!</v>
      </c>
      <c r="Q263" t="e">
        <f>AND(#REF!,"AAAAAFf3lxA=")</f>
        <v>#REF!</v>
      </c>
      <c r="R263" t="e">
        <f>AND(#REF!,"AAAAAFf3lxE=")</f>
        <v>#REF!</v>
      </c>
      <c r="S263" t="e">
        <f>AND(#REF!,"AAAAAFf3lxI=")</f>
        <v>#REF!</v>
      </c>
      <c r="T263" t="e">
        <f>AND(#REF!,"AAAAAFf3lxM=")</f>
        <v>#REF!</v>
      </c>
      <c r="U263" t="e">
        <f>AND(#REF!,"AAAAAFf3lxQ=")</f>
        <v>#REF!</v>
      </c>
      <c r="V263" t="e">
        <f>AND(#REF!,"AAAAAFf3lxU=")</f>
        <v>#REF!</v>
      </c>
      <c r="W263" t="e">
        <f>AND(#REF!,"AAAAAFf3lxY=")</f>
        <v>#REF!</v>
      </c>
      <c r="X263" t="e">
        <f>AND(#REF!,"AAAAAFf3lxc=")</f>
        <v>#REF!</v>
      </c>
      <c r="Y263" t="e">
        <f>AND(#REF!,"AAAAAFf3lxg=")</f>
        <v>#REF!</v>
      </c>
      <c r="Z263" t="e">
        <f>AND(#REF!,"AAAAAFf3lxk=")</f>
        <v>#REF!</v>
      </c>
      <c r="AA263" t="e">
        <f>AND(#REF!,"AAAAAFf3lxo=")</f>
        <v>#REF!</v>
      </c>
      <c r="AB263" t="e">
        <f>AND(#REF!,"AAAAAFf3lxs=")</f>
        <v>#REF!</v>
      </c>
      <c r="AC263" t="e">
        <f>AND(#REF!,"AAAAAFf3lxw=")</f>
        <v>#REF!</v>
      </c>
      <c r="AD263" t="e">
        <f>AND(#REF!,"AAAAAFf3lx0=")</f>
        <v>#REF!</v>
      </c>
      <c r="AE263" t="e">
        <f>AND(#REF!,"AAAAAFf3lx4=")</f>
        <v>#REF!</v>
      </c>
      <c r="AF263" t="e">
        <f>AND(#REF!,"AAAAAFf3lx8=")</f>
        <v>#REF!</v>
      </c>
      <c r="AG263" t="e">
        <f>AND(#REF!,"AAAAAFf3lyA=")</f>
        <v>#REF!</v>
      </c>
      <c r="AH263" t="e">
        <f>AND(#REF!,"AAAAAFf3lyE=")</f>
        <v>#REF!</v>
      </c>
      <c r="AI263" t="e">
        <f>AND(#REF!,"AAAAAFf3lyI=")</f>
        <v>#REF!</v>
      </c>
      <c r="AJ263" t="e">
        <f>AND(#REF!,"AAAAAFf3lyM=")</f>
        <v>#REF!</v>
      </c>
      <c r="AK263" t="e">
        <f>AND(#REF!,"AAAAAFf3lyQ=")</f>
        <v>#REF!</v>
      </c>
      <c r="AL263" t="e">
        <f>AND(#REF!,"AAAAAFf3lyU=")</f>
        <v>#REF!</v>
      </c>
      <c r="AM263" t="e">
        <f>AND(#REF!,"AAAAAFf3lyY=")</f>
        <v>#REF!</v>
      </c>
      <c r="AN263" t="e">
        <f>AND(#REF!,"AAAAAFf3lyc=")</f>
        <v>#REF!</v>
      </c>
      <c r="AO263" t="e">
        <f>AND(#REF!,"AAAAAFf3lyg=")</f>
        <v>#REF!</v>
      </c>
      <c r="AP263" t="e">
        <f>AND(#REF!,"AAAAAFf3lyk=")</f>
        <v>#REF!</v>
      </c>
      <c r="AQ263" t="e">
        <f>AND(#REF!,"AAAAAFf3lyo=")</f>
        <v>#REF!</v>
      </c>
      <c r="AR263" t="e">
        <f>AND(#REF!,"AAAAAFf3lys=")</f>
        <v>#REF!</v>
      </c>
      <c r="AS263" t="e">
        <f>AND(#REF!,"AAAAAFf3lyw=")</f>
        <v>#REF!</v>
      </c>
      <c r="AT263" t="e">
        <f>AND(#REF!,"AAAAAFf3ly0=")</f>
        <v>#REF!</v>
      </c>
      <c r="AU263" t="e">
        <f>AND(#REF!,"AAAAAFf3ly4=")</f>
        <v>#REF!</v>
      </c>
      <c r="AV263" t="e">
        <f>AND(#REF!,"AAAAAFf3ly8=")</f>
        <v>#REF!</v>
      </c>
      <c r="AW263" t="e">
        <f>AND(#REF!,"AAAAAFf3lzA=")</f>
        <v>#REF!</v>
      </c>
      <c r="AX263" t="e">
        <f>AND(#REF!,"AAAAAFf3lzE=")</f>
        <v>#REF!</v>
      </c>
      <c r="AY263" t="e">
        <f>AND(#REF!,"AAAAAFf3lzI=")</f>
        <v>#REF!</v>
      </c>
      <c r="AZ263" t="e">
        <f>AND(#REF!,"AAAAAFf3lzM=")</f>
        <v>#REF!</v>
      </c>
      <c r="BA263" t="e">
        <f>AND(#REF!,"AAAAAFf3lzQ=")</f>
        <v>#REF!</v>
      </c>
      <c r="BB263" t="e">
        <f>AND(#REF!,"AAAAAFf3lzU=")</f>
        <v>#REF!</v>
      </c>
      <c r="BC263" t="e">
        <f>AND(#REF!,"AAAAAFf3lzY=")</f>
        <v>#REF!</v>
      </c>
      <c r="BD263" t="e">
        <f>AND(#REF!,"AAAAAFf3lzc=")</f>
        <v>#REF!</v>
      </c>
      <c r="BE263" t="e">
        <f>AND(#REF!,"AAAAAFf3lzg=")</f>
        <v>#REF!</v>
      </c>
      <c r="BF263" t="e">
        <f>AND(#REF!,"AAAAAFf3lzk=")</f>
        <v>#REF!</v>
      </c>
      <c r="BG263" t="e">
        <f>AND(#REF!,"AAAAAFf3lzo=")</f>
        <v>#REF!</v>
      </c>
      <c r="BH263" t="e">
        <f>AND(#REF!,"AAAAAFf3lzs=")</f>
        <v>#REF!</v>
      </c>
      <c r="BI263" t="e">
        <f>AND(#REF!,"AAAAAFf3lzw=")</f>
        <v>#REF!</v>
      </c>
      <c r="BJ263" t="e">
        <f>AND(#REF!,"AAAAAFf3lz0=")</f>
        <v>#REF!</v>
      </c>
      <c r="BK263" t="e">
        <f>AND(#REF!,"AAAAAFf3lz4=")</f>
        <v>#REF!</v>
      </c>
      <c r="BL263" t="e">
        <f>AND(#REF!,"AAAAAFf3lz8=")</f>
        <v>#REF!</v>
      </c>
      <c r="BM263" t="e">
        <f>AND(#REF!,"AAAAAFf3l0A=")</f>
        <v>#REF!</v>
      </c>
      <c r="BN263" t="e">
        <f>AND(#REF!,"AAAAAFf3l0E=")</f>
        <v>#REF!</v>
      </c>
      <c r="BO263" t="e">
        <f>AND(#REF!,"AAAAAFf3l0I=")</f>
        <v>#REF!</v>
      </c>
      <c r="BP263" t="e">
        <f>AND(#REF!,"AAAAAFf3l0M=")</f>
        <v>#REF!</v>
      </c>
      <c r="BQ263" t="e">
        <f>AND(#REF!,"AAAAAFf3l0Q=")</f>
        <v>#REF!</v>
      </c>
      <c r="BR263" t="e">
        <f>AND(#REF!,"AAAAAFf3l0U=")</f>
        <v>#REF!</v>
      </c>
      <c r="BS263" t="e">
        <f>AND(#REF!,"AAAAAFf3l0Y=")</f>
        <v>#REF!</v>
      </c>
      <c r="BT263" t="e">
        <f>AND(#REF!,"AAAAAFf3l0c=")</f>
        <v>#REF!</v>
      </c>
      <c r="BU263" t="e">
        <f>AND(#REF!,"AAAAAFf3l0g=")</f>
        <v>#REF!</v>
      </c>
      <c r="BV263" t="e">
        <f>AND(#REF!,"AAAAAFf3l0k=")</f>
        <v>#REF!</v>
      </c>
      <c r="BW263" t="e">
        <f>AND(#REF!,"AAAAAFf3l0o=")</f>
        <v>#REF!</v>
      </c>
      <c r="BX263" t="e">
        <f>AND(#REF!,"AAAAAFf3l0s=")</f>
        <v>#REF!</v>
      </c>
      <c r="BY263" t="e">
        <f>AND(#REF!,"AAAAAFf3l0w=")</f>
        <v>#REF!</v>
      </c>
      <c r="BZ263" t="e">
        <f>AND(#REF!,"AAAAAFf3l00=")</f>
        <v>#REF!</v>
      </c>
      <c r="CA263" t="e">
        <f>AND(#REF!,"AAAAAFf3l04=")</f>
        <v>#REF!</v>
      </c>
      <c r="CB263" t="e">
        <f>AND(#REF!,"AAAAAFf3l08=")</f>
        <v>#REF!</v>
      </c>
      <c r="CC263" t="e">
        <f>AND(#REF!,"AAAAAFf3l1A=")</f>
        <v>#REF!</v>
      </c>
      <c r="CD263" t="e">
        <f>AND(#REF!,"AAAAAFf3l1E=")</f>
        <v>#REF!</v>
      </c>
      <c r="CE263" t="e">
        <f>AND(#REF!,"AAAAAFf3l1I=")</f>
        <v>#REF!</v>
      </c>
      <c r="CF263" t="e">
        <f>AND(#REF!,"AAAAAFf3l1M=")</f>
        <v>#REF!</v>
      </c>
      <c r="CG263" t="e">
        <f>AND(#REF!,"AAAAAFf3l1Q=")</f>
        <v>#REF!</v>
      </c>
      <c r="CH263" t="e">
        <f>AND(#REF!,"AAAAAFf3l1U=")</f>
        <v>#REF!</v>
      </c>
      <c r="CI263" t="e">
        <f>AND(#REF!,"AAAAAFf3l1Y=")</f>
        <v>#REF!</v>
      </c>
      <c r="CJ263" t="e">
        <f>AND(#REF!,"AAAAAFf3l1c=")</f>
        <v>#REF!</v>
      </c>
      <c r="CK263" t="e">
        <f>AND(#REF!,"AAAAAFf3l1g=")</f>
        <v>#REF!</v>
      </c>
      <c r="CL263" t="e">
        <f>AND(#REF!,"AAAAAFf3l1k=")</f>
        <v>#REF!</v>
      </c>
      <c r="CM263" t="e">
        <f>AND(#REF!,"AAAAAFf3l1o=")</f>
        <v>#REF!</v>
      </c>
      <c r="CN263" t="e">
        <f>AND(#REF!,"AAAAAFf3l1s=")</f>
        <v>#REF!</v>
      </c>
      <c r="CO263" t="e">
        <f>AND(#REF!,"AAAAAFf3l1w=")</f>
        <v>#REF!</v>
      </c>
      <c r="CP263" t="e">
        <f>AND(#REF!,"AAAAAFf3l10=")</f>
        <v>#REF!</v>
      </c>
      <c r="CQ263" t="e">
        <f>AND(#REF!,"AAAAAFf3l14=")</f>
        <v>#REF!</v>
      </c>
      <c r="CR263" t="e">
        <f>AND(#REF!,"AAAAAFf3l18=")</f>
        <v>#REF!</v>
      </c>
      <c r="CS263" t="e">
        <f>AND(#REF!,"AAAAAFf3l2A=")</f>
        <v>#REF!</v>
      </c>
      <c r="CT263" t="e">
        <f>AND(#REF!,"AAAAAFf3l2E=")</f>
        <v>#REF!</v>
      </c>
      <c r="CU263" t="e">
        <f>AND(#REF!,"AAAAAFf3l2I=")</f>
        <v>#REF!</v>
      </c>
      <c r="CV263" t="e">
        <f>AND(#REF!,"AAAAAFf3l2M=")</f>
        <v>#REF!</v>
      </c>
      <c r="CW263" t="e">
        <f>AND(#REF!,"AAAAAFf3l2Q=")</f>
        <v>#REF!</v>
      </c>
      <c r="CX263" t="e">
        <f>AND(#REF!,"AAAAAFf3l2U=")</f>
        <v>#REF!</v>
      </c>
      <c r="CY263" t="e">
        <f>AND(#REF!,"AAAAAFf3l2Y=")</f>
        <v>#REF!</v>
      </c>
      <c r="CZ263" t="e">
        <f>AND(#REF!,"AAAAAFf3l2c=")</f>
        <v>#REF!</v>
      </c>
      <c r="DA263" t="e">
        <f>AND(#REF!,"AAAAAFf3l2g=")</f>
        <v>#REF!</v>
      </c>
      <c r="DB263" t="e">
        <f>AND(#REF!,"AAAAAFf3l2k=")</f>
        <v>#REF!</v>
      </c>
      <c r="DC263" t="e">
        <f>AND(#REF!,"AAAAAFf3l2o=")</f>
        <v>#REF!</v>
      </c>
      <c r="DD263" t="e">
        <f>AND(#REF!,"AAAAAFf3l2s=")</f>
        <v>#REF!</v>
      </c>
      <c r="DE263" t="e">
        <f>AND(#REF!,"AAAAAFf3l2w=")</f>
        <v>#REF!</v>
      </c>
      <c r="DF263" t="e">
        <f>AND(#REF!,"AAAAAFf3l20=")</f>
        <v>#REF!</v>
      </c>
      <c r="DG263" t="e">
        <f>AND(#REF!,"AAAAAFf3l24=")</f>
        <v>#REF!</v>
      </c>
      <c r="DH263" t="e">
        <f>AND(#REF!,"AAAAAFf3l28=")</f>
        <v>#REF!</v>
      </c>
      <c r="DI263" t="e">
        <f>AND(#REF!,"AAAAAFf3l3A=")</f>
        <v>#REF!</v>
      </c>
      <c r="DJ263" t="e">
        <f>AND(#REF!,"AAAAAFf3l3E=")</f>
        <v>#REF!</v>
      </c>
      <c r="DK263" t="e">
        <f>AND(#REF!,"AAAAAFf3l3I=")</f>
        <v>#REF!</v>
      </c>
      <c r="DL263" t="e">
        <f>AND(#REF!,"AAAAAFf3l3M=")</f>
        <v>#REF!</v>
      </c>
      <c r="DM263" t="e">
        <f>AND(#REF!,"AAAAAFf3l3Q=")</f>
        <v>#REF!</v>
      </c>
      <c r="DN263" t="e">
        <f>AND(#REF!,"AAAAAFf3l3U=")</f>
        <v>#REF!</v>
      </c>
      <c r="DO263" t="e">
        <f>AND(#REF!,"AAAAAFf3l3Y=")</f>
        <v>#REF!</v>
      </c>
      <c r="DP263" t="e">
        <f>AND(#REF!,"AAAAAFf3l3c=")</f>
        <v>#REF!</v>
      </c>
      <c r="DQ263" t="e">
        <f>AND(#REF!,"AAAAAFf3l3g=")</f>
        <v>#REF!</v>
      </c>
      <c r="DR263" t="e">
        <f>AND(#REF!,"AAAAAFf3l3k=")</f>
        <v>#REF!</v>
      </c>
      <c r="DS263" t="e">
        <f>AND(#REF!,"AAAAAFf3l3o=")</f>
        <v>#REF!</v>
      </c>
      <c r="DT263" t="e">
        <f>AND(#REF!,"AAAAAFf3l3s=")</f>
        <v>#REF!</v>
      </c>
      <c r="DU263" t="e">
        <f>AND(#REF!,"AAAAAFf3l3w=")</f>
        <v>#REF!</v>
      </c>
      <c r="DV263" t="e">
        <f>AND(#REF!,"AAAAAFf3l30=")</f>
        <v>#REF!</v>
      </c>
      <c r="DW263" t="e">
        <f>AND(#REF!,"AAAAAFf3l34=")</f>
        <v>#REF!</v>
      </c>
      <c r="DX263" t="e">
        <f>AND(#REF!,"AAAAAFf3l38=")</f>
        <v>#REF!</v>
      </c>
      <c r="DY263" t="e">
        <f>AND(#REF!,"AAAAAFf3l4A=")</f>
        <v>#REF!</v>
      </c>
      <c r="DZ263" t="e">
        <f>AND(#REF!,"AAAAAFf3l4E=")</f>
        <v>#REF!</v>
      </c>
      <c r="EA263" t="e">
        <f>IF(#REF!,"AAAAAFf3l4I=",0)</f>
        <v>#REF!</v>
      </c>
      <c r="EB263" t="e">
        <f>AND(#REF!,"AAAAAFf3l4M=")</f>
        <v>#REF!</v>
      </c>
      <c r="EC263" t="e">
        <f>AND(#REF!,"AAAAAFf3l4Q=")</f>
        <v>#REF!</v>
      </c>
      <c r="ED263" t="e">
        <f>AND(#REF!,"AAAAAFf3l4U=")</f>
        <v>#REF!</v>
      </c>
      <c r="EE263" t="e">
        <f>AND(#REF!,"AAAAAFf3l4Y=")</f>
        <v>#REF!</v>
      </c>
      <c r="EF263" t="e">
        <f>AND(#REF!,"AAAAAFf3l4c=")</f>
        <v>#REF!</v>
      </c>
      <c r="EG263" t="e">
        <f>AND(#REF!,"AAAAAFf3l4g=")</f>
        <v>#REF!</v>
      </c>
      <c r="EH263" t="e">
        <f>AND(#REF!,"AAAAAFf3l4k=")</f>
        <v>#REF!</v>
      </c>
      <c r="EI263" t="e">
        <f>AND(#REF!,"AAAAAFf3l4o=")</f>
        <v>#REF!</v>
      </c>
      <c r="EJ263" t="e">
        <f>AND(#REF!,"AAAAAFf3l4s=")</f>
        <v>#REF!</v>
      </c>
      <c r="EK263" t="e">
        <f>AND(#REF!,"AAAAAFf3l4w=")</f>
        <v>#REF!</v>
      </c>
      <c r="EL263" t="e">
        <f>AND(#REF!,"AAAAAFf3l40=")</f>
        <v>#REF!</v>
      </c>
      <c r="EM263" t="e">
        <f>AND(#REF!,"AAAAAFf3l44=")</f>
        <v>#REF!</v>
      </c>
      <c r="EN263" t="e">
        <f>AND(#REF!,"AAAAAFf3l48=")</f>
        <v>#REF!</v>
      </c>
      <c r="EO263" t="e">
        <f>AND(#REF!,"AAAAAFf3l5A=")</f>
        <v>#REF!</v>
      </c>
      <c r="EP263" t="e">
        <f>AND(#REF!,"AAAAAFf3l5E=")</f>
        <v>#REF!</v>
      </c>
      <c r="EQ263" t="e">
        <f>AND(#REF!,"AAAAAFf3l5I=")</f>
        <v>#REF!</v>
      </c>
      <c r="ER263" t="e">
        <f>AND(#REF!,"AAAAAFf3l5M=")</f>
        <v>#REF!</v>
      </c>
      <c r="ES263" t="e">
        <f>AND(#REF!,"AAAAAFf3l5Q=")</f>
        <v>#REF!</v>
      </c>
      <c r="ET263" t="e">
        <f>AND(#REF!,"AAAAAFf3l5U=")</f>
        <v>#REF!</v>
      </c>
      <c r="EU263" t="e">
        <f>AND(#REF!,"AAAAAFf3l5Y=")</f>
        <v>#REF!</v>
      </c>
      <c r="EV263" t="e">
        <f>AND(#REF!,"AAAAAFf3l5c=")</f>
        <v>#REF!</v>
      </c>
      <c r="EW263" t="e">
        <f>AND(#REF!,"AAAAAFf3l5g=")</f>
        <v>#REF!</v>
      </c>
      <c r="EX263" t="e">
        <f>AND(#REF!,"AAAAAFf3l5k=")</f>
        <v>#REF!</v>
      </c>
      <c r="EY263" t="e">
        <f>AND(#REF!,"AAAAAFf3l5o=")</f>
        <v>#REF!</v>
      </c>
      <c r="EZ263" t="e">
        <f>AND(#REF!,"AAAAAFf3l5s=")</f>
        <v>#REF!</v>
      </c>
      <c r="FA263" t="e">
        <f>AND(#REF!,"AAAAAFf3l5w=")</f>
        <v>#REF!</v>
      </c>
      <c r="FB263" t="e">
        <f>AND(#REF!,"AAAAAFf3l50=")</f>
        <v>#REF!</v>
      </c>
      <c r="FC263" t="e">
        <f>AND(#REF!,"AAAAAFf3l54=")</f>
        <v>#REF!</v>
      </c>
      <c r="FD263" t="e">
        <f>AND(#REF!,"AAAAAFf3l58=")</f>
        <v>#REF!</v>
      </c>
      <c r="FE263" t="e">
        <f>AND(#REF!,"AAAAAFf3l6A=")</f>
        <v>#REF!</v>
      </c>
      <c r="FF263" t="e">
        <f>AND(#REF!,"AAAAAFf3l6E=")</f>
        <v>#REF!</v>
      </c>
      <c r="FG263" t="e">
        <f>AND(#REF!,"AAAAAFf3l6I=")</f>
        <v>#REF!</v>
      </c>
      <c r="FH263" t="e">
        <f>AND(#REF!,"AAAAAFf3l6M=")</f>
        <v>#REF!</v>
      </c>
      <c r="FI263" t="e">
        <f>AND(#REF!,"AAAAAFf3l6Q=")</f>
        <v>#REF!</v>
      </c>
      <c r="FJ263" t="e">
        <f>AND(#REF!,"AAAAAFf3l6U=")</f>
        <v>#REF!</v>
      </c>
      <c r="FK263" t="e">
        <f>AND(#REF!,"AAAAAFf3l6Y=")</f>
        <v>#REF!</v>
      </c>
      <c r="FL263" t="e">
        <f>AND(#REF!,"AAAAAFf3l6c=")</f>
        <v>#REF!</v>
      </c>
      <c r="FM263" t="e">
        <f>AND(#REF!,"AAAAAFf3l6g=")</f>
        <v>#REF!</v>
      </c>
      <c r="FN263" t="e">
        <f>AND(#REF!,"AAAAAFf3l6k=")</f>
        <v>#REF!</v>
      </c>
      <c r="FO263" t="e">
        <f>AND(#REF!,"AAAAAFf3l6o=")</f>
        <v>#REF!</v>
      </c>
      <c r="FP263" t="e">
        <f>AND(#REF!,"AAAAAFf3l6s=")</f>
        <v>#REF!</v>
      </c>
      <c r="FQ263" t="e">
        <f>AND(#REF!,"AAAAAFf3l6w=")</f>
        <v>#REF!</v>
      </c>
      <c r="FR263" t="e">
        <f>AND(#REF!,"AAAAAFf3l60=")</f>
        <v>#REF!</v>
      </c>
      <c r="FS263" t="e">
        <f>AND(#REF!,"AAAAAFf3l64=")</f>
        <v>#REF!</v>
      </c>
      <c r="FT263" t="e">
        <f>AND(#REF!,"AAAAAFf3l68=")</f>
        <v>#REF!</v>
      </c>
      <c r="FU263" t="e">
        <f>AND(#REF!,"AAAAAFf3l7A=")</f>
        <v>#REF!</v>
      </c>
      <c r="FV263" t="e">
        <f>AND(#REF!,"AAAAAFf3l7E=")</f>
        <v>#REF!</v>
      </c>
      <c r="FW263" t="e">
        <f>AND(#REF!,"AAAAAFf3l7I=")</f>
        <v>#REF!</v>
      </c>
      <c r="FX263" t="e">
        <f>AND(#REF!,"AAAAAFf3l7M=")</f>
        <v>#REF!</v>
      </c>
      <c r="FY263" t="e">
        <f>AND(#REF!,"AAAAAFf3l7Q=")</f>
        <v>#REF!</v>
      </c>
      <c r="FZ263" t="e">
        <f>AND(#REF!,"AAAAAFf3l7U=")</f>
        <v>#REF!</v>
      </c>
      <c r="GA263" t="e">
        <f>AND(#REF!,"AAAAAFf3l7Y=")</f>
        <v>#REF!</v>
      </c>
      <c r="GB263" t="e">
        <f>AND(#REF!,"AAAAAFf3l7c=")</f>
        <v>#REF!</v>
      </c>
      <c r="GC263" t="e">
        <f>AND(#REF!,"AAAAAFf3l7g=")</f>
        <v>#REF!</v>
      </c>
      <c r="GD263" t="e">
        <f>AND(#REF!,"AAAAAFf3l7k=")</f>
        <v>#REF!</v>
      </c>
      <c r="GE263" t="e">
        <f>AND(#REF!,"AAAAAFf3l7o=")</f>
        <v>#REF!</v>
      </c>
      <c r="GF263" t="e">
        <f>AND(#REF!,"AAAAAFf3l7s=")</f>
        <v>#REF!</v>
      </c>
      <c r="GG263" t="e">
        <f>AND(#REF!,"AAAAAFf3l7w=")</f>
        <v>#REF!</v>
      </c>
      <c r="GH263" t="e">
        <f>AND(#REF!,"AAAAAFf3l70=")</f>
        <v>#REF!</v>
      </c>
      <c r="GI263" t="e">
        <f>AND(#REF!,"AAAAAFf3l74=")</f>
        <v>#REF!</v>
      </c>
      <c r="GJ263" t="e">
        <f>AND(#REF!,"AAAAAFf3l78=")</f>
        <v>#REF!</v>
      </c>
      <c r="GK263" t="e">
        <f>AND(#REF!,"AAAAAFf3l8A=")</f>
        <v>#REF!</v>
      </c>
      <c r="GL263" t="e">
        <f>AND(#REF!,"AAAAAFf3l8E=")</f>
        <v>#REF!</v>
      </c>
      <c r="GM263" t="e">
        <f>AND(#REF!,"AAAAAFf3l8I=")</f>
        <v>#REF!</v>
      </c>
      <c r="GN263" t="e">
        <f>AND(#REF!,"AAAAAFf3l8M=")</f>
        <v>#REF!</v>
      </c>
      <c r="GO263" t="e">
        <f>AND(#REF!,"AAAAAFf3l8Q=")</f>
        <v>#REF!</v>
      </c>
      <c r="GP263" t="e">
        <f>AND(#REF!,"AAAAAFf3l8U=")</f>
        <v>#REF!</v>
      </c>
      <c r="GQ263" t="e">
        <f>AND(#REF!,"AAAAAFf3l8Y=")</f>
        <v>#REF!</v>
      </c>
      <c r="GR263" t="e">
        <f>AND(#REF!,"AAAAAFf3l8c=")</f>
        <v>#REF!</v>
      </c>
      <c r="GS263" t="e">
        <f>AND(#REF!,"AAAAAFf3l8g=")</f>
        <v>#REF!</v>
      </c>
      <c r="GT263" t="e">
        <f>AND(#REF!,"AAAAAFf3l8k=")</f>
        <v>#REF!</v>
      </c>
      <c r="GU263" t="e">
        <f>AND(#REF!,"AAAAAFf3l8o=")</f>
        <v>#REF!</v>
      </c>
      <c r="GV263" t="e">
        <f>AND(#REF!,"AAAAAFf3l8s=")</f>
        <v>#REF!</v>
      </c>
      <c r="GW263" t="e">
        <f>AND(#REF!,"AAAAAFf3l8w=")</f>
        <v>#REF!</v>
      </c>
      <c r="GX263" t="e">
        <f>AND(#REF!,"AAAAAFf3l80=")</f>
        <v>#REF!</v>
      </c>
      <c r="GY263" t="e">
        <f>AND(#REF!,"AAAAAFf3l84=")</f>
        <v>#REF!</v>
      </c>
      <c r="GZ263" t="e">
        <f>AND(#REF!,"AAAAAFf3l88=")</f>
        <v>#REF!</v>
      </c>
      <c r="HA263" t="e">
        <f>AND(#REF!,"AAAAAFf3l9A=")</f>
        <v>#REF!</v>
      </c>
      <c r="HB263" t="e">
        <f>AND(#REF!,"AAAAAFf3l9E=")</f>
        <v>#REF!</v>
      </c>
      <c r="HC263" t="e">
        <f>AND(#REF!,"AAAAAFf3l9I=")</f>
        <v>#REF!</v>
      </c>
      <c r="HD263" t="e">
        <f>AND(#REF!,"AAAAAFf3l9M=")</f>
        <v>#REF!</v>
      </c>
      <c r="HE263" t="e">
        <f>AND(#REF!,"AAAAAFf3l9Q=")</f>
        <v>#REF!</v>
      </c>
      <c r="HF263" t="e">
        <f>AND(#REF!,"AAAAAFf3l9U=")</f>
        <v>#REF!</v>
      </c>
      <c r="HG263" t="e">
        <f>AND(#REF!,"AAAAAFf3l9Y=")</f>
        <v>#REF!</v>
      </c>
      <c r="HH263" t="e">
        <f>AND(#REF!,"AAAAAFf3l9c=")</f>
        <v>#REF!</v>
      </c>
      <c r="HI263" t="e">
        <f>AND(#REF!,"AAAAAFf3l9g=")</f>
        <v>#REF!</v>
      </c>
      <c r="HJ263" t="e">
        <f>AND(#REF!,"AAAAAFf3l9k=")</f>
        <v>#REF!</v>
      </c>
      <c r="HK263" t="e">
        <f>AND(#REF!,"AAAAAFf3l9o=")</f>
        <v>#REF!</v>
      </c>
      <c r="HL263" t="e">
        <f>AND(#REF!,"AAAAAFf3l9s=")</f>
        <v>#REF!</v>
      </c>
      <c r="HM263" t="e">
        <f>AND(#REF!,"AAAAAFf3l9w=")</f>
        <v>#REF!</v>
      </c>
      <c r="HN263" t="e">
        <f>AND(#REF!,"AAAAAFf3l90=")</f>
        <v>#REF!</v>
      </c>
      <c r="HO263" t="e">
        <f>AND(#REF!,"AAAAAFf3l94=")</f>
        <v>#REF!</v>
      </c>
      <c r="HP263" t="e">
        <f>AND(#REF!,"AAAAAFf3l98=")</f>
        <v>#REF!</v>
      </c>
      <c r="HQ263" t="e">
        <f>AND(#REF!,"AAAAAFf3l+A=")</f>
        <v>#REF!</v>
      </c>
      <c r="HR263" t="e">
        <f>AND(#REF!,"AAAAAFf3l+E=")</f>
        <v>#REF!</v>
      </c>
      <c r="HS263" t="e">
        <f>AND(#REF!,"AAAAAFf3l+I=")</f>
        <v>#REF!</v>
      </c>
      <c r="HT263" t="e">
        <f>AND(#REF!,"AAAAAFf3l+M=")</f>
        <v>#REF!</v>
      </c>
      <c r="HU263" t="e">
        <f>AND(#REF!,"AAAAAFf3l+Q=")</f>
        <v>#REF!</v>
      </c>
      <c r="HV263" t="e">
        <f>AND(#REF!,"AAAAAFf3l+U=")</f>
        <v>#REF!</v>
      </c>
      <c r="HW263" t="e">
        <f>AND(#REF!,"AAAAAFf3l+Y=")</f>
        <v>#REF!</v>
      </c>
      <c r="HX263" t="e">
        <f>AND(#REF!,"AAAAAFf3l+c=")</f>
        <v>#REF!</v>
      </c>
      <c r="HY263" t="e">
        <f>AND(#REF!,"AAAAAFf3l+g=")</f>
        <v>#REF!</v>
      </c>
      <c r="HZ263" t="e">
        <f>AND(#REF!,"AAAAAFf3l+k=")</f>
        <v>#REF!</v>
      </c>
      <c r="IA263" t="e">
        <f>AND(#REF!,"AAAAAFf3l+o=")</f>
        <v>#REF!</v>
      </c>
      <c r="IB263" t="e">
        <f>AND(#REF!,"AAAAAFf3l+s=")</f>
        <v>#REF!</v>
      </c>
      <c r="IC263" t="e">
        <f>AND(#REF!,"AAAAAFf3l+w=")</f>
        <v>#REF!</v>
      </c>
      <c r="ID263" t="e">
        <f>AND(#REF!,"AAAAAFf3l+0=")</f>
        <v>#REF!</v>
      </c>
      <c r="IE263" t="e">
        <f>AND(#REF!,"AAAAAFf3l+4=")</f>
        <v>#REF!</v>
      </c>
      <c r="IF263" t="e">
        <f>AND(#REF!,"AAAAAFf3l+8=")</f>
        <v>#REF!</v>
      </c>
      <c r="IG263" t="e">
        <f>AND(#REF!,"AAAAAFf3l/A=")</f>
        <v>#REF!</v>
      </c>
      <c r="IH263" t="e">
        <f>AND(#REF!,"AAAAAFf3l/E=")</f>
        <v>#REF!</v>
      </c>
      <c r="II263" t="e">
        <f>AND(#REF!,"AAAAAFf3l/I=")</f>
        <v>#REF!</v>
      </c>
      <c r="IJ263" t="e">
        <f>AND(#REF!,"AAAAAFf3l/M=")</f>
        <v>#REF!</v>
      </c>
      <c r="IK263" t="e">
        <f>AND(#REF!,"AAAAAFf3l/Q=")</f>
        <v>#REF!</v>
      </c>
      <c r="IL263" t="e">
        <f>AND(#REF!,"AAAAAFf3l/U=")</f>
        <v>#REF!</v>
      </c>
      <c r="IM263" t="e">
        <f>AND(#REF!,"AAAAAFf3l/Y=")</f>
        <v>#REF!</v>
      </c>
      <c r="IN263" t="e">
        <f>AND(#REF!,"AAAAAFf3l/c=")</f>
        <v>#REF!</v>
      </c>
      <c r="IO263" t="e">
        <f>AND(#REF!,"AAAAAFf3l/g=")</f>
        <v>#REF!</v>
      </c>
      <c r="IP263" t="e">
        <f>AND(#REF!,"AAAAAFf3l/k=")</f>
        <v>#REF!</v>
      </c>
      <c r="IQ263" t="e">
        <f>AND(#REF!,"AAAAAFf3l/o=")</f>
        <v>#REF!</v>
      </c>
      <c r="IR263" t="e">
        <f>AND(#REF!,"AAAAAFf3l/s=")</f>
        <v>#REF!</v>
      </c>
      <c r="IS263" t="e">
        <f>AND(#REF!,"AAAAAFf3l/w=")</f>
        <v>#REF!</v>
      </c>
      <c r="IT263" t="e">
        <f>AND(#REF!,"AAAAAFf3l/0=")</f>
        <v>#REF!</v>
      </c>
      <c r="IU263" t="e">
        <f>AND(#REF!,"AAAAAFf3l/4=")</f>
        <v>#REF!</v>
      </c>
      <c r="IV263" t="e">
        <f>AND(#REF!,"AAAAAFf3l/8=")</f>
        <v>#REF!</v>
      </c>
    </row>
    <row r="264" spans="1:256">
      <c r="A264" t="e">
        <f>AND(#REF!,"AAAAAHU+xAA=")</f>
        <v>#REF!</v>
      </c>
      <c r="B264" t="e">
        <f>AND(#REF!,"AAAAAHU+xAE=")</f>
        <v>#REF!</v>
      </c>
      <c r="C264" t="e">
        <f>AND(#REF!,"AAAAAHU+xAI=")</f>
        <v>#REF!</v>
      </c>
      <c r="D264" t="e">
        <f>AND(#REF!,"AAAAAHU+xAM=")</f>
        <v>#REF!</v>
      </c>
      <c r="E264" t="e">
        <f>AND(#REF!,"AAAAAHU+xAQ=")</f>
        <v>#REF!</v>
      </c>
      <c r="F264" t="e">
        <f>AND(#REF!,"AAAAAHU+xAU=")</f>
        <v>#REF!</v>
      </c>
      <c r="G264" t="e">
        <f>AND(#REF!,"AAAAAHU+xAY=")</f>
        <v>#REF!</v>
      </c>
      <c r="H264" t="e">
        <f>AND(#REF!,"AAAAAHU+xAc=")</f>
        <v>#REF!</v>
      </c>
      <c r="I264" t="e">
        <f>AND(#REF!,"AAAAAHU+xAg=")</f>
        <v>#REF!</v>
      </c>
      <c r="J264" t="e">
        <f>AND(#REF!,"AAAAAHU+xAk=")</f>
        <v>#REF!</v>
      </c>
      <c r="K264" t="e">
        <f>AND(#REF!,"AAAAAHU+xAo=")</f>
        <v>#REF!</v>
      </c>
      <c r="L264" t="e">
        <f>AND(#REF!,"AAAAAHU+xAs=")</f>
        <v>#REF!</v>
      </c>
      <c r="M264" t="e">
        <f>AND(#REF!,"AAAAAHU+xAw=")</f>
        <v>#REF!</v>
      </c>
      <c r="N264" t="e">
        <f>AND(#REF!,"AAAAAHU+xA0=")</f>
        <v>#REF!</v>
      </c>
      <c r="O264" t="e">
        <f>AND(#REF!,"AAAAAHU+xA4=")</f>
        <v>#REF!</v>
      </c>
      <c r="P264" t="e">
        <f>AND(#REF!,"AAAAAHU+xA8=")</f>
        <v>#REF!</v>
      </c>
      <c r="Q264" t="e">
        <f>AND(#REF!,"AAAAAHU+xBA=")</f>
        <v>#REF!</v>
      </c>
      <c r="R264" t="e">
        <f>AND(#REF!,"AAAAAHU+xBE=")</f>
        <v>#REF!</v>
      </c>
      <c r="S264" t="e">
        <f>AND(#REF!,"AAAAAHU+xBI=")</f>
        <v>#REF!</v>
      </c>
      <c r="T264" t="e">
        <f>AND(#REF!,"AAAAAHU+xBM=")</f>
        <v>#REF!</v>
      </c>
      <c r="U264" t="e">
        <f>AND(#REF!,"AAAAAHU+xBQ=")</f>
        <v>#REF!</v>
      </c>
      <c r="V264" t="e">
        <f>AND(#REF!,"AAAAAHU+xBU=")</f>
        <v>#REF!</v>
      </c>
      <c r="W264" t="e">
        <f>AND(#REF!,"AAAAAHU+xBY=")</f>
        <v>#REF!</v>
      </c>
      <c r="X264" t="e">
        <f>AND(#REF!,"AAAAAHU+xBc=")</f>
        <v>#REF!</v>
      </c>
      <c r="Y264" t="e">
        <f>AND(#REF!,"AAAAAHU+xBg=")</f>
        <v>#REF!</v>
      </c>
      <c r="Z264" t="e">
        <f>AND(#REF!,"AAAAAHU+xBk=")</f>
        <v>#REF!</v>
      </c>
      <c r="AA264" t="e">
        <f>AND(#REF!,"AAAAAHU+xBo=")</f>
        <v>#REF!</v>
      </c>
      <c r="AB264" t="e">
        <f>AND(#REF!,"AAAAAHU+xBs=")</f>
        <v>#REF!</v>
      </c>
      <c r="AC264" t="e">
        <f>AND(#REF!,"AAAAAHU+xBw=")</f>
        <v>#REF!</v>
      </c>
      <c r="AD264" t="e">
        <f>AND(#REF!,"AAAAAHU+xB0=")</f>
        <v>#REF!</v>
      </c>
      <c r="AE264" t="e">
        <f>AND(#REF!,"AAAAAHU+xB4=")</f>
        <v>#REF!</v>
      </c>
      <c r="AF264" t="e">
        <f>AND(#REF!,"AAAAAHU+xB8=")</f>
        <v>#REF!</v>
      </c>
      <c r="AG264" t="e">
        <f>AND(#REF!,"AAAAAHU+xCA=")</f>
        <v>#REF!</v>
      </c>
      <c r="AH264" t="e">
        <f>AND(#REF!,"AAAAAHU+xCE=")</f>
        <v>#REF!</v>
      </c>
      <c r="AI264" t="e">
        <f>AND(#REF!,"AAAAAHU+xCI=")</f>
        <v>#REF!</v>
      </c>
      <c r="AJ264" t="e">
        <f>AND(#REF!,"AAAAAHU+xCM=")</f>
        <v>#REF!</v>
      </c>
      <c r="AK264" t="e">
        <f>AND(#REF!,"AAAAAHU+xCQ=")</f>
        <v>#REF!</v>
      </c>
      <c r="AL264" t="e">
        <f>AND(#REF!,"AAAAAHU+xCU=")</f>
        <v>#REF!</v>
      </c>
      <c r="AM264" t="e">
        <f>AND(#REF!,"AAAAAHU+xCY=")</f>
        <v>#REF!</v>
      </c>
      <c r="AN264" t="e">
        <f>AND(#REF!,"AAAAAHU+xCc=")</f>
        <v>#REF!</v>
      </c>
      <c r="AO264" t="e">
        <f>AND(#REF!,"AAAAAHU+xCg=")</f>
        <v>#REF!</v>
      </c>
      <c r="AP264" t="e">
        <f>AND(#REF!,"AAAAAHU+xCk=")</f>
        <v>#REF!</v>
      </c>
      <c r="AQ264" t="e">
        <f>AND(#REF!,"AAAAAHU+xCo=")</f>
        <v>#REF!</v>
      </c>
      <c r="AR264" t="e">
        <f>AND(#REF!,"AAAAAHU+xCs=")</f>
        <v>#REF!</v>
      </c>
      <c r="AS264" t="e">
        <f>AND(#REF!,"AAAAAHU+xCw=")</f>
        <v>#REF!</v>
      </c>
      <c r="AT264" t="e">
        <f>AND(#REF!,"AAAAAHU+xC0=")</f>
        <v>#REF!</v>
      </c>
      <c r="AU264" t="e">
        <f>AND(#REF!,"AAAAAHU+xC4=")</f>
        <v>#REF!</v>
      </c>
      <c r="AV264" t="e">
        <f>AND(#REF!,"AAAAAHU+xC8=")</f>
        <v>#REF!</v>
      </c>
      <c r="AW264" t="e">
        <f>AND(#REF!,"AAAAAHU+xDA=")</f>
        <v>#REF!</v>
      </c>
      <c r="AX264" t="e">
        <f>AND(#REF!,"AAAAAHU+xDE=")</f>
        <v>#REF!</v>
      </c>
      <c r="AY264" t="e">
        <f>AND(#REF!,"AAAAAHU+xDI=")</f>
        <v>#REF!</v>
      </c>
      <c r="AZ264" t="e">
        <f>AND(#REF!,"AAAAAHU+xDM=")</f>
        <v>#REF!</v>
      </c>
      <c r="BA264" t="e">
        <f>AND(#REF!,"AAAAAHU+xDQ=")</f>
        <v>#REF!</v>
      </c>
      <c r="BB264" t="e">
        <f>AND(#REF!,"AAAAAHU+xDU=")</f>
        <v>#REF!</v>
      </c>
      <c r="BC264" t="e">
        <f>AND(#REF!,"AAAAAHU+xDY=")</f>
        <v>#REF!</v>
      </c>
      <c r="BD264" t="e">
        <f>AND(#REF!,"AAAAAHU+xDc=")</f>
        <v>#REF!</v>
      </c>
      <c r="BE264" t="e">
        <f>AND(#REF!,"AAAAAHU+xDg=")</f>
        <v>#REF!</v>
      </c>
      <c r="BF264" t="e">
        <f>AND(#REF!,"AAAAAHU+xDk=")</f>
        <v>#REF!</v>
      </c>
      <c r="BG264" t="e">
        <f>AND(#REF!,"AAAAAHU+xDo=")</f>
        <v>#REF!</v>
      </c>
      <c r="BH264" t="e">
        <f>AND(#REF!,"AAAAAHU+xDs=")</f>
        <v>#REF!</v>
      </c>
      <c r="BI264" t="e">
        <f>AND(#REF!,"AAAAAHU+xDw=")</f>
        <v>#REF!</v>
      </c>
      <c r="BJ264" t="e">
        <f>AND(#REF!,"AAAAAHU+xD0=")</f>
        <v>#REF!</v>
      </c>
      <c r="BK264" t="e">
        <f>AND(#REF!,"AAAAAHU+xD4=")</f>
        <v>#REF!</v>
      </c>
      <c r="BL264" t="e">
        <f>AND(#REF!,"AAAAAHU+xD8=")</f>
        <v>#REF!</v>
      </c>
      <c r="BM264" t="e">
        <f>AND(#REF!,"AAAAAHU+xEA=")</f>
        <v>#REF!</v>
      </c>
      <c r="BN264" t="e">
        <f>AND(#REF!,"AAAAAHU+xEE=")</f>
        <v>#REF!</v>
      </c>
      <c r="BO264" t="e">
        <f>AND(#REF!,"AAAAAHU+xEI=")</f>
        <v>#REF!</v>
      </c>
      <c r="BP264" t="e">
        <f>AND(#REF!,"AAAAAHU+xEM=")</f>
        <v>#REF!</v>
      </c>
      <c r="BQ264" t="e">
        <f>AND(#REF!,"AAAAAHU+xEQ=")</f>
        <v>#REF!</v>
      </c>
      <c r="BR264" t="e">
        <f>AND(#REF!,"AAAAAHU+xEU=")</f>
        <v>#REF!</v>
      </c>
      <c r="BS264" t="e">
        <f>AND(#REF!,"AAAAAHU+xEY=")</f>
        <v>#REF!</v>
      </c>
      <c r="BT264" t="e">
        <f>AND(#REF!,"AAAAAHU+xEc=")</f>
        <v>#REF!</v>
      </c>
      <c r="BU264" t="e">
        <f>AND(#REF!,"AAAAAHU+xEg=")</f>
        <v>#REF!</v>
      </c>
      <c r="BV264" t="e">
        <f>AND(#REF!,"AAAAAHU+xEk=")</f>
        <v>#REF!</v>
      </c>
      <c r="BW264" t="e">
        <f>AND(#REF!,"AAAAAHU+xEo=")</f>
        <v>#REF!</v>
      </c>
      <c r="BX264" t="e">
        <f>AND(#REF!,"AAAAAHU+xEs=")</f>
        <v>#REF!</v>
      </c>
      <c r="BY264" t="e">
        <f>AND(#REF!,"AAAAAHU+xEw=")</f>
        <v>#REF!</v>
      </c>
      <c r="BZ264" t="e">
        <f>AND(#REF!,"AAAAAHU+xE0=")</f>
        <v>#REF!</v>
      </c>
      <c r="CA264" t="e">
        <f>AND(#REF!,"AAAAAHU+xE4=")</f>
        <v>#REF!</v>
      </c>
      <c r="CB264" t="e">
        <f>AND(#REF!,"AAAAAHU+xE8=")</f>
        <v>#REF!</v>
      </c>
      <c r="CC264" t="e">
        <f>AND(#REF!,"AAAAAHU+xFA=")</f>
        <v>#REF!</v>
      </c>
      <c r="CD264" t="e">
        <f>AND(#REF!,"AAAAAHU+xFE=")</f>
        <v>#REF!</v>
      </c>
      <c r="CE264" t="e">
        <f>AND(#REF!,"AAAAAHU+xFI=")</f>
        <v>#REF!</v>
      </c>
      <c r="CF264" t="e">
        <f>AND(#REF!,"AAAAAHU+xFM=")</f>
        <v>#REF!</v>
      </c>
      <c r="CG264" t="e">
        <f>AND(#REF!,"AAAAAHU+xFQ=")</f>
        <v>#REF!</v>
      </c>
      <c r="CH264" t="e">
        <f>AND(#REF!,"AAAAAHU+xFU=")</f>
        <v>#REF!</v>
      </c>
      <c r="CI264" t="e">
        <f>AND(#REF!,"AAAAAHU+xFY=")</f>
        <v>#REF!</v>
      </c>
      <c r="CJ264" t="e">
        <f>AND(#REF!,"AAAAAHU+xFc=")</f>
        <v>#REF!</v>
      </c>
      <c r="CK264" t="e">
        <f>AND(#REF!,"AAAAAHU+xFg=")</f>
        <v>#REF!</v>
      </c>
      <c r="CL264" t="e">
        <f>AND(#REF!,"AAAAAHU+xFk=")</f>
        <v>#REF!</v>
      </c>
      <c r="CM264" t="e">
        <f>AND(#REF!,"AAAAAHU+xFo=")</f>
        <v>#REF!</v>
      </c>
      <c r="CN264" t="e">
        <f>AND(#REF!,"AAAAAHU+xFs=")</f>
        <v>#REF!</v>
      </c>
      <c r="CO264" t="e">
        <f>AND(#REF!,"AAAAAHU+xFw=")</f>
        <v>#REF!</v>
      </c>
      <c r="CP264" t="e">
        <f>AND(#REF!,"AAAAAHU+xF0=")</f>
        <v>#REF!</v>
      </c>
      <c r="CQ264" t="e">
        <f>AND(#REF!,"AAAAAHU+xF4=")</f>
        <v>#REF!</v>
      </c>
      <c r="CR264" t="e">
        <f>AND(#REF!,"AAAAAHU+xF8=")</f>
        <v>#REF!</v>
      </c>
      <c r="CS264" t="e">
        <f>AND(#REF!,"AAAAAHU+xGA=")</f>
        <v>#REF!</v>
      </c>
      <c r="CT264" t="e">
        <f>AND(#REF!,"AAAAAHU+xGE=")</f>
        <v>#REF!</v>
      </c>
      <c r="CU264" t="e">
        <f>AND(#REF!,"AAAAAHU+xGI=")</f>
        <v>#REF!</v>
      </c>
      <c r="CV264" t="e">
        <f>AND(#REF!,"AAAAAHU+xGM=")</f>
        <v>#REF!</v>
      </c>
      <c r="CW264" t="e">
        <f>AND(#REF!,"AAAAAHU+xGQ=")</f>
        <v>#REF!</v>
      </c>
      <c r="CX264" t="e">
        <f>AND(#REF!,"AAAAAHU+xGU=")</f>
        <v>#REF!</v>
      </c>
      <c r="CY264" t="e">
        <f>IF(#REF!,"AAAAAHU+xGY=",0)</f>
        <v>#REF!</v>
      </c>
      <c r="CZ264" t="e">
        <f>AND(#REF!,"AAAAAHU+xGc=")</f>
        <v>#REF!</v>
      </c>
      <c r="DA264" t="e">
        <f>AND(#REF!,"AAAAAHU+xGg=")</f>
        <v>#REF!</v>
      </c>
      <c r="DB264" t="e">
        <f>AND(#REF!,"AAAAAHU+xGk=")</f>
        <v>#REF!</v>
      </c>
      <c r="DC264" t="e">
        <f>AND(#REF!,"AAAAAHU+xGo=")</f>
        <v>#REF!</v>
      </c>
      <c r="DD264" t="e">
        <f>AND(#REF!,"AAAAAHU+xGs=")</f>
        <v>#REF!</v>
      </c>
      <c r="DE264" t="e">
        <f>AND(#REF!,"AAAAAHU+xGw=")</f>
        <v>#REF!</v>
      </c>
      <c r="DF264" t="e">
        <f>AND(#REF!,"AAAAAHU+xG0=")</f>
        <v>#REF!</v>
      </c>
      <c r="DG264" t="e">
        <f>AND(#REF!,"AAAAAHU+xG4=")</f>
        <v>#REF!</v>
      </c>
      <c r="DH264" t="e">
        <f>AND(#REF!,"AAAAAHU+xG8=")</f>
        <v>#REF!</v>
      </c>
      <c r="DI264" t="e">
        <f>AND(#REF!,"AAAAAHU+xHA=")</f>
        <v>#REF!</v>
      </c>
      <c r="DJ264" t="e">
        <f>AND(#REF!,"AAAAAHU+xHE=")</f>
        <v>#REF!</v>
      </c>
      <c r="DK264" t="e">
        <f>AND(#REF!,"AAAAAHU+xHI=")</f>
        <v>#REF!</v>
      </c>
      <c r="DL264" t="e">
        <f>AND(#REF!,"AAAAAHU+xHM=")</f>
        <v>#REF!</v>
      </c>
      <c r="DM264" t="e">
        <f>AND(#REF!,"AAAAAHU+xHQ=")</f>
        <v>#REF!</v>
      </c>
      <c r="DN264" t="e">
        <f>AND(#REF!,"AAAAAHU+xHU=")</f>
        <v>#REF!</v>
      </c>
      <c r="DO264" t="e">
        <f>AND(#REF!,"AAAAAHU+xHY=")</f>
        <v>#REF!</v>
      </c>
      <c r="DP264" t="e">
        <f>AND(#REF!,"AAAAAHU+xHc=")</f>
        <v>#REF!</v>
      </c>
      <c r="DQ264" t="e">
        <f>AND(#REF!,"AAAAAHU+xHg=")</f>
        <v>#REF!</v>
      </c>
      <c r="DR264" t="e">
        <f>AND(#REF!,"AAAAAHU+xHk=")</f>
        <v>#REF!</v>
      </c>
      <c r="DS264" t="e">
        <f>AND(#REF!,"AAAAAHU+xHo=")</f>
        <v>#REF!</v>
      </c>
      <c r="DT264" t="e">
        <f>AND(#REF!,"AAAAAHU+xHs=")</f>
        <v>#REF!</v>
      </c>
      <c r="DU264" t="e">
        <f>AND(#REF!,"AAAAAHU+xHw=")</f>
        <v>#REF!</v>
      </c>
      <c r="DV264" t="e">
        <f>AND(#REF!,"AAAAAHU+xH0=")</f>
        <v>#REF!</v>
      </c>
      <c r="DW264" t="e">
        <f>AND(#REF!,"AAAAAHU+xH4=")</f>
        <v>#REF!</v>
      </c>
      <c r="DX264" t="e">
        <f>AND(#REF!,"AAAAAHU+xH8=")</f>
        <v>#REF!</v>
      </c>
      <c r="DY264" t="e">
        <f>AND(#REF!,"AAAAAHU+xIA=")</f>
        <v>#REF!</v>
      </c>
      <c r="DZ264" t="e">
        <f>AND(#REF!,"AAAAAHU+xIE=")</f>
        <v>#REF!</v>
      </c>
      <c r="EA264" t="e">
        <f>AND(#REF!,"AAAAAHU+xII=")</f>
        <v>#REF!</v>
      </c>
      <c r="EB264" t="e">
        <f>AND(#REF!,"AAAAAHU+xIM=")</f>
        <v>#REF!</v>
      </c>
      <c r="EC264" t="e">
        <f>AND(#REF!,"AAAAAHU+xIQ=")</f>
        <v>#REF!</v>
      </c>
      <c r="ED264" t="e">
        <f>AND(#REF!,"AAAAAHU+xIU=")</f>
        <v>#REF!</v>
      </c>
      <c r="EE264" t="e">
        <f>AND(#REF!,"AAAAAHU+xIY=")</f>
        <v>#REF!</v>
      </c>
      <c r="EF264" t="e">
        <f>AND(#REF!,"AAAAAHU+xIc=")</f>
        <v>#REF!</v>
      </c>
      <c r="EG264" t="e">
        <f>AND(#REF!,"AAAAAHU+xIg=")</f>
        <v>#REF!</v>
      </c>
      <c r="EH264" t="e">
        <f>AND(#REF!,"AAAAAHU+xIk=")</f>
        <v>#REF!</v>
      </c>
      <c r="EI264" t="e">
        <f>AND(#REF!,"AAAAAHU+xIo=")</f>
        <v>#REF!</v>
      </c>
      <c r="EJ264" t="e">
        <f>AND(#REF!,"AAAAAHU+xIs=")</f>
        <v>#REF!</v>
      </c>
      <c r="EK264" t="e">
        <f>AND(#REF!,"AAAAAHU+xIw=")</f>
        <v>#REF!</v>
      </c>
      <c r="EL264" t="e">
        <f>AND(#REF!,"AAAAAHU+xI0=")</f>
        <v>#REF!</v>
      </c>
      <c r="EM264" t="e">
        <f>AND(#REF!,"AAAAAHU+xI4=")</f>
        <v>#REF!</v>
      </c>
      <c r="EN264" t="e">
        <f>AND(#REF!,"AAAAAHU+xI8=")</f>
        <v>#REF!</v>
      </c>
      <c r="EO264" t="e">
        <f>AND(#REF!,"AAAAAHU+xJA=")</f>
        <v>#REF!</v>
      </c>
      <c r="EP264" t="e">
        <f>AND(#REF!,"AAAAAHU+xJE=")</f>
        <v>#REF!</v>
      </c>
      <c r="EQ264" t="e">
        <f>AND(#REF!,"AAAAAHU+xJI=")</f>
        <v>#REF!</v>
      </c>
      <c r="ER264" t="e">
        <f>AND(#REF!,"AAAAAHU+xJM=")</f>
        <v>#REF!</v>
      </c>
      <c r="ES264" t="e">
        <f>AND(#REF!,"AAAAAHU+xJQ=")</f>
        <v>#REF!</v>
      </c>
      <c r="ET264" t="e">
        <f>AND(#REF!,"AAAAAHU+xJU=")</f>
        <v>#REF!</v>
      </c>
      <c r="EU264" t="e">
        <f>AND(#REF!,"AAAAAHU+xJY=")</f>
        <v>#REF!</v>
      </c>
      <c r="EV264" t="e">
        <f>AND(#REF!,"AAAAAHU+xJc=")</f>
        <v>#REF!</v>
      </c>
      <c r="EW264" t="e">
        <f>AND(#REF!,"AAAAAHU+xJg=")</f>
        <v>#REF!</v>
      </c>
      <c r="EX264" t="e">
        <f>AND(#REF!,"AAAAAHU+xJk=")</f>
        <v>#REF!</v>
      </c>
      <c r="EY264" t="e">
        <f>AND(#REF!,"AAAAAHU+xJo=")</f>
        <v>#REF!</v>
      </c>
      <c r="EZ264" t="e">
        <f>AND(#REF!,"AAAAAHU+xJs=")</f>
        <v>#REF!</v>
      </c>
      <c r="FA264" t="e">
        <f>AND(#REF!,"AAAAAHU+xJw=")</f>
        <v>#REF!</v>
      </c>
      <c r="FB264" t="e">
        <f>AND(#REF!,"AAAAAHU+xJ0=")</f>
        <v>#REF!</v>
      </c>
      <c r="FC264" t="e">
        <f>AND(#REF!,"AAAAAHU+xJ4=")</f>
        <v>#REF!</v>
      </c>
      <c r="FD264" t="e">
        <f>AND(#REF!,"AAAAAHU+xJ8=")</f>
        <v>#REF!</v>
      </c>
      <c r="FE264" t="e">
        <f>AND(#REF!,"AAAAAHU+xKA=")</f>
        <v>#REF!</v>
      </c>
      <c r="FF264" t="e">
        <f>AND(#REF!,"AAAAAHU+xKE=")</f>
        <v>#REF!</v>
      </c>
      <c r="FG264" t="e">
        <f>AND(#REF!,"AAAAAHU+xKI=")</f>
        <v>#REF!</v>
      </c>
      <c r="FH264" t="e">
        <f>AND(#REF!,"AAAAAHU+xKM=")</f>
        <v>#REF!</v>
      </c>
      <c r="FI264" t="e">
        <f>AND(#REF!,"AAAAAHU+xKQ=")</f>
        <v>#REF!</v>
      </c>
      <c r="FJ264" t="e">
        <f>AND(#REF!,"AAAAAHU+xKU=")</f>
        <v>#REF!</v>
      </c>
      <c r="FK264" t="e">
        <f>AND(#REF!,"AAAAAHU+xKY=")</f>
        <v>#REF!</v>
      </c>
      <c r="FL264" t="e">
        <f>AND(#REF!,"AAAAAHU+xKc=")</f>
        <v>#REF!</v>
      </c>
      <c r="FM264" t="e">
        <f>AND(#REF!,"AAAAAHU+xKg=")</f>
        <v>#REF!</v>
      </c>
      <c r="FN264" t="e">
        <f>AND(#REF!,"AAAAAHU+xKk=")</f>
        <v>#REF!</v>
      </c>
      <c r="FO264" t="e">
        <f>AND(#REF!,"AAAAAHU+xKo=")</f>
        <v>#REF!</v>
      </c>
      <c r="FP264" t="e">
        <f>AND(#REF!,"AAAAAHU+xKs=")</f>
        <v>#REF!</v>
      </c>
      <c r="FQ264" t="e">
        <f>AND(#REF!,"AAAAAHU+xKw=")</f>
        <v>#REF!</v>
      </c>
      <c r="FR264" t="e">
        <f>AND(#REF!,"AAAAAHU+xK0=")</f>
        <v>#REF!</v>
      </c>
      <c r="FS264" t="e">
        <f>AND(#REF!,"AAAAAHU+xK4=")</f>
        <v>#REF!</v>
      </c>
      <c r="FT264" t="e">
        <f>AND(#REF!,"AAAAAHU+xK8=")</f>
        <v>#REF!</v>
      </c>
      <c r="FU264" t="e">
        <f>AND(#REF!,"AAAAAHU+xLA=")</f>
        <v>#REF!</v>
      </c>
      <c r="FV264" t="e">
        <f>AND(#REF!,"AAAAAHU+xLE=")</f>
        <v>#REF!</v>
      </c>
      <c r="FW264" t="e">
        <f>AND(#REF!,"AAAAAHU+xLI=")</f>
        <v>#REF!</v>
      </c>
      <c r="FX264" t="e">
        <f>AND(#REF!,"AAAAAHU+xLM=")</f>
        <v>#REF!</v>
      </c>
      <c r="FY264" t="e">
        <f>AND(#REF!,"AAAAAHU+xLQ=")</f>
        <v>#REF!</v>
      </c>
      <c r="FZ264" t="e">
        <f>AND(#REF!,"AAAAAHU+xLU=")</f>
        <v>#REF!</v>
      </c>
      <c r="GA264" t="e">
        <f>AND(#REF!,"AAAAAHU+xLY=")</f>
        <v>#REF!</v>
      </c>
      <c r="GB264" t="e">
        <f>AND(#REF!,"AAAAAHU+xLc=")</f>
        <v>#REF!</v>
      </c>
      <c r="GC264" t="e">
        <f>AND(#REF!,"AAAAAHU+xLg=")</f>
        <v>#REF!</v>
      </c>
      <c r="GD264" t="e">
        <f>AND(#REF!,"AAAAAHU+xLk=")</f>
        <v>#REF!</v>
      </c>
      <c r="GE264" t="e">
        <f>AND(#REF!,"AAAAAHU+xLo=")</f>
        <v>#REF!</v>
      </c>
      <c r="GF264" t="e">
        <f>AND(#REF!,"AAAAAHU+xLs=")</f>
        <v>#REF!</v>
      </c>
      <c r="GG264" t="e">
        <f>AND(#REF!,"AAAAAHU+xLw=")</f>
        <v>#REF!</v>
      </c>
      <c r="GH264" t="e">
        <f>AND(#REF!,"AAAAAHU+xL0=")</f>
        <v>#REF!</v>
      </c>
      <c r="GI264" t="e">
        <f>AND(#REF!,"AAAAAHU+xL4=")</f>
        <v>#REF!</v>
      </c>
      <c r="GJ264" t="e">
        <f>AND(#REF!,"AAAAAHU+xL8=")</f>
        <v>#REF!</v>
      </c>
      <c r="GK264" t="e">
        <f>AND(#REF!,"AAAAAHU+xMA=")</f>
        <v>#REF!</v>
      </c>
      <c r="GL264" t="e">
        <f>AND(#REF!,"AAAAAHU+xME=")</f>
        <v>#REF!</v>
      </c>
      <c r="GM264" t="e">
        <f>AND(#REF!,"AAAAAHU+xMI=")</f>
        <v>#REF!</v>
      </c>
      <c r="GN264" t="e">
        <f>AND(#REF!,"AAAAAHU+xMM=")</f>
        <v>#REF!</v>
      </c>
      <c r="GO264" t="e">
        <f>AND(#REF!,"AAAAAHU+xMQ=")</f>
        <v>#REF!</v>
      </c>
      <c r="GP264" t="e">
        <f>AND(#REF!,"AAAAAHU+xMU=")</f>
        <v>#REF!</v>
      </c>
      <c r="GQ264" t="e">
        <f>AND(#REF!,"AAAAAHU+xMY=")</f>
        <v>#REF!</v>
      </c>
      <c r="GR264" t="e">
        <f>AND(#REF!,"AAAAAHU+xMc=")</f>
        <v>#REF!</v>
      </c>
      <c r="GS264" t="e">
        <f>AND(#REF!,"AAAAAHU+xMg=")</f>
        <v>#REF!</v>
      </c>
      <c r="GT264" t="e">
        <f>AND(#REF!,"AAAAAHU+xMk=")</f>
        <v>#REF!</v>
      </c>
      <c r="GU264" t="e">
        <f>AND(#REF!,"AAAAAHU+xMo=")</f>
        <v>#REF!</v>
      </c>
      <c r="GV264" t="e">
        <f>AND(#REF!,"AAAAAHU+xMs=")</f>
        <v>#REF!</v>
      </c>
      <c r="GW264" t="e">
        <f>AND(#REF!,"AAAAAHU+xMw=")</f>
        <v>#REF!</v>
      </c>
      <c r="GX264" t="e">
        <f>AND(#REF!,"AAAAAHU+xM0=")</f>
        <v>#REF!</v>
      </c>
      <c r="GY264" t="e">
        <f>AND(#REF!,"AAAAAHU+xM4=")</f>
        <v>#REF!</v>
      </c>
      <c r="GZ264" t="e">
        <f>AND(#REF!,"AAAAAHU+xM8=")</f>
        <v>#REF!</v>
      </c>
      <c r="HA264" t="e">
        <f>AND(#REF!,"AAAAAHU+xNA=")</f>
        <v>#REF!</v>
      </c>
      <c r="HB264" t="e">
        <f>AND(#REF!,"AAAAAHU+xNE=")</f>
        <v>#REF!</v>
      </c>
      <c r="HC264" t="e">
        <f>AND(#REF!,"AAAAAHU+xNI=")</f>
        <v>#REF!</v>
      </c>
      <c r="HD264" t="e">
        <f>AND(#REF!,"AAAAAHU+xNM=")</f>
        <v>#REF!</v>
      </c>
      <c r="HE264" t="e">
        <f>AND(#REF!,"AAAAAHU+xNQ=")</f>
        <v>#REF!</v>
      </c>
      <c r="HF264" t="e">
        <f>AND(#REF!,"AAAAAHU+xNU=")</f>
        <v>#REF!</v>
      </c>
      <c r="HG264" t="e">
        <f>AND(#REF!,"AAAAAHU+xNY=")</f>
        <v>#REF!</v>
      </c>
      <c r="HH264" t="e">
        <f>AND(#REF!,"AAAAAHU+xNc=")</f>
        <v>#REF!</v>
      </c>
      <c r="HI264" t="e">
        <f>AND(#REF!,"AAAAAHU+xNg=")</f>
        <v>#REF!</v>
      </c>
      <c r="HJ264" t="e">
        <f>AND(#REF!,"AAAAAHU+xNk=")</f>
        <v>#REF!</v>
      </c>
      <c r="HK264" t="e">
        <f>AND(#REF!,"AAAAAHU+xNo=")</f>
        <v>#REF!</v>
      </c>
      <c r="HL264" t="e">
        <f>AND(#REF!,"AAAAAHU+xNs=")</f>
        <v>#REF!</v>
      </c>
      <c r="HM264" t="e">
        <f>AND(#REF!,"AAAAAHU+xNw=")</f>
        <v>#REF!</v>
      </c>
      <c r="HN264" t="e">
        <f>AND(#REF!,"AAAAAHU+xN0=")</f>
        <v>#REF!</v>
      </c>
      <c r="HO264" t="e">
        <f>AND(#REF!,"AAAAAHU+xN4=")</f>
        <v>#REF!</v>
      </c>
      <c r="HP264" t="e">
        <f>AND(#REF!,"AAAAAHU+xN8=")</f>
        <v>#REF!</v>
      </c>
      <c r="HQ264" t="e">
        <f>AND(#REF!,"AAAAAHU+xOA=")</f>
        <v>#REF!</v>
      </c>
      <c r="HR264" t="e">
        <f>AND(#REF!,"AAAAAHU+xOE=")</f>
        <v>#REF!</v>
      </c>
      <c r="HS264" t="e">
        <f>AND(#REF!,"AAAAAHU+xOI=")</f>
        <v>#REF!</v>
      </c>
      <c r="HT264" t="e">
        <f>AND(#REF!,"AAAAAHU+xOM=")</f>
        <v>#REF!</v>
      </c>
      <c r="HU264" t="e">
        <f>AND(#REF!,"AAAAAHU+xOQ=")</f>
        <v>#REF!</v>
      </c>
      <c r="HV264" t="e">
        <f>AND(#REF!,"AAAAAHU+xOU=")</f>
        <v>#REF!</v>
      </c>
      <c r="HW264" t="e">
        <f>AND(#REF!,"AAAAAHU+xOY=")</f>
        <v>#REF!</v>
      </c>
      <c r="HX264" t="e">
        <f>AND(#REF!,"AAAAAHU+xOc=")</f>
        <v>#REF!</v>
      </c>
      <c r="HY264" t="e">
        <f>AND(#REF!,"AAAAAHU+xOg=")</f>
        <v>#REF!</v>
      </c>
      <c r="HZ264" t="e">
        <f>AND(#REF!,"AAAAAHU+xOk=")</f>
        <v>#REF!</v>
      </c>
      <c r="IA264" t="e">
        <f>AND(#REF!,"AAAAAHU+xOo=")</f>
        <v>#REF!</v>
      </c>
      <c r="IB264" t="e">
        <f>AND(#REF!,"AAAAAHU+xOs=")</f>
        <v>#REF!</v>
      </c>
      <c r="IC264" t="e">
        <f>AND(#REF!,"AAAAAHU+xOw=")</f>
        <v>#REF!</v>
      </c>
      <c r="ID264" t="e">
        <f>AND(#REF!,"AAAAAHU+xO0=")</f>
        <v>#REF!</v>
      </c>
      <c r="IE264" t="e">
        <f>AND(#REF!,"AAAAAHU+xO4=")</f>
        <v>#REF!</v>
      </c>
      <c r="IF264" t="e">
        <f>AND(#REF!,"AAAAAHU+xO8=")</f>
        <v>#REF!</v>
      </c>
      <c r="IG264" t="e">
        <f>AND(#REF!,"AAAAAHU+xPA=")</f>
        <v>#REF!</v>
      </c>
      <c r="IH264" t="e">
        <f>AND(#REF!,"AAAAAHU+xPE=")</f>
        <v>#REF!</v>
      </c>
      <c r="II264" t="e">
        <f>AND(#REF!,"AAAAAHU+xPI=")</f>
        <v>#REF!</v>
      </c>
      <c r="IJ264" t="e">
        <f>AND(#REF!,"AAAAAHU+xPM=")</f>
        <v>#REF!</v>
      </c>
      <c r="IK264" t="e">
        <f>AND(#REF!,"AAAAAHU+xPQ=")</f>
        <v>#REF!</v>
      </c>
      <c r="IL264" t="e">
        <f>AND(#REF!,"AAAAAHU+xPU=")</f>
        <v>#REF!</v>
      </c>
      <c r="IM264" t="e">
        <f>AND(#REF!,"AAAAAHU+xPY=")</f>
        <v>#REF!</v>
      </c>
      <c r="IN264" t="e">
        <f>AND(#REF!,"AAAAAHU+xPc=")</f>
        <v>#REF!</v>
      </c>
      <c r="IO264" t="e">
        <f>AND(#REF!,"AAAAAHU+xPg=")</f>
        <v>#REF!</v>
      </c>
      <c r="IP264" t="e">
        <f>AND(#REF!,"AAAAAHU+xPk=")</f>
        <v>#REF!</v>
      </c>
      <c r="IQ264" t="e">
        <f>AND(#REF!,"AAAAAHU+xPo=")</f>
        <v>#REF!</v>
      </c>
      <c r="IR264" t="e">
        <f>AND(#REF!,"AAAAAHU+xPs=")</f>
        <v>#REF!</v>
      </c>
      <c r="IS264" t="e">
        <f>AND(#REF!,"AAAAAHU+xPw=")</f>
        <v>#REF!</v>
      </c>
      <c r="IT264" t="e">
        <f>AND(#REF!,"AAAAAHU+xP0=")</f>
        <v>#REF!</v>
      </c>
      <c r="IU264" t="e">
        <f>AND(#REF!,"AAAAAHU+xP4=")</f>
        <v>#REF!</v>
      </c>
      <c r="IV264" t="e">
        <f>AND(#REF!,"AAAAAHU+xP8=")</f>
        <v>#REF!</v>
      </c>
    </row>
    <row r="265" spans="1:256">
      <c r="A265" t="e">
        <f>AND(#REF!,"AAAAAHyu+AA=")</f>
        <v>#REF!</v>
      </c>
      <c r="B265" t="e">
        <f>AND(#REF!,"AAAAAHyu+AE=")</f>
        <v>#REF!</v>
      </c>
      <c r="C265" t="e">
        <f>AND(#REF!,"AAAAAHyu+AI=")</f>
        <v>#REF!</v>
      </c>
      <c r="D265" t="e">
        <f>AND(#REF!,"AAAAAHyu+AM=")</f>
        <v>#REF!</v>
      </c>
      <c r="E265" t="e">
        <f>AND(#REF!,"AAAAAHyu+AQ=")</f>
        <v>#REF!</v>
      </c>
      <c r="F265" t="e">
        <f>AND(#REF!,"AAAAAHyu+AU=")</f>
        <v>#REF!</v>
      </c>
      <c r="G265" t="e">
        <f>AND(#REF!,"AAAAAHyu+AY=")</f>
        <v>#REF!</v>
      </c>
      <c r="H265" t="e">
        <f>AND(#REF!,"AAAAAHyu+Ac=")</f>
        <v>#REF!</v>
      </c>
      <c r="I265" t="e">
        <f>AND(#REF!,"AAAAAHyu+Ag=")</f>
        <v>#REF!</v>
      </c>
      <c r="J265" t="e">
        <f>AND(#REF!,"AAAAAHyu+Ak=")</f>
        <v>#REF!</v>
      </c>
      <c r="K265" t="e">
        <f>AND(#REF!,"AAAAAHyu+Ao=")</f>
        <v>#REF!</v>
      </c>
      <c r="L265" t="e">
        <f>AND(#REF!,"AAAAAHyu+As=")</f>
        <v>#REF!</v>
      </c>
      <c r="M265" t="e">
        <f>AND(#REF!,"AAAAAHyu+Aw=")</f>
        <v>#REF!</v>
      </c>
      <c r="N265" t="e">
        <f>AND(#REF!,"AAAAAHyu+A0=")</f>
        <v>#REF!</v>
      </c>
      <c r="O265" t="e">
        <f>AND(#REF!,"AAAAAHyu+A4=")</f>
        <v>#REF!</v>
      </c>
      <c r="P265" t="e">
        <f>AND(#REF!,"AAAAAHyu+A8=")</f>
        <v>#REF!</v>
      </c>
      <c r="Q265" t="e">
        <f>AND(#REF!,"AAAAAHyu+BA=")</f>
        <v>#REF!</v>
      </c>
      <c r="R265" t="e">
        <f>AND(#REF!,"AAAAAHyu+BE=")</f>
        <v>#REF!</v>
      </c>
      <c r="S265" t="e">
        <f>AND(#REF!,"AAAAAHyu+BI=")</f>
        <v>#REF!</v>
      </c>
      <c r="T265" t="e">
        <f>AND(#REF!,"AAAAAHyu+BM=")</f>
        <v>#REF!</v>
      </c>
      <c r="U265" t="e">
        <f>AND(#REF!,"AAAAAHyu+BQ=")</f>
        <v>#REF!</v>
      </c>
      <c r="V265" t="e">
        <f>AND(#REF!,"AAAAAHyu+BU=")</f>
        <v>#REF!</v>
      </c>
      <c r="W265" t="e">
        <f>AND(#REF!,"AAAAAHyu+BY=")</f>
        <v>#REF!</v>
      </c>
      <c r="X265" t="e">
        <f>AND(#REF!,"AAAAAHyu+Bc=")</f>
        <v>#REF!</v>
      </c>
      <c r="Y265" t="e">
        <f>AND(#REF!,"AAAAAHyu+Bg=")</f>
        <v>#REF!</v>
      </c>
      <c r="Z265" t="e">
        <f>AND(#REF!,"AAAAAHyu+Bk=")</f>
        <v>#REF!</v>
      </c>
      <c r="AA265" t="e">
        <f>AND(#REF!,"AAAAAHyu+Bo=")</f>
        <v>#REF!</v>
      </c>
      <c r="AB265" t="e">
        <f>AND(#REF!,"AAAAAHyu+Bs=")</f>
        <v>#REF!</v>
      </c>
      <c r="AC265" t="e">
        <f>AND(#REF!,"AAAAAHyu+Bw=")</f>
        <v>#REF!</v>
      </c>
      <c r="AD265" t="e">
        <f>AND(#REF!,"AAAAAHyu+B0=")</f>
        <v>#REF!</v>
      </c>
      <c r="AE265" t="e">
        <f>AND(#REF!,"AAAAAHyu+B4=")</f>
        <v>#REF!</v>
      </c>
      <c r="AF265" t="e">
        <f>AND(#REF!,"AAAAAHyu+B8=")</f>
        <v>#REF!</v>
      </c>
      <c r="AG265" t="e">
        <f>AND(#REF!,"AAAAAHyu+CA=")</f>
        <v>#REF!</v>
      </c>
      <c r="AH265" t="e">
        <f>AND(#REF!,"AAAAAHyu+CE=")</f>
        <v>#REF!</v>
      </c>
      <c r="AI265" t="e">
        <f>AND(#REF!,"AAAAAHyu+CI=")</f>
        <v>#REF!</v>
      </c>
      <c r="AJ265" t="e">
        <f>AND(#REF!,"AAAAAHyu+CM=")</f>
        <v>#REF!</v>
      </c>
      <c r="AK265" t="e">
        <f>AND(#REF!,"AAAAAHyu+CQ=")</f>
        <v>#REF!</v>
      </c>
      <c r="AL265" t="e">
        <f>AND(#REF!,"AAAAAHyu+CU=")</f>
        <v>#REF!</v>
      </c>
      <c r="AM265" t="e">
        <f>AND(#REF!,"AAAAAHyu+CY=")</f>
        <v>#REF!</v>
      </c>
      <c r="AN265" t="e">
        <f>AND(#REF!,"AAAAAHyu+Cc=")</f>
        <v>#REF!</v>
      </c>
      <c r="AO265" t="e">
        <f>AND(#REF!,"AAAAAHyu+Cg=")</f>
        <v>#REF!</v>
      </c>
      <c r="AP265" t="e">
        <f>AND(#REF!,"AAAAAHyu+Ck=")</f>
        <v>#REF!</v>
      </c>
      <c r="AQ265" t="e">
        <f>AND(#REF!,"AAAAAHyu+Co=")</f>
        <v>#REF!</v>
      </c>
      <c r="AR265" t="e">
        <f>AND(#REF!,"AAAAAHyu+Cs=")</f>
        <v>#REF!</v>
      </c>
      <c r="AS265" t="e">
        <f>AND(#REF!,"AAAAAHyu+Cw=")</f>
        <v>#REF!</v>
      </c>
      <c r="AT265" t="e">
        <f>AND(#REF!,"AAAAAHyu+C0=")</f>
        <v>#REF!</v>
      </c>
      <c r="AU265" t="e">
        <f>AND(#REF!,"AAAAAHyu+C4=")</f>
        <v>#REF!</v>
      </c>
      <c r="AV265" t="e">
        <f>AND(#REF!,"AAAAAHyu+C8=")</f>
        <v>#REF!</v>
      </c>
      <c r="AW265" t="e">
        <f>AND(#REF!,"AAAAAHyu+DA=")</f>
        <v>#REF!</v>
      </c>
      <c r="AX265" t="e">
        <f>AND(#REF!,"AAAAAHyu+DE=")</f>
        <v>#REF!</v>
      </c>
      <c r="AY265" t="e">
        <f>AND(#REF!,"AAAAAHyu+DI=")</f>
        <v>#REF!</v>
      </c>
      <c r="AZ265" t="e">
        <f>AND(#REF!,"AAAAAHyu+DM=")</f>
        <v>#REF!</v>
      </c>
      <c r="BA265" t="e">
        <f>AND(#REF!,"AAAAAHyu+DQ=")</f>
        <v>#REF!</v>
      </c>
      <c r="BB265" t="e">
        <f>AND(#REF!,"AAAAAHyu+DU=")</f>
        <v>#REF!</v>
      </c>
      <c r="BC265" t="e">
        <f>AND(#REF!,"AAAAAHyu+DY=")</f>
        <v>#REF!</v>
      </c>
      <c r="BD265" t="e">
        <f>AND(#REF!,"AAAAAHyu+Dc=")</f>
        <v>#REF!</v>
      </c>
      <c r="BE265" t="e">
        <f>AND(#REF!,"AAAAAHyu+Dg=")</f>
        <v>#REF!</v>
      </c>
      <c r="BF265" t="e">
        <f>AND(#REF!,"AAAAAHyu+Dk=")</f>
        <v>#REF!</v>
      </c>
      <c r="BG265" t="e">
        <f>AND(#REF!,"AAAAAHyu+Do=")</f>
        <v>#REF!</v>
      </c>
      <c r="BH265" t="e">
        <f>AND(#REF!,"AAAAAHyu+Ds=")</f>
        <v>#REF!</v>
      </c>
      <c r="BI265" t="e">
        <f>AND(#REF!,"AAAAAHyu+Dw=")</f>
        <v>#REF!</v>
      </c>
      <c r="BJ265" t="e">
        <f>AND(#REF!,"AAAAAHyu+D0=")</f>
        <v>#REF!</v>
      </c>
      <c r="BK265" t="e">
        <f>AND(#REF!,"AAAAAHyu+D4=")</f>
        <v>#REF!</v>
      </c>
      <c r="BL265" t="e">
        <f>AND(#REF!,"AAAAAHyu+D8=")</f>
        <v>#REF!</v>
      </c>
      <c r="BM265" t="e">
        <f>AND(#REF!,"AAAAAHyu+EA=")</f>
        <v>#REF!</v>
      </c>
      <c r="BN265" t="e">
        <f>AND(#REF!,"AAAAAHyu+EE=")</f>
        <v>#REF!</v>
      </c>
      <c r="BO265" t="e">
        <f>AND(#REF!,"AAAAAHyu+EI=")</f>
        <v>#REF!</v>
      </c>
      <c r="BP265" t="e">
        <f>AND(#REF!,"AAAAAHyu+EM=")</f>
        <v>#REF!</v>
      </c>
      <c r="BQ265" t="e">
        <f>AND(#REF!,"AAAAAHyu+EQ=")</f>
        <v>#REF!</v>
      </c>
      <c r="BR265" t="e">
        <f>AND(#REF!,"AAAAAHyu+EU=")</f>
        <v>#REF!</v>
      </c>
      <c r="BS265" t="e">
        <f>AND(#REF!,"AAAAAHyu+EY=")</f>
        <v>#REF!</v>
      </c>
      <c r="BT265" t="e">
        <f>AND(#REF!,"AAAAAHyu+Ec=")</f>
        <v>#REF!</v>
      </c>
      <c r="BU265" t="e">
        <f>AND(#REF!,"AAAAAHyu+Eg=")</f>
        <v>#REF!</v>
      </c>
      <c r="BV265" t="e">
        <f>AND(#REF!,"AAAAAHyu+Ek=")</f>
        <v>#REF!</v>
      </c>
      <c r="BW265" t="e">
        <f>IF(#REF!,"AAAAAHyu+Eo=",0)</f>
        <v>#REF!</v>
      </c>
      <c r="BX265" t="e">
        <f>AND(#REF!,"AAAAAHyu+Es=")</f>
        <v>#REF!</v>
      </c>
      <c r="BY265" t="e">
        <f>AND(#REF!,"AAAAAHyu+Ew=")</f>
        <v>#REF!</v>
      </c>
      <c r="BZ265" t="e">
        <f>AND(#REF!,"AAAAAHyu+E0=")</f>
        <v>#REF!</v>
      </c>
      <c r="CA265" t="e">
        <f>AND(#REF!,"AAAAAHyu+E4=")</f>
        <v>#REF!</v>
      </c>
      <c r="CB265" t="e">
        <f>AND(#REF!,"AAAAAHyu+E8=")</f>
        <v>#REF!</v>
      </c>
      <c r="CC265" t="e">
        <f>AND(#REF!,"AAAAAHyu+FA=")</f>
        <v>#REF!</v>
      </c>
      <c r="CD265" t="e">
        <f>AND(#REF!,"AAAAAHyu+FE=")</f>
        <v>#REF!</v>
      </c>
      <c r="CE265" t="e">
        <f>AND(#REF!,"AAAAAHyu+FI=")</f>
        <v>#REF!</v>
      </c>
      <c r="CF265" t="e">
        <f>AND(#REF!,"AAAAAHyu+FM=")</f>
        <v>#REF!</v>
      </c>
      <c r="CG265" t="e">
        <f>AND(#REF!,"AAAAAHyu+FQ=")</f>
        <v>#REF!</v>
      </c>
      <c r="CH265" t="e">
        <f>AND(#REF!,"AAAAAHyu+FU=")</f>
        <v>#REF!</v>
      </c>
      <c r="CI265" t="e">
        <f>AND(#REF!,"AAAAAHyu+FY=")</f>
        <v>#REF!</v>
      </c>
      <c r="CJ265" t="e">
        <f>AND(#REF!,"AAAAAHyu+Fc=")</f>
        <v>#REF!</v>
      </c>
      <c r="CK265" t="e">
        <f>AND(#REF!,"AAAAAHyu+Fg=")</f>
        <v>#REF!</v>
      </c>
      <c r="CL265" t="e">
        <f>AND(#REF!,"AAAAAHyu+Fk=")</f>
        <v>#REF!</v>
      </c>
      <c r="CM265" t="e">
        <f>AND(#REF!,"AAAAAHyu+Fo=")</f>
        <v>#REF!</v>
      </c>
      <c r="CN265" t="e">
        <f>AND(#REF!,"AAAAAHyu+Fs=")</f>
        <v>#REF!</v>
      </c>
      <c r="CO265" t="e">
        <f>AND(#REF!,"AAAAAHyu+Fw=")</f>
        <v>#REF!</v>
      </c>
      <c r="CP265" t="e">
        <f>AND(#REF!,"AAAAAHyu+F0=")</f>
        <v>#REF!</v>
      </c>
      <c r="CQ265" t="e">
        <f>AND(#REF!,"AAAAAHyu+F4=")</f>
        <v>#REF!</v>
      </c>
      <c r="CR265" t="e">
        <f>AND(#REF!,"AAAAAHyu+F8=")</f>
        <v>#REF!</v>
      </c>
      <c r="CS265" t="e">
        <f>AND(#REF!,"AAAAAHyu+GA=")</f>
        <v>#REF!</v>
      </c>
      <c r="CT265" t="e">
        <f>AND(#REF!,"AAAAAHyu+GE=")</f>
        <v>#REF!</v>
      </c>
      <c r="CU265" t="e">
        <f>AND(#REF!,"AAAAAHyu+GI=")</f>
        <v>#REF!</v>
      </c>
      <c r="CV265" t="e">
        <f>AND(#REF!,"AAAAAHyu+GM=")</f>
        <v>#REF!</v>
      </c>
      <c r="CW265" t="e">
        <f>AND(#REF!,"AAAAAHyu+GQ=")</f>
        <v>#REF!</v>
      </c>
      <c r="CX265" t="e">
        <f>AND(#REF!,"AAAAAHyu+GU=")</f>
        <v>#REF!</v>
      </c>
      <c r="CY265" t="e">
        <f>AND(#REF!,"AAAAAHyu+GY=")</f>
        <v>#REF!</v>
      </c>
      <c r="CZ265" t="e">
        <f>AND(#REF!,"AAAAAHyu+Gc=")</f>
        <v>#REF!</v>
      </c>
      <c r="DA265" t="e">
        <f>AND(#REF!,"AAAAAHyu+Gg=")</f>
        <v>#REF!</v>
      </c>
      <c r="DB265" t="e">
        <f>AND(#REF!,"AAAAAHyu+Gk=")</f>
        <v>#REF!</v>
      </c>
      <c r="DC265" t="e">
        <f>AND(#REF!,"AAAAAHyu+Go=")</f>
        <v>#REF!</v>
      </c>
      <c r="DD265" t="e">
        <f>AND(#REF!,"AAAAAHyu+Gs=")</f>
        <v>#REF!</v>
      </c>
      <c r="DE265" t="e">
        <f>AND(#REF!,"AAAAAHyu+Gw=")</f>
        <v>#REF!</v>
      </c>
      <c r="DF265" t="e">
        <f>AND(#REF!,"AAAAAHyu+G0=")</f>
        <v>#REF!</v>
      </c>
      <c r="DG265" t="e">
        <f>AND(#REF!,"AAAAAHyu+G4=")</f>
        <v>#REF!</v>
      </c>
      <c r="DH265" t="e">
        <f>AND(#REF!,"AAAAAHyu+G8=")</f>
        <v>#REF!</v>
      </c>
      <c r="DI265" t="e">
        <f>AND(#REF!,"AAAAAHyu+HA=")</f>
        <v>#REF!</v>
      </c>
      <c r="DJ265" t="e">
        <f>AND(#REF!,"AAAAAHyu+HE=")</f>
        <v>#REF!</v>
      </c>
      <c r="DK265" t="e">
        <f>AND(#REF!,"AAAAAHyu+HI=")</f>
        <v>#REF!</v>
      </c>
      <c r="DL265" t="e">
        <f>AND(#REF!,"AAAAAHyu+HM=")</f>
        <v>#REF!</v>
      </c>
      <c r="DM265" t="e">
        <f>AND(#REF!,"AAAAAHyu+HQ=")</f>
        <v>#REF!</v>
      </c>
      <c r="DN265" t="e">
        <f>AND(#REF!,"AAAAAHyu+HU=")</f>
        <v>#REF!</v>
      </c>
      <c r="DO265" t="e">
        <f>AND(#REF!,"AAAAAHyu+HY=")</f>
        <v>#REF!</v>
      </c>
      <c r="DP265" t="e">
        <f>AND(#REF!,"AAAAAHyu+Hc=")</f>
        <v>#REF!</v>
      </c>
      <c r="DQ265" t="e">
        <f>AND(#REF!,"AAAAAHyu+Hg=")</f>
        <v>#REF!</v>
      </c>
      <c r="DR265" t="e">
        <f>AND(#REF!,"AAAAAHyu+Hk=")</f>
        <v>#REF!</v>
      </c>
      <c r="DS265" t="e">
        <f>AND(#REF!,"AAAAAHyu+Ho=")</f>
        <v>#REF!</v>
      </c>
      <c r="DT265" t="e">
        <f>AND(#REF!,"AAAAAHyu+Hs=")</f>
        <v>#REF!</v>
      </c>
      <c r="DU265" t="e">
        <f>AND(#REF!,"AAAAAHyu+Hw=")</f>
        <v>#REF!</v>
      </c>
      <c r="DV265" t="e">
        <f>AND(#REF!,"AAAAAHyu+H0=")</f>
        <v>#REF!</v>
      </c>
      <c r="DW265" t="e">
        <f>AND(#REF!,"AAAAAHyu+H4=")</f>
        <v>#REF!</v>
      </c>
      <c r="DX265" t="e">
        <f>AND(#REF!,"AAAAAHyu+H8=")</f>
        <v>#REF!</v>
      </c>
      <c r="DY265" t="e">
        <f>AND(#REF!,"AAAAAHyu+IA=")</f>
        <v>#REF!</v>
      </c>
      <c r="DZ265" t="e">
        <f>AND(#REF!,"AAAAAHyu+IE=")</f>
        <v>#REF!</v>
      </c>
      <c r="EA265" t="e">
        <f>AND(#REF!,"AAAAAHyu+II=")</f>
        <v>#REF!</v>
      </c>
      <c r="EB265" t="e">
        <f>AND(#REF!,"AAAAAHyu+IM=")</f>
        <v>#REF!</v>
      </c>
      <c r="EC265" t="e">
        <f>AND(#REF!,"AAAAAHyu+IQ=")</f>
        <v>#REF!</v>
      </c>
      <c r="ED265" t="e">
        <f>AND(#REF!,"AAAAAHyu+IU=")</f>
        <v>#REF!</v>
      </c>
      <c r="EE265" t="e">
        <f>AND(#REF!,"AAAAAHyu+IY=")</f>
        <v>#REF!</v>
      </c>
      <c r="EF265" t="e">
        <f>AND(#REF!,"AAAAAHyu+Ic=")</f>
        <v>#REF!</v>
      </c>
      <c r="EG265" t="e">
        <f>AND(#REF!,"AAAAAHyu+Ig=")</f>
        <v>#REF!</v>
      </c>
      <c r="EH265" t="e">
        <f>AND(#REF!,"AAAAAHyu+Ik=")</f>
        <v>#REF!</v>
      </c>
      <c r="EI265" t="e">
        <f>AND(#REF!,"AAAAAHyu+Io=")</f>
        <v>#REF!</v>
      </c>
      <c r="EJ265" t="e">
        <f>AND(#REF!,"AAAAAHyu+Is=")</f>
        <v>#REF!</v>
      </c>
      <c r="EK265" t="e">
        <f>AND(#REF!,"AAAAAHyu+Iw=")</f>
        <v>#REF!</v>
      </c>
      <c r="EL265" t="e">
        <f>AND(#REF!,"AAAAAHyu+I0=")</f>
        <v>#REF!</v>
      </c>
      <c r="EM265" t="e">
        <f>AND(#REF!,"AAAAAHyu+I4=")</f>
        <v>#REF!</v>
      </c>
      <c r="EN265" t="e">
        <f>AND(#REF!,"AAAAAHyu+I8=")</f>
        <v>#REF!</v>
      </c>
      <c r="EO265" t="e">
        <f>AND(#REF!,"AAAAAHyu+JA=")</f>
        <v>#REF!</v>
      </c>
      <c r="EP265" t="e">
        <f>AND(#REF!,"AAAAAHyu+JE=")</f>
        <v>#REF!</v>
      </c>
      <c r="EQ265" t="e">
        <f>AND(#REF!,"AAAAAHyu+JI=")</f>
        <v>#REF!</v>
      </c>
      <c r="ER265" t="e">
        <f>AND(#REF!,"AAAAAHyu+JM=")</f>
        <v>#REF!</v>
      </c>
      <c r="ES265" t="e">
        <f>AND(#REF!,"AAAAAHyu+JQ=")</f>
        <v>#REF!</v>
      </c>
      <c r="ET265" t="e">
        <f>AND(#REF!,"AAAAAHyu+JU=")</f>
        <v>#REF!</v>
      </c>
      <c r="EU265" t="e">
        <f>AND(#REF!,"AAAAAHyu+JY=")</f>
        <v>#REF!</v>
      </c>
      <c r="EV265" t="e">
        <f>AND(#REF!,"AAAAAHyu+Jc=")</f>
        <v>#REF!</v>
      </c>
      <c r="EW265" t="e">
        <f>AND(#REF!,"AAAAAHyu+Jg=")</f>
        <v>#REF!</v>
      </c>
      <c r="EX265" t="e">
        <f>AND(#REF!,"AAAAAHyu+Jk=")</f>
        <v>#REF!</v>
      </c>
      <c r="EY265" t="e">
        <f>AND(#REF!,"AAAAAHyu+Jo=")</f>
        <v>#REF!</v>
      </c>
      <c r="EZ265" t="e">
        <f>AND(#REF!,"AAAAAHyu+Js=")</f>
        <v>#REF!</v>
      </c>
      <c r="FA265" t="e">
        <f>AND(#REF!,"AAAAAHyu+Jw=")</f>
        <v>#REF!</v>
      </c>
      <c r="FB265" t="e">
        <f>AND(#REF!,"AAAAAHyu+J0=")</f>
        <v>#REF!</v>
      </c>
      <c r="FC265" t="e">
        <f>AND(#REF!,"AAAAAHyu+J4=")</f>
        <v>#REF!</v>
      </c>
      <c r="FD265" t="e">
        <f>AND(#REF!,"AAAAAHyu+J8=")</f>
        <v>#REF!</v>
      </c>
      <c r="FE265" t="e">
        <f>AND(#REF!,"AAAAAHyu+KA=")</f>
        <v>#REF!</v>
      </c>
      <c r="FF265" t="e">
        <f>AND(#REF!,"AAAAAHyu+KE=")</f>
        <v>#REF!</v>
      </c>
      <c r="FG265" t="e">
        <f>AND(#REF!,"AAAAAHyu+KI=")</f>
        <v>#REF!</v>
      </c>
      <c r="FH265" t="e">
        <f>AND(#REF!,"AAAAAHyu+KM=")</f>
        <v>#REF!</v>
      </c>
      <c r="FI265" t="e">
        <f>AND(#REF!,"AAAAAHyu+KQ=")</f>
        <v>#REF!</v>
      </c>
      <c r="FJ265" t="e">
        <f>AND(#REF!,"AAAAAHyu+KU=")</f>
        <v>#REF!</v>
      </c>
      <c r="FK265" t="e">
        <f>AND(#REF!,"AAAAAHyu+KY=")</f>
        <v>#REF!</v>
      </c>
      <c r="FL265" t="e">
        <f>AND(#REF!,"AAAAAHyu+Kc=")</f>
        <v>#REF!</v>
      </c>
      <c r="FM265" t="e">
        <f>AND(#REF!,"AAAAAHyu+Kg=")</f>
        <v>#REF!</v>
      </c>
      <c r="FN265" t="e">
        <f>AND(#REF!,"AAAAAHyu+Kk=")</f>
        <v>#REF!</v>
      </c>
      <c r="FO265" t="e">
        <f>AND(#REF!,"AAAAAHyu+Ko=")</f>
        <v>#REF!</v>
      </c>
      <c r="FP265" t="e">
        <f>AND(#REF!,"AAAAAHyu+Ks=")</f>
        <v>#REF!</v>
      </c>
      <c r="FQ265" t="e">
        <f>AND(#REF!,"AAAAAHyu+Kw=")</f>
        <v>#REF!</v>
      </c>
      <c r="FR265" t="e">
        <f>AND(#REF!,"AAAAAHyu+K0=")</f>
        <v>#REF!</v>
      </c>
      <c r="FS265" t="e">
        <f>AND(#REF!,"AAAAAHyu+K4=")</f>
        <v>#REF!</v>
      </c>
      <c r="FT265" t="e">
        <f>AND(#REF!,"AAAAAHyu+K8=")</f>
        <v>#REF!</v>
      </c>
      <c r="FU265" t="e">
        <f>AND(#REF!,"AAAAAHyu+LA=")</f>
        <v>#REF!</v>
      </c>
      <c r="FV265" t="e">
        <f>AND(#REF!,"AAAAAHyu+LE=")</f>
        <v>#REF!</v>
      </c>
      <c r="FW265" t="e">
        <f>AND(#REF!,"AAAAAHyu+LI=")</f>
        <v>#REF!</v>
      </c>
      <c r="FX265" t="e">
        <f>AND(#REF!,"AAAAAHyu+LM=")</f>
        <v>#REF!</v>
      </c>
      <c r="FY265" t="e">
        <f>AND(#REF!,"AAAAAHyu+LQ=")</f>
        <v>#REF!</v>
      </c>
      <c r="FZ265" t="e">
        <f>AND(#REF!,"AAAAAHyu+LU=")</f>
        <v>#REF!</v>
      </c>
      <c r="GA265" t="e">
        <f>AND(#REF!,"AAAAAHyu+LY=")</f>
        <v>#REF!</v>
      </c>
      <c r="GB265" t="e">
        <f>AND(#REF!,"AAAAAHyu+Lc=")</f>
        <v>#REF!</v>
      </c>
      <c r="GC265" t="e">
        <f>AND(#REF!,"AAAAAHyu+Lg=")</f>
        <v>#REF!</v>
      </c>
      <c r="GD265" t="e">
        <f>AND(#REF!,"AAAAAHyu+Lk=")</f>
        <v>#REF!</v>
      </c>
      <c r="GE265" t="e">
        <f>AND(#REF!,"AAAAAHyu+Lo=")</f>
        <v>#REF!</v>
      </c>
      <c r="GF265" t="e">
        <f>AND(#REF!,"AAAAAHyu+Ls=")</f>
        <v>#REF!</v>
      </c>
      <c r="GG265" t="e">
        <f>AND(#REF!,"AAAAAHyu+Lw=")</f>
        <v>#REF!</v>
      </c>
      <c r="GH265" t="e">
        <f>AND(#REF!,"AAAAAHyu+L0=")</f>
        <v>#REF!</v>
      </c>
      <c r="GI265" t="e">
        <f>AND(#REF!,"AAAAAHyu+L4=")</f>
        <v>#REF!</v>
      </c>
      <c r="GJ265" t="e">
        <f>AND(#REF!,"AAAAAHyu+L8=")</f>
        <v>#REF!</v>
      </c>
      <c r="GK265" t="e">
        <f>AND(#REF!,"AAAAAHyu+MA=")</f>
        <v>#REF!</v>
      </c>
      <c r="GL265" t="e">
        <f>AND(#REF!,"AAAAAHyu+ME=")</f>
        <v>#REF!</v>
      </c>
      <c r="GM265" t="e">
        <f>AND(#REF!,"AAAAAHyu+MI=")</f>
        <v>#REF!</v>
      </c>
      <c r="GN265" t="e">
        <f>AND(#REF!,"AAAAAHyu+MM=")</f>
        <v>#REF!</v>
      </c>
      <c r="GO265" t="e">
        <f>AND(#REF!,"AAAAAHyu+MQ=")</f>
        <v>#REF!</v>
      </c>
      <c r="GP265" t="e">
        <f>AND(#REF!,"AAAAAHyu+MU=")</f>
        <v>#REF!</v>
      </c>
      <c r="GQ265" t="e">
        <f>AND(#REF!,"AAAAAHyu+MY=")</f>
        <v>#REF!</v>
      </c>
      <c r="GR265" t="e">
        <f>AND(#REF!,"AAAAAHyu+Mc=")</f>
        <v>#REF!</v>
      </c>
      <c r="GS265" t="e">
        <f>AND(#REF!,"AAAAAHyu+Mg=")</f>
        <v>#REF!</v>
      </c>
      <c r="GT265" t="e">
        <f>AND(#REF!,"AAAAAHyu+Mk=")</f>
        <v>#REF!</v>
      </c>
      <c r="GU265" t="e">
        <f>AND(#REF!,"AAAAAHyu+Mo=")</f>
        <v>#REF!</v>
      </c>
      <c r="GV265" t="e">
        <f>AND(#REF!,"AAAAAHyu+Ms=")</f>
        <v>#REF!</v>
      </c>
      <c r="GW265" t="e">
        <f>AND(#REF!,"AAAAAHyu+Mw=")</f>
        <v>#REF!</v>
      </c>
      <c r="GX265" t="e">
        <f>AND(#REF!,"AAAAAHyu+M0=")</f>
        <v>#REF!</v>
      </c>
      <c r="GY265" t="e">
        <f>AND(#REF!,"AAAAAHyu+M4=")</f>
        <v>#REF!</v>
      </c>
      <c r="GZ265" t="e">
        <f>AND(#REF!,"AAAAAHyu+M8=")</f>
        <v>#REF!</v>
      </c>
      <c r="HA265" t="e">
        <f>AND(#REF!,"AAAAAHyu+NA=")</f>
        <v>#REF!</v>
      </c>
      <c r="HB265" t="e">
        <f>AND(#REF!,"AAAAAHyu+NE=")</f>
        <v>#REF!</v>
      </c>
      <c r="HC265" t="e">
        <f>AND(#REF!,"AAAAAHyu+NI=")</f>
        <v>#REF!</v>
      </c>
      <c r="HD265" t="e">
        <f>AND(#REF!,"AAAAAHyu+NM=")</f>
        <v>#REF!</v>
      </c>
      <c r="HE265" t="e">
        <f>AND(#REF!,"AAAAAHyu+NQ=")</f>
        <v>#REF!</v>
      </c>
      <c r="HF265" t="e">
        <f>AND(#REF!,"AAAAAHyu+NU=")</f>
        <v>#REF!</v>
      </c>
      <c r="HG265" t="e">
        <f>AND(#REF!,"AAAAAHyu+NY=")</f>
        <v>#REF!</v>
      </c>
      <c r="HH265" t="e">
        <f>AND(#REF!,"AAAAAHyu+Nc=")</f>
        <v>#REF!</v>
      </c>
      <c r="HI265" t="e">
        <f>AND(#REF!,"AAAAAHyu+Ng=")</f>
        <v>#REF!</v>
      </c>
      <c r="HJ265" t="e">
        <f>AND(#REF!,"AAAAAHyu+Nk=")</f>
        <v>#REF!</v>
      </c>
      <c r="HK265" t="e">
        <f>AND(#REF!,"AAAAAHyu+No=")</f>
        <v>#REF!</v>
      </c>
      <c r="HL265" t="e">
        <f>AND(#REF!,"AAAAAHyu+Ns=")</f>
        <v>#REF!</v>
      </c>
      <c r="HM265" t="e">
        <f>AND(#REF!,"AAAAAHyu+Nw=")</f>
        <v>#REF!</v>
      </c>
      <c r="HN265" t="e">
        <f>AND(#REF!,"AAAAAHyu+N0=")</f>
        <v>#REF!</v>
      </c>
      <c r="HO265" t="e">
        <f>AND(#REF!,"AAAAAHyu+N4=")</f>
        <v>#REF!</v>
      </c>
      <c r="HP265" t="e">
        <f>AND(#REF!,"AAAAAHyu+N8=")</f>
        <v>#REF!</v>
      </c>
      <c r="HQ265" t="e">
        <f>AND(#REF!,"AAAAAHyu+OA=")</f>
        <v>#REF!</v>
      </c>
      <c r="HR265" t="e">
        <f>AND(#REF!,"AAAAAHyu+OE=")</f>
        <v>#REF!</v>
      </c>
      <c r="HS265" t="e">
        <f>AND(#REF!,"AAAAAHyu+OI=")</f>
        <v>#REF!</v>
      </c>
      <c r="HT265" t="e">
        <f>AND(#REF!,"AAAAAHyu+OM=")</f>
        <v>#REF!</v>
      </c>
      <c r="HU265" t="e">
        <f>AND(#REF!,"AAAAAHyu+OQ=")</f>
        <v>#REF!</v>
      </c>
      <c r="HV265" t="e">
        <f>AND(#REF!,"AAAAAHyu+OU=")</f>
        <v>#REF!</v>
      </c>
      <c r="HW265" t="e">
        <f>AND(#REF!,"AAAAAHyu+OY=")</f>
        <v>#REF!</v>
      </c>
      <c r="HX265" t="e">
        <f>AND(#REF!,"AAAAAHyu+Oc=")</f>
        <v>#REF!</v>
      </c>
      <c r="HY265" t="e">
        <f>AND(#REF!,"AAAAAHyu+Og=")</f>
        <v>#REF!</v>
      </c>
      <c r="HZ265" t="e">
        <f>AND(#REF!,"AAAAAHyu+Ok=")</f>
        <v>#REF!</v>
      </c>
      <c r="IA265" t="e">
        <f>AND(#REF!,"AAAAAHyu+Oo=")</f>
        <v>#REF!</v>
      </c>
      <c r="IB265" t="e">
        <f>AND(#REF!,"AAAAAHyu+Os=")</f>
        <v>#REF!</v>
      </c>
      <c r="IC265" t="e">
        <f>AND(#REF!,"AAAAAHyu+Ow=")</f>
        <v>#REF!</v>
      </c>
      <c r="ID265" t="e">
        <f>AND(#REF!,"AAAAAHyu+O0=")</f>
        <v>#REF!</v>
      </c>
      <c r="IE265" t="e">
        <f>AND(#REF!,"AAAAAHyu+O4=")</f>
        <v>#REF!</v>
      </c>
      <c r="IF265" t="e">
        <f>AND(#REF!,"AAAAAHyu+O8=")</f>
        <v>#REF!</v>
      </c>
      <c r="IG265" t="e">
        <f>AND(#REF!,"AAAAAHyu+PA=")</f>
        <v>#REF!</v>
      </c>
      <c r="IH265" t="e">
        <f>AND(#REF!,"AAAAAHyu+PE=")</f>
        <v>#REF!</v>
      </c>
      <c r="II265" t="e">
        <f>AND(#REF!,"AAAAAHyu+PI=")</f>
        <v>#REF!</v>
      </c>
      <c r="IJ265" t="e">
        <f>AND(#REF!,"AAAAAHyu+PM=")</f>
        <v>#REF!</v>
      </c>
      <c r="IK265" t="e">
        <f>AND(#REF!,"AAAAAHyu+PQ=")</f>
        <v>#REF!</v>
      </c>
      <c r="IL265" t="e">
        <f>AND(#REF!,"AAAAAHyu+PU=")</f>
        <v>#REF!</v>
      </c>
      <c r="IM265" t="e">
        <f>AND(#REF!,"AAAAAHyu+PY=")</f>
        <v>#REF!</v>
      </c>
      <c r="IN265" t="e">
        <f>AND(#REF!,"AAAAAHyu+Pc=")</f>
        <v>#REF!</v>
      </c>
      <c r="IO265" t="e">
        <f>AND(#REF!,"AAAAAHyu+Pg=")</f>
        <v>#REF!</v>
      </c>
      <c r="IP265" t="e">
        <f>AND(#REF!,"AAAAAHyu+Pk=")</f>
        <v>#REF!</v>
      </c>
      <c r="IQ265" t="e">
        <f>AND(#REF!,"AAAAAHyu+Po=")</f>
        <v>#REF!</v>
      </c>
      <c r="IR265" t="e">
        <f>AND(#REF!,"AAAAAHyu+Ps=")</f>
        <v>#REF!</v>
      </c>
      <c r="IS265" t="e">
        <f>AND(#REF!,"AAAAAHyu+Pw=")</f>
        <v>#REF!</v>
      </c>
      <c r="IT265" t="e">
        <f>AND(#REF!,"AAAAAHyu+P0=")</f>
        <v>#REF!</v>
      </c>
      <c r="IU265" t="e">
        <f>AND(#REF!,"AAAAAHyu+P4=")</f>
        <v>#REF!</v>
      </c>
      <c r="IV265" t="e">
        <f>AND(#REF!,"AAAAAHyu+P8=")</f>
        <v>#REF!</v>
      </c>
    </row>
    <row r="266" spans="1:256">
      <c r="A266" t="e">
        <f>AND(#REF!,"AAAAAE/+9wA=")</f>
        <v>#REF!</v>
      </c>
      <c r="B266" t="e">
        <f>AND(#REF!,"AAAAAE/+9wE=")</f>
        <v>#REF!</v>
      </c>
      <c r="C266" t="e">
        <f>AND(#REF!,"AAAAAE/+9wI=")</f>
        <v>#REF!</v>
      </c>
      <c r="D266" t="e">
        <f>AND(#REF!,"AAAAAE/+9wM=")</f>
        <v>#REF!</v>
      </c>
      <c r="E266" t="e">
        <f>AND(#REF!,"AAAAAE/+9wQ=")</f>
        <v>#REF!</v>
      </c>
      <c r="F266" t="e">
        <f>AND(#REF!,"AAAAAE/+9wU=")</f>
        <v>#REF!</v>
      </c>
      <c r="G266" t="e">
        <f>AND(#REF!,"AAAAAE/+9wY=")</f>
        <v>#REF!</v>
      </c>
      <c r="H266" t="e">
        <f>AND(#REF!,"AAAAAE/+9wc=")</f>
        <v>#REF!</v>
      </c>
      <c r="I266" t="e">
        <f>AND(#REF!,"AAAAAE/+9wg=")</f>
        <v>#REF!</v>
      </c>
      <c r="J266" t="e">
        <f>AND(#REF!,"AAAAAE/+9wk=")</f>
        <v>#REF!</v>
      </c>
      <c r="K266" t="e">
        <f>AND(#REF!,"AAAAAE/+9wo=")</f>
        <v>#REF!</v>
      </c>
      <c r="L266" t="e">
        <f>AND(#REF!,"AAAAAE/+9ws=")</f>
        <v>#REF!</v>
      </c>
      <c r="M266" t="e">
        <f>AND(#REF!,"AAAAAE/+9ww=")</f>
        <v>#REF!</v>
      </c>
      <c r="N266" t="e">
        <f>AND(#REF!,"AAAAAE/+9w0=")</f>
        <v>#REF!</v>
      </c>
      <c r="O266" t="e">
        <f>AND(#REF!,"AAAAAE/+9w4=")</f>
        <v>#REF!</v>
      </c>
      <c r="P266" t="e">
        <f>AND(#REF!,"AAAAAE/+9w8=")</f>
        <v>#REF!</v>
      </c>
      <c r="Q266" t="e">
        <f>AND(#REF!,"AAAAAE/+9xA=")</f>
        <v>#REF!</v>
      </c>
      <c r="R266" t="e">
        <f>AND(#REF!,"AAAAAE/+9xE=")</f>
        <v>#REF!</v>
      </c>
      <c r="S266" t="e">
        <f>AND(#REF!,"AAAAAE/+9xI=")</f>
        <v>#REF!</v>
      </c>
      <c r="T266" t="e">
        <f>AND(#REF!,"AAAAAE/+9xM=")</f>
        <v>#REF!</v>
      </c>
      <c r="U266" t="e">
        <f>AND(#REF!,"AAAAAE/+9xQ=")</f>
        <v>#REF!</v>
      </c>
      <c r="V266" t="e">
        <f>AND(#REF!,"AAAAAE/+9xU=")</f>
        <v>#REF!</v>
      </c>
      <c r="W266" t="e">
        <f>AND(#REF!,"AAAAAE/+9xY=")</f>
        <v>#REF!</v>
      </c>
      <c r="X266" t="e">
        <f>AND(#REF!,"AAAAAE/+9xc=")</f>
        <v>#REF!</v>
      </c>
      <c r="Y266" t="e">
        <f>AND(#REF!,"AAAAAE/+9xg=")</f>
        <v>#REF!</v>
      </c>
      <c r="Z266" t="e">
        <f>AND(#REF!,"AAAAAE/+9xk=")</f>
        <v>#REF!</v>
      </c>
      <c r="AA266" t="e">
        <f>AND(#REF!,"AAAAAE/+9xo=")</f>
        <v>#REF!</v>
      </c>
      <c r="AB266" t="e">
        <f>AND(#REF!,"AAAAAE/+9xs=")</f>
        <v>#REF!</v>
      </c>
      <c r="AC266" t="e">
        <f>AND(#REF!,"AAAAAE/+9xw=")</f>
        <v>#REF!</v>
      </c>
      <c r="AD266" t="e">
        <f>AND(#REF!,"AAAAAE/+9x0=")</f>
        <v>#REF!</v>
      </c>
      <c r="AE266" t="e">
        <f>AND(#REF!,"AAAAAE/+9x4=")</f>
        <v>#REF!</v>
      </c>
      <c r="AF266" t="e">
        <f>AND(#REF!,"AAAAAE/+9x8=")</f>
        <v>#REF!</v>
      </c>
      <c r="AG266" t="e">
        <f>AND(#REF!,"AAAAAE/+9yA=")</f>
        <v>#REF!</v>
      </c>
      <c r="AH266" t="e">
        <f>AND(#REF!,"AAAAAE/+9yE=")</f>
        <v>#REF!</v>
      </c>
      <c r="AI266" t="e">
        <f>AND(#REF!,"AAAAAE/+9yI=")</f>
        <v>#REF!</v>
      </c>
      <c r="AJ266" t="e">
        <f>AND(#REF!,"AAAAAE/+9yM=")</f>
        <v>#REF!</v>
      </c>
      <c r="AK266" t="e">
        <f>AND(#REF!,"AAAAAE/+9yQ=")</f>
        <v>#REF!</v>
      </c>
      <c r="AL266" t="e">
        <f>AND(#REF!,"AAAAAE/+9yU=")</f>
        <v>#REF!</v>
      </c>
      <c r="AM266" t="e">
        <f>AND(#REF!,"AAAAAE/+9yY=")</f>
        <v>#REF!</v>
      </c>
      <c r="AN266" t="e">
        <f>AND(#REF!,"AAAAAE/+9yc=")</f>
        <v>#REF!</v>
      </c>
      <c r="AO266" t="e">
        <f>AND(#REF!,"AAAAAE/+9yg=")</f>
        <v>#REF!</v>
      </c>
      <c r="AP266" t="e">
        <f>AND(#REF!,"AAAAAE/+9yk=")</f>
        <v>#REF!</v>
      </c>
      <c r="AQ266" t="e">
        <f>AND(#REF!,"AAAAAE/+9yo=")</f>
        <v>#REF!</v>
      </c>
      <c r="AR266" t="e">
        <f>AND(#REF!,"AAAAAE/+9ys=")</f>
        <v>#REF!</v>
      </c>
      <c r="AS266" t="e">
        <f>AND(#REF!,"AAAAAE/+9yw=")</f>
        <v>#REF!</v>
      </c>
      <c r="AT266" t="e">
        <f>AND(#REF!,"AAAAAE/+9y0=")</f>
        <v>#REF!</v>
      </c>
      <c r="AU266" t="e">
        <f>IF(#REF!,"AAAAAE/+9y4=",0)</f>
        <v>#REF!</v>
      </c>
      <c r="AV266" t="e">
        <f>AND(#REF!,"AAAAAE/+9y8=")</f>
        <v>#REF!</v>
      </c>
      <c r="AW266" t="e">
        <f>AND(#REF!,"AAAAAE/+9zA=")</f>
        <v>#REF!</v>
      </c>
      <c r="AX266" t="e">
        <f>AND(#REF!,"AAAAAE/+9zE=")</f>
        <v>#REF!</v>
      </c>
      <c r="AY266" t="e">
        <f>AND(#REF!,"AAAAAE/+9zI=")</f>
        <v>#REF!</v>
      </c>
      <c r="AZ266" t="e">
        <f>AND(#REF!,"AAAAAE/+9zM=")</f>
        <v>#REF!</v>
      </c>
      <c r="BA266" t="e">
        <f>AND(#REF!,"AAAAAE/+9zQ=")</f>
        <v>#REF!</v>
      </c>
      <c r="BB266" t="e">
        <f>AND(#REF!,"AAAAAE/+9zU=")</f>
        <v>#REF!</v>
      </c>
      <c r="BC266" t="e">
        <f>AND(#REF!,"AAAAAE/+9zY=")</f>
        <v>#REF!</v>
      </c>
      <c r="BD266" t="e">
        <f>AND(#REF!,"AAAAAE/+9zc=")</f>
        <v>#REF!</v>
      </c>
      <c r="BE266" t="e">
        <f>AND(#REF!,"AAAAAE/+9zg=")</f>
        <v>#REF!</v>
      </c>
      <c r="BF266" t="e">
        <f>AND(#REF!,"AAAAAE/+9zk=")</f>
        <v>#REF!</v>
      </c>
      <c r="BG266" t="e">
        <f>AND(#REF!,"AAAAAE/+9zo=")</f>
        <v>#REF!</v>
      </c>
      <c r="BH266" t="e">
        <f>AND(#REF!,"AAAAAE/+9zs=")</f>
        <v>#REF!</v>
      </c>
      <c r="BI266" t="e">
        <f>AND(#REF!,"AAAAAE/+9zw=")</f>
        <v>#REF!</v>
      </c>
      <c r="BJ266" t="e">
        <f>AND(#REF!,"AAAAAE/+9z0=")</f>
        <v>#REF!</v>
      </c>
      <c r="BK266" t="e">
        <f>AND(#REF!,"AAAAAE/+9z4=")</f>
        <v>#REF!</v>
      </c>
      <c r="BL266" t="e">
        <f>AND(#REF!,"AAAAAE/+9z8=")</f>
        <v>#REF!</v>
      </c>
      <c r="BM266" t="e">
        <f>AND(#REF!,"AAAAAE/+90A=")</f>
        <v>#REF!</v>
      </c>
      <c r="BN266" t="e">
        <f>AND(#REF!,"AAAAAE/+90E=")</f>
        <v>#REF!</v>
      </c>
      <c r="BO266" t="e">
        <f>AND(#REF!,"AAAAAE/+90I=")</f>
        <v>#REF!</v>
      </c>
      <c r="BP266" t="e">
        <f>AND(#REF!,"AAAAAE/+90M=")</f>
        <v>#REF!</v>
      </c>
      <c r="BQ266" t="e">
        <f>AND(#REF!,"AAAAAE/+90Q=")</f>
        <v>#REF!</v>
      </c>
      <c r="BR266" t="e">
        <f>AND(#REF!,"AAAAAE/+90U=")</f>
        <v>#REF!</v>
      </c>
      <c r="BS266" t="e">
        <f>AND(#REF!,"AAAAAE/+90Y=")</f>
        <v>#REF!</v>
      </c>
      <c r="BT266" t="e">
        <f>AND(#REF!,"AAAAAE/+90c=")</f>
        <v>#REF!</v>
      </c>
      <c r="BU266" t="e">
        <f>AND(#REF!,"AAAAAE/+90g=")</f>
        <v>#REF!</v>
      </c>
      <c r="BV266" t="e">
        <f>AND(#REF!,"AAAAAE/+90k=")</f>
        <v>#REF!</v>
      </c>
      <c r="BW266" t="e">
        <f>AND(#REF!,"AAAAAE/+90o=")</f>
        <v>#REF!</v>
      </c>
      <c r="BX266" t="e">
        <f>AND(#REF!,"AAAAAE/+90s=")</f>
        <v>#REF!</v>
      </c>
      <c r="BY266" t="e">
        <f>AND(#REF!,"AAAAAE/+90w=")</f>
        <v>#REF!</v>
      </c>
      <c r="BZ266" t="e">
        <f>AND(#REF!,"AAAAAE/+900=")</f>
        <v>#REF!</v>
      </c>
      <c r="CA266" t="e">
        <f>AND(#REF!,"AAAAAE/+904=")</f>
        <v>#REF!</v>
      </c>
      <c r="CB266" t="e">
        <f>AND(#REF!,"AAAAAE/+908=")</f>
        <v>#REF!</v>
      </c>
      <c r="CC266" t="e">
        <f>AND(#REF!,"AAAAAE/+91A=")</f>
        <v>#REF!</v>
      </c>
      <c r="CD266" t="e">
        <f>AND(#REF!,"AAAAAE/+91E=")</f>
        <v>#REF!</v>
      </c>
      <c r="CE266" t="e">
        <f>AND(#REF!,"AAAAAE/+91I=")</f>
        <v>#REF!</v>
      </c>
      <c r="CF266" t="e">
        <f>AND(#REF!,"AAAAAE/+91M=")</f>
        <v>#REF!</v>
      </c>
      <c r="CG266" t="e">
        <f>AND(#REF!,"AAAAAE/+91Q=")</f>
        <v>#REF!</v>
      </c>
      <c r="CH266" t="e">
        <f>AND(#REF!,"AAAAAE/+91U=")</f>
        <v>#REF!</v>
      </c>
      <c r="CI266" t="e">
        <f>AND(#REF!,"AAAAAE/+91Y=")</f>
        <v>#REF!</v>
      </c>
      <c r="CJ266" t="e">
        <f>AND(#REF!,"AAAAAE/+91c=")</f>
        <v>#REF!</v>
      </c>
      <c r="CK266" t="e">
        <f>AND(#REF!,"AAAAAE/+91g=")</f>
        <v>#REF!</v>
      </c>
      <c r="CL266" t="e">
        <f>AND(#REF!,"AAAAAE/+91k=")</f>
        <v>#REF!</v>
      </c>
      <c r="CM266" t="e">
        <f>AND(#REF!,"AAAAAE/+91o=")</f>
        <v>#REF!</v>
      </c>
      <c r="CN266" t="e">
        <f>AND(#REF!,"AAAAAE/+91s=")</f>
        <v>#REF!</v>
      </c>
      <c r="CO266" t="e">
        <f>AND(#REF!,"AAAAAE/+91w=")</f>
        <v>#REF!</v>
      </c>
      <c r="CP266" t="e">
        <f>AND(#REF!,"AAAAAE/+910=")</f>
        <v>#REF!</v>
      </c>
      <c r="CQ266" t="e">
        <f>AND(#REF!,"AAAAAE/+914=")</f>
        <v>#REF!</v>
      </c>
      <c r="CR266" t="e">
        <f>AND(#REF!,"AAAAAE/+918=")</f>
        <v>#REF!</v>
      </c>
      <c r="CS266" t="e">
        <f>AND(#REF!,"AAAAAE/+92A=")</f>
        <v>#REF!</v>
      </c>
      <c r="CT266" t="e">
        <f>AND(#REF!,"AAAAAE/+92E=")</f>
        <v>#REF!</v>
      </c>
      <c r="CU266" t="e">
        <f>AND(#REF!,"AAAAAE/+92I=")</f>
        <v>#REF!</v>
      </c>
      <c r="CV266" t="e">
        <f>AND(#REF!,"AAAAAE/+92M=")</f>
        <v>#REF!</v>
      </c>
      <c r="CW266" t="e">
        <f>AND(#REF!,"AAAAAE/+92Q=")</f>
        <v>#REF!</v>
      </c>
      <c r="CX266" t="e">
        <f>AND(#REF!,"AAAAAE/+92U=")</f>
        <v>#REF!</v>
      </c>
      <c r="CY266" t="e">
        <f>AND(#REF!,"AAAAAE/+92Y=")</f>
        <v>#REF!</v>
      </c>
      <c r="CZ266" t="e">
        <f>AND(#REF!,"AAAAAE/+92c=")</f>
        <v>#REF!</v>
      </c>
      <c r="DA266" t="e">
        <f>AND(#REF!,"AAAAAE/+92g=")</f>
        <v>#REF!</v>
      </c>
      <c r="DB266" t="e">
        <f>AND(#REF!,"AAAAAE/+92k=")</f>
        <v>#REF!</v>
      </c>
      <c r="DC266" t="e">
        <f>AND(#REF!,"AAAAAE/+92o=")</f>
        <v>#REF!</v>
      </c>
      <c r="DD266" t="e">
        <f>AND(#REF!,"AAAAAE/+92s=")</f>
        <v>#REF!</v>
      </c>
      <c r="DE266" t="e">
        <f>AND(#REF!,"AAAAAE/+92w=")</f>
        <v>#REF!</v>
      </c>
      <c r="DF266" t="e">
        <f>AND(#REF!,"AAAAAE/+920=")</f>
        <v>#REF!</v>
      </c>
      <c r="DG266" t="e">
        <f>AND(#REF!,"AAAAAE/+924=")</f>
        <v>#REF!</v>
      </c>
      <c r="DH266" t="e">
        <f>AND(#REF!,"AAAAAE/+928=")</f>
        <v>#REF!</v>
      </c>
      <c r="DI266" t="e">
        <f>AND(#REF!,"AAAAAE/+93A=")</f>
        <v>#REF!</v>
      </c>
      <c r="DJ266" t="e">
        <f>AND(#REF!,"AAAAAE/+93E=")</f>
        <v>#REF!</v>
      </c>
      <c r="DK266" t="e">
        <f>AND(#REF!,"AAAAAE/+93I=")</f>
        <v>#REF!</v>
      </c>
      <c r="DL266" t="e">
        <f>AND(#REF!,"AAAAAE/+93M=")</f>
        <v>#REF!</v>
      </c>
      <c r="DM266" t="e">
        <f>AND(#REF!,"AAAAAE/+93Q=")</f>
        <v>#REF!</v>
      </c>
      <c r="DN266" t="e">
        <f>AND(#REF!,"AAAAAE/+93U=")</f>
        <v>#REF!</v>
      </c>
      <c r="DO266" t="e">
        <f>AND(#REF!,"AAAAAE/+93Y=")</f>
        <v>#REF!</v>
      </c>
      <c r="DP266" t="e">
        <f>AND(#REF!,"AAAAAE/+93c=")</f>
        <v>#REF!</v>
      </c>
      <c r="DQ266" t="e">
        <f>AND(#REF!,"AAAAAE/+93g=")</f>
        <v>#REF!</v>
      </c>
      <c r="DR266" t="e">
        <f>AND(#REF!,"AAAAAE/+93k=")</f>
        <v>#REF!</v>
      </c>
      <c r="DS266" t="e">
        <f>AND(#REF!,"AAAAAE/+93o=")</f>
        <v>#REF!</v>
      </c>
      <c r="DT266" t="e">
        <f>AND(#REF!,"AAAAAE/+93s=")</f>
        <v>#REF!</v>
      </c>
      <c r="DU266" t="e">
        <f>AND(#REF!,"AAAAAE/+93w=")</f>
        <v>#REF!</v>
      </c>
      <c r="DV266" t="e">
        <f>AND(#REF!,"AAAAAE/+930=")</f>
        <v>#REF!</v>
      </c>
      <c r="DW266" t="e">
        <f>AND(#REF!,"AAAAAE/+934=")</f>
        <v>#REF!</v>
      </c>
      <c r="DX266" t="e">
        <f>AND(#REF!,"AAAAAE/+938=")</f>
        <v>#REF!</v>
      </c>
      <c r="DY266" t="e">
        <f>AND(#REF!,"AAAAAE/+94A=")</f>
        <v>#REF!</v>
      </c>
      <c r="DZ266" t="e">
        <f>AND(#REF!,"AAAAAE/+94E=")</f>
        <v>#REF!</v>
      </c>
      <c r="EA266" t="e">
        <f>AND(#REF!,"AAAAAE/+94I=")</f>
        <v>#REF!</v>
      </c>
      <c r="EB266" t="e">
        <f>AND(#REF!,"AAAAAE/+94M=")</f>
        <v>#REF!</v>
      </c>
      <c r="EC266" t="e">
        <f>AND(#REF!,"AAAAAE/+94Q=")</f>
        <v>#REF!</v>
      </c>
      <c r="ED266" t="e">
        <f>AND(#REF!,"AAAAAE/+94U=")</f>
        <v>#REF!</v>
      </c>
      <c r="EE266" t="e">
        <f>AND(#REF!,"AAAAAE/+94Y=")</f>
        <v>#REF!</v>
      </c>
      <c r="EF266" t="e">
        <f>AND(#REF!,"AAAAAE/+94c=")</f>
        <v>#REF!</v>
      </c>
      <c r="EG266" t="e">
        <f>AND(#REF!,"AAAAAE/+94g=")</f>
        <v>#REF!</v>
      </c>
      <c r="EH266" t="e">
        <f>AND(#REF!,"AAAAAE/+94k=")</f>
        <v>#REF!</v>
      </c>
      <c r="EI266" t="e">
        <f>AND(#REF!,"AAAAAE/+94o=")</f>
        <v>#REF!</v>
      </c>
      <c r="EJ266" t="e">
        <f>AND(#REF!,"AAAAAE/+94s=")</f>
        <v>#REF!</v>
      </c>
      <c r="EK266" t="e">
        <f>AND(#REF!,"AAAAAE/+94w=")</f>
        <v>#REF!</v>
      </c>
      <c r="EL266" t="e">
        <f>AND(#REF!,"AAAAAE/+940=")</f>
        <v>#REF!</v>
      </c>
      <c r="EM266" t="e">
        <f>AND(#REF!,"AAAAAE/+944=")</f>
        <v>#REF!</v>
      </c>
      <c r="EN266" t="e">
        <f>AND(#REF!,"AAAAAE/+948=")</f>
        <v>#REF!</v>
      </c>
      <c r="EO266" t="e">
        <f>AND(#REF!,"AAAAAE/+95A=")</f>
        <v>#REF!</v>
      </c>
      <c r="EP266" t="e">
        <f>AND(#REF!,"AAAAAE/+95E=")</f>
        <v>#REF!</v>
      </c>
      <c r="EQ266" t="e">
        <f>AND(#REF!,"AAAAAE/+95I=")</f>
        <v>#REF!</v>
      </c>
      <c r="ER266" t="e">
        <f>AND(#REF!,"AAAAAE/+95M=")</f>
        <v>#REF!</v>
      </c>
      <c r="ES266" t="e">
        <f>AND(#REF!,"AAAAAE/+95Q=")</f>
        <v>#REF!</v>
      </c>
      <c r="ET266" t="e">
        <f>AND(#REF!,"AAAAAE/+95U=")</f>
        <v>#REF!</v>
      </c>
      <c r="EU266" t="e">
        <f>AND(#REF!,"AAAAAE/+95Y=")</f>
        <v>#REF!</v>
      </c>
      <c r="EV266" t="e">
        <f>AND(#REF!,"AAAAAE/+95c=")</f>
        <v>#REF!</v>
      </c>
      <c r="EW266" t="e">
        <f>AND(#REF!,"AAAAAE/+95g=")</f>
        <v>#REF!</v>
      </c>
      <c r="EX266" t="e">
        <f>AND(#REF!,"AAAAAE/+95k=")</f>
        <v>#REF!</v>
      </c>
      <c r="EY266" t="e">
        <f>AND(#REF!,"AAAAAE/+95o=")</f>
        <v>#REF!</v>
      </c>
      <c r="EZ266" t="e">
        <f>AND(#REF!,"AAAAAE/+95s=")</f>
        <v>#REF!</v>
      </c>
      <c r="FA266" t="e">
        <f>AND(#REF!,"AAAAAE/+95w=")</f>
        <v>#REF!</v>
      </c>
      <c r="FB266" t="e">
        <f>AND(#REF!,"AAAAAE/+950=")</f>
        <v>#REF!</v>
      </c>
      <c r="FC266" t="e">
        <f>AND(#REF!,"AAAAAE/+954=")</f>
        <v>#REF!</v>
      </c>
      <c r="FD266" t="e">
        <f>AND(#REF!,"AAAAAE/+958=")</f>
        <v>#REF!</v>
      </c>
      <c r="FE266" t="e">
        <f>AND(#REF!,"AAAAAE/+96A=")</f>
        <v>#REF!</v>
      </c>
      <c r="FF266" t="e">
        <f>AND(#REF!,"AAAAAE/+96E=")</f>
        <v>#REF!</v>
      </c>
      <c r="FG266" t="e">
        <f>AND(#REF!,"AAAAAE/+96I=")</f>
        <v>#REF!</v>
      </c>
      <c r="FH266" t="e">
        <f>AND(#REF!,"AAAAAE/+96M=")</f>
        <v>#REF!</v>
      </c>
      <c r="FI266" t="e">
        <f>AND(#REF!,"AAAAAE/+96Q=")</f>
        <v>#REF!</v>
      </c>
      <c r="FJ266" t="e">
        <f>AND(#REF!,"AAAAAE/+96U=")</f>
        <v>#REF!</v>
      </c>
      <c r="FK266" t="e">
        <f>AND(#REF!,"AAAAAE/+96Y=")</f>
        <v>#REF!</v>
      </c>
      <c r="FL266" t="e">
        <f>AND(#REF!,"AAAAAE/+96c=")</f>
        <v>#REF!</v>
      </c>
      <c r="FM266" t="e">
        <f>AND(#REF!,"AAAAAE/+96g=")</f>
        <v>#REF!</v>
      </c>
      <c r="FN266" t="e">
        <f>AND(#REF!,"AAAAAE/+96k=")</f>
        <v>#REF!</v>
      </c>
      <c r="FO266" t="e">
        <f>AND(#REF!,"AAAAAE/+96o=")</f>
        <v>#REF!</v>
      </c>
      <c r="FP266" t="e">
        <f>AND(#REF!,"AAAAAE/+96s=")</f>
        <v>#REF!</v>
      </c>
      <c r="FQ266" t="e">
        <f>AND(#REF!,"AAAAAE/+96w=")</f>
        <v>#REF!</v>
      </c>
      <c r="FR266" t="e">
        <f>AND(#REF!,"AAAAAE/+960=")</f>
        <v>#REF!</v>
      </c>
      <c r="FS266" t="e">
        <f>AND(#REF!,"AAAAAE/+964=")</f>
        <v>#REF!</v>
      </c>
      <c r="FT266" t="e">
        <f>AND(#REF!,"AAAAAE/+968=")</f>
        <v>#REF!</v>
      </c>
      <c r="FU266" t="e">
        <f>AND(#REF!,"AAAAAE/+97A=")</f>
        <v>#REF!</v>
      </c>
      <c r="FV266" t="e">
        <f>AND(#REF!,"AAAAAE/+97E=")</f>
        <v>#REF!</v>
      </c>
      <c r="FW266" t="e">
        <f>AND(#REF!,"AAAAAE/+97I=")</f>
        <v>#REF!</v>
      </c>
      <c r="FX266" t="e">
        <f>AND(#REF!,"AAAAAE/+97M=")</f>
        <v>#REF!</v>
      </c>
      <c r="FY266" t="e">
        <f>AND(#REF!,"AAAAAE/+97Q=")</f>
        <v>#REF!</v>
      </c>
      <c r="FZ266" t="e">
        <f>AND(#REF!,"AAAAAE/+97U=")</f>
        <v>#REF!</v>
      </c>
      <c r="GA266" t="e">
        <f>AND(#REF!,"AAAAAE/+97Y=")</f>
        <v>#REF!</v>
      </c>
      <c r="GB266" t="e">
        <f>AND(#REF!,"AAAAAE/+97c=")</f>
        <v>#REF!</v>
      </c>
      <c r="GC266" t="e">
        <f>AND(#REF!,"AAAAAE/+97g=")</f>
        <v>#REF!</v>
      </c>
      <c r="GD266" t="e">
        <f>AND(#REF!,"AAAAAE/+97k=")</f>
        <v>#REF!</v>
      </c>
      <c r="GE266" t="e">
        <f>AND(#REF!,"AAAAAE/+97o=")</f>
        <v>#REF!</v>
      </c>
      <c r="GF266" t="e">
        <f>AND(#REF!,"AAAAAE/+97s=")</f>
        <v>#REF!</v>
      </c>
      <c r="GG266" t="e">
        <f>AND(#REF!,"AAAAAE/+97w=")</f>
        <v>#REF!</v>
      </c>
      <c r="GH266" t="e">
        <f>AND(#REF!,"AAAAAE/+970=")</f>
        <v>#REF!</v>
      </c>
      <c r="GI266" t="e">
        <f>AND(#REF!,"AAAAAE/+974=")</f>
        <v>#REF!</v>
      </c>
      <c r="GJ266" t="e">
        <f>AND(#REF!,"AAAAAE/+978=")</f>
        <v>#REF!</v>
      </c>
      <c r="GK266" t="e">
        <f>AND(#REF!,"AAAAAE/+98A=")</f>
        <v>#REF!</v>
      </c>
      <c r="GL266" t="e">
        <f>AND(#REF!,"AAAAAE/+98E=")</f>
        <v>#REF!</v>
      </c>
      <c r="GM266" t="e">
        <f>AND(#REF!,"AAAAAE/+98I=")</f>
        <v>#REF!</v>
      </c>
      <c r="GN266" t="e">
        <f>AND(#REF!,"AAAAAE/+98M=")</f>
        <v>#REF!</v>
      </c>
      <c r="GO266" t="e">
        <f>AND(#REF!,"AAAAAE/+98Q=")</f>
        <v>#REF!</v>
      </c>
      <c r="GP266" t="e">
        <f>AND(#REF!,"AAAAAE/+98U=")</f>
        <v>#REF!</v>
      </c>
      <c r="GQ266" t="e">
        <f>AND(#REF!,"AAAAAE/+98Y=")</f>
        <v>#REF!</v>
      </c>
      <c r="GR266" t="e">
        <f>AND(#REF!,"AAAAAE/+98c=")</f>
        <v>#REF!</v>
      </c>
      <c r="GS266" t="e">
        <f>AND(#REF!,"AAAAAE/+98g=")</f>
        <v>#REF!</v>
      </c>
      <c r="GT266" t="e">
        <f>AND(#REF!,"AAAAAE/+98k=")</f>
        <v>#REF!</v>
      </c>
      <c r="GU266" t="e">
        <f>AND(#REF!,"AAAAAE/+98o=")</f>
        <v>#REF!</v>
      </c>
      <c r="GV266" t="e">
        <f>AND(#REF!,"AAAAAE/+98s=")</f>
        <v>#REF!</v>
      </c>
      <c r="GW266" t="e">
        <f>AND(#REF!,"AAAAAE/+98w=")</f>
        <v>#REF!</v>
      </c>
      <c r="GX266" t="e">
        <f>AND(#REF!,"AAAAAE/+980=")</f>
        <v>#REF!</v>
      </c>
      <c r="GY266" t="e">
        <f>AND(#REF!,"AAAAAE/+984=")</f>
        <v>#REF!</v>
      </c>
      <c r="GZ266" t="e">
        <f>AND(#REF!,"AAAAAE/+988=")</f>
        <v>#REF!</v>
      </c>
      <c r="HA266" t="e">
        <f>AND(#REF!,"AAAAAE/+99A=")</f>
        <v>#REF!</v>
      </c>
      <c r="HB266" t="e">
        <f>AND(#REF!,"AAAAAE/+99E=")</f>
        <v>#REF!</v>
      </c>
      <c r="HC266" t="e">
        <f>AND(#REF!,"AAAAAE/+99I=")</f>
        <v>#REF!</v>
      </c>
      <c r="HD266" t="e">
        <f>AND(#REF!,"AAAAAE/+99M=")</f>
        <v>#REF!</v>
      </c>
      <c r="HE266" t="e">
        <f>AND(#REF!,"AAAAAE/+99Q=")</f>
        <v>#REF!</v>
      </c>
      <c r="HF266" t="e">
        <f>AND(#REF!,"AAAAAE/+99U=")</f>
        <v>#REF!</v>
      </c>
      <c r="HG266" t="e">
        <f>AND(#REF!,"AAAAAE/+99Y=")</f>
        <v>#REF!</v>
      </c>
      <c r="HH266" t="e">
        <f>AND(#REF!,"AAAAAE/+99c=")</f>
        <v>#REF!</v>
      </c>
      <c r="HI266" t="e">
        <f>AND(#REF!,"AAAAAE/+99g=")</f>
        <v>#REF!</v>
      </c>
      <c r="HJ266" t="e">
        <f>AND(#REF!,"AAAAAE/+99k=")</f>
        <v>#REF!</v>
      </c>
      <c r="HK266" t="e">
        <f>AND(#REF!,"AAAAAE/+99o=")</f>
        <v>#REF!</v>
      </c>
      <c r="HL266" t="e">
        <f>AND(#REF!,"AAAAAE/+99s=")</f>
        <v>#REF!</v>
      </c>
      <c r="HM266" t="e">
        <f>AND(#REF!,"AAAAAE/+99w=")</f>
        <v>#REF!</v>
      </c>
      <c r="HN266" t="e">
        <f>AND(#REF!,"AAAAAE/+990=")</f>
        <v>#REF!</v>
      </c>
      <c r="HO266" t="e">
        <f>AND(#REF!,"AAAAAE/+994=")</f>
        <v>#REF!</v>
      </c>
      <c r="HP266" t="e">
        <f>AND(#REF!,"AAAAAE/+998=")</f>
        <v>#REF!</v>
      </c>
      <c r="HQ266" t="e">
        <f>AND(#REF!,"AAAAAE/+9+A=")</f>
        <v>#REF!</v>
      </c>
      <c r="HR266" t="e">
        <f>AND(#REF!,"AAAAAE/+9+E=")</f>
        <v>#REF!</v>
      </c>
      <c r="HS266" t="e">
        <f>AND(#REF!,"AAAAAE/+9+I=")</f>
        <v>#REF!</v>
      </c>
      <c r="HT266" t="e">
        <f>AND(#REF!,"AAAAAE/+9+M=")</f>
        <v>#REF!</v>
      </c>
      <c r="HU266" t="e">
        <f>AND(#REF!,"AAAAAE/+9+Q=")</f>
        <v>#REF!</v>
      </c>
      <c r="HV266" t="e">
        <f>AND(#REF!,"AAAAAE/+9+U=")</f>
        <v>#REF!</v>
      </c>
      <c r="HW266" t="e">
        <f>AND(#REF!,"AAAAAE/+9+Y=")</f>
        <v>#REF!</v>
      </c>
      <c r="HX266" t="e">
        <f>AND(#REF!,"AAAAAE/+9+c=")</f>
        <v>#REF!</v>
      </c>
      <c r="HY266" t="e">
        <f>AND(#REF!,"AAAAAE/+9+g=")</f>
        <v>#REF!</v>
      </c>
      <c r="HZ266" t="e">
        <f>AND(#REF!,"AAAAAE/+9+k=")</f>
        <v>#REF!</v>
      </c>
      <c r="IA266" t="e">
        <f>AND(#REF!,"AAAAAE/+9+o=")</f>
        <v>#REF!</v>
      </c>
      <c r="IB266" t="e">
        <f>AND(#REF!,"AAAAAE/+9+s=")</f>
        <v>#REF!</v>
      </c>
      <c r="IC266" t="e">
        <f>AND(#REF!,"AAAAAE/+9+w=")</f>
        <v>#REF!</v>
      </c>
      <c r="ID266" t="e">
        <f>AND(#REF!,"AAAAAE/+9+0=")</f>
        <v>#REF!</v>
      </c>
      <c r="IE266" t="e">
        <f>AND(#REF!,"AAAAAE/+9+4=")</f>
        <v>#REF!</v>
      </c>
      <c r="IF266" t="e">
        <f>AND(#REF!,"AAAAAE/+9+8=")</f>
        <v>#REF!</v>
      </c>
      <c r="IG266" t="e">
        <f>AND(#REF!,"AAAAAE/+9/A=")</f>
        <v>#REF!</v>
      </c>
      <c r="IH266" t="e">
        <f>AND(#REF!,"AAAAAE/+9/E=")</f>
        <v>#REF!</v>
      </c>
      <c r="II266" t="e">
        <f>AND(#REF!,"AAAAAE/+9/I=")</f>
        <v>#REF!</v>
      </c>
      <c r="IJ266" t="e">
        <f>AND(#REF!,"AAAAAE/+9/M=")</f>
        <v>#REF!</v>
      </c>
      <c r="IK266" t="e">
        <f>AND(#REF!,"AAAAAE/+9/Q=")</f>
        <v>#REF!</v>
      </c>
      <c r="IL266" t="e">
        <f>AND(#REF!,"AAAAAE/+9/U=")</f>
        <v>#REF!</v>
      </c>
      <c r="IM266" t="e">
        <f>AND(#REF!,"AAAAAE/+9/Y=")</f>
        <v>#REF!</v>
      </c>
      <c r="IN266" t="e">
        <f>AND(#REF!,"AAAAAE/+9/c=")</f>
        <v>#REF!</v>
      </c>
      <c r="IO266" t="e">
        <f>AND(#REF!,"AAAAAE/+9/g=")</f>
        <v>#REF!</v>
      </c>
      <c r="IP266" t="e">
        <f>AND(#REF!,"AAAAAE/+9/k=")</f>
        <v>#REF!</v>
      </c>
      <c r="IQ266" t="e">
        <f>AND(#REF!,"AAAAAE/+9/o=")</f>
        <v>#REF!</v>
      </c>
      <c r="IR266" t="e">
        <f>AND(#REF!,"AAAAAE/+9/s=")</f>
        <v>#REF!</v>
      </c>
      <c r="IS266" t="e">
        <f>AND(#REF!,"AAAAAE/+9/w=")</f>
        <v>#REF!</v>
      </c>
      <c r="IT266" t="e">
        <f>AND(#REF!,"AAAAAE/+9/0=")</f>
        <v>#REF!</v>
      </c>
      <c r="IU266" t="e">
        <f>AND(#REF!,"AAAAAE/+9/4=")</f>
        <v>#REF!</v>
      </c>
      <c r="IV266" t="e">
        <f>AND(#REF!,"AAAAAE/+9/8=")</f>
        <v>#REF!</v>
      </c>
    </row>
    <row r="267" spans="1:256">
      <c r="A267" t="e">
        <f>AND(#REF!,"AAAAAGu3/wA=")</f>
        <v>#REF!</v>
      </c>
      <c r="B267" t="e">
        <f>AND(#REF!,"AAAAAGu3/wE=")</f>
        <v>#REF!</v>
      </c>
      <c r="C267" t="e">
        <f>AND(#REF!,"AAAAAGu3/wI=")</f>
        <v>#REF!</v>
      </c>
      <c r="D267" t="e">
        <f>AND(#REF!,"AAAAAGu3/wM=")</f>
        <v>#REF!</v>
      </c>
      <c r="E267" t="e">
        <f>AND(#REF!,"AAAAAGu3/wQ=")</f>
        <v>#REF!</v>
      </c>
      <c r="F267" t="e">
        <f>AND(#REF!,"AAAAAGu3/wU=")</f>
        <v>#REF!</v>
      </c>
      <c r="G267" t="e">
        <f>AND(#REF!,"AAAAAGu3/wY=")</f>
        <v>#REF!</v>
      </c>
      <c r="H267" t="e">
        <f>AND(#REF!,"AAAAAGu3/wc=")</f>
        <v>#REF!</v>
      </c>
      <c r="I267" t="e">
        <f>AND(#REF!,"AAAAAGu3/wg=")</f>
        <v>#REF!</v>
      </c>
      <c r="J267" t="e">
        <f>AND(#REF!,"AAAAAGu3/wk=")</f>
        <v>#REF!</v>
      </c>
      <c r="K267" t="e">
        <f>AND(#REF!,"AAAAAGu3/wo=")</f>
        <v>#REF!</v>
      </c>
      <c r="L267" t="e">
        <f>AND(#REF!,"AAAAAGu3/ws=")</f>
        <v>#REF!</v>
      </c>
      <c r="M267" t="e">
        <f>AND(#REF!,"AAAAAGu3/ww=")</f>
        <v>#REF!</v>
      </c>
      <c r="N267" t="e">
        <f>AND(#REF!,"AAAAAGu3/w0=")</f>
        <v>#REF!</v>
      </c>
      <c r="O267" t="e">
        <f>AND(#REF!,"AAAAAGu3/w4=")</f>
        <v>#REF!</v>
      </c>
      <c r="P267" t="e">
        <f>AND(#REF!,"AAAAAGu3/w8=")</f>
        <v>#REF!</v>
      </c>
      <c r="Q267" t="e">
        <f>AND(#REF!,"AAAAAGu3/xA=")</f>
        <v>#REF!</v>
      </c>
      <c r="R267" t="e">
        <f>AND(#REF!,"AAAAAGu3/xE=")</f>
        <v>#REF!</v>
      </c>
      <c r="S267" t="e">
        <f>IF(#REF!,"AAAAAGu3/xI=",0)</f>
        <v>#REF!</v>
      </c>
      <c r="T267" t="e">
        <f>IF(#REF!,"AAAAAGu3/xM=",0)</f>
        <v>#REF!</v>
      </c>
      <c r="U267" t="e">
        <f>IF(#REF!,"AAAAAGu3/xQ=",0)</f>
        <v>#REF!</v>
      </c>
      <c r="V267" t="e">
        <f>IF(#REF!,"AAAAAGu3/xU=",0)</f>
        <v>#REF!</v>
      </c>
      <c r="W267" t="e">
        <f>IF(#REF!,"AAAAAGu3/xY=",0)</f>
        <v>#REF!</v>
      </c>
      <c r="X267" t="e">
        <f>IF(#REF!,"AAAAAGu3/xc=",0)</f>
        <v>#REF!</v>
      </c>
      <c r="Y267" t="e">
        <f>IF(#REF!,"AAAAAGu3/xg=",0)</f>
        <v>#REF!</v>
      </c>
      <c r="Z267" t="e">
        <f>IF(#REF!,"AAAAAGu3/xk=",0)</f>
        <v>#REF!</v>
      </c>
      <c r="AA267" t="e">
        <f>IF(#REF!,"AAAAAGu3/xo=",0)</f>
        <v>#REF!</v>
      </c>
      <c r="AB267" t="e">
        <f>IF(#REF!,"AAAAAGu3/xs=",0)</f>
        <v>#REF!</v>
      </c>
      <c r="AC267" t="e">
        <f>IF(#REF!,"AAAAAGu3/xw=",0)</f>
        <v>#REF!</v>
      </c>
      <c r="AD267" t="e">
        <f>IF(#REF!,"AAAAAGu3/x0=",0)</f>
        <v>#REF!</v>
      </c>
      <c r="AE267" t="e">
        <f>IF(#REF!,"AAAAAGu3/x4=",0)</f>
        <v>#REF!</v>
      </c>
      <c r="AF267" t="e">
        <f>IF(#REF!,"AAAAAGu3/x8=",0)</f>
        <v>#REF!</v>
      </c>
      <c r="AG267" t="e">
        <f>IF(#REF!,"AAAAAGu3/yA=",0)</f>
        <v>#REF!</v>
      </c>
      <c r="AH267" t="e">
        <f>IF(#REF!,"AAAAAGu3/yE=",0)</f>
        <v>#REF!</v>
      </c>
      <c r="AI267" t="e">
        <f>IF(#REF!,"AAAAAGu3/yI=",0)</f>
        <v>#REF!</v>
      </c>
      <c r="AJ267" t="e">
        <f>IF(#REF!,"AAAAAGu3/yM=",0)</f>
        <v>#REF!</v>
      </c>
      <c r="AK267" t="e">
        <f>IF(#REF!,"AAAAAGu3/yQ=",0)</f>
        <v>#REF!</v>
      </c>
      <c r="AL267" t="e">
        <f>IF(#REF!,"AAAAAGu3/yU=",0)</f>
        <v>#REF!</v>
      </c>
      <c r="AM267" t="e">
        <f>IF(#REF!,"AAAAAGu3/yY=",0)</f>
        <v>#REF!</v>
      </c>
      <c r="AN267" t="e">
        <f>IF(#REF!,"AAAAAGu3/yc=",0)</f>
        <v>#REF!</v>
      </c>
      <c r="AO267" t="e">
        <f>IF(#REF!,"AAAAAGu3/yg=",0)</f>
        <v>#REF!</v>
      </c>
      <c r="AP267" t="e">
        <f>IF(#REF!,"AAAAAGu3/yk=",0)</f>
        <v>#REF!</v>
      </c>
      <c r="AQ267" t="e">
        <f>IF(#REF!,"AAAAAGu3/yo=",0)</f>
        <v>#REF!</v>
      </c>
      <c r="AR267" t="e">
        <f>IF(#REF!,"AAAAAGu3/ys=",0)</f>
        <v>#REF!</v>
      </c>
      <c r="AS267" t="e">
        <f>IF(#REF!,"AAAAAGu3/yw=",0)</f>
        <v>#REF!</v>
      </c>
      <c r="AT267" t="e">
        <f>IF(#REF!,"AAAAAGu3/y0=",0)</f>
        <v>#REF!</v>
      </c>
      <c r="AU267" t="e">
        <f>IF(#REF!,"AAAAAGu3/y4=",0)</f>
        <v>#REF!</v>
      </c>
      <c r="AV267" t="e">
        <f>IF(#REF!,"AAAAAGu3/y8=",0)</f>
        <v>#REF!</v>
      </c>
      <c r="AW267" t="e">
        <f>IF(#REF!,"AAAAAGu3/zA=",0)</f>
        <v>#REF!</v>
      </c>
      <c r="AX267" t="e">
        <f>IF(#REF!,"AAAAAGu3/zE=",0)</f>
        <v>#REF!</v>
      </c>
      <c r="AY267" t="e">
        <f>IF(#REF!,"AAAAAGu3/zI=",0)</f>
        <v>#REF!</v>
      </c>
      <c r="AZ267" t="e">
        <f>IF(#REF!,"AAAAAGu3/zM=",0)</f>
        <v>#REF!</v>
      </c>
      <c r="BA267" t="e">
        <f>IF(#REF!,"AAAAAGu3/zQ=",0)</f>
        <v>#REF!</v>
      </c>
      <c r="BB267" t="e">
        <f>IF(#REF!,"AAAAAGu3/zU=",0)</f>
        <v>#REF!</v>
      </c>
      <c r="BC267" t="e">
        <f>IF(#REF!,"AAAAAGu3/zY=",0)</f>
        <v>#REF!</v>
      </c>
      <c r="BD267" t="e">
        <f>IF(#REF!,"AAAAAGu3/zc=",0)</f>
        <v>#REF!</v>
      </c>
      <c r="BE267" t="e">
        <f>IF(#REF!,"AAAAAGu3/zg=",0)</f>
        <v>#REF!</v>
      </c>
      <c r="BF267" t="e">
        <f>IF(#REF!,"AAAAAGu3/zk=",0)</f>
        <v>#REF!</v>
      </c>
      <c r="BG267" t="e">
        <f>IF(#REF!,"AAAAAGu3/zo=",0)</f>
        <v>#REF!</v>
      </c>
      <c r="BH267" t="e">
        <f>IF(#REF!,"AAAAAGu3/zs=",0)</f>
        <v>#REF!</v>
      </c>
      <c r="BI267" t="e">
        <f>IF(#REF!,"AAAAAGu3/zw=",0)</f>
        <v>#REF!</v>
      </c>
      <c r="BJ267" t="e">
        <f>IF(#REF!,"AAAAAGu3/z0=",0)</f>
        <v>#REF!</v>
      </c>
      <c r="BK267" t="e">
        <f>IF(#REF!,"AAAAAGu3/z4=",0)</f>
        <v>#REF!</v>
      </c>
      <c r="BL267" t="e">
        <f>IF(#REF!,"AAAAAGu3/z8=",0)</f>
        <v>#REF!</v>
      </c>
      <c r="BM267" t="e">
        <f>IF(#REF!,"AAAAAGu3/0A=",0)</f>
        <v>#REF!</v>
      </c>
      <c r="BN267" t="e">
        <f>IF(#REF!,"AAAAAGu3/0E=",0)</f>
        <v>#REF!</v>
      </c>
      <c r="BO267" t="e">
        <f>IF(#REF!,"AAAAAGu3/0I=",0)</f>
        <v>#REF!</v>
      </c>
      <c r="BP267" t="e">
        <f>IF(#REF!,"AAAAAGu3/0M=",0)</f>
        <v>#REF!</v>
      </c>
      <c r="BQ267" t="e">
        <f>IF(#REF!,"AAAAAGu3/0Q=",0)</f>
        <v>#REF!</v>
      </c>
      <c r="BR267" t="e">
        <f>IF(#REF!,"AAAAAGu3/0U=",0)</f>
        <v>#REF!</v>
      </c>
      <c r="BS267" t="e">
        <f>IF(#REF!,"AAAAAGu3/0Y=",0)</f>
        <v>#REF!</v>
      </c>
      <c r="BT267" t="e">
        <f>IF(#REF!,"AAAAAGu3/0c=",0)</f>
        <v>#REF!</v>
      </c>
      <c r="BU267" t="e">
        <f>IF(#REF!,"AAAAAGu3/0g=",0)</f>
        <v>#REF!</v>
      </c>
      <c r="BV267" t="e">
        <f>IF(#REF!,"AAAAAGu3/0k=",0)</f>
        <v>#REF!</v>
      </c>
      <c r="BW267" t="e">
        <f>IF(#REF!,"AAAAAGu3/0o=",0)</f>
        <v>#REF!</v>
      </c>
      <c r="BX267" t="e">
        <f>IF(#REF!,"AAAAAGu3/0s=",0)</f>
        <v>#REF!</v>
      </c>
      <c r="BY267" t="e">
        <f>IF(#REF!,"AAAAAGu3/0w=",0)</f>
        <v>#REF!</v>
      </c>
      <c r="BZ267" t="e">
        <f>IF(#REF!,"AAAAAGu3/00=",0)</f>
        <v>#REF!</v>
      </c>
      <c r="CA267" t="e">
        <f>IF(#REF!,"AAAAAGu3/04=",0)</f>
        <v>#REF!</v>
      </c>
      <c r="CB267" t="e">
        <f>IF(#REF!,"AAAAAGu3/08=",0)</f>
        <v>#REF!</v>
      </c>
      <c r="CC267" t="e">
        <f>IF(#REF!,"AAAAAGu3/1A=",0)</f>
        <v>#REF!</v>
      </c>
      <c r="CD267" t="e">
        <f>IF(#REF!,"AAAAAGu3/1E=",0)</f>
        <v>#REF!</v>
      </c>
      <c r="CE267" t="e">
        <f>IF(#REF!,"AAAAAGu3/1I=",0)</f>
        <v>#REF!</v>
      </c>
      <c r="CF267" t="e">
        <f>IF(#REF!,"AAAAAGu3/1M=",0)</f>
        <v>#REF!</v>
      </c>
      <c r="CG267" t="e">
        <f>IF(#REF!,"AAAAAGu3/1Q=",0)</f>
        <v>#REF!</v>
      </c>
      <c r="CH267" t="e">
        <f>IF(#REF!,"AAAAAGu3/1U=",0)</f>
        <v>#REF!</v>
      </c>
      <c r="CI267" t="e">
        <f>IF(#REF!,"AAAAAGu3/1Y=",0)</f>
        <v>#REF!</v>
      </c>
      <c r="CJ267" t="e">
        <f>IF(#REF!,"AAAAAGu3/1c=",0)</f>
        <v>#REF!</v>
      </c>
      <c r="CK267" t="e">
        <f>IF(#REF!,"AAAAAGu3/1g=",0)</f>
        <v>#REF!</v>
      </c>
      <c r="CL267" t="e">
        <f>IF(#REF!,"AAAAAGu3/1k=",0)</f>
        <v>#REF!</v>
      </c>
      <c r="CM267" t="e">
        <f>IF(#REF!,"AAAAAGu3/1o=",0)</f>
        <v>#REF!</v>
      </c>
      <c r="CN267" t="e">
        <f>IF(#REF!,"AAAAAGu3/1s=",0)</f>
        <v>#REF!</v>
      </c>
      <c r="CO267" t="e">
        <f>IF(#REF!,"AAAAAGu3/1w=",0)</f>
        <v>#REF!</v>
      </c>
      <c r="CP267" t="e">
        <f>IF(#REF!,"AAAAAGu3/10=",0)</f>
        <v>#REF!</v>
      </c>
      <c r="CQ267" t="e">
        <f>IF(#REF!,"AAAAAGu3/14=",0)</f>
        <v>#REF!</v>
      </c>
      <c r="CR267" t="e">
        <f>IF(#REF!,"AAAAAGu3/18=",0)</f>
        <v>#REF!</v>
      </c>
      <c r="CS267" t="e">
        <f>IF(#REF!,"AAAAAGu3/2A=",0)</f>
        <v>#REF!</v>
      </c>
      <c r="CT267" t="e">
        <f>IF(#REF!,"AAAAAGu3/2E=",0)</f>
        <v>#REF!</v>
      </c>
      <c r="CU267" t="e">
        <f>IF(#REF!,"AAAAAGu3/2I=",0)</f>
        <v>#REF!</v>
      </c>
      <c r="CV267" t="e">
        <f>IF(#REF!,"AAAAAGu3/2M=",0)</f>
        <v>#REF!</v>
      </c>
      <c r="CW267" t="e">
        <f>IF(#REF!,"AAAAAGu3/2Q=",0)</f>
        <v>#REF!</v>
      </c>
      <c r="CX267" t="e">
        <f>IF(#REF!,"AAAAAGu3/2U=",0)</f>
        <v>#REF!</v>
      </c>
      <c r="CY267" t="e">
        <f>IF(#REF!,"AAAAAGu3/2Y=",0)</f>
        <v>#REF!</v>
      </c>
      <c r="CZ267" t="e">
        <f>IF(#REF!,"AAAAAGu3/2c=",0)</f>
        <v>#REF!</v>
      </c>
      <c r="DA267" t="e">
        <f>IF(#REF!,"AAAAAGu3/2g=",0)</f>
        <v>#REF!</v>
      </c>
      <c r="DB267" t="e">
        <f>IF(#REF!,"AAAAAGu3/2k=",0)</f>
        <v>#REF!</v>
      </c>
      <c r="DC267" t="e">
        <f>IF(#REF!,"AAAAAGu3/2o=",0)</f>
        <v>#REF!</v>
      </c>
      <c r="DD267" t="e">
        <f>IF(#REF!,"AAAAAGu3/2s=",0)</f>
        <v>#REF!</v>
      </c>
      <c r="DE267" t="e">
        <f>IF(#REF!,"AAAAAGu3/2w=",0)</f>
        <v>#REF!</v>
      </c>
      <c r="DF267" t="e">
        <f>IF(#REF!,"AAAAAGu3/20=",0)</f>
        <v>#REF!</v>
      </c>
      <c r="DG267" t="e">
        <f>IF(#REF!,"AAAAAGu3/24=",0)</f>
        <v>#REF!</v>
      </c>
      <c r="DH267" t="e">
        <f>IF(#REF!,"AAAAAGu3/28=",0)</f>
        <v>#REF!</v>
      </c>
      <c r="DI267" t="e">
        <f>IF(#REF!,"AAAAAGu3/3A=",0)</f>
        <v>#REF!</v>
      </c>
      <c r="DJ267" t="e">
        <f>IF(#REF!,"AAAAAGu3/3E=",0)</f>
        <v>#REF!</v>
      </c>
      <c r="DK267" t="e">
        <f>IF(#REF!,"AAAAAGu3/3I=",0)</f>
        <v>#REF!</v>
      </c>
      <c r="DL267" t="e">
        <f>IF(#REF!,"AAAAAGu3/3M=",0)</f>
        <v>#REF!</v>
      </c>
      <c r="DM267" t="e">
        <f>IF(#REF!,"AAAAAGu3/3Q=",0)</f>
        <v>#REF!</v>
      </c>
      <c r="DN267" t="e">
        <f>IF(#REF!,"AAAAAGu3/3U=",0)</f>
        <v>#REF!</v>
      </c>
      <c r="DO267" t="e">
        <f>IF(#REF!,"AAAAAGu3/3Y=",0)</f>
        <v>#REF!</v>
      </c>
      <c r="DP267" t="e">
        <f>IF(#REF!,"AAAAAGu3/3c=",0)</f>
        <v>#REF!</v>
      </c>
      <c r="DQ267" t="e">
        <f>IF(#REF!,"AAAAAGu3/3g=",0)</f>
        <v>#REF!</v>
      </c>
      <c r="DR267" t="e">
        <f>IF(#REF!,"AAAAAGu3/3k=",0)</f>
        <v>#REF!</v>
      </c>
      <c r="DS267" t="e">
        <f>IF(#REF!,"AAAAAGu3/3o=",0)</f>
        <v>#REF!</v>
      </c>
      <c r="DT267" t="e">
        <f>IF(#REF!,"AAAAAGu3/3s=",0)</f>
        <v>#REF!</v>
      </c>
      <c r="DU267" t="e">
        <f>IF(#REF!,"AAAAAGu3/3w=",0)</f>
        <v>#REF!</v>
      </c>
      <c r="DV267" t="e">
        <f>IF(#REF!,"AAAAAGu3/30=",0)</f>
        <v>#REF!</v>
      </c>
      <c r="DW267" t="e">
        <f>IF(#REF!,"AAAAAGu3/34=",0)</f>
        <v>#REF!</v>
      </c>
      <c r="DX267" t="e">
        <f>IF(#REF!,"AAAAAGu3/38=",0)</f>
        <v>#REF!</v>
      </c>
      <c r="DY267" t="e">
        <f>IF(#REF!,"AAAAAGu3/4A=",0)</f>
        <v>#REF!</v>
      </c>
      <c r="DZ267" t="e">
        <f>IF(#REF!,"AAAAAGu3/4E=",0)</f>
        <v>#REF!</v>
      </c>
      <c r="EA267" t="e">
        <f>IF(#REF!,"AAAAAGu3/4I=",0)</f>
        <v>#REF!</v>
      </c>
      <c r="EB267" t="e">
        <f>IF(#REF!,"AAAAAGu3/4M=",0)</f>
        <v>#REF!</v>
      </c>
      <c r="EC267" t="e">
        <f>IF(#REF!,"AAAAAGu3/4Q=",0)</f>
        <v>#REF!</v>
      </c>
      <c r="ED267" t="e">
        <f>IF(#REF!,"AAAAAGu3/4U=",0)</f>
        <v>#REF!</v>
      </c>
      <c r="EE267" t="e">
        <f>IF(#REF!,"AAAAAGu3/4Y=",0)</f>
        <v>#REF!</v>
      </c>
      <c r="EF267" t="e">
        <f>IF(#REF!,"AAAAAGu3/4c=",0)</f>
        <v>#REF!</v>
      </c>
      <c r="EG267" t="e">
        <f>IF(#REF!,"AAAAAGu3/4g=",0)</f>
        <v>#REF!</v>
      </c>
      <c r="EH267" t="e">
        <f>IF(#REF!,"AAAAAGu3/4k=",0)</f>
        <v>#REF!</v>
      </c>
      <c r="EI267" t="e">
        <f>IF(#REF!,"AAAAAGu3/4o=",0)</f>
        <v>#REF!</v>
      </c>
      <c r="EJ267" t="e">
        <f>IF(#REF!,"AAAAAGu3/4s=",0)</f>
        <v>#REF!</v>
      </c>
      <c r="EK267" t="e">
        <f>IF(#REF!,"AAAAAGu3/4w=",0)</f>
        <v>#REF!</v>
      </c>
      <c r="EL267" t="e">
        <f>IF(#REF!,"AAAAAGu3/40=",0)</f>
        <v>#REF!</v>
      </c>
      <c r="EM267" t="e">
        <f>IF(#REF!,"AAAAAGu3/44=",0)</f>
        <v>#REF!</v>
      </c>
      <c r="EN267" t="e">
        <f>IF(#REF!,"AAAAAGu3/48=",0)</f>
        <v>#REF!</v>
      </c>
      <c r="EO267" t="e">
        <f>IF(#REF!,"AAAAAGu3/5A=",0)</f>
        <v>#REF!</v>
      </c>
      <c r="EP267" t="e">
        <f>IF(#REF!,"AAAAAGu3/5E=",0)</f>
        <v>#REF!</v>
      </c>
      <c r="EQ267" t="e">
        <f>IF(#REF!,"AAAAAGu3/5I=",0)</f>
        <v>#REF!</v>
      </c>
      <c r="ER267" t="e">
        <f>IF(#REF!,"AAAAAGu3/5M=",0)</f>
        <v>#REF!</v>
      </c>
      <c r="ES267" t="e">
        <f>IF(#REF!,"AAAAAGu3/5Q=",0)</f>
        <v>#REF!</v>
      </c>
      <c r="ET267" t="e">
        <f>IF(#REF!,"AAAAAGu3/5U=",0)</f>
        <v>#REF!</v>
      </c>
      <c r="EU267" t="e">
        <f>IF(#REF!,"AAAAAGu3/5Y=",0)</f>
        <v>#REF!</v>
      </c>
      <c r="EV267" t="e">
        <f>IF(#REF!,"AAAAAGu3/5c=",0)</f>
        <v>#REF!</v>
      </c>
      <c r="EW267" t="e">
        <f>IF(#REF!,"AAAAAGu3/5g=",0)</f>
        <v>#REF!</v>
      </c>
      <c r="EX267" t="e">
        <f>IF(#REF!,"AAAAAGu3/5k=",0)</f>
        <v>#REF!</v>
      </c>
      <c r="EY267" t="e">
        <f>IF(#REF!,"AAAAAGu3/5o=",0)</f>
        <v>#REF!</v>
      </c>
      <c r="EZ267" t="e">
        <f>IF(#REF!,"AAAAAGu3/5s=",0)</f>
        <v>#REF!</v>
      </c>
      <c r="FA267" t="e">
        <f>IF(#REF!,"AAAAAGu3/5w=",0)</f>
        <v>#REF!</v>
      </c>
      <c r="FB267" t="e">
        <f>IF(#REF!,"AAAAAGu3/50=",0)</f>
        <v>#REF!</v>
      </c>
      <c r="FC267" t="e">
        <f>IF(#REF!,"AAAAAGu3/54=",0)</f>
        <v>#REF!</v>
      </c>
      <c r="FD267" t="e">
        <f>IF(#REF!,"AAAAAGu3/58=",0)</f>
        <v>#REF!</v>
      </c>
      <c r="FE267" t="e">
        <f>IF(#REF!,"AAAAAGu3/6A=",0)</f>
        <v>#REF!</v>
      </c>
      <c r="FF267" t="e">
        <f>IF(#REF!,"AAAAAGu3/6E=",0)</f>
        <v>#REF!</v>
      </c>
      <c r="FG267" t="e">
        <f>IF(#REF!,"AAAAAGu3/6I=",0)</f>
        <v>#REF!</v>
      </c>
      <c r="FH267" t="e">
        <f>IF(#REF!,"AAAAAGu3/6M=",0)</f>
        <v>#REF!</v>
      </c>
      <c r="FI267" t="e">
        <f>IF(#REF!,"AAAAAGu3/6Q=",0)</f>
        <v>#REF!</v>
      </c>
      <c r="FJ267" t="e">
        <f>IF(#REF!,"AAAAAGu3/6U=",0)</f>
        <v>#REF!</v>
      </c>
      <c r="FK267" t="e">
        <f>IF(#REF!,"AAAAAGu3/6Y=",0)</f>
        <v>#REF!</v>
      </c>
      <c r="FL267" t="e">
        <f>IF(#REF!,"AAAAAGu3/6c=",0)</f>
        <v>#REF!</v>
      </c>
      <c r="FM267" t="e">
        <f>IF(#REF!,"AAAAAGu3/6g=",0)</f>
        <v>#REF!</v>
      </c>
      <c r="FN267" t="e">
        <f>IF(#REF!,"AAAAAGu3/6k=",0)</f>
        <v>#REF!</v>
      </c>
      <c r="FO267" t="e">
        <f>IF(#REF!,"AAAAAGu3/6o=",0)</f>
        <v>#REF!</v>
      </c>
      <c r="FP267" t="e">
        <f>IF(#REF!,"AAAAAGu3/6s=",0)</f>
        <v>#REF!</v>
      </c>
      <c r="FQ267" t="e">
        <f>IF(#REF!,"AAAAAGu3/6w=",0)</f>
        <v>#REF!</v>
      </c>
      <c r="FR267" t="e">
        <f>IF(#REF!,"AAAAAGu3/60=",0)</f>
        <v>#REF!</v>
      </c>
      <c r="FS267" t="e">
        <f>IF(#REF!,"AAAAAGu3/64=",0)</f>
        <v>#REF!</v>
      </c>
      <c r="FT267" t="e">
        <f>IF(#REF!,"AAAAAGu3/68=",0)</f>
        <v>#REF!</v>
      </c>
      <c r="FU267" t="e">
        <f>IF(#REF!,"AAAAAGu3/7A=",0)</f>
        <v>#REF!</v>
      </c>
      <c r="FV267" t="e">
        <f>IF(#REF!,"AAAAAGu3/7E=",0)</f>
        <v>#REF!</v>
      </c>
      <c r="FW267" t="e">
        <f>IF(#REF!,"AAAAAGu3/7I=",0)</f>
        <v>#REF!</v>
      </c>
      <c r="FX267" t="e">
        <f>IF(#REF!,"AAAAAGu3/7M=",0)</f>
        <v>#REF!</v>
      </c>
      <c r="FY267" t="e">
        <f>IF(#REF!,"AAAAAGu3/7Q=",0)</f>
        <v>#REF!</v>
      </c>
      <c r="FZ267" t="e">
        <f>IF(#REF!,"AAAAAGu3/7U=",0)</f>
        <v>#REF!</v>
      </c>
      <c r="GA267" t="e">
        <f>IF(#REF!,"AAAAAGu3/7Y=",0)</f>
        <v>#REF!</v>
      </c>
      <c r="GB267" t="e">
        <f>IF(#REF!,"AAAAAGu3/7c=",0)</f>
        <v>#REF!</v>
      </c>
      <c r="GC267" t="e">
        <f>IF(#REF!,"AAAAAGu3/7g=",0)</f>
        <v>#REF!</v>
      </c>
      <c r="GD267" t="e">
        <f>IF(#REF!,"AAAAAGu3/7k=",0)</f>
        <v>#REF!</v>
      </c>
      <c r="GE267" t="e">
        <f>IF(#REF!,"AAAAAGu3/7o=",0)</f>
        <v>#REF!</v>
      </c>
      <c r="GF267" t="e">
        <f>IF(#REF!,"AAAAAGu3/7s=",0)</f>
        <v>#REF!</v>
      </c>
      <c r="GG267" t="e">
        <f>IF(#REF!,"AAAAAGu3/7w=",0)</f>
        <v>#REF!</v>
      </c>
      <c r="GH267" t="e">
        <f>IF(#REF!,"AAAAAGu3/70=",0)</f>
        <v>#REF!</v>
      </c>
      <c r="GI267" t="e">
        <f>IF(#REF!,"AAAAAGu3/74=",0)</f>
        <v>#REF!</v>
      </c>
      <c r="GJ267" t="e">
        <f>IF(#REF!,"AAAAAGu3/78=",0)</f>
        <v>#REF!</v>
      </c>
      <c r="GK267" t="e">
        <f>IF(#REF!,"AAAAAGu3/8A=",0)</f>
        <v>#REF!</v>
      </c>
      <c r="GL267" t="e">
        <f>IF(#REF!,"AAAAAGu3/8E=",0)</f>
        <v>#REF!</v>
      </c>
      <c r="GM267" t="e">
        <f>IF(#REF!,"AAAAAGu3/8I=",0)</f>
        <v>#REF!</v>
      </c>
      <c r="GN267" t="e">
        <f>IF(#REF!,"AAAAAGu3/8M=",0)</f>
        <v>#REF!</v>
      </c>
      <c r="GO267" t="e">
        <f>IF(#REF!,"AAAAAGu3/8Q=",0)</f>
        <v>#REF!</v>
      </c>
      <c r="GP267" t="e">
        <f>IF(#REF!,"AAAAAGu3/8U=",0)</f>
        <v>#REF!</v>
      </c>
      <c r="GQ267" t="e">
        <f>IF(#REF!,"AAAAAGu3/8Y=",0)</f>
        <v>#REF!</v>
      </c>
      <c r="GR267" t="e">
        <f>IF(#REF!,"AAAAAGu3/8c=",0)</f>
        <v>#REF!</v>
      </c>
      <c r="GS267" t="e">
        <f>IF(#REF!,"AAAAAGu3/8g=",0)</f>
        <v>#REF!</v>
      </c>
      <c r="GT267" t="e">
        <f>IF(#REF!,"AAAAAGu3/8k=",0)</f>
        <v>#REF!</v>
      </c>
      <c r="GU267" t="e">
        <f>IF(#REF!,"AAAAAGu3/8o=",0)</f>
        <v>#REF!</v>
      </c>
      <c r="GV267" t="e">
        <f>IF(#REF!,"AAAAAGu3/8s=",0)</f>
        <v>#REF!</v>
      </c>
      <c r="GW267" t="e">
        <f>IF(#REF!,"AAAAAGu3/8w=",0)</f>
        <v>#REF!</v>
      </c>
      <c r="GX267" t="e">
        <f>IF(#REF!,"AAAAAGu3/80=",0)</f>
        <v>#REF!</v>
      </c>
      <c r="GY267" t="e">
        <f>IF(#REF!,"AAAAAGu3/84=",0)</f>
        <v>#REF!</v>
      </c>
      <c r="GZ267" t="e">
        <f>IF(#REF!,"AAAAAGu3/88=",0)</f>
        <v>#REF!</v>
      </c>
      <c r="HA267" t="e">
        <f>IF(#REF!,"AAAAAGu3/9A=",0)</f>
        <v>#REF!</v>
      </c>
      <c r="HB267" t="e">
        <f>IF(#REF!,"AAAAAGu3/9E=",0)</f>
        <v>#REF!</v>
      </c>
      <c r="HC267" t="e">
        <f>IF(#REF!,"AAAAAGu3/9I=",0)</f>
        <v>#REF!</v>
      </c>
      <c r="HD267" t="e">
        <f>IF(#REF!,"AAAAAGu3/9M=",0)</f>
        <v>#REF!</v>
      </c>
      <c r="HE267" t="e">
        <f>IF(#REF!,"AAAAAGu3/9Q=",0)</f>
        <v>#REF!</v>
      </c>
      <c r="HF267" t="e">
        <f>IF(#REF!,"AAAAAGu3/9U=",0)</f>
        <v>#REF!</v>
      </c>
      <c r="HG267" t="e">
        <f>IF(#REF!,"AAAAAGu3/9Y=",0)</f>
        <v>#REF!</v>
      </c>
      <c r="HH267" t="e">
        <f>IF(#REF!,"AAAAAGu3/9c=",0)</f>
        <v>#REF!</v>
      </c>
      <c r="HI267" t="e">
        <f>IF(#REF!,"AAAAAGu3/9g=",0)</f>
        <v>#REF!</v>
      </c>
      <c r="HJ267" t="e">
        <f>IF(#REF!,"AAAAAGu3/9k=",0)</f>
        <v>#REF!</v>
      </c>
      <c r="HK267" t="e">
        <f>IF(#REF!,"AAAAAGu3/9o=",0)</f>
        <v>#REF!</v>
      </c>
      <c r="HL267" t="e">
        <f>IF(#REF!,"AAAAAGu3/9s=",0)</f>
        <v>#REF!</v>
      </c>
      <c r="HM267" t="e">
        <f>IF(#REF!,"AAAAAGu3/9w=",0)</f>
        <v>#REF!</v>
      </c>
      <c r="HN267" t="e">
        <f>IF(#REF!,"AAAAAGu3/90=",0)</f>
        <v>#REF!</v>
      </c>
      <c r="HO267" t="e">
        <f>IF(#REF!,"AAAAAGu3/94=",0)</f>
        <v>#REF!</v>
      </c>
      <c r="HP267" t="e">
        <f>IF(#REF!,"AAAAAGu3/98=",0)</f>
        <v>#REF!</v>
      </c>
      <c r="HQ267" t="e">
        <f>IF(#REF!,"AAAAAGu3/+A=",0)</f>
        <v>#REF!</v>
      </c>
      <c r="HR267" t="e">
        <f>IF(#REF!,"AAAAAGu3/+E=",0)</f>
        <v>#REF!</v>
      </c>
      <c r="HS267" t="e">
        <f>IF(#REF!,"AAAAAGu3/+I=",0)</f>
        <v>#REF!</v>
      </c>
      <c r="HT267" t="e">
        <f>IF(#REF!,"AAAAAGu3/+M=",0)</f>
        <v>#REF!</v>
      </c>
      <c r="HU267" t="e">
        <f>IF(#REF!,"AAAAAGu3/+Q=",0)</f>
        <v>#REF!</v>
      </c>
      <c r="HV267" t="e">
        <f>IF(#REF!,"AAAAAGu3/+U=",0)</f>
        <v>#REF!</v>
      </c>
      <c r="HW267" t="e">
        <f>IF(#REF!,"AAAAAGu3/+Y=",0)</f>
        <v>#REF!</v>
      </c>
      <c r="HX267" t="e">
        <f>IF(#REF!,"AAAAAGu3/+c=",0)</f>
        <v>#REF!</v>
      </c>
      <c r="HY267" t="e">
        <f>IF(#REF!,"AAAAAGu3/+g=",0)</f>
        <v>#REF!</v>
      </c>
      <c r="HZ267" t="e">
        <f>IF(#REF!,"AAAAAGu3/+k=",0)</f>
        <v>#REF!</v>
      </c>
      <c r="IA267" t="e">
        <f>IF(#REF!,"AAAAAGu3/+o=",0)</f>
        <v>#REF!</v>
      </c>
      <c r="IB267" t="e">
        <f>IF(#REF!,"AAAAAGu3/+s=",0)</f>
        <v>#REF!</v>
      </c>
      <c r="IC267" t="e">
        <f>IF(#REF!,"AAAAAGu3/+w=",0)</f>
        <v>#REF!</v>
      </c>
      <c r="ID267" t="e">
        <f>IF(#REF!,"AAAAAGu3/+0=",0)</f>
        <v>#REF!</v>
      </c>
      <c r="IE267" t="e">
        <f>IF(#REF!,"AAAAAGu3/+4=",0)</f>
        <v>#REF!</v>
      </c>
      <c r="IF267" t="e">
        <f>IF(#REF!,"AAAAAGu3/+8=",0)</f>
        <v>#REF!</v>
      </c>
      <c r="IG267" t="e">
        <f>IF(#REF!,"AAAAAGu3//A=",0)</f>
        <v>#REF!</v>
      </c>
      <c r="IH267" t="e">
        <f>IF(#REF!,"AAAAAGu3//E=",0)</f>
        <v>#REF!</v>
      </c>
      <c r="II267" t="e">
        <f>IF(#REF!,"AAAAAGu3//I=",0)</f>
        <v>#REF!</v>
      </c>
      <c r="IJ267" t="e">
        <f>IF(#REF!,"AAAAAGu3//M=",0)</f>
        <v>#REF!</v>
      </c>
      <c r="IK267" t="e">
        <f>IF(#REF!,"AAAAAGu3//Q=",0)</f>
        <v>#REF!</v>
      </c>
      <c r="IL267" t="e">
        <f>IF(#REF!,"AAAAAGu3//U=",0)</f>
        <v>#REF!</v>
      </c>
      <c r="IM267" t="e">
        <f>IF(#REF!,"AAAAAGu3//Y=",0)</f>
        <v>#REF!</v>
      </c>
      <c r="IN267" t="e">
        <f>IF(#REF!,"AAAAAGu3//c=",0)</f>
        <v>#REF!</v>
      </c>
      <c r="IO267" t="e">
        <f>IF(#REF!,"AAAAAGu3//g=",0)</f>
        <v>#REF!</v>
      </c>
      <c r="IP267" t="e">
        <f>IF(#REF!,"AAAAAGu3//k=",0)</f>
        <v>#REF!</v>
      </c>
      <c r="IQ267" t="e">
        <f>IF(#REF!,"AAAAAGu3//o=",0)</f>
        <v>#REF!</v>
      </c>
      <c r="IR267" t="e">
        <f>IF(#REF!,"AAAAAGu3//s=",0)</f>
        <v>#REF!</v>
      </c>
      <c r="IS267" t="e">
        <f>IF(#REF!,"AAAAAGu3//w=",0)</f>
        <v>#REF!</v>
      </c>
      <c r="IT267" t="e">
        <f>IF(#REF!,"AAAAAGu3//0=",0)</f>
        <v>#REF!</v>
      </c>
      <c r="IU267" t="e">
        <f>IF(#REF!,"AAAAAGu3//4=",0)</f>
        <v>#REF!</v>
      </c>
      <c r="IV267" t="e">
        <f>IF(#REF!,"AAAAAGu3//8=",0)</f>
        <v>#REF!</v>
      </c>
    </row>
    <row r="268" spans="1:256">
      <c r="A268" t="e">
        <f>IF(#REF!,"AAAAAF+sNQA=",0)</f>
        <v>#REF!</v>
      </c>
      <c r="B268" t="e">
        <f>IF(#REF!,"AAAAAF+sNQE=",0)</f>
        <v>#REF!</v>
      </c>
      <c r="C268" t="e">
        <f>IF(#REF!,"AAAAAF+sNQI=",0)</f>
        <v>#REF!</v>
      </c>
      <c r="D268" t="e">
        <f>IF(#REF!,"AAAAAF+sNQM=",0)</f>
        <v>#REF!</v>
      </c>
      <c r="E268" t="e">
        <f>IF(#REF!,"AAAAAF+sNQQ=",0)</f>
        <v>#REF!</v>
      </c>
      <c r="F268" t="e">
        <f>IF(#REF!,"AAAAAF+sNQU=",0)</f>
        <v>#REF!</v>
      </c>
      <c r="G268" t="e">
        <f>IF(#REF!,"AAAAAF+sNQY=",0)</f>
        <v>#REF!</v>
      </c>
      <c r="H268" t="e">
        <f>IF(#REF!,"AAAAAF+sNQc=",0)</f>
        <v>#REF!</v>
      </c>
      <c r="I268" t="e">
        <f>IF(#REF!,"AAAAAF+sNQg=",0)</f>
        <v>#REF!</v>
      </c>
      <c r="J268" t="e">
        <f>IF(#REF!,"AAAAAF+sNQk=",0)</f>
        <v>#REF!</v>
      </c>
      <c r="K268" t="e">
        <f>IF(#REF!,"AAAAAF+sNQo=",0)</f>
        <v>#REF!</v>
      </c>
      <c r="L268" t="e">
        <f>IF(#REF!,"AAAAAF+sNQs=",0)</f>
        <v>#REF!</v>
      </c>
      <c r="M268" t="e">
        <f>IF(#REF!,"AAAAAF+sNQw=",0)</f>
        <v>#REF!</v>
      </c>
      <c r="N268" t="e">
        <f>IF(#REF!,"AAAAAF+sNQ0=",0)</f>
        <v>#REF!</v>
      </c>
      <c r="O268" t="e">
        <f>IF(#REF!,"AAAAAF+sNQ4=",0)</f>
        <v>#REF!</v>
      </c>
      <c r="P268" t="e">
        <f>IF(#REF!,"AAAAAF+sNQ8=",0)</f>
        <v>#REF!</v>
      </c>
      <c r="Q268" t="e">
        <f>IF(#REF!,"AAAAAF+sNRA=",0)</f>
        <v>#REF!</v>
      </c>
      <c r="R268" t="e">
        <f>IF(#REF!,"AAAAAF+sNRE=",0)</f>
        <v>#REF!</v>
      </c>
      <c r="S268" t="e">
        <f>IF(#REF!,"AAAAAF+sNRI=",0)</f>
        <v>#REF!</v>
      </c>
      <c r="T268" t="e">
        <f>IF(#REF!,"AAAAAF+sNRM=",0)</f>
        <v>#REF!</v>
      </c>
      <c r="U268" t="e">
        <f>IF(#REF!,"AAAAAF+sNRQ=",0)</f>
        <v>#REF!</v>
      </c>
      <c r="V268" t="e">
        <f>IF(#REF!,"AAAAAF+sNRU=",0)</f>
        <v>#REF!</v>
      </c>
      <c r="W268" t="e">
        <f>IF(#REF!,"AAAAAF+sNRY=",0)</f>
        <v>#REF!</v>
      </c>
      <c r="X268" t="e">
        <f>IF(#REF!,"AAAAAF+sNRc=",0)</f>
        <v>#REF!</v>
      </c>
      <c r="Y268" t="e">
        <f>IF(#REF!,"AAAAAF+sNRg=",0)</f>
        <v>#REF!</v>
      </c>
      <c r="Z268" t="e">
        <f>IF(#REF!,"AAAAAF+sNRk=",0)</f>
        <v>#REF!</v>
      </c>
      <c r="AA268" t="e">
        <f>IF(#REF!,"AAAAAF+sNRo=",0)</f>
        <v>#REF!</v>
      </c>
      <c r="AB268" t="e">
        <f>IF(#REF!,"AAAAAF+sNRs=",0)</f>
        <v>#REF!</v>
      </c>
      <c r="AC268" t="e">
        <f>IF(#REF!,"AAAAAF+sNRw=",0)</f>
        <v>#REF!</v>
      </c>
      <c r="AD268" t="e">
        <f>IF(#REF!,"AAAAAF+sNR0=",0)</f>
        <v>#REF!</v>
      </c>
      <c r="AE268" t="e">
        <f>IF(#REF!,"AAAAAF+sNR4=",0)</f>
        <v>#REF!</v>
      </c>
      <c r="AF268" t="e">
        <f>IF(#REF!,"AAAAAF+sNR8=",0)</f>
        <v>#REF!</v>
      </c>
      <c r="AG268" t="e">
        <f>IF(#REF!,"AAAAAF+sNSA=",0)</f>
        <v>#REF!</v>
      </c>
      <c r="AH268" t="e">
        <f>IF(#REF!,"AAAAAF+sNSE=",0)</f>
        <v>#REF!</v>
      </c>
      <c r="AI268" t="e">
        <f>IF(#REF!,"AAAAAF+sNSI=",0)</f>
        <v>#REF!</v>
      </c>
      <c r="AJ268" t="e">
        <f>IF(#REF!,"AAAAAF+sNSM=",0)</f>
        <v>#REF!</v>
      </c>
      <c r="AK268" t="e">
        <f>IF(#REF!,"AAAAAF+sNSQ=",0)</f>
        <v>#REF!</v>
      </c>
      <c r="AL268" t="e">
        <f>IF(#REF!,"AAAAAF+sNSU=",0)</f>
        <v>#REF!</v>
      </c>
      <c r="AM268" t="e">
        <f>IF(#REF!,"AAAAAF+sNSY=",0)</f>
        <v>#REF!</v>
      </c>
      <c r="AN268" t="e">
        <f>IF(#REF!,"AAAAAF+sNSc=",0)</f>
        <v>#REF!</v>
      </c>
      <c r="AO268" t="e">
        <f>IF(#REF!,"AAAAAF+sNSg=",0)</f>
        <v>#REF!</v>
      </c>
      <c r="AP268" t="e">
        <f>IF(#REF!,"AAAAAF+sNSk=",0)</f>
        <v>#REF!</v>
      </c>
      <c r="AQ268" t="e">
        <f>IF(#REF!,"AAAAAF+sNSo=",0)</f>
        <v>#REF!</v>
      </c>
      <c r="AR268" t="e">
        <f>IF(#REF!,"AAAAAF+sNSs=",0)</f>
        <v>#REF!</v>
      </c>
      <c r="AS268" t="e">
        <f>IF(#REF!,"AAAAAF+sNSw=",0)</f>
        <v>#REF!</v>
      </c>
      <c r="AT268" t="e">
        <f>IF(#REF!,"AAAAAF+sNS0=",0)</f>
        <v>#REF!</v>
      </c>
      <c r="AU268" t="e">
        <f>IF(#REF!,"AAAAAF+sNS4=",0)</f>
        <v>#REF!</v>
      </c>
      <c r="AV268" t="e">
        <f>IF(#REF!,"AAAAAF+sNS8=",0)</f>
        <v>#REF!</v>
      </c>
      <c r="AW268" t="e">
        <f>IF(#REF!,"AAAAAF+sNTA=",0)</f>
        <v>#REF!</v>
      </c>
      <c r="AX268" t="e">
        <f>IF(#REF!,"AAAAAF+sNTE=",0)</f>
        <v>#REF!</v>
      </c>
      <c r="AY268" t="e">
        <f>IF(#REF!,"AAAAAF+sNTI=",0)</f>
        <v>#REF!</v>
      </c>
      <c r="AZ268" t="e">
        <f>IF(#REF!,"AAAAAF+sNTM=",0)</f>
        <v>#REF!</v>
      </c>
      <c r="BA268" t="e">
        <f>IF(#REF!,"AAAAAF+sNTQ=",0)</f>
        <v>#REF!</v>
      </c>
      <c r="BB268" t="e">
        <f>IF(#REF!,"AAAAAF+sNTU=",0)</f>
        <v>#REF!</v>
      </c>
      <c r="BC268" t="e">
        <f>IF(#REF!,"AAAAAF+sNTY=",0)</f>
        <v>#REF!</v>
      </c>
      <c r="BD268" t="e">
        <f>IF(#REF!,"AAAAAF+sNTc=",0)</f>
        <v>#REF!</v>
      </c>
      <c r="BE268" t="e">
        <f>IF(#REF!,"AAAAAF+sNTg=",0)</f>
        <v>#REF!</v>
      </c>
      <c r="BF268" t="e">
        <f>IF(#REF!,"AAAAAF+sNTk=",0)</f>
        <v>#REF!</v>
      </c>
      <c r="BG268" t="e">
        <f>IF(#REF!,"AAAAAF+sNTo=",0)</f>
        <v>#REF!</v>
      </c>
      <c r="BH268" t="e">
        <f>IF(#REF!,"AAAAAF+sNTs=",0)</f>
        <v>#REF!</v>
      </c>
      <c r="BI268" t="e">
        <f>IF(#REF!,"AAAAAF+sNTw=",0)</f>
        <v>#REF!</v>
      </c>
      <c r="BJ268" t="e">
        <f>IF(#REF!,"AAAAAF+sNT0=",0)</f>
        <v>#REF!</v>
      </c>
      <c r="BK268" t="e">
        <f>IF(#REF!,"AAAAAF+sNT4=",0)</f>
        <v>#REF!</v>
      </c>
      <c r="BL268" t="e">
        <f>IF(#REF!,"AAAAAF+sNT8=",0)</f>
        <v>#REF!</v>
      </c>
      <c r="BM268" t="e">
        <f>IF(#REF!,"AAAAAF+sNUA=",0)</f>
        <v>#REF!</v>
      </c>
      <c r="BN268" t="e">
        <f>IF(#REF!,"AAAAAF+sNUE=",0)</f>
        <v>#REF!</v>
      </c>
      <c r="BO268" t="e">
        <f>IF(#REF!,"AAAAAF+sNUI=",0)</f>
        <v>#REF!</v>
      </c>
      <c r="BP268" t="e">
        <f>IF(#REF!,"AAAAAF+sNUM=",0)</f>
        <v>#REF!</v>
      </c>
      <c r="BQ268" t="e">
        <f>IF(#REF!,"AAAAAF+sNUQ=",0)</f>
        <v>#REF!</v>
      </c>
      <c r="BR268" t="e">
        <f>IF(#REF!,"AAAAAF+sNUU=",0)</f>
        <v>#REF!</v>
      </c>
      <c r="BS268" t="e">
        <f>IF(#REF!,"AAAAAF+sNUY=",0)</f>
        <v>#REF!</v>
      </c>
      <c r="BT268" t="e">
        <f>IF(#REF!,"AAAAAF+sNUc=",0)</f>
        <v>#REF!</v>
      </c>
      <c r="BU268" t="e">
        <f>IF(#REF!,"AAAAAF+sNUg=",0)</f>
        <v>#REF!</v>
      </c>
      <c r="BV268" t="e">
        <f>IF(#REF!,"AAAAAF+sNUk=",0)</f>
        <v>#REF!</v>
      </c>
      <c r="BW268" t="e">
        <f>IF(#REF!,"AAAAAF+sNUo=",0)</f>
        <v>#REF!</v>
      </c>
      <c r="BX268" t="e">
        <f>IF(#REF!,"AAAAAF+sNUs=",0)</f>
        <v>#REF!</v>
      </c>
      <c r="BY268" t="e">
        <f>IF(#REF!,"AAAAAF+sNUw=",0)</f>
        <v>#REF!</v>
      </c>
      <c r="BZ268" t="e">
        <f>IF(#REF!,"AAAAAF+sNU0=",0)</f>
        <v>#REF!</v>
      </c>
      <c r="CA268" t="e">
        <f>IF(#REF!,"AAAAAF+sNU4=",0)</f>
        <v>#REF!</v>
      </c>
      <c r="CB268" t="e">
        <f>IF(#REF!,"AAAAAF+sNU8=",0)</f>
        <v>#REF!</v>
      </c>
      <c r="CC268" t="e">
        <f>IF(#REF!,"AAAAAF+sNVA=",0)</f>
        <v>#REF!</v>
      </c>
      <c r="CD268" t="e">
        <f>IF(#REF!,"AAAAAF+sNVE=",0)</f>
        <v>#REF!</v>
      </c>
      <c r="CE268" t="e">
        <f>IF(#REF!,"AAAAAF+sNVI=",0)</f>
        <v>#REF!</v>
      </c>
      <c r="CF268" t="e">
        <f>IF(#REF!,"AAAAAF+sNVM=",0)</f>
        <v>#REF!</v>
      </c>
      <c r="CG268" t="e">
        <f>IF(#REF!,"AAAAAF+sNVQ=",0)</f>
        <v>#REF!</v>
      </c>
      <c r="CH268" t="e">
        <f>IF(#REF!,"AAAAAF+sNVU=",0)</f>
        <v>#REF!</v>
      </c>
      <c r="CI268" t="e">
        <f>IF(#REF!,"AAAAAF+sNVY=",0)</f>
        <v>#REF!</v>
      </c>
      <c r="CJ268" t="e">
        <f>IF(#REF!,"AAAAAF+sNVc=",0)</f>
        <v>#REF!</v>
      </c>
      <c r="CK268" t="e">
        <f>IF(#REF!,"AAAAAF+sNVg=",0)</f>
        <v>#REF!</v>
      </c>
      <c r="CL268" t="e">
        <f>IF(#REF!,"AAAAAF+sNVk=",0)</f>
        <v>#REF!</v>
      </c>
      <c r="CM268" t="e">
        <f>IF(#REF!,"AAAAAF+sNVo=",0)</f>
        <v>#REF!</v>
      </c>
      <c r="CN268" t="e">
        <f>IF(#REF!,"AAAAAF+sNVs=",0)</f>
        <v>#REF!</v>
      </c>
      <c r="CO268" t="e">
        <f>IF(#REF!,"AAAAAF+sNVw=",0)</f>
        <v>#REF!</v>
      </c>
      <c r="CP268" t="e">
        <f>IF(#REF!,"AAAAAF+sNV0=",0)</f>
        <v>#REF!</v>
      </c>
      <c r="CQ268" t="e">
        <f>IF(#REF!,"AAAAAF+sNV4=",0)</f>
        <v>#REF!</v>
      </c>
      <c r="CR268" t="e">
        <f>IF(#REF!,"AAAAAF+sNV8=",0)</f>
        <v>#REF!</v>
      </c>
      <c r="CS268" t="e">
        <f>IF(#REF!,"AAAAAF+sNWA=",0)</f>
        <v>#REF!</v>
      </c>
      <c r="CT268" t="e">
        <f>IF(#REF!,"AAAAAF+sNWE=",0)</f>
        <v>#REF!</v>
      </c>
      <c r="CU268" t="e">
        <f>IF(#REF!,"AAAAAF+sNWI=",0)</f>
        <v>#REF!</v>
      </c>
      <c r="CV268" t="e">
        <f>IF(#REF!,"AAAAAF+sNWM=",0)</f>
        <v>#REF!</v>
      </c>
      <c r="CW268" t="e">
        <f>IF(#REF!,"AAAAAF+sNWQ=",0)</f>
        <v>#REF!</v>
      </c>
      <c r="CX268" t="e">
        <f>IF(#REF!,"AAAAAF+sNWU=",0)</f>
        <v>#REF!</v>
      </c>
      <c r="CY268" t="e">
        <f>IF(#REF!,"AAAAAF+sNWY=",0)</f>
        <v>#REF!</v>
      </c>
      <c r="CZ268" t="e">
        <f>IF(#REF!,"AAAAAF+sNWc=",0)</f>
        <v>#REF!</v>
      </c>
      <c r="DA268" t="e">
        <f>IF(#REF!,"AAAAAF+sNWg=",0)</f>
        <v>#REF!</v>
      </c>
      <c r="DB268" t="e">
        <f>IF(#REF!,"AAAAAF+sNWk=",0)</f>
        <v>#REF!</v>
      </c>
      <c r="DC268" t="e">
        <f>IF(#REF!,"AAAAAF+sNWo=",0)</f>
        <v>#REF!</v>
      </c>
      <c r="DD268" t="e">
        <f>IF(#REF!,"AAAAAF+sNWs=",0)</f>
        <v>#REF!</v>
      </c>
      <c r="DE268" t="e">
        <f>IF(#REF!,"AAAAAF+sNWw=",0)</f>
        <v>#REF!</v>
      </c>
      <c r="DF268" t="e">
        <f>IF(#REF!,"AAAAAF+sNW0=",0)</f>
        <v>#REF!</v>
      </c>
      <c r="DG268" t="e">
        <f>IF(#REF!,"AAAAAF+sNW4=",0)</f>
        <v>#REF!</v>
      </c>
      <c r="DH268" t="e">
        <f>IF(#REF!,"AAAAAF+sNW8=",0)</f>
        <v>#REF!</v>
      </c>
      <c r="DI268" t="e">
        <f>IF(#REF!,"AAAAAF+sNXA=",0)</f>
        <v>#REF!</v>
      </c>
      <c r="DJ268" t="e">
        <f>IF(#REF!,"AAAAAF+sNXE=",0)</f>
        <v>#REF!</v>
      </c>
      <c r="DK268" t="e">
        <f>IF(#REF!,"AAAAAF+sNXI=",0)</f>
        <v>#REF!</v>
      </c>
      <c r="DL268" t="e">
        <f>IF(#REF!,"AAAAAF+sNXM=",0)</f>
        <v>#REF!</v>
      </c>
      <c r="DM268" t="e">
        <f>IF(#REF!,"AAAAAF+sNXQ=",0)</f>
        <v>#REF!</v>
      </c>
      <c r="DN268" t="e">
        <f>IF(#REF!,"AAAAAF+sNXU=",0)</f>
        <v>#REF!</v>
      </c>
      <c r="DO268" t="e">
        <f>IF(#REF!,"AAAAAF+sNXY=",0)</f>
        <v>#REF!</v>
      </c>
      <c r="DP268" t="e">
        <f>IF(#REF!,"AAAAAF+sNXc=",0)</f>
        <v>#REF!</v>
      </c>
      <c r="DQ268" t="e">
        <f>IF(#REF!,"AAAAAF+sNXg=",0)</f>
        <v>#REF!</v>
      </c>
      <c r="DR268" t="e">
        <f>IF(#REF!,"AAAAAF+sNXk=",0)</f>
        <v>#REF!</v>
      </c>
      <c r="DS268" t="e">
        <f>IF(#REF!,"AAAAAF+sNXo=",0)</f>
        <v>#REF!</v>
      </c>
      <c r="DT268" t="e">
        <f>IF(#REF!,"AAAAAF+sNXs=",0)</f>
        <v>#REF!</v>
      </c>
      <c r="DU268" t="e">
        <f>IF(#REF!,"AAAAAF+sNXw=",0)</f>
        <v>#REF!</v>
      </c>
      <c r="DV268" t="e">
        <f>IF(#REF!,"AAAAAF+sNX0=",0)</f>
        <v>#REF!</v>
      </c>
      <c r="DW268" t="e">
        <f>IF(#REF!,"AAAAAF+sNX4=",0)</f>
        <v>#REF!</v>
      </c>
      <c r="DX268" t="e">
        <f>IF(#REF!,"AAAAAF+sNX8=",0)</f>
        <v>#REF!</v>
      </c>
      <c r="DY268" t="e">
        <f>IF(#REF!,"AAAAAF+sNYA=",0)</f>
        <v>#REF!</v>
      </c>
      <c r="DZ268" t="e">
        <f>IF(#REF!,"AAAAAF+sNYE=",0)</f>
        <v>#REF!</v>
      </c>
      <c r="EA268" t="e">
        <f>IF(#REF!,"AAAAAF+sNYI=",0)</f>
        <v>#REF!</v>
      </c>
      <c r="EB268" t="e">
        <f>IF(#REF!,"AAAAAF+sNYM=",0)</f>
        <v>#REF!</v>
      </c>
      <c r="EC268" t="e">
        <f>IF(#REF!,"AAAAAF+sNYQ=",0)</f>
        <v>#REF!</v>
      </c>
      <c r="ED268" t="e">
        <f>IF(#REF!,"AAAAAF+sNYU=",0)</f>
        <v>#REF!</v>
      </c>
      <c r="EE268" t="e">
        <f>IF(#REF!,"AAAAAF+sNYY=",0)</f>
        <v>#REF!</v>
      </c>
      <c r="EF268" t="e">
        <f>IF(#REF!,"AAAAAF+sNYc=",0)</f>
        <v>#REF!</v>
      </c>
      <c r="EG268" t="e">
        <f>IF(#REF!,"AAAAAF+sNYg=",0)</f>
        <v>#REF!</v>
      </c>
      <c r="EH268" t="e">
        <f>IF(#REF!,"AAAAAF+sNYk=",0)</f>
        <v>#REF!</v>
      </c>
      <c r="EI268" t="e">
        <f>IF(#REF!,"AAAAAF+sNYo=",0)</f>
        <v>#REF!</v>
      </c>
      <c r="EJ268" t="e">
        <f>IF(#REF!,"AAAAAF+sNYs=",0)</f>
        <v>#REF!</v>
      </c>
      <c r="EK268" t="e">
        <f>IF(#REF!,"AAAAAF+sNYw=",0)</f>
        <v>#REF!</v>
      </c>
      <c r="EL268" t="e">
        <f>IF(#REF!,"AAAAAF+sNY0=",0)</f>
        <v>#REF!</v>
      </c>
      <c r="EM268" t="e">
        <f>IF(#REF!,"AAAAAF+sNY4=",0)</f>
        <v>#REF!</v>
      </c>
      <c r="EN268" t="e">
        <f>IF(#REF!,"AAAAAF+sNY8=",0)</f>
        <v>#REF!</v>
      </c>
      <c r="EO268" t="e">
        <f>IF(#REF!,"AAAAAF+sNZA=",0)</f>
        <v>#REF!</v>
      </c>
      <c r="EP268" t="e">
        <f>IF(#REF!,"AAAAAF+sNZE=",0)</f>
        <v>#REF!</v>
      </c>
      <c r="EQ268" t="e">
        <f>IF(#REF!,"AAAAAF+sNZI=",0)</f>
        <v>#REF!</v>
      </c>
      <c r="ER268" t="e">
        <f>IF(#REF!,"AAAAAF+sNZM=",0)</f>
        <v>#REF!</v>
      </c>
      <c r="ES268" t="e">
        <f>IF(#REF!,"AAAAAF+sNZQ=",0)</f>
        <v>#REF!</v>
      </c>
      <c r="ET268" t="e">
        <f>IF(#REF!,"AAAAAF+sNZU=",0)</f>
        <v>#REF!</v>
      </c>
      <c r="EU268" t="e">
        <f>IF(#REF!,"AAAAAF+sNZY=",0)</f>
        <v>#REF!</v>
      </c>
      <c r="EV268" t="e">
        <f>IF(#REF!,"AAAAAF+sNZc=",0)</f>
        <v>#REF!</v>
      </c>
      <c r="EW268" t="e">
        <f>IF(#REF!,"AAAAAF+sNZg=",0)</f>
        <v>#REF!</v>
      </c>
      <c r="EX268" t="e">
        <f>IF(#REF!,"AAAAAF+sNZk=",0)</f>
        <v>#REF!</v>
      </c>
      <c r="EY268" t="e">
        <f>IF(#REF!,"AAAAAF+sNZo=",0)</f>
        <v>#REF!</v>
      </c>
      <c r="EZ268" t="e">
        <f>IF(#REF!,"AAAAAF+sNZs=",0)</f>
        <v>#REF!</v>
      </c>
      <c r="FA268" t="e">
        <f>IF(#REF!,"AAAAAF+sNZw=",0)</f>
        <v>#REF!</v>
      </c>
      <c r="FB268" t="e">
        <f>IF(#REF!,"AAAAAF+sNZ0=",0)</f>
        <v>#REF!</v>
      </c>
      <c r="FC268" t="e">
        <f>IF(#REF!,"AAAAAF+sNZ4=",0)</f>
        <v>#REF!</v>
      </c>
      <c r="FD268" t="e">
        <f>IF(#REF!,"AAAAAF+sNZ8=",0)</f>
        <v>#REF!</v>
      </c>
      <c r="FE268" t="e">
        <f>IF(#REF!,"AAAAAF+sNaA=",0)</f>
        <v>#REF!</v>
      </c>
      <c r="FF268" t="e">
        <f>IF(#REF!,"AAAAAF+sNaE=",0)</f>
        <v>#REF!</v>
      </c>
      <c r="FG268" t="e">
        <f>IF(#REF!,"AAAAAF+sNaI=",0)</f>
        <v>#REF!</v>
      </c>
      <c r="FH268" t="e">
        <f>IF(#REF!,"AAAAAF+sNaM=",0)</f>
        <v>#REF!</v>
      </c>
      <c r="FI268" t="e">
        <f>IF(#REF!,"AAAAAF+sNaQ=",0)</f>
        <v>#REF!</v>
      </c>
      <c r="FJ268" t="e">
        <f>IF(#REF!,"AAAAAF+sNaU=",0)</f>
        <v>#REF!</v>
      </c>
      <c r="FK268" t="e">
        <f>IF(#REF!,"AAAAAF+sNaY=",0)</f>
        <v>#REF!</v>
      </c>
      <c r="FL268" t="e">
        <f>IF(#REF!,"AAAAAF+sNac=",0)</f>
        <v>#REF!</v>
      </c>
      <c r="FM268" t="e">
        <f>IF(#REF!,"AAAAAF+sNag=",0)</f>
        <v>#REF!</v>
      </c>
      <c r="FN268" t="e">
        <f>IF(#REF!,"AAAAAF+sNak=",0)</f>
        <v>#REF!</v>
      </c>
      <c r="FO268" t="e">
        <f>IF(#REF!,"AAAAAF+sNao=",0)</f>
        <v>#REF!</v>
      </c>
      <c r="FP268" t="e">
        <f>IF(#REF!,"AAAAAF+sNas=",0)</f>
        <v>#REF!</v>
      </c>
      <c r="FQ268" t="e">
        <f>IF(#REF!,"AAAAAF+sNaw=",0)</f>
        <v>#REF!</v>
      </c>
      <c r="FR268" t="e">
        <f>IF(#REF!,"AAAAAF+sNa0=",0)</f>
        <v>#REF!</v>
      </c>
      <c r="FS268" t="e">
        <f>IF(#REF!,"AAAAAF+sNa4=",0)</f>
        <v>#REF!</v>
      </c>
      <c r="FT268" t="e">
        <f>IF(#REF!,"AAAAAF+sNa8=",0)</f>
        <v>#REF!</v>
      </c>
      <c r="FU268" t="e">
        <f>IF(#REF!,"AAAAAF+sNbA=",0)</f>
        <v>#REF!</v>
      </c>
      <c r="FV268" t="e">
        <f>IF(#REF!,"AAAAAF+sNbE=",0)</f>
        <v>#REF!</v>
      </c>
      <c r="FW268" t="e">
        <f>IF(#REF!,"AAAAAF+sNbI=",0)</f>
        <v>#REF!</v>
      </c>
      <c r="FX268" t="e">
        <f>IF(#REF!,"AAAAAF+sNbM=",0)</f>
        <v>#REF!</v>
      </c>
      <c r="FY268" t="e">
        <f>IF(#REF!,"AAAAAF+sNbQ=",0)</f>
        <v>#REF!</v>
      </c>
      <c r="FZ268" t="e">
        <f>IF(#REF!,"AAAAAF+sNbU=",0)</f>
        <v>#REF!</v>
      </c>
      <c r="GA268" t="e">
        <f>IF(#REF!,"AAAAAF+sNbY=",0)</f>
        <v>#REF!</v>
      </c>
      <c r="GB268" t="e">
        <f>IF(#REF!,"AAAAAF+sNbc=",0)</f>
        <v>#REF!</v>
      </c>
      <c r="GC268" t="e">
        <f>IF(#REF!,"AAAAAF+sNbg=",0)</f>
        <v>#REF!</v>
      </c>
      <c r="GD268" t="e">
        <f>IF(#REF!,"AAAAAF+sNbk=",0)</f>
        <v>#REF!</v>
      </c>
      <c r="GE268" t="e">
        <f>IF(#REF!,"AAAAAF+sNbo=",0)</f>
        <v>#REF!</v>
      </c>
      <c r="GF268" t="e">
        <f>IF(#REF!,"AAAAAF+sNbs=",0)</f>
        <v>#REF!</v>
      </c>
      <c r="GG268" t="e">
        <f>IF(#REF!,"AAAAAF+sNbw=",0)</f>
        <v>#REF!</v>
      </c>
      <c r="GH268" t="e">
        <f>IF(#REF!,"AAAAAF+sNb0=",0)</f>
        <v>#REF!</v>
      </c>
      <c r="GI268" t="e">
        <f>IF(#REF!,"AAAAAF+sNb4=",0)</f>
        <v>#REF!</v>
      </c>
      <c r="GJ268" t="e">
        <f>IF(#REF!,"AAAAAF+sNb8=",0)</f>
        <v>#REF!</v>
      </c>
      <c r="GK268" t="e">
        <f>IF(#REF!,"AAAAAF+sNcA=",0)</f>
        <v>#REF!</v>
      </c>
      <c r="GL268" t="e">
        <f>IF(#REF!,"AAAAAF+sNcE=",0)</f>
        <v>#REF!</v>
      </c>
      <c r="GM268" t="e">
        <f>IF(#REF!,"AAAAAF+sNcI=",0)</f>
        <v>#REF!</v>
      </c>
      <c r="GN268" t="e">
        <f>IF(#REF!,"AAAAAF+sNcM=",0)</f>
        <v>#REF!</v>
      </c>
      <c r="GO268" t="e">
        <f>IF(#REF!,"AAAAAF+sNcQ=",0)</f>
        <v>#REF!</v>
      </c>
      <c r="GP268" t="e">
        <f>IF(#REF!,"AAAAAF+sNcU=",0)</f>
        <v>#REF!</v>
      </c>
      <c r="GQ268" t="e">
        <f>IF(#REF!,"AAAAAF+sNcY=",0)</f>
        <v>#REF!</v>
      </c>
      <c r="GR268" t="e">
        <f>IF(#REF!,"AAAAAF+sNcc=",0)</f>
        <v>#REF!</v>
      </c>
      <c r="GS268" t="e">
        <f>IF(#REF!,"AAAAAF+sNcg=",0)</f>
        <v>#REF!</v>
      </c>
      <c r="GT268" t="e">
        <f>IF(#REF!,"AAAAAF+sNck=",0)</f>
        <v>#REF!</v>
      </c>
      <c r="GU268" t="e">
        <f>IF(#REF!,"AAAAAF+sNco=",0)</f>
        <v>#REF!</v>
      </c>
      <c r="GV268" t="e">
        <f>IF(#REF!,"AAAAAF+sNcs=",0)</f>
        <v>#REF!</v>
      </c>
      <c r="GW268" t="e">
        <f>IF(#REF!,"AAAAAF+sNcw=",0)</f>
        <v>#REF!</v>
      </c>
      <c r="GX268" t="e">
        <f>IF(#REF!,"AAAAAF+sNc0=",0)</f>
        <v>#REF!</v>
      </c>
      <c r="GY268" t="e">
        <f>IF(#REF!,"AAAAAF+sNc4=",0)</f>
        <v>#REF!</v>
      </c>
      <c r="GZ268" t="e">
        <f>IF(#REF!,"AAAAAF+sNc8=",0)</f>
        <v>#REF!</v>
      </c>
      <c r="HA268" t="e">
        <f>IF(#REF!,"AAAAAF+sNdA=",0)</f>
        <v>#REF!</v>
      </c>
      <c r="HB268" t="e">
        <f>IF(#REF!,"AAAAAF+sNdE=",0)</f>
        <v>#REF!</v>
      </c>
      <c r="HC268" t="e">
        <f>IF(#REF!,"AAAAAF+sNdI=",0)</f>
        <v>#REF!</v>
      </c>
      <c r="HD268" t="e">
        <f>IF(#REF!,"AAAAAF+sNdM=",0)</f>
        <v>#REF!</v>
      </c>
      <c r="HE268" t="e">
        <f>IF(#REF!,"AAAAAF+sNdQ=",0)</f>
        <v>#REF!</v>
      </c>
      <c r="HF268" t="e">
        <f>IF(#REF!,"AAAAAF+sNdU=",0)</f>
        <v>#REF!</v>
      </c>
      <c r="HG268" t="e">
        <f>IF(#REF!,"AAAAAF+sNdY=",0)</f>
        <v>#REF!</v>
      </c>
      <c r="HH268" t="e">
        <f>IF(#REF!,"AAAAAF+sNdc=",0)</f>
        <v>#REF!</v>
      </c>
      <c r="HI268" t="e">
        <f>IF(#REF!,"AAAAAF+sNdg=",0)</f>
        <v>#REF!</v>
      </c>
      <c r="HJ268" t="e">
        <f>IF(#REF!,"AAAAAF+sNdk=",0)</f>
        <v>#REF!</v>
      </c>
      <c r="HK268" t="e">
        <f>IF(#REF!,"AAAAAF+sNdo=",0)</f>
        <v>#REF!</v>
      </c>
      <c r="HL268" t="e">
        <f>IF(#REF!,"AAAAAF+sNds=",0)</f>
        <v>#REF!</v>
      </c>
      <c r="HM268" t="e">
        <f>IF(#REF!,"AAAAAF+sNdw=",0)</f>
        <v>#REF!</v>
      </c>
      <c r="HN268" t="e">
        <f>IF(#REF!,"AAAAAF+sNd0=",0)</f>
        <v>#REF!</v>
      </c>
      <c r="HO268" t="e">
        <f>IF(#REF!,"AAAAAF+sNd4=",0)</f>
        <v>#REF!</v>
      </c>
      <c r="HP268" t="e">
        <f>IF(#REF!,"AAAAAF+sNd8=",0)</f>
        <v>#REF!</v>
      </c>
      <c r="HQ268" t="e">
        <f>IF(#REF!,"AAAAAF+sNeA=",0)</f>
        <v>#REF!</v>
      </c>
      <c r="HR268" t="e">
        <f>IF(#REF!,"AAAAAF+sNeE=",0)</f>
        <v>#REF!</v>
      </c>
      <c r="HS268" t="e">
        <f>IF(#REF!,"AAAAAF+sNeI=",0)</f>
        <v>#REF!</v>
      </c>
      <c r="HT268" t="e">
        <f>IF(#REF!,"AAAAAF+sNeM=",0)</f>
        <v>#REF!</v>
      </c>
      <c r="HU268" t="e">
        <f>IF(#REF!,"AAAAAF+sNeQ=",0)</f>
        <v>#REF!</v>
      </c>
      <c r="HV268" t="e">
        <f>IF(#REF!,"AAAAAF+sNeU=",0)</f>
        <v>#REF!</v>
      </c>
      <c r="HW268" t="e">
        <f>IF(#REF!,"AAAAAF+sNeY=",0)</f>
        <v>#REF!</v>
      </c>
      <c r="HX268" t="e">
        <f>IF(#REF!,"AAAAAF+sNec=",0)</f>
        <v>#REF!</v>
      </c>
      <c r="HY268" t="e">
        <f>IF(#REF!,"AAAAAF+sNeg=",0)</f>
        <v>#REF!</v>
      </c>
      <c r="HZ268" t="e">
        <f>IF(#REF!,"AAAAAF+sNek=",0)</f>
        <v>#REF!</v>
      </c>
      <c r="IA268" t="e">
        <f>IF(#REF!,"AAAAAF+sNeo=",0)</f>
        <v>#REF!</v>
      </c>
      <c r="IB268" t="e">
        <f>IF(#REF!,"AAAAAF+sNes=",0)</f>
        <v>#REF!</v>
      </c>
      <c r="IC268" t="e">
        <f>IF(#REF!,"AAAAAF+sNew=",0)</f>
        <v>#REF!</v>
      </c>
      <c r="ID268" t="e">
        <f>IF(#REF!,"AAAAAF+sNe0=",0)</f>
        <v>#REF!</v>
      </c>
      <c r="IE268" t="e">
        <f>IF(#REF!,"AAAAAF+sNe4=",0)</f>
        <v>#REF!</v>
      </c>
      <c r="IF268" t="e">
        <f>IF(#REF!,"AAAAAF+sNe8=",0)</f>
        <v>#REF!</v>
      </c>
      <c r="IG268" t="e">
        <f>IF(#REF!,"AAAAAF+sNfA=",0)</f>
        <v>#REF!</v>
      </c>
      <c r="IH268" t="e">
        <f>IF(#REF!,"AAAAAF+sNfE=",0)</f>
        <v>#REF!</v>
      </c>
      <c r="II268" t="e">
        <f>IF(#REF!,"AAAAAF+sNfI=",0)</f>
        <v>#REF!</v>
      </c>
      <c r="IJ268" t="e">
        <f>IF(#REF!,"AAAAAF+sNfM=",0)</f>
        <v>#REF!</v>
      </c>
      <c r="IK268" t="e">
        <f>IF(#REF!,"AAAAAF+sNfQ=",0)</f>
        <v>#REF!</v>
      </c>
      <c r="IL268" t="e">
        <f>IF(#REF!,"AAAAAF+sNfU=",0)</f>
        <v>#REF!</v>
      </c>
      <c r="IM268" t="e">
        <f>IF(#REF!,"AAAAAF+sNfY=",0)</f>
        <v>#REF!</v>
      </c>
      <c r="IN268" t="e">
        <f>IF(#REF!,"AAAAAF+sNfc=",0)</f>
        <v>#REF!</v>
      </c>
      <c r="IO268" t="e">
        <f>IF(#REF!,"AAAAAF+sNfg=",0)</f>
        <v>#REF!</v>
      </c>
      <c r="IP268" t="e">
        <f>IF(#REF!,"AAAAAF+sNfk=",0)</f>
        <v>#REF!</v>
      </c>
      <c r="IQ268" t="e">
        <f>IF(#REF!,"AAAAAF+sNfo=",0)</f>
        <v>#REF!</v>
      </c>
      <c r="IR268" t="e">
        <f>IF(#REF!,"AAAAAF+sNfs=",0)</f>
        <v>#REF!</v>
      </c>
      <c r="IS268" t="e">
        <f>IF(#REF!,"AAAAAF+sNfw=",0)</f>
        <v>#REF!</v>
      </c>
      <c r="IT268" t="e">
        <f>IF(#REF!,"AAAAAF+sNf0=",0)</f>
        <v>#REF!</v>
      </c>
      <c r="IU268" t="e">
        <f>IF(#REF!,"AAAAAF+sNf4=",0)</f>
        <v>#REF!</v>
      </c>
      <c r="IV268" t="e">
        <f>IF(#REF!,"AAAAAF+sNf8=",0)</f>
        <v>#REF!</v>
      </c>
    </row>
    <row r="269" spans="1:256">
      <c r="A269" t="e">
        <f>IF(#REF!,"AAAAAG/xZQA=",0)</f>
        <v>#REF!</v>
      </c>
      <c r="B269" t="e">
        <f>IF(#REF!,"AAAAAG/xZQE=",0)</f>
        <v>#REF!</v>
      </c>
      <c r="C269" t="e">
        <f>IF(#REF!,"AAAAAG/xZQI=",0)</f>
        <v>#REF!</v>
      </c>
      <c r="D269" t="e">
        <f>IF(#REF!,"AAAAAG/xZQM=",0)</f>
        <v>#REF!</v>
      </c>
      <c r="E269" t="e">
        <f>IF(#REF!,"AAAAAG/xZQQ=",0)</f>
        <v>#REF!</v>
      </c>
      <c r="F269" t="e">
        <f>IF(#REF!,"AAAAAG/xZQU=",0)</f>
        <v>#REF!</v>
      </c>
      <c r="G269" t="e">
        <f>IF(#REF!,"AAAAAG/xZQY=",0)</f>
        <v>#REF!</v>
      </c>
      <c r="H269" t="e">
        <f>IF(#REF!,"AAAAAG/xZQc=",0)</f>
        <v>#REF!</v>
      </c>
      <c r="I269" t="e">
        <f>IF(#REF!,"AAAAAG/xZQg=",0)</f>
        <v>#REF!</v>
      </c>
      <c r="J269" t="e">
        <f>IF(#REF!,"AAAAAG/xZQk=",0)</f>
        <v>#REF!</v>
      </c>
      <c r="K269" t="e">
        <f>IF(#REF!,"AAAAAG/xZQo=",0)</f>
        <v>#REF!</v>
      </c>
      <c r="L269" t="e">
        <f>IF(#REF!,"AAAAAG/xZQs=",0)</f>
        <v>#REF!</v>
      </c>
      <c r="M269" t="e">
        <f>IF(#REF!,"AAAAAG/xZQw=",0)</f>
        <v>#REF!</v>
      </c>
      <c r="N269" t="e">
        <f>IF(#REF!,"AAAAAG/xZQ0=",0)</f>
        <v>#REF!</v>
      </c>
      <c r="O269" t="e">
        <f>IF(#REF!,"AAAAAG/xZQ4=",0)</f>
        <v>#REF!</v>
      </c>
      <c r="P269" t="e">
        <f>IF(#REF!,"AAAAAG/xZQ8=",0)</f>
        <v>#REF!</v>
      </c>
      <c r="Q269" t="e">
        <f>IF(#REF!,"AAAAAG/xZRA=",0)</f>
        <v>#REF!</v>
      </c>
      <c r="R269" t="e">
        <f>IF(#REF!,"AAAAAG/xZRE=",0)</f>
        <v>#REF!</v>
      </c>
      <c r="S269" t="e">
        <f>IF(#REF!,"AAAAAG/xZRI=",0)</f>
        <v>#REF!</v>
      </c>
      <c r="T269" t="e">
        <f>IF(#REF!,"AAAAAG/xZRM=",0)</f>
        <v>#REF!</v>
      </c>
      <c r="U269" t="e">
        <f>IF(#REF!,"AAAAAG/xZRQ=",0)</f>
        <v>#REF!</v>
      </c>
      <c r="V269" t="e">
        <f>IF(#REF!,"AAAAAG/xZRU=",0)</f>
        <v>#REF!</v>
      </c>
      <c r="W269" t="e">
        <f>IF(#REF!,"AAAAAG/xZRY=",0)</f>
        <v>#REF!</v>
      </c>
      <c r="X269" t="e">
        <f>IF(#REF!,"AAAAAG/xZRc=",0)</f>
        <v>#REF!</v>
      </c>
      <c r="Y269" t="e">
        <f>IF(#REF!,"AAAAAG/xZRg=",0)</f>
        <v>#REF!</v>
      </c>
      <c r="Z269" t="e">
        <f>IF(#REF!,"AAAAAG/xZRk=",0)</f>
        <v>#REF!</v>
      </c>
      <c r="AA269" t="e">
        <f>IF(#REF!,"AAAAAG/xZRo=",0)</f>
        <v>#REF!</v>
      </c>
      <c r="AB269" t="e">
        <f>IF(#REF!,"AAAAAG/xZRs=",0)</f>
        <v>#REF!</v>
      </c>
      <c r="AC269" t="e">
        <f>IF(#REF!,"AAAAAG/xZRw=",0)</f>
        <v>#REF!</v>
      </c>
      <c r="AD269" t="e">
        <f>IF(#REF!,"AAAAAG/xZR0=",0)</f>
        <v>#REF!</v>
      </c>
      <c r="AE269" t="e">
        <f>IF(#REF!,"AAAAAG/xZR4=",0)</f>
        <v>#REF!</v>
      </c>
      <c r="AF269" t="e">
        <f>IF(#REF!,"AAAAAG/xZR8=",0)</f>
        <v>#REF!</v>
      </c>
      <c r="AG269" t="e">
        <f>IF(#REF!,"AAAAAG/xZSA=",0)</f>
        <v>#REF!</v>
      </c>
      <c r="AH269" t="e">
        <f>IF(#REF!,"AAAAAG/xZSE=",0)</f>
        <v>#REF!</v>
      </c>
      <c r="AI269" t="e">
        <f>IF(#REF!,"AAAAAG/xZSI=",0)</f>
        <v>#REF!</v>
      </c>
      <c r="AJ269" t="e">
        <f>IF(#REF!,"AAAAAG/xZSM=",0)</f>
        <v>#REF!</v>
      </c>
      <c r="AK269" t="e">
        <f>IF(#REF!,"AAAAAG/xZSQ=",0)</f>
        <v>#REF!</v>
      </c>
      <c r="AL269" t="e">
        <f>IF(#REF!,"AAAAAG/xZSU=",0)</f>
        <v>#REF!</v>
      </c>
      <c r="AM269" t="e">
        <f>IF(#REF!,"AAAAAG/xZSY=",0)</f>
        <v>#REF!</v>
      </c>
      <c r="AN269" t="e">
        <f>IF(#REF!,"AAAAAG/xZSc=",0)</f>
        <v>#REF!</v>
      </c>
      <c r="AO269" t="e">
        <f>IF(#REF!,"AAAAAG/xZSg=",0)</f>
        <v>#REF!</v>
      </c>
      <c r="AP269" t="e">
        <f>IF(#REF!,"AAAAAG/xZSk=",0)</f>
        <v>#REF!</v>
      </c>
      <c r="AQ269" t="e">
        <f>IF(#REF!,"AAAAAG/xZSo=",0)</f>
        <v>#REF!</v>
      </c>
      <c r="AR269" t="e">
        <f>IF(#REF!,"AAAAAG/xZSs=",0)</f>
        <v>#REF!</v>
      </c>
      <c r="AS269" t="e">
        <f>IF(#REF!,"AAAAAG/xZSw=",0)</f>
        <v>#REF!</v>
      </c>
      <c r="AT269" t="e">
        <f>IF(#REF!,"AAAAAG/xZS0=",0)</f>
        <v>#REF!</v>
      </c>
      <c r="AU269" t="e">
        <f>IF(#REF!,"AAAAAG/xZS4=",0)</f>
        <v>#REF!</v>
      </c>
      <c r="AV269" t="e">
        <f>IF(#REF!,"AAAAAG/xZS8=",0)</f>
        <v>#REF!</v>
      </c>
      <c r="AW269" t="e">
        <f>IF(#REF!,"AAAAAG/xZTA=",0)</f>
        <v>#REF!</v>
      </c>
      <c r="AX269" t="e">
        <f>IF(#REF!,"AAAAAG/xZTE=",0)</f>
        <v>#REF!</v>
      </c>
      <c r="AY269" t="e">
        <f>IF(#REF!,"AAAAAG/xZTI=",0)</f>
        <v>#REF!</v>
      </c>
      <c r="AZ269" t="e">
        <f>IF(#REF!,"AAAAAG/xZTM=",0)</f>
        <v>#REF!</v>
      </c>
      <c r="BA269" t="e">
        <f>IF(#REF!,"AAAAAG/xZTQ=",0)</f>
        <v>#REF!</v>
      </c>
      <c r="BB269" t="e">
        <f>IF(#REF!,"AAAAAG/xZTU=",0)</f>
        <v>#REF!</v>
      </c>
      <c r="BC269" t="e">
        <f>IF(#REF!,"AAAAAG/xZTY=",0)</f>
        <v>#REF!</v>
      </c>
      <c r="BD269" t="e">
        <f>IF(#REF!,"AAAAAG/xZTc=",0)</f>
        <v>#REF!</v>
      </c>
      <c r="BE269" t="e">
        <f>IF(#REF!,"AAAAAG/xZTg=",0)</f>
        <v>#REF!</v>
      </c>
      <c r="BF269" t="e">
        <f>IF(#REF!,"AAAAAG/xZTk=",0)</f>
        <v>#REF!</v>
      </c>
      <c r="BG269" t="e">
        <f>IF(#REF!,"AAAAAG/xZTo=",0)</f>
        <v>#REF!</v>
      </c>
      <c r="BH269" t="e">
        <f>IF(#REF!,"AAAAAG/xZTs=",0)</f>
        <v>#REF!</v>
      </c>
      <c r="BI269" t="e">
        <f>IF(#REF!,"AAAAAG/xZTw=",0)</f>
        <v>#REF!</v>
      </c>
      <c r="BJ269" t="e">
        <f>IF(#REF!,"AAAAAG/xZT0=",0)</f>
        <v>#REF!</v>
      </c>
      <c r="BK269" t="e">
        <f>IF(#REF!,"AAAAAG/xZT4=",0)</f>
        <v>#REF!</v>
      </c>
      <c r="BL269" t="e">
        <f>IF(#REF!,"AAAAAG/xZT8=",0)</f>
        <v>#REF!</v>
      </c>
      <c r="BM269" t="e">
        <f>IF(#REF!,"AAAAAG/xZUA=",0)</f>
        <v>#REF!</v>
      </c>
      <c r="BN269" t="e">
        <f>IF(#REF!,"AAAAAG/xZUE=",0)</f>
        <v>#REF!</v>
      </c>
      <c r="BO269" t="e">
        <f>IF(#REF!,"AAAAAG/xZUI=",0)</f>
        <v>#REF!</v>
      </c>
      <c r="BP269" t="e">
        <f>IF(#REF!,"AAAAAG/xZUM=",0)</f>
        <v>#REF!</v>
      </c>
      <c r="BQ269" t="e">
        <f>IF(#REF!,"AAAAAG/xZUQ=",0)</f>
        <v>#REF!</v>
      </c>
      <c r="BR269" t="e">
        <f>IF(#REF!,"AAAAAG/xZUU=",0)</f>
        <v>#REF!</v>
      </c>
      <c r="BS269" t="e">
        <f>IF(#REF!,"AAAAAG/xZUY=",0)</f>
        <v>#REF!</v>
      </c>
      <c r="BT269" t="e">
        <f>IF(#REF!,"AAAAAG/xZUc=",0)</f>
        <v>#REF!</v>
      </c>
      <c r="BU269" t="e">
        <f>IF(#REF!,"AAAAAG/xZUg=",0)</f>
        <v>#REF!</v>
      </c>
      <c r="BV269" t="e">
        <f>IF(#REF!,"AAAAAG/xZUk=",0)</f>
        <v>#REF!</v>
      </c>
      <c r="BW269" t="e">
        <f>IF(#REF!,"AAAAAG/xZUo=",0)</f>
        <v>#REF!</v>
      </c>
      <c r="BX269" t="e">
        <f>IF(#REF!,"AAAAAG/xZUs=",0)</f>
        <v>#REF!</v>
      </c>
      <c r="BY269" t="e">
        <f>IF(#REF!,"AAAAAG/xZUw=",0)</f>
        <v>#REF!</v>
      </c>
      <c r="BZ269" t="e">
        <f>IF(#REF!,"AAAAAG/xZU0=",0)</f>
        <v>#REF!</v>
      </c>
      <c r="CA269" t="e">
        <f>IF(#REF!,"AAAAAG/xZU4=",0)</f>
        <v>#REF!</v>
      </c>
      <c r="CB269" t="e">
        <f>IF(#REF!,"AAAAAG/xZU8=",0)</f>
        <v>#REF!</v>
      </c>
      <c r="CC269" t="e">
        <f>IF(#REF!,"AAAAAG/xZVA=",0)</f>
        <v>#REF!</v>
      </c>
      <c r="CD269" t="e">
        <f>IF(#REF!,"AAAAAG/xZVE=",0)</f>
        <v>#REF!</v>
      </c>
      <c r="CE269" t="e">
        <f>IF(#REF!,"AAAAAG/xZVI=",0)</f>
        <v>#REF!</v>
      </c>
      <c r="CF269" t="e">
        <f>IF(#REF!,"AAAAAG/xZVM=",0)</f>
        <v>#REF!</v>
      </c>
      <c r="CG269" t="e">
        <f>IF(#REF!,"AAAAAG/xZVQ=",0)</f>
        <v>#REF!</v>
      </c>
      <c r="CH269" t="e">
        <f>IF(#REF!,"AAAAAG/xZVU=",0)</f>
        <v>#REF!</v>
      </c>
      <c r="CI269" t="e">
        <f>IF(#REF!,"AAAAAG/xZVY=",0)</f>
        <v>#REF!</v>
      </c>
      <c r="CJ269" t="e">
        <f>IF(#REF!,"AAAAAG/xZVc=",0)</f>
        <v>#REF!</v>
      </c>
      <c r="CK269" t="e">
        <f>IF(#REF!,"AAAAAG/xZVg=",0)</f>
        <v>#REF!</v>
      </c>
      <c r="CL269" t="e">
        <f>IF(#REF!,"AAAAAG/xZVk=",0)</f>
        <v>#REF!</v>
      </c>
      <c r="CM269" t="e">
        <f>IF(#REF!,"AAAAAG/xZVo=",0)</f>
        <v>#REF!</v>
      </c>
      <c r="CN269">
        <f>IF('COMPAS CARTAGENA'!1:1,"AAAAAG/xZVs=",0)</f>
        <v>0</v>
      </c>
      <c r="CO269" t="e">
        <f>AND('COMPAS CARTAGENA'!A1,"AAAAAG/xZVw=")</f>
        <v>#VALUE!</v>
      </c>
      <c r="CP269" t="e">
        <f>AND('COMPAS CARTAGENA'!B1,"AAAAAG/xZV0=")</f>
        <v>#VALUE!</v>
      </c>
      <c r="CQ269" t="e">
        <f>AND('COMPAS CARTAGENA'!D1,"AAAAAG/xZV4=")</f>
        <v>#VALUE!</v>
      </c>
      <c r="CR269" t="e">
        <f>AND('COMPAS CARTAGENA'!E1,"AAAAAG/xZV8=")</f>
        <v>#VALUE!</v>
      </c>
      <c r="CS269">
        <f>IF('COMPAS CARTAGENA'!2:2,"AAAAAG/xZWA=",0)</f>
        <v>0</v>
      </c>
      <c r="CT269" t="e">
        <f>AND('COMPAS CARTAGENA'!A2,"AAAAAG/xZWE=")</f>
        <v>#VALUE!</v>
      </c>
      <c r="CU269" t="e">
        <f>AND('COMPAS CARTAGENA'!B2,"AAAAAG/xZWI=")</f>
        <v>#VALUE!</v>
      </c>
      <c r="CV269" t="e">
        <f>AND('COMPAS CARTAGENA'!D2,"AAAAAG/xZWM=")</f>
        <v>#VALUE!</v>
      </c>
      <c r="CW269" t="e">
        <f>AND('COMPAS CARTAGENA'!E2,"AAAAAG/xZWQ=")</f>
        <v>#VALUE!</v>
      </c>
      <c r="CX269">
        <f>IF('COMPAS CARTAGENA'!3:3,"AAAAAG/xZWU=",0)</f>
        <v>0</v>
      </c>
      <c r="CY269" t="e">
        <f>AND('COMPAS CARTAGENA'!A3,"AAAAAG/xZWY=")</f>
        <v>#VALUE!</v>
      </c>
      <c r="CZ269" t="e">
        <f>AND('COMPAS CARTAGENA'!B3,"AAAAAG/xZWc=")</f>
        <v>#VALUE!</v>
      </c>
      <c r="DA269" t="e">
        <f>AND('COMPAS CARTAGENA'!D3,"AAAAAG/xZWg=")</f>
        <v>#VALUE!</v>
      </c>
      <c r="DB269" t="e">
        <f>AND('COMPAS CARTAGENA'!E3,"AAAAAG/xZWk=")</f>
        <v>#VALUE!</v>
      </c>
      <c r="DC269">
        <f>IF('COMPAS CARTAGENA'!4:4,"AAAAAG/xZWo=",0)</f>
        <v>0</v>
      </c>
      <c r="DD269" t="e">
        <f>AND('COMPAS CARTAGENA'!A4,"AAAAAG/xZWs=")</f>
        <v>#VALUE!</v>
      </c>
      <c r="DE269" t="e">
        <f>AND('COMPAS CARTAGENA'!B4,"AAAAAG/xZWw=")</f>
        <v>#VALUE!</v>
      </c>
      <c r="DF269" t="e">
        <f>AND('COMPAS CARTAGENA'!D4,"AAAAAG/xZW0=")</f>
        <v>#VALUE!</v>
      </c>
      <c r="DG269" t="e">
        <f>AND('COMPAS CARTAGENA'!E4,"AAAAAG/xZW4=")</f>
        <v>#VALUE!</v>
      </c>
      <c r="DH269">
        <f>IF('COMPAS CARTAGENA'!5:5,"AAAAAG/xZW8=",0)</f>
        <v>0</v>
      </c>
      <c r="DI269" t="e">
        <f>AND('COMPAS CARTAGENA'!A5,"AAAAAG/xZXA=")</f>
        <v>#VALUE!</v>
      </c>
      <c r="DJ269" t="e">
        <f>AND('COMPAS CARTAGENA'!B5,"AAAAAG/xZXE=")</f>
        <v>#VALUE!</v>
      </c>
      <c r="DK269" t="e">
        <f>AND('COMPAS CARTAGENA'!D5,"AAAAAG/xZXI=")</f>
        <v>#VALUE!</v>
      </c>
      <c r="DL269" t="e">
        <f>AND('COMPAS CARTAGENA'!E5,"AAAAAG/xZXM=")</f>
        <v>#VALUE!</v>
      </c>
      <c r="DM269">
        <f>IF('COMPAS CARTAGENA'!6:6,"AAAAAG/xZXQ=",0)</f>
        <v>0</v>
      </c>
      <c r="DN269" t="e">
        <f>AND('COMPAS CARTAGENA'!A6,"AAAAAG/xZXU=")</f>
        <v>#VALUE!</v>
      </c>
      <c r="DO269" t="e">
        <f>AND('COMPAS CARTAGENA'!B6,"AAAAAG/xZXY=")</f>
        <v>#VALUE!</v>
      </c>
      <c r="DP269" t="e">
        <f>AND('COMPAS CARTAGENA'!D6,"AAAAAG/xZXc=")</f>
        <v>#VALUE!</v>
      </c>
      <c r="DQ269" t="e">
        <f>AND('COMPAS CARTAGENA'!E6,"AAAAAG/xZXg=")</f>
        <v>#VALUE!</v>
      </c>
      <c r="DR269">
        <f>IF('COMPAS CARTAGENA'!7:7,"AAAAAG/xZXk=",0)</f>
        <v>0</v>
      </c>
      <c r="DS269" t="e">
        <f>AND('COMPAS CARTAGENA'!A7,"AAAAAG/xZXo=")</f>
        <v>#VALUE!</v>
      </c>
      <c r="DT269" t="e">
        <f>AND('COMPAS CARTAGENA'!B7,"AAAAAG/xZXs=")</f>
        <v>#VALUE!</v>
      </c>
      <c r="DU269" t="e">
        <f>AND('COMPAS CARTAGENA'!D7,"AAAAAG/xZXw=")</f>
        <v>#VALUE!</v>
      </c>
      <c r="DV269" t="e">
        <f>AND('COMPAS CARTAGENA'!E7,"AAAAAG/xZX0=")</f>
        <v>#VALUE!</v>
      </c>
      <c r="DW269">
        <f>IF('COMPAS CARTAGENA'!8:8,"AAAAAG/xZX4=",0)</f>
        <v>0</v>
      </c>
      <c r="DX269" t="e">
        <f>AND('COMPAS CARTAGENA'!A8,"AAAAAG/xZX8=")</f>
        <v>#VALUE!</v>
      </c>
      <c r="DY269" t="e">
        <f>AND('COMPAS CARTAGENA'!B8,"AAAAAG/xZYA=")</f>
        <v>#VALUE!</v>
      </c>
      <c r="DZ269" t="e">
        <f>AND('COMPAS CARTAGENA'!D8,"AAAAAG/xZYE=")</f>
        <v>#VALUE!</v>
      </c>
      <c r="EA269" t="e">
        <f>AND('COMPAS CARTAGENA'!E8,"AAAAAG/xZYI=")</f>
        <v>#VALUE!</v>
      </c>
      <c r="EB269">
        <f>IF('COMPAS CARTAGENA'!9:9,"AAAAAG/xZYM=",0)</f>
        <v>0</v>
      </c>
      <c r="EC269" t="e">
        <f>AND('COMPAS CARTAGENA'!A9,"AAAAAG/xZYQ=")</f>
        <v>#VALUE!</v>
      </c>
      <c r="ED269" t="e">
        <f>AND('COMPAS CARTAGENA'!B9,"AAAAAG/xZYU=")</f>
        <v>#VALUE!</v>
      </c>
      <c r="EE269" t="e">
        <f>AND('COMPAS CARTAGENA'!D9,"AAAAAG/xZYY=")</f>
        <v>#VALUE!</v>
      </c>
      <c r="EF269" t="e">
        <f>AND('COMPAS CARTAGENA'!E9,"AAAAAG/xZYc=")</f>
        <v>#VALUE!</v>
      </c>
      <c r="EG269">
        <f>IF('COMPAS CARTAGENA'!10:10,"AAAAAG/xZYg=",0)</f>
        <v>0</v>
      </c>
      <c r="EH269" t="e">
        <f>AND('COMPAS CARTAGENA'!A10,"AAAAAG/xZYk=")</f>
        <v>#VALUE!</v>
      </c>
      <c r="EI269" t="e">
        <f>AND('COMPAS CARTAGENA'!B10,"AAAAAG/xZYo=")</f>
        <v>#VALUE!</v>
      </c>
      <c r="EJ269" t="e">
        <f>AND('COMPAS CARTAGENA'!D10,"AAAAAG/xZYs=")</f>
        <v>#VALUE!</v>
      </c>
      <c r="EK269" t="e">
        <f>AND('COMPAS CARTAGENA'!E10,"AAAAAG/xZYw=")</f>
        <v>#VALUE!</v>
      </c>
      <c r="EL269">
        <f>IF('COMPAS CARTAGENA'!11:11,"AAAAAG/xZY0=",0)</f>
        <v>0</v>
      </c>
      <c r="EM269" t="e">
        <f>AND('COMPAS CARTAGENA'!A11,"AAAAAG/xZY4=")</f>
        <v>#VALUE!</v>
      </c>
      <c r="EN269" t="e">
        <f>AND('COMPAS CARTAGENA'!B11,"AAAAAG/xZY8=")</f>
        <v>#VALUE!</v>
      </c>
      <c r="EO269" t="e">
        <f>AND('COMPAS CARTAGENA'!D11,"AAAAAG/xZZA=")</f>
        <v>#VALUE!</v>
      </c>
      <c r="EP269" t="e">
        <f>AND('COMPAS CARTAGENA'!E11,"AAAAAG/xZZE=")</f>
        <v>#VALUE!</v>
      </c>
      <c r="EQ269">
        <f>IF('COMPAS CARTAGENA'!12:12,"AAAAAG/xZZI=",0)</f>
        <v>0</v>
      </c>
      <c r="ER269" t="e">
        <f>AND('COMPAS CARTAGENA'!A12,"AAAAAG/xZZM=")</f>
        <v>#VALUE!</v>
      </c>
      <c r="ES269" t="e">
        <f>AND('COMPAS CARTAGENA'!B12,"AAAAAG/xZZQ=")</f>
        <v>#VALUE!</v>
      </c>
      <c r="ET269" t="e">
        <f>AND('COMPAS CARTAGENA'!D12,"AAAAAG/xZZU=")</f>
        <v>#VALUE!</v>
      </c>
      <c r="EU269" t="e">
        <f>AND('COMPAS CARTAGENA'!E12,"AAAAAG/xZZY=")</f>
        <v>#VALUE!</v>
      </c>
      <c r="EV269">
        <f>IF('COMPAS CARTAGENA'!18:18,"AAAAAG/xZZc=",0)</f>
        <v>0</v>
      </c>
      <c r="EW269" t="e">
        <f>AND('COMPAS CARTAGENA'!A18,"AAAAAG/xZZg=")</f>
        <v>#VALUE!</v>
      </c>
      <c r="EX269" t="e">
        <f>AND('COMPAS CARTAGENA'!B18,"AAAAAG/xZZk=")</f>
        <v>#VALUE!</v>
      </c>
      <c r="EY269" t="e">
        <f>AND('COMPAS CARTAGENA'!D18,"AAAAAG/xZZo=")</f>
        <v>#VALUE!</v>
      </c>
      <c r="EZ269" t="e">
        <f>AND('COMPAS CARTAGENA'!E18,"AAAAAG/xZZs=")</f>
        <v>#VALUE!</v>
      </c>
      <c r="FA269">
        <f>IF('COMPAS CARTAGENA'!19:19,"AAAAAG/xZZw=",0)</f>
        <v>0</v>
      </c>
      <c r="FB269" t="e">
        <f>AND('COMPAS CARTAGENA'!A19,"AAAAAG/xZZ0=")</f>
        <v>#VALUE!</v>
      </c>
      <c r="FC269" t="e">
        <f>AND('COMPAS CARTAGENA'!B19,"AAAAAG/xZZ4=")</f>
        <v>#VALUE!</v>
      </c>
      <c r="FD269" t="e">
        <f>AND('COMPAS CARTAGENA'!D19,"AAAAAG/xZZ8=")</f>
        <v>#VALUE!</v>
      </c>
      <c r="FE269" t="e">
        <f>AND('COMPAS CARTAGENA'!E19,"AAAAAG/xZaA=")</f>
        <v>#VALUE!</v>
      </c>
      <c r="FF269">
        <f>IF('COMPAS CARTAGENA'!20:20,"AAAAAG/xZaE=",0)</f>
        <v>0</v>
      </c>
      <c r="FG269" t="e">
        <f>AND('COMPAS CARTAGENA'!A20,"AAAAAG/xZaI=")</f>
        <v>#VALUE!</v>
      </c>
      <c r="FH269" t="e">
        <f>AND('COMPAS CARTAGENA'!B20,"AAAAAG/xZaM=")</f>
        <v>#VALUE!</v>
      </c>
      <c r="FI269" t="e">
        <f>AND('COMPAS CARTAGENA'!D20,"AAAAAG/xZaQ=")</f>
        <v>#VALUE!</v>
      </c>
      <c r="FJ269" t="e">
        <f>AND('COMPAS CARTAGENA'!E20,"AAAAAG/xZaU=")</f>
        <v>#VALUE!</v>
      </c>
      <c r="FK269">
        <f>IF('COMPAS CARTAGENA'!21:21,"AAAAAG/xZaY=",0)</f>
        <v>0</v>
      </c>
      <c r="FL269" t="e">
        <f>AND('COMPAS CARTAGENA'!A21,"AAAAAG/xZac=")</f>
        <v>#VALUE!</v>
      </c>
      <c r="FM269" t="e">
        <f>AND('COMPAS CARTAGENA'!B21,"AAAAAG/xZag=")</f>
        <v>#VALUE!</v>
      </c>
      <c r="FN269" t="e">
        <f>AND('COMPAS CARTAGENA'!D21,"AAAAAG/xZak=")</f>
        <v>#VALUE!</v>
      </c>
      <c r="FO269" t="e">
        <f>AND('COMPAS CARTAGENA'!E21,"AAAAAG/xZao=")</f>
        <v>#VALUE!</v>
      </c>
      <c r="FP269">
        <f>IF('COMPAS CARTAGENA'!22:22,"AAAAAG/xZas=",0)</f>
        <v>0</v>
      </c>
      <c r="FQ269" t="e">
        <f>AND('COMPAS CARTAGENA'!A22,"AAAAAG/xZaw=")</f>
        <v>#VALUE!</v>
      </c>
      <c r="FR269" t="e">
        <f>AND('COMPAS CARTAGENA'!B22,"AAAAAG/xZa0=")</f>
        <v>#VALUE!</v>
      </c>
      <c r="FS269" t="e">
        <f>AND('COMPAS CARTAGENA'!D22,"AAAAAG/xZa4=")</f>
        <v>#VALUE!</v>
      </c>
      <c r="FT269" t="e">
        <f>AND('COMPAS CARTAGENA'!E22,"AAAAAG/xZa8=")</f>
        <v>#VALUE!</v>
      </c>
      <c r="FU269">
        <f>IF('COMPAS CARTAGENA'!23:23,"AAAAAG/xZbA=",0)</f>
        <v>0</v>
      </c>
      <c r="FV269" t="e">
        <f>AND('COMPAS CARTAGENA'!A23,"AAAAAG/xZbE=")</f>
        <v>#VALUE!</v>
      </c>
      <c r="FW269" t="e">
        <f>AND('COMPAS CARTAGENA'!B23,"AAAAAG/xZbI=")</f>
        <v>#VALUE!</v>
      </c>
      <c r="FX269" t="e">
        <f>AND('COMPAS CARTAGENA'!D23,"AAAAAG/xZbM=")</f>
        <v>#VALUE!</v>
      </c>
      <c r="FY269" t="e">
        <f>AND('COMPAS CARTAGENA'!E23,"AAAAAG/xZbQ=")</f>
        <v>#VALUE!</v>
      </c>
      <c r="FZ269">
        <f>IF('COMPAS CARTAGENA'!24:24,"AAAAAG/xZbU=",0)</f>
        <v>0</v>
      </c>
      <c r="GA269" t="e">
        <f>AND('COMPAS CARTAGENA'!A24,"AAAAAG/xZbY=")</f>
        <v>#VALUE!</v>
      </c>
      <c r="GB269" t="e">
        <f>AND('COMPAS CARTAGENA'!B24,"AAAAAG/xZbc=")</f>
        <v>#VALUE!</v>
      </c>
      <c r="GC269" t="e">
        <f>AND('COMPAS CARTAGENA'!D24,"AAAAAG/xZbg=")</f>
        <v>#VALUE!</v>
      </c>
      <c r="GD269" t="e">
        <f>AND('COMPAS CARTAGENA'!E24,"AAAAAG/xZbk=")</f>
        <v>#VALUE!</v>
      </c>
      <c r="GE269">
        <f>IF('COMPAS CARTAGENA'!25:25,"AAAAAG/xZbo=",0)</f>
        <v>0</v>
      </c>
      <c r="GF269" t="e">
        <f>AND('COMPAS CARTAGENA'!A25,"AAAAAG/xZbs=")</f>
        <v>#VALUE!</v>
      </c>
      <c r="GG269" t="e">
        <f>AND('COMPAS CARTAGENA'!B25,"AAAAAG/xZbw=")</f>
        <v>#VALUE!</v>
      </c>
      <c r="GH269" t="e">
        <f>AND('COMPAS CARTAGENA'!D25,"AAAAAG/xZb0=")</f>
        <v>#VALUE!</v>
      </c>
      <c r="GI269" t="e">
        <f>AND('COMPAS CARTAGENA'!E25,"AAAAAG/xZb4=")</f>
        <v>#VALUE!</v>
      </c>
      <c r="GJ269">
        <f>IF('COMPAS CARTAGENA'!26:26,"AAAAAG/xZb8=",0)</f>
        <v>0</v>
      </c>
      <c r="GK269" t="e">
        <f>AND('COMPAS CARTAGENA'!A26,"AAAAAG/xZcA=")</f>
        <v>#VALUE!</v>
      </c>
      <c r="GL269" t="e">
        <f>AND('COMPAS CARTAGENA'!B26,"AAAAAG/xZcE=")</f>
        <v>#VALUE!</v>
      </c>
      <c r="GM269" t="e">
        <f>AND('COMPAS CARTAGENA'!D26,"AAAAAG/xZcI=")</f>
        <v>#VALUE!</v>
      </c>
      <c r="GN269" t="e">
        <f>AND('COMPAS CARTAGENA'!E26,"AAAAAG/xZcM=")</f>
        <v>#VALUE!</v>
      </c>
      <c r="GO269">
        <f>IF('COMPAS CARTAGENA'!27:27,"AAAAAG/xZcQ=",0)</f>
        <v>0</v>
      </c>
      <c r="GP269" t="e">
        <f>AND('COMPAS CARTAGENA'!A27,"AAAAAG/xZcU=")</f>
        <v>#VALUE!</v>
      </c>
      <c r="GQ269" t="e">
        <f>AND('COMPAS CARTAGENA'!B27,"AAAAAG/xZcY=")</f>
        <v>#VALUE!</v>
      </c>
      <c r="GR269" t="e">
        <f>AND('COMPAS CARTAGENA'!D27,"AAAAAG/xZcc=")</f>
        <v>#VALUE!</v>
      </c>
      <c r="GS269" t="e">
        <f>AND('COMPAS CARTAGENA'!E27,"AAAAAG/xZcg=")</f>
        <v>#VALUE!</v>
      </c>
      <c r="GT269">
        <f>IF('COMPAS CARTAGENA'!28:28,"AAAAAG/xZck=",0)</f>
        <v>0</v>
      </c>
      <c r="GU269" t="e">
        <f>AND('COMPAS CARTAGENA'!A28,"AAAAAG/xZco=")</f>
        <v>#VALUE!</v>
      </c>
      <c r="GV269" t="e">
        <f>AND('COMPAS CARTAGENA'!B28,"AAAAAG/xZcs=")</f>
        <v>#VALUE!</v>
      </c>
      <c r="GW269" t="e">
        <f>AND('COMPAS CARTAGENA'!D28,"AAAAAG/xZcw=")</f>
        <v>#VALUE!</v>
      </c>
      <c r="GX269" t="e">
        <f>AND('COMPAS CARTAGENA'!E28,"AAAAAG/xZc0=")</f>
        <v>#VALUE!</v>
      </c>
      <c r="GY269">
        <f>IF('COMPAS CARTAGENA'!29:29,"AAAAAG/xZc4=",0)</f>
        <v>0</v>
      </c>
      <c r="GZ269" t="e">
        <f>AND('COMPAS CARTAGENA'!A29,"AAAAAG/xZc8=")</f>
        <v>#VALUE!</v>
      </c>
      <c r="HA269" t="e">
        <f>AND('COMPAS CARTAGENA'!B29,"AAAAAG/xZdA=")</f>
        <v>#VALUE!</v>
      </c>
      <c r="HB269" t="e">
        <f>AND('COMPAS CARTAGENA'!D29,"AAAAAG/xZdE=")</f>
        <v>#VALUE!</v>
      </c>
      <c r="HC269" t="e">
        <f>AND('COMPAS CARTAGENA'!E29,"AAAAAG/xZdI=")</f>
        <v>#VALUE!</v>
      </c>
      <c r="HD269">
        <f>IF('COMPAS CARTAGENA'!30:30,"AAAAAG/xZdM=",0)</f>
        <v>0</v>
      </c>
      <c r="HE269" t="e">
        <f>AND('COMPAS CARTAGENA'!A30,"AAAAAG/xZdQ=")</f>
        <v>#VALUE!</v>
      </c>
      <c r="HF269" t="e">
        <f>AND('COMPAS CARTAGENA'!B30,"AAAAAG/xZdU=")</f>
        <v>#VALUE!</v>
      </c>
      <c r="HG269" t="e">
        <f>AND('COMPAS CARTAGENA'!D30,"AAAAAG/xZdY=")</f>
        <v>#VALUE!</v>
      </c>
      <c r="HH269" t="e">
        <f>AND('COMPAS CARTAGENA'!E30,"AAAAAG/xZdc=")</f>
        <v>#VALUE!</v>
      </c>
      <c r="HI269">
        <f>IF('COMPAS CARTAGENA'!31:31,"AAAAAG/xZdg=",0)</f>
        <v>0</v>
      </c>
      <c r="HJ269" t="e">
        <f>AND('COMPAS CARTAGENA'!A31,"AAAAAG/xZdk=")</f>
        <v>#VALUE!</v>
      </c>
      <c r="HK269" t="e">
        <f>AND('COMPAS CARTAGENA'!B31,"AAAAAG/xZdo=")</f>
        <v>#VALUE!</v>
      </c>
      <c r="HL269" t="e">
        <f>AND('COMPAS CARTAGENA'!D31,"AAAAAG/xZds=")</f>
        <v>#VALUE!</v>
      </c>
      <c r="HM269" t="e">
        <f>AND('COMPAS CARTAGENA'!E31,"AAAAAG/xZdw=")</f>
        <v>#VALUE!</v>
      </c>
      <c r="HN269">
        <f>IF('COMPAS CARTAGENA'!32:32,"AAAAAG/xZd0=",0)</f>
        <v>0</v>
      </c>
      <c r="HO269" t="e">
        <f>AND('COMPAS CARTAGENA'!A32,"AAAAAG/xZd4=")</f>
        <v>#VALUE!</v>
      </c>
      <c r="HP269" t="e">
        <f>AND('COMPAS CARTAGENA'!B32,"AAAAAG/xZd8=")</f>
        <v>#VALUE!</v>
      </c>
      <c r="HQ269" t="e">
        <f>AND('COMPAS CARTAGENA'!D32,"AAAAAG/xZeA=")</f>
        <v>#VALUE!</v>
      </c>
      <c r="HR269" t="e">
        <f>AND('COMPAS CARTAGENA'!E32,"AAAAAG/xZeE=")</f>
        <v>#VALUE!</v>
      </c>
      <c r="HS269">
        <f>IF('COMPAS CARTAGENA'!33:33,"AAAAAG/xZeI=",0)</f>
        <v>0</v>
      </c>
      <c r="HT269" t="e">
        <f>AND('COMPAS CARTAGENA'!A33,"AAAAAG/xZeM=")</f>
        <v>#VALUE!</v>
      </c>
      <c r="HU269" t="e">
        <f>AND('COMPAS CARTAGENA'!B33,"AAAAAG/xZeQ=")</f>
        <v>#VALUE!</v>
      </c>
      <c r="HV269" t="e">
        <f>AND('COMPAS CARTAGENA'!D33,"AAAAAG/xZeU=")</f>
        <v>#VALUE!</v>
      </c>
      <c r="HW269" t="e">
        <f>AND('COMPAS CARTAGENA'!E33,"AAAAAG/xZeY=")</f>
        <v>#VALUE!</v>
      </c>
      <c r="HX269">
        <f>IF('COMPAS CARTAGENA'!34:34,"AAAAAG/xZec=",0)</f>
        <v>0</v>
      </c>
      <c r="HY269" t="e">
        <f>AND('COMPAS CARTAGENA'!A34,"AAAAAG/xZeg=")</f>
        <v>#VALUE!</v>
      </c>
      <c r="HZ269" t="e">
        <f>AND('COMPAS CARTAGENA'!B34,"AAAAAG/xZek=")</f>
        <v>#VALUE!</v>
      </c>
      <c r="IA269" t="e">
        <f>AND('COMPAS CARTAGENA'!D34,"AAAAAG/xZeo=")</f>
        <v>#VALUE!</v>
      </c>
      <c r="IB269" t="e">
        <f>AND('COMPAS CARTAGENA'!E34,"AAAAAG/xZes=")</f>
        <v>#VALUE!</v>
      </c>
      <c r="IC269">
        <f>IF('COMPAS CARTAGENA'!44:44,"AAAAAG/xZew=",0)</f>
        <v>0</v>
      </c>
      <c r="ID269" t="e">
        <f>AND('COMPAS CARTAGENA'!A44,"AAAAAG/xZe0=")</f>
        <v>#VALUE!</v>
      </c>
      <c r="IE269" t="e">
        <f>AND('COMPAS CARTAGENA'!B44,"AAAAAG/xZe4=")</f>
        <v>#VALUE!</v>
      </c>
      <c r="IF269" t="e">
        <f>AND('COMPAS CARTAGENA'!D44,"AAAAAG/xZe8=")</f>
        <v>#VALUE!</v>
      </c>
      <c r="IG269" t="e">
        <f>AND('COMPAS CARTAGENA'!E44,"AAAAAG/xZfA=")</f>
        <v>#VALUE!</v>
      </c>
      <c r="IH269">
        <f>IF('COMPAS CARTAGENA'!46:46,"AAAAAG/xZfE=",0)</f>
        <v>0</v>
      </c>
      <c r="II269" t="e">
        <f>AND('COMPAS CARTAGENA'!A46,"AAAAAG/xZfI=")</f>
        <v>#VALUE!</v>
      </c>
      <c r="IJ269" t="e">
        <f>AND('COMPAS CARTAGENA'!B46,"AAAAAG/xZfM=")</f>
        <v>#VALUE!</v>
      </c>
      <c r="IK269" t="e">
        <f>AND('COMPAS CARTAGENA'!F46,"AAAAAG/xZfQ=")</f>
        <v>#VALUE!</v>
      </c>
      <c r="IL269" t="e">
        <f>AND('COMPAS CARTAGENA'!G46,"AAAAAG/xZfU=")</f>
        <v>#VALUE!</v>
      </c>
      <c r="IM269">
        <f>IF('COMPAS CARTAGENA'!47:47,"AAAAAG/xZfY=",0)</f>
        <v>0</v>
      </c>
      <c r="IN269" t="e">
        <f>AND('COMPAS CARTAGENA'!A47,"AAAAAG/xZfc=")</f>
        <v>#VALUE!</v>
      </c>
      <c r="IO269" t="e">
        <f>AND('COMPAS CARTAGENA'!B47,"AAAAAG/xZfg=")</f>
        <v>#VALUE!</v>
      </c>
      <c r="IP269" t="e">
        <f>AND('COMPAS CARTAGENA'!F47,"AAAAAG/xZfk=")</f>
        <v>#VALUE!</v>
      </c>
      <c r="IQ269" t="e">
        <f>AND('COMPAS CARTAGENA'!G47,"AAAAAG/xZfo=")</f>
        <v>#VALUE!</v>
      </c>
      <c r="IR269" t="e">
        <f>IF('COMPAS CARTAGENA'!#REF!,"AAAAAG/xZfs=",0)</f>
        <v>#REF!</v>
      </c>
      <c r="IS269" t="e">
        <f>AND('COMPAS CARTAGENA'!#REF!,"AAAAAG/xZfw=")</f>
        <v>#REF!</v>
      </c>
      <c r="IT269" t="e">
        <f>AND('COMPAS CARTAGENA'!#REF!,"AAAAAG/xZf0=")</f>
        <v>#REF!</v>
      </c>
      <c r="IU269" t="e">
        <f>AND('COMPAS CARTAGENA'!#REF!,"AAAAAG/xZf4=")</f>
        <v>#REF!</v>
      </c>
      <c r="IV269" t="e">
        <f>AND('COMPAS CARTAGENA'!#REF!,"AAAAAG/xZf8=")</f>
        <v>#REF!</v>
      </c>
    </row>
    <row r="270" spans="1:256">
      <c r="A270" t="e">
        <f>IF('COMPAS CARTAGENA'!#REF!,"AAAAADrntwA=",0)</f>
        <v>#REF!</v>
      </c>
      <c r="B270" t="e">
        <f>AND('COMPAS CARTAGENA'!#REF!,"AAAAADrntwE=")</f>
        <v>#REF!</v>
      </c>
      <c r="C270" t="e">
        <f>AND('COMPAS CARTAGENA'!#REF!,"AAAAADrntwI=")</f>
        <v>#REF!</v>
      </c>
      <c r="D270" t="e">
        <f>AND('COMPAS CARTAGENA'!#REF!,"AAAAADrntwM=")</f>
        <v>#REF!</v>
      </c>
      <c r="E270" t="e">
        <f>AND('COMPAS CARTAGENA'!#REF!,"AAAAADrntwQ=")</f>
        <v>#REF!</v>
      </c>
      <c r="F270" t="e">
        <f>IF('COMPAS CARTAGENA'!#REF!,"AAAAADrntwU=",0)</f>
        <v>#REF!</v>
      </c>
      <c r="G270" t="e">
        <f>AND('COMPAS CARTAGENA'!#REF!,"AAAAADrntwY=")</f>
        <v>#REF!</v>
      </c>
      <c r="H270" t="e">
        <f>AND('COMPAS CARTAGENA'!#REF!,"AAAAADrntwc=")</f>
        <v>#REF!</v>
      </c>
      <c r="I270" t="e">
        <f>AND('COMPAS CARTAGENA'!#REF!,"AAAAADrntwg=")</f>
        <v>#REF!</v>
      </c>
      <c r="J270" t="e">
        <f>AND('COMPAS CARTAGENA'!#REF!,"AAAAADrntwk=")</f>
        <v>#REF!</v>
      </c>
      <c r="K270" t="e">
        <f>IF('COMPAS CARTAGENA'!#REF!,"AAAAADrntwo=",0)</f>
        <v>#REF!</v>
      </c>
      <c r="L270" t="e">
        <f>AND('COMPAS CARTAGENA'!#REF!,"AAAAADrntws=")</f>
        <v>#REF!</v>
      </c>
      <c r="M270" t="e">
        <f>AND('COMPAS CARTAGENA'!#REF!,"AAAAADrntww=")</f>
        <v>#REF!</v>
      </c>
      <c r="N270" t="e">
        <f>AND('COMPAS CARTAGENA'!#REF!,"AAAAADrntw0=")</f>
        <v>#REF!</v>
      </c>
      <c r="O270" t="e">
        <f>AND('COMPAS CARTAGENA'!#REF!,"AAAAADrntw4=")</f>
        <v>#REF!</v>
      </c>
      <c r="P270" t="e">
        <f>IF('COMPAS CARTAGENA'!#REF!,"AAAAADrntw8=",0)</f>
        <v>#REF!</v>
      </c>
      <c r="Q270" t="e">
        <f>AND('COMPAS CARTAGENA'!#REF!,"AAAAADrntxA=")</f>
        <v>#REF!</v>
      </c>
      <c r="R270" t="e">
        <f>AND('COMPAS CARTAGENA'!#REF!,"AAAAADrntxE=")</f>
        <v>#REF!</v>
      </c>
      <c r="S270" t="e">
        <f>AND('COMPAS CARTAGENA'!#REF!,"AAAAADrntxI=")</f>
        <v>#REF!</v>
      </c>
      <c r="T270" t="e">
        <f>AND('COMPAS CARTAGENA'!#REF!,"AAAAADrntxM=")</f>
        <v>#REF!</v>
      </c>
      <c r="U270" t="e">
        <f>IF('COMPAS CARTAGENA'!#REF!,"AAAAADrntxQ=",0)</f>
        <v>#REF!</v>
      </c>
      <c r="V270" t="e">
        <f>AND('COMPAS CARTAGENA'!#REF!,"AAAAADrntxU=")</f>
        <v>#REF!</v>
      </c>
      <c r="W270" t="e">
        <f>AND('COMPAS CARTAGENA'!#REF!,"AAAAADrntxY=")</f>
        <v>#REF!</v>
      </c>
      <c r="X270" t="e">
        <f>AND('COMPAS CARTAGENA'!#REF!,"AAAAADrntxc=")</f>
        <v>#REF!</v>
      </c>
      <c r="Y270" t="e">
        <f>AND('COMPAS CARTAGENA'!#REF!,"AAAAADrntxg=")</f>
        <v>#REF!</v>
      </c>
      <c r="Z270" t="e">
        <f>IF('COMPAS CARTAGENA'!#REF!,"AAAAADrntxk=",0)</f>
        <v>#REF!</v>
      </c>
      <c r="AA270" t="e">
        <f>AND('COMPAS CARTAGENA'!#REF!,"AAAAADrntxo=")</f>
        <v>#REF!</v>
      </c>
      <c r="AB270" t="e">
        <f>AND('COMPAS CARTAGENA'!#REF!,"AAAAADrntxs=")</f>
        <v>#REF!</v>
      </c>
      <c r="AC270" t="e">
        <f>AND('COMPAS CARTAGENA'!#REF!,"AAAAADrntxw=")</f>
        <v>#REF!</v>
      </c>
      <c r="AD270" t="e">
        <f>AND('COMPAS CARTAGENA'!#REF!,"AAAAADrntx0=")</f>
        <v>#REF!</v>
      </c>
      <c r="AE270" t="e">
        <f>IF('COMPAS CARTAGENA'!#REF!,"AAAAADrntx4=",0)</f>
        <v>#REF!</v>
      </c>
      <c r="AF270" t="e">
        <f>AND('COMPAS CARTAGENA'!#REF!,"AAAAADrntx8=")</f>
        <v>#REF!</v>
      </c>
      <c r="AG270" t="e">
        <f>AND('COMPAS CARTAGENA'!#REF!,"AAAAADrntyA=")</f>
        <v>#REF!</v>
      </c>
      <c r="AH270" t="e">
        <f>AND('COMPAS CARTAGENA'!#REF!,"AAAAADrntyE=")</f>
        <v>#REF!</v>
      </c>
      <c r="AI270" t="e">
        <f>AND('COMPAS CARTAGENA'!#REF!,"AAAAADrntyI=")</f>
        <v>#REF!</v>
      </c>
      <c r="AJ270" t="e">
        <f>IF('COMPAS CARTAGENA'!#REF!,"AAAAADrntyM=",0)</f>
        <v>#REF!</v>
      </c>
      <c r="AK270" t="e">
        <f>AND('COMPAS CARTAGENA'!#REF!,"AAAAADrntyQ=")</f>
        <v>#REF!</v>
      </c>
      <c r="AL270" t="e">
        <f>AND('COMPAS CARTAGENA'!#REF!,"AAAAADrntyU=")</f>
        <v>#REF!</v>
      </c>
      <c r="AM270" t="e">
        <f>AND('COMPAS CARTAGENA'!#REF!,"AAAAADrntyY=")</f>
        <v>#REF!</v>
      </c>
      <c r="AN270" t="e">
        <f>AND('COMPAS CARTAGENA'!#REF!,"AAAAADrntyc=")</f>
        <v>#REF!</v>
      </c>
      <c r="AO270">
        <f>IF('COMPAS CARTAGENA'!59:59,"AAAAADrntyg=",0)</f>
        <v>0</v>
      </c>
      <c r="AP270" t="e">
        <f>AND('COMPAS CARTAGENA'!A59,"AAAAADrntyk=")</f>
        <v>#VALUE!</v>
      </c>
      <c r="AQ270" t="e">
        <f>AND('COMPAS CARTAGENA'!B59,"AAAAADrntyo=")</f>
        <v>#VALUE!</v>
      </c>
      <c r="AR270" t="e">
        <f>AND('COMPAS CARTAGENA'!F59,"AAAAADrntys=")</f>
        <v>#VALUE!</v>
      </c>
      <c r="AS270" t="e">
        <f>AND('COMPAS CARTAGENA'!G59,"AAAAADrntyw=")</f>
        <v>#VALUE!</v>
      </c>
      <c r="AT270">
        <f>IF('COMPAS CARTAGENA'!60:60,"AAAAADrnty0=",0)</f>
        <v>0</v>
      </c>
      <c r="AU270" t="e">
        <f>AND('COMPAS CARTAGENA'!A60,"AAAAADrnty4=")</f>
        <v>#VALUE!</v>
      </c>
      <c r="AV270" t="e">
        <f>AND('COMPAS CARTAGENA'!B60,"AAAAADrnty8=")</f>
        <v>#VALUE!</v>
      </c>
      <c r="AW270" t="e">
        <f>AND('COMPAS CARTAGENA'!F60,"AAAAADrntzA=")</f>
        <v>#VALUE!</v>
      </c>
      <c r="AX270" t="e">
        <f>AND('COMPAS CARTAGENA'!G60,"AAAAADrntzE=")</f>
        <v>#VALUE!</v>
      </c>
      <c r="AY270">
        <f>IF('COMPAS CARTAGENA'!61:61,"AAAAADrntzI=",0)</f>
        <v>0</v>
      </c>
      <c r="AZ270" t="e">
        <f>AND('COMPAS CARTAGENA'!A61,"AAAAADrntzM=")</f>
        <v>#VALUE!</v>
      </c>
      <c r="BA270" t="e">
        <f>AND('COMPAS CARTAGENA'!B61,"AAAAADrntzQ=")</f>
        <v>#VALUE!</v>
      </c>
      <c r="BB270" t="e">
        <f>AND('COMPAS CARTAGENA'!F61,"AAAAADrntzU=")</f>
        <v>#VALUE!</v>
      </c>
      <c r="BC270" t="e">
        <f>AND('COMPAS CARTAGENA'!G61,"AAAAADrntzY=")</f>
        <v>#VALUE!</v>
      </c>
      <c r="BD270">
        <f>IF('COMPAS CARTAGENA'!62:62,"AAAAADrntzc=",0)</f>
        <v>0</v>
      </c>
      <c r="BE270" t="e">
        <f>AND('COMPAS CARTAGENA'!A62,"AAAAADrntzg=")</f>
        <v>#VALUE!</v>
      </c>
      <c r="BF270" t="e">
        <f>AND('COMPAS CARTAGENA'!B62,"AAAAADrntzk=")</f>
        <v>#VALUE!</v>
      </c>
      <c r="BG270" t="e">
        <f>AND('COMPAS CARTAGENA'!F62,"AAAAADrntzo=")</f>
        <v>#VALUE!</v>
      </c>
      <c r="BH270" t="e">
        <f>AND('COMPAS CARTAGENA'!G62,"AAAAADrntzs=")</f>
        <v>#VALUE!</v>
      </c>
      <c r="BI270" t="e">
        <f>IF('COMPAS CARTAGENA'!#REF!,"AAAAADrntzw=",0)</f>
        <v>#REF!</v>
      </c>
      <c r="BJ270" t="e">
        <f>AND('COMPAS CARTAGENA'!#REF!,"AAAAADrntz0=")</f>
        <v>#REF!</v>
      </c>
      <c r="BK270" t="e">
        <f>AND('COMPAS CARTAGENA'!#REF!,"AAAAADrntz4=")</f>
        <v>#REF!</v>
      </c>
      <c r="BL270" t="e">
        <f>AND('COMPAS CARTAGENA'!#REF!,"AAAAADrntz8=")</f>
        <v>#REF!</v>
      </c>
      <c r="BM270" t="e">
        <f>AND('COMPAS CARTAGENA'!#REF!,"AAAAADrnt0A=")</f>
        <v>#REF!</v>
      </c>
      <c r="BN270" t="e">
        <f>IF('COMPAS CARTAGENA'!#REF!,"AAAAADrnt0E=",0)</f>
        <v>#REF!</v>
      </c>
      <c r="BO270" t="e">
        <f>AND('COMPAS CARTAGENA'!#REF!,"AAAAADrnt0I=")</f>
        <v>#REF!</v>
      </c>
      <c r="BP270" t="e">
        <f>AND('COMPAS CARTAGENA'!#REF!,"AAAAADrnt0M=")</f>
        <v>#REF!</v>
      </c>
      <c r="BQ270" t="e">
        <f>AND('COMPAS CARTAGENA'!#REF!,"AAAAADrnt0Q=")</f>
        <v>#REF!</v>
      </c>
      <c r="BR270" t="e">
        <f>AND('COMPAS CARTAGENA'!#REF!,"AAAAADrnt0U=")</f>
        <v>#REF!</v>
      </c>
      <c r="BS270" t="e">
        <f>IF('COMPAS CARTAGENA'!#REF!,"AAAAADrnt0Y=",0)</f>
        <v>#REF!</v>
      </c>
      <c r="BT270" t="e">
        <f>AND('COMPAS CARTAGENA'!#REF!,"AAAAADrnt0c=")</f>
        <v>#REF!</v>
      </c>
      <c r="BU270" t="e">
        <f>AND('COMPAS CARTAGENA'!#REF!,"AAAAADrnt0g=")</f>
        <v>#REF!</v>
      </c>
      <c r="BV270" t="e">
        <f>AND('COMPAS CARTAGENA'!#REF!,"AAAAADrnt0k=")</f>
        <v>#REF!</v>
      </c>
      <c r="BW270" t="e">
        <f>AND('COMPAS CARTAGENA'!#REF!,"AAAAADrnt0o=")</f>
        <v>#REF!</v>
      </c>
      <c r="BX270" t="e">
        <f>IF('COMPAS CARTAGENA'!#REF!,"AAAAADrnt0s=",0)</f>
        <v>#REF!</v>
      </c>
      <c r="BY270" t="e">
        <f>AND('COMPAS CARTAGENA'!#REF!,"AAAAADrnt0w=")</f>
        <v>#REF!</v>
      </c>
      <c r="BZ270" t="e">
        <f>AND('COMPAS CARTAGENA'!#REF!,"AAAAADrnt00=")</f>
        <v>#REF!</v>
      </c>
      <c r="CA270" t="e">
        <f>AND('COMPAS CARTAGENA'!#REF!,"AAAAADrnt04=")</f>
        <v>#REF!</v>
      </c>
      <c r="CB270" t="e">
        <f>AND('COMPAS CARTAGENA'!#REF!,"AAAAADrnt08=")</f>
        <v>#REF!</v>
      </c>
      <c r="CC270" t="e">
        <f>IF('COMPAS CARTAGENA'!#REF!,"AAAAADrnt1A=",0)</f>
        <v>#REF!</v>
      </c>
      <c r="CD270" t="e">
        <f>AND('COMPAS CARTAGENA'!#REF!,"AAAAADrnt1E=")</f>
        <v>#REF!</v>
      </c>
      <c r="CE270" t="e">
        <f>AND('COMPAS CARTAGENA'!#REF!,"AAAAADrnt1I=")</f>
        <v>#REF!</v>
      </c>
      <c r="CF270" t="e">
        <f>AND('COMPAS CARTAGENA'!#REF!,"AAAAADrnt1M=")</f>
        <v>#REF!</v>
      </c>
      <c r="CG270" t="e">
        <f>AND('COMPAS CARTAGENA'!#REF!,"AAAAADrnt1Q=")</f>
        <v>#REF!</v>
      </c>
      <c r="CH270" t="e">
        <f>IF('COMPAS CARTAGENA'!#REF!,"AAAAADrnt1U=",0)</f>
        <v>#REF!</v>
      </c>
      <c r="CI270" t="e">
        <f>AND('COMPAS CARTAGENA'!#REF!,"AAAAADrnt1Y=")</f>
        <v>#REF!</v>
      </c>
      <c r="CJ270" t="e">
        <f>AND('COMPAS CARTAGENA'!#REF!,"AAAAADrnt1c=")</f>
        <v>#REF!</v>
      </c>
      <c r="CK270" t="e">
        <f>AND('COMPAS CARTAGENA'!#REF!,"AAAAADrnt1g=")</f>
        <v>#REF!</v>
      </c>
      <c r="CL270" t="e">
        <f>AND('COMPAS CARTAGENA'!#REF!,"AAAAADrnt1k=")</f>
        <v>#REF!</v>
      </c>
      <c r="CM270" t="e">
        <f>IF('COMPAS CARTAGENA'!#REF!,"AAAAADrnt1o=",0)</f>
        <v>#REF!</v>
      </c>
      <c r="CN270" t="e">
        <f>AND('COMPAS CARTAGENA'!#REF!,"AAAAADrnt1s=")</f>
        <v>#REF!</v>
      </c>
      <c r="CO270" t="e">
        <f>AND('COMPAS CARTAGENA'!#REF!,"AAAAADrnt1w=")</f>
        <v>#REF!</v>
      </c>
      <c r="CP270" t="e">
        <f>AND('COMPAS CARTAGENA'!#REF!,"AAAAADrnt10=")</f>
        <v>#REF!</v>
      </c>
      <c r="CQ270" t="e">
        <f>AND('COMPAS CARTAGENA'!#REF!,"AAAAADrnt14=")</f>
        <v>#REF!</v>
      </c>
      <c r="CR270" t="e">
        <f>IF('COMPAS CARTAGENA'!#REF!,"AAAAADrnt18=",0)</f>
        <v>#REF!</v>
      </c>
      <c r="CS270" t="e">
        <f>AND('COMPAS CARTAGENA'!#REF!,"AAAAADrnt2A=")</f>
        <v>#REF!</v>
      </c>
      <c r="CT270" t="e">
        <f>AND('COMPAS CARTAGENA'!#REF!,"AAAAADrnt2E=")</f>
        <v>#REF!</v>
      </c>
      <c r="CU270" t="e">
        <f>AND('COMPAS CARTAGENA'!#REF!,"AAAAADrnt2I=")</f>
        <v>#REF!</v>
      </c>
      <c r="CV270" t="e">
        <f>AND('COMPAS CARTAGENA'!#REF!,"AAAAADrnt2M=")</f>
        <v>#REF!</v>
      </c>
      <c r="CW270" t="e">
        <f>IF('COMPAS CARTAGENA'!#REF!,"AAAAADrnt2Q=",0)</f>
        <v>#REF!</v>
      </c>
      <c r="CX270" t="e">
        <f>AND('COMPAS CARTAGENA'!#REF!,"AAAAADrnt2U=")</f>
        <v>#REF!</v>
      </c>
      <c r="CY270" t="e">
        <f>AND('COMPAS CARTAGENA'!#REF!,"AAAAADrnt2Y=")</f>
        <v>#REF!</v>
      </c>
      <c r="CZ270" t="e">
        <f>AND('COMPAS CARTAGENA'!#REF!,"AAAAADrnt2c=")</f>
        <v>#REF!</v>
      </c>
      <c r="DA270" t="e">
        <f>AND('COMPAS CARTAGENA'!#REF!,"AAAAADrnt2g=")</f>
        <v>#REF!</v>
      </c>
      <c r="DB270" t="e">
        <f>IF('COMPAS CARTAGENA'!#REF!,"AAAAADrnt2k=",0)</f>
        <v>#REF!</v>
      </c>
      <c r="DC270" t="e">
        <f>AND('COMPAS CARTAGENA'!#REF!,"AAAAADrnt2o=")</f>
        <v>#REF!</v>
      </c>
      <c r="DD270" t="e">
        <f>AND('COMPAS CARTAGENA'!#REF!,"AAAAADrnt2s=")</f>
        <v>#REF!</v>
      </c>
      <c r="DE270" t="e">
        <f>AND('COMPAS CARTAGENA'!#REF!,"AAAAADrnt2w=")</f>
        <v>#REF!</v>
      </c>
      <c r="DF270" t="e">
        <f>AND('COMPAS CARTAGENA'!#REF!,"AAAAADrnt20=")</f>
        <v>#REF!</v>
      </c>
      <c r="DG270" t="e">
        <f>IF('COMPAS CARTAGENA'!#REF!,"AAAAADrnt24=",0)</f>
        <v>#REF!</v>
      </c>
      <c r="DH270" t="e">
        <f>AND('COMPAS CARTAGENA'!#REF!,"AAAAADrnt28=")</f>
        <v>#REF!</v>
      </c>
      <c r="DI270" t="e">
        <f>AND('COMPAS CARTAGENA'!#REF!,"AAAAADrnt3A=")</f>
        <v>#REF!</v>
      </c>
      <c r="DJ270" t="e">
        <f>AND('COMPAS CARTAGENA'!#REF!,"AAAAADrnt3E=")</f>
        <v>#REF!</v>
      </c>
      <c r="DK270" t="e">
        <f>AND('COMPAS CARTAGENA'!#REF!,"AAAAADrnt3I=")</f>
        <v>#REF!</v>
      </c>
      <c r="DL270" t="e">
        <f>IF('COMPAS CARTAGENA'!#REF!,"AAAAADrnt3M=",0)</f>
        <v>#REF!</v>
      </c>
      <c r="DM270" t="e">
        <f>AND('COMPAS CARTAGENA'!#REF!,"AAAAADrnt3Q=")</f>
        <v>#REF!</v>
      </c>
      <c r="DN270" t="e">
        <f>AND('COMPAS CARTAGENA'!#REF!,"AAAAADrnt3U=")</f>
        <v>#REF!</v>
      </c>
      <c r="DO270" t="e">
        <f>AND('COMPAS CARTAGENA'!#REF!,"AAAAADrnt3Y=")</f>
        <v>#REF!</v>
      </c>
      <c r="DP270" t="e">
        <f>AND('COMPAS CARTAGENA'!#REF!,"AAAAADrnt3c=")</f>
        <v>#REF!</v>
      </c>
      <c r="DQ270" t="e">
        <f>IF('COMPAS CARTAGENA'!#REF!,"AAAAADrnt3g=",0)</f>
        <v>#REF!</v>
      </c>
      <c r="DR270" t="e">
        <f>AND('COMPAS CARTAGENA'!#REF!,"AAAAADrnt3k=")</f>
        <v>#REF!</v>
      </c>
      <c r="DS270" t="e">
        <f>AND('COMPAS CARTAGENA'!#REF!,"AAAAADrnt3o=")</f>
        <v>#REF!</v>
      </c>
      <c r="DT270" t="e">
        <f>AND('COMPAS CARTAGENA'!#REF!,"AAAAADrnt3s=")</f>
        <v>#REF!</v>
      </c>
      <c r="DU270" t="e">
        <f>AND('COMPAS CARTAGENA'!#REF!,"AAAAADrnt3w=")</f>
        <v>#REF!</v>
      </c>
      <c r="DV270" t="e">
        <f>IF('COMPAS CARTAGENA'!#REF!,"AAAAADrnt30=",0)</f>
        <v>#REF!</v>
      </c>
      <c r="DW270" t="e">
        <f>AND('COMPAS CARTAGENA'!#REF!,"AAAAADrnt34=")</f>
        <v>#REF!</v>
      </c>
      <c r="DX270" t="e">
        <f>AND('COMPAS CARTAGENA'!#REF!,"AAAAADrnt38=")</f>
        <v>#REF!</v>
      </c>
      <c r="DY270" t="e">
        <f>AND('COMPAS CARTAGENA'!#REF!,"AAAAADrnt4A=")</f>
        <v>#REF!</v>
      </c>
      <c r="DZ270" t="e">
        <f>AND('COMPAS CARTAGENA'!#REF!,"AAAAADrnt4E=")</f>
        <v>#REF!</v>
      </c>
      <c r="EA270" t="e">
        <f>IF('COMPAS CARTAGENA'!#REF!,"AAAAADrnt4I=",0)</f>
        <v>#REF!</v>
      </c>
      <c r="EB270" t="e">
        <f>AND('COMPAS CARTAGENA'!#REF!,"AAAAADrnt4M=")</f>
        <v>#REF!</v>
      </c>
      <c r="EC270" t="e">
        <f>AND('COMPAS CARTAGENA'!#REF!,"AAAAADrnt4Q=")</f>
        <v>#REF!</v>
      </c>
      <c r="ED270" t="e">
        <f>AND('COMPAS CARTAGENA'!#REF!,"AAAAADrnt4U=")</f>
        <v>#REF!</v>
      </c>
      <c r="EE270" t="e">
        <f>AND('COMPAS CARTAGENA'!#REF!,"AAAAADrnt4Y=")</f>
        <v>#REF!</v>
      </c>
      <c r="EF270" t="e">
        <f>IF('COMPAS CARTAGENA'!#REF!,"AAAAADrnt4c=",0)</f>
        <v>#REF!</v>
      </c>
      <c r="EG270" t="e">
        <f>AND('COMPAS CARTAGENA'!#REF!,"AAAAADrnt4g=")</f>
        <v>#REF!</v>
      </c>
      <c r="EH270" t="e">
        <f>AND('COMPAS CARTAGENA'!#REF!,"AAAAADrnt4k=")</f>
        <v>#REF!</v>
      </c>
      <c r="EI270" t="e">
        <f>AND('COMPAS CARTAGENA'!#REF!,"AAAAADrnt4o=")</f>
        <v>#REF!</v>
      </c>
      <c r="EJ270" t="e">
        <f>AND('COMPAS CARTAGENA'!#REF!,"AAAAADrnt4s=")</f>
        <v>#REF!</v>
      </c>
      <c r="EK270" t="e">
        <f>IF('COMPAS CARTAGENA'!#REF!,"AAAAADrnt4w=",0)</f>
        <v>#REF!</v>
      </c>
      <c r="EL270" t="e">
        <f>AND('COMPAS CARTAGENA'!#REF!,"AAAAADrnt40=")</f>
        <v>#REF!</v>
      </c>
      <c r="EM270" t="e">
        <f>AND('COMPAS CARTAGENA'!#REF!,"AAAAADrnt44=")</f>
        <v>#REF!</v>
      </c>
      <c r="EN270" t="e">
        <f>AND('COMPAS CARTAGENA'!#REF!,"AAAAADrnt48=")</f>
        <v>#REF!</v>
      </c>
      <c r="EO270" t="e">
        <f>AND('COMPAS CARTAGENA'!#REF!,"AAAAADrnt5A=")</f>
        <v>#REF!</v>
      </c>
      <c r="EP270">
        <f>IF('COMPAS CARTAGENA'!63:63,"AAAAADrnt5E=",0)</f>
        <v>0</v>
      </c>
      <c r="EQ270" t="e">
        <f>AND('COMPAS CARTAGENA'!A63,"AAAAADrnt5I=")</f>
        <v>#VALUE!</v>
      </c>
      <c r="ER270" t="e">
        <f>AND('COMPAS CARTAGENA'!B63,"AAAAADrnt5M=")</f>
        <v>#VALUE!</v>
      </c>
      <c r="ES270" t="e">
        <f>AND('COMPAS CARTAGENA'!D63,"AAAAADrnt5Q=")</f>
        <v>#VALUE!</v>
      </c>
      <c r="ET270" t="e">
        <f>AND('COMPAS CARTAGENA'!E63,"AAAAADrnt5U=")</f>
        <v>#VALUE!</v>
      </c>
      <c r="EU270">
        <f>IF('COMPAS CARTAGENA'!64:64,"AAAAADrnt5Y=",0)</f>
        <v>0</v>
      </c>
      <c r="EV270" t="e">
        <f>AND('COMPAS CARTAGENA'!A64,"AAAAADrnt5c=")</f>
        <v>#VALUE!</v>
      </c>
      <c r="EW270" t="e">
        <f>AND('COMPAS CARTAGENA'!B64,"AAAAADrnt5g=")</f>
        <v>#VALUE!</v>
      </c>
      <c r="EX270" t="e">
        <f>AND('COMPAS CARTAGENA'!D64,"AAAAADrnt5k=")</f>
        <v>#VALUE!</v>
      </c>
      <c r="EY270" t="e">
        <f>AND('COMPAS CARTAGENA'!E64,"AAAAADrnt5o=")</f>
        <v>#VALUE!</v>
      </c>
      <c r="EZ270">
        <f>IF('COMPAS CARTAGENA'!65:65,"AAAAADrnt5s=",0)</f>
        <v>0</v>
      </c>
      <c r="FA270" t="e">
        <f>AND('COMPAS CARTAGENA'!A65,"AAAAADrnt5w=")</f>
        <v>#VALUE!</v>
      </c>
      <c r="FB270" t="e">
        <f>AND('COMPAS CARTAGENA'!B65,"AAAAADrnt50=")</f>
        <v>#VALUE!</v>
      </c>
      <c r="FC270" t="e">
        <f>AND('COMPAS CARTAGENA'!D65,"AAAAADrnt54=")</f>
        <v>#VALUE!</v>
      </c>
      <c r="FD270" t="e">
        <f>AND('COMPAS CARTAGENA'!E65,"AAAAADrnt58=")</f>
        <v>#VALUE!</v>
      </c>
      <c r="FE270">
        <f>IF('COMPAS CARTAGENA'!66:66,"AAAAADrnt6A=",0)</f>
        <v>0</v>
      </c>
      <c r="FF270" t="e">
        <f>AND('COMPAS CARTAGENA'!A66,"AAAAADrnt6E=")</f>
        <v>#VALUE!</v>
      </c>
      <c r="FG270" t="e">
        <f>AND('COMPAS CARTAGENA'!B66,"AAAAADrnt6I=")</f>
        <v>#VALUE!</v>
      </c>
      <c r="FH270" t="e">
        <f>AND('COMPAS CARTAGENA'!D66,"AAAAADrnt6M=")</f>
        <v>#VALUE!</v>
      </c>
      <c r="FI270" t="e">
        <f>AND('COMPAS CARTAGENA'!E66,"AAAAADrnt6Q=")</f>
        <v>#VALUE!</v>
      </c>
      <c r="FJ270">
        <f>IF('COMPAS CARTAGENA'!67:67,"AAAAADrnt6U=",0)</f>
        <v>0</v>
      </c>
      <c r="FK270" t="e">
        <f>AND('COMPAS CARTAGENA'!A67,"AAAAADrnt6Y=")</f>
        <v>#VALUE!</v>
      </c>
      <c r="FL270" t="e">
        <f>AND('COMPAS CARTAGENA'!B67,"AAAAADrnt6c=")</f>
        <v>#VALUE!</v>
      </c>
      <c r="FM270" t="e">
        <f>AND('COMPAS CARTAGENA'!D67,"AAAAADrnt6g=")</f>
        <v>#VALUE!</v>
      </c>
      <c r="FN270" t="e">
        <f>AND('COMPAS CARTAGENA'!E67,"AAAAADrnt6k=")</f>
        <v>#VALUE!</v>
      </c>
      <c r="FO270">
        <f>IF('COMPAS CARTAGENA'!68:68,"AAAAADrnt6o=",0)</f>
        <v>0</v>
      </c>
      <c r="FP270" t="e">
        <f>AND('COMPAS CARTAGENA'!A68,"AAAAADrnt6s=")</f>
        <v>#VALUE!</v>
      </c>
      <c r="FQ270" t="e">
        <f>AND('COMPAS CARTAGENA'!B68,"AAAAADrnt6w=")</f>
        <v>#VALUE!</v>
      </c>
      <c r="FR270" t="e">
        <f>AND('COMPAS CARTAGENA'!D68,"AAAAADrnt60=")</f>
        <v>#VALUE!</v>
      </c>
      <c r="FS270" t="e">
        <f>AND('COMPAS CARTAGENA'!E68,"AAAAADrnt64=")</f>
        <v>#VALUE!</v>
      </c>
      <c r="FT270" t="e">
        <f>IF('COMPAS CARTAGENA'!#REF!,"AAAAADrnt68=",0)</f>
        <v>#REF!</v>
      </c>
      <c r="FU270" t="e">
        <f>AND('COMPAS CARTAGENA'!#REF!,"AAAAADrnt7A=")</f>
        <v>#REF!</v>
      </c>
      <c r="FV270" t="e">
        <f>AND('COMPAS CARTAGENA'!#REF!,"AAAAADrnt7E=")</f>
        <v>#REF!</v>
      </c>
      <c r="FW270" t="e">
        <f>AND('COMPAS CARTAGENA'!#REF!,"AAAAADrnt7I=")</f>
        <v>#REF!</v>
      </c>
      <c r="FX270" t="e">
        <f>AND('COMPAS CARTAGENA'!#REF!,"AAAAADrnt7M=")</f>
        <v>#REF!</v>
      </c>
      <c r="FY270" t="e">
        <f>IF('COMPAS CARTAGENA'!#REF!,"AAAAADrnt7Q=",0)</f>
        <v>#REF!</v>
      </c>
      <c r="FZ270" t="e">
        <f>AND('COMPAS CARTAGENA'!#REF!,"AAAAADrnt7U=")</f>
        <v>#REF!</v>
      </c>
      <c r="GA270" t="e">
        <f>AND('COMPAS CARTAGENA'!#REF!,"AAAAADrnt7Y=")</f>
        <v>#REF!</v>
      </c>
      <c r="GB270" t="e">
        <f>AND('COMPAS CARTAGENA'!#REF!,"AAAAADrnt7c=")</f>
        <v>#REF!</v>
      </c>
      <c r="GC270" t="e">
        <f>AND('COMPAS CARTAGENA'!#REF!,"AAAAADrnt7g=")</f>
        <v>#REF!</v>
      </c>
      <c r="GD270">
        <f>IF('COMPAS CARTAGENA'!69:69,"AAAAADrnt7k=",0)</f>
        <v>0</v>
      </c>
      <c r="GE270" t="e">
        <f>AND('COMPAS CARTAGENA'!A69,"AAAAADrnt7o=")</f>
        <v>#VALUE!</v>
      </c>
      <c r="GF270" t="e">
        <f>AND('COMPAS CARTAGENA'!B69,"AAAAADrnt7s=")</f>
        <v>#VALUE!</v>
      </c>
      <c r="GG270" t="e">
        <f>AND('COMPAS CARTAGENA'!D69,"AAAAADrnt7w=")</f>
        <v>#VALUE!</v>
      </c>
      <c r="GH270" t="e">
        <f>AND('COMPAS CARTAGENA'!E69,"AAAAADrnt70=")</f>
        <v>#VALUE!</v>
      </c>
      <c r="GI270">
        <f>IF('COMPAS CARTAGENA'!70:70,"AAAAADrnt74=",0)</f>
        <v>0</v>
      </c>
      <c r="GJ270" t="e">
        <f>AND('COMPAS CARTAGENA'!A70,"AAAAADrnt78=")</f>
        <v>#VALUE!</v>
      </c>
      <c r="GK270" t="e">
        <f>AND('COMPAS CARTAGENA'!B70,"AAAAADrnt8A=")</f>
        <v>#VALUE!</v>
      </c>
      <c r="GL270" t="e">
        <f>AND('COMPAS CARTAGENA'!D70,"AAAAADrnt8E=")</f>
        <v>#VALUE!</v>
      </c>
      <c r="GM270" t="e">
        <f>AND('COMPAS CARTAGENA'!E70,"AAAAADrnt8I=")</f>
        <v>#VALUE!</v>
      </c>
      <c r="GN270">
        <f>IF('COMPAS CARTAGENA'!71:71,"AAAAADrnt8M=",0)</f>
        <v>0</v>
      </c>
      <c r="GO270" t="e">
        <f>AND('COMPAS CARTAGENA'!A71,"AAAAADrnt8Q=")</f>
        <v>#VALUE!</v>
      </c>
      <c r="GP270" t="e">
        <f>AND('COMPAS CARTAGENA'!B71,"AAAAADrnt8U=")</f>
        <v>#VALUE!</v>
      </c>
      <c r="GQ270" t="e">
        <f>AND('COMPAS CARTAGENA'!D71,"AAAAADrnt8Y=")</f>
        <v>#VALUE!</v>
      </c>
      <c r="GR270" t="e">
        <f>AND('COMPAS CARTAGENA'!E71,"AAAAADrnt8c=")</f>
        <v>#VALUE!</v>
      </c>
      <c r="GS270">
        <f>IF('COMPAS CARTAGENA'!72:72,"AAAAADrnt8g=",0)</f>
        <v>0</v>
      </c>
      <c r="GT270" t="e">
        <f>AND('COMPAS CARTAGENA'!A72,"AAAAADrnt8k=")</f>
        <v>#VALUE!</v>
      </c>
      <c r="GU270" t="e">
        <f>AND('COMPAS CARTAGENA'!B72,"AAAAADrnt8o=")</f>
        <v>#VALUE!</v>
      </c>
      <c r="GV270" t="e">
        <f>AND('COMPAS CARTAGENA'!D72,"AAAAADrnt8s=")</f>
        <v>#VALUE!</v>
      </c>
      <c r="GW270" t="e">
        <f>AND('COMPAS CARTAGENA'!E72,"AAAAADrnt8w=")</f>
        <v>#VALUE!</v>
      </c>
      <c r="GX270" t="e">
        <f>IF('COMPAS CARTAGENA'!#REF!,"AAAAADrnt80=",0)</f>
        <v>#REF!</v>
      </c>
      <c r="GY270" t="e">
        <f>AND('COMPAS CARTAGENA'!#REF!,"AAAAADrnt84=")</f>
        <v>#REF!</v>
      </c>
      <c r="GZ270" t="e">
        <f>AND('COMPAS CARTAGENA'!#REF!,"AAAAADrnt88=")</f>
        <v>#REF!</v>
      </c>
      <c r="HA270" t="e">
        <f>AND('COMPAS CARTAGENA'!#REF!,"AAAAADrnt9A=")</f>
        <v>#REF!</v>
      </c>
      <c r="HB270" t="e">
        <f>AND('COMPAS CARTAGENA'!#REF!,"AAAAADrnt9E=")</f>
        <v>#REF!</v>
      </c>
      <c r="HC270">
        <f>IF('COMPAS CARTAGENA'!73:73,"AAAAADrnt9I=",0)</f>
        <v>0</v>
      </c>
      <c r="HD270" t="e">
        <f>AND('COMPAS CARTAGENA'!A73,"AAAAADrnt9M=")</f>
        <v>#VALUE!</v>
      </c>
      <c r="HE270" t="e">
        <f>AND('COMPAS CARTAGENA'!B73,"AAAAADrnt9Q=")</f>
        <v>#VALUE!</v>
      </c>
      <c r="HF270" t="e">
        <f>AND('COMPAS CARTAGENA'!D73,"AAAAADrnt9U=")</f>
        <v>#VALUE!</v>
      </c>
      <c r="HG270" t="e">
        <f>AND('COMPAS CARTAGENA'!E73,"AAAAADrnt9Y=")</f>
        <v>#VALUE!</v>
      </c>
      <c r="HH270">
        <f>IF('COMPAS CARTAGENA'!74:74,"AAAAADrnt9c=",0)</f>
        <v>0</v>
      </c>
      <c r="HI270" t="e">
        <f>AND('COMPAS CARTAGENA'!A74,"AAAAADrnt9g=")</f>
        <v>#VALUE!</v>
      </c>
      <c r="HJ270" t="e">
        <f>AND('COMPAS CARTAGENA'!B74,"AAAAADrnt9k=")</f>
        <v>#VALUE!</v>
      </c>
      <c r="HK270" t="e">
        <f>AND('COMPAS CARTAGENA'!D74,"AAAAADrnt9o=")</f>
        <v>#VALUE!</v>
      </c>
      <c r="HL270" t="e">
        <f>AND('COMPAS CARTAGENA'!E74,"AAAAADrnt9s=")</f>
        <v>#VALUE!</v>
      </c>
      <c r="HM270">
        <f>IF('COMPAS CARTAGENA'!75:75,"AAAAADrnt9w=",0)</f>
        <v>0</v>
      </c>
      <c r="HN270" t="e">
        <f>AND('COMPAS CARTAGENA'!A75,"AAAAADrnt90=")</f>
        <v>#VALUE!</v>
      </c>
      <c r="HO270" t="e">
        <f>AND('COMPAS CARTAGENA'!B75,"AAAAADrnt94=")</f>
        <v>#VALUE!</v>
      </c>
      <c r="HP270" t="e">
        <f>AND('COMPAS CARTAGENA'!D75,"AAAAADrnt98=")</f>
        <v>#VALUE!</v>
      </c>
      <c r="HQ270" t="e">
        <f>AND('COMPAS CARTAGENA'!E75,"AAAAADrnt+A=")</f>
        <v>#VALUE!</v>
      </c>
      <c r="HR270">
        <f>IF('COMPAS CARTAGENA'!76:76,"AAAAADrnt+E=",0)</f>
        <v>0</v>
      </c>
      <c r="HS270" t="e">
        <f>AND('COMPAS CARTAGENA'!A76,"AAAAADrnt+I=")</f>
        <v>#VALUE!</v>
      </c>
      <c r="HT270" t="e">
        <f>AND('COMPAS CARTAGENA'!B76,"AAAAADrnt+M=")</f>
        <v>#VALUE!</v>
      </c>
      <c r="HU270" t="e">
        <f>AND('COMPAS CARTAGENA'!D76,"AAAAADrnt+Q=")</f>
        <v>#VALUE!</v>
      </c>
      <c r="HV270" t="e">
        <f>AND('COMPAS CARTAGENA'!E76,"AAAAADrnt+U=")</f>
        <v>#VALUE!</v>
      </c>
      <c r="HW270">
        <f>IF('COMPAS CARTAGENA'!A:A,"AAAAADrnt+Y=",0)</f>
        <v>0</v>
      </c>
      <c r="HX270">
        <f>IF('COMPAS CARTAGENA'!B:B,"AAAAADrnt+c=",0)</f>
        <v>0</v>
      </c>
      <c r="HY270">
        <f>IF('COMPAS CARTAGENA'!D:D,"AAAAADrnt+g=",0)</f>
        <v>0</v>
      </c>
      <c r="HZ270">
        <f>IF('COMPAS CARTAGENA'!E:E,"AAAAADrnt+k=",0)</f>
        <v>0</v>
      </c>
      <c r="IA270" t="e">
        <f>IF(PENSOPORT!#REF!,"AAAAADrnt+o=",0)</f>
        <v>#REF!</v>
      </c>
      <c r="IB270" t="e">
        <f>AND(PENSOPORT!#REF!,"AAAAADrnt+s=")</f>
        <v>#REF!</v>
      </c>
      <c r="IC270" t="e">
        <f>AND(PENSOPORT!#REF!,"AAAAADrnt+w=")</f>
        <v>#REF!</v>
      </c>
      <c r="ID270" t="e">
        <f>AND(PENSOPORT!#REF!,"AAAAADrnt+0=")</f>
        <v>#REF!</v>
      </c>
      <c r="IE270" t="e">
        <f>AND(PENSOPORT!#REF!,"AAAAADrnt+4=")</f>
        <v>#REF!</v>
      </c>
      <c r="IF270" t="e">
        <f>AND(PENSOPORT!#REF!,"AAAAADrnt+8=")</f>
        <v>#REF!</v>
      </c>
      <c r="IG270" t="e">
        <f>AND(PENSOPORT!#REF!,"AAAAADrnt/A=")</f>
        <v>#REF!</v>
      </c>
      <c r="IH270" t="e">
        <f>IF(PENSOPORT!#REF!,"AAAAADrnt/E=",0)</f>
        <v>#REF!</v>
      </c>
      <c r="II270" t="e">
        <f>AND(PENSOPORT!#REF!,"AAAAADrnt/I=")</f>
        <v>#REF!</v>
      </c>
      <c r="IJ270" t="e">
        <f>AND(PENSOPORT!#REF!,"AAAAADrnt/M=")</f>
        <v>#REF!</v>
      </c>
      <c r="IK270" t="e">
        <f>AND(PENSOPORT!#REF!,"AAAAADrnt/Q=")</f>
        <v>#REF!</v>
      </c>
      <c r="IL270" t="e">
        <f>AND(PENSOPORT!#REF!,"AAAAADrnt/U=")</f>
        <v>#REF!</v>
      </c>
      <c r="IM270" t="e">
        <f>AND(PENSOPORT!#REF!,"AAAAADrnt/Y=")</f>
        <v>#REF!</v>
      </c>
      <c r="IN270" t="e">
        <f>AND(PENSOPORT!#REF!,"AAAAADrnt/c=")</f>
        <v>#REF!</v>
      </c>
      <c r="IO270">
        <f>IF(PENSOPORT!1:1,"AAAAADrnt/g=",0)</f>
        <v>0</v>
      </c>
      <c r="IP270" t="e">
        <f>AND(PENSOPORT!#REF!,"AAAAADrnt/k=")</f>
        <v>#REF!</v>
      </c>
      <c r="IQ270" t="e">
        <f>AND(PENSOPORT!A1,"AAAAADrnt/o=")</f>
        <v>#VALUE!</v>
      </c>
      <c r="IR270" t="e">
        <f>AND(PENSOPORT!C1,"AAAAADrnt/s=")</f>
        <v>#VALUE!</v>
      </c>
      <c r="IS270" t="e">
        <f>AND(PENSOPORT!D1,"AAAAADrnt/w=")</f>
        <v>#VALUE!</v>
      </c>
      <c r="IT270" t="e">
        <f>AND(PENSOPORT!E1,"AAAAADrnt/0=")</f>
        <v>#VALUE!</v>
      </c>
      <c r="IU270" t="e">
        <f>AND(PENSOPORT!F1,"AAAAADrnt/4=")</f>
        <v>#VALUE!</v>
      </c>
      <c r="IV270">
        <f>IF(PENSOPORT!2:2,"AAAAADrnt/8=",0)</f>
        <v>0</v>
      </c>
    </row>
    <row r="271" spans="1:256">
      <c r="A271" t="e">
        <f>AND(PENSOPORT!#REF!,"AAAAAF/zXwA=")</f>
        <v>#REF!</v>
      </c>
      <c r="B271" t="e">
        <f>AND(PENSOPORT!B2,"AAAAAF/zXwE=")</f>
        <v>#VALUE!</v>
      </c>
      <c r="C271" t="e">
        <f>AND(PENSOPORT!A2,"AAAAAF/zXwI=")</f>
        <v>#VALUE!</v>
      </c>
      <c r="D271" t="e">
        <f>AND(PENSOPORT!D2,"AAAAAF/zXwM=")</f>
        <v>#VALUE!</v>
      </c>
      <c r="E271" t="e">
        <f>AND(PENSOPORT!E2,"AAAAAF/zXwQ=")</f>
        <v>#VALUE!</v>
      </c>
      <c r="F271" t="e">
        <f>AND(PENSOPORT!F2,"AAAAAF/zXwU=")</f>
        <v>#VALUE!</v>
      </c>
      <c r="G271" t="e">
        <f>IF(PENSOPORT!#REF!,"AAAAAF/zXwY=",0)</f>
        <v>#REF!</v>
      </c>
      <c r="H271" t="e">
        <f>AND(PENSOPORT!#REF!,"AAAAAF/zXwc=")</f>
        <v>#REF!</v>
      </c>
      <c r="I271" t="e">
        <f>AND(PENSOPORT!#REF!,"AAAAAF/zXwg=")</f>
        <v>#REF!</v>
      </c>
      <c r="J271" t="e">
        <f>AND(PENSOPORT!#REF!,"AAAAAF/zXwk=")</f>
        <v>#REF!</v>
      </c>
      <c r="K271" t="e">
        <f>AND(PENSOPORT!#REF!,"AAAAAF/zXwo=")</f>
        <v>#REF!</v>
      </c>
      <c r="L271" t="e">
        <f>AND(PENSOPORT!#REF!,"AAAAAF/zXws=")</f>
        <v>#REF!</v>
      </c>
      <c r="M271" t="e">
        <f>AND(PENSOPORT!#REF!,"AAAAAF/zXww=")</f>
        <v>#REF!</v>
      </c>
      <c r="N271" t="e">
        <f>IF(PENSOPORT!#REF!,"AAAAAF/zXw0=",0)</f>
        <v>#REF!</v>
      </c>
      <c r="O271" t="e">
        <f>AND(PENSOPORT!#REF!,"AAAAAF/zXw4=")</f>
        <v>#REF!</v>
      </c>
      <c r="P271" t="e">
        <f>AND(PENSOPORT!#REF!,"AAAAAF/zXw8=")</f>
        <v>#REF!</v>
      </c>
      <c r="Q271" t="e">
        <f>AND(PENSOPORT!#REF!,"AAAAAF/zXxA=")</f>
        <v>#REF!</v>
      </c>
      <c r="R271" t="e">
        <f>AND(PENSOPORT!#REF!,"AAAAAF/zXxE=")</f>
        <v>#REF!</v>
      </c>
      <c r="S271" t="e">
        <f>AND(PENSOPORT!#REF!,"AAAAAF/zXxI=")</f>
        <v>#REF!</v>
      </c>
      <c r="T271" t="e">
        <f>AND(PENSOPORT!#REF!,"AAAAAF/zXxM=")</f>
        <v>#REF!</v>
      </c>
      <c r="U271">
        <f>IF(PENSOPORT!3:3,"AAAAAF/zXxQ=",0)</f>
        <v>0</v>
      </c>
      <c r="V271" t="e">
        <f>AND(PENSOPORT!A3,"AAAAAF/zXxU=")</f>
        <v>#VALUE!</v>
      </c>
      <c r="W271" t="e">
        <f>AND(PENSOPORT!B3,"AAAAAF/zXxY=")</f>
        <v>#VALUE!</v>
      </c>
      <c r="X271" t="e">
        <f>AND(PENSOPORT!C3,"AAAAAF/zXxc=")</f>
        <v>#VALUE!</v>
      </c>
      <c r="Y271" t="e">
        <f>AND(PENSOPORT!D3,"AAAAAF/zXxg=")</f>
        <v>#VALUE!</v>
      </c>
      <c r="Z271" t="e">
        <f>AND(PENSOPORT!E3,"AAAAAF/zXxk=")</f>
        <v>#VALUE!</v>
      </c>
      <c r="AA271" t="e">
        <f>AND(PENSOPORT!F3,"AAAAAF/zXxo=")</f>
        <v>#VALUE!</v>
      </c>
      <c r="AB271">
        <f>IF(PENSOPORT!4:4,"AAAAAF/zXxs=",0)</f>
        <v>0</v>
      </c>
      <c r="AC271" t="e">
        <f>AND(PENSOPORT!A4,"AAAAAF/zXxw=")</f>
        <v>#VALUE!</v>
      </c>
      <c r="AD271" t="e">
        <f>AND(PENSOPORT!B4,"AAAAAF/zXx0=")</f>
        <v>#VALUE!</v>
      </c>
      <c r="AE271" t="e">
        <f>AND(PENSOPORT!C4,"AAAAAF/zXx4=")</f>
        <v>#VALUE!</v>
      </c>
      <c r="AF271" t="e">
        <f>AND(PENSOPORT!D4,"AAAAAF/zXx8=")</f>
        <v>#VALUE!</v>
      </c>
      <c r="AG271" t="e">
        <f>AND(PENSOPORT!E4,"AAAAAF/zXyA=")</f>
        <v>#VALUE!</v>
      </c>
      <c r="AH271" t="e">
        <f>AND(PENSOPORT!F4,"AAAAAF/zXyE=")</f>
        <v>#VALUE!</v>
      </c>
      <c r="AI271">
        <f>IF(PENSOPORT!5:5,"AAAAAF/zXyI=",0)</f>
        <v>0</v>
      </c>
      <c r="AJ271" t="e">
        <f>AND(PENSOPORT!A5,"AAAAAF/zXyM=")</f>
        <v>#VALUE!</v>
      </c>
      <c r="AK271" t="e">
        <f>AND(PENSOPORT!B5,"AAAAAF/zXyQ=")</f>
        <v>#VALUE!</v>
      </c>
      <c r="AL271" t="e">
        <f>AND(PENSOPORT!C5,"AAAAAF/zXyU=")</f>
        <v>#VALUE!</v>
      </c>
      <c r="AM271" t="e">
        <f>AND(PENSOPORT!D5,"AAAAAF/zXyY=")</f>
        <v>#VALUE!</v>
      </c>
      <c r="AN271" t="e">
        <f>AND(PENSOPORT!E5,"AAAAAF/zXyc=")</f>
        <v>#VALUE!</v>
      </c>
      <c r="AO271" t="e">
        <f>AND(PENSOPORT!F5,"AAAAAF/zXyg=")</f>
        <v>#VALUE!</v>
      </c>
      <c r="AP271">
        <f>IF(PENSOPORT!6:6,"AAAAAF/zXyk=",0)</f>
        <v>0</v>
      </c>
      <c r="AQ271" t="e">
        <f>AND(PENSOPORT!A6,"AAAAAF/zXyo=")</f>
        <v>#VALUE!</v>
      </c>
      <c r="AR271" t="e">
        <f>AND(PENSOPORT!B6,"AAAAAF/zXys=")</f>
        <v>#VALUE!</v>
      </c>
      <c r="AS271" t="e">
        <f>AND(PENSOPORT!C6,"AAAAAF/zXyw=")</f>
        <v>#VALUE!</v>
      </c>
      <c r="AT271" t="e">
        <f>AND(PENSOPORT!D6,"AAAAAF/zXy0=")</f>
        <v>#VALUE!</v>
      </c>
      <c r="AU271" t="e">
        <f>AND(PENSOPORT!E6,"AAAAAF/zXy4=")</f>
        <v>#VALUE!</v>
      </c>
      <c r="AV271" t="e">
        <f>AND(PENSOPORT!F6,"AAAAAF/zXy8=")</f>
        <v>#VALUE!</v>
      </c>
      <c r="AW271">
        <f>IF(PENSOPORT!7:7,"AAAAAF/zXzA=",0)</f>
        <v>0</v>
      </c>
      <c r="AX271" t="e">
        <f>AND(PENSOPORT!A7,"AAAAAF/zXzE=")</f>
        <v>#VALUE!</v>
      </c>
      <c r="AY271" t="e">
        <f>AND(PENSOPORT!B7,"AAAAAF/zXzI=")</f>
        <v>#VALUE!</v>
      </c>
      <c r="AZ271" t="e">
        <f>AND(PENSOPORT!C7,"AAAAAF/zXzM=")</f>
        <v>#VALUE!</v>
      </c>
      <c r="BA271" t="e">
        <f>AND(PENSOPORT!D7,"AAAAAF/zXzQ=")</f>
        <v>#VALUE!</v>
      </c>
      <c r="BB271" t="e">
        <f>AND(PENSOPORT!E7,"AAAAAF/zXzU=")</f>
        <v>#VALUE!</v>
      </c>
      <c r="BC271" t="e">
        <f>AND(PENSOPORT!F7,"AAAAAF/zXzY=")</f>
        <v>#VALUE!</v>
      </c>
      <c r="BD271">
        <f>IF(PENSOPORT!8:8,"AAAAAF/zXzc=",0)</f>
        <v>0</v>
      </c>
      <c r="BE271" t="e">
        <f>AND(PENSOPORT!A8,"AAAAAF/zXzg=")</f>
        <v>#VALUE!</v>
      </c>
      <c r="BF271" t="e">
        <f>AND(PENSOPORT!B8,"AAAAAF/zXzk=")</f>
        <v>#VALUE!</v>
      </c>
      <c r="BG271" t="e">
        <f>AND(PENSOPORT!C8,"AAAAAF/zXzo=")</f>
        <v>#VALUE!</v>
      </c>
      <c r="BH271" t="e">
        <f>AND(PENSOPORT!D8,"AAAAAF/zXzs=")</f>
        <v>#VALUE!</v>
      </c>
      <c r="BI271" t="e">
        <f>AND(PENSOPORT!E8,"AAAAAF/zXzw=")</f>
        <v>#VALUE!</v>
      </c>
      <c r="BJ271" t="e">
        <f>AND(PENSOPORT!F8,"AAAAAF/zXz0=")</f>
        <v>#VALUE!</v>
      </c>
      <c r="BK271">
        <f>IF(PENSOPORT!9:9,"AAAAAF/zXz4=",0)</f>
        <v>0</v>
      </c>
      <c r="BL271" t="e">
        <f>AND(PENSOPORT!A9,"AAAAAF/zXz8=")</f>
        <v>#VALUE!</v>
      </c>
      <c r="BM271" t="e">
        <f>AND(PENSOPORT!B9,"AAAAAF/zX0A=")</f>
        <v>#VALUE!</v>
      </c>
      <c r="BN271" t="e">
        <f>AND(PENSOPORT!C9,"AAAAAF/zX0E=")</f>
        <v>#VALUE!</v>
      </c>
      <c r="BO271" t="e">
        <f>AND(PENSOPORT!D9,"AAAAAF/zX0I=")</f>
        <v>#VALUE!</v>
      </c>
      <c r="BP271" t="e">
        <f>AND(PENSOPORT!E9,"AAAAAF/zX0M=")</f>
        <v>#VALUE!</v>
      </c>
      <c r="BQ271" t="e">
        <f>AND(PENSOPORT!F9,"AAAAAF/zX0Q=")</f>
        <v>#VALUE!</v>
      </c>
      <c r="BR271">
        <f>IF(PENSOPORT!10:10,"AAAAAF/zX0U=",0)</f>
        <v>0</v>
      </c>
      <c r="BS271" t="e">
        <f>AND(PENSOPORT!A10,"AAAAAF/zX0Y=")</f>
        <v>#VALUE!</v>
      </c>
      <c r="BT271" t="e">
        <f>AND(PENSOPORT!B10,"AAAAAF/zX0c=")</f>
        <v>#VALUE!</v>
      </c>
      <c r="BU271" t="e">
        <f>AND(PENSOPORT!C10,"AAAAAF/zX0g=")</f>
        <v>#VALUE!</v>
      </c>
      <c r="BV271" t="e">
        <f>AND(PENSOPORT!D10,"AAAAAF/zX0k=")</f>
        <v>#VALUE!</v>
      </c>
      <c r="BW271" t="e">
        <f>AND(PENSOPORT!E10,"AAAAAF/zX0o=")</f>
        <v>#VALUE!</v>
      </c>
      <c r="BX271" t="e">
        <f>AND(PENSOPORT!F10,"AAAAAF/zX0s=")</f>
        <v>#VALUE!</v>
      </c>
      <c r="BY271">
        <f>IF(PENSOPORT!11:11,"AAAAAF/zX0w=",0)</f>
        <v>0</v>
      </c>
      <c r="BZ271" t="e">
        <f>AND(PENSOPORT!A11,"AAAAAF/zX00=")</f>
        <v>#VALUE!</v>
      </c>
      <c r="CA271" t="e">
        <f>AND(PENSOPORT!B11,"AAAAAF/zX04=")</f>
        <v>#VALUE!</v>
      </c>
      <c r="CB271" t="e">
        <f>AND(PENSOPORT!C11,"AAAAAF/zX08=")</f>
        <v>#VALUE!</v>
      </c>
      <c r="CC271" t="e">
        <f>AND(PENSOPORT!D11,"AAAAAF/zX1A=")</f>
        <v>#VALUE!</v>
      </c>
      <c r="CD271" t="e">
        <f>AND(PENSOPORT!E11,"AAAAAF/zX1E=")</f>
        <v>#VALUE!</v>
      </c>
      <c r="CE271" t="e">
        <f>AND(PENSOPORT!F11,"AAAAAF/zX1I=")</f>
        <v>#VALUE!</v>
      </c>
      <c r="CF271">
        <f>IF(PENSOPORT!12:12,"AAAAAF/zX1M=",0)</f>
        <v>0</v>
      </c>
      <c r="CG271" t="e">
        <f>AND(PENSOPORT!A12,"AAAAAF/zX1Q=")</f>
        <v>#VALUE!</v>
      </c>
      <c r="CH271" t="e">
        <f>AND(PENSOPORT!B12,"AAAAAF/zX1U=")</f>
        <v>#VALUE!</v>
      </c>
      <c r="CI271" t="e">
        <f>AND(PENSOPORT!C12,"AAAAAF/zX1Y=")</f>
        <v>#VALUE!</v>
      </c>
      <c r="CJ271" t="e">
        <f>AND(PENSOPORT!D12,"AAAAAF/zX1c=")</f>
        <v>#VALUE!</v>
      </c>
      <c r="CK271" t="e">
        <f>AND(PENSOPORT!E12,"AAAAAF/zX1g=")</f>
        <v>#VALUE!</v>
      </c>
      <c r="CL271" t="e">
        <f>AND(PENSOPORT!F12,"AAAAAF/zX1k=")</f>
        <v>#VALUE!</v>
      </c>
      <c r="CM271">
        <f>IF(PENSOPORT!13:13,"AAAAAF/zX1o=",0)</f>
        <v>0</v>
      </c>
      <c r="CN271" t="e">
        <f>AND(PENSOPORT!A13,"AAAAAF/zX1s=")</f>
        <v>#VALUE!</v>
      </c>
      <c r="CO271" t="e">
        <f>AND(PENSOPORT!B13,"AAAAAF/zX1w=")</f>
        <v>#VALUE!</v>
      </c>
      <c r="CP271" t="e">
        <f>AND(PENSOPORT!C13,"AAAAAF/zX10=")</f>
        <v>#VALUE!</v>
      </c>
      <c r="CQ271" t="e">
        <f>AND(PENSOPORT!D13,"AAAAAF/zX14=")</f>
        <v>#VALUE!</v>
      </c>
      <c r="CR271" t="e">
        <f>AND(PENSOPORT!E13,"AAAAAF/zX18=")</f>
        <v>#VALUE!</v>
      </c>
      <c r="CS271" t="e">
        <f>AND(PENSOPORT!F13,"AAAAAF/zX2A=")</f>
        <v>#VALUE!</v>
      </c>
      <c r="CT271">
        <f>IF(PENSOPORT!14:14,"AAAAAF/zX2E=",0)</f>
        <v>0</v>
      </c>
      <c r="CU271" t="e">
        <f>AND(PENSOPORT!A14,"AAAAAF/zX2I=")</f>
        <v>#VALUE!</v>
      </c>
      <c r="CV271" t="e">
        <f>AND(PENSOPORT!B14,"AAAAAF/zX2M=")</f>
        <v>#VALUE!</v>
      </c>
      <c r="CW271" t="e">
        <f>AND(PENSOPORT!C14,"AAAAAF/zX2Q=")</f>
        <v>#VALUE!</v>
      </c>
      <c r="CX271" t="e">
        <f>AND(PENSOPORT!D14,"AAAAAF/zX2U=")</f>
        <v>#VALUE!</v>
      </c>
      <c r="CY271" t="e">
        <f>AND(PENSOPORT!E14,"AAAAAF/zX2Y=")</f>
        <v>#VALUE!</v>
      </c>
      <c r="CZ271" t="e">
        <f>AND(PENSOPORT!F14,"AAAAAF/zX2c=")</f>
        <v>#VALUE!</v>
      </c>
      <c r="DA271">
        <f>IF(PENSOPORT!15:15,"AAAAAF/zX2g=",0)</f>
        <v>0</v>
      </c>
      <c r="DB271" t="e">
        <f>AND(PENSOPORT!A15,"AAAAAF/zX2k=")</f>
        <v>#VALUE!</v>
      </c>
      <c r="DC271" t="e">
        <f>AND(PENSOPORT!B15,"AAAAAF/zX2o=")</f>
        <v>#VALUE!</v>
      </c>
      <c r="DD271" t="e">
        <f>AND(PENSOPORT!C15,"AAAAAF/zX2s=")</f>
        <v>#VALUE!</v>
      </c>
      <c r="DE271" t="e">
        <f>AND(PENSOPORT!D15,"AAAAAF/zX2w=")</f>
        <v>#VALUE!</v>
      </c>
      <c r="DF271" t="e">
        <f>AND(PENSOPORT!E15,"AAAAAF/zX20=")</f>
        <v>#VALUE!</v>
      </c>
      <c r="DG271" t="e">
        <f>AND(PENSOPORT!F15,"AAAAAF/zX24=")</f>
        <v>#VALUE!</v>
      </c>
      <c r="DH271">
        <f>IF(PENSOPORT!16:16,"AAAAAF/zX28=",0)</f>
        <v>0</v>
      </c>
      <c r="DI271" t="e">
        <f>AND(PENSOPORT!A16,"AAAAAF/zX3A=")</f>
        <v>#VALUE!</v>
      </c>
      <c r="DJ271" t="e">
        <f>AND(PENSOPORT!B16,"AAAAAF/zX3E=")</f>
        <v>#VALUE!</v>
      </c>
      <c r="DK271" t="e">
        <f>AND(PENSOPORT!C16,"AAAAAF/zX3I=")</f>
        <v>#VALUE!</v>
      </c>
      <c r="DL271" t="e">
        <f>AND(PENSOPORT!D16,"AAAAAF/zX3M=")</f>
        <v>#VALUE!</v>
      </c>
      <c r="DM271" t="e">
        <f>AND(PENSOPORT!E16,"AAAAAF/zX3Q=")</f>
        <v>#VALUE!</v>
      </c>
      <c r="DN271" t="e">
        <f>AND(PENSOPORT!F16,"AAAAAF/zX3U=")</f>
        <v>#VALUE!</v>
      </c>
      <c r="DO271">
        <f>IF(PENSOPORT!17:17,"AAAAAF/zX3Y=",0)</f>
        <v>0</v>
      </c>
      <c r="DP271" t="e">
        <f>AND(PENSOPORT!A17,"AAAAAF/zX3c=")</f>
        <v>#VALUE!</v>
      </c>
      <c r="DQ271" t="e">
        <f>AND(PENSOPORT!B17,"AAAAAF/zX3g=")</f>
        <v>#VALUE!</v>
      </c>
      <c r="DR271" t="e">
        <f>AND(PENSOPORT!C17,"AAAAAF/zX3k=")</f>
        <v>#VALUE!</v>
      </c>
      <c r="DS271" t="e">
        <f>AND(PENSOPORT!D17,"AAAAAF/zX3o=")</f>
        <v>#VALUE!</v>
      </c>
      <c r="DT271" t="e">
        <f>AND(PENSOPORT!E17,"AAAAAF/zX3s=")</f>
        <v>#VALUE!</v>
      </c>
      <c r="DU271" t="e">
        <f>AND(PENSOPORT!F17,"AAAAAF/zX3w=")</f>
        <v>#VALUE!</v>
      </c>
      <c r="DV271">
        <f>IF(PENSOPORT!18:18,"AAAAAF/zX30=",0)</f>
        <v>0</v>
      </c>
      <c r="DW271" t="e">
        <f>AND(PENSOPORT!A18,"AAAAAF/zX34=")</f>
        <v>#VALUE!</v>
      </c>
      <c r="DX271" t="e">
        <f>AND(PENSOPORT!B18,"AAAAAF/zX38=")</f>
        <v>#VALUE!</v>
      </c>
      <c r="DY271" t="e">
        <f>AND(PENSOPORT!C18,"AAAAAF/zX4A=")</f>
        <v>#VALUE!</v>
      </c>
      <c r="DZ271" t="e">
        <f>AND(PENSOPORT!D18,"AAAAAF/zX4E=")</f>
        <v>#VALUE!</v>
      </c>
      <c r="EA271" t="e">
        <f>AND(PENSOPORT!E18,"AAAAAF/zX4I=")</f>
        <v>#VALUE!</v>
      </c>
      <c r="EB271" t="e">
        <f>AND(PENSOPORT!F18,"AAAAAF/zX4M=")</f>
        <v>#VALUE!</v>
      </c>
      <c r="EC271">
        <f>IF(PENSOPORT!19:19,"AAAAAF/zX4Q=",0)</f>
        <v>0</v>
      </c>
      <c r="ED271" t="e">
        <f>AND(PENSOPORT!A19,"AAAAAF/zX4U=")</f>
        <v>#VALUE!</v>
      </c>
      <c r="EE271" t="e">
        <f>AND(PENSOPORT!B19,"AAAAAF/zX4Y=")</f>
        <v>#VALUE!</v>
      </c>
      <c r="EF271" t="e">
        <f>AND(PENSOPORT!C19,"AAAAAF/zX4c=")</f>
        <v>#VALUE!</v>
      </c>
      <c r="EG271" t="e">
        <f>AND(PENSOPORT!D19,"AAAAAF/zX4g=")</f>
        <v>#VALUE!</v>
      </c>
      <c r="EH271" t="e">
        <f>AND(PENSOPORT!E19,"AAAAAF/zX4k=")</f>
        <v>#VALUE!</v>
      </c>
      <c r="EI271" t="e">
        <f>AND(PENSOPORT!F19,"AAAAAF/zX4o=")</f>
        <v>#VALUE!</v>
      </c>
      <c r="EJ271">
        <f>IF(PENSOPORT!20:20,"AAAAAF/zX4s=",0)</f>
        <v>0</v>
      </c>
      <c r="EK271" t="e">
        <f>AND(PENSOPORT!A20,"AAAAAF/zX4w=")</f>
        <v>#VALUE!</v>
      </c>
      <c r="EL271" t="e">
        <f>AND(PENSOPORT!B20,"AAAAAF/zX40=")</f>
        <v>#VALUE!</v>
      </c>
      <c r="EM271" t="e">
        <f>AND(PENSOPORT!C20,"AAAAAF/zX44=")</f>
        <v>#VALUE!</v>
      </c>
      <c r="EN271" t="e">
        <f>AND(PENSOPORT!D20,"AAAAAF/zX48=")</f>
        <v>#VALUE!</v>
      </c>
      <c r="EO271" t="e">
        <f>AND(PENSOPORT!E20,"AAAAAF/zX5A=")</f>
        <v>#VALUE!</v>
      </c>
      <c r="EP271" t="e">
        <f>AND(PENSOPORT!F20,"AAAAAF/zX5E=")</f>
        <v>#VALUE!</v>
      </c>
      <c r="EQ271">
        <f>IF(PENSOPORT!21:21,"AAAAAF/zX5I=",0)</f>
        <v>0</v>
      </c>
      <c r="ER271" t="e">
        <f>AND(PENSOPORT!A21,"AAAAAF/zX5M=")</f>
        <v>#VALUE!</v>
      </c>
      <c r="ES271" t="e">
        <f>AND(PENSOPORT!B21,"AAAAAF/zX5Q=")</f>
        <v>#VALUE!</v>
      </c>
      <c r="ET271" t="e">
        <f>AND(PENSOPORT!C21,"AAAAAF/zX5U=")</f>
        <v>#VALUE!</v>
      </c>
      <c r="EU271" t="e">
        <f>AND(PENSOPORT!D21,"AAAAAF/zX5Y=")</f>
        <v>#VALUE!</v>
      </c>
      <c r="EV271" t="e">
        <f>AND(PENSOPORT!E21,"AAAAAF/zX5c=")</f>
        <v>#VALUE!</v>
      </c>
      <c r="EW271" t="e">
        <f>AND(PENSOPORT!F21,"AAAAAF/zX5g=")</f>
        <v>#VALUE!</v>
      </c>
      <c r="EX271">
        <f>IF(PENSOPORT!22:22,"AAAAAF/zX5k=",0)</f>
        <v>0</v>
      </c>
      <c r="EY271" t="e">
        <f>AND(PENSOPORT!A22,"AAAAAF/zX5o=")</f>
        <v>#VALUE!</v>
      </c>
      <c r="EZ271" t="e">
        <f>AND(PENSOPORT!B22,"AAAAAF/zX5s=")</f>
        <v>#VALUE!</v>
      </c>
      <c r="FA271" t="e">
        <f>AND(PENSOPORT!C22,"AAAAAF/zX5w=")</f>
        <v>#VALUE!</v>
      </c>
      <c r="FB271" t="e">
        <f>AND(PENSOPORT!D22,"AAAAAF/zX50=")</f>
        <v>#VALUE!</v>
      </c>
      <c r="FC271" t="e">
        <f>AND(PENSOPORT!E22,"AAAAAF/zX54=")</f>
        <v>#VALUE!</v>
      </c>
      <c r="FD271" t="e">
        <f>AND(PENSOPORT!F22,"AAAAAF/zX58=")</f>
        <v>#VALUE!</v>
      </c>
      <c r="FE271">
        <f>IF(PENSOPORT!23:23,"AAAAAF/zX6A=",0)</f>
        <v>0</v>
      </c>
      <c r="FF271" t="e">
        <f>AND(PENSOPORT!A23,"AAAAAF/zX6E=")</f>
        <v>#VALUE!</v>
      </c>
      <c r="FG271" t="e">
        <f>AND(PENSOPORT!B23,"AAAAAF/zX6I=")</f>
        <v>#VALUE!</v>
      </c>
      <c r="FH271" t="e">
        <f>AND(PENSOPORT!C23,"AAAAAF/zX6M=")</f>
        <v>#VALUE!</v>
      </c>
      <c r="FI271" t="e">
        <f>AND(PENSOPORT!D23,"AAAAAF/zX6Q=")</f>
        <v>#VALUE!</v>
      </c>
      <c r="FJ271" t="e">
        <f>AND(PENSOPORT!E23,"AAAAAF/zX6U=")</f>
        <v>#VALUE!</v>
      </c>
      <c r="FK271" t="e">
        <f>AND(PENSOPORT!F23,"AAAAAF/zX6Y=")</f>
        <v>#VALUE!</v>
      </c>
      <c r="FL271">
        <f>IF(PENSOPORT!24:24,"AAAAAF/zX6c=",0)</f>
        <v>0</v>
      </c>
      <c r="FM271" t="e">
        <f>AND(PENSOPORT!A24,"AAAAAF/zX6g=")</f>
        <v>#VALUE!</v>
      </c>
      <c r="FN271" t="e">
        <f>AND(PENSOPORT!B24,"AAAAAF/zX6k=")</f>
        <v>#VALUE!</v>
      </c>
      <c r="FO271" t="e">
        <f>AND(PENSOPORT!C24,"AAAAAF/zX6o=")</f>
        <v>#VALUE!</v>
      </c>
      <c r="FP271" t="e">
        <f>AND(PENSOPORT!D24,"AAAAAF/zX6s=")</f>
        <v>#VALUE!</v>
      </c>
      <c r="FQ271" t="e">
        <f>AND(PENSOPORT!E24,"AAAAAF/zX6w=")</f>
        <v>#VALUE!</v>
      </c>
      <c r="FR271" t="e">
        <f>AND(PENSOPORT!F24,"AAAAAF/zX60=")</f>
        <v>#VALUE!</v>
      </c>
      <c r="FS271">
        <f>IF(PENSOPORT!25:25,"AAAAAF/zX64=",0)</f>
        <v>0</v>
      </c>
      <c r="FT271" t="e">
        <f>AND(PENSOPORT!A25,"AAAAAF/zX68=")</f>
        <v>#VALUE!</v>
      </c>
      <c r="FU271" t="e">
        <f>AND(PENSOPORT!B25,"AAAAAF/zX7A=")</f>
        <v>#VALUE!</v>
      </c>
      <c r="FV271" t="e">
        <f>AND(PENSOPORT!C25,"AAAAAF/zX7E=")</f>
        <v>#VALUE!</v>
      </c>
      <c r="FW271" t="e">
        <f>AND(PENSOPORT!D25,"AAAAAF/zX7I=")</f>
        <v>#VALUE!</v>
      </c>
      <c r="FX271" t="e">
        <f>AND(PENSOPORT!E25,"AAAAAF/zX7M=")</f>
        <v>#VALUE!</v>
      </c>
      <c r="FY271" t="e">
        <f>AND(PENSOPORT!F25,"AAAAAF/zX7Q=")</f>
        <v>#VALUE!</v>
      </c>
      <c r="FZ271">
        <f>IF(PENSOPORT!26:26,"AAAAAF/zX7U=",0)</f>
        <v>0</v>
      </c>
      <c r="GA271" t="e">
        <f>AND(PENSOPORT!A26,"AAAAAF/zX7Y=")</f>
        <v>#VALUE!</v>
      </c>
      <c r="GB271" t="e">
        <f>AND(PENSOPORT!B26,"AAAAAF/zX7c=")</f>
        <v>#VALUE!</v>
      </c>
      <c r="GC271" t="e">
        <f>AND(PENSOPORT!C26,"AAAAAF/zX7g=")</f>
        <v>#VALUE!</v>
      </c>
      <c r="GD271" t="e">
        <f>AND(PENSOPORT!D26,"AAAAAF/zX7k=")</f>
        <v>#VALUE!</v>
      </c>
      <c r="GE271" t="e">
        <f>AND(PENSOPORT!E26,"AAAAAF/zX7o=")</f>
        <v>#VALUE!</v>
      </c>
      <c r="GF271" t="e">
        <f>AND(PENSOPORT!F26,"AAAAAF/zX7s=")</f>
        <v>#VALUE!</v>
      </c>
      <c r="GG271">
        <f>IF(PENSOPORT!27:27,"AAAAAF/zX7w=",0)</f>
        <v>0</v>
      </c>
      <c r="GH271" t="e">
        <f>AND(PENSOPORT!A27,"AAAAAF/zX70=")</f>
        <v>#VALUE!</v>
      </c>
      <c r="GI271" t="e">
        <f>AND(PENSOPORT!B27,"AAAAAF/zX74=")</f>
        <v>#VALUE!</v>
      </c>
      <c r="GJ271" t="e">
        <f>AND(PENSOPORT!C27,"AAAAAF/zX78=")</f>
        <v>#VALUE!</v>
      </c>
      <c r="GK271" t="e">
        <f>AND(PENSOPORT!D27,"AAAAAF/zX8A=")</f>
        <v>#VALUE!</v>
      </c>
      <c r="GL271" t="e">
        <f>AND(PENSOPORT!E27,"AAAAAF/zX8E=")</f>
        <v>#VALUE!</v>
      </c>
      <c r="GM271" t="e">
        <f>AND(PENSOPORT!F27,"AAAAAF/zX8I=")</f>
        <v>#VALUE!</v>
      </c>
      <c r="GN271">
        <f>IF(PENSOPORT!28:28,"AAAAAF/zX8M=",0)</f>
        <v>0</v>
      </c>
      <c r="GO271">
        <f>IF(PENSOPORT!A:A,"AAAAAF/zX8Q=",0)</f>
        <v>0</v>
      </c>
      <c r="GP271">
        <f>IF(PENSOPORT!B:B,"AAAAAF/zX8U=",0)</f>
        <v>0</v>
      </c>
      <c r="GQ271">
        <f>IF(PENSOPORT!C:C,"AAAAAF/zX8Y=",0)</f>
        <v>0</v>
      </c>
      <c r="GR271">
        <f>IF(PENSOPORT!D:D,"AAAAAF/zX8c=",0)</f>
        <v>0</v>
      </c>
      <c r="GS271">
        <f>IF(PENSOPORT!E:E,"AAAAAF/zX8g=",0)</f>
        <v>0</v>
      </c>
      <c r="GT271">
        <f>IF(PENSOPORT!F:F,"AAAAAF/zX8k=",0)</f>
        <v>0</v>
      </c>
      <c r="GU271" t="e">
        <f>IF('SP TMSYP'!#REF!,"AAAAAF/zX8o=",0)</f>
        <v>#REF!</v>
      </c>
      <c r="GV271" t="e">
        <f>AND('SP TMSYP'!#REF!,"AAAAAF/zX8s=")</f>
        <v>#REF!</v>
      </c>
      <c r="GW271" t="e">
        <f>AND('SP TMSYP'!#REF!,"AAAAAF/zX8w=")</f>
        <v>#REF!</v>
      </c>
      <c r="GX271" t="e">
        <f>AND('SP TMSYP'!#REF!,"AAAAAF/zX80=")</f>
        <v>#REF!</v>
      </c>
      <c r="GY271" t="e">
        <f>AND('SP TMSYP'!#REF!,"AAAAAF/zX84=")</f>
        <v>#REF!</v>
      </c>
      <c r="GZ271" t="e">
        <f>AND('SP TMSYP'!#REF!,"AAAAAF/zX88=")</f>
        <v>#REF!</v>
      </c>
      <c r="HA271" t="e">
        <f>AND('SP TMSYP'!#REF!,"AAAAAF/zX9A=")</f>
        <v>#REF!</v>
      </c>
      <c r="HB271">
        <f>IF('SP TMSYP'!1:1,"AAAAAF/zX9E=",0)</f>
        <v>0</v>
      </c>
      <c r="HC271" t="e">
        <f>AND('SP TMSYP'!A1,"AAAAAF/zX9I=")</f>
        <v>#VALUE!</v>
      </c>
      <c r="HD271" t="e">
        <f>AND('SP TMSYP'!B1,"AAAAAF/zX9M=")</f>
        <v>#VALUE!</v>
      </c>
      <c r="HE271" t="e">
        <f>AND('SP TMSYP'!C1,"AAAAAF/zX9Q=")</f>
        <v>#VALUE!</v>
      </c>
      <c r="HF271" t="e">
        <f>AND('SP TMSYP'!D1,"AAAAAF/zX9U=")</f>
        <v>#VALUE!</v>
      </c>
      <c r="HG271" t="e">
        <f>AND('SP TMSYP'!E1,"AAAAAF/zX9Y=")</f>
        <v>#VALUE!</v>
      </c>
      <c r="HH271" t="e">
        <f>AND('SP TMSYP'!F1,"AAAAAF/zX9c=")</f>
        <v>#VALUE!</v>
      </c>
      <c r="HI271">
        <f>IF('SP TMSYP'!2:2,"AAAAAF/zX9g=",0)</f>
        <v>0</v>
      </c>
      <c r="HJ271" t="e">
        <f>AND('SP TMSYP'!A2,"AAAAAF/zX9k=")</f>
        <v>#VALUE!</v>
      </c>
      <c r="HK271" t="e">
        <f>AND('SP TMSYP'!B2,"AAAAAF/zX9o=")</f>
        <v>#VALUE!</v>
      </c>
      <c r="HL271" t="e">
        <f>AND('SP TMSYP'!C2,"AAAAAF/zX9s=")</f>
        <v>#VALUE!</v>
      </c>
      <c r="HM271" t="e">
        <f>AND('SP TMSYP'!D2,"AAAAAF/zX9w=")</f>
        <v>#VALUE!</v>
      </c>
      <c r="HN271" t="e">
        <f>AND('SP TMSYP'!E2,"AAAAAF/zX90=")</f>
        <v>#VALUE!</v>
      </c>
      <c r="HO271" t="e">
        <f>AND('SP TMSYP'!F2,"AAAAAF/zX94=")</f>
        <v>#VALUE!</v>
      </c>
      <c r="HP271">
        <f>IF('SP TMSYP'!3:3,"AAAAAF/zX98=",0)</f>
        <v>0</v>
      </c>
      <c r="HQ271" t="e">
        <f>AND('SP TMSYP'!A3,"AAAAAF/zX+A=")</f>
        <v>#VALUE!</v>
      </c>
      <c r="HR271" t="e">
        <f>AND('SP TMSYP'!B3,"AAAAAF/zX+E=")</f>
        <v>#VALUE!</v>
      </c>
      <c r="HS271" t="e">
        <f>AND('SP TMSYP'!C3,"AAAAAF/zX+I=")</f>
        <v>#VALUE!</v>
      </c>
      <c r="HT271" t="e">
        <f>AND('SP TMSYP'!D3,"AAAAAF/zX+M=")</f>
        <v>#VALUE!</v>
      </c>
      <c r="HU271" t="e">
        <f>AND('SP TMSYP'!E3,"AAAAAF/zX+Q=")</f>
        <v>#VALUE!</v>
      </c>
      <c r="HV271" t="e">
        <f>AND('SP TMSYP'!F3,"AAAAAF/zX+U=")</f>
        <v>#VALUE!</v>
      </c>
      <c r="HW271">
        <f>IF('SP TMSYP'!4:4,"AAAAAF/zX+Y=",0)</f>
        <v>0</v>
      </c>
      <c r="HX271" t="e">
        <f>AND('SP TMSYP'!A4,"AAAAAF/zX+c=")</f>
        <v>#VALUE!</v>
      </c>
      <c r="HY271" t="e">
        <f>AND('SP TMSYP'!B4,"AAAAAF/zX+g=")</f>
        <v>#VALUE!</v>
      </c>
      <c r="HZ271" t="e">
        <f>AND('SP TMSYP'!C4,"AAAAAF/zX+k=")</f>
        <v>#VALUE!</v>
      </c>
      <c r="IA271" t="e">
        <f>AND('SP TMSYP'!D4,"AAAAAF/zX+o=")</f>
        <v>#VALUE!</v>
      </c>
      <c r="IB271" t="e">
        <f>AND('SP TMSYP'!E4,"AAAAAF/zX+s=")</f>
        <v>#VALUE!</v>
      </c>
      <c r="IC271" t="e">
        <f>AND('SP TMSYP'!F4,"AAAAAF/zX+w=")</f>
        <v>#VALUE!</v>
      </c>
      <c r="ID271">
        <f>IF('SP TMSYP'!5:5,"AAAAAF/zX+0=",0)</f>
        <v>0</v>
      </c>
      <c r="IE271" t="e">
        <f>AND('SP TMSYP'!A5,"AAAAAF/zX+4=")</f>
        <v>#VALUE!</v>
      </c>
      <c r="IF271" t="e">
        <f>AND('SP TMSYP'!B5,"AAAAAF/zX+8=")</f>
        <v>#VALUE!</v>
      </c>
      <c r="IG271" t="e">
        <f>AND('SP TMSYP'!C5,"AAAAAF/zX/A=")</f>
        <v>#VALUE!</v>
      </c>
      <c r="IH271" t="e">
        <f>AND('SP TMSYP'!D5,"AAAAAF/zX/E=")</f>
        <v>#VALUE!</v>
      </c>
      <c r="II271" t="e">
        <f>AND('SP TMSYP'!E5,"AAAAAF/zX/I=")</f>
        <v>#VALUE!</v>
      </c>
      <c r="IJ271" t="e">
        <f>AND('SP TMSYP'!F5,"AAAAAF/zX/M=")</f>
        <v>#VALUE!</v>
      </c>
      <c r="IK271">
        <f>IF('SP TMSYP'!6:6,"AAAAAF/zX/Q=",0)</f>
        <v>0</v>
      </c>
      <c r="IL271" t="e">
        <f>AND('SP TMSYP'!A6,"AAAAAF/zX/U=")</f>
        <v>#VALUE!</v>
      </c>
      <c r="IM271" t="e">
        <f>AND('SP TMSYP'!B6,"AAAAAF/zX/Y=")</f>
        <v>#VALUE!</v>
      </c>
      <c r="IN271" t="e">
        <f>AND('SP TMSYP'!C6,"AAAAAF/zX/c=")</f>
        <v>#VALUE!</v>
      </c>
      <c r="IO271" t="e">
        <f>AND('SP TMSYP'!D6,"AAAAAF/zX/g=")</f>
        <v>#VALUE!</v>
      </c>
      <c r="IP271" t="e">
        <f>AND('SP TMSYP'!E6,"AAAAAF/zX/k=")</f>
        <v>#VALUE!</v>
      </c>
      <c r="IQ271" t="e">
        <f>AND('SP TMSYP'!F6,"AAAAAF/zX/o=")</f>
        <v>#VALUE!</v>
      </c>
      <c r="IR271" t="e">
        <f>IF('SP TMSYP'!#REF!,"AAAAAF/zX/s=",0)</f>
        <v>#REF!</v>
      </c>
      <c r="IS271" t="e">
        <f>AND('SP TMSYP'!#REF!,"AAAAAF/zX/w=")</f>
        <v>#REF!</v>
      </c>
      <c r="IT271" t="e">
        <f>AND('SP TMSYP'!#REF!,"AAAAAF/zX/0=")</f>
        <v>#REF!</v>
      </c>
      <c r="IU271" t="e">
        <f>AND('SP TMSYP'!#REF!,"AAAAAF/zX/4=")</f>
        <v>#REF!</v>
      </c>
      <c r="IV271" t="e">
        <f>AND('SP TMSYP'!#REF!,"AAAAAF/zX/8=")</f>
        <v>#REF!</v>
      </c>
    </row>
    <row r="272" spans="1:256">
      <c r="A272" t="e">
        <f>AND('SP TMSYP'!#REF!,"AAAAAHF31AA=")</f>
        <v>#REF!</v>
      </c>
      <c r="B272" t="e">
        <f>AND('SP TMSYP'!#REF!,"AAAAAHF31AE=")</f>
        <v>#REF!</v>
      </c>
      <c r="C272">
        <f>IF('SP TMSYP'!7:7,"AAAAAHF31AI=",0)</f>
        <v>0</v>
      </c>
      <c r="D272" t="e">
        <f>AND('SP TMSYP'!A7,"AAAAAHF31AM=")</f>
        <v>#VALUE!</v>
      </c>
      <c r="E272" t="e">
        <f>AND('SP TMSYP'!B7,"AAAAAHF31AQ=")</f>
        <v>#VALUE!</v>
      </c>
      <c r="F272" t="e">
        <f>AND('SP TMSYP'!C7,"AAAAAHF31AU=")</f>
        <v>#VALUE!</v>
      </c>
      <c r="G272" t="e">
        <f>AND('SP TMSYP'!D7,"AAAAAHF31AY=")</f>
        <v>#VALUE!</v>
      </c>
      <c r="H272" t="e">
        <f>AND('SP TMSYP'!E7,"AAAAAHF31Ac=")</f>
        <v>#VALUE!</v>
      </c>
      <c r="I272" t="e">
        <f>AND('SP TMSYP'!F7,"AAAAAHF31Ag=")</f>
        <v>#VALUE!</v>
      </c>
      <c r="J272">
        <f>IF('SP TMSYP'!8:8,"AAAAAHF31Ak=",0)</f>
        <v>0</v>
      </c>
      <c r="K272" t="e">
        <f>AND('SP TMSYP'!A8,"AAAAAHF31Ao=")</f>
        <v>#VALUE!</v>
      </c>
      <c r="L272" t="e">
        <f>AND('SP TMSYP'!B8,"AAAAAHF31As=")</f>
        <v>#VALUE!</v>
      </c>
      <c r="M272" t="e">
        <f>AND('SP TMSYP'!C8,"AAAAAHF31Aw=")</f>
        <v>#VALUE!</v>
      </c>
      <c r="N272" t="e">
        <f>AND('SP TMSYP'!D8,"AAAAAHF31A0=")</f>
        <v>#VALUE!</v>
      </c>
      <c r="O272" t="e">
        <f>AND('SP TMSYP'!E8,"AAAAAHF31A4=")</f>
        <v>#VALUE!</v>
      </c>
      <c r="P272" t="e">
        <f>AND('SP TMSYP'!F8,"AAAAAHF31A8=")</f>
        <v>#VALUE!</v>
      </c>
      <c r="Q272">
        <f>IF('SP TMSYP'!9:9,"AAAAAHF31BA=",0)</f>
        <v>0</v>
      </c>
      <c r="R272" t="e">
        <f>AND('SP TMSYP'!A9,"AAAAAHF31BE=")</f>
        <v>#VALUE!</v>
      </c>
      <c r="S272" t="e">
        <f>AND('SP TMSYP'!B9,"AAAAAHF31BI=")</f>
        <v>#VALUE!</v>
      </c>
      <c r="T272" t="e">
        <f>AND('SP TMSYP'!C9,"AAAAAHF31BM=")</f>
        <v>#VALUE!</v>
      </c>
      <c r="U272" t="e">
        <f>AND('SP TMSYP'!D9,"AAAAAHF31BQ=")</f>
        <v>#VALUE!</v>
      </c>
      <c r="V272" t="e">
        <f>AND('SP TMSYP'!E9,"AAAAAHF31BU=")</f>
        <v>#VALUE!</v>
      </c>
      <c r="W272" t="e">
        <f>AND('SP TMSYP'!F9,"AAAAAHF31BY=")</f>
        <v>#VALUE!</v>
      </c>
      <c r="X272">
        <f>IF('SP TMSYP'!10:10,"AAAAAHF31Bc=",0)</f>
        <v>0</v>
      </c>
      <c r="Y272" t="e">
        <f>AND('SP TMSYP'!A10,"AAAAAHF31Bg=")</f>
        <v>#VALUE!</v>
      </c>
      <c r="Z272" t="e">
        <f>AND('SP TMSYP'!B10,"AAAAAHF31Bk=")</f>
        <v>#VALUE!</v>
      </c>
      <c r="AA272" t="e">
        <f>AND('SP TMSYP'!C10,"AAAAAHF31Bo=")</f>
        <v>#VALUE!</v>
      </c>
      <c r="AB272" t="e">
        <f>AND('SP TMSYP'!D10,"AAAAAHF31Bs=")</f>
        <v>#VALUE!</v>
      </c>
      <c r="AC272" t="e">
        <f>AND('SP TMSYP'!E10,"AAAAAHF31Bw=")</f>
        <v>#VALUE!</v>
      </c>
      <c r="AD272" t="e">
        <f>AND('SP TMSYP'!F10,"AAAAAHF31B0=")</f>
        <v>#VALUE!</v>
      </c>
      <c r="AE272">
        <f>IF('SP TMSYP'!11:11,"AAAAAHF31B4=",0)</f>
        <v>0</v>
      </c>
      <c r="AF272" t="e">
        <f>AND('SP TMSYP'!A11,"AAAAAHF31B8=")</f>
        <v>#VALUE!</v>
      </c>
      <c r="AG272" t="e">
        <f>AND('SP TMSYP'!B11,"AAAAAHF31CA=")</f>
        <v>#VALUE!</v>
      </c>
      <c r="AH272" t="e">
        <f>AND('SP TMSYP'!C11,"AAAAAHF31CE=")</f>
        <v>#VALUE!</v>
      </c>
      <c r="AI272" t="e">
        <f>AND('SP TMSYP'!D11,"AAAAAHF31CI=")</f>
        <v>#VALUE!</v>
      </c>
      <c r="AJ272" t="e">
        <f>AND('SP TMSYP'!E11,"AAAAAHF31CM=")</f>
        <v>#VALUE!</v>
      </c>
      <c r="AK272" t="e">
        <f>AND('SP TMSYP'!F11,"AAAAAHF31CQ=")</f>
        <v>#VALUE!</v>
      </c>
      <c r="AL272">
        <f>IF('SP TMSYP'!12:12,"AAAAAHF31CU=",0)</f>
        <v>0</v>
      </c>
      <c r="AM272" t="e">
        <f>AND('SP TMSYP'!A12,"AAAAAHF31CY=")</f>
        <v>#VALUE!</v>
      </c>
      <c r="AN272" t="e">
        <f>AND('SP TMSYP'!B12,"AAAAAHF31Cc=")</f>
        <v>#VALUE!</v>
      </c>
      <c r="AO272" t="e">
        <f>AND('SP TMSYP'!C12,"AAAAAHF31Cg=")</f>
        <v>#VALUE!</v>
      </c>
      <c r="AP272" t="e">
        <f>AND('SP TMSYP'!D12,"AAAAAHF31Ck=")</f>
        <v>#VALUE!</v>
      </c>
      <c r="AQ272" t="e">
        <f>AND('SP TMSYP'!E12,"AAAAAHF31Co=")</f>
        <v>#VALUE!</v>
      </c>
      <c r="AR272" t="e">
        <f>AND('SP TMSYP'!F12,"AAAAAHF31Cs=")</f>
        <v>#VALUE!</v>
      </c>
      <c r="AS272">
        <f>IF('SP TMSYP'!13:13,"AAAAAHF31Cw=",0)</f>
        <v>0</v>
      </c>
      <c r="AT272" t="e">
        <f>AND('SP TMSYP'!A13,"AAAAAHF31C0=")</f>
        <v>#VALUE!</v>
      </c>
      <c r="AU272" t="e">
        <f>AND('SP TMSYP'!B13,"AAAAAHF31C4=")</f>
        <v>#VALUE!</v>
      </c>
      <c r="AV272" t="e">
        <f>AND('SP TMSYP'!C13,"AAAAAHF31C8=")</f>
        <v>#VALUE!</v>
      </c>
      <c r="AW272" t="e">
        <f>AND('SP TMSYP'!D13,"AAAAAHF31DA=")</f>
        <v>#VALUE!</v>
      </c>
      <c r="AX272" t="e">
        <f>AND('SP TMSYP'!E13,"AAAAAHF31DE=")</f>
        <v>#VALUE!</v>
      </c>
      <c r="AY272" t="e">
        <f>AND('SP TMSYP'!F13,"AAAAAHF31DI=")</f>
        <v>#VALUE!</v>
      </c>
      <c r="AZ272">
        <f>IF('SP TMSYP'!14:14,"AAAAAHF31DM=",0)</f>
        <v>0</v>
      </c>
      <c r="BA272" t="e">
        <f>AND('SP TMSYP'!A14,"AAAAAHF31DQ=")</f>
        <v>#VALUE!</v>
      </c>
      <c r="BB272" t="e">
        <f>AND('SP TMSYP'!B14,"AAAAAHF31DU=")</f>
        <v>#VALUE!</v>
      </c>
      <c r="BC272" t="e">
        <f>AND('SP TMSYP'!C14,"AAAAAHF31DY=")</f>
        <v>#VALUE!</v>
      </c>
      <c r="BD272" t="e">
        <f>AND('SP TMSYP'!D14,"AAAAAHF31Dc=")</f>
        <v>#VALUE!</v>
      </c>
      <c r="BE272" t="e">
        <f>AND('SP TMSYP'!E14,"AAAAAHF31Dg=")</f>
        <v>#VALUE!</v>
      </c>
      <c r="BF272" t="e">
        <f>AND('SP TMSYP'!F14,"AAAAAHF31Dk=")</f>
        <v>#VALUE!</v>
      </c>
      <c r="BG272">
        <f>IF('SP TMSYP'!15:15,"AAAAAHF31Do=",0)</f>
        <v>0</v>
      </c>
      <c r="BH272" t="e">
        <f>AND('SP TMSYP'!A15,"AAAAAHF31Ds=")</f>
        <v>#VALUE!</v>
      </c>
      <c r="BI272" t="e">
        <f>AND('SP TMSYP'!B15,"AAAAAHF31Dw=")</f>
        <v>#VALUE!</v>
      </c>
      <c r="BJ272" t="e">
        <f>AND('SP TMSYP'!C15,"AAAAAHF31D0=")</f>
        <v>#VALUE!</v>
      </c>
      <c r="BK272" t="e">
        <f>AND('SP TMSYP'!D15,"AAAAAHF31D4=")</f>
        <v>#VALUE!</v>
      </c>
      <c r="BL272" t="e">
        <f>AND('SP TMSYP'!E15,"AAAAAHF31D8=")</f>
        <v>#VALUE!</v>
      </c>
      <c r="BM272" t="e">
        <f>AND('SP TMSYP'!F15,"AAAAAHF31EA=")</f>
        <v>#VALUE!</v>
      </c>
      <c r="BN272">
        <f>IF('SP TMSYP'!16:16,"AAAAAHF31EE=",0)</f>
        <v>0</v>
      </c>
      <c r="BO272" t="e">
        <f>AND('SP TMSYP'!A16,"AAAAAHF31EI=")</f>
        <v>#VALUE!</v>
      </c>
      <c r="BP272" t="e">
        <f>AND('SP TMSYP'!B16,"AAAAAHF31EM=")</f>
        <v>#VALUE!</v>
      </c>
      <c r="BQ272" t="e">
        <f>AND('SP TMSYP'!C16,"AAAAAHF31EQ=")</f>
        <v>#VALUE!</v>
      </c>
      <c r="BR272" t="e">
        <f>AND('SP TMSYP'!D16,"AAAAAHF31EU=")</f>
        <v>#VALUE!</v>
      </c>
      <c r="BS272" t="e">
        <f>AND('SP TMSYP'!E16,"AAAAAHF31EY=")</f>
        <v>#VALUE!</v>
      </c>
      <c r="BT272" t="e">
        <f>AND('SP TMSYP'!F16,"AAAAAHF31Ec=")</f>
        <v>#VALUE!</v>
      </c>
      <c r="BU272">
        <f>IF('SP TMSYP'!17:17,"AAAAAHF31Eg=",0)</f>
        <v>0</v>
      </c>
      <c r="BV272" t="e">
        <f>AND('SP TMSYP'!A17,"AAAAAHF31Ek=")</f>
        <v>#VALUE!</v>
      </c>
      <c r="BW272" t="e">
        <f>AND('SP TMSYP'!B17,"AAAAAHF31Eo=")</f>
        <v>#VALUE!</v>
      </c>
      <c r="BX272" t="e">
        <f>AND('SP TMSYP'!C17,"AAAAAHF31Es=")</f>
        <v>#VALUE!</v>
      </c>
      <c r="BY272" t="e">
        <f>AND('SP TMSYP'!D17,"AAAAAHF31Ew=")</f>
        <v>#VALUE!</v>
      </c>
      <c r="BZ272" t="e">
        <f>AND('SP TMSYP'!E17,"AAAAAHF31E0=")</f>
        <v>#VALUE!</v>
      </c>
      <c r="CA272" t="e">
        <f>AND('SP TMSYP'!F17,"AAAAAHF31E4=")</f>
        <v>#VALUE!</v>
      </c>
      <c r="CB272">
        <f>IF('SP TMSYP'!18:18,"AAAAAHF31E8=",0)</f>
        <v>0</v>
      </c>
      <c r="CC272" t="e">
        <f>AND('SP TMSYP'!A18,"AAAAAHF31FA=")</f>
        <v>#VALUE!</v>
      </c>
      <c r="CD272" t="e">
        <f>AND('SP TMSYP'!B18,"AAAAAHF31FE=")</f>
        <v>#VALUE!</v>
      </c>
      <c r="CE272" t="e">
        <f>AND('SP TMSYP'!C18,"AAAAAHF31FI=")</f>
        <v>#VALUE!</v>
      </c>
      <c r="CF272" t="e">
        <f>AND('SP TMSYP'!D18,"AAAAAHF31FM=")</f>
        <v>#VALUE!</v>
      </c>
      <c r="CG272" t="e">
        <f>AND('SP TMSYP'!E18,"AAAAAHF31FQ=")</f>
        <v>#VALUE!</v>
      </c>
      <c r="CH272" t="e">
        <f>AND('SP TMSYP'!F18,"AAAAAHF31FU=")</f>
        <v>#VALUE!</v>
      </c>
      <c r="CI272">
        <f>IF('SP TMSYP'!19:19,"AAAAAHF31FY=",0)</f>
        <v>0</v>
      </c>
      <c r="CJ272" t="e">
        <f>AND('SP TMSYP'!A19,"AAAAAHF31Fc=")</f>
        <v>#VALUE!</v>
      </c>
      <c r="CK272" t="e">
        <f>AND('SP TMSYP'!B19,"AAAAAHF31Fg=")</f>
        <v>#VALUE!</v>
      </c>
      <c r="CL272" t="e">
        <f>AND('SP TMSYP'!C19,"AAAAAHF31Fk=")</f>
        <v>#VALUE!</v>
      </c>
      <c r="CM272" t="e">
        <f>AND('SP TMSYP'!D19,"AAAAAHF31Fo=")</f>
        <v>#VALUE!</v>
      </c>
      <c r="CN272" t="e">
        <f>AND('SP TMSYP'!E19,"AAAAAHF31Fs=")</f>
        <v>#VALUE!</v>
      </c>
      <c r="CO272" t="e">
        <f>AND('SP TMSYP'!F19,"AAAAAHF31Fw=")</f>
        <v>#VALUE!</v>
      </c>
      <c r="CP272">
        <f>IF('SP TMSYP'!20:20,"AAAAAHF31F0=",0)</f>
        <v>0</v>
      </c>
      <c r="CQ272" t="e">
        <f>AND('SP TMSYP'!A20,"AAAAAHF31F4=")</f>
        <v>#VALUE!</v>
      </c>
      <c r="CR272" t="e">
        <f>AND('SP TMSYP'!B20,"AAAAAHF31F8=")</f>
        <v>#VALUE!</v>
      </c>
      <c r="CS272" t="e">
        <f>AND('SP TMSYP'!C20,"AAAAAHF31GA=")</f>
        <v>#VALUE!</v>
      </c>
      <c r="CT272" t="e">
        <f>AND('SP TMSYP'!D20,"AAAAAHF31GE=")</f>
        <v>#VALUE!</v>
      </c>
      <c r="CU272" t="e">
        <f>AND('SP TMSYP'!E20,"AAAAAHF31GI=")</f>
        <v>#VALUE!</v>
      </c>
      <c r="CV272" t="e">
        <f>AND('SP TMSYP'!F20,"AAAAAHF31GM=")</f>
        <v>#VALUE!</v>
      </c>
      <c r="CW272">
        <f>IF('SP TMSYP'!21:21,"AAAAAHF31GQ=",0)</f>
        <v>0</v>
      </c>
      <c r="CX272" t="e">
        <f>AND('SP TMSYP'!A21,"AAAAAHF31GU=")</f>
        <v>#VALUE!</v>
      </c>
      <c r="CY272" t="e">
        <f>AND('SP TMSYP'!B21,"AAAAAHF31GY=")</f>
        <v>#VALUE!</v>
      </c>
      <c r="CZ272" t="e">
        <f>AND('SP TMSYP'!C21,"AAAAAHF31Gc=")</f>
        <v>#VALUE!</v>
      </c>
      <c r="DA272" t="e">
        <f>AND('SP TMSYP'!D21,"AAAAAHF31Gg=")</f>
        <v>#VALUE!</v>
      </c>
      <c r="DB272" t="e">
        <f>AND('SP TMSYP'!E21,"AAAAAHF31Gk=")</f>
        <v>#VALUE!</v>
      </c>
      <c r="DC272" t="e">
        <f>AND('SP TMSYP'!F21,"AAAAAHF31Go=")</f>
        <v>#VALUE!</v>
      </c>
      <c r="DD272">
        <f>IF('SP TMSYP'!22:22,"AAAAAHF31Gs=",0)</f>
        <v>0</v>
      </c>
      <c r="DE272" t="e">
        <f>AND('SP TMSYP'!A22,"AAAAAHF31Gw=")</f>
        <v>#VALUE!</v>
      </c>
      <c r="DF272" t="e">
        <f>AND('SP TMSYP'!B22,"AAAAAHF31G0=")</f>
        <v>#VALUE!</v>
      </c>
      <c r="DG272" t="e">
        <f>AND('SP TMSYP'!C22,"AAAAAHF31G4=")</f>
        <v>#VALUE!</v>
      </c>
      <c r="DH272" t="e">
        <f>AND('SP TMSYP'!D22,"AAAAAHF31G8=")</f>
        <v>#VALUE!</v>
      </c>
      <c r="DI272" t="e">
        <f>AND('SP TMSYP'!E22,"AAAAAHF31HA=")</f>
        <v>#VALUE!</v>
      </c>
      <c r="DJ272" t="e">
        <f>AND('SP TMSYP'!F22,"AAAAAHF31HE=")</f>
        <v>#VALUE!</v>
      </c>
      <c r="DK272">
        <f>IF('SP TMSYP'!23:23,"AAAAAHF31HI=",0)</f>
        <v>0</v>
      </c>
      <c r="DL272" t="e">
        <f>AND('SP TMSYP'!A23,"AAAAAHF31HM=")</f>
        <v>#VALUE!</v>
      </c>
      <c r="DM272" t="e">
        <f>AND('SP TMSYP'!B23,"AAAAAHF31HQ=")</f>
        <v>#VALUE!</v>
      </c>
      <c r="DN272" t="e">
        <f>AND('SP TMSYP'!C23,"AAAAAHF31HU=")</f>
        <v>#VALUE!</v>
      </c>
      <c r="DO272" t="e">
        <f>AND('SP TMSYP'!D23,"AAAAAHF31HY=")</f>
        <v>#VALUE!</v>
      </c>
      <c r="DP272" t="e">
        <f>AND('SP TMSYP'!E23,"AAAAAHF31Hc=")</f>
        <v>#VALUE!</v>
      </c>
      <c r="DQ272" t="e">
        <f>AND('SP TMSYP'!F23,"AAAAAHF31Hg=")</f>
        <v>#VALUE!</v>
      </c>
      <c r="DR272">
        <f>IF('SP TMSYP'!24:24,"AAAAAHF31Hk=",0)</f>
        <v>0</v>
      </c>
      <c r="DS272" t="e">
        <f>AND('SP TMSYP'!A24,"AAAAAHF31Ho=")</f>
        <v>#VALUE!</v>
      </c>
      <c r="DT272" t="e">
        <f>AND('SP TMSYP'!B24,"AAAAAHF31Hs=")</f>
        <v>#VALUE!</v>
      </c>
      <c r="DU272" t="e">
        <f>AND('SP TMSYP'!C24,"AAAAAHF31Hw=")</f>
        <v>#VALUE!</v>
      </c>
      <c r="DV272" t="e">
        <f>AND('SP TMSYP'!D24,"AAAAAHF31H0=")</f>
        <v>#VALUE!</v>
      </c>
      <c r="DW272" t="e">
        <f>AND('SP TMSYP'!E24,"AAAAAHF31H4=")</f>
        <v>#VALUE!</v>
      </c>
      <c r="DX272" t="e">
        <f>AND('SP TMSYP'!F24,"AAAAAHF31H8=")</f>
        <v>#VALUE!</v>
      </c>
      <c r="DY272">
        <f>IF('SP TMSYP'!25:25,"AAAAAHF31IA=",0)</f>
        <v>0</v>
      </c>
      <c r="DZ272" t="e">
        <f>AND('SP TMSYP'!A25,"AAAAAHF31IE=")</f>
        <v>#VALUE!</v>
      </c>
      <c r="EA272" t="e">
        <f>AND('SP TMSYP'!B25,"AAAAAHF31II=")</f>
        <v>#VALUE!</v>
      </c>
      <c r="EB272" t="e">
        <f>AND('SP TMSYP'!C25,"AAAAAHF31IM=")</f>
        <v>#VALUE!</v>
      </c>
      <c r="EC272" t="e">
        <f>AND('SP TMSYP'!D25,"AAAAAHF31IQ=")</f>
        <v>#VALUE!</v>
      </c>
      <c r="ED272" t="e">
        <f>AND('SP TMSYP'!E25,"AAAAAHF31IU=")</f>
        <v>#VALUE!</v>
      </c>
      <c r="EE272" t="e">
        <f>AND('SP TMSYP'!F25,"AAAAAHF31IY=")</f>
        <v>#VALUE!</v>
      </c>
      <c r="EF272">
        <f>IF('SP TMSYP'!26:26,"AAAAAHF31Ic=",0)</f>
        <v>0</v>
      </c>
      <c r="EG272" t="e">
        <f>AND('SP TMSYP'!A26,"AAAAAHF31Ig=")</f>
        <v>#VALUE!</v>
      </c>
      <c r="EH272" t="e">
        <f>AND('SP TMSYP'!B26,"AAAAAHF31Ik=")</f>
        <v>#VALUE!</v>
      </c>
      <c r="EI272" t="e">
        <f>AND('SP TMSYP'!C26,"AAAAAHF31Io=")</f>
        <v>#VALUE!</v>
      </c>
      <c r="EJ272" t="e">
        <f>AND('SP TMSYP'!D26,"AAAAAHF31Is=")</f>
        <v>#VALUE!</v>
      </c>
      <c r="EK272" t="e">
        <f>AND('SP TMSYP'!E26,"AAAAAHF31Iw=")</f>
        <v>#VALUE!</v>
      </c>
      <c r="EL272" t="e">
        <f>AND('SP TMSYP'!F26,"AAAAAHF31I0=")</f>
        <v>#VALUE!</v>
      </c>
      <c r="EM272">
        <f>IF('SP TMSYP'!27:27,"AAAAAHF31I4=",0)</f>
        <v>0</v>
      </c>
      <c r="EN272" t="e">
        <f>AND('SP TMSYP'!A27,"AAAAAHF31I8=")</f>
        <v>#VALUE!</v>
      </c>
      <c r="EO272" t="e">
        <f>AND('SP TMSYP'!B27,"AAAAAHF31JA=")</f>
        <v>#VALUE!</v>
      </c>
      <c r="EP272" t="e">
        <f>AND('SP TMSYP'!C27,"AAAAAHF31JE=")</f>
        <v>#VALUE!</v>
      </c>
      <c r="EQ272" t="e">
        <f>AND('SP TMSYP'!D27,"AAAAAHF31JI=")</f>
        <v>#VALUE!</v>
      </c>
      <c r="ER272" t="e">
        <f>AND('SP TMSYP'!E27,"AAAAAHF31JM=")</f>
        <v>#VALUE!</v>
      </c>
      <c r="ES272" t="e">
        <f>AND('SP TMSYP'!F27,"AAAAAHF31JQ=")</f>
        <v>#VALUE!</v>
      </c>
      <c r="ET272">
        <f>IF('SP TMSYP'!28:28,"AAAAAHF31JU=",0)</f>
        <v>0</v>
      </c>
      <c r="EU272" t="e">
        <f>AND('SP TMSYP'!A28,"AAAAAHF31JY=")</f>
        <v>#VALUE!</v>
      </c>
      <c r="EV272" t="e">
        <f>AND('SP TMSYP'!B28,"AAAAAHF31Jc=")</f>
        <v>#VALUE!</v>
      </c>
      <c r="EW272" t="e">
        <f>AND('SP TMSYP'!C28,"AAAAAHF31Jg=")</f>
        <v>#VALUE!</v>
      </c>
      <c r="EX272" t="e">
        <f>AND('SP TMSYP'!D28,"AAAAAHF31Jk=")</f>
        <v>#VALUE!</v>
      </c>
      <c r="EY272" t="e">
        <f>AND('SP TMSYP'!E28,"AAAAAHF31Jo=")</f>
        <v>#VALUE!</v>
      </c>
      <c r="EZ272" t="e">
        <f>AND('SP TMSYP'!F28,"AAAAAHF31Js=")</f>
        <v>#VALUE!</v>
      </c>
      <c r="FA272">
        <f>IF('SP TMSYP'!29:29,"AAAAAHF31Jw=",0)</f>
        <v>0</v>
      </c>
      <c r="FB272" t="e">
        <f>AND('SP TMSYP'!A29,"AAAAAHF31J0=")</f>
        <v>#VALUE!</v>
      </c>
      <c r="FC272" t="e">
        <f>AND('SP TMSYP'!B29,"AAAAAHF31J4=")</f>
        <v>#VALUE!</v>
      </c>
      <c r="FD272" t="e">
        <f>AND('SP TMSYP'!C29,"AAAAAHF31J8=")</f>
        <v>#VALUE!</v>
      </c>
      <c r="FE272" t="e">
        <f>AND('SP TMSYP'!D29,"AAAAAHF31KA=")</f>
        <v>#VALUE!</v>
      </c>
      <c r="FF272" t="e">
        <f>AND('SP TMSYP'!E29,"AAAAAHF31KE=")</f>
        <v>#VALUE!</v>
      </c>
      <c r="FG272" t="e">
        <f>AND('SP TMSYP'!F29,"AAAAAHF31KI=")</f>
        <v>#VALUE!</v>
      </c>
      <c r="FH272">
        <f>IF('SP TMSYP'!30:30,"AAAAAHF31KM=",0)</f>
        <v>0</v>
      </c>
      <c r="FI272" t="e">
        <f>AND('SP TMSYP'!A30,"AAAAAHF31KQ=")</f>
        <v>#VALUE!</v>
      </c>
      <c r="FJ272" t="e">
        <f>AND('SP TMSYP'!B30,"AAAAAHF31KU=")</f>
        <v>#VALUE!</v>
      </c>
      <c r="FK272" t="e">
        <f>AND('SP TMSYP'!C30,"AAAAAHF31KY=")</f>
        <v>#VALUE!</v>
      </c>
      <c r="FL272" t="e">
        <f>AND('SP TMSYP'!D30,"AAAAAHF31Kc=")</f>
        <v>#VALUE!</v>
      </c>
      <c r="FM272" t="e">
        <f>AND('SP TMSYP'!E30,"AAAAAHF31Kg=")</f>
        <v>#VALUE!</v>
      </c>
      <c r="FN272" t="e">
        <f>AND('SP TMSYP'!F30,"AAAAAHF31Kk=")</f>
        <v>#VALUE!</v>
      </c>
      <c r="FO272">
        <f>IF('SP TMSYP'!31:31,"AAAAAHF31Ko=",0)</f>
        <v>0</v>
      </c>
      <c r="FP272" t="e">
        <f>AND('SP TMSYP'!A31,"AAAAAHF31Ks=")</f>
        <v>#VALUE!</v>
      </c>
      <c r="FQ272" t="e">
        <f>AND('SP TMSYP'!B31,"AAAAAHF31Kw=")</f>
        <v>#VALUE!</v>
      </c>
      <c r="FR272" t="e">
        <f>AND('SP TMSYP'!C31,"AAAAAHF31K0=")</f>
        <v>#VALUE!</v>
      </c>
      <c r="FS272" t="e">
        <f>AND('SP TMSYP'!D31,"AAAAAHF31K4=")</f>
        <v>#VALUE!</v>
      </c>
      <c r="FT272" t="e">
        <f>AND('SP TMSYP'!E31,"AAAAAHF31K8=")</f>
        <v>#VALUE!</v>
      </c>
      <c r="FU272" t="e">
        <f>AND('SP TMSYP'!F31,"AAAAAHF31LA=")</f>
        <v>#VALUE!</v>
      </c>
      <c r="FV272">
        <f>IF('SP TMSYP'!32:32,"AAAAAHF31LE=",0)</f>
        <v>0</v>
      </c>
      <c r="FW272" t="e">
        <f>AND('SP TMSYP'!A32,"AAAAAHF31LI=")</f>
        <v>#VALUE!</v>
      </c>
      <c r="FX272" t="e">
        <f>AND('SP TMSYP'!B32,"AAAAAHF31LM=")</f>
        <v>#VALUE!</v>
      </c>
      <c r="FY272" t="e">
        <f>AND('SP TMSYP'!C32,"AAAAAHF31LQ=")</f>
        <v>#VALUE!</v>
      </c>
      <c r="FZ272" t="e">
        <f>AND('SP TMSYP'!D32,"AAAAAHF31LU=")</f>
        <v>#VALUE!</v>
      </c>
      <c r="GA272" t="e">
        <f>AND('SP TMSYP'!E32,"AAAAAHF31LY=")</f>
        <v>#VALUE!</v>
      </c>
      <c r="GB272" t="e">
        <f>AND('SP TMSYP'!F32,"AAAAAHF31Lc=")</f>
        <v>#VALUE!</v>
      </c>
      <c r="GC272">
        <f>IF('SP TMSYP'!33:33,"AAAAAHF31Lg=",0)</f>
        <v>0</v>
      </c>
      <c r="GD272" t="e">
        <f>AND('SP TMSYP'!A33,"AAAAAHF31Lk=")</f>
        <v>#VALUE!</v>
      </c>
      <c r="GE272" t="e">
        <f>AND('SP TMSYP'!B33,"AAAAAHF31Lo=")</f>
        <v>#VALUE!</v>
      </c>
      <c r="GF272" t="e">
        <f>AND('SP TMSYP'!C33,"AAAAAHF31Ls=")</f>
        <v>#VALUE!</v>
      </c>
      <c r="GG272" t="e">
        <f>AND('SP TMSYP'!D33,"AAAAAHF31Lw=")</f>
        <v>#VALUE!</v>
      </c>
      <c r="GH272" t="e">
        <f>AND('SP TMSYP'!E33,"AAAAAHF31L0=")</f>
        <v>#VALUE!</v>
      </c>
      <c r="GI272" t="e">
        <f>AND('SP TMSYP'!F33,"AAAAAHF31L4=")</f>
        <v>#VALUE!</v>
      </c>
      <c r="GJ272">
        <f>IF('SP TMSYP'!34:34,"AAAAAHF31L8=",0)</f>
        <v>0</v>
      </c>
      <c r="GK272" t="e">
        <f>AND('SP TMSYP'!A34,"AAAAAHF31MA=")</f>
        <v>#VALUE!</v>
      </c>
      <c r="GL272" t="e">
        <f>AND('SP TMSYP'!B34,"AAAAAHF31ME=")</f>
        <v>#VALUE!</v>
      </c>
      <c r="GM272" t="e">
        <f>AND('SP TMSYP'!C34,"AAAAAHF31MI=")</f>
        <v>#VALUE!</v>
      </c>
      <c r="GN272" t="e">
        <f>AND('SP TMSYP'!D34,"AAAAAHF31MM=")</f>
        <v>#VALUE!</v>
      </c>
      <c r="GO272" t="e">
        <f>AND('SP TMSYP'!E34,"AAAAAHF31MQ=")</f>
        <v>#VALUE!</v>
      </c>
      <c r="GP272" t="e">
        <f>AND('SP TMSYP'!F34,"AAAAAHF31MU=")</f>
        <v>#VALUE!</v>
      </c>
      <c r="GQ272">
        <f>IF('SP TMSYP'!35:35,"AAAAAHF31MY=",0)</f>
        <v>0</v>
      </c>
      <c r="GR272" t="e">
        <f>AND('SP TMSYP'!A35,"AAAAAHF31Mc=")</f>
        <v>#VALUE!</v>
      </c>
      <c r="GS272" t="e">
        <f>AND('SP TMSYP'!B35,"AAAAAHF31Mg=")</f>
        <v>#VALUE!</v>
      </c>
      <c r="GT272" t="e">
        <f>AND('SP TMSYP'!C35,"AAAAAHF31Mk=")</f>
        <v>#VALUE!</v>
      </c>
      <c r="GU272" t="e">
        <f>AND('SP TMSYP'!D35,"AAAAAHF31Mo=")</f>
        <v>#VALUE!</v>
      </c>
      <c r="GV272" t="e">
        <f>AND('SP TMSYP'!E35,"AAAAAHF31Ms=")</f>
        <v>#VALUE!</v>
      </c>
      <c r="GW272" t="e">
        <f>AND('SP TMSYP'!F35,"AAAAAHF31Mw=")</f>
        <v>#VALUE!</v>
      </c>
      <c r="GX272">
        <f>IF('SP TMSYP'!36:36,"AAAAAHF31M0=",0)</f>
        <v>0</v>
      </c>
      <c r="GY272" t="e">
        <f>AND('SP TMSYP'!A36,"AAAAAHF31M4=")</f>
        <v>#VALUE!</v>
      </c>
      <c r="GZ272" t="e">
        <f>AND('SP TMSYP'!B36,"AAAAAHF31M8=")</f>
        <v>#VALUE!</v>
      </c>
      <c r="HA272" t="e">
        <f>AND('SP TMSYP'!C36,"AAAAAHF31NA=")</f>
        <v>#VALUE!</v>
      </c>
      <c r="HB272" t="e">
        <f>AND('SP TMSYP'!D36,"AAAAAHF31NE=")</f>
        <v>#VALUE!</v>
      </c>
      <c r="HC272" t="e">
        <f>AND('SP TMSYP'!E36,"AAAAAHF31NI=")</f>
        <v>#VALUE!</v>
      </c>
      <c r="HD272" t="e">
        <f>AND('SP TMSYP'!F36,"AAAAAHF31NM=")</f>
        <v>#VALUE!</v>
      </c>
      <c r="HE272">
        <f>IF('SP TMSYP'!37:37,"AAAAAHF31NQ=",0)</f>
        <v>0</v>
      </c>
      <c r="HF272" t="e">
        <f>AND('SP TMSYP'!A37,"AAAAAHF31NU=")</f>
        <v>#VALUE!</v>
      </c>
      <c r="HG272" t="e">
        <f>AND('SP TMSYP'!B37,"AAAAAHF31NY=")</f>
        <v>#VALUE!</v>
      </c>
      <c r="HH272" t="e">
        <f>AND('SP TMSYP'!C37,"AAAAAHF31Nc=")</f>
        <v>#VALUE!</v>
      </c>
      <c r="HI272" t="e">
        <f>AND('SP TMSYP'!D37,"AAAAAHF31Ng=")</f>
        <v>#VALUE!</v>
      </c>
      <c r="HJ272" t="e">
        <f>AND('SP TMSYP'!E37,"AAAAAHF31Nk=")</f>
        <v>#VALUE!</v>
      </c>
      <c r="HK272" t="e">
        <f>AND('SP TMSYP'!F37,"AAAAAHF31No=")</f>
        <v>#VALUE!</v>
      </c>
      <c r="HL272">
        <f>IF('SP TMSYP'!38:38,"AAAAAHF31Ns=",0)</f>
        <v>0</v>
      </c>
      <c r="HM272" t="e">
        <f>AND('SP TMSYP'!A38,"AAAAAHF31Nw=")</f>
        <v>#VALUE!</v>
      </c>
      <c r="HN272" t="e">
        <f>AND('SP TMSYP'!B38,"AAAAAHF31N0=")</f>
        <v>#VALUE!</v>
      </c>
      <c r="HO272" t="e">
        <f>AND('SP TMSYP'!C38,"AAAAAHF31N4=")</f>
        <v>#VALUE!</v>
      </c>
      <c r="HP272" t="e">
        <f>AND('SP TMSYP'!D38,"AAAAAHF31N8=")</f>
        <v>#VALUE!</v>
      </c>
      <c r="HQ272" t="e">
        <f>AND('SP TMSYP'!E38,"AAAAAHF31OA=")</f>
        <v>#VALUE!</v>
      </c>
      <c r="HR272" t="e">
        <f>AND('SP TMSYP'!F38,"AAAAAHF31OE=")</f>
        <v>#VALUE!</v>
      </c>
      <c r="HS272">
        <f>IF('SP TMSYP'!39:39,"AAAAAHF31OI=",0)</f>
        <v>0</v>
      </c>
      <c r="HT272" t="e">
        <f>AND('SP TMSYP'!A39,"AAAAAHF31OM=")</f>
        <v>#VALUE!</v>
      </c>
      <c r="HU272" t="e">
        <f>AND('SP TMSYP'!B39,"AAAAAHF31OQ=")</f>
        <v>#VALUE!</v>
      </c>
      <c r="HV272" t="e">
        <f>AND('SP TMSYP'!C39,"AAAAAHF31OU=")</f>
        <v>#VALUE!</v>
      </c>
      <c r="HW272" t="e">
        <f>AND('SP TMSYP'!D39,"AAAAAHF31OY=")</f>
        <v>#VALUE!</v>
      </c>
      <c r="HX272" t="e">
        <f>AND('SP TMSYP'!E39,"AAAAAHF31Oc=")</f>
        <v>#VALUE!</v>
      </c>
      <c r="HY272" t="e">
        <f>AND('SP TMSYP'!F39,"AAAAAHF31Og=")</f>
        <v>#VALUE!</v>
      </c>
      <c r="HZ272">
        <f>IF('SP TMSYP'!40:40,"AAAAAHF31Ok=",0)</f>
        <v>0</v>
      </c>
      <c r="IA272" t="e">
        <f>AND('SP TMSYP'!A40,"AAAAAHF31Oo=")</f>
        <v>#VALUE!</v>
      </c>
      <c r="IB272" t="e">
        <f>AND('SP TMSYP'!B40,"AAAAAHF31Os=")</f>
        <v>#VALUE!</v>
      </c>
      <c r="IC272" t="e">
        <f>AND('SP TMSYP'!C40,"AAAAAHF31Ow=")</f>
        <v>#VALUE!</v>
      </c>
      <c r="ID272" t="e">
        <f>AND('SP TMSYP'!D40,"AAAAAHF31O0=")</f>
        <v>#VALUE!</v>
      </c>
      <c r="IE272" t="e">
        <f>AND('SP TMSYP'!E40,"AAAAAHF31O4=")</f>
        <v>#VALUE!</v>
      </c>
      <c r="IF272" t="e">
        <f>AND('SP TMSYP'!F40,"AAAAAHF31O8=")</f>
        <v>#VALUE!</v>
      </c>
      <c r="IG272">
        <f>IF('SP TMSYP'!41:41,"AAAAAHF31PA=",0)</f>
        <v>0</v>
      </c>
      <c r="IH272" t="e">
        <f>AND('SP TMSYP'!A41,"AAAAAHF31PE=")</f>
        <v>#VALUE!</v>
      </c>
      <c r="II272" t="e">
        <f>AND('SP TMSYP'!B41,"AAAAAHF31PI=")</f>
        <v>#VALUE!</v>
      </c>
      <c r="IJ272" t="e">
        <f>AND('SP TMSYP'!C41,"AAAAAHF31PM=")</f>
        <v>#VALUE!</v>
      </c>
      <c r="IK272" t="e">
        <f>AND('SP TMSYP'!D41,"AAAAAHF31PQ=")</f>
        <v>#VALUE!</v>
      </c>
      <c r="IL272" t="e">
        <f>AND('SP TMSYP'!E41,"AAAAAHF31PU=")</f>
        <v>#VALUE!</v>
      </c>
      <c r="IM272" t="e">
        <f>AND('SP TMSYP'!F41,"AAAAAHF31PY=")</f>
        <v>#VALUE!</v>
      </c>
      <c r="IN272">
        <f>IF('SP TMSYP'!42:42,"AAAAAHF31Pc=",0)</f>
        <v>0</v>
      </c>
      <c r="IO272" t="e">
        <f>AND('SP TMSYP'!A42,"AAAAAHF31Pg=")</f>
        <v>#VALUE!</v>
      </c>
      <c r="IP272" t="e">
        <f>AND('SP TMSYP'!B42,"AAAAAHF31Pk=")</f>
        <v>#VALUE!</v>
      </c>
      <c r="IQ272" t="e">
        <f>AND('SP TMSYP'!C42,"AAAAAHF31Po=")</f>
        <v>#VALUE!</v>
      </c>
      <c r="IR272" t="e">
        <f>AND('SP TMSYP'!D42,"AAAAAHF31Ps=")</f>
        <v>#VALUE!</v>
      </c>
      <c r="IS272" t="e">
        <f>AND('SP TMSYP'!E42,"AAAAAHF31Pw=")</f>
        <v>#VALUE!</v>
      </c>
      <c r="IT272" t="e">
        <f>AND('SP TMSYP'!F42,"AAAAAHF31P0=")</f>
        <v>#VALUE!</v>
      </c>
      <c r="IU272">
        <f>IF('SP TMSYP'!43:43,"AAAAAHF31P4=",0)</f>
        <v>0</v>
      </c>
      <c r="IV272" t="e">
        <f>AND('SP TMSYP'!A43,"AAAAAHF31P8=")</f>
        <v>#VALUE!</v>
      </c>
    </row>
    <row r="273" spans="1:256">
      <c r="A273" t="e">
        <f>AND('SP TMSYP'!B43,"AAAAAHcq9wA=")</f>
        <v>#VALUE!</v>
      </c>
      <c r="B273" t="e">
        <f>AND('SP TMSYP'!C43,"AAAAAHcq9wE=")</f>
        <v>#VALUE!</v>
      </c>
      <c r="C273" t="e">
        <f>AND('SP TMSYP'!D43,"AAAAAHcq9wI=")</f>
        <v>#VALUE!</v>
      </c>
      <c r="D273" t="e">
        <f>AND('SP TMSYP'!E43,"AAAAAHcq9wM=")</f>
        <v>#VALUE!</v>
      </c>
      <c r="E273" t="e">
        <f>AND('SP TMSYP'!F43,"AAAAAHcq9wQ=")</f>
        <v>#VALUE!</v>
      </c>
      <c r="F273">
        <f>IF('SP TMSYP'!44:44,"AAAAAHcq9wU=",0)</f>
        <v>0</v>
      </c>
      <c r="G273" t="e">
        <f>AND('SP TMSYP'!A44,"AAAAAHcq9wY=")</f>
        <v>#VALUE!</v>
      </c>
      <c r="H273" t="e">
        <f>AND('SP TMSYP'!B44,"AAAAAHcq9wc=")</f>
        <v>#VALUE!</v>
      </c>
      <c r="I273" t="e">
        <f>AND('SP TMSYP'!C44,"AAAAAHcq9wg=")</f>
        <v>#VALUE!</v>
      </c>
      <c r="J273" t="e">
        <f>AND('SP TMSYP'!D44,"AAAAAHcq9wk=")</f>
        <v>#VALUE!</v>
      </c>
      <c r="K273" t="e">
        <f>AND('SP TMSYP'!E44,"AAAAAHcq9wo=")</f>
        <v>#VALUE!</v>
      </c>
      <c r="L273" t="e">
        <f>AND('SP TMSYP'!F44,"AAAAAHcq9ws=")</f>
        <v>#VALUE!</v>
      </c>
      <c r="M273">
        <f>IF('SP TMSYP'!45:45,"AAAAAHcq9ww=",0)</f>
        <v>0</v>
      </c>
      <c r="N273" t="e">
        <f>AND('SP TMSYP'!A45,"AAAAAHcq9w0=")</f>
        <v>#VALUE!</v>
      </c>
      <c r="O273" t="e">
        <f>AND('SP TMSYP'!B45,"AAAAAHcq9w4=")</f>
        <v>#VALUE!</v>
      </c>
      <c r="P273" t="e">
        <f>AND('SP TMSYP'!C45,"AAAAAHcq9w8=")</f>
        <v>#VALUE!</v>
      </c>
      <c r="Q273" t="e">
        <f>AND('SP TMSYP'!D45,"AAAAAHcq9xA=")</f>
        <v>#VALUE!</v>
      </c>
      <c r="R273" t="e">
        <f>AND('SP TMSYP'!E45,"AAAAAHcq9xE=")</f>
        <v>#VALUE!</v>
      </c>
      <c r="S273" t="e">
        <f>AND('SP TMSYP'!F45,"AAAAAHcq9xI=")</f>
        <v>#VALUE!</v>
      </c>
      <c r="T273">
        <f>IF('SP TMSYP'!46:46,"AAAAAHcq9xM=",0)</f>
        <v>0</v>
      </c>
      <c r="U273" t="e">
        <f>AND('SP TMSYP'!A46,"AAAAAHcq9xQ=")</f>
        <v>#VALUE!</v>
      </c>
      <c r="V273" t="e">
        <f>AND('SP TMSYP'!B46,"AAAAAHcq9xU=")</f>
        <v>#VALUE!</v>
      </c>
      <c r="W273" t="e">
        <f>AND('SP TMSYP'!C46,"AAAAAHcq9xY=")</f>
        <v>#VALUE!</v>
      </c>
      <c r="X273" t="e">
        <f>AND('SP TMSYP'!D46,"AAAAAHcq9xc=")</f>
        <v>#VALUE!</v>
      </c>
      <c r="Y273" t="e">
        <f>AND('SP TMSYP'!E46,"AAAAAHcq9xg=")</f>
        <v>#VALUE!</v>
      </c>
      <c r="Z273" t="e">
        <f>AND('SP TMSYP'!F46,"AAAAAHcq9xk=")</f>
        <v>#VALUE!</v>
      </c>
      <c r="AA273">
        <f>IF('SP TMSYP'!47:47,"AAAAAHcq9xo=",0)</f>
        <v>0</v>
      </c>
      <c r="AB273" t="e">
        <f>AND('SP TMSYP'!A47,"AAAAAHcq9xs=")</f>
        <v>#VALUE!</v>
      </c>
      <c r="AC273" t="e">
        <f>AND('SP TMSYP'!B47,"AAAAAHcq9xw=")</f>
        <v>#VALUE!</v>
      </c>
      <c r="AD273" t="e">
        <f>AND('SP TMSYP'!C47,"AAAAAHcq9x0=")</f>
        <v>#VALUE!</v>
      </c>
      <c r="AE273" t="e">
        <f>AND('SP TMSYP'!D47,"AAAAAHcq9x4=")</f>
        <v>#VALUE!</v>
      </c>
      <c r="AF273" t="e">
        <f>AND('SP TMSYP'!E47,"AAAAAHcq9x8=")</f>
        <v>#VALUE!</v>
      </c>
      <c r="AG273" t="e">
        <f>AND('SP TMSYP'!F47,"AAAAAHcq9yA=")</f>
        <v>#VALUE!</v>
      </c>
      <c r="AH273">
        <f>IF('SP TMSYP'!48:48,"AAAAAHcq9yE=",0)</f>
        <v>0</v>
      </c>
      <c r="AI273" t="e">
        <f>AND('SP TMSYP'!A48,"AAAAAHcq9yI=")</f>
        <v>#VALUE!</v>
      </c>
      <c r="AJ273" t="e">
        <f>AND('SP TMSYP'!B48,"AAAAAHcq9yM=")</f>
        <v>#VALUE!</v>
      </c>
      <c r="AK273" t="e">
        <f>AND('SP TMSYP'!C48,"AAAAAHcq9yQ=")</f>
        <v>#VALUE!</v>
      </c>
      <c r="AL273" t="e">
        <f>AND('SP TMSYP'!D48,"AAAAAHcq9yU=")</f>
        <v>#VALUE!</v>
      </c>
      <c r="AM273" t="e">
        <f>AND('SP TMSYP'!E48,"AAAAAHcq9yY=")</f>
        <v>#VALUE!</v>
      </c>
      <c r="AN273" t="e">
        <f>AND('SP TMSYP'!F48,"AAAAAHcq9yc=")</f>
        <v>#VALUE!</v>
      </c>
      <c r="AO273">
        <f>IF('SP TMSYP'!49:49,"AAAAAHcq9yg=",0)</f>
        <v>0</v>
      </c>
      <c r="AP273" t="e">
        <f>AND('SP TMSYP'!A49,"AAAAAHcq9yk=")</f>
        <v>#VALUE!</v>
      </c>
      <c r="AQ273" t="e">
        <f>AND('SP TMSYP'!B49,"AAAAAHcq9yo=")</f>
        <v>#VALUE!</v>
      </c>
      <c r="AR273" t="e">
        <f>AND('SP TMSYP'!C49,"AAAAAHcq9ys=")</f>
        <v>#VALUE!</v>
      </c>
      <c r="AS273" t="e">
        <f>AND('SP TMSYP'!D49,"AAAAAHcq9yw=")</f>
        <v>#VALUE!</v>
      </c>
      <c r="AT273" t="e">
        <f>AND('SP TMSYP'!E49,"AAAAAHcq9y0=")</f>
        <v>#VALUE!</v>
      </c>
      <c r="AU273" t="e">
        <f>AND('SP TMSYP'!F49,"AAAAAHcq9y4=")</f>
        <v>#VALUE!</v>
      </c>
      <c r="AV273">
        <f>IF('SP TMSYP'!50:50,"AAAAAHcq9y8=",0)</f>
        <v>0</v>
      </c>
      <c r="AW273" t="e">
        <f>AND('SP TMSYP'!A50,"AAAAAHcq9zA=")</f>
        <v>#VALUE!</v>
      </c>
      <c r="AX273" t="e">
        <f>AND('SP TMSYP'!B50,"AAAAAHcq9zE=")</f>
        <v>#VALUE!</v>
      </c>
      <c r="AY273" t="e">
        <f>AND('SP TMSYP'!C50,"AAAAAHcq9zI=")</f>
        <v>#VALUE!</v>
      </c>
      <c r="AZ273" t="e">
        <f>AND('SP TMSYP'!D50,"AAAAAHcq9zM=")</f>
        <v>#VALUE!</v>
      </c>
      <c r="BA273" t="e">
        <f>AND('SP TMSYP'!E50,"AAAAAHcq9zQ=")</f>
        <v>#VALUE!</v>
      </c>
      <c r="BB273" t="e">
        <f>AND('SP TMSYP'!F50,"AAAAAHcq9zU=")</f>
        <v>#VALUE!</v>
      </c>
      <c r="BC273">
        <f>IF('SP TMSYP'!51:51,"AAAAAHcq9zY=",0)</f>
        <v>0</v>
      </c>
      <c r="BD273" t="e">
        <f>AND('SP TMSYP'!A51,"AAAAAHcq9zc=")</f>
        <v>#VALUE!</v>
      </c>
      <c r="BE273" t="e">
        <f>AND('SP TMSYP'!B51,"AAAAAHcq9zg=")</f>
        <v>#VALUE!</v>
      </c>
      <c r="BF273" t="e">
        <f>AND('SP TMSYP'!C51,"AAAAAHcq9zk=")</f>
        <v>#VALUE!</v>
      </c>
      <c r="BG273" t="e">
        <f>AND('SP TMSYP'!D51,"AAAAAHcq9zo=")</f>
        <v>#VALUE!</v>
      </c>
      <c r="BH273" t="e">
        <f>AND('SP TMSYP'!E51,"AAAAAHcq9zs=")</f>
        <v>#VALUE!</v>
      </c>
      <c r="BI273" t="e">
        <f>AND('SP TMSYP'!F51,"AAAAAHcq9zw=")</f>
        <v>#VALUE!</v>
      </c>
      <c r="BJ273">
        <f>IF('SP TMSYP'!52:52,"AAAAAHcq9z0=",0)</f>
        <v>0</v>
      </c>
      <c r="BK273" t="e">
        <f>AND('SP TMSYP'!A52,"AAAAAHcq9z4=")</f>
        <v>#VALUE!</v>
      </c>
      <c r="BL273" t="e">
        <f>AND('SP TMSYP'!B52,"AAAAAHcq9z8=")</f>
        <v>#VALUE!</v>
      </c>
      <c r="BM273" t="e">
        <f>AND('SP TMSYP'!C52,"AAAAAHcq90A=")</f>
        <v>#VALUE!</v>
      </c>
      <c r="BN273" t="e">
        <f>AND('SP TMSYP'!D52,"AAAAAHcq90E=")</f>
        <v>#VALUE!</v>
      </c>
      <c r="BO273" t="e">
        <f>AND('SP TMSYP'!E52,"AAAAAHcq90I=")</f>
        <v>#VALUE!</v>
      </c>
      <c r="BP273" t="e">
        <f>AND('SP TMSYP'!F52,"AAAAAHcq90M=")</f>
        <v>#VALUE!</v>
      </c>
      <c r="BQ273">
        <f>IF('SP TMSYP'!53:53,"AAAAAHcq90Q=",0)</f>
        <v>0</v>
      </c>
      <c r="BR273" t="e">
        <f>AND('SP TMSYP'!A53,"AAAAAHcq90U=")</f>
        <v>#VALUE!</v>
      </c>
      <c r="BS273" t="e">
        <f>AND('SP TMSYP'!B53,"AAAAAHcq90Y=")</f>
        <v>#VALUE!</v>
      </c>
      <c r="BT273" t="e">
        <f>AND('SP TMSYP'!C53,"AAAAAHcq90c=")</f>
        <v>#VALUE!</v>
      </c>
      <c r="BU273" t="e">
        <f>AND('SP TMSYP'!D53,"AAAAAHcq90g=")</f>
        <v>#VALUE!</v>
      </c>
      <c r="BV273" t="e">
        <f>AND('SP TMSYP'!E53,"AAAAAHcq90k=")</f>
        <v>#VALUE!</v>
      </c>
      <c r="BW273" t="e">
        <f>AND('SP TMSYP'!F53,"AAAAAHcq90o=")</f>
        <v>#VALUE!</v>
      </c>
      <c r="BX273">
        <f>IF('SP TMSYP'!54:54,"AAAAAHcq90s=",0)</f>
        <v>0</v>
      </c>
      <c r="BY273" t="e">
        <f>AND('SP TMSYP'!A54,"AAAAAHcq90w=")</f>
        <v>#VALUE!</v>
      </c>
      <c r="BZ273" t="e">
        <f>AND('SP TMSYP'!B54,"AAAAAHcq900=")</f>
        <v>#VALUE!</v>
      </c>
      <c r="CA273" t="e">
        <f>AND('SP TMSYP'!C54,"AAAAAHcq904=")</f>
        <v>#VALUE!</v>
      </c>
      <c r="CB273" t="e">
        <f>AND('SP TMSYP'!D54,"AAAAAHcq908=")</f>
        <v>#VALUE!</v>
      </c>
      <c r="CC273" t="e">
        <f>AND('SP TMSYP'!E54,"AAAAAHcq91A=")</f>
        <v>#VALUE!</v>
      </c>
      <c r="CD273" t="e">
        <f>AND('SP TMSYP'!F54,"AAAAAHcq91E=")</f>
        <v>#VALUE!</v>
      </c>
      <c r="CE273">
        <f>IF('SP TMSYP'!55:55,"AAAAAHcq91I=",0)</f>
        <v>0</v>
      </c>
      <c r="CF273" t="e">
        <f>AND('SP TMSYP'!A55,"AAAAAHcq91M=")</f>
        <v>#VALUE!</v>
      </c>
      <c r="CG273" t="e">
        <f>AND('SP TMSYP'!B55,"AAAAAHcq91Q=")</f>
        <v>#VALUE!</v>
      </c>
      <c r="CH273" t="e">
        <f>AND('SP TMSYP'!C55,"AAAAAHcq91U=")</f>
        <v>#VALUE!</v>
      </c>
      <c r="CI273" t="e">
        <f>AND('SP TMSYP'!D55,"AAAAAHcq91Y=")</f>
        <v>#VALUE!</v>
      </c>
      <c r="CJ273" t="e">
        <f>AND('SP TMSYP'!E55,"AAAAAHcq91c=")</f>
        <v>#VALUE!</v>
      </c>
      <c r="CK273" t="e">
        <f>AND('SP TMSYP'!F55,"AAAAAHcq91g=")</f>
        <v>#VALUE!</v>
      </c>
      <c r="CL273">
        <f>IF('SP TMSYP'!56:56,"AAAAAHcq91k=",0)</f>
        <v>0</v>
      </c>
      <c r="CM273" t="e">
        <f>AND('SP TMSYP'!A56,"AAAAAHcq91o=")</f>
        <v>#VALUE!</v>
      </c>
      <c r="CN273" t="e">
        <f>AND('SP TMSYP'!B56,"AAAAAHcq91s=")</f>
        <v>#VALUE!</v>
      </c>
      <c r="CO273" t="e">
        <f>AND('SP TMSYP'!C56,"AAAAAHcq91w=")</f>
        <v>#VALUE!</v>
      </c>
      <c r="CP273" t="e">
        <f>AND('SP TMSYP'!D56,"AAAAAHcq910=")</f>
        <v>#VALUE!</v>
      </c>
      <c r="CQ273" t="e">
        <f>AND('SP TMSYP'!E56,"AAAAAHcq914=")</f>
        <v>#VALUE!</v>
      </c>
      <c r="CR273" t="e">
        <f>AND('SP TMSYP'!F56,"AAAAAHcq918=")</f>
        <v>#VALUE!</v>
      </c>
      <c r="CS273">
        <f>IF('SP TMSYP'!57:57,"AAAAAHcq92A=",0)</f>
        <v>0</v>
      </c>
      <c r="CT273" t="e">
        <f>AND('SP TMSYP'!A57,"AAAAAHcq92E=")</f>
        <v>#VALUE!</v>
      </c>
      <c r="CU273" t="e">
        <f>AND('SP TMSYP'!B57,"AAAAAHcq92I=")</f>
        <v>#VALUE!</v>
      </c>
      <c r="CV273" t="e">
        <f>AND('SP TMSYP'!C57,"AAAAAHcq92M=")</f>
        <v>#VALUE!</v>
      </c>
      <c r="CW273" t="e">
        <f>AND('SP TMSYP'!D57,"AAAAAHcq92Q=")</f>
        <v>#VALUE!</v>
      </c>
      <c r="CX273" t="e">
        <f>AND('SP TMSYP'!E57,"AAAAAHcq92U=")</f>
        <v>#VALUE!</v>
      </c>
      <c r="CY273" t="e">
        <f>AND('SP TMSYP'!F57,"AAAAAHcq92Y=")</f>
        <v>#VALUE!</v>
      </c>
      <c r="CZ273">
        <f>IF('SP TMSYP'!58:58,"AAAAAHcq92c=",0)</f>
        <v>0</v>
      </c>
      <c r="DA273" t="e">
        <f>AND('SP TMSYP'!A58,"AAAAAHcq92g=")</f>
        <v>#VALUE!</v>
      </c>
      <c r="DB273" t="e">
        <f>AND('SP TMSYP'!B58,"AAAAAHcq92k=")</f>
        <v>#VALUE!</v>
      </c>
      <c r="DC273" t="e">
        <f>AND('SP TMSYP'!C58,"AAAAAHcq92o=")</f>
        <v>#VALUE!</v>
      </c>
      <c r="DD273" t="e">
        <f>AND('SP TMSYP'!D58,"AAAAAHcq92s=")</f>
        <v>#VALUE!</v>
      </c>
      <c r="DE273" t="e">
        <f>AND('SP TMSYP'!E58,"AAAAAHcq92w=")</f>
        <v>#VALUE!</v>
      </c>
      <c r="DF273" t="e">
        <f>AND('SP TMSYP'!F58,"AAAAAHcq920=")</f>
        <v>#VALUE!</v>
      </c>
      <c r="DG273">
        <f>IF('SP TMSYP'!59:59,"AAAAAHcq924=",0)</f>
        <v>0</v>
      </c>
      <c r="DH273" t="e">
        <f>AND('SP TMSYP'!A59,"AAAAAHcq928=")</f>
        <v>#VALUE!</v>
      </c>
      <c r="DI273" t="e">
        <f>AND('SP TMSYP'!B59,"AAAAAHcq93A=")</f>
        <v>#VALUE!</v>
      </c>
      <c r="DJ273" t="e">
        <f>AND('SP TMSYP'!C59,"AAAAAHcq93E=")</f>
        <v>#VALUE!</v>
      </c>
      <c r="DK273" t="e">
        <f>AND('SP TMSYP'!D59,"AAAAAHcq93I=")</f>
        <v>#VALUE!</v>
      </c>
      <c r="DL273" t="e">
        <f>AND('SP TMSYP'!E59,"AAAAAHcq93M=")</f>
        <v>#VALUE!</v>
      </c>
      <c r="DM273" t="e">
        <f>AND('SP TMSYP'!F59,"AAAAAHcq93Q=")</f>
        <v>#VALUE!</v>
      </c>
      <c r="DN273">
        <f>IF('SP TMSYP'!60:60,"AAAAAHcq93U=",0)</f>
        <v>0</v>
      </c>
      <c r="DO273" t="e">
        <f>AND('SP TMSYP'!A60,"AAAAAHcq93Y=")</f>
        <v>#VALUE!</v>
      </c>
      <c r="DP273" t="e">
        <f>AND('SP TMSYP'!B60,"AAAAAHcq93c=")</f>
        <v>#VALUE!</v>
      </c>
      <c r="DQ273" t="e">
        <f>AND('SP TMSYP'!C60,"AAAAAHcq93g=")</f>
        <v>#VALUE!</v>
      </c>
      <c r="DR273" t="e">
        <f>AND('SP TMSYP'!D60,"AAAAAHcq93k=")</f>
        <v>#VALUE!</v>
      </c>
      <c r="DS273" t="e">
        <f>AND('SP TMSYP'!E60,"AAAAAHcq93o=")</f>
        <v>#VALUE!</v>
      </c>
      <c r="DT273" t="e">
        <f>AND('SP TMSYP'!F60,"AAAAAHcq93s=")</f>
        <v>#VALUE!</v>
      </c>
      <c r="DU273">
        <f>IF('SP TMSYP'!61:61,"AAAAAHcq93w=",0)</f>
        <v>0</v>
      </c>
      <c r="DV273" t="e">
        <f>AND('SP TMSYP'!A61,"AAAAAHcq930=")</f>
        <v>#VALUE!</v>
      </c>
      <c r="DW273" t="e">
        <f>AND('SP TMSYP'!B61,"AAAAAHcq934=")</f>
        <v>#VALUE!</v>
      </c>
      <c r="DX273" t="e">
        <f>AND('SP TMSYP'!C61,"AAAAAHcq938=")</f>
        <v>#VALUE!</v>
      </c>
      <c r="DY273" t="e">
        <f>AND('SP TMSYP'!D61,"AAAAAHcq94A=")</f>
        <v>#VALUE!</v>
      </c>
      <c r="DZ273" t="e">
        <f>AND('SP TMSYP'!E61,"AAAAAHcq94E=")</f>
        <v>#VALUE!</v>
      </c>
      <c r="EA273" t="e">
        <f>AND('SP TMSYP'!F61,"AAAAAHcq94I=")</f>
        <v>#VALUE!</v>
      </c>
      <c r="EB273">
        <f>IF('SP TMSYP'!62:62,"AAAAAHcq94M=",0)</f>
        <v>0</v>
      </c>
      <c r="EC273" t="e">
        <f>AND('SP TMSYP'!A62,"AAAAAHcq94Q=")</f>
        <v>#VALUE!</v>
      </c>
      <c r="ED273" t="e">
        <f>AND('SP TMSYP'!B62,"AAAAAHcq94U=")</f>
        <v>#VALUE!</v>
      </c>
      <c r="EE273" t="e">
        <f>AND('SP TMSYP'!C62,"AAAAAHcq94Y=")</f>
        <v>#VALUE!</v>
      </c>
      <c r="EF273" t="e">
        <f>AND('SP TMSYP'!D62,"AAAAAHcq94c=")</f>
        <v>#VALUE!</v>
      </c>
      <c r="EG273" t="e">
        <f>AND('SP TMSYP'!E62,"AAAAAHcq94g=")</f>
        <v>#VALUE!</v>
      </c>
      <c r="EH273" t="e">
        <f>AND('SP TMSYP'!F62,"AAAAAHcq94k=")</f>
        <v>#VALUE!</v>
      </c>
      <c r="EI273">
        <f>IF('SP TMSYP'!63:63,"AAAAAHcq94o=",0)</f>
        <v>0</v>
      </c>
      <c r="EJ273" t="e">
        <f>AND('SP TMSYP'!A63,"AAAAAHcq94s=")</f>
        <v>#VALUE!</v>
      </c>
      <c r="EK273" t="e">
        <f>AND('SP TMSYP'!B63,"AAAAAHcq94w=")</f>
        <v>#VALUE!</v>
      </c>
      <c r="EL273" t="e">
        <f>AND('SP TMSYP'!C63,"AAAAAHcq940=")</f>
        <v>#VALUE!</v>
      </c>
      <c r="EM273" t="e">
        <f>AND('SP TMSYP'!D63,"AAAAAHcq944=")</f>
        <v>#VALUE!</v>
      </c>
      <c r="EN273" t="e">
        <f>AND('SP TMSYP'!E63,"AAAAAHcq948=")</f>
        <v>#VALUE!</v>
      </c>
      <c r="EO273" t="e">
        <f>AND('SP TMSYP'!F63,"AAAAAHcq95A=")</f>
        <v>#VALUE!</v>
      </c>
      <c r="EP273">
        <f>IF('SP TMSYP'!64:64,"AAAAAHcq95E=",0)</f>
        <v>0</v>
      </c>
      <c r="EQ273" t="e">
        <f>AND('SP TMSYP'!A64,"AAAAAHcq95I=")</f>
        <v>#VALUE!</v>
      </c>
      <c r="ER273" t="e">
        <f>AND('SP TMSYP'!B64,"AAAAAHcq95M=")</f>
        <v>#VALUE!</v>
      </c>
      <c r="ES273" t="e">
        <f>AND('SP TMSYP'!C64,"AAAAAHcq95Q=")</f>
        <v>#VALUE!</v>
      </c>
      <c r="ET273" t="e">
        <f>AND('SP TMSYP'!D64,"AAAAAHcq95U=")</f>
        <v>#VALUE!</v>
      </c>
      <c r="EU273" t="e">
        <f>AND('SP TMSYP'!E64,"AAAAAHcq95Y=")</f>
        <v>#VALUE!</v>
      </c>
      <c r="EV273" t="e">
        <f>AND('SP TMSYP'!F64,"AAAAAHcq95c=")</f>
        <v>#VALUE!</v>
      </c>
      <c r="EW273">
        <f>IF('SP TMSYP'!65:65,"AAAAAHcq95g=",0)</f>
        <v>0</v>
      </c>
      <c r="EX273" t="e">
        <f>AND('SP TMSYP'!A65,"AAAAAHcq95k=")</f>
        <v>#VALUE!</v>
      </c>
      <c r="EY273" t="e">
        <f>AND('SP TMSYP'!B65,"AAAAAHcq95o=")</f>
        <v>#VALUE!</v>
      </c>
      <c r="EZ273" t="e">
        <f>AND('SP TMSYP'!C65,"AAAAAHcq95s=")</f>
        <v>#VALUE!</v>
      </c>
      <c r="FA273" t="e">
        <f>AND('SP TMSYP'!D65,"AAAAAHcq95w=")</f>
        <v>#VALUE!</v>
      </c>
      <c r="FB273" t="e">
        <f>AND('SP TMSYP'!E65,"AAAAAHcq950=")</f>
        <v>#VALUE!</v>
      </c>
      <c r="FC273" t="e">
        <f>AND('SP TMSYP'!F65,"AAAAAHcq954=")</f>
        <v>#VALUE!</v>
      </c>
      <c r="FD273">
        <f>IF('SP TMSYP'!66:66,"AAAAAHcq958=",0)</f>
        <v>0</v>
      </c>
      <c r="FE273" t="e">
        <f>AND('SP TMSYP'!A66,"AAAAAHcq96A=")</f>
        <v>#VALUE!</v>
      </c>
      <c r="FF273" t="e">
        <f>AND('SP TMSYP'!B66,"AAAAAHcq96E=")</f>
        <v>#VALUE!</v>
      </c>
      <c r="FG273" t="e">
        <f>AND('SP TMSYP'!C66,"AAAAAHcq96I=")</f>
        <v>#VALUE!</v>
      </c>
      <c r="FH273" t="e">
        <f>AND('SP TMSYP'!D66,"AAAAAHcq96M=")</f>
        <v>#VALUE!</v>
      </c>
      <c r="FI273" t="e">
        <f>AND('SP TMSYP'!E66,"AAAAAHcq96Q=")</f>
        <v>#VALUE!</v>
      </c>
      <c r="FJ273" t="e">
        <f>AND('SP TMSYP'!F66,"AAAAAHcq96U=")</f>
        <v>#VALUE!</v>
      </c>
      <c r="FK273">
        <f>IF('SP TMSYP'!67:67,"AAAAAHcq96Y=",0)</f>
        <v>0</v>
      </c>
      <c r="FL273" t="e">
        <f>AND('SP TMSYP'!A67,"AAAAAHcq96c=")</f>
        <v>#VALUE!</v>
      </c>
      <c r="FM273" t="e">
        <f>AND('SP TMSYP'!B67,"AAAAAHcq96g=")</f>
        <v>#VALUE!</v>
      </c>
      <c r="FN273" t="e">
        <f>AND('SP TMSYP'!C67,"AAAAAHcq96k=")</f>
        <v>#VALUE!</v>
      </c>
      <c r="FO273" t="e">
        <f>AND('SP TMSYP'!D67,"AAAAAHcq96o=")</f>
        <v>#VALUE!</v>
      </c>
      <c r="FP273" t="e">
        <f>AND('SP TMSYP'!E67,"AAAAAHcq96s=")</f>
        <v>#VALUE!</v>
      </c>
      <c r="FQ273" t="e">
        <f>AND('SP TMSYP'!F67,"AAAAAHcq96w=")</f>
        <v>#VALUE!</v>
      </c>
      <c r="FR273">
        <f>IF('SP TMSYP'!68:68,"AAAAAHcq960=",0)</f>
        <v>0</v>
      </c>
      <c r="FS273" t="e">
        <f>AND('SP TMSYP'!A68,"AAAAAHcq964=")</f>
        <v>#VALUE!</v>
      </c>
      <c r="FT273" t="e">
        <f>AND('SP TMSYP'!B68,"AAAAAHcq968=")</f>
        <v>#VALUE!</v>
      </c>
      <c r="FU273" t="e">
        <f>AND('SP TMSYP'!C68,"AAAAAHcq97A=")</f>
        <v>#VALUE!</v>
      </c>
      <c r="FV273" t="e">
        <f>AND('SP TMSYP'!D68,"AAAAAHcq97E=")</f>
        <v>#VALUE!</v>
      </c>
      <c r="FW273" t="e">
        <f>AND('SP TMSYP'!E68,"AAAAAHcq97I=")</f>
        <v>#VALUE!</v>
      </c>
      <c r="FX273" t="e">
        <f>AND('SP TMSYP'!F68,"AAAAAHcq97M=")</f>
        <v>#VALUE!</v>
      </c>
      <c r="FY273">
        <f>IF('SP TMSYP'!69:69,"AAAAAHcq97Q=",0)</f>
        <v>0</v>
      </c>
      <c r="FZ273" t="e">
        <f>AND('SP TMSYP'!A69,"AAAAAHcq97U=")</f>
        <v>#VALUE!</v>
      </c>
      <c r="GA273" t="e">
        <f>AND('SP TMSYP'!B69,"AAAAAHcq97Y=")</f>
        <v>#VALUE!</v>
      </c>
      <c r="GB273" t="e">
        <f>AND('SP TMSYP'!C69,"AAAAAHcq97c=")</f>
        <v>#VALUE!</v>
      </c>
      <c r="GC273" t="e">
        <f>AND('SP TMSYP'!D69,"AAAAAHcq97g=")</f>
        <v>#VALUE!</v>
      </c>
      <c r="GD273" t="e">
        <f>AND('SP TMSYP'!E69,"AAAAAHcq97k=")</f>
        <v>#VALUE!</v>
      </c>
      <c r="GE273" t="e">
        <f>AND('SP TMSYP'!F69,"AAAAAHcq97o=")</f>
        <v>#VALUE!</v>
      </c>
      <c r="GF273">
        <f>IF('SP TMSYP'!70:70,"AAAAAHcq97s=",0)</f>
        <v>0</v>
      </c>
      <c r="GG273" t="e">
        <f>AND('SP TMSYP'!A70,"AAAAAHcq97w=")</f>
        <v>#VALUE!</v>
      </c>
      <c r="GH273" t="e">
        <f>AND('SP TMSYP'!B70,"AAAAAHcq970=")</f>
        <v>#VALUE!</v>
      </c>
      <c r="GI273" t="e">
        <f>AND('SP TMSYP'!C70,"AAAAAHcq974=")</f>
        <v>#VALUE!</v>
      </c>
      <c r="GJ273" t="e">
        <f>AND('SP TMSYP'!D70,"AAAAAHcq978=")</f>
        <v>#VALUE!</v>
      </c>
      <c r="GK273" t="e">
        <f>AND('SP TMSYP'!E70,"AAAAAHcq98A=")</f>
        <v>#VALUE!</v>
      </c>
      <c r="GL273" t="e">
        <f>AND('SP TMSYP'!F70,"AAAAAHcq98E=")</f>
        <v>#VALUE!</v>
      </c>
      <c r="GM273">
        <f>IF('SP TMSYP'!71:71,"AAAAAHcq98I=",0)</f>
        <v>0</v>
      </c>
      <c r="GN273" t="e">
        <f>AND('SP TMSYP'!A71,"AAAAAHcq98M=")</f>
        <v>#VALUE!</v>
      </c>
      <c r="GO273" t="e">
        <f>AND('SP TMSYP'!B71,"AAAAAHcq98Q=")</f>
        <v>#VALUE!</v>
      </c>
      <c r="GP273" t="e">
        <f>AND('SP TMSYP'!C71,"AAAAAHcq98U=")</f>
        <v>#VALUE!</v>
      </c>
      <c r="GQ273" t="e">
        <f>AND('SP TMSYP'!D71,"AAAAAHcq98Y=")</f>
        <v>#VALUE!</v>
      </c>
      <c r="GR273" t="e">
        <f>AND('SP TMSYP'!E71,"AAAAAHcq98c=")</f>
        <v>#VALUE!</v>
      </c>
      <c r="GS273" t="e">
        <f>AND('SP TMSYP'!F71,"AAAAAHcq98g=")</f>
        <v>#VALUE!</v>
      </c>
      <c r="GT273">
        <f>IF('SP TMSYP'!72:72,"AAAAAHcq98k=",0)</f>
        <v>0</v>
      </c>
      <c r="GU273" t="e">
        <f>AND('SP TMSYP'!A72,"AAAAAHcq98o=")</f>
        <v>#VALUE!</v>
      </c>
      <c r="GV273" t="e">
        <f>AND('SP TMSYP'!B72,"AAAAAHcq98s=")</f>
        <v>#VALUE!</v>
      </c>
      <c r="GW273" t="e">
        <f>AND('SP TMSYP'!C72,"AAAAAHcq98w=")</f>
        <v>#VALUE!</v>
      </c>
      <c r="GX273" t="e">
        <f>AND('SP TMSYP'!D72,"AAAAAHcq980=")</f>
        <v>#VALUE!</v>
      </c>
      <c r="GY273" t="e">
        <f>AND('SP TMSYP'!E72,"AAAAAHcq984=")</f>
        <v>#VALUE!</v>
      </c>
      <c r="GZ273" t="e">
        <f>AND('SP TMSYP'!F72,"AAAAAHcq988=")</f>
        <v>#VALUE!</v>
      </c>
      <c r="HA273">
        <f>IF('SP TMSYP'!73:73,"AAAAAHcq99A=",0)</f>
        <v>0</v>
      </c>
      <c r="HB273" t="e">
        <f>AND('SP TMSYP'!A73,"AAAAAHcq99E=")</f>
        <v>#VALUE!</v>
      </c>
      <c r="HC273" t="e">
        <f>AND('SP TMSYP'!B73,"AAAAAHcq99I=")</f>
        <v>#VALUE!</v>
      </c>
      <c r="HD273" t="e">
        <f>AND('SP TMSYP'!C73,"AAAAAHcq99M=")</f>
        <v>#VALUE!</v>
      </c>
      <c r="HE273" t="e">
        <f>AND('SP TMSYP'!D73,"AAAAAHcq99Q=")</f>
        <v>#VALUE!</v>
      </c>
      <c r="HF273" t="e">
        <f>AND('SP TMSYP'!E73,"AAAAAHcq99U=")</f>
        <v>#VALUE!</v>
      </c>
      <c r="HG273" t="e">
        <f>AND('SP TMSYP'!F73,"AAAAAHcq99Y=")</f>
        <v>#VALUE!</v>
      </c>
      <c r="HH273">
        <f>IF('SP TMSYP'!74:74,"AAAAAHcq99c=",0)</f>
        <v>0</v>
      </c>
      <c r="HI273" t="e">
        <f>AND('SP TMSYP'!A74,"AAAAAHcq99g=")</f>
        <v>#VALUE!</v>
      </c>
      <c r="HJ273" t="e">
        <f>AND('SP TMSYP'!B74,"AAAAAHcq99k=")</f>
        <v>#VALUE!</v>
      </c>
      <c r="HK273" t="e">
        <f>AND('SP TMSYP'!C74,"AAAAAHcq99o=")</f>
        <v>#VALUE!</v>
      </c>
      <c r="HL273" t="e">
        <f>AND('SP TMSYP'!D74,"AAAAAHcq99s=")</f>
        <v>#VALUE!</v>
      </c>
      <c r="HM273" t="e">
        <f>AND('SP TMSYP'!E74,"AAAAAHcq99w=")</f>
        <v>#VALUE!</v>
      </c>
      <c r="HN273" t="e">
        <f>AND('SP TMSYP'!F74,"AAAAAHcq990=")</f>
        <v>#VALUE!</v>
      </c>
      <c r="HO273">
        <f>IF('SP TMSYP'!75:75,"AAAAAHcq994=",0)</f>
        <v>0</v>
      </c>
      <c r="HP273" t="e">
        <f>AND('SP TMSYP'!A75,"AAAAAHcq998=")</f>
        <v>#VALUE!</v>
      </c>
      <c r="HQ273" t="e">
        <f>AND('SP TMSYP'!B75,"AAAAAHcq9+A=")</f>
        <v>#VALUE!</v>
      </c>
      <c r="HR273" t="e">
        <f>AND('SP TMSYP'!C75,"AAAAAHcq9+E=")</f>
        <v>#VALUE!</v>
      </c>
      <c r="HS273" t="e">
        <f>AND('SP TMSYP'!D75,"AAAAAHcq9+I=")</f>
        <v>#VALUE!</v>
      </c>
      <c r="HT273" t="e">
        <f>AND('SP TMSYP'!E75,"AAAAAHcq9+M=")</f>
        <v>#VALUE!</v>
      </c>
      <c r="HU273" t="e">
        <f>AND('SP TMSYP'!F75,"AAAAAHcq9+Q=")</f>
        <v>#VALUE!</v>
      </c>
      <c r="HV273">
        <f>IF('SP TMSYP'!76:76,"AAAAAHcq9+U=",0)</f>
        <v>0</v>
      </c>
      <c r="HW273" t="e">
        <f>AND('SP TMSYP'!A76,"AAAAAHcq9+Y=")</f>
        <v>#VALUE!</v>
      </c>
      <c r="HX273" t="e">
        <f>AND('SP TMSYP'!B76,"AAAAAHcq9+c=")</f>
        <v>#VALUE!</v>
      </c>
      <c r="HY273" t="e">
        <f>AND('SP TMSYP'!C76,"AAAAAHcq9+g=")</f>
        <v>#VALUE!</v>
      </c>
      <c r="HZ273" t="e">
        <f>AND('SP TMSYP'!D76,"AAAAAHcq9+k=")</f>
        <v>#VALUE!</v>
      </c>
      <c r="IA273" t="e">
        <f>AND('SP TMSYP'!E76,"AAAAAHcq9+o=")</f>
        <v>#VALUE!</v>
      </c>
      <c r="IB273" t="e">
        <f>AND('SP TMSYP'!F76,"AAAAAHcq9+s=")</f>
        <v>#VALUE!</v>
      </c>
      <c r="IC273">
        <f>IF('SP TMSYP'!77:77,"AAAAAHcq9+w=",0)</f>
        <v>0</v>
      </c>
      <c r="ID273" t="e">
        <f>AND('SP TMSYP'!A77,"AAAAAHcq9+0=")</f>
        <v>#VALUE!</v>
      </c>
      <c r="IE273" t="e">
        <f>AND('SP TMSYP'!B77,"AAAAAHcq9+4=")</f>
        <v>#VALUE!</v>
      </c>
      <c r="IF273" t="e">
        <f>AND('SP TMSYP'!C77,"AAAAAHcq9+8=")</f>
        <v>#VALUE!</v>
      </c>
      <c r="IG273" t="e">
        <f>AND('SP TMSYP'!D77,"AAAAAHcq9/A=")</f>
        <v>#VALUE!</v>
      </c>
      <c r="IH273" t="e">
        <f>AND('SP TMSYP'!E77,"AAAAAHcq9/E=")</f>
        <v>#VALUE!</v>
      </c>
      <c r="II273" t="e">
        <f>AND('SP TMSYP'!F77,"AAAAAHcq9/I=")</f>
        <v>#VALUE!</v>
      </c>
      <c r="IJ273">
        <f>IF('SP TMSYP'!78:78,"AAAAAHcq9/M=",0)</f>
        <v>0</v>
      </c>
      <c r="IK273" t="e">
        <f>AND('SP TMSYP'!A78,"AAAAAHcq9/Q=")</f>
        <v>#VALUE!</v>
      </c>
      <c r="IL273" t="e">
        <f>AND('SP TMSYP'!B78,"AAAAAHcq9/U=")</f>
        <v>#VALUE!</v>
      </c>
      <c r="IM273" t="e">
        <f>AND('SP TMSYP'!C78,"AAAAAHcq9/Y=")</f>
        <v>#VALUE!</v>
      </c>
      <c r="IN273" t="e">
        <f>AND('SP TMSYP'!D78,"AAAAAHcq9/c=")</f>
        <v>#VALUE!</v>
      </c>
      <c r="IO273" t="e">
        <f>AND('SP TMSYP'!E78,"AAAAAHcq9/g=")</f>
        <v>#VALUE!</v>
      </c>
      <c r="IP273" t="e">
        <f>AND('SP TMSYP'!F78,"AAAAAHcq9/k=")</f>
        <v>#VALUE!</v>
      </c>
      <c r="IQ273">
        <f>IF('SP TMSYP'!79:79,"AAAAAHcq9/o=",0)</f>
        <v>0</v>
      </c>
      <c r="IR273" t="e">
        <f>AND('SP TMSYP'!A79,"AAAAAHcq9/s=")</f>
        <v>#VALUE!</v>
      </c>
      <c r="IS273" t="e">
        <f>AND('SP TMSYP'!B79,"AAAAAHcq9/w=")</f>
        <v>#VALUE!</v>
      </c>
      <c r="IT273" t="e">
        <f>AND('SP TMSYP'!C79,"AAAAAHcq9/0=")</f>
        <v>#VALUE!</v>
      </c>
      <c r="IU273" t="e">
        <f>AND('SP TMSYP'!D79,"AAAAAHcq9/4=")</f>
        <v>#VALUE!</v>
      </c>
      <c r="IV273" t="e">
        <f>AND('SP TMSYP'!E79,"AAAAAHcq9/8=")</f>
        <v>#VALUE!</v>
      </c>
    </row>
    <row r="274" spans="1:256">
      <c r="A274" t="e">
        <f>AND('SP TMSYP'!F79,"AAAAAHe5+wA=")</f>
        <v>#VALUE!</v>
      </c>
      <c r="B274">
        <f>IF('SP TMSYP'!80:80,"AAAAAHe5+wE=",0)</f>
        <v>0</v>
      </c>
      <c r="C274" t="e">
        <f>AND('SP TMSYP'!A80,"AAAAAHe5+wI=")</f>
        <v>#VALUE!</v>
      </c>
      <c r="D274" t="e">
        <f>AND('SP TMSYP'!B80,"AAAAAHe5+wM=")</f>
        <v>#VALUE!</v>
      </c>
      <c r="E274" t="e">
        <f>AND('SP TMSYP'!C80,"AAAAAHe5+wQ=")</f>
        <v>#VALUE!</v>
      </c>
      <c r="F274" t="e">
        <f>AND('SP TMSYP'!D80,"AAAAAHe5+wU=")</f>
        <v>#VALUE!</v>
      </c>
      <c r="G274" t="e">
        <f>AND('SP TMSYP'!E80,"AAAAAHe5+wY=")</f>
        <v>#VALUE!</v>
      </c>
      <c r="H274" t="e">
        <f>AND('SP TMSYP'!F80,"AAAAAHe5+wc=")</f>
        <v>#VALUE!</v>
      </c>
      <c r="I274">
        <f>IF('SP TMSYP'!81:81,"AAAAAHe5+wg=",0)</f>
        <v>0</v>
      </c>
      <c r="J274" t="e">
        <f>AND('SP TMSYP'!A81,"AAAAAHe5+wk=")</f>
        <v>#VALUE!</v>
      </c>
      <c r="K274" t="e">
        <f>AND('SP TMSYP'!B81,"AAAAAHe5+wo=")</f>
        <v>#VALUE!</v>
      </c>
      <c r="L274" t="e">
        <f>AND('SP TMSYP'!C81,"AAAAAHe5+ws=")</f>
        <v>#VALUE!</v>
      </c>
      <c r="M274" t="e">
        <f>AND('SP TMSYP'!D81,"AAAAAHe5+ww=")</f>
        <v>#VALUE!</v>
      </c>
      <c r="N274" t="e">
        <f>AND('SP TMSYP'!E81,"AAAAAHe5+w0=")</f>
        <v>#VALUE!</v>
      </c>
      <c r="O274" t="e">
        <f>AND('SP TMSYP'!F81,"AAAAAHe5+w4=")</f>
        <v>#VALUE!</v>
      </c>
      <c r="P274">
        <f>IF('SP TMSYP'!82:82,"AAAAAHe5+w8=",0)</f>
        <v>0</v>
      </c>
      <c r="Q274" t="e">
        <f>AND('SP TMSYP'!A82,"AAAAAHe5+xA=")</f>
        <v>#VALUE!</v>
      </c>
      <c r="R274" t="e">
        <f>AND('SP TMSYP'!B82,"AAAAAHe5+xE=")</f>
        <v>#VALUE!</v>
      </c>
      <c r="S274" t="e">
        <f>AND('SP TMSYP'!C82,"AAAAAHe5+xI=")</f>
        <v>#VALUE!</v>
      </c>
      <c r="T274" t="e">
        <f>AND('SP TMSYP'!D82,"AAAAAHe5+xM=")</f>
        <v>#VALUE!</v>
      </c>
      <c r="U274" t="e">
        <f>AND('SP TMSYP'!E82,"AAAAAHe5+xQ=")</f>
        <v>#VALUE!</v>
      </c>
      <c r="V274" t="e">
        <f>AND('SP TMSYP'!F82,"AAAAAHe5+xU=")</f>
        <v>#VALUE!</v>
      </c>
      <c r="W274">
        <f>IF('SP TMSYP'!83:83,"AAAAAHe5+xY=",0)</f>
        <v>0</v>
      </c>
      <c r="X274" t="e">
        <f>AND('SP TMSYP'!A83,"AAAAAHe5+xc=")</f>
        <v>#VALUE!</v>
      </c>
      <c r="Y274" t="e">
        <f>AND('SP TMSYP'!B83,"AAAAAHe5+xg=")</f>
        <v>#VALUE!</v>
      </c>
      <c r="Z274" t="e">
        <f>AND('SP TMSYP'!C83,"AAAAAHe5+xk=")</f>
        <v>#VALUE!</v>
      </c>
      <c r="AA274" t="e">
        <f>AND('SP TMSYP'!D83,"AAAAAHe5+xo=")</f>
        <v>#VALUE!</v>
      </c>
      <c r="AB274" t="e">
        <f>AND('SP TMSYP'!E83,"AAAAAHe5+xs=")</f>
        <v>#VALUE!</v>
      </c>
      <c r="AC274" t="e">
        <f>AND('SP TMSYP'!F83,"AAAAAHe5+xw=")</f>
        <v>#VALUE!</v>
      </c>
      <c r="AD274">
        <f>IF('SP TMSYP'!84:84,"AAAAAHe5+x0=",0)</f>
        <v>0</v>
      </c>
      <c r="AE274" t="e">
        <f>AND('SP TMSYP'!A84,"AAAAAHe5+x4=")</f>
        <v>#VALUE!</v>
      </c>
      <c r="AF274" t="e">
        <f>AND('SP TMSYP'!B84,"AAAAAHe5+x8=")</f>
        <v>#VALUE!</v>
      </c>
      <c r="AG274" t="e">
        <f>AND('SP TMSYP'!C84,"AAAAAHe5+yA=")</f>
        <v>#VALUE!</v>
      </c>
      <c r="AH274" t="e">
        <f>AND('SP TMSYP'!D84,"AAAAAHe5+yE=")</f>
        <v>#VALUE!</v>
      </c>
      <c r="AI274" t="e">
        <f>AND('SP TMSYP'!E84,"AAAAAHe5+yI=")</f>
        <v>#VALUE!</v>
      </c>
      <c r="AJ274" t="e">
        <f>AND('SP TMSYP'!F84,"AAAAAHe5+yM=")</f>
        <v>#VALUE!</v>
      </c>
      <c r="AK274">
        <f>IF('SP TMSYP'!85:85,"AAAAAHe5+yQ=",0)</f>
        <v>0</v>
      </c>
      <c r="AL274" t="e">
        <f>AND('SP TMSYP'!A85,"AAAAAHe5+yU=")</f>
        <v>#VALUE!</v>
      </c>
      <c r="AM274" t="e">
        <f>AND('SP TMSYP'!B85,"AAAAAHe5+yY=")</f>
        <v>#VALUE!</v>
      </c>
      <c r="AN274" t="e">
        <f>AND('SP TMSYP'!C85,"AAAAAHe5+yc=")</f>
        <v>#VALUE!</v>
      </c>
      <c r="AO274" t="e">
        <f>AND('SP TMSYP'!D85,"AAAAAHe5+yg=")</f>
        <v>#VALUE!</v>
      </c>
      <c r="AP274" t="e">
        <f>AND('SP TMSYP'!E85,"AAAAAHe5+yk=")</f>
        <v>#VALUE!</v>
      </c>
      <c r="AQ274" t="e">
        <f>AND('SP TMSYP'!F85,"AAAAAHe5+yo=")</f>
        <v>#VALUE!</v>
      </c>
      <c r="AR274">
        <f>IF('SP TMSYP'!86:86,"AAAAAHe5+ys=",0)</f>
        <v>0</v>
      </c>
      <c r="AS274" t="e">
        <f>AND('SP TMSYP'!A86,"AAAAAHe5+yw=")</f>
        <v>#VALUE!</v>
      </c>
      <c r="AT274" t="e">
        <f>AND('SP TMSYP'!B86,"AAAAAHe5+y0=")</f>
        <v>#VALUE!</v>
      </c>
      <c r="AU274" t="e">
        <f>AND('SP TMSYP'!C86,"AAAAAHe5+y4=")</f>
        <v>#VALUE!</v>
      </c>
      <c r="AV274" t="e">
        <f>AND('SP TMSYP'!D86,"AAAAAHe5+y8=")</f>
        <v>#VALUE!</v>
      </c>
      <c r="AW274" t="e">
        <f>AND('SP TMSYP'!E86,"AAAAAHe5+zA=")</f>
        <v>#VALUE!</v>
      </c>
      <c r="AX274" t="e">
        <f>AND('SP TMSYP'!F86,"AAAAAHe5+zE=")</f>
        <v>#VALUE!</v>
      </c>
      <c r="AY274">
        <f>IF('SP TMSYP'!87:87,"AAAAAHe5+zI=",0)</f>
        <v>0</v>
      </c>
      <c r="AZ274" t="e">
        <f>AND('SP TMSYP'!A87,"AAAAAHe5+zM=")</f>
        <v>#VALUE!</v>
      </c>
      <c r="BA274" t="e">
        <f>AND('SP TMSYP'!B87,"AAAAAHe5+zQ=")</f>
        <v>#VALUE!</v>
      </c>
      <c r="BB274" t="e">
        <f>AND('SP TMSYP'!C87,"AAAAAHe5+zU=")</f>
        <v>#VALUE!</v>
      </c>
      <c r="BC274" t="e">
        <f>AND('SP TMSYP'!D87,"AAAAAHe5+zY=")</f>
        <v>#VALUE!</v>
      </c>
      <c r="BD274" t="e">
        <f>AND('SP TMSYP'!E87,"AAAAAHe5+zc=")</f>
        <v>#VALUE!</v>
      </c>
      <c r="BE274" t="e">
        <f>AND('SP TMSYP'!F87,"AAAAAHe5+zg=")</f>
        <v>#VALUE!</v>
      </c>
      <c r="BF274">
        <f>IF('SP TMSYP'!88:88,"AAAAAHe5+zk=",0)</f>
        <v>0</v>
      </c>
      <c r="BG274" t="e">
        <f>AND('SP TMSYP'!A88,"AAAAAHe5+zo=")</f>
        <v>#VALUE!</v>
      </c>
      <c r="BH274" t="e">
        <f>AND('SP TMSYP'!B88,"AAAAAHe5+zs=")</f>
        <v>#VALUE!</v>
      </c>
      <c r="BI274" t="e">
        <f>AND('SP TMSYP'!C88,"AAAAAHe5+zw=")</f>
        <v>#VALUE!</v>
      </c>
      <c r="BJ274" t="e">
        <f>AND('SP TMSYP'!D88,"AAAAAHe5+z0=")</f>
        <v>#VALUE!</v>
      </c>
      <c r="BK274" t="e">
        <f>AND('SP TMSYP'!E88,"AAAAAHe5+z4=")</f>
        <v>#VALUE!</v>
      </c>
      <c r="BL274" t="e">
        <f>AND('SP TMSYP'!F88,"AAAAAHe5+z8=")</f>
        <v>#VALUE!</v>
      </c>
      <c r="BM274">
        <f>IF('SP TMSYP'!89:89,"AAAAAHe5+0A=",0)</f>
        <v>0</v>
      </c>
      <c r="BN274" t="e">
        <f>AND('SP TMSYP'!A89,"AAAAAHe5+0E=")</f>
        <v>#VALUE!</v>
      </c>
      <c r="BO274" t="e">
        <f>AND('SP TMSYP'!B89,"AAAAAHe5+0I=")</f>
        <v>#VALUE!</v>
      </c>
      <c r="BP274" t="e">
        <f>AND('SP TMSYP'!C89,"AAAAAHe5+0M=")</f>
        <v>#VALUE!</v>
      </c>
      <c r="BQ274" t="e">
        <f>AND('SP TMSYP'!D89,"AAAAAHe5+0Q=")</f>
        <v>#VALUE!</v>
      </c>
      <c r="BR274" t="e">
        <f>AND('SP TMSYP'!E89,"AAAAAHe5+0U=")</f>
        <v>#VALUE!</v>
      </c>
      <c r="BS274" t="e">
        <f>AND('SP TMSYP'!F89,"AAAAAHe5+0Y=")</f>
        <v>#VALUE!</v>
      </c>
      <c r="BT274">
        <f>IF('SP TMSYP'!90:90,"AAAAAHe5+0c=",0)</f>
        <v>0</v>
      </c>
      <c r="BU274" t="e">
        <f>AND('SP TMSYP'!A90,"AAAAAHe5+0g=")</f>
        <v>#VALUE!</v>
      </c>
      <c r="BV274" t="e">
        <f>AND('SP TMSYP'!B90,"AAAAAHe5+0k=")</f>
        <v>#VALUE!</v>
      </c>
      <c r="BW274" t="e">
        <f>AND('SP TMSYP'!C90,"AAAAAHe5+0o=")</f>
        <v>#VALUE!</v>
      </c>
      <c r="BX274" t="e">
        <f>AND('SP TMSYP'!D90,"AAAAAHe5+0s=")</f>
        <v>#VALUE!</v>
      </c>
      <c r="BY274" t="e">
        <f>AND('SP TMSYP'!E90,"AAAAAHe5+0w=")</f>
        <v>#VALUE!</v>
      </c>
      <c r="BZ274" t="e">
        <f>AND('SP TMSYP'!F90,"AAAAAHe5+00=")</f>
        <v>#VALUE!</v>
      </c>
      <c r="CA274">
        <f>IF('SP TMSYP'!91:91,"AAAAAHe5+04=",0)</f>
        <v>0</v>
      </c>
      <c r="CB274" t="e">
        <f>AND('SP TMSYP'!A91,"AAAAAHe5+08=")</f>
        <v>#VALUE!</v>
      </c>
      <c r="CC274" t="e">
        <f>AND('SP TMSYP'!B91,"AAAAAHe5+1A=")</f>
        <v>#VALUE!</v>
      </c>
      <c r="CD274" t="e">
        <f>AND('SP TMSYP'!C91,"AAAAAHe5+1E=")</f>
        <v>#VALUE!</v>
      </c>
      <c r="CE274" t="e">
        <f>AND('SP TMSYP'!D91,"AAAAAHe5+1I=")</f>
        <v>#VALUE!</v>
      </c>
      <c r="CF274" t="e">
        <f>AND('SP TMSYP'!E91,"AAAAAHe5+1M=")</f>
        <v>#VALUE!</v>
      </c>
      <c r="CG274" t="e">
        <f>AND('SP TMSYP'!F91,"AAAAAHe5+1Q=")</f>
        <v>#VALUE!</v>
      </c>
      <c r="CH274">
        <f>IF('SP TMSYP'!92:92,"AAAAAHe5+1U=",0)</f>
        <v>0</v>
      </c>
      <c r="CI274" t="e">
        <f>AND('SP TMSYP'!A92,"AAAAAHe5+1Y=")</f>
        <v>#VALUE!</v>
      </c>
      <c r="CJ274" t="e">
        <f>AND('SP TMSYP'!B92,"AAAAAHe5+1c=")</f>
        <v>#VALUE!</v>
      </c>
      <c r="CK274" t="e">
        <f>AND('SP TMSYP'!C92,"AAAAAHe5+1g=")</f>
        <v>#VALUE!</v>
      </c>
      <c r="CL274" t="e">
        <f>AND('SP TMSYP'!D92,"AAAAAHe5+1k=")</f>
        <v>#VALUE!</v>
      </c>
      <c r="CM274" t="e">
        <f>AND('SP TMSYP'!E92,"AAAAAHe5+1o=")</f>
        <v>#VALUE!</v>
      </c>
      <c r="CN274" t="e">
        <f>AND('SP TMSYP'!F92,"AAAAAHe5+1s=")</f>
        <v>#VALUE!</v>
      </c>
      <c r="CO274">
        <f>IF('SP TMSYP'!93:93,"AAAAAHe5+1w=",0)</f>
        <v>0</v>
      </c>
      <c r="CP274" t="e">
        <f>AND('SP TMSYP'!A93,"AAAAAHe5+10=")</f>
        <v>#VALUE!</v>
      </c>
      <c r="CQ274" t="e">
        <f>AND('SP TMSYP'!B93,"AAAAAHe5+14=")</f>
        <v>#VALUE!</v>
      </c>
      <c r="CR274" t="e">
        <f>AND('SP TMSYP'!C93,"AAAAAHe5+18=")</f>
        <v>#VALUE!</v>
      </c>
      <c r="CS274" t="e">
        <f>AND('SP TMSYP'!D93,"AAAAAHe5+2A=")</f>
        <v>#VALUE!</v>
      </c>
      <c r="CT274" t="e">
        <f>AND('SP TMSYP'!E93,"AAAAAHe5+2E=")</f>
        <v>#VALUE!</v>
      </c>
      <c r="CU274" t="e">
        <f>AND('SP TMSYP'!F93,"AAAAAHe5+2I=")</f>
        <v>#VALUE!</v>
      </c>
      <c r="CV274">
        <f>IF('SP TMSYP'!94:94,"AAAAAHe5+2M=",0)</f>
        <v>0</v>
      </c>
      <c r="CW274" t="e">
        <f>AND('SP TMSYP'!A94,"AAAAAHe5+2Q=")</f>
        <v>#VALUE!</v>
      </c>
      <c r="CX274" t="e">
        <f>AND('SP TMSYP'!B94,"AAAAAHe5+2U=")</f>
        <v>#VALUE!</v>
      </c>
      <c r="CY274" t="e">
        <f>AND('SP TMSYP'!C94,"AAAAAHe5+2Y=")</f>
        <v>#VALUE!</v>
      </c>
      <c r="CZ274" t="e">
        <f>AND('SP TMSYP'!D94,"AAAAAHe5+2c=")</f>
        <v>#VALUE!</v>
      </c>
      <c r="DA274" t="e">
        <f>AND('SP TMSYP'!E94,"AAAAAHe5+2g=")</f>
        <v>#VALUE!</v>
      </c>
      <c r="DB274" t="e">
        <f>AND('SP TMSYP'!F94,"AAAAAHe5+2k=")</f>
        <v>#VALUE!</v>
      </c>
      <c r="DC274">
        <f>IF('SP TMSYP'!95:95,"AAAAAHe5+2o=",0)</f>
        <v>0</v>
      </c>
      <c r="DD274" t="e">
        <f>AND('SP TMSYP'!A95,"AAAAAHe5+2s=")</f>
        <v>#VALUE!</v>
      </c>
      <c r="DE274" t="e">
        <f>AND('SP TMSYP'!B95,"AAAAAHe5+2w=")</f>
        <v>#VALUE!</v>
      </c>
      <c r="DF274" t="e">
        <f>AND('SP TMSYP'!C95,"AAAAAHe5+20=")</f>
        <v>#VALUE!</v>
      </c>
      <c r="DG274" t="e">
        <f>AND('SP TMSYP'!D95,"AAAAAHe5+24=")</f>
        <v>#VALUE!</v>
      </c>
      <c r="DH274" t="e">
        <f>AND('SP TMSYP'!E95,"AAAAAHe5+28=")</f>
        <v>#VALUE!</v>
      </c>
      <c r="DI274" t="e">
        <f>AND('SP TMSYP'!F95,"AAAAAHe5+3A=")</f>
        <v>#VALUE!</v>
      </c>
      <c r="DJ274">
        <f>IF('SP TMSYP'!96:96,"AAAAAHe5+3E=",0)</f>
        <v>0</v>
      </c>
      <c r="DK274" t="e">
        <f>AND('SP TMSYP'!A96,"AAAAAHe5+3I=")</f>
        <v>#VALUE!</v>
      </c>
      <c r="DL274" t="e">
        <f>AND('SP TMSYP'!B96,"AAAAAHe5+3M=")</f>
        <v>#VALUE!</v>
      </c>
      <c r="DM274" t="e">
        <f>AND('SP TMSYP'!C96,"AAAAAHe5+3Q=")</f>
        <v>#VALUE!</v>
      </c>
      <c r="DN274" t="e">
        <f>AND('SP TMSYP'!D96,"AAAAAHe5+3U=")</f>
        <v>#VALUE!</v>
      </c>
      <c r="DO274" t="e">
        <f>AND('SP TMSYP'!E96,"AAAAAHe5+3Y=")</f>
        <v>#VALUE!</v>
      </c>
      <c r="DP274" t="e">
        <f>AND('SP TMSYP'!F96,"AAAAAHe5+3c=")</f>
        <v>#VALUE!</v>
      </c>
      <c r="DQ274">
        <f>IF('SP TMSYP'!97:97,"AAAAAHe5+3g=",0)</f>
        <v>0</v>
      </c>
      <c r="DR274" t="e">
        <f>AND('SP TMSYP'!A97,"AAAAAHe5+3k=")</f>
        <v>#VALUE!</v>
      </c>
      <c r="DS274" t="e">
        <f>AND('SP TMSYP'!B97,"AAAAAHe5+3o=")</f>
        <v>#VALUE!</v>
      </c>
      <c r="DT274" t="e">
        <f>AND('SP TMSYP'!C97,"AAAAAHe5+3s=")</f>
        <v>#VALUE!</v>
      </c>
      <c r="DU274" t="e">
        <f>AND('SP TMSYP'!D97,"AAAAAHe5+3w=")</f>
        <v>#VALUE!</v>
      </c>
      <c r="DV274" t="e">
        <f>AND('SP TMSYP'!E97,"AAAAAHe5+30=")</f>
        <v>#VALUE!</v>
      </c>
      <c r="DW274" t="e">
        <f>AND('SP TMSYP'!F97,"AAAAAHe5+34=")</f>
        <v>#VALUE!</v>
      </c>
      <c r="DX274">
        <f>IF('SP TMSYP'!98:98,"AAAAAHe5+38=",0)</f>
        <v>0</v>
      </c>
      <c r="DY274" t="e">
        <f>AND('SP TMSYP'!A98,"AAAAAHe5+4A=")</f>
        <v>#VALUE!</v>
      </c>
      <c r="DZ274" t="e">
        <f>AND('SP TMSYP'!B98,"AAAAAHe5+4E=")</f>
        <v>#VALUE!</v>
      </c>
      <c r="EA274" t="e">
        <f>AND('SP TMSYP'!C98,"AAAAAHe5+4I=")</f>
        <v>#VALUE!</v>
      </c>
      <c r="EB274" t="e">
        <f>AND('SP TMSYP'!D98,"AAAAAHe5+4M=")</f>
        <v>#VALUE!</v>
      </c>
      <c r="EC274" t="e">
        <f>AND('SP TMSYP'!E98,"AAAAAHe5+4Q=")</f>
        <v>#VALUE!</v>
      </c>
      <c r="ED274" t="e">
        <f>AND('SP TMSYP'!F98,"AAAAAHe5+4U=")</f>
        <v>#VALUE!</v>
      </c>
      <c r="EE274">
        <f>IF('SP TMSYP'!99:99,"AAAAAHe5+4Y=",0)</f>
        <v>0</v>
      </c>
      <c r="EF274" t="e">
        <f>AND('SP TMSYP'!A99,"AAAAAHe5+4c=")</f>
        <v>#VALUE!</v>
      </c>
      <c r="EG274" t="e">
        <f>AND('SP TMSYP'!B99,"AAAAAHe5+4g=")</f>
        <v>#VALUE!</v>
      </c>
      <c r="EH274" t="e">
        <f>AND('SP TMSYP'!C99,"AAAAAHe5+4k=")</f>
        <v>#VALUE!</v>
      </c>
      <c r="EI274" t="e">
        <f>AND('SP TMSYP'!D99,"AAAAAHe5+4o=")</f>
        <v>#VALUE!</v>
      </c>
      <c r="EJ274" t="e">
        <f>AND('SP TMSYP'!E99,"AAAAAHe5+4s=")</f>
        <v>#VALUE!</v>
      </c>
      <c r="EK274" t="e">
        <f>AND('SP TMSYP'!F99,"AAAAAHe5+4w=")</f>
        <v>#VALUE!</v>
      </c>
      <c r="EL274">
        <f>IF('SP TMSYP'!100:100,"AAAAAHe5+40=",0)</f>
        <v>0</v>
      </c>
      <c r="EM274" t="e">
        <f>AND('SP TMSYP'!A100,"AAAAAHe5+44=")</f>
        <v>#VALUE!</v>
      </c>
      <c r="EN274" t="e">
        <f>AND('SP TMSYP'!B100,"AAAAAHe5+48=")</f>
        <v>#VALUE!</v>
      </c>
      <c r="EO274" t="e">
        <f>AND('SP TMSYP'!C100,"AAAAAHe5+5A=")</f>
        <v>#VALUE!</v>
      </c>
      <c r="EP274" t="e">
        <f>AND('SP TMSYP'!D100,"AAAAAHe5+5E=")</f>
        <v>#VALUE!</v>
      </c>
      <c r="EQ274" t="e">
        <f>AND('SP TMSYP'!E100,"AAAAAHe5+5I=")</f>
        <v>#VALUE!</v>
      </c>
      <c r="ER274" t="e">
        <f>AND('SP TMSYP'!F100,"AAAAAHe5+5M=")</f>
        <v>#VALUE!</v>
      </c>
      <c r="ES274">
        <f>IF('SP TMSYP'!101:101,"AAAAAHe5+5Q=",0)</f>
        <v>0</v>
      </c>
      <c r="ET274" t="e">
        <f>AND('SP TMSYP'!A101,"AAAAAHe5+5U=")</f>
        <v>#VALUE!</v>
      </c>
      <c r="EU274" t="e">
        <f>AND('SP TMSYP'!B101,"AAAAAHe5+5Y=")</f>
        <v>#VALUE!</v>
      </c>
      <c r="EV274" t="e">
        <f>AND('SP TMSYP'!C101,"AAAAAHe5+5c=")</f>
        <v>#VALUE!</v>
      </c>
      <c r="EW274" t="e">
        <f>AND('SP TMSYP'!D101,"AAAAAHe5+5g=")</f>
        <v>#VALUE!</v>
      </c>
      <c r="EX274" t="e">
        <f>AND('SP TMSYP'!E101,"AAAAAHe5+5k=")</f>
        <v>#VALUE!</v>
      </c>
      <c r="EY274" t="e">
        <f>AND('SP TMSYP'!F101,"AAAAAHe5+5o=")</f>
        <v>#VALUE!</v>
      </c>
      <c r="EZ274">
        <f>IF('SP TMSYP'!102:102,"AAAAAHe5+5s=",0)</f>
        <v>0</v>
      </c>
      <c r="FA274" t="e">
        <f>AND('SP TMSYP'!A102,"AAAAAHe5+5w=")</f>
        <v>#VALUE!</v>
      </c>
      <c r="FB274" t="e">
        <f>AND('SP TMSYP'!B102,"AAAAAHe5+50=")</f>
        <v>#VALUE!</v>
      </c>
      <c r="FC274" t="e">
        <f>AND('SP TMSYP'!C102,"AAAAAHe5+54=")</f>
        <v>#VALUE!</v>
      </c>
      <c r="FD274" t="e">
        <f>AND('SP TMSYP'!D102,"AAAAAHe5+58=")</f>
        <v>#VALUE!</v>
      </c>
      <c r="FE274" t="e">
        <f>AND('SP TMSYP'!E102,"AAAAAHe5+6A=")</f>
        <v>#VALUE!</v>
      </c>
      <c r="FF274" t="e">
        <f>AND('SP TMSYP'!F102,"AAAAAHe5+6E=")</f>
        <v>#VALUE!</v>
      </c>
      <c r="FG274">
        <f>IF('SP TMSYP'!103:103,"AAAAAHe5+6I=",0)</f>
        <v>0</v>
      </c>
      <c r="FH274" t="e">
        <f>AND('SP TMSYP'!A103,"AAAAAHe5+6M=")</f>
        <v>#VALUE!</v>
      </c>
      <c r="FI274" t="e">
        <f>AND('SP TMSYP'!B103,"AAAAAHe5+6Q=")</f>
        <v>#VALUE!</v>
      </c>
      <c r="FJ274" t="e">
        <f>AND('SP TMSYP'!C103,"AAAAAHe5+6U=")</f>
        <v>#VALUE!</v>
      </c>
      <c r="FK274" t="e">
        <f>AND('SP TMSYP'!D103,"AAAAAHe5+6Y=")</f>
        <v>#VALUE!</v>
      </c>
      <c r="FL274" t="e">
        <f>AND('SP TMSYP'!E103,"AAAAAHe5+6c=")</f>
        <v>#VALUE!</v>
      </c>
      <c r="FM274" t="e">
        <f>AND('SP TMSYP'!F103,"AAAAAHe5+6g=")</f>
        <v>#VALUE!</v>
      </c>
      <c r="FN274">
        <f>IF('SP TMSYP'!104:104,"AAAAAHe5+6k=",0)</f>
        <v>0</v>
      </c>
      <c r="FO274" t="e">
        <f>AND('SP TMSYP'!A104,"AAAAAHe5+6o=")</f>
        <v>#VALUE!</v>
      </c>
      <c r="FP274" t="e">
        <f>AND('SP TMSYP'!B104,"AAAAAHe5+6s=")</f>
        <v>#VALUE!</v>
      </c>
      <c r="FQ274" t="e">
        <f>AND('SP TMSYP'!C104,"AAAAAHe5+6w=")</f>
        <v>#VALUE!</v>
      </c>
      <c r="FR274" t="e">
        <f>AND('SP TMSYP'!D104,"AAAAAHe5+60=")</f>
        <v>#VALUE!</v>
      </c>
      <c r="FS274" t="e">
        <f>AND('SP TMSYP'!E104,"AAAAAHe5+64=")</f>
        <v>#VALUE!</v>
      </c>
      <c r="FT274" t="e">
        <f>AND('SP TMSYP'!F104,"AAAAAHe5+68=")</f>
        <v>#VALUE!</v>
      </c>
      <c r="FU274">
        <f>IF('SP TMSYP'!105:105,"AAAAAHe5+7A=",0)</f>
        <v>0</v>
      </c>
      <c r="FV274" t="e">
        <f>AND('SP TMSYP'!A105,"AAAAAHe5+7E=")</f>
        <v>#VALUE!</v>
      </c>
      <c r="FW274" t="e">
        <f>AND('SP TMSYP'!B105,"AAAAAHe5+7I=")</f>
        <v>#VALUE!</v>
      </c>
      <c r="FX274" t="e">
        <f>AND('SP TMSYP'!C105,"AAAAAHe5+7M=")</f>
        <v>#VALUE!</v>
      </c>
      <c r="FY274" t="e">
        <f>AND('SP TMSYP'!D105,"AAAAAHe5+7Q=")</f>
        <v>#VALUE!</v>
      </c>
      <c r="FZ274" t="e">
        <f>AND('SP TMSYP'!E105,"AAAAAHe5+7U=")</f>
        <v>#VALUE!</v>
      </c>
      <c r="GA274" t="e">
        <f>AND('SP TMSYP'!F105,"AAAAAHe5+7Y=")</f>
        <v>#VALUE!</v>
      </c>
      <c r="GB274">
        <f>IF('SP TMSYP'!106:106,"AAAAAHe5+7c=",0)</f>
        <v>0</v>
      </c>
      <c r="GC274" t="e">
        <f>AND('SP TMSYP'!A106,"AAAAAHe5+7g=")</f>
        <v>#VALUE!</v>
      </c>
      <c r="GD274" t="e">
        <f>AND('SP TMSYP'!B106,"AAAAAHe5+7k=")</f>
        <v>#VALUE!</v>
      </c>
      <c r="GE274" t="e">
        <f>AND('SP TMSYP'!C106,"AAAAAHe5+7o=")</f>
        <v>#VALUE!</v>
      </c>
      <c r="GF274" t="e">
        <f>AND('SP TMSYP'!D106,"AAAAAHe5+7s=")</f>
        <v>#VALUE!</v>
      </c>
      <c r="GG274" t="e">
        <f>AND('SP TMSYP'!E106,"AAAAAHe5+7w=")</f>
        <v>#VALUE!</v>
      </c>
      <c r="GH274" t="e">
        <f>AND('SP TMSYP'!F106,"AAAAAHe5+70=")</f>
        <v>#VALUE!</v>
      </c>
      <c r="GI274">
        <f>IF('SP TMSYP'!107:107,"AAAAAHe5+74=",0)</f>
        <v>0</v>
      </c>
      <c r="GJ274" t="e">
        <f>AND('SP TMSYP'!A107,"AAAAAHe5+78=")</f>
        <v>#VALUE!</v>
      </c>
      <c r="GK274" t="e">
        <f>AND('SP TMSYP'!B107,"AAAAAHe5+8A=")</f>
        <v>#VALUE!</v>
      </c>
      <c r="GL274" t="e">
        <f>AND('SP TMSYP'!C107,"AAAAAHe5+8E=")</f>
        <v>#VALUE!</v>
      </c>
      <c r="GM274" t="e">
        <f>AND('SP TMSYP'!D107,"AAAAAHe5+8I=")</f>
        <v>#VALUE!</v>
      </c>
      <c r="GN274" t="e">
        <f>AND('SP TMSYP'!E107,"AAAAAHe5+8M=")</f>
        <v>#VALUE!</v>
      </c>
      <c r="GO274" t="e">
        <f>AND('SP TMSYP'!F107,"AAAAAHe5+8Q=")</f>
        <v>#VALUE!</v>
      </c>
      <c r="GP274">
        <f>IF('SP TMSYP'!108:108,"AAAAAHe5+8U=",0)</f>
        <v>0</v>
      </c>
      <c r="GQ274" t="e">
        <f>AND('SP TMSYP'!A108,"AAAAAHe5+8Y=")</f>
        <v>#VALUE!</v>
      </c>
      <c r="GR274" t="e">
        <f>AND('SP TMSYP'!B108,"AAAAAHe5+8c=")</f>
        <v>#VALUE!</v>
      </c>
      <c r="GS274" t="e">
        <f>AND('SP TMSYP'!C108,"AAAAAHe5+8g=")</f>
        <v>#VALUE!</v>
      </c>
      <c r="GT274" t="e">
        <f>AND('SP TMSYP'!D108,"AAAAAHe5+8k=")</f>
        <v>#VALUE!</v>
      </c>
      <c r="GU274" t="e">
        <f>AND('SP TMSYP'!E108,"AAAAAHe5+8o=")</f>
        <v>#VALUE!</v>
      </c>
      <c r="GV274" t="e">
        <f>AND('SP TMSYP'!F108,"AAAAAHe5+8s=")</f>
        <v>#VALUE!</v>
      </c>
      <c r="GW274">
        <f>IF('SP TMSYP'!109:109,"AAAAAHe5+8w=",0)</f>
        <v>0</v>
      </c>
      <c r="GX274" t="e">
        <f>AND('SP TMSYP'!A109,"AAAAAHe5+80=")</f>
        <v>#VALUE!</v>
      </c>
      <c r="GY274" t="e">
        <f>AND('SP TMSYP'!B109,"AAAAAHe5+84=")</f>
        <v>#VALUE!</v>
      </c>
      <c r="GZ274" t="e">
        <f>AND('SP TMSYP'!C109,"AAAAAHe5+88=")</f>
        <v>#VALUE!</v>
      </c>
      <c r="HA274" t="e">
        <f>AND('SP TMSYP'!D109,"AAAAAHe5+9A=")</f>
        <v>#VALUE!</v>
      </c>
      <c r="HB274" t="e">
        <f>AND('SP TMSYP'!E109,"AAAAAHe5+9E=")</f>
        <v>#VALUE!</v>
      </c>
      <c r="HC274" t="e">
        <f>AND('SP TMSYP'!F109,"AAAAAHe5+9I=")</f>
        <v>#VALUE!</v>
      </c>
      <c r="HD274">
        <f>IF('SP TMSYP'!110:110,"AAAAAHe5+9M=",0)</f>
        <v>0</v>
      </c>
      <c r="HE274" t="e">
        <f>AND('SP TMSYP'!A110,"AAAAAHe5+9Q=")</f>
        <v>#VALUE!</v>
      </c>
      <c r="HF274" t="e">
        <f>AND('SP TMSYP'!B110,"AAAAAHe5+9U=")</f>
        <v>#VALUE!</v>
      </c>
      <c r="HG274" t="e">
        <f>AND('SP TMSYP'!C110,"AAAAAHe5+9Y=")</f>
        <v>#VALUE!</v>
      </c>
      <c r="HH274" t="e">
        <f>AND('SP TMSYP'!D110,"AAAAAHe5+9c=")</f>
        <v>#VALUE!</v>
      </c>
      <c r="HI274" t="e">
        <f>AND('SP TMSYP'!E110,"AAAAAHe5+9g=")</f>
        <v>#VALUE!</v>
      </c>
      <c r="HJ274" t="e">
        <f>AND('SP TMSYP'!F110,"AAAAAHe5+9k=")</f>
        <v>#VALUE!</v>
      </c>
      <c r="HK274">
        <f>IF('SP TMSYP'!111:111,"AAAAAHe5+9o=",0)</f>
        <v>0</v>
      </c>
      <c r="HL274" t="e">
        <f>AND('SP TMSYP'!A111,"AAAAAHe5+9s=")</f>
        <v>#VALUE!</v>
      </c>
      <c r="HM274" t="e">
        <f>AND('SP TMSYP'!B111,"AAAAAHe5+9w=")</f>
        <v>#VALUE!</v>
      </c>
      <c r="HN274" t="e">
        <f>AND('SP TMSYP'!C111,"AAAAAHe5+90=")</f>
        <v>#VALUE!</v>
      </c>
      <c r="HO274" t="e">
        <f>AND('SP TMSYP'!D111,"AAAAAHe5+94=")</f>
        <v>#VALUE!</v>
      </c>
      <c r="HP274" t="e">
        <f>AND('SP TMSYP'!E111,"AAAAAHe5+98=")</f>
        <v>#VALUE!</v>
      </c>
      <c r="HQ274" t="e">
        <f>AND('SP TMSYP'!F111,"AAAAAHe5++A=")</f>
        <v>#VALUE!</v>
      </c>
      <c r="HR274">
        <f>IF('SP TMSYP'!112:112,"AAAAAHe5++E=",0)</f>
        <v>0</v>
      </c>
      <c r="HS274" t="e">
        <f>AND('SP TMSYP'!A112,"AAAAAHe5++I=")</f>
        <v>#VALUE!</v>
      </c>
      <c r="HT274" t="e">
        <f>AND('SP TMSYP'!B112,"AAAAAHe5++M=")</f>
        <v>#VALUE!</v>
      </c>
      <c r="HU274" t="e">
        <f>AND('SP TMSYP'!C112,"AAAAAHe5++Q=")</f>
        <v>#VALUE!</v>
      </c>
      <c r="HV274" t="e">
        <f>AND('SP TMSYP'!D112,"AAAAAHe5++U=")</f>
        <v>#VALUE!</v>
      </c>
      <c r="HW274" t="e">
        <f>AND('SP TMSYP'!E112,"AAAAAHe5++Y=")</f>
        <v>#VALUE!</v>
      </c>
      <c r="HX274" t="e">
        <f>AND('SP TMSYP'!F112,"AAAAAHe5++c=")</f>
        <v>#VALUE!</v>
      </c>
      <c r="HY274">
        <f>IF('SP TMSYP'!113:113,"AAAAAHe5++g=",0)</f>
        <v>0</v>
      </c>
      <c r="HZ274" t="e">
        <f>AND('SP TMSYP'!A113,"AAAAAHe5++k=")</f>
        <v>#VALUE!</v>
      </c>
      <c r="IA274" t="e">
        <f>AND('SP TMSYP'!B113,"AAAAAHe5++o=")</f>
        <v>#VALUE!</v>
      </c>
      <c r="IB274" t="e">
        <f>AND('SP TMSYP'!C113,"AAAAAHe5++s=")</f>
        <v>#VALUE!</v>
      </c>
      <c r="IC274" t="e">
        <f>AND('SP TMSYP'!D113,"AAAAAHe5++w=")</f>
        <v>#VALUE!</v>
      </c>
      <c r="ID274" t="e">
        <f>AND('SP TMSYP'!E113,"AAAAAHe5++0=")</f>
        <v>#VALUE!</v>
      </c>
      <c r="IE274" t="e">
        <f>AND('SP TMSYP'!F113,"AAAAAHe5++4=")</f>
        <v>#VALUE!</v>
      </c>
      <c r="IF274">
        <f>IF('SP TMSYP'!114:114,"AAAAAHe5++8=",0)</f>
        <v>0</v>
      </c>
      <c r="IG274" t="e">
        <f>AND('SP TMSYP'!A114,"AAAAAHe5+/A=")</f>
        <v>#VALUE!</v>
      </c>
      <c r="IH274" t="e">
        <f>AND('SP TMSYP'!B114,"AAAAAHe5+/E=")</f>
        <v>#VALUE!</v>
      </c>
      <c r="II274" t="e">
        <f>AND('SP TMSYP'!C114,"AAAAAHe5+/I=")</f>
        <v>#VALUE!</v>
      </c>
      <c r="IJ274" t="e">
        <f>AND('SP TMSYP'!D114,"AAAAAHe5+/M=")</f>
        <v>#VALUE!</v>
      </c>
      <c r="IK274" t="e">
        <f>AND('SP TMSYP'!E114,"AAAAAHe5+/Q=")</f>
        <v>#VALUE!</v>
      </c>
      <c r="IL274" t="e">
        <f>AND('SP TMSYP'!F114,"AAAAAHe5+/U=")</f>
        <v>#VALUE!</v>
      </c>
      <c r="IM274">
        <f>IF('SP TMSYP'!115:115,"AAAAAHe5+/Y=",0)</f>
        <v>0</v>
      </c>
      <c r="IN274" t="e">
        <f>AND('SP TMSYP'!A115,"AAAAAHe5+/c=")</f>
        <v>#VALUE!</v>
      </c>
      <c r="IO274" t="e">
        <f>AND('SP TMSYP'!B115,"AAAAAHe5+/g=")</f>
        <v>#VALUE!</v>
      </c>
      <c r="IP274" t="e">
        <f>AND('SP TMSYP'!C115,"AAAAAHe5+/k=")</f>
        <v>#VALUE!</v>
      </c>
      <c r="IQ274" t="e">
        <f>AND('SP TMSYP'!D115,"AAAAAHe5+/o=")</f>
        <v>#VALUE!</v>
      </c>
      <c r="IR274" t="e">
        <f>AND('SP TMSYP'!E115,"AAAAAHe5+/s=")</f>
        <v>#VALUE!</v>
      </c>
      <c r="IS274" t="e">
        <f>AND('SP TMSYP'!F115,"AAAAAHe5+/w=")</f>
        <v>#VALUE!</v>
      </c>
      <c r="IT274">
        <f>IF('SP TMSYP'!116:116,"AAAAAHe5+/0=",0)</f>
        <v>0</v>
      </c>
      <c r="IU274" t="e">
        <f>AND('SP TMSYP'!A116,"AAAAAHe5+/4=")</f>
        <v>#VALUE!</v>
      </c>
      <c r="IV274" t="e">
        <f>AND('SP TMSYP'!B116,"AAAAAHe5+/8=")</f>
        <v>#VALUE!</v>
      </c>
    </row>
    <row r="275" spans="1:256">
      <c r="A275" t="e">
        <f>AND('SP TMSYP'!C116,"AAAAAD7evgA=")</f>
        <v>#VALUE!</v>
      </c>
      <c r="B275" t="e">
        <f>AND('SP TMSYP'!D116,"AAAAAD7evgE=")</f>
        <v>#VALUE!</v>
      </c>
      <c r="C275" t="e">
        <f>AND('SP TMSYP'!E116,"AAAAAD7evgI=")</f>
        <v>#VALUE!</v>
      </c>
      <c r="D275" t="e">
        <f>AND('SP TMSYP'!F116,"AAAAAD7evgM=")</f>
        <v>#VALUE!</v>
      </c>
      <c r="E275">
        <f>IF('SP TMSYP'!117:117,"AAAAAD7evgQ=",0)</f>
        <v>0</v>
      </c>
      <c r="F275" t="e">
        <f>AND('SP TMSYP'!A117,"AAAAAD7evgU=")</f>
        <v>#VALUE!</v>
      </c>
      <c r="G275" t="e">
        <f>AND('SP TMSYP'!B117,"AAAAAD7evgY=")</f>
        <v>#VALUE!</v>
      </c>
      <c r="H275" t="e">
        <f>AND('SP TMSYP'!C117,"AAAAAD7evgc=")</f>
        <v>#VALUE!</v>
      </c>
      <c r="I275" t="e">
        <f>AND('SP TMSYP'!D117,"AAAAAD7evgg=")</f>
        <v>#VALUE!</v>
      </c>
      <c r="J275" t="e">
        <f>AND('SP TMSYP'!E117,"AAAAAD7evgk=")</f>
        <v>#VALUE!</v>
      </c>
      <c r="K275" t="e">
        <f>AND('SP TMSYP'!F117,"AAAAAD7evgo=")</f>
        <v>#VALUE!</v>
      </c>
      <c r="L275">
        <f>IF('SP TMSYP'!118:118,"AAAAAD7evgs=",0)</f>
        <v>0</v>
      </c>
      <c r="M275" t="e">
        <f>AND('SP TMSYP'!A118,"AAAAAD7evgw=")</f>
        <v>#VALUE!</v>
      </c>
      <c r="N275" t="e">
        <f>AND('SP TMSYP'!B118,"AAAAAD7evg0=")</f>
        <v>#VALUE!</v>
      </c>
      <c r="O275" t="e">
        <f>AND('SP TMSYP'!C118,"AAAAAD7evg4=")</f>
        <v>#VALUE!</v>
      </c>
      <c r="P275" t="e">
        <f>AND('SP TMSYP'!D118,"AAAAAD7evg8=")</f>
        <v>#VALUE!</v>
      </c>
      <c r="Q275" t="e">
        <f>AND('SP TMSYP'!E118,"AAAAAD7evhA=")</f>
        <v>#VALUE!</v>
      </c>
      <c r="R275" t="e">
        <f>AND('SP TMSYP'!F118,"AAAAAD7evhE=")</f>
        <v>#VALUE!</v>
      </c>
      <c r="S275">
        <f>IF('SP TMSYP'!119:119,"AAAAAD7evhI=",0)</f>
        <v>0</v>
      </c>
      <c r="T275" t="e">
        <f>AND('SP TMSYP'!A119,"AAAAAD7evhM=")</f>
        <v>#VALUE!</v>
      </c>
      <c r="U275" t="e">
        <f>AND('SP TMSYP'!B119,"AAAAAD7evhQ=")</f>
        <v>#VALUE!</v>
      </c>
      <c r="V275" t="e">
        <f>AND('SP TMSYP'!C119,"AAAAAD7evhU=")</f>
        <v>#VALUE!</v>
      </c>
      <c r="W275" t="e">
        <f>AND('SP TMSYP'!D119,"AAAAAD7evhY=")</f>
        <v>#VALUE!</v>
      </c>
      <c r="X275" t="e">
        <f>AND('SP TMSYP'!E119,"AAAAAD7evhc=")</f>
        <v>#VALUE!</v>
      </c>
      <c r="Y275" t="e">
        <f>AND('SP TMSYP'!F119,"AAAAAD7evhg=")</f>
        <v>#VALUE!</v>
      </c>
      <c r="Z275">
        <f>IF('SP TMSYP'!120:120,"AAAAAD7evhk=",0)</f>
        <v>0</v>
      </c>
      <c r="AA275" t="e">
        <f>AND('SP TMSYP'!A120,"AAAAAD7evho=")</f>
        <v>#VALUE!</v>
      </c>
      <c r="AB275" t="e">
        <f>AND('SP TMSYP'!B120,"AAAAAD7evhs=")</f>
        <v>#VALUE!</v>
      </c>
      <c r="AC275" t="e">
        <f>AND('SP TMSYP'!C120,"AAAAAD7evhw=")</f>
        <v>#VALUE!</v>
      </c>
      <c r="AD275" t="e">
        <f>AND('SP TMSYP'!D120,"AAAAAD7evh0=")</f>
        <v>#VALUE!</v>
      </c>
      <c r="AE275" t="e">
        <f>AND('SP TMSYP'!E120,"AAAAAD7evh4=")</f>
        <v>#VALUE!</v>
      </c>
      <c r="AF275" t="e">
        <f>AND('SP TMSYP'!F120,"AAAAAD7evh8=")</f>
        <v>#VALUE!</v>
      </c>
      <c r="AG275">
        <f>IF('SP TMSYP'!121:121,"AAAAAD7eviA=",0)</f>
        <v>0</v>
      </c>
      <c r="AH275" t="e">
        <f>AND('SP TMSYP'!A121,"AAAAAD7eviE=")</f>
        <v>#VALUE!</v>
      </c>
      <c r="AI275" t="e">
        <f>AND('SP TMSYP'!B121,"AAAAAD7eviI=")</f>
        <v>#VALUE!</v>
      </c>
      <c r="AJ275" t="e">
        <f>AND('SP TMSYP'!C121,"AAAAAD7eviM=")</f>
        <v>#VALUE!</v>
      </c>
      <c r="AK275" t="e">
        <f>AND('SP TMSYP'!D121,"AAAAAD7eviQ=")</f>
        <v>#VALUE!</v>
      </c>
      <c r="AL275" t="e">
        <f>AND('SP TMSYP'!E121,"AAAAAD7eviU=")</f>
        <v>#VALUE!</v>
      </c>
      <c r="AM275" t="e">
        <f>AND('SP TMSYP'!F121,"AAAAAD7eviY=")</f>
        <v>#VALUE!</v>
      </c>
      <c r="AN275">
        <f>IF('SP TMSYP'!122:122,"AAAAAD7evic=",0)</f>
        <v>0</v>
      </c>
      <c r="AO275" t="e">
        <f>AND('SP TMSYP'!A122,"AAAAAD7evig=")</f>
        <v>#VALUE!</v>
      </c>
      <c r="AP275" t="e">
        <f>AND('SP TMSYP'!B122,"AAAAAD7evik=")</f>
        <v>#VALUE!</v>
      </c>
      <c r="AQ275" t="e">
        <f>AND('SP TMSYP'!C122,"AAAAAD7evio=")</f>
        <v>#VALUE!</v>
      </c>
      <c r="AR275" t="e">
        <f>AND('SP TMSYP'!D122,"AAAAAD7evis=")</f>
        <v>#VALUE!</v>
      </c>
      <c r="AS275" t="e">
        <f>AND('SP TMSYP'!E122,"AAAAAD7eviw=")</f>
        <v>#VALUE!</v>
      </c>
      <c r="AT275" t="e">
        <f>AND('SP TMSYP'!F122,"AAAAAD7evi0=")</f>
        <v>#VALUE!</v>
      </c>
      <c r="AU275">
        <f>IF('SP TMSYP'!123:123,"AAAAAD7evi4=",0)</f>
        <v>0</v>
      </c>
      <c r="AV275" t="e">
        <f>AND('SP TMSYP'!A123,"AAAAAD7evi8=")</f>
        <v>#VALUE!</v>
      </c>
      <c r="AW275" t="e">
        <f>AND('SP TMSYP'!B123,"AAAAAD7evjA=")</f>
        <v>#VALUE!</v>
      </c>
      <c r="AX275" t="e">
        <f>AND('SP TMSYP'!C123,"AAAAAD7evjE=")</f>
        <v>#VALUE!</v>
      </c>
      <c r="AY275" t="e">
        <f>AND('SP TMSYP'!D123,"AAAAAD7evjI=")</f>
        <v>#VALUE!</v>
      </c>
      <c r="AZ275" t="e">
        <f>AND('SP TMSYP'!E123,"AAAAAD7evjM=")</f>
        <v>#VALUE!</v>
      </c>
      <c r="BA275" t="e">
        <f>AND('SP TMSYP'!F123,"AAAAAD7evjQ=")</f>
        <v>#VALUE!</v>
      </c>
      <c r="BB275">
        <f>IF('SP TMSYP'!124:124,"AAAAAD7evjU=",0)</f>
        <v>0</v>
      </c>
      <c r="BC275" t="e">
        <f>AND('SP TMSYP'!A124,"AAAAAD7evjY=")</f>
        <v>#VALUE!</v>
      </c>
      <c r="BD275" t="e">
        <f>AND('SP TMSYP'!B124,"AAAAAD7evjc=")</f>
        <v>#VALUE!</v>
      </c>
      <c r="BE275" t="e">
        <f>AND('SP TMSYP'!C124,"AAAAAD7evjg=")</f>
        <v>#VALUE!</v>
      </c>
      <c r="BF275" t="e">
        <f>AND('SP TMSYP'!D124,"AAAAAD7evjk=")</f>
        <v>#VALUE!</v>
      </c>
      <c r="BG275" t="e">
        <f>AND('SP TMSYP'!E124,"AAAAAD7evjo=")</f>
        <v>#VALUE!</v>
      </c>
      <c r="BH275" t="e">
        <f>AND('SP TMSYP'!F124,"AAAAAD7evjs=")</f>
        <v>#VALUE!</v>
      </c>
      <c r="BI275">
        <f>IF('SP TMSYP'!125:125,"AAAAAD7evjw=",0)</f>
        <v>0</v>
      </c>
      <c r="BJ275" t="e">
        <f>AND('SP TMSYP'!A125,"AAAAAD7evj0=")</f>
        <v>#VALUE!</v>
      </c>
      <c r="BK275" t="e">
        <f>AND('SP TMSYP'!B125,"AAAAAD7evj4=")</f>
        <v>#VALUE!</v>
      </c>
      <c r="BL275" t="e">
        <f>AND('SP TMSYP'!C125,"AAAAAD7evj8=")</f>
        <v>#VALUE!</v>
      </c>
      <c r="BM275" t="e">
        <f>AND('SP TMSYP'!D125,"AAAAAD7evkA=")</f>
        <v>#VALUE!</v>
      </c>
      <c r="BN275" t="e">
        <f>AND('SP TMSYP'!E125,"AAAAAD7evkE=")</f>
        <v>#VALUE!</v>
      </c>
      <c r="BO275" t="e">
        <f>AND('SP TMSYP'!F125,"AAAAAD7evkI=")</f>
        <v>#VALUE!</v>
      </c>
      <c r="BP275">
        <f>IF('SP TMSYP'!126:126,"AAAAAD7evkM=",0)</f>
        <v>0</v>
      </c>
      <c r="BQ275" t="e">
        <f>AND('SP TMSYP'!A126,"AAAAAD7evkQ=")</f>
        <v>#VALUE!</v>
      </c>
      <c r="BR275" t="e">
        <f>AND('SP TMSYP'!B126,"AAAAAD7evkU=")</f>
        <v>#VALUE!</v>
      </c>
      <c r="BS275" t="e">
        <f>AND('SP TMSYP'!C126,"AAAAAD7evkY=")</f>
        <v>#VALUE!</v>
      </c>
      <c r="BT275" t="e">
        <f>AND('SP TMSYP'!D126,"AAAAAD7evkc=")</f>
        <v>#VALUE!</v>
      </c>
      <c r="BU275" t="e">
        <f>AND('SP TMSYP'!E126,"AAAAAD7evkg=")</f>
        <v>#VALUE!</v>
      </c>
      <c r="BV275" t="e">
        <f>AND('SP TMSYP'!F126,"AAAAAD7evkk=")</f>
        <v>#VALUE!</v>
      </c>
      <c r="BW275">
        <f>IF('SP TMSYP'!127:127,"AAAAAD7evko=",0)</f>
        <v>0</v>
      </c>
      <c r="BX275" t="e">
        <f>AND('SP TMSYP'!A127,"AAAAAD7evks=")</f>
        <v>#VALUE!</v>
      </c>
      <c r="BY275" t="e">
        <f>AND('SP TMSYP'!B127,"AAAAAD7evkw=")</f>
        <v>#VALUE!</v>
      </c>
      <c r="BZ275" t="e">
        <f>AND('SP TMSYP'!C127,"AAAAAD7evk0=")</f>
        <v>#VALUE!</v>
      </c>
      <c r="CA275" t="e">
        <f>AND('SP TMSYP'!D127,"AAAAAD7evk4=")</f>
        <v>#VALUE!</v>
      </c>
      <c r="CB275" t="e">
        <f>AND('SP TMSYP'!E127,"AAAAAD7evk8=")</f>
        <v>#VALUE!</v>
      </c>
      <c r="CC275" t="e">
        <f>AND('SP TMSYP'!F127,"AAAAAD7evlA=")</f>
        <v>#VALUE!</v>
      </c>
      <c r="CD275">
        <f>IF('SP TMSYP'!128:128,"AAAAAD7evlE=",0)</f>
        <v>0</v>
      </c>
      <c r="CE275" t="e">
        <f>AND('SP TMSYP'!A128,"AAAAAD7evlI=")</f>
        <v>#VALUE!</v>
      </c>
      <c r="CF275" t="e">
        <f>AND('SP TMSYP'!B128,"AAAAAD7evlM=")</f>
        <v>#VALUE!</v>
      </c>
      <c r="CG275" t="e">
        <f>AND('SP TMSYP'!C128,"AAAAAD7evlQ=")</f>
        <v>#VALUE!</v>
      </c>
      <c r="CH275" t="e">
        <f>AND('SP TMSYP'!D128,"AAAAAD7evlU=")</f>
        <v>#VALUE!</v>
      </c>
      <c r="CI275" t="e">
        <f>AND('SP TMSYP'!E128,"AAAAAD7evlY=")</f>
        <v>#VALUE!</v>
      </c>
      <c r="CJ275" t="e">
        <f>AND('SP TMSYP'!F128,"AAAAAD7evlc=")</f>
        <v>#VALUE!</v>
      </c>
      <c r="CK275">
        <f>IF('SP TMSYP'!129:129,"AAAAAD7evlg=",0)</f>
        <v>0</v>
      </c>
      <c r="CL275" t="e">
        <f>AND('SP TMSYP'!A129,"AAAAAD7evlk=")</f>
        <v>#VALUE!</v>
      </c>
      <c r="CM275" t="e">
        <f>AND('SP TMSYP'!B129,"AAAAAD7evlo=")</f>
        <v>#VALUE!</v>
      </c>
      <c r="CN275" t="e">
        <f>AND('SP TMSYP'!C129,"AAAAAD7evls=")</f>
        <v>#VALUE!</v>
      </c>
      <c r="CO275" t="e">
        <f>AND('SP TMSYP'!D129,"AAAAAD7evlw=")</f>
        <v>#VALUE!</v>
      </c>
      <c r="CP275" t="e">
        <f>AND('SP TMSYP'!E129,"AAAAAD7evl0=")</f>
        <v>#VALUE!</v>
      </c>
      <c r="CQ275" t="e">
        <f>AND('SP TMSYP'!F129,"AAAAAD7evl4=")</f>
        <v>#VALUE!</v>
      </c>
      <c r="CR275">
        <f>IF('SP TMSYP'!130:130,"AAAAAD7evl8=",0)</f>
        <v>0</v>
      </c>
      <c r="CS275" t="e">
        <f>AND('SP TMSYP'!A130,"AAAAAD7evmA=")</f>
        <v>#VALUE!</v>
      </c>
      <c r="CT275" t="e">
        <f>AND('SP TMSYP'!B130,"AAAAAD7evmE=")</f>
        <v>#VALUE!</v>
      </c>
      <c r="CU275" t="e">
        <f>AND('SP TMSYP'!C130,"AAAAAD7evmI=")</f>
        <v>#VALUE!</v>
      </c>
      <c r="CV275" t="e">
        <f>AND('SP TMSYP'!D130,"AAAAAD7evmM=")</f>
        <v>#VALUE!</v>
      </c>
      <c r="CW275" t="e">
        <f>AND('SP TMSYP'!E130,"AAAAAD7evmQ=")</f>
        <v>#VALUE!</v>
      </c>
      <c r="CX275" t="e">
        <f>AND('SP TMSYP'!F130,"AAAAAD7evmU=")</f>
        <v>#VALUE!</v>
      </c>
      <c r="CY275">
        <f>IF('SP TMSYP'!131:131,"AAAAAD7evmY=",0)</f>
        <v>0</v>
      </c>
      <c r="CZ275" t="e">
        <f>AND('SP TMSYP'!A131,"AAAAAD7evmc=")</f>
        <v>#VALUE!</v>
      </c>
      <c r="DA275" t="e">
        <f>AND('SP TMSYP'!B131,"AAAAAD7evmg=")</f>
        <v>#VALUE!</v>
      </c>
      <c r="DB275" t="e">
        <f>AND('SP TMSYP'!C131,"AAAAAD7evmk=")</f>
        <v>#VALUE!</v>
      </c>
      <c r="DC275" t="e">
        <f>AND('SP TMSYP'!D131,"AAAAAD7evmo=")</f>
        <v>#VALUE!</v>
      </c>
      <c r="DD275" t="e">
        <f>AND('SP TMSYP'!E131,"AAAAAD7evms=")</f>
        <v>#VALUE!</v>
      </c>
      <c r="DE275" t="e">
        <f>AND('SP TMSYP'!F131,"AAAAAD7evmw=")</f>
        <v>#VALUE!</v>
      </c>
      <c r="DF275">
        <f>IF('SP TMSYP'!132:132,"AAAAAD7evm0=",0)</f>
        <v>0</v>
      </c>
      <c r="DG275">
        <f>IF('SP TMSYP'!133:133,"AAAAAD7evm4=",0)</f>
        <v>0</v>
      </c>
      <c r="DH275">
        <f>IF('SP TMSYP'!134:134,"AAAAAD7evm8=",0)</f>
        <v>0</v>
      </c>
      <c r="DI275">
        <f>IF('SP TMSYP'!135:135,"AAAAAD7evnA=",0)</f>
        <v>0</v>
      </c>
      <c r="DJ275">
        <f>IF('SP TMSYP'!136:136,"AAAAAD7evnE=",0)</f>
        <v>0</v>
      </c>
      <c r="DK275">
        <f>IF('SP TMSYP'!137:137,"AAAAAD7evnI=",0)</f>
        <v>0</v>
      </c>
      <c r="DL275">
        <f>IF('SP TMSYP'!138:138,"AAAAAD7evnM=",0)</f>
        <v>0</v>
      </c>
      <c r="DM275">
        <f>IF('SP TMSYP'!139:139,"AAAAAD7evnQ=",0)</f>
        <v>0</v>
      </c>
      <c r="DN275">
        <f>IF('SP TMSYP'!140:140,"AAAAAD7evnU=",0)</f>
        <v>0</v>
      </c>
      <c r="DO275">
        <f>IF('SP TMSYP'!A:A,"AAAAAD7evnY=",0)</f>
        <v>0</v>
      </c>
      <c r="DP275">
        <f>IF('SP TMSYP'!B:B,"AAAAAD7evnc=",0)</f>
        <v>0</v>
      </c>
      <c r="DQ275">
        <f>IF('SP TMSYP'!C:C,"AAAAAD7evng=",0)</f>
        <v>0</v>
      </c>
      <c r="DR275">
        <f>IF('SP TMSYP'!D:D,"AAAAAD7evnk=",0)</f>
        <v>0</v>
      </c>
      <c r="DS275">
        <f>IF('SP TMSYP'!E:E,"AAAAAD7evno=",0)</f>
        <v>0</v>
      </c>
      <c r="DT275">
        <f>IF('SP TMSYP'!F:F,"AAAAAD7evns=",0)</f>
        <v>0</v>
      </c>
      <c r="DU275" t="e">
        <f>IF(#REF!,"AAAAAD7evnw=",0)</f>
        <v>#REF!</v>
      </c>
      <c r="DV275" t="e">
        <f>AND(#REF!,"AAAAAD7evn0=")</f>
        <v>#REF!</v>
      </c>
      <c r="DW275" t="e">
        <f>AND(#REF!,"AAAAAD7evn4=")</f>
        <v>#REF!</v>
      </c>
      <c r="DX275" t="e">
        <f>AND(#REF!,"AAAAAD7evn8=")</f>
        <v>#REF!</v>
      </c>
      <c r="DY275" t="e">
        <f>AND(#REF!,"AAAAAD7evoA=")</f>
        <v>#REF!</v>
      </c>
      <c r="DZ275" t="e">
        <f>AND(#REF!,"AAAAAD7evoE=")</f>
        <v>#REF!</v>
      </c>
      <c r="EA275" t="e">
        <f>AND(#REF!,"AAAAAD7evoI=")</f>
        <v>#REF!</v>
      </c>
      <c r="EB275" t="e">
        <f>AND(#REF!,"AAAAAD7evoM=")</f>
        <v>#REF!</v>
      </c>
      <c r="EC275" t="e">
        <f>AND(#REF!,"AAAAAD7evoQ=")</f>
        <v>#REF!</v>
      </c>
      <c r="ED275" t="e">
        <f>IF(#REF!,"AAAAAD7evoU=",0)</f>
        <v>#REF!</v>
      </c>
      <c r="EE275" t="e">
        <f>AND(#REF!,"AAAAAD7evoY=")</f>
        <v>#REF!</v>
      </c>
      <c r="EF275" t="e">
        <f>AND(#REF!,"AAAAAD7evoc=")</f>
        <v>#REF!</v>
      </c>
      <c r="EG275" t="e">
        <f>AND(#REF!,"AAAAAD7evog=")</f>
        <v>#REF!</v>
      </c>
      <c r="EH275" t="e">
        <f>AND(#REF!,"AAAAAD7evok=")</f>
        <v>#REF!</v>
      </c>
      <c r="EI275" t="e">
        <f>AND(#REF!,"AAAAAD7evoo=")</f>
        <v>#REF!</v>
      </c>
      <c r="EJ275" t="e">
        <f>AND(#REF!,"AAAAAD7evos=")</f>
        <v>#REF!</v>
      </c>
      <c r="EK275" t="e">
        <f>AND(#REF!,"AAAAAD7evow=")</f>
        <v>#REF!</v>
      </c>
      <c r="EL275" t="e">
        <f>AND(#REF!,"AAAAAD7evo0=")</f>
        <v>#REF!</v>
      </c>
      <c r="EM275" t="e">
        <f>IF(#REF!,"AAAAAD7evo4=",0)</f>
        <v>#REF!</v>
      </c>
      <c r="EN275" t="e">
        <f>AND(#REF!,"AAAAAD7evo8=")</f>
        <v>#REF!</v>
      </c>
      <c r="EO275" t="e">
        <f>AND(#REF!,"AAAAAD7evpA=")</f>
        <v>#REF!</v>
      </c>
      <c r="EP275" t="e">
        <f>AND(#REF!,"AAAAAD7evpE=")</f>
        <v>#REF!</v>
      </c>
      <c r="EQ275" t="e">
        <f>AND(#REF!,"AAAAAD7evpI=")</f>
        <v>#REF!</v>
      </c>
      <c r="ER275" t="e">
        <f>AND(#REF!,"AAAAAD7evpM=")</f>
        <v>#REF!</v>
      </c>
      <c r="ES275" t="e">
        <f>AND(#REF!,"AAAAAD7evpQ=")</f>
        <v>#REF!</v>
      </c>
      <c r="ET275" t="e">
        <f>AND(#REF!,"AAAAAD7evpU=")</f>
        <v>#REF!</v>
      </c>
      <c r="EU275" t="e">
        <f>AND(#REF!,"AAAAAD7evpY=")</f>
        <v>#REF!</v>
      </c>
      <c r="EV275" t="e">
        <f>IF(#REF!,"AAAAAD7evpc=",0)</f>
        <v>#REF!</v>
      </c>
      <c r="EW275" t="e">
        <f>AND(#REF!,"AAAAAD7evpg=")</f>
        <v>#REF!</v>
      </c>
      <c r="EX275" t="e">
        <f>AND(#REF!,"AAAAAD7evpk=")</f>
        <v>#REF!</v>
      </c>
      <c r="EY275" t="e">
        <f>AND(#REF!,"AAAAAD7evpo=")</f>
        <v>#REF!</v>
      </c>
      <c r="EZ275" t="e">
        <f>AND(#REF!,"AAAAAD7evps=")</f>
        <v>#REF!</v>
      </c>
      <c r="FA275" t="e">
        <f>AND(#REF!,"AAAAAD7evpw=")</f>
        <v>#REF!</v>
      </c>
      <c r="FB275" t="e">
        <f>AND(#REF!,"AAAAAD7evp0=")</f>
        <v>#REF!</v>
      </c>
      <c r="FC275" t="e">
        <f>AND(#REF!,"AAAAAD7evp4=")</f>
        <v>#REF!</v>
      </c>
      <c r="FD275" t="e">
        <f>AND(#REF!,"AAAAAD7evp8=")</f>
        <v>#REF!</v>
      </c>
      <c r="FE275" t="e">
        <f>IF(#REF!,"AAAAAD7evqA=",0)</f>
        <v>#REF!</v>
      </c>
      <c r="FF275" t="e">
        <f>AND(#REF!,"AAAAAD7evqE=")</f>
        <v>#REF!</v>
      </c>
      <c r="FG275" t="e">
        <f>AND(#REF!,"AAAAAD7evqI=")</f>
        <v>#REF!</v>
      </c>
      <c r="FH275" t="e">
        <f>AND(#REF!,"AAAAAD7evqM=")</f>
        <v>#REF!</v>
      </c>
      <c r="FI275" t="e">
        <f>AND(#REF!,"AAAAAD7evqQ=")</f>
        <v>#REF!</v>
      </c>
      <c r="FJ275" t="e">
        <f>AND(#REF!,"AAAAAD7evqU=")</f>
        <v>#REF!</v>
      </c>
      <c r="FK275" t="e">
        <f>AND(#REF!,"AAAAAD7evqY=")</f>
        <v>#REF!</v>
      </c>
      <c r="FL275" t="e">
        <f>AND(#REF!,"AAAAAD7evqc=")</f>
        <v>#REF!</v>
      </c>
      <c r="FM275" t="e">
        <f>AND(#REF!,"AAAAAD7evqg=")</f>
        <v>#REF!</v>
      </c>
      <c r="FN275" t="e">
        <f>IF(#REF!,"AAAAAD7evqk=",0)</f>
        <v>#REF!</v>
      </c>
      <c r="FO275" t="e">
        <f>AND(#REF!,"AAAAAD7evqo=")</f>
        <v>#REF!</v>
      </c>
      <c r="FP275" t="e">
        <f>AND(#REF!,"AAAAAD7evqs=")</f>
        <v>#REF!</v>
      </c>
      <c r="FQ275" t="e">
        <f>AND(#REF!,"AAAAAD7evqw=")</f>
        <v>#REF!</v>
      </c>
      <c r="FR275" t="e">
        <f>AND(#REF!,"AAAAAD7evq0=")</f>
        <v>#REF!</v>
      </c>
      <c r="FS275" t="e">
        <f>AND(#REF!,"AAAAAD7evq4=")</f>
        <v>#REF!</v>
      </c>
      <c r="FT275" t="e">
        <f>AND(#REF!,"AAAAAD7evq8=")</f>
        <v>#REF!</v>
      </c>
      <c r="FU275" t="e">
        <f>AND(#REF!,"AAAAAD7evrA=")</f>
        <v>#REF!</v>
      </c>
      <c r="FV275" t="e">
        <f>AND(#REF!,"AAAAAD7evrE=")</f>
        <v>#REF!</v>
      </c>
      <c r="FW275" t="e">
        <f>IF(#REF!,"AAAAAD7evrI=",0)</f>
        <v>#REF!</v>
      </c>
      <c r="FX275" t="e">
        <f>AND(#REF!,"AAAAAD7evrM=")</f>
        <v>#REF!</v>
      </c>
      <c r="FY275" t="e">
        <f>AND(#REF!,"AAAAAD7evrQ=")</f>
        <v>#REF!</v>
      </c>
      <c r="FZ275" t="e">
        <f>AND(#REF!,"AAAAAD7evrU=")</f>
        <v>#REF!</v>
      </c>
      <c r="GA275" t="e">
        <f>AND(#REF!,"AAAAAD7evrY=")</f>
        <v>#REF!</v>
      </c>
      <c r="GB275" t="e">
        <f>AND(#REF!,"AAAAAD7evrc=")</f>
        <v>#REF!</v>
      </c>
      <c r="GC275" t="e">
        <f>AND(#REF!,"AAAAAD7evrg=")</f>
        <v>#REF!</v>
      </c>
      <c r="GD275" t="e">
        <f>AND(#REF!,"AAAAAD7evrk=")</f>
        <v>#REF!</v>
      </c>
      <c r="GE275" t="e">
        <f>AND(#REF!,"AAAAAD7evro=")</f>
        <v>#REF!</v>
      </c>
      <c r="GF275" t="e">
        <f>IF(#REF!,"AAAAAD7evrs=",0)</f>
        <v>#REF!</v>
      </c>
      <c r="GG275" t="e">
        <f>AND(#REF!,"AAAAAD7evrw=")</f>
        <v>#REF!</v>
      </c>
      <c r="GH275" t="e">
        <f>AND(#REF!,"AAAAAD7evr0=")</f>
        <v>#REF!</v>
      </c>
      <c r="GI275" t="e">
        <f>AND(#REF!,"AAAAAD7evr4=")</f>
        <v>#REF!</v>
      </c>
      <c r="GJ275" t="e">
        <f>AND(#REF!,"AAAAAD7evr8=")</f>
        <v>#REF!</v>
      </c>
      <c r="GK275" t="e">
        <f>AND(#REF!,"AAAAAD7evsA=")</f>
        <v>#REF!</v>
      </c>
      <c r="GL275" t="e">
        <f>AND(#REF!,"AAAAAD7evsE=")</f>
        <v>#REF!</v>
      </c>
      <c r="GM275" t="e">
        <f>AND(#REF!,"AAAAAD7evsI=")</f>
        <v>#REF!</v>
      </c>
      <c r="GN275" t="e">
        <f>AND(#REF!,"AAAAAD7evsM=")</f>
        <v>#REF!</v>
      </c>
      <c r="GO275" t="e">
        <f>IF(#REF!,"AAAAAD7evsQ=",0)</f>
        <v>#REF!</v>
      </c>
      <c r="GP275" t="e">
        <f>AND(#REF!,"AAAAAD7evsU=")</f>
        <v>#REF!</v>
      </c>
      <c r="GQ275" t="e">
        <f>AND(#REF!,"AAAAAD7evsY=")</f>
        <v>#REF!</v>
      </c>
      <c r="GR275" t="e">
        <f>AND(#REF!,"AAAAAD7evsc=")</f>
        <v>#REF!</v>
      </c>
      <c r="GS275" t="e">
        <f>AND(#REF!,"AAAAAD7evsg=")</f>
        <v>#REF!</v>
      </c>
      <c r="GT275" t="e">
        <f>AND(#REF!,"AAAAAD7evsk=")</f>
        <v>#REF!</v>
      </c>
      <c r="GU275" t="e">
        <f>AND(#REF!,"AAAAAD7evso=")</f>
        <v>#REF!</v>
      </c>
      <c r="GV275" t="e">
        <f>AND(#REF!,"AAAAAD7evss=")</f>
        <v>#REF!</v>
      </c>
      <c r="GW275" t="e">
        <f>AND(#REF!,"AAAAAD7evsw=")</f>
        <v>#REF!</v>
      </c>
      <c r="GX275" t="e">
        <f>IF(#REF!,"AAAAAD7evs0=",0)</f>
        <v>#REF!</v>
      </c>
      <c r="GY275" t="e">
        <f>AND(#REF!,"AAAAAD7evs4=")</f>
        <v>#REF!</v>
      </c>
      <c r="GZ275" t="e">
        <f>AND(#REF!,"AAAAAD7evs8=")</f>
        <v>#REF!</v>
      </c>
      <c r="HA275" t="e">
        <f>AND(#REF!,"AAAAAD7evtA=")</f>
        <v>#REF!</v>
      </c>
      <c r="HB275" t="e">
        <f>AND(#REF!,"AAAAAD7evtE=")</f>
        <v>#REF!</v>
      </c>
      <c r="HC275" t="e">
        <f>AND(#REF!,"AAAAAD7evtI=")</f>
        <v>#REF!</v>
      </c>
      <c r="HD275" t="e">
        <f>AND(#REF!,"AAAAAD7evtM=")</f>
        <v>#REF!</v>
      </c>
      <c r="HE275" t="e">
        <f>AND(#REF!,"AAAAAD7evtQ=")</f>
        <v>#REF!</v>
      </c>
      <c r="HF275" t="e">
        <f>AND(#REF!,"AAAAAD7evtU=")</f>
        <v>#REF!</v>
      </c>
      <c r="HG275" t="e">
        <f>IF(#REF!,"AAAAAD7evtY=",0)</f>
        <v>#REF!</v>
      </c>
      <c r="HH275" t="e">
        <f>AND(#REF!,"AAAAAD7evtc=")</f>
        <v>#REF!</v>
      </c>
      <c r="HI275" t="e">
        <f>AND(#REF!,"AAAAAD7evtg=")</f>
        <v>#REF!</v>
      </c>
      <c r="HJ275" t="e">
        <f>AND(#REF!,"AAAAAD7evtk=")</f>
        <v>#REF!</v>
      </c>
      <c r="HK275" t="e">
        <f>AND(#REF!,"AAAAAD7evto=")</f>
        <v>#REF!</v>
      </c>
      <c r="HL275" t="e">
        <f>AND(#REF!,"AAAAAD7evts=")</f>
        <v>#REF!</v>
      </c>
      <c r="HM275" t="e">
        <f>AND(#REF!,"AAAAAD7evtw=")</f>
        <v>#REF!</v>
      </c>
      <c r="HN275" t="e">
        <f>AND(#REF!,"AAAAAD7evt0=")</f>
        <v>#REF!</v>
      </c>
      <c r="HO275" t="e">
        <f>AND(#REF!,"AAAAAD7evt4=")</f>
        <v>#REF!</v>
      </c>
      <c r="HP275" t="e">
        <f>IF(#REF!,"AAAAAD7evt8=",0)</f>
        <v>#REF!</v>
      </c>
      <c r="HQ275" t="e">
        <f>AND(#REF!,"AAAAAD7evuA=")</f>
        <v>#REF!</v>
      </c>
      <c r="HR275" t="e">
        <f>AND(#REF!,"AAAAAD7evuE=")</f>
        <v>#REF!</v>
      </c>
      <c r="HS275" t="e">
        <f>AND(#REF!,"AAAAAD7evuI=")</f>
        <v>#REF!</v>
      </c>
      <c r="HT275" t="e">
        <f>AND(#REF!,"AAAAAD7evuM=")</f>
        <v>#REF!</v>
      </c>
      <c r="HU275" t="e">
        <f>AND(#REF!,"AAAAAD7evuQ=")</f>
        <v>#REF!</v>
      </c>
      <c r="HV275" t="e">
        <f>AND(#REF!,"AAAAAD7evuU=")</f>
        <v>#REF!</v>
      </c>
      <c r="HW275" t="e">
        <f>AND(#REF!,"AAAAAD7evuY=")</f>
        <v>#REF!</v>
      </c>
      <c r="HX275" t="e">
        <f>AND(#REF!,"AAAAAD7evuc=")</f>
        <v>#REF!</v>
      </c>
      <c r="HY275" t="e">
        <f>IF(#REF!,"AAAAAD7evug=",0)</f>
        <v>#REF!</v>
      </c>
      <c r="HZ275" t="e">
        <f>AND(#REF!,"AAAAAD7evuk=")</f>
        <v>#REF!</v>
      </c>
      <c r="IA275" t="e">
        <f>AND(#REF!,"AAAAAD7evuo=")</f>
        <v>#REF!</v>
      </c>
      <c r="IB275" t="e">
        <f>AND(#REF!,"AAAAAD7evus=")</f>
        <v>#REF!</v>
      </c>
      <c r="IC275" t="e">
        <f>AND(#REF!,"AAAAAD7evuw=")</f>
        <v>#REF!</v>
      </c>
      <c r="ID275" t="e">
        <f>AND(#REF!,"AAAAAD7evu0=")</f>
        <v>#REF!</v>
      </c>
      <c r="IE275" t="e">
        <f>AND(#REF!,"AAAAAD7evu4=")</f>
        <v>#REF!</v>
      </c>
      <c r="IF275" t="e">
        <f>AND(#REF!,"AAAAAD7evu8=")</f>
        <v>#REF!</v>
      </c>
      <c r="IG275" t="e">
        <f>AND(#REF!,"AAAAAD7evvA=")</f>
        <v>#REF!</v>
      </c>
      <c r="IH275" t="e">
        <f>IF(#REF!,"AAAAAD7evvE=",0)</f>
        <v>#REF!</v>
      </c>
      <c r="II275" t="e">
        <f>AND(#REF!,"AAAAAD7evvI=")</f>
        <v>#REF!</v>
      </c>
      <c r="IJ275" t="e">
        <f>AND(#REF!,"AAAAAD7evvM=")</f>
        <v>#REF!</v>
      </c>
      <c r="IK275" t="e">
        <f>AND(#REF!,"AAAAAD7evvQ=")</f>
        <v>#REF!</v>
      </c>
      <c r="IL275" t="e">
        <f>AND(#REF!,"AAAAAD7evvU=")</f>
        <v>#REF!</v>
      </c>
      <c r="IM275" t="e">
        <f>AND(#REF!,"AAAAAD7evvY=")</f>
        <v>#REF!</v>
      </c>
      <c r="IN275" t="e">
        <f>AND(#REF!,"AAAAAD7evvc=")</f>
        <v>#REF!</v>
      </c>
      <c r="IO275" t="e">
        <f>AND(#REF!,"AAAAAD7evvg=")</f>
        <v>#REF!</v>
      </c>
      <c r="IP275" t="e">
        <f>AND(#REF!,"AAAAAD7evvk=")</f>
        <v>#REF!</v>
      </c>
      <c r="IQ275" t="e">
        <f>IF(#REF!,"AAAAAD7evvo=",0)</f>
        <v>#REF!</v>
      </c>
      <c r="IR275" t="e">
        <f>AND(#REF!,"AAAAAD7evvs=")</f>
        <v>#REF!</v>
      </c>
      <c r="IS275" t="e">
        <f>AND(#REF!,"AAAAAD7evvw=")</f>
        <v>#REF!</v>
      </c>
      <c r="IT275" t="e">
        <f>AND(#REF!,"AAAAAD7evv0=")</f>
        <v>#REF!</v>
      </c>
      <c r="IU275" t="e">
        <f>AND(#REF!,"AAAAAD7evv4=")</f>
        <v>#REF!</v>
      </c>
      <c r="IV275" t="e">
        <f>AND(#REF!,"AAAAAD7evv8=")</f>
        <v>#REF!</v>
      </c>
    </row>
    <row r="276" spans="1:256">
      <c r="A276" t="e">
        <f>AND(#REF!,"AAAAACM/3QA=")</f>
        <v>#REF!</v>
      </c>
      <c r="B276" t="e">
        <f>AND(#REF!,"AAAAACM/3QE=")</f>
        <v>#REF!</v>
      </c>
      <c r="C276" t="e">
        <f>AND(#REF!,"AAAAACM/3QI=")</f>
        <v>#REF!</v>
      </c>
      <c r="D276" t="e">
        <f>IF(#REF!,"AAAAACM/3QM=",0)</f>
        <v>#REF!</v>
      </c>
      <c r="E276" t="e">
        <f>AND(#REF!,"AAAAACM/3QQ=")</f>
        <v>#REF!</v>
      </c>
      <c r="F276" t="e">
        <f>AND(#REF!,"AAAAACM/3QU=")</f>
        <v>#REF!</v>
      </c>
      <c r="G276" t="e">
        <f>AND(#REF!,"AAAAACM/3QY=")</f>
        <v>#REF!</v>
      </c>
      <c r="H276" t="e">
        <f>AND(#REF!,"AAAAACM/3Qc=")</f>
        <v>#REF!</v>
      </c>
      <c r="I276" t="e">
        <f>AND(#REF!,"AAAAACM/3Qg=")</f>
        <v>#REF!</v>
      </c>
      <c r="J276" t="e">
        <f>AND(#REF!,"AAAAACM/3Qk=")</f>
        <v>#REF!</v>
      </c>
      <c r="K276" t="e">
        <f>AND(#REF!,"AAAAACM/3Qo=")</f>
        <v>#REF!</v>
      </c>
      <c r="L276" t="e">
        <f>AND(#REF!,"AAAAACM/3Qs=")</f>
        <v>#REF!</v>
      </c>
      <c r="M276" t="e">
        <f>IF(#REF!,"AAAAACM/3Qw=",0)</f>
        <v>#REF!</v>
      </c>
      <c r="N276" t="e">
        <f>AND(#REF!,"AAAAACM/3Q0=")</f>
        <v>#REF!</v>
      </c>
      <c r="O276" t="e">
        <f>AND(#REF!,"AAAAACM/3Q4=")</f>
        <v>#REF!</v>
      </c>
      <c r="P276" t="e">
        <f>AND(#REF!,"AAAAACM/3Q8=")</f>
        <v>#REF!</v>
      </c>
      <c r="Q276" t="e">
        <f>AND(#REF!,"AAAAACM/3RA=")</f>
        <v>#REF!</v>
      </c>
      <c r="R276" t="e">
        <f>AND(#REF!,"AAAAACM/3RE=")</f>
        <v>#REF!</v>
      </c>
      <c r="S276" t="e">
        <f>AND(#REF!,"AAAAACM/3RI=")</f>
        <v>#REF!</v>
      </c>
      <c r="T276" t="e">
        <f>AND(#REF!,"AAAAACM/3RM=")</f>
        <v>#REF!</v>
      </c>
      <c r="U276" t="e">
        <f>AND(#REF!,"AAAAACM/3RQ=")</f>
        <v>#REF!</v>
      </c>
      <c r="V276" t="e">
        <f>IF(#REF!,"AAAAACM/3RU=",0)</f>
        <v>#REF!</v>
      </c>
      <c r="W276" t="e">
        <f>AND(#REF!,"AAAAACM/3RY=")</f>
        <v>#REF!</v>
      </c>
      <c r="X276" t="e">
        <f>AND(#REF!,"AAAAACM/3Rc=")</f>
        <v>#REF!</v>
      </c>
      <c r="Y276" t="e">
        <f>AND(#REF!,"AAAAACM/3Rg=")</f>
        <v>#REF!</v>
      </c>
      <c r="Z276" t="e">
        <f>AND(#REF!,"AAAAACM/3Rk=")</f>
        <v>#REF!</v>
      </c>
      <c r="AA276" t="e">
        <f>AND(#REF!,"AAAAACM/3Ro=")</f>
        <v>#REF!</v>
      </c>
      <c r="AB276" t="e">
        <f>AND(#REF!,"AAAAACM/3Rs=")</f>
        <v>#REF!</v>
      </c>
      <c r="AC276" t="e">
        <f>AND(#REF!,"AAAAACM/3Rw=")</f>
        <v>#REF!</v>
      </c>
      <c r="AD276" t="e">
        <f>AND(#REF!,"AAAAACM/3R0=")</f>
        <v>#REF!</v>
      </c>
      <c r="AE276" t="e">
        <f>IF(#REF!,"AAAAACM/3R4=",0)</f>
        <v>#REF!</v>
      </c>
      <c r="AF276" t="e">
        <f>AND(#REF!,"AAAAACM/3R8=")</f>
        <v>#REF!</v>
      </c>
      <c r="AG276" t="e">
        <f>AND(#REF!,"AAAAACM/3SA=")</f>
        <v>#REF!</v>
      </c>
      <c r="AH276" t="e">
        <f>AND(#REF!,"AAAAACM/3SE=")</f>
        <v>#REF!</v>
      </c>
      <c r="AI276" t="e">
        <f>AND(#REF!,"AAAAACM/3SI=")</f>
        <v>#REF!</v>
      </c>
      <c r="AJ276" t="e">
        <f>AND(#REF!,"AAAAACM/3SM=")</f>
        <v>#REF!</v>
      </c>
      <c r="AK276" t="e">
        <f>AND(#REF!,"AAAAACM/3SQ=")</f>
        <v>#REF!</v>
      </c>
      <c r="AL276" t="e">
        <f>AND(#REF!,"AAAAACM/3SU=")</f>
        <v>#REF!</v>
      </c>
      <c r="AM276" t="e">
        <f>AND(#REF!,"AAAAACM/3SY=")</f>
        <v>#REF!</v>
      </c>
      <c r="AN276" t="e">
        <f>IF(#REF!,"AAAAACM/3Sc=",0)</f>
        <v>#REF!</v>
      </c>
      <c r="AO276" t="e">
        <f>AND(#REF!,"AAAAACM/3Sg=")</f>
        <v>#REF!</v>
      </c>
      <c r="AP276" t="e">
        <f>AND(#REF!,"AAAAACM/3Sk=")</f>
        <v>#REF!</v>
      </c>
      <c r="AQ276" t="e">
        <f>AND(#REF!,"AAAAACM/3So=")</f>
        <v>#REF!</v>
      </c>
      <c r="AR276" t="e">
        <f>AND(#REF!,"AAAAACM/3Ss=")</f>
        <v>#REF!</v>
      </c>
      <c r="AS276" t="e">
        <f>AND(#REF!,"AAAAACM/3Sw=")</f>
        <v>#REF!</v>
      </c>
      <c r="AT276" t="e">
        <f>AND(#REF!,"AAAAACM/3S0=")</f>
        <v>#REF!</v>
      </c>
      <c r="AU276" t="e">
        <f>AND(#REF!,"AAAAACM/3S4=")</f>
        <v>#REF!</v>
      </c>
      <c r="AV276" t="e">
        <f>AND(#REF!,"AAAAACM/3S8=")</f>
        <v>#REF!</v>
      </c>
      <c r="AW276" t="e">
        <f>IF(#REF!,"AAAAACM/3TA=",0)</f>
        <v>#REF!</v>
      </c>
      <c r="AX276" t="e">
        <f>AND(#REF!,"AAAAACM/3TE=")</f>
        <v>#REF!</v>
      </c>
      <c r="AY276" t="e">
        <f>AND(#REF!,"AAAAACM/3TI=")</f>
        <v>#REF!</v>
      </c>
      <c r="AZ276" t="e">
        <f>AND(#REF!,"AAAAACM/3TM=")</f>
        <v>#REF!</v>
      </c>
      <c r="BA276" t="e">
        <f>AND(#REF!,"AAAAACM/3TQ=")</f>
        <v>#REF!</v>
      </c>
      <c r="BB276" t="e">
        <f>AND(#REF!,"AAAAACM/3TU=")</f>
        <v>#REF!</v>
      </c>
      <c r="BC276" t="e">
        <f>AND(#REF!,"AAAAACM/3TY=")</f>
        <v>#REF!</v>
      </c>
      <c r="BD276" t="e">
        <f>AND(#REF!,"AAAAACM/3Tc=")</f>
        <v>#REF!</v>
      </c>
      <c r="BE276" t="e">
        <f>AND(#REF!,"AAAAACM/3Tg=")</f>
        <v>#REF!</v>
      </c>
      <c r="BF276" t="e">
        <f>IF(#REF!,"AAAAACM/3Tk=",0)</f>
        <v>#REF!</v>
      </c>
      <c r="BG276" t="e">
        <f>AND(#REF!,"AAAAACM/3To=")</f>
        <v>#REF!</v>
      </c>
      <c r="BH276" t="e">
        <f>AND(#REF!,"AAAAACM/3Ts=")</f>
        <v>#REF!</v>
      </c>
      <c r="BI276" t="e">
        <f>AND(#REF!,"AAAAACM/3Tw=")</f>
        <v>#REF!</v>
      </c>
      <c r="BJ276" t="e">
        <f>AND(#REF!,"AAAAACM/3T0=")</f>
        <v>#REF!</v>
      </c>
      <c r="BK276" t="e">
        <f>AND(#REF!,"AAAAACM/3T4=")</f>
        <v>#REF!</v>
      </c>
      <c r="BL276" t="e">
        <f>AND(#REF!,"AAAAACM/3T8=")</f>
        <v>#REF!</v>
      </c>
      <c r="BM276" t="e">
        <f>AND(#REF!,"AAAAACM/3UA=")</f>
        <v>#REF!</v>
      </c>
      <c r="BN276" t="e">
        <f>AND(#REF!,"AAAAACM/3UE=")</f>
        <v>#REF!</v>
      </c>
      <c r="BO276" t="e">
        <f>IF(#REF!,"AAAAACM/3UI=",0)</f>
        <v>#REF!</v>
      </c>
      <c r="BP276" t="e">
        <f>AND(#REF!,"AAAAACM/3UM=")</f>
        <v>#REF!</v>
      </c>
      <c r="BQ276" t="e">
        <f>AND(#REF!,"AAAAACM/3UQ=")</f>
        <v>#REF!</v>
      </c>
      <c r="BR276" t="e">
        <f>AND(#REF!,"AAAAACM/3UU=")</f>
        <v>#REF!</v>
      </c>
      <c r="BS276" t="e">
        <f>AND(#REF!,"AAAAACM/3UY=")</f>
        <v>#REF!</v>
      </c>
      <c r="BT276" t="e">
        <f>AND(#REF!,"AAAAACM/3Uc=")</f>
        <v>#REF!</v>
      </c>
      <c r="BU276" t="e">
        <f>AND(#REF!,"AAAAACM/3Ug=")</f>
        <v>#REF!</v>
      </c>
      <c r="BV276" t="e">
        <f>AND(#REF!,"AAAAACM/3Uk=")</f>
        <v>#REF!</v>
      </c>
      <c r="BW276" t="e">
        <f>AND(#REF!,"AAAAACM/3Uo=")</f>
        <v>#REF!</v>
      </c>
      <c r="BX276" t="e">
        <f>IF(#REF!,"AAAAACM/3Us=",0)</f>
        <v>#REF!</v>
      </c>
      <c r="BY276" t="e">
        <f>AND(#REF!,"AAAAACM/3Uw=")</f>
        <v>#REF!</v>
      </c>
      <c r="BZ276" t="e">
        <f>AND(#REF!,"AAAAACM/3U0=")</f>
        <v>#REF!</v>
      </c>
      <c r="CA276" t="e">
        <f>AND(#REF!,"AAAAACM/3U4=")</f>
        <v>#REF!</v>
      </c>
      <c r="CB276" t="e">
        <f>AND(#REF!,"AAAAACM/3U8=")</f>
        <v>#REF!</v>
      </c>
      <c r="CC276" t="e">
        <f>AND(#REF!,"AAAAACM/3VA=")</f>
        <v>#REF!</v>
      </c>
      <c r="CD276" t="e">
        <f>AND(#REF!,"AAAAACM/3VE=")</f>
        <v>#REF!</v>
      </c>
      <c r="CE276" t="e">
        <f>AND(#REF!,"AAAAACM/3VI=")</f>
        <v>#REF!</v>
      </c>
      <c r="CF276" t="e">
        <f>AND(#REF!,"AAAAACM/3VM=")</f>
        <v>#REF!</v>
      </c>
      <c r="CG276" t="e">
        <f>IF(#REF!,"AAAAACM/3VQ=",0)</f>
        <v>#REF!</v>
      </c>
      <c r="CH276" t="e">
        <f>AND(#REF!,"AAAAACM/3VU=")</f>
        <v>#REF!</v>
      </c>
      <c r="CI276" t="e">
        <f>AND(#REF!,"AAAAACM/3VY=")</f>
        <v>#REF!</v>
      </c>
      <c r="CJ276" t="e">
        <f>AND(#REF!,"AAAAACM/3Vc=")</f>
        <v>#REF!</v>
      </c>
      <c r="CK276" t="e">
        <f>AND(#REF!,"AAAAACM/3Vg=")</f>
        <v>#REF!</v>
      </c>
      <c r="CL276" t="e">
        <f>AND(#REF!,"AAAAACM/3Vk=")</f>
        <v>#REF!</v>
      </c>
      <c r="CM276" t="e">
        <f>AND(#REF!,"AAAAACM/3Vo=")</f>
        <v>#REF!</v>
      </c>
      <c r="CN276" t="e">
        <f>AND(#REF!,"AAAAACM/3Vs=")</f>
        <v>#REF!</v>
      </c>
      <c r="CO276" t="e">
        <f>AND(#REF!,"AAAAACM/3Vw=")</f>
        <v>#REF!</v>
      </c>
      <c r="CP276" t="e">
        <f>IF(#REF!,"AAAAACM/3V0=",0)</f>
        <v>#REF!</v>
      </c>
      <c r="CQ276" t="e">
        <f>AND(#REF!,"AAAAACM/3V4=")</f>
        <v>#REF!</v>
      </c>
      <c r="CR276" t="e">
        <f>AND(#REF!,"AAAAACM/3V8=")</f>
        <v>#REF!</v>
      </c>
      <c r="CS276" t="e">
        <f>AND(#REF!,"AAAAACM/3WA=")</f>
        <v>#REF!</v>
      </c>
      <c r="CT276" t="e">
        <f>AND(#REF!,"AAAAACM/3WE=")</f>
        <v>#REF!</v>
      </c>
      <c r="CU276" t="e">
        <f>AND(#REF!,"AAAAACM/3WI=")</f>
        <v>#REF!</v>
      </c>
      <c r="CV276" t="e">
        <f>AND(#REF!,"AAAAACM/3WM=")</f>
        <v>#REF!</v>
      </c>
      <c r="CW276" t="e">
        <f>AND(#REF!,"AAAAACM/3WQ=")</f>
        <v>#REF!</v>
      </c>
      <c r="CX276" t="e">
        <f>AND(#REF!,"AAAAACM/3WU=")</f>
        <v>#REF!</v>
      </c>
      <c r="CY276" t="e">
        <f>IF(#REF!,"AAAAACM/3WY=",0)</f>
        <v>#REF!</v>
      </c>
      <c r="CZ276" t="e">
        <f>AND(#REF!,"AAAAACM/3Wc=")</f>
        <v>#REF!</v>
      </c>
      <c r="DA276" t="e">
        <f>AND(#REF!,"AAAAACM/3Wg=")</f>
        <v>#REF!</v>
      </c>
      <c r="DB276" t="e">
        <f>AND(#REF!,"AAAAACM/3Wk=")</f>
        <v>#REF!</v>
      </c>
      <c r="DC276" t="e">
        <f>AND(#REF!,"AAAAACM/3Wo=")</f>
        <v>#REF!</v>
      </c>
      <c r="DD276" t="e">
        <f>AND(#REF!,"AAAAACM/3Ws=")</f>
        <v>#REF!</v>
      </c>
      <c r="DE276" t="e">
        <f>AND(#REF!,"AAAAACM/3Ww=")</f>
        <v>#REF!</v>
      </c>
      <c r="DF276" t="e">
        <f>AND(#REF!,"AAAAACM/3W0=")</f>
        <v>#REF!</v>
      </c>
      <c r="DG276" t="e">
        <f>AND(#REF!,"AAAAACM/3W4=")</f>
        <v>#REF!</v>
      </c>
      <c r="DH276" t="e">
        <f>IF(#REF!,"AAAAACM/3W8=",0)</f>
        <v>#REF!</v>
      </c>
      <c r="DI276" t="e">
        <f>AND(#REF!,"AAAAACM/3XA=")</f>
        <v>#REF!</v>
      </c>
      <c r="DJ276" t="e">
        <f>AND(#REF!,"AAAAACM/3XE=")</f>
        <v>#REF!</v>
      </c>
      <c r="DK276" t="e">
        <f>AND(#REF!,"AAAAACM/3XI=")</f>
        <v>#REF!</v>
      </c>
      <c r="DL276" t="e">
        <f>AND(#REF!,"AAAAACM/3XM=")</f>
        <v>#REF!</v>
      </c>
      <c r="DM276" t="e">
        <f>AND(#REF!,"AAAAACM/3XQ=")</f>
        <v>#REF!</v>
      </c>
      <c r="DN276" t="e">
        <f>AND(#REF!,"AAAAACM/3XU=")</f>
        <v>#REF!</v>
      </c>
      <c r="DO276" t="e">
        <f>AND(#REF!,"AAAAACM/3XY=")</f>
        <v>#REF!</v>
      </c>
      <c r="DP276" t="e">
        <f>AND(#REF!,"AAAAACM/3Xc=")</f>
        <v>#REF!</v>
      </c>
      <c r="DQ276" t="e">
        <f>IF(#REF!,"AAAAACM/3Xg=",0)</f>
        <v>#REF!</v>
      </c>
      <c r="DR276" t="e">
        <f>AND(#REF!,"AAAAACM/3Xk=")</f>
        <v>#REF!</v>
      </c>
      <c r="DS276" t="e">
        <f>AND(#REF!,"AAAAACM/3Xo=")</f>
        <v>#REF!</v>
      </c>
      <c r="DT276" t="e">
        <f>AND(#REF!,"AAAAACM/3Xs=")</f>
        <v>#REF!</v>
      </c>
      <c r="DU276" t="e">
        <f>AND(#REF!,"AAAAACM/3Xw=")</f>
        <v>#REF!</v>
      </c>
      <c r="DV276" t="e">
        <f>AND(#REF!,"AAAAACM/3X0=")</f>
        <v>#REF!</v>
      </c>
      <c r="DW276" t="e">
        <f>AND(#REF!,"AAAAACM/3X4=")</f>
        <v>#REF!</v>
      </c>
      <c r="DX276" t="e">
        <f>AND(#REF!,"AAAAACM/3X8=")</f>
        <v>#REF!</v>
      </c>
      <c r="DY276" t="e">
        <f>AND(#REF!,"AAAAACM/3YA=")</f>
        <v>#REF!</v>
      </c>
      <c r="DZ276" t="e">
        <f>IF(#REF!,"AAAAACM/3YE=",0)</f>
        <v>#REF!</v>
      </c>
      <c r="EA276" t="e">
        <f>AND(#REF!,"AAAAACM/3YI=")</f>
        <v>#REF!</v>
      </c>
      <c r="EB276" t="e">
        <f>AND(#REF!,"AAAAACM/3YM=")</f>
        <v>#REF!</v>
      </c>
      <c r="EC276" t="e">
        <f>AND(#REF!,"AAAAACM/3YQ=")</f>
        <v>#REF!</v>
      </c>
      <c r="ED276" t="e">
        <f>AND(#REF!,"AAAAACM/3YU=")</f>
        <v>#REF!</v>
      </c>
      <c r="EE276" t="e">
        <f>AND(#REF!,"AAAAACM/3YY=")</f>
        <v>#REF!</v>
      </c>
      <c r="EF276" t="e">
        <f>AND(#REF!,"AAAAACM/3Yc=")</f>
        <v>#REF!</v>
      </c>
      <c r="EG276" t="e">
        <f>AND(#REF!,"AAAAACM/3Yg=")</f>
        <v>#REF!</v>
      </c>
      <c r="EH276" t="e">
        <f>AND(#REF!,"AAAAACM/3Yk=")</f>
        <v>#REF!</v>
      </c>
      <c r="EI276" t="e">
        <f>IF(#REF!,"AAAAACM/3Yo=",0)</f>
        <v>#REF!</v>
      </c>
      <c r="EJ276" t="e">
        <f>AND(#REF!,"AAAAACM/3Ys=")</f>
        <v>#REF!</v>
      </c>
      <c r="EK276" t="e">
        <f>AND(#REF!,"AAAAACM/3Yw=")</f>
        <v>#REF!</v>
      </c>
      <c r="EL276" t="e">
        <f>AND(#REF!,"AAAAACM/3Y0=")</f>
        <v>#REF!</v>
      </c>
      <c r="EM276" t="e">
        <f>AND(#REF!,"AAAAACM/3Y4=")</f>
        <v>#REF!</v>
      </c>
      <c r="EN276" t="e">
        <f>AND(#REF!,"AAAAACM/3Y8=")</f>
        <v>#REF!</v>
      </c>
      <c r="EO276" t="e">
        <f>AND(#REF!,"AAAAACM/3ZA=")</f>
        <v>#REF!</v>
      </c>
      <c r="EP276" t="e">
        <f>AND(#REF!,"AAAAACM/3ZE=")</f>
        <v>#REF!</v>
      </c>
      <c r="EQ276" t="e">
        <f>AND(#REF!,"AAAAACM/3ZI=")</f>
        <v>#REF!</v>
      </c>
      <c r="ER276" t="e">
        <f>IF(#REF!,"AAAAACM/3ZM=",0)</f>
        <v>#REF!</v>
      </c>
      <c r="ES276" t="e">
        <f>AND(#REF!,"AAAAACM/3ZQ=")</f>
        <v>#REF!</v>
      </c>
      <c r="ET276" t="e">
        <f>AND(#REF!,"AAAAACM/3ZU=")</f>
        <v>#REF!</v>
      </c>
      <c r="EU276" t="e">
        <f>AND(#REF!,"AAAAACM/3ZY=")</f>
        <v>#REF!</v>
      </c>
      <c r="EV276" t="e">
        <f>AND(#REF!,"AAAAACM/3Zc=")</f>
        <v>#REF!</v>
      </c>
      <c r="EW276" t="e">
        <f>AND(#REF!,"AAAAACM/3Zg=")</f>
        <v>#REF!</v>
      </c>
      <c r="EX276" t="e">
        <f>AND(#REF!,"AAAAACM/3Zk=")</f>
        <v>#REF!</v>
      </c>
      <c r="EY276" t="e">
        <f>AND(#REF!,"AAAAACM/3Zo=")</f>
        <v>#REF!</v>
      </c>
      <c r="EZ276" t="e">
        <f>AND(#REF!,"AAAAACM/3Zs=")</f>
        <v>#REF!</v>
      </c>
      <c r="FA276" t="e">
        <f>IF(#REF!,"AAAAACM/3Zw=",0)</f>
        <v>#REF!</v>
      </c>
      <c r="FB276" t="e">
        <f>AND(#REF!,"AAAAACM/3Z0=")</f>
        <v>#REF!</v>
      </c>
      <c r="FC276" t="e">
        <f>AND(#REF!,"AAAAACM/3Z4=")</f>
        <v>#REF!</v>
      </c>
      <c r="FD276" t="e">
        <f>AND(#REF!,"AAAAACM/3Z8=")</f>
        <v>#REF!</v>
      </c>
      <c r="FE276" t="e">
        <f>AND(#REF!,"AAAAACM/3aA=")</f>
        <v>#REF!</v>
      </c>
      <c r="FF276" t="e">
        <f>AND(#REF!,"AAAAACM/3aE=")</f>
        <v>#REF!</v>
      </c>
      <c r="FG276" t="e">
        <f>AND(#REF!,"AAAAACM/3aI=")</f>
        <v>#REF!</v>
      </c>
      <c r="FH276" t="e">
        <f>AND(#REF!,"AAAAACM/3aM=")</f>
        <v>#REF!</v>
      </c>
      <c r="FI276" t="e">
        <f>AND(#REF!,"AAAAACM/3aQ=")</f>
        <v>#REF!</v>
      </c>
      <c r="FJ276" t="e">
        <f>IF(#REF!,"AAAAACM/3aU=",0)</f>
        <v>#REF!</v>
      </c>
      <c r="FK276" t="e">
        <f>AND(#REF!,"AAAAACM/3aY=")</f>
        <v>#REF!</v>
      </c>
      <c r="FL276" t="e">
        <f>AND(#REF!,"AAAAACM/3ac=")</f>
        <v>#REF!</v>
      </c>
      <c r="FM276" t="e">
        <f>AND(#REF!,"AAAAACM/3ag=")</f>
        <v>#REF!</v>
      </c>
      <c r="FN276" t="e">
        <f>AND(#REF!,"AAAAACM/3ak=")</f>
        <v>#REF!</v>
      </c>
      <c r="FO276" t="e">
        <f>AND(#REF!,"AAAAACM/3ao=")</f>
        <v>#REF!</v>
      </c>
      <c r="FP276" t="e">
        <f>AND(#REF!,"AAAAACM/3as=")</f>
        <v>#REF!</v>
      </c>
      <c r="FQ276" t="e">
        <f>AND(#REF!,"AAAAACM/3aw=")</f>
        <v>#REF!</v>
      </c>
      <c r="FR276" t="e">
        <f>AND(#REF!,"AAAAACM/3a0=")</f>
        <v>#REF!</v>
      </c>
      <c r="FS276" t="e">
        <f>IF(#REF!,"AAAAACM/3a4=",0)</f>
        <v>#REF!</v>
      </c>
      <c r="FT276" t="e">
        <f>AND(#REF!,"AAAAACM/3a8=")</f>
        <v>#REF!</v>
      </c>
      <c r="FU276" t="e">
        <f>AND(#REF!,"AAAAACM/3bA=")</f>
        <v>#REF!</v>
      </c>
      <c r="FV276" t="e">
        <f>AND(#REF!,"AAAAACM/3bE=")</f>
        <v>#REF!</v>
      </c>
      <c r="FW276" t="e">
        <f>AND(#REF!,"AAAAACM/3bI=")</f>
        <v>#REF!</v>
      </c>
      <c r="FX276" t="e">
        <f>AND(#REF!,"AAAAACM/3bM=")</f>
        <v>#REF!</v>
      </c>
      <c r="FY276" t="e">
        <f>AND(#REF!,"AAAAACM/3bQ=")</f>
        <v>#REF!</v>
      </c>
      <c r="FZ276" t="e">
        <f>AND(#REF!,"AAAAACM/3bU=")</f>
        <v>#REF!</v>
      </c>
      <c r="GA276" t="e">
        <f>AND(#REF!,"AAAAACM/3bY=")</f>
        <v>#REF!</v>
      </c>
      <c r="GB276" t="e">
        <f>IF(#REF!,"AAAAACM/3bc=",0)</f>
        <v>#REF!</v>
      </c>
      <c r="GC276" t="e">
        <f>AND(#REF!,"AAAAACM/3bg=")</f>
        <v>#REF!</v>
      </c>
      <c r="GD276" t="e">
        <f>AND(#REF!,"AAAAACM/3bk=")</f>
        <v>#REF!</v>
      </c>
      <c r="GE276" t="e">
        <f>AND(#REF!,"AAAAACM/3bo=")</f>
        <v>#REF!</v>
      </c>
      <c r="GF276" t="e">
        <f>AND(#REF!,"AAAAACM/3bs=")</f>
        <v>#REF!</v>
      </c>
      <c r="GG276" t="e">
        <f>AND(#REF!,"AAAAACM/3bw=")</f>
        <v>#REF!</v>
      </c>
      <c r="GH276" t="e">
        <f>AND(#REF!,"AAAAACM/3b0=")</f>
        <v>#REF!</v>
      </c>
      <c r="GI276" t="e">
        <f>AND(#REF!,"AAAAACM/3b4=")</f>
        <v>#REF!</v>
      </c>
      <c r="GJ276" t="e">
        <f>AND(#REF!,"AAAAACM/3b8=")</f>
        <v>#REF!</v>
      </c>
      <c r="GK276" t="e">
        <f>IF(#REF!,"AAAAACM/3cA=",0)</f>
        <v>#REF!</v>
      </c>
      <c r="GL276" t="e">
        <f>AND(#REF!,"AAAAACM/3cE=")</f>
        <v>#REF!</v>
      </c>
      <c r="GM276" t="e">
        <f>AND(#REF!,"AAAAACM/3cI=")</f>
        <v>#REF!</v>
      </c>
      <c r="GN276" t="e">
        <f>AND(#REF!,"AAAAACM/3cM=")</f>
        <v>#REF!</v>
      </c>
      <c r="GO276" t="e">
        <f>AND(#REF!,"AAAAACM/3cQ=")</f>
        <v>#REF!</v>
      </c>
      <c r="GP276" t="e">
        <f>AND(#REF!,"AAAAACM/3cU=")</f>
        <v>#REF!</v>
      </c>
      <c r="GQ276" t="e">
        <f>AND(#REF!,"AAAAACM/3cY=")</f>
        <v>#REF!</v>
      </c>
      <c r="GR276" t="e">
        <f>AND(#REF!,"AAAAACM/3cc=")</f>
        <v>#REF!</v>
      </c>
      <c r="GS276" t="e">
        <f>AND(#REF!,"AAAAACM/3cg=")</f>
        <v>#REF!</v>
      </c>
      <c r="GT276" t="e">
        <f>IF(#REF!,"AAAAACM/3ck=",0)</f>
        <v>#REF!</v>
      </c>
      <c r="GU276" t="e">
        <f>AND(#REF!,"AAAAACM/3co=")</f>
        <v>#REF!</v>
      </c>
      <c r="GV276" t="e">
        <f>AND(#REF!,"AAAAACM/3cs=")</f>
        <v>#REF!</v>
      </c>
      <c r="GW276" t="e">
        <f>AND(#REF!,"AAAAACM/3cw=")</f>
        <v>#REF!</v>
      </c>
      <c r="GX276" t="e">
        <f>AND(#REF!,"AAAAACM/3c0=")</f>
        <v>#REF!</v>
      </c>
      <c r="GY276" t="e">
        <f>AND(#REF!,"AAAAACM/3c4=")</f>
        <v>#REF!</v>
      </c>
      <c r="GZ276" t="e">
        <f>AND(#REF!,"AAAAACM/3c8=")</f>
        <v>#REF!</v>
      </c>
      <c r="HA276" t="e">
        <f>AND(#REF!,"AAAAACM/3dA=")</f>
        <v>#REF!</v>
      </c>
      <c r="HB276" t="e">
        <f>AND(#REF!,"AAAAACM/3dE=")</f>
        <v>#REF!</v>
      </c>
      <c r="HC276" t="e">
        <f>IF(#REF!,"AAAAACM/3dI=",0)</f>
        <v>#REF!</v>
      </c>
      <c r="HD276" t="e">
        <f>AND(#REF!,"AAAAACM/3dM=")</f>
        <v>#REF!</v>
      </c>
      <c r="HE276" t="e">
        <f>AND(#REF!,"AAAAACM/3dQ=")</f>
        <v>#REF!</v>
      </c>
      <c r="HF276" t="e">
        <f>AND(#REF!,"AAAAACM/3dU=")</f>
        <v>#REF!</v>
      </c>
      <c r="HG276" t="e">
        <f>AND(#REF!,"AAAAACM/3dY=")</f>
        <v>#REF!</v>
      </c>
      <c r="HH276" t="e">
        <f>AND(#REF!,"AAAAACM/3dc=")</f>
        <v>#REF!</v>
      </c>
      <c r="HI276" t="e">
        <f>AND(#REF!,"AAAAACM/3dg=")</f>
        <v>#REF!</v>
      </c>
      <c r="HJ276" t="e">
        <f>AND(#REF!,"AAAAACM/3dk=")</f>
        <v>#REF!</v>
      </c>
      <c r="HK276" t="e">
        <f>AND(#REF!,"AAAAACM/3do=")</f>
        <v>#REF!</v>
      </c>
      <c r="HL276" t="e">
        <f>IF(#REF!,"AAAAACM/3ds=",0)</f>
        <v>#REF!</v>
      </c>
      <c r="HM276" t="e">
        <f>AND(#REF!,"AAAAACM/3dw=")</f>
        <v>#REF!</v>
      </c>
      <c r="HN276" t="e">
        <f>AND(#REF!,"AAAAACM/3d0=")</f>
        <v>#REF!</v>
      </c>
      <c r="HO276" t="e">
        <f>AND(#REF!,"AAAAACM/3d4=")</f>
        <v>#REF!</v>
      </c>
      <c r="HP276" t="e">
        <f>AND(#REF!,"AAAAACM/3d8=")</f>
        <v>#REF!</v>
      </c>
      <c r="HQ276" t="e">
        <f>AND(#REF!,"AAAAACM/3eA=")</f>
        <v>#REF!</v>
      </c>
      <c r="HR276" t="e">
        <f>AND(#REF!,"AAAAACM/3eE=")</f>
        <v>#REF!</v>
      </c>
      <c r="HS276" t="e">
        <f>AND(#REF!,"AAAAACM/3eI=")</f>
        <v>#REF!</v>
      </c>
      <c r="HT276" t="e">
        <f>AND(#REF!,"AAAAACM/3eM=")</f>
        <v>#REF!</v>
      </c>
      <c r="HU276" t="e">
        <f>IF(#REF!,"AAAAACM/3eQ=",0)</f>
        <v>#REF!</v>
      </c>
      <c r="HV276" t="e">
        <f>AND(#REF!,"AAAAACM/3eU=")</f>
        <v>#REF!</v>
      </c>
      <c r="HW276" t="e">
        <f>AND(#REF!,"AAAAACM/3eY=")</f>
        <v>#REF!</v>
      </c>
      <c r="HX276" t="e">
        <f>AND(#REF!,"AAAAACM/3ec=")</f>
        <v>#REF!</v>
      </c>
      <c r="HY276" t="e">
        <f>AND(#REF!,"AAAAACM/3eg=")</f>
        <v>#REF!</v>
      </c>
      <c r="HZ276" t="e">
        <f>AND(#REF!,"AAAAACM/3ek=")</f>
        <v>#REF!</v>
      </c>
      <c r="IA276" t="e">
        <f>AND(#REF!,"AAAAACM/3eo=")</f>
        <v>#REF!</v>
      </c>
      <c r="IB276" t="e">
        <f>AND(#REF!,"AAAAACM/3es=")</f>
        <v>#REF!</v>
      </c>
      <c r="IC276" t="e">
        <f>AND(#REF!,"AAAAACM/3ew=")</f>
        <v>#REF!</v>
      </c>
      <c r="ID276" t="e">
        <f>IF(#REF!,"AAAAACM/3e0=",0)</f>
        <v>#REF!</v>
      </c>
      <c r="IE276" t="e">
        <f>AND(#REF!,"AAAAACM/3e4=")</f>
        <v>#REF!</v>
      </c>
      <c r="IF276" t="e">
        <f>AND(#REF!,"AAAAACM/3e8=")</f>
        <v>#REF!</v>
      </c>
      <c r="IG276" t="e">
        <f>AND(#REF!,"AAAAACM/3fA=")</f>
        <v>#REF!</v>
      </c>
      <c r="IH276" t="e">
        <f>AND(#REF!,"AAAAACM/3fE=")</f>
        <v>#REF!</v>
      </c>
      <c r="II276" t="e">
        <f>AND(#REF!,"AAAAACM/3fI=")</f>
        <v>#REF!</v>
      </c>
      <c r="IJ276" t="e">
        <f>AND(#REF!,"AAAAACM/3fM=")</f>
        <v>#REF!</v>
      </c>
      <c r="IK276" t="e">
        <f>AND(#REF!,"AAAAACM/3fQ=")</f>
        <v>#REF!</v>
      </c>
      <c r="IL276" t="e">
        <f>AND(#REF!,"AAAAACM/3fU=")</f>
        <v>#REF!</v>
      </c>
      <c r="IM276" t="e">
        <f>IF(#REF!,"AAAAACM/3fY=",0)</f>
        <v>#REF!</v>
      </c>
      <c r="IN276" t="e">
        <f>AND(#REF!,"AAAAACM/3fc=")</f>
        <v>#REF!</v>
      </c>
      <c r="IO276" t="e">
        <f>AND(#REF!,"AAAAACM/3fg=")</f>
        <v>#REF!</v>
      </c>
      <c r="IP276" t="e">
        <f>AND(#REF!,"AAAAACM/3fk=")</f>
        <v>#REF!</v>
      </c>
      <c r="IQ276" t="e">
        <f>AND(#REF!,"AAAAACM/3fo=")</f>
        <v>#REF!</v>
      </c>
      <c r="IR276" t="e">
        <f>AND(#REF!,"AAAAACM/3fs=")</f>
        <v>#REF!</v>
      </c>
      <c r="IS276" t="e">
        <f>AND(#REF!,"AAAAACM/3fw=")</f>
        <v>#REF!</v>
      </c>
      <c r="IT276" t="e">
        <f>AND(#REF!,"AAAAACM/3f0=")</f>
        <v>#REF!</v>
      </c>
      <c r="IU276" t="e">
        <f>AND(#REF!,"AAAAACM/3f4=")</f>
        <v>#REF!</v>
      </c>
      <c r="IV276" t="e">
        <f>IF(#REF!,"AAAAACM/3f8=",0)</f>
        <v>#REF!</v>
      </c>
    </row>
    <row r="277" spans="1:256">
      <c r="A277" t="e">
        <f>AND(#REF!,"AAAAAFh9/wA=")</f>
        <v>#REF!</v>
      </c>
      <c r="B277" t="e">
        <f>AND(#REF!,"AAAAAFh9/wE=")</f>
        <v>#REF!</v>
      </c>
      <c r="C277" t="e">
        <f>AND(#REF!,"AAAAAFh9/wI=")</f>
        <v>#REF!</v>
      </c>
      <c r="D277" t="e">
        <f>AND(#REF!,"AAAAAFh9/wM=")</f>
        <v>#REF!</v>
      </c>
      <c r="E277" t="e">
        <f>AND(#REF!,"AAAAAFh9/wQ=")</f>
        <v>#REF!</v>
      </c>
      <c r="F277" t="e">
        <f>AND(#REF!,"AAAAAFh9/wU=")</f>
        <v>#REF!</v>
      </c>
      <c r="G277" t="e">
        <f>AND(#REF!,"AAAAAFh9/wY=")</f>
        <v>#REF!</v>
      </c>
      <c r="H277" t="e">
        <f>AND(#REF!,"AAAAAFh9/wc=")</f>
        <v>#REF!</v>
      </c>
      <c r="I277" t="e">
        <f>IF(#REF!,"AAAAAFh9/wg=",0)</f>
        <v>#REF!</v>
      </c>
      <c r="J277" t="e">
        <f>AND(#REF!,"AAAAAFh9/wk=")</f>
        <v>#REF!</v>
      </c>
      <c r="K277" t="e">
        <f>AND(#REF!,"AAAAAFh9/wo=")</f>
        <v>#REF!</v>
      </c>
      <c r="L277" t="e">
        <f>AND(#REF!,"AAAAAFh9/ws=")</f>
        <v>#REF!</v>
      </c>
      <c r="M277" t="e">
        <f>AND(#REF!,"AAAAAFh9/ww=")</f>
        <v>#REF!</v>
      </c>
      <c r="N277" t="e">
        <f>AND(#REF!,"AAAAAFh9/w0=")</f>
        <v>#REF!</v>
      </c>
      <c r="O277" t="e">
        <f>AND(#REF!,"AAAAAFh9/w4=")</f>
        <v>#REF!</v>
      </c>
      <c r="P277" t="e">
        <f>AND(#REF!,"AAAAAFh9/w8=")</f>
        <v>#REF!</v>
      </c>
      <c r="Q277" t="e">
        <f>AND(#REF!,"AAAAAFh9/xA=")</f>
        <v>#REF!</v>
      </c>
      <c r="R277" t="e">
        <f>IF(#REF!,"AAAAAFh9/xE=",0)</f>
        <v>#REF!</v>
      </c>
      <c r="S277" t="e">
        <f>AND(#REF!,"AAAAAFh9/xI=")</f>
        <v>#REF!</v>
      </c>
      <c r="T277" t="e">
        <f>AND(#REF!,"AAAAAFh9/xM=")</f>
        <v>#REF!</v>
      </c>
      <c r="U277" t="e">
        <f>AND(#REF!,"AAAAAFh9/xQ=")</f>
        <v>#REF!</v>
      </c>
      <c r="V277" t="e">
        <f>AND(#REF!,"AAAAAFh9/xU=")</f>
        <v>#REF!</v>
      </c>
      <c r="W277" t="e">
        <f>AND(#REF!,"AAAAAFh9/xY=")</f>
        <v>#REF!</v>
      </c>
      <c r="X277" t="e">
        <f>AND(#REF!,"AAAAAFh9/xc=")</f>
        <v>#REF!</v>
      </c>
      <c r="Y277" t="e">
        <f>AND(#REF!,"AAAAAFh9/xg=")</f>
        <v>#REF!</v>
      </c>
      <c r="Z277" t="e">
        <f>AND(#REF!,"AAAAAFh9/xk=")</f>
        <v>#REF!</v>
      </c>
      <c r="AA277" t="e">
        <f>IF(#REF!,"AAAAAFh9/xo=",0)</f>
        <v>#REF!</v>
      </c>
      <c r="AB277" t="e">
        <f>AND(#REF!,"AAAAAFh9/xs=")</f>
        <v>#REF!</v>
      </c>
      <c r="AC277" t="e">
        <f>AND(#REF!,"AAAAAFh9/xw=")</f>
        <v>#REF!</v>
      </c>
      <c r="AD277" t="e">
        <f>AND(#REF!,"AAAAAFh9/x0=")</f>
        <v>#REF!</v>
      </c>
      <c r="AE277" t="e">
        <f>AND(#REF!,"AAAAAFh9/x4=")</f>
        <v>#REF!</v>
      </c>
      <c r="AF277" t="e">
        <f>AND(#REF!,"AAAAAFh9/x8=")</f>
        <v>#REF!</v>
      </c>
      <c r="AG277" t="e">
        <f>AND(#REF!,"AAAAAFh9/yA=")</f>
        <v>#REF!</v>
      </c>
      <c r="AH277" t="e">
        <f>AND(#REF!,"AAAAAFh9/yE=")</f>
        <v>#REF!</v>
      </c>
      <c r="AI277" t="e">
        <f>AND(#REF!,"AAAAAFh9/yI=")</f>
        <v>#REF!</v>
      </c>
      <c r="AJ277" t="e">
        <f>IF(#REF!,"AAAAAFh9/yM=",0)</f>
        <v>#REF!</v>
      </c>
      <c r="AK277" t="e">
        <f>AND(#REF!,"AAAAAFh9/yQ=")</f>
        <v>#REF!</v>
      </c>
      <c r="AL277" t="e">
        <f>AND(#REF!,"AAAAAFh9/yU=")</f>
        <v>#REF!</v>
      </c>
      <c r="AM277" t="e">
        <f>AND(#REF!,"AAAAAFh9/yY=")</f>
        <v>#REF!</v>
      </c>
      <c r="AN277" t="e">
        <f>AND(#REF!,"AAAAAFh9/yc=")</f>
        <v>#REF!</v>
      </c>
      <c r="AO277" t="e">
        <f>AND(#REF!,"AAAAAFh9/yg=")</f>
        <v>#REF!</v>
      </c>
      <c r="AP277" t="e">
        <f>AND(#REF!,"AAAAAFh9/yk=")</f>
        <v>#REF!</v>
      </c>
      <c r="AQ277" t="e">
        <f>AND(#REF!,"AAAAAFh9/yo=")</f>
        <v>#REF!</v>
      </c>
      <c r="AR277" t="e">
        <f>AND(#REF!,"AAAAAFh9/ys=")</f>
        <v>#REF!</v>
      </c>
      <c r="AS277" t="e">
        <f>IF(#REF!,"AAAAAFh9/yw=",0)</f>
        <v>#REF!</v>
      </c>
      <c r="AT277" t="e">
        <f>AND(#REF!,"AAAAAFh9/y0=")</f>
        <v>#REF!</v>
      </c>
      <c r="AU277" t="e">
        <f>AND(#REF!,"AAAAAFh9/y4=")</f>
        <v>#REF!</v>
      </c>
      <c r="AV277" t="e">
        <f>AND(#REF!,"AAAAAFh9/y8=")</f>
        <v>#REF!</v>
      </c>
      <c r="AW277" t="e">
        <f>AND(#REF!,"AAAAAFh9/zA=")</f>
        <v>#REF!</v>
      </c>
      <c r="AX277" t="e">
        <f>AND(#REF!,"AAAAAFh9/zE=")</f>
        <v>#REF!</v>
      </c>
      <c r="AY277" t="e">
        <f>AND(#REF!,"AAAAAFh9/zI=")</f>
        <v>#REF!</v>
      </c>
      <c r="AZ277" t="e">
        <f>AND(#REF!,"AAAAAFh9/zM=")</f>
        <v>#REF!</v>
      </c>
      <c r="BA277" t="e">
        <f>AND(#REF!,"AAAAAFh9/zQ=")</f>
        <v>#REF!</v>
      </c>
      <c r="BB277" t="e">
        <f>IF(#REF!,"AAAAAFh9/zU=",0)</f>
        <v>#REF!</v>
      </c>
      <c r="BC277" t="e">
        <f>AND(#REF!,"AAAAAFh9/zY=")</f>
        <v>#REF!</v>
      </c>
      <c r="BD277" t="e">
        <f>AND(#REF!,"AAAAAFh9/zc=")</f>
        <v>#REF!</v>
      </c>
      <c r="BE277" t="e">
        <f>AND(#REF!,"AAAAAFh9/zg=")</f>
        <v>#REF!</v>
      </c>
      <c r="BF277" t="e">
        <f>AND(#REF!,"AAAAAFh9/zk=")</f>
        <v>#REF!</v>
      </c>
      <c r="BG277" t="e">
        <f>AND(#REF!,"AAAAAFh9/zo=")</f>
        <v>#REF!</v>
      </c>
      <c r="BH277" t="e">
        <f>AND(#REF!,"AAAAAFh9/zs=")</f>
        <v>#REF!</v>
      </c>
      <c r="BI277" t="e">
        <f>AND(#REF!,"AAAAAFh9/zw=")</f>
        <v>#REF!</v>
      </c>
      <c r="BJ277" t="e">
        <f>AND(#REF!,"AAAAAFh9/z0=")</f>
        <v>#REF!</v>
      </c>
      <c r="BK277" t="e">
        <f>IF(#REF!,"AAAAAFh9/z4=",0)</f>
        <v>#REF!</v>
      </c>
      <c r="BL277" t="e">
        <f>AND(#REF!,"AAAAAFh9/z8=")</f>
        <v>#REF!</v>
      </c>
      <c r="BM277" t="e">
        <f>AND(#REF!,"AAAAAFh9/0A=")</f>
        <v>#REF!</v>
      </c>
      <c r="BN277" t="e">
        <f>AND(#REF!,"AAAAAFh9/0E=")</f>
        <v>#REF!</v>
      </c>
      <c r="BO277" t="e">
        <f>AND(#REF!,"AAAAAFh9/0I=")</f>
        <v>#REF!</v>
      </c>
      <c r="BP277" t="e">
        <f>AND(#REF!,"AAAAAFh9/0M=")</f>
        <v>#REF!</v>
      </c>
      <c r="BQ277" t="e">
        <f>AND(#REF!,"AAAAAFh9/0Q=")</f>
        <v>#REF!</v>
      </c>
      <c r="BR277" t="e">
        <f>AND(#REF!,"AAAAAFh9/0U=")</f>
        <v>#REF!</v>
      </c>
      <c r="BS277" t="e">
        <f>AND(#REF!,"AAAAAFh9/0Y=")</f>
        <v>#REF!</v>
      </c>
      <c r="BT277" t="e">
        <f>IF(#REF!,"AAAAAFh9/0c=",0)</f>
        <v>#REF!</v>
      </c>
      <c r="BU277" t="e">
        <f>AND(#REF!,"AAAAAFh9/0g=")</f>
        <v>#REF!</v>
      </c>
      <c r="BV277" t="e">
        <f>AND(#REF!,"AAAAAFh9/0k=")</f>
        <v>#REF!</v>
      </c>
      <c r="BW277" t="e">
        <f>AND(#REF!,"AAAAAFh9/0o=")</f>
        <v>#REF!</v>
      </c>
      <c r="BX277" t="e">
        <f>AND(#REF!,"AAAAAFh9/0s=")</f>
        <v>#REF!</v>
      </c>
      <c r="BY277" t="e">
        <f>AND(#REF!,"AAAAAFh9/0w=")</f>
        <v>#REF!</v>
      </c>
      <c r="BZ277" t="e">
        <f>AND(#REF!,"AAAAAFh9/00=")</f>
        <v>#REF!</v>
      </c>
      <c r="CA277" t="e">
        <f>AND(#REF!,"AAAAAFh9/04=")</f>
        <v>#REF!</v>
      </c>
      <c r="CB277" t="e">
        <f>AND(#REF!,"AAAAAFh9/08=")</f>
        <v>#REF!</v>
      </c>
      <c r="CC277" t="e">
        <f>IF(#REF!,"AAAAAFh9/1A=",0)</f>
        <v>#REF!</v>
      </c>
      <c r="CD277" t="e">
        <f>AND(#REF!,"AAAAAFh9/1E=")</f>
        <v>#REF!</v>
      </c>
      <c r="CE277" t="e">
        <f>AND(#REF!,"AAAAAFh9/1I=")</f>
        <v>#REF!</v>
      </c>
      <c r="CF277" t="e">
        <f>AND(#REF!,"AAAAAFh9/1M=")</f>
        <v>#REF!</v>
      </c>
      <c r="CG277" t="e">
        <f>AND(#REF!,"AAAAAFh9/1Q=")</f>
        <v>#REF!</v>
      </c>
      <c r="CH277" t="e">
        <f>AND(#REF!,"AAAAAFh9/1U=")</f>
        <v>#REF!</v>
      </c>
      <c r="CI277" t="e">
        <f>AND(#REF!,"AAAAAFh9/1Y=")</f>
        <v>#REF!</v>
      </c>
      <c r="CJ277" t="e">
        <f>AND(#REF!,"AAAAAFh9/1c=")</f>
        <v>#REF!</v>
      </c>
      <c r="CK277" t="e">
        <f>AND(#REF!,"AAAAAFh9/1g=")</f>
        <v>#REF!</v>
      </c>
      <c r="CL277" t="e">
        <f>IF(#REF!,"AAAAAFh9/1k=",0)</f>
        <v>#REF!</v>
      </c>
      <c r="CM277" t="e">
        <f>AND(#REF!,"AAAAAFh9/1o=")</f>
        <v>#REF!</v>
      </c>
      <c r="CN277" t="e">
        <f>AND(#REF!,"AAAAAFh9/1s=")</f>
        <v>#REF!</v>
      </c>
      <c r="CO277" t="e">
        <f>AND(#REF!,"AAAAAFh9/1w=")</f>
        <v>#REF!</v>
      </c>
      <c r="CP277" t="e">
        <f>AND(#REF!,"AAAAAFh9/10=")</f>
        <v>#REF!</v>
      </c>
      <c r="CQ277" t="e">
        <f>AND(#REF!,"AAAAAFh9/14=")</f>
        <v>#REF!</v>
      </c>
      <c r="CR277" t="e">
        <f>AND(#REF!,"AAAAAFh9/18=")</f>
        <v>#REF!</v>
      </c>
      <c r="CS277" t="e">
        <f>AND(#REF!,"AAAAAFh9/2A=")</f>
        <v>#REF!</v>
      </c>
      <c r="CT277" t="e">
        <f>AND(#REF!,"AAAAAFh9/2E=")</f>
        <v>#REF!</v>
      </c>
      <c r="CU277" t="e">
        <f>IF(#REF!,"AAAAAFh9/2I=",0)</f>
        <v>#REF!</v>
      </c>
      <c r="CV277" t="e">
        <f>AND(#REF!,"AAAAAFh9/2M=")</f>
        <v>#REF!</v>
      </c>
      <c r="CW277" t="e">
        <f>AND(#REF!,"AAAAAFh9/2Q=")</f>
        <v>#REF!</v>
      </c>
      <c r="CX277" t="e">
        <f>AND(#REF!,"AAAAAFh9/2U=")</f>
        <v>#REF!</v>
      </c>
      <c r="CY277" t="e">
        <f>AND(#REF!,"AAAAAFh9/2Y=")</f>
        <v>#REF!</v>
      </c>
      <c r="CZ277" t="e">
        <f>AND(#REF!,"AAAAAFh9/2c=")</f>
        <v>#REF!</v>
      </c>
      <c r="DA277" t="e">
        <f>AND(#REF!,"AAAAAFh9/2g=")</f>
        <v>#REF!</v>
      </c>
      <c r="DB277" t="e">
        <f>AND(#REF!,"AAAAAFh9/2k=")</f>
        <v>#REF!</v>
      </c>
      <c r="DC277" t="e">
        <f>AND(#REF!,"AAAAAFh9/2o=")</f>
        <v>#REF!</v>
      </c>
      <c r="DD277" t="e">
        <f>IF(#REF!,"AAAAAFh9/2s=",0)</f>
        <v>#REF!</v>
      </c>
      <c r="DE277" t="e">
        <f>AND(#REF!,"AAAAAFh9/2w=")</f>
        <v>#REF!</v>
      </c>
      <c r="DF277" t="e">
        <f>AND(#REF!,"AAAAAFh9/20=")</f>
        <v>#REF!</v>
      </c>
      <c r="DG277" t="e">
        <f>AND(#REF!,"AAAAAFh9/24=")</f>
        <v>#REF!</v>
      </c>
      <c r="DH277" t="e">
        <f>AND(#REF!,"AAAAAFh9/28=")</f>
        <v>#REF!</v>
      </c>
      <c r="DI277" t="e">
        <f>AND(#REF!,"AAAAAFh9/3A=")</f>
        <v>#REF!</v>
      </c>
      <c r="DJ277" t="e">
        <f>AND(#REF!,"AAAAAFh9/3E=")</f>
        <v>#REF!</v>
      </c>
      <c r="DK277" t="e">
        <f>AND(#REF!,"AAAAAFh9/3I=")</f>
        <v>#REF!</v>
      </c>
      <c r="DL277" t="e">
        <f>AND(#REF!,"AAAAAFh9/3M=")</f>
        <v>#REF!</v>
      </c>
      <c r="DM277" t="e">
        <f>IF(#REF!,"AAAAAFh9/3Q=",0)</f>
        <v>#REF!</v>
      </c>
      <c r="DN277" t="e">
        <f>AND(#REF!,"AAAAAFh9/3U=")</f>
        <v>#REF!</v>
      </c>
      <c r="DO277" t="e">
        <f>AND(#REF!,"AAAAAFh9/3Y=")</f>
        <v>#REF!</v>
      </c>
      <c r="DP277" t="e">
        <f>AND(#REF!,"AAAAAFh9/3c=")</f>
        <v>#REF!</v>
      </c>
      <c r="DQ277" t="e">
        <f>AND(#REF!,"AAAAAFh9/3g=")</f>
        <v>#REF!</v>
      </c>
      <c r="DR277" t="e">
        <f>AND(#REF!,"AAAAAFh9/3k=")</f>
        <v>#REF!</v>
      </c>
      <c r="DS277" t="e">
        <f>AND(#REF!,"AAAAAFh9/3o=")</f>
        <v>#REF!</v>
      </c>
      <c r="DT277" t="e">
        <f>AND(#REF!,"AAAAAFh9/3s=")</f>
        <v>#REF!</v>
      </c>
      <c r="DU277" t="e">
        <f>AND(#REF!,"AAAAAFh9/3w=")</f>
        <v>#REF!</v>
      </c>
      <c r="DV277" t="e">
        <f>IF(#REF!,"AAAAAFh9/30=",0)</f>
        <v>#REF!</v>
      </c>
      <c r="DW277" t="e">
        <f>AND(#REF!,"AAAAAFh9/34=")</f>
        <v>#REF!</v>
      </c>
      <c r="DX277" t="e">
        <f>AND(#REF!,"AAAAAFh9/38=")</f>
        <v>#REF!</v>
      </c>
      <c r="DY277" t="e">
        <f>AND(#REF!,"AAAAAFh9/4A=")</f>
        <v>#REF!</v>
      </c>
      <c r="DZ277" t="e">
        <f>AND(#REF!,"AAAAAFh9/4E=")</f>
        <v>#REF!</v>
      </c>
      <c r="EA277" t="e">
        <f>AND(#REF!,"AAAAAFh9/4I=")</f>
        <v>#REF!</v>
      </c>
      <c r="EB277" t="e">
        <f>AND(#REF!,"AAAAAFh9/4M=")</f>
        <v>#REF!</v>
      </c>
      <c r="EC277" t="e">
        <f>AND(#REF!,"AAAAAFh9/4Q=")</f>
        <v>#REF!</v>
      </c>
      <c r="ED277" t="e">
        <f>AND(#REF!,"AAAAAFh9/4U=")</f>
        <v>#REF!</v>
      </c>
      <c r="EE277" t="e">
        <f>IF(#REF!,"AAAAAFh9/4Y=",0)</f>
        <v>#REF!</v>
      </c>
      <c r="EF277" t="e">
        <f>AND(#REF!,"AAAAAFh9/4c=")</f>
        <v>#REF!</v>
      </c>
      <c r="EG277" t="e">
        <f>AND(#REF!,"AAAAAFh9/4g=")</f>
        <v>#REF!</v>
      </c>
      <c r="EH277" t="e">
        <f>AND(#REF!,"AAAAAFh9/4k=")</f>
        <v>#REF!</v>
      </c>
      <c r="EI277" t="e">
        <f>AND(#REF!,"AAAAAFh9/4o=")</f>
        <v>#REF!</v>
      </c>
      <c r="EJ277" t="e">
        <f>AND(#REF!,"AAAAAFh9/4s=")</f>
        <v>#REF!</v>
      </c>
      <c r="EK277" t="e">
        <f>AND(#REF!,"AAAAAFh9/4w=")</f>
        <v>#REF!</v>
      </c>
      <c r="EL277" t="e">
        <f>AND(#REF!,"AAAAAFh9/40=")</f>
        <v>#REF!</v>
      </c>
      <c r="EM277" t="e">
        <f>AND(#REF!,"AAAAAFh9/44=")</f>
        <v>#REF!</v>
      </c>
      <c r="EN277" t="e">
        <f>IF(#REF!,"AAAAAFh9/48=",0)</f>
        <v>#REF!</v>
      </c>
      <c r="EO277" t="e">
        <f>AND(#REF!,"AAAAAFh9/5A=")</f>
        <v>#REF!</v>
      </c>
      <c r="EP277" t="e">
        <f>AND(#REF!,"AAAAAFh9/5E=")</f>
        <v>#REF!</v>
      </c>
      <c r="EQ277" t="e">
        <f>AND(#REF!,"AAAAAFh9/5I=")</f>
        <v>#REF!</v>
      </c>
      <c r="ER277" t="e">
        <f>AND(#REF!,"AAAAAFh9/5M=")</f>
        <v>#REF!</v>
      </c>
      <c r="ES277" t="e">
        <f>AND(#REF!,"AAAAAFh9/5Q=")</f>
        <v>#REF!</v>
      </c>
      <c r="ET277" t="e">
        <f>AND(#REF!,"AAAAAFh9/5U=")</f>
        <v>#REF!</v>
      </c>
      <c r="EU277" t="e">
        <f>AND(#REF!,"AAAAAFh9/5Y=")</f>
        <v>#REF!</v>
      </c>
      <c r="EV277" t="e">
        <f>AND(#REF!,"AAAAAFh9/5c=")</f>
        <v>#REF!</v>
      </c>
      <c r="EW277" t="e">
        <f>IF(#REF!,"AAAAAFh9/5g=",0)</f>
        <v>#REF!</v>
      </c>
      <c r="EX277" t="e">
        <f>AND(#REF!,"AAAAAFh9/5k=")</f>
        <v>#REF!</v>
      </c>
      <c r="EY277" t="e">
        <f>AND(#REF!,"AAAAAFh9/5o=")</f>
        <v>#REF!</v>
      </c>
      <c r="EZ277" t="e">
        <f>AND(#REF!,"AAAAAFh9/5s=")</f>
        <v>#REF!</v>
      </c>
      <c r="FA277" t="e">
        <f>AND(#REF!,"AAAAAFh9/5w=")</f>
        <v>#REF!</v>
      </c>
      <c r="FB277" t="e">
        <f>AND(#REF!,"AAAAAFh9/50=")</f>
        <v>#REF!</v>
      </c>
      <c r="FC277" t="e">
        <f>AND(#REF!,"AAAAAFh9/54=")</f>
        <v>#REF!</v>
      </c>
      <c r="FD277" t="e">
        <f>AND(#REF!,"AAAAAFh9/58=")</f>
        <v>#REF!</v>
      </c>
      <c r="FE277" t="e">
        <f>AND(#REF!,"AAAAAFh9/6A=")</f>
        <v>#REF!</v>
      </c>
      <c r="FF277" t="e">
        <f>IF(#REF!,"AAAAAFh9/6E=",0)</f>
        <v>#REF!</v>
      </c>
      <c r="FG277" t="e">
        <f>AND(#REF!,"AAAAAFh9/6I=")</f>
        <v>#REF!</v>
      </c>
      <c r="FH277" t="e">
        <f>AND(#REF!,"AAAAAFh9/6M=")</f>
        <v>#REF!</v>
      </c>
      <c r="FI277" t="e">
        <f>AND(#REF!,"AAAAAFh9/6Q=")</f>
        <v>#REF!</v>
      </c>
      <c r="FJ277" t="e">
        <f>AND(#REF!,"AAAAAFh9/6U=")</f>
        <v>#REF!</v>
      </c>
      <c r="FK277" t="e">
        <f>AND(#REF!,"AAAAAFh9/6Y=")</f>
        <v>#REF!</v>
      </c>
      <c r="FL277" t="e">
        <f>AND(#REF!,"AAAAAFh9/6c=")</f>
        <v>#REF!</v>
      </c>
      <c r="FM277" t="e">
        <f>AND(#REF!,"AAAAAFh9/6g=")</f>
        <v>#REF!</v>
      </c>
      <c r="FN277" t="e">
        <f>AND(#REF!,"AAAAAFh9/6k=")</f>
        <v>#REF!</v>
      </c>
      <c r="FO277" t="e">
        <f>IF(#REF!,"AAAAAFh9/6o=",0)</f>
        <v>#REF!</v>
      </c>
      <c r="FP277" t="e">
        <f>AND(#REF!,"AAAAAFh9/6s=")</f>
        <v>#REF!</v>
      </c>
      <c r="FQ277" t="e">
        <f>AND(#REF!,"AAAAAFh9/6w=")</f>
        <v>#REF!</v>
      </c>
      <c r="FR277" t="e">
        <f>AND(#REF!,"AAAAAFh9/60=")</f>
        <v>#REF!</v>
      </c>
      <c r="FS277" t="e">
        <f>AND(#REF!,"AAAAAFh9/64=")</f>
        <v>#REF!</v>
      </c>
      <c r="FT277" t="e">
        <f>AND(#REF!,"AAAAAFh9/68=")</f>
        <v>#REF!</v>
      </c>
      <c r="FU277" t="e">
        <f>AND(#REF!,"AAAAAFh9/7A=")</f>
        <v>#REF!</v>
      </c>
      <c r="FV277" t="e">
        <f>AND(#REF!,"AAAAAFh9/7E=")</f>
        <v>#REF!</v>
      </c>
      <c r="FW277" t="e">
        <f>AND(#REF!,"AAAAAFh9/7I=")</f>
        <v>#REF!</v>
      </c>
      <c r="FX277" t="e">
        <f>IF(#REF!,"AAAAAFh9/7M=",0)</f>
        <v>#REF!</v>
      </c>
      <c r="FY277" t="e">
        <f>AND(#REF!,"AAAAAFh9/7Q=")</f>
        <v>#REF!</v>
      </c>
      <c r="FZ277" t="e">
        <f>AND(#REF!,"AAAAAFh9/7U=")</f>
        <v>#REF!</v>
      </c>
      <c r="GA277" t="e">
        <f>AND(#REF!,"AAAAAFh9/7Y=")</f>
        <v>#REF!</v>
      </c>
      <c r="GB277" t="e">
        <f>AND(#REF!,"AAAAAFh9/7c=")</f>
        <v>#REF!</v>
      </c>
      <c r="GC277" t="e">
        <f>AND(#REF!,"AAAAAFh9/7g=")</f>
        <v>#REF!</v>
      </c>
      <c r="GD277" t="e">
        <f>AND(#REF!,"AAAAAFh9/7k=")</f>
        <v>#REF!</v>
      </c>
      <c r="GE277" t="e">
        <f>AND(#REF!,"AAAAAFh9/7o=")</f>
        <v>#REF!</v>
      </c>
      <c r="GF277" t="e">
        <f>AND(#REF!,"AAAAAFh9/7s=")</f>
        <v>#REF!</v>
      </c>
      <c r="GG277" t="e">
        <f>IF(#REF!,"AAAAAFh9/7w=",0)</f>
        <v>#REF!</v>
      </c>
      <c r="GH277" t="e">
        <f>AND(#REF!,"AAAAAFh9/70=")</f>
        <v>#REF!</v>
      </c>
      <c r="GI277" t="e">
        <f>AND(#REF!,"AAAAAFh9/74=")</f>
        <v>#REF!</v>
      </c>
      <c r="GJ277" t="e">
        <f>AND(#REF!,"AAAAAFh9/78=")</f>
        <v>#REF!</v>
      </c>
      <c r="GK277" t="e">
        <f>AND(#REF!,"AAAAAFh9/8A=")</f>
        <v>#REF!</v>
      </c>
      <c r="GL277" t="e">
        <f>AND(#REF!,"AAAAAFh9/8E=")</f>
        <v>#REF!</v>
      </c>
      <c r="GM277" t="e">
        <f>AND(#REF!,"AAAAAFh9/8I=")</f>
        <v>#REF!</v>
      </c>
      <c r="GN277" t="e">
        <f>AND(#REF!,"AAAAAFh9/8M=")</f>
        <v>#REF!</v>
      </c>
      <c r="GO277" t="e">
        <f>AND(#REF!,"AAAAAFh9/8Q=")</f>
        <v>#REF!</v>
      </c>
      <c r="GP277" t="e">
        <f>IF(#REF!,"AAAAAFh9/8U=",0)</f>
        <v>#REF!</v>
      </c>
      <c r="GQ277" t="e">
        <f>AND(#REF!,"AAAAAFh9/8Y=")</f>
        <v>#REF!</v>
      </c>
      <c r="GR277" t="e">
        <f>AND(#REF!,"AAAAAFh9/8c=")</f>
        <v>#REF!</v>
      </c>
      <c r="GS277" t="e">
        <f>AND(#REF!,"AAAAAFh9/8g=")</f>
        <v>#REF!</v>
      </c>
      <c r="GT277" t="e">
        <f>AND(#REF!,"AAAAAFh9/8k=")</f>
        <v>#REF!</v>
      </c>
      <c r="GU277" t="e">
        <f>AND(#REF!,"AAAAAFh9/8o=")</f>
        <v>#REF!</v>
      </c>
      <c r="GV277" t="e">
        <f>AND(#REF!,"AAAAAFh9/8s=")</f>
        <v>#REF!</v>
      </c>
      <c r="GW277" t="e">
        <f>AND(#REF!,"AAAAAFh9/8w=")</f>
        <v>#REF!</v>
      </c>
      <c r="GX277" t="e">
        <f>AND(#REF!,"AAAAAFh9/80=")</f>
        <v>#REF!</v>
      </c>
      <c r="GY277" t="e">
        <f>IF(#REF!,"AAAAAFh9/84=",0)</f>
        <v>#REF!</v>
      </c>
      <c r="GZ277" t="e">
        <f>AND(#REF!,"AAAAAFh9/88=")</f>
        <v>#REF!</v>
      </c>
      <c r="HA277" t="e">
        <f>AND(#REF!,"AAAAAFh9/9A=")</f>
        <v>#REF!</v>
      </c>
      <c r="HB277" t="e">
        <f>AND(#REF!,"AAAAAFh9/9E=")</f>
        <v>#REF!</v>
      </c>
      <c r="HC277" t="e">
        <f>AND(#REF!,"AAAAAFh9/9I=")</f>
        <v>#REF!</v>
      </c>
      <c r="HD277" t="e">
        <f>AND(#REF!,"AAAAAFh9/9M=")</f>
        <v>#REF!</v>
      </c>
      <c r="HE277" t="e">
        <f>AND(#REF!,"AAAAAFh9/9Q=")</f>
        <v>#REF!</v>
      </c>
      <c r="HF277" t="e">
        <f>AND(#REF!,"AAAAAFh9/9U=")</f>
        <v>#REF!</v>
      </c>
      <c r="HG277" t="e">
        <f>AND(#REF!,"AAAAAFh9/9Y=")</f>
        <v>#REF!</v>
      </c>
      <c r="HH277" t="e">
        <f>IF(#REF!,"AAAAAFh9/9c=",0)</f>
        <v>#REF!</v>
      </c>
      <c r="HI277" t="e">
        <f>AND(#REF!,"AAAAAFh9/9g=")</f>
        <v>#REF!</v>
      </c>
      <c r="HJ277" t="e">
        <f>AND(#REF!,"AAAAAFh9/9k=")</f>
        <v>#REF!</v>
      </c>
      <c r="HK277" t="e">
        <f>AND(#REF!,"AAAAAFh9/9o=")</f>
        <v>#REF!</v>
      </c>
      <c r="HL277" t="e">
        <f>AND(#REF!,"AAAAAFh9/9s=")</f>
        <v>#REF!</v>
      </c>
      <c r="HM277" t="e">
        <f>AND(#REF!,"AAAAAFh9/9w=")</f>
        <v>#REF!</v>
      </c>
      <c r="HN277" t="e">
        <f>AND(#REF!,"AAAAAFh9/90=")</f>
        <v>#REF!</v>
      </c>
      <c r="HO277" t="e">
        <f>AND(#REF!,"AAAAAFh9/94=")</f>
        <v>#REF!</v>
      </c>
      <c r="HP277" t="e">
        <f>AND(#REF!,"AAAAAFh9/98=")</f>
        <v>#REF!</v>
      </c>
      <c r="HQ277" t="e">
        <f>IF(#REF!,"AAAAAFh9/+A=",0)</f>
        <v>#REF!</v>
      </c>
      <c r="HR277" t="e">
        <f>AND(#REF!,"AAAAAFh9/+E=")</f>
        <v>#REF!</v>
      </c>
      <c r="HS277" t="e">
        <f>AND(#REF!,"AAAAAFh9/+I=")</f>
        <v>#REF!</v>
      </c>
      <c r="HT277" t="e">
        <f>AND(#REF!,"AAAAAFh9/+M=")</f>
        <v>#REF!</v>
      </c>
      <c r="HU277" t="e">
        <f>AND(#REF!,"AAAAAFh9/+Q=")</f>
        <v>#REF!</v>
      </c>
      <c r="HV277" t="e">
        <f>AND(#REF!,"AAAAAFh9/+U=")</f>
        <v>#REF!</v>
      </c>
      <c r="HW277" t="e">
        <f>AND(#REF!,"AAAAAFh9/+Y=")</f>
        <v>#REF!</v>
      </c>
      <c r="HX277" t="e">
        <f>AND(#REF!,"AAAAAFh9/+c=")</f>
        <v>#REF!</v>
      </c>
      <c r="HY277" t="e">
        <f>AND(#REF!,"AAAAAFh9/+g=")</f>
        <v>#REF!</v>
      </c>
      <c r="HZ277" t="e">
        <f>IF(#REF!,"AAAAAFh9/+k=",0)</f>
        <v>#REF!</v>
      </c>
      <c r="IA277" t="e">
        <f>AND(#REF!,"AAAAAFh9/+o=")</f>
        <v>#REF!</v>
      </c>
      <c r="IB277" t="e">
        <f>AND(#REF!,"AAAAAFh9/+s=")</f>
        <v>#REF!</v>
      </c>
      <c r="IC277" t="e">
        <f>AND(#REF!,"AAAAAFh9/+w=")</f>
        <v>#REF!</v>
      </c>
      <c r="ID277" t="e">
        <f>AND(#REF!,"AAAAAFh9/+0=")</f>
        <v>#REF!</v>
      </c>
      <c r="IE277" t="e">
        <f>AND(#REF!,"AAAAAFh9/+4=")</f>
        <v>#REF!</v>
      </c>
      <c r="IF277" t="e">
        <f>AND(#REF!,"AAAAAFh9/+8=")</f>
        <v>#REF!</v>
      </c>
      <c r="IG277" t="e">
        <f>AND(#REF!,"AAAAAFh9//A=")</f>
        <v>#REF!</v>
      </c>
      <c r="IH277" t="e">
        <f>AND(#REF!,"AAAAAFh9//E=")</f>
        <v>#REF!</v>
      </c>
      <c r="II277" t="e">
        <f>IF(#REF!,"AAAAAFh9//I=",0)</f>
        <v>#REF!</v>
      </c>
      <c r="IJ277" t="e">
        <f>AND(#REF!,"AAAAAFh9//M=")</f>
        <v>#REF!</v>
      </c>
      <c r="IK277" t="e">
        <f>AND(#REF!,"AAAAAFh9//Q=")</f>
        <v>#REF!</v>
      </c>
      <c r="IL277" t="e">
        <f>AND(#REF!,"AAAAAFh9//U=")</f>
        <v>#REF!</v>
      </c>
      <c r="IM277" t="e">
        <f>AND(#REF!,"AAAAAFh9//Y=")</f>
        <v>#REF!</v>
      </c>
      <c r="IN277" t="e">
        <f>AND(#REF!,"AAAAAFh9//c=")</f>
        <v>#REF!</v>
      </c>
      <c r="IO277" t="e">
        <f>AND(#REF!,"AAAAAFh9//g=")</f>
        <v>#REF!</v>
      </c>
      <c r="IP277" t="e">
        <f>AND(#REF!,"AAAAAFh9//k=")</f>
        <v>#REF!</v>
      </c>
      <c r="IQ277" t="e">
        <f>AND(#REF!,"AAAAAFh9//o=")</f>
        <v>#REF!</v>
      </c>
      <c r="IR277" t="e">
        <f>IF(#REF!,"AAAAAFh9//s=",0)</f>
        <v>#REF!</v>
      </c>
      <c r="IS277" t="e">
        <f>AND(#REF!,"AAAAAFh9//w=")</f>
        <v>#REF!</v>
      </c>
      <c r="IT277" t="e">
        <f>AND(#REF!,"AAAAAFh9//0=")</f>
        <v>#REF!</v>
      </c>
      <c r="IU277" t="e">
        <f>AND(#REF!,"AAAAAFh9//4=")</f>
        <v>#REF!</v>
      </c>
      <c r="IV277" t="e">
        <f>AND(#REF!,"AAAAAFh9//8=")</f>
        <v>#REF!</v>
      </c>
    </row>
    <row r="278" spans="1:256">
      <c r="A278" t="e">
        <f>AND(#REF!,"AAAAAHvXdQA=")</f>
        <v>#REF!</v>
      </c>
      <c r="B278" t="e">
        <f>AND(#REF!,"AAAAAHvXdQE=")</f>
        <v>#REF!</v>
      </c>
      <c r="C278" t="e">
        <f>AND(#REF!,"AAAAAHvXdQI=")</f>
        <v>#REF!</v>
      </c>
      <c r="D278" t="e">
        <f>AND(#REF!,"AAAAAHvXdQM=")</f>
        <v>#REF!</v>
      </c>
      <c r="E278" t="e">
        <f>IF(#REF!,"AAAAAHvXdQQ=",0)</f>
        <v>#REF!</v>
      </c>
      <c r="F278" t="e">
        <f>AND(#REF!,"AAAAAHvXdQU=")</f>
        <v>#REF!</v>
      </c>
      <c r="G278" t="e">
        <f>AND(#REF!,"AAAAAHvXdQY=")</f>
        <v>#REF!</v>
      </c>
      <c r="H278" t="e">
        <f>AND(#REF!,"AAAAAHvXdQc=")</f>
        <v>#REF!</v>
      </c>
      <c r="I278" t="e">
        <f>AND(#REF!,"AAAAAHvXdQg=")</f>
        <v>#REF!</v>
      </c>
      <c r="J278" t="e">
        <f>AND(#REF!,"AAAAAHvXdQk=")</f>
        <v>#REF!</v>
      </c>
      <c r="K278" t="e">
        <f>AND(#REF!,"AAAAAHvXdQo=")</f>
        <v>#REF!</v>
      </c>
      <c r="L278" t="e">
        <f>AND(#REF!,"AAAAAHvXdQs=")</f>
        <v>#REF!</v>
      </c>
      <c r="M278" t="e">
        <f>AND(#REF!,"AAAAAHvXdQw=")</f>
        <v>#REF!</v>
      </c>
      <c r="N278" t="e">
        <f>IF(#REF!,"AAAAAHvXdQ0=",0)</f>
        <v>#REF!</v>
      </c>
      <c r="O278" t="e">
        <f>AND(#REF!,"AAAAAHvXdQ4=")</f>
        <v>#REF!</v>
      </c>
      <c r="P278" t="e">
        <f>AND(#REF!,"AAAAAHvXdQ8=")</f>
        <v>#REF!</v>
      </c>
      <c r="Q278" t="e">
        <f>AND(#REF!,"AAAAAHvXdRA=")</f>
        <v>#REF!</v>
      </c>
      <c r="R278" t="e">
        <f>AND(#REF!,"AAAAAHvXdRE=")</f>
        <v>#REF!</v>
      </c>
      <c r="S278" t="e">
        <f>AND(#REF!,"AAAAAHvXdRI=")</f>
        <v>#REF!</v>
      </c>
      <c r="T278" t="e">
        <f>AND(#REF!,"AAAAAHvXdRM=")</f>
        <v>#REF!</v>
      </c>
      <c r="U278" t="e">
        <f>AND(#REF!,"AAAAAHvXdRQ=")</f>
        <v>#REF!</v>
      </c>
      <c r="V278" t="e">
        <f>AND(#REF!,"AAAAAHvXdRU=")</f>
        <v>#REF!</v>
      </c>
      <c r="W278" t="e">
        <f>IF(#REF!,"AAAAAHvXdRY=",0)</f>
        <v>#REF!</v>
      </c>
      <c r="X278" t="e">
        <f>AND(#REF!,"AAAAAHvXdRc=")</f>
        <v>#REF!</v>
      </c>
      <c r="Y278" t="e">
        <f>AND(#REF!,"AAAAAHvXdRg=")</f>
        <v>#REF!</v>
      </c>
      <c r="Z278" t="e">
        <f>AND(#REF!,"AAAAAHvXdRk=")</f>
        <v>#REF!</v>
      </c>
      <c r="AA278" t="e">
        <f>AND(#REF!,"AAAAAHvXdRo=")</f>
        <v>#REF!</v>
      </c>
      <c r="AB278" t="e">
        <f>AND(#REF!,"AAAAAHvXdRs=")</f>
        <v>#REF!</v>
      </c>
      <c r="AC278" t="e">
        <f>AND(#REF!,"AAAAAHvXdRw=")</f>
        <v>#REF!</v>
      </c>
      <c r="AD278" t="e">
        <f>AND(#REF!,"AAAAAHvXdR0=")</f>
        <v>#REF!</v>
      </c>
      <c r="AE278" t="e">
        <f>AND(#REF!,"AAAAAHvXdR4=")</f>
        <v>#REF!</v>
      </c>
      <c r="AF278" t="e">
        <f>IF(#REF!,"AAAAAHvXdR8=",0)</f>
        <v>#REF!</v>
      </c>
      <c r="AG278" t="e">
        <f>AND(#REF!,"AAAAAHvXdSA=")</f>
        <v>#REF!</v>
      </c>
      <c r="AH278" t="e">
        <f>AND(#REF!,"AAAAAHvXdSE=")</f>
        <v>#REF!</v>
      </c>
      <c r="AI278" t="e">
        <f>AND(#REF!,"AAAAAHvXdSI=")</f>
        <v>#REF!</v>
      </c>
      <c r="AJ278" t="e">
        <f>AND(#REF!,"AAAAAHvXdSM=")</f>
        <v>#REF!</v>
      </c>
      <c r="AK278" t="e">
        <f>AND(#REF!,"AAAAAHvXdSQ=")</f>
        <v>#REF!</v>
      </c>
      <c r="AL278" t="e">
        <f>AND(#REF!,"AAAAAHvXdSU=")</f>
        <v>#REF!</v>
      </c>
      <c r="AM278" t="e">
        <f>AND(#REF!,"AAAAAHvXdSY=")</f>
        <v>#REF!</v>
      </c>
      <c r="AN278" t="e">
        <f>AND(#REF!,"AAAAAHvXdSc=")</f>
        <v>#REF!</v>
      </c>
      <c r="AO278" t="e">
        <f>IF(#REF!,"AAAAAHvXdSg=",0)</f>
        <v>#REF!</v>
      </c>
      <c r="AP278" t="e">
        <f>AND(#REF!,"AAAAAHvXdSk=")</f>
        <v>#REF!</v>
      </c>
      <c r="AQ278" t="e">
        <f>AND(#REF!,"AAAAAHvXdSo=")</f>
        <v>#REF!</v>
      </c>
      <c r="AR278" t="e">
        <f>AND(#REF!,"AAAAAHvXdSs=")</f>
        <v>#REF!</v>
      </c>
      <c r="AS278" t="e">
        <f>AND(#REF!,"AAAAAHvXdSw=")</f>
        <v>#REF!</v>
      </c>
      <c r="AT278" t="e">
        <f>AND(#REF!,"AAAAAHvXdS0=")</f>
        <v>#REF!</v>
      </c>
      <c r="AU278" t="e">
        <f>AND(#REF!,"AAAAAHvXdS4=")</f>
        <v>#REF!</v>
      </c>
      <c r="AV278" t="e">
        <f>AND(#REF!,"AAAAAHvXdS8=")</f>
        <v>#REF!</v>
      </c>
      <c r="AW278" t="e">
        <f>AND(#REF!,"AAAAAHvXdTA=")</f>
        <v>#REF!</v>
      </c>
      <c r="AX278" t="e">
        <f>IF(#REF!,"AAAAAHvXdTE=",0)</f>
        <v>#REF!</v>
      </c>
      <c r="AY278" t="e">
        <f>AND(#REF!,"AAAAAHvXdTI=")</f>
        <v>#REF!</v>
      </c>
      <c r="AZ278" t="e">
        <f>AND(#REF!,"AAAAAHvXdTM=")</f>
        <v>#REF!</v>
      </c>
      <c r="BA278" t="e">
        <f>AND(#REF!,"AAAAAHvXdTQ=")</f>
        <v>#REF!</v>
      </c>
      <c r="BB278" t="e">
        <f>AND(#REF!,"AAAAAHvXdTU=")</f>
        <v>#REF!</v>
      </c>
      <c r="BC278" t="e">
        <f>AND(#REF!,"AAAAAHvXdTY=")</f>
        <v>#REF!</v>
      </c>
      <c r="BD278" t="e">
        <f>AND(#REF!,"AAAAAHvXdTc=")</f>
        <v>#REF!</v>
      </c>
      <c r="BE278" t="e">
        <f>AND(#REF!,"AAAAAHvXdTg=")</f>
        <v>#REF!</v>
      </c>
      <c r="BF278" t="e">
        <f>AND(#REF!,"AAAAAHvXdTk=")</f>
        <v>#REF!</v>
      </c>
      <c r="BG278" t="e">
        <f>IF(#REF!,"AAAAAHvXdTo=",0)</f>
        <v>#REF!</v>
      </c>
      <c r="BH278" t="e">
        <f>AND(#REF!,"AAAAAHvXdTs=")</f>
        <v>#REF!</v>
      </c>
      <c r="BI278" t="e">
        <f>AND(#REF!,"AAAAAHvXdTw=")</f>
        <v>#REF!</v>
      </c>
      <c r="BJ278" t="e">
        <f>AND(#REF!,"AAAAAHvXdT0=")</f>
        <v>#REF!</v>
      </c>
      <c r="BK278" t="e">
        <f>AND(#REF!,"AAAAAHvXdT4=")</f>
        <v>#REF!</v>
      </c>
      <c r="BL278" t="e">
        <f>AND(#REF!,"AAAAAHvXdT8=")</f>
        <v>#REF!</v>
      </c>
      <c r="BM278" t="e">
        <f>AND(#REF!,"AAAAAHvXdUA=")</f>
        <v>#REF!</v>
      </c>
      <c r="BN278" t="e">
        <f>AND(#REF!,"AAAAAHvXdUE=")</f>
        <v>#REF!</v>
      </c>
      <c r="BO278" t="e">
        <f>AND(#REF!,"AAAAAHvXdUI=")</f>
        <v>#REF!</v>
      </c>
      <c r="BP278" t="e">
        <f>IF(#REF!,"AAAAAHvXdUM=",0)</f>
        <v>#REF!</v>
      </c>
      <c r="BQ278" t="e">
        <f>AND(#REF!,"AAAAAHvXdUQ=")</f>
        <v>#REF!</v>
      </c>
      <c r="BR278" t="e">
        <f>AND(#REF!,"AAAAAHvXdUU=")</f>
        <v>#REF!</v>
      </c>
      <c r="BS278" t="e">
        <f>AND(#REF!,"AAAAAHvXdUY=")</f>
        <v>#REF!</v>
      </c>
      <c r="BT278" t="e">
        <f>AND(#REF!,"AAAAAHvXdUc=")</f>
        <v>#REF!</v>
      </c>
      <c r="BU278" t="e">
        <f>AND(#REF!,"AAAAAHvXdUg=")</f>
        <v>#REF!</v>
      </c>
      <c r="BV278" t="e">
        <f>AND(#REF!,"AAAAAHvXdUk=")</f>
        <v>#REF!</v>
      </c>
      <c r="BW278" t="e">
        <f>AND(#REF!,"AAAAAHvXdUo=")</f>
        <v>#REF!</v>
      </c>
      <c r="BX278" t="e">
        <f>AND(#REF!,"AAAAAHvXdUs=")</f>
        <v>#REF!</v>
      </c>
      <c r="BY278" t="e">
        <f>IF(#REF!,"AAAAAHvXdUw=",0)</f>
        <v>#REF!</v>
      </c>
      <c r="BZ278" t="e">
        <f>AND(#REF!,"AAAAAHvXdU0=")</f>
        <v>#REF!</v>
      </c>
      <c r="CA278" t="e">
        <f>AND(#REF!,"AAAAAHvXdU4=")</f>
        <v>#REF!</v>
      </c>
      <c r="CB278" t="e">
        <f>AND(#REF!,"AAAAAHvXdU8=")</f>
        <v>#REF!</v>
      </c>
      <c r="CC278" t="e">
        <f>AND(#REF!,"AAAAAHvXdVA=")</f>
        <v>#REF!</v>
      </c>
      <c r="CD278" t="e">
        <f>AND(#REF!,"AAAAAHvXdVE=")</f>
        <v>#REF!</v>
      </c>
      <c r="CE278" t="e">
        <f>AND(#REF!,"AAAAAHvXdVI=")</f>
        <v>#REF!</v>
      </c>
      <c r="CF278" t="e">
        <f>AND(#REF!,"AAAAAHvXdVM=")</f>
        <v>#REF!</v>
      </c>
      <c r="CG278" t="e">
        <f>AND(#REF!,"AAAAAHvXdVQ=")</f>
        <v>#REF!</v>
      </c>
      <c r="CH278" t="e">
        <f>IF(#REF!,"AAAAAHvXdVU=",0)</f>
        <v>#REF!</v>
      </c>
      <c r="CI278" t="e">
        <f>AND(#REF!,"AAAAAHvXdVY=")</f>
        <v>#REF!</v>
      </c>
      <c r="CJ278" t="e">
        <f>AND(#REF!,"AAAAAHvXdVc=")</f>
        <v>#REF!</v>
      </c>
      <c r="CK278" t="e">
        <f>AND(#REF!,"AAAAAHvXdVg=")</f>
        <v>#REF!</v>
      </c>
      <c r="CL278" t="e">
        <f>AND(#REF!,"AAAAAHvXdVk=")</f>
        <v>#REF!</v>
      </c>
      <c r="CM278" t="e">
        <f>AND(#REF!,"AAAAAHvXdVo=")</f>
        <v>#REF!</v>
      </c>
      <c r="CN278" t="e">
        <f>AND(#REF!,"AAAAAHvXdVs=")</f>
        <v>#REF!</v>
      </c>
      <c r="CO278" t="e">
        <f>AND(#REF!,"AAAAAHvXdVw=")</f>
        <v>#REF!</v>
      </c>
      <c r="CP278" t="e">
        <f>AND(#REF!,"AAAAAHvXdV0=")</f>
        <v>#REF!</v>
      </c>
      <c r="CQ278" t="e">
        <f>IF(#REF!,"AAAAAHvXdV4=",0)</f>
        <v>#REF!</v>
      </c>
      <c r="CR278" t="e">
        <f>AND(#REF!,"AAAAAHvXdV8=")</f>
        <v>#REF!</v>
      </c>
      <c r="CS278" t="e">
        <f>AND(#REF!,"AAAAAHvXdWA=")</f>
        <v>#REF!</v>
      </c>
      <c r="CT278" t="e">
        <f>AND(#REF!,"AAAAAHvXdWE=")</f>
        <v>#REF!</v>
      </c>
      <c r="CU278" t="e">
        <f>AND(#REF!,"AAAAAHvXdWI=")</f>
        <v>#REF!</v>
      </c>
      <c r="CV278" t="e">
        <f>AND(#REF!,"AAAAAHvXdWM=")</f>
        <v>#REF!</v>
      </c>
      <c r="CW278" t="e">
        <f>AND(#REF!,"AAAAAHvXdWQ=")</f>
        <v>#REF!</v>
      </c>
      <c r="CX278" t="e">
        <f>AND(#REF!,"AAAAAHvXdWU=")</f>
        <v>#REF!</v>
      </c>
      <c r="CY278" t="e">
        <f>AND(#REF!,"AAAAAHvXdWY=")</f>
        <v>#REF!</v>
      </c>
      <c r="CZ278" t="e">
        <f>IF(#REF!,"AAAAAHvXdWc=",0)</f>
        <v>#REF!</v>
      </c>
      <c r="DA278" t="e">
        <f>AND(#REF!,"AAAAAHvXdWg=")</f>
        <v>#REF!</v>
      </c>
      <c r="DB278" t="e">
        <f>AND(#REF!,"AAAAAHvXdWk=")</f>
        <v>#REF!</v>
      </c>
      <c r="DC278" t="e">
        <f>AND(#REF!,"AAAAAHvXdWo=")</f>
        <v>#REF!</v>
      </c>
      <c r="DD278" t="e">
        <f>AND(#REF!,"AAAAAHvXdWs=")</f>
        <v>#REF!</v>
      </c>
      <c r="DE278" t="e">
        <f>AND(#REF!,"AAAAAHvXdWw=")</f>
        <v>#REF!</v>
      </c>
      <c r="DF278" t="e">
        <f>AND(#REF!,"AAAAAHvXdW0=")</f>
        <v>#REF!</v>
      </c>
      <c r="DG278" t="e">
        <f>AND(#REF!,"AAAAAHvXdW4=")</f>
        <v>#REF!</v>
      </c>
      <c r="DH278" t="e">
        <f>AND(#REF!,"AAAAAHvXdW8=")</f>
        <v>#REF!</v>
      </c>
      <c r="DI278" t="e">
        <f>IF(#REF!,"AAAAAHvXdXA=",0)</f>
        <v>#REF!</v>
      </c>
      <c r="DJ278" t="e">
        <f>AND(#REF!,"AAAAAHvXdXE=")</f>
        <v>#REF!</v>
      </c>
      <c r="DK278" t="e">
        <f>AND(#REF!,"AAAAAHvXdXI=")</f>
        <v>#REF!</v>
      </c>
      <c r="DL278" t="e">
        <f>AND(#REF!,"AAAAAHvXdXM=")</f>
        <v>#REF!</v>
      </c>
      <c r="DM278" t="e">
        <f>AND(#REF!,"AAAAAHvXdXQ=")</f>
        <v>#REF!</v>
      </c>
      <c r="DN278" t="e">
        <f>AND(#REF!,"AAAAAHvXdXU=")</f>
        <v>#REF!</v>
      </c>
      <c r="DO278" t="e">
        <f>AND(#REF!,"AAAAAHvXdXY=")</f>
        <v>#REF!</v>
      </c>
      <c r="DP278" t="e">
        <f>AND(#REF!,"AAAAAHvXdXc=")</f>
        <v>#REF!</v>
      </c>
      <c r="DQ278" t="e">
        <f>AND(#REF!,"AAAAAHvXdXg=")</f>
        <v>#REF!</v>
      </c>
      <c r="DR278" t="e">
        <f>IF(#REF!,"AAAAAHvXdXk=",0)</f>
        <v>#REF!</v>
      </c>
      <c r="DS278" t="e">
        <f>AND(#REF!,"AAAAAHvXdXo=")</f>
        <v>#REF!</v>
      </c>
      <c r="DT278" t="e">
        <f>AND(#REF!,"AAAAAHvXdXs=")</f>
        <v>#REF!</v>
      </c>
      <c r="DU278" t="e">
        <f>AND(#REF!,"AAAAAHvXdXw=")</f>
        <v>#REF!</v>
      </c>
      <c r="DV278" t="e">
        <f>AND(#REF!,"AAAAAHvXdX0=")</f>
        <v>#REF!</v>
      </c>
      <c r="DW278" t="e">
        <f>AND(#REF!,"AAAAAHvXdX4=")</f>
        <v>#REF!</v>
      </c>
      <c r="DX278" t="e">
        <f>AND(#REF!,"AAAAAHvXdX8=")</f>
        <v>#REF!</v>
      </c>
      <c r="DY278" t="e">
        <f>AND(#REF!,"AAAAAHvXdYA=")</f>
        <v>#REF!</v>
      </c>
      <c r="DZ278" t="e">
        <f>AND(#REF!,"AAAAAHvXdYE=")</f>
        <v>#REF!</v>
      </c>
      <c r="EA278" t="e">
        <f>IF(#REF!,"AAAAAHvXdYI=",0)</f>
        <v>#REF!</v>
      </c>
      <c r="EB278" t="e">
        <f>AND(#REF!,"AAAAAHvXdYM=")</f>
        <v>#REF!</v>
      </c>
      <c r="EC278" t="e">
        <f>AND(#REF!,"AAAAAHvXdYQ=")</f>
        <v>#REF!</v>
      </c>
      <c r="ED278" t="e">
        <f>AND(#REF!,"AAAAAHvXdYU=")</f>
        <v>#REF!</v>
      </c>
      <c r="EE278" t="e">
        <f>AND(#REF!,"AAAAAHvXdYY=")</f>
        <v>#REF!</v>
      </c>
      <c r="EF278" t="e">
        <f>AND(#REF!,"AAAAAHvXdYc=")</f>
        <v>#REF!</v>
      </c>
      <c r="EG278" t="e">
        <f>AND(#REF!,"AAAAAHvXdYg=")</f>
        <v>#REF!</v>
      </c>
      <c r="EH278" t="e">
        <f>AND(#REF!,"AAAAAHvXdYk=")</f>
        <v>#REF!</v>
      </c>
      <c r="EI278" t="e">
        <f>AND(#REF!,"AAAAAHvXdYo=")</f>
        <v>#REF!</v>
      </c>
      <c r="EJ278" t="e">
        <f>IF(#REF!,"AAAAAHvXdYs=",0)</f>
        <v>#REF!</v>
      </c>
      <c r="EK278" t="e">
        <f>AND(#REF!,"AAAAAHvXdYw=")</f>
        <v>#REF!</v>
      </c>
      <c r="EL278" t="e">
        <f>AND(#REF!,"AAAAAHvXdY0=")</f>
        <v>#REF!</v>
      </c>
      <c r="EM278" t="e">
        <f>AND(#REF!,"AAAAAHvXdY4=")</f>
        <v>#REF!</v>
      </c>
      <c r="EN278" t="e">
        <f>AND(#REF!,"AAAAAHvXdY8=")</f>
        <v>#REF!</v>
      </c>
      <c r="EO278" t="e">
        <f>AND(#REF!,"AAAAAHvXdZA=")</f>
        <v>#REF!</v>
      </c>
      <c r="EP278" t="e">
        <f>AND(#REF!,"AAAAAHvXdZE=")</f>
        <v>#REF!</v>
      </c>
      <c r="EQ278" t="e">
        <f>AND(#REF!,"AAAAAHvXdZI=")</f>
        <v>#REF!</v>
      </c>
      <c r="ER278" t="e">
        <f>AND(#REF!,"AAAAAHvXdZM=")</f>
        <v>#REF!</v>
      </c>
      <c r="ES278" t="e">
        <f>IF(#REF!,"AAAAAHvXdZQ=",0)</f>
        <v>#REF!</v>
      </c>
      <c r="ET278" t="e">
        <f>AND(#REF!,"AAAAAHvXdZU=")</f>
        <v>#REF!</v>
      </c>
      <c r="EU278" t="e">
        <f>AND(#REF!,"AAAAAHvXdZY=")</f>
        <v>#REF!</v>
      </c>
      <c r="EV278" t="e">
        <f>AND(#REF!,"AAAAAHvXdZc=")</f>
        <v>#REF!</v>
      </c>
      <c r="EW278" t="e">
        <f>AND(#REF!,"AAAAAHvXdZg=")</f>
        <v>#REF!</v>
      </c>
      <c r="EX278" t="e">
        <f>AND(#REF!,"AAAAAHvXdZk=")</f>
        <v>#REF!</v>
      </c>
      <c r="EY278" t="e">
        <f>AND(#REF!,"AAAAAHvXdZo=")</f>
        <v>#REF!</v>
      </c>
      <c r="EZ278" t="e">
        <f>AND(#REF!,"AAAAAHvXdZs=")</f>
        <v>#REF!</v>
      </c>
      <c r="FA278" t="e">
        <f>AND(#REF!,"AAAAAHvXdZw=")</f>
        <v>#REF!</v>
      </c>
      <c r="FB278" t="e">
        <f>IF(#REF!,"AAAAAHvXdZ0=",0)</f>
        <v>#REF!</v>
      </c>
      <c r="FC278" t="e">
        <f>AND(#REF!,"AAAAAHvXdZ4=")</f>
        <v>#REF!</v>
      </c>
      <c r="FD278" t="e">
        <f>AND(#REF!,"AAAAAHvXdZ8=")</f>
        <v>#REF!</v>
      </c>
      <c r="FE278" t="e">
        <f>AND(#REF!,"AAAAAHvXdaA=")</f>
        <v>#REF!</v>
      </c>
      <c r="FF278" t="e">
        <f>AND(#REF!,"AAAAAHvXdaE=")</f>
        <v>#REF!</v>
      </c>
      <c r="FG278" t="e">
        <f>AND(#REF!,"AAAAAHvXdaI=")</f>
        <v>#REF!</v>
      </c>
      <c r="FH278" t="e">
        <f>AND(#REF!,"AAAAAHvXdaM=")</f>
        <v>#REF!</v>
      </c>
      <c r="FI278" t="e">
        <f>AND(#REF!,"AAAAAHvXdaQ=")</f>
        <v>#REF!</v>
      </c>
      <c r="FJ278" t="e">
        <f>AND(#REF!,"AAAAAHvXdaU=")</f>
        <v>#REF!</v>
      </c>
      <c r="FK278" t="e">
        <f>IF(#REF!,"AAAAAHvXdaY=",0)</f>
        <v>#REF!</v>
      </c>
      <c r="FL278" t="e">
        <f>AND(#REF!,"AAAAAHvXdac=")</f>
        <v>#REF!</v>
      </c>
      <c r="FM278" t="e">
        <f>AND(#REF!,"AAAAAHvXdag=")</f>
        <v>#REF!</v>
      </c>
      <c r="FN278" t="e">
        <f>AND(#REF!,"AAAAAHvXdak=")</f>
        <v>#REF!</v>
      </c>
      <c r="FO278" t="e">
        <f>AND(#REF!,"AAAAAHvXdao=")</f>
        <v>#REF!</v>
      </c>
      <c r="FP278" t="e">
        <f>AND(#REF!,"AAAAAHvXdas=")</f>
        <v>#REF!</v>
      </c>
      <c r="FQ278" t="e">
        <f>AND(#REF!,"AAAAAHvXdaw=")</f>
        <v>#REF!</v>
      </c>
      <c r="FR278" t="e">
        <f>AND(#REF!,"AAAAAHvXda0=")</f>
        <v>#REF!</v>
      </c>
      <c r="FS278" t="e">
        <f>AND(#REF!,"AAAAAHvXda4=")</f>
        <v>#REF!</v>
      </c>
      <c r="FT278" t="e">
        <f>IF(#REF!,"AAAAAHvXda8=",0)</f>
        <v>#REF!</v>
      </c>
      <c r="FU278" t="e">
        <f>AND(#REF!,"AAAAAHvXdbA=")</f>
        <v>#REF!</v>
      </c>
      <c r="FV278" t="e">
        <f>AND(#REF!,"AAAAAHvXdbE=")</f>
        <v>#REF!</v>
      </c>
      <c r="FW278" t="e">
        <f>AND(#REF!,"AAAAAHvXdbI=")</f>
        <v>#REF!</v>
      </c>
      <c r="FX278" t="e">
        <f>AND(#REF!,"AAAAAHvXdbM=")</f>
        <v>#REF!</v>
      </c>
      <c r="FY278" t="e">
        <f>AND(#REF!,"AAAAAHvXdbQ=")</f>
        <v>#REF!</v>
      </c>
      <c r="FZ278" t="e">
        <f>AND(#REF!,"AAAAAHvXdbU=")</f>
        <v>#REF!</v>
      </c>
      <c r="GA278" t="e">
        <f>AND(#REF!,"AAAAAHvXdbY=")</f>
        <v>#REF!</v>
      </c>
      <c r="GB278" t="e">
        <f>AND(#REF!,"AAAAAHvXdbc=")</f>
        <v>#REF!</v>
      </c>
      <c r="GC278" t="e">
        <f>IF(#REF!,"AAAAAHvXdbg=",0)</f>
        <v>#REF!</v>
      </c>
      <c r="GD278" t="e">
        <f>AND(#REF!,"AAAAAHvXdbk=")</f>
        <v>#REF!</v>
      </c>
      <c r="GE278" t="e">
        <f>AND(#REF!,"AAAAAHvXdbo=")</f>
        <v>#REF!</v>
      </c>
      <c r="GF278" t="e">
        <f>AND(#REF!,"AAAAAHvXdbs=")</f>
        <v>#REF!</v>
      </c>
      <c r="GG278" t="e">
        <f>AND(#REF!,"AAAAAHvXdbw=")</f>
        <v>#REF!</v>
      </c>
      <c r="GH278" t="e">
        <f>AND(#REF!,"AAAAAHvXdb0=")</f>
        <v>#REF!</v>
      </c>
      <c r="GI278" t="e">
        <f>AND(#REF!,"AAAAAHvXdb4=")</f>
        <v>#REF!</v>
      </c>
      <c r="GJ278" t="e">
        <f>AND(#REF!,"AAAAAHvXdb8=")</f>
        <v>#REF!</v>
      </c>
      <c r="GK278" t="e">
        <f>AND(#REF!,"AAAAAHvXdcA=")</f>
        <v>#REF!</v>
      </c>
      <c r="GL278" t="e">
        <f>IF(#REF!,"AAAAAHvXdcE=",0)</f>
        <v>#REF!</v>
      </c>
      <c r="GM278" t="e">
        <f>AND(#REF!,"AAAAAHvXdcI=")</f>
        <v>#REF!</v>
      </c>
      <c r="GN278" t="e">
        <f>AND(#REF!,"AAAAAHvXdcM=")</f>
        <v>#REF!</v>
      </c>
      <c r="GO278" t="e">
        <f>AND(#REF!,"AAAAAHvXdcQ=")</f>
        <v>#REF!</v>
      </c>
      <c r="GP278" t="e">
        <f>AND(#REF!,"AAAAAHvXdcU=")</f>
        <v>#REF!</v>
      </c>
      <c r="GQ278" t="e">
        <f>AND(#REF!,"AAAAAHvXdcY=")</f>
        <v>#REF!</v>
      </c>
      <c r="GR278" t="e">
        <f>AND(#REF!,"AAAAAHvXdcc=")</f>
        <v>#REF!</v>
      </c>
      <c r="GS278" t="e">
        <f>AND(#REF!,"AAAAAHvXdcg=")</f>
        <v>#REF!</v>
      </c>
      <c r="GT278" t="e">
        <f>AND(#REF!,"AAAAAHvXdck=")</f>
        <v>#REF!</v>
      </c>
      <c r="GU278" t="e">
        <f>IF(#REF!,"AAAAAHvXdco=",0)</f>
        <v>#REF!</v>
      </c>
      <c r="GV278" t="e">
        <f>AND(#REF!,"AAAAAHvXdcs=")</f>
        <v>#REF!</v>
      </c>
      <c r="GW278" t="e">
        <f>AND(#REF!,"AAAAAHvXdcw=")</f>
        <v>#REF!</v>
      </c>
      <c r="GX278" t="e">
        <f>AND(#REF!,"AAAAAHvXdc0=")</f>
        <v>#REF!</v>
      </c>
      <c r="GY278" t="e">
        <f>AND(#REF!,"AAAAAHvXdc4=")</f>
        <v>#REF!</v>
      </c>
      <c r="GZ278" t="e">
        <f>AND(#REF!,"AAAAAHvXdc8=")</f>
        <v>#REF!</v>
      </c>
      <c r="HA278" t="e">
        <f>AND(#REF!,"AAAAAHvXddA=")</f>
        <v>#REF!</v>
      </c>
      <c r="HB278" t="e">
        <f>AND(#REF!,"AAAAAHvXddE=")</f>
        <v>#REF!</v>
      </c>
      <c r="HC278" t="e">
        <f>AND(#REF!,"AAAAAHvXddI=")</f>
        <v>#REF!</v>
      </c>
      <c r="HD278" t="e">
        <f>IF(#REF!,"AAAAAHvXddM=",0)</f>
        <v>#REF!</v>
      </c>
      <c r="HE278" t="e">
        <f>AND(#REF!,"AAAAAHvXddQ=")</f>
        <v>#REF!</v>
      </c>
      <c r="HF278" t="e">
        <f>AND(#REF!,"AAAAAHvXddU=")</f>
        <v>#REF!</v>
      </c>
      <c r="HG278" t="e">
        <f>AND(#REF!,"AAAAAHvXddY=")</f>
        <v>#REF!</v>
      </c>
      <c r="HH278" t="e">
        <f>AND(#REF!,"AAAAAHvXddc=")</f>
        <v>#REF!</v>
      </c>
      <c r="HI278" t="e">
        <f>AND(#REF!,"AAAAAHvXddg=")</f>
        <v>#REF!</v>
      </c>
      <c r="HJ278" t="e">
        <f>AND(#REF!,"AAAAAHvXddk=")</f>
        <v>#REF!</v>
      </c>
      <c r="HK278" t="e">
        <f>AND(#REF!,"AAAAAHvXddo=")</f>
        <v>#REF!</v>
      </c>
      <c r="HL278" t="e">
        <f>AND(#REF!,"AAAAAHvXdds=")</f>
        <v>#REF!</v>
      </c>
      <c r="HM278" t="e">
        <f>IF(#REF!,"AAAAAHvXddw=",0)</f>
        <v>#REF!</v>
      </c>
      <c r="HN278" t="e">
        <f>AND(#REF!,"AAAAAHvXdd0=")</f>
        <v>#REF!</v>
      </c>
      <c r="HO278" t="e">
        <f>AND(#REF!,"AAAAAHvXdd4=")</f>
        <v>#REF!</v>
      </c>
      <c r="HP278" t="e">
        <f>AND(#REF!,"AAAAAHvXdd8=")</f>
        <v>#REF!</v>
      </c>
      <c r="HQ278" t="e">
        <f>AND(#REF!,"AAAAAHvXdeA=")</f>
        <v>#REF!</v>
      </c>
      <c r="HR278" t="e">
        <f>AND(#REF!,"AAAAAHvXdeE=")</f>
        <v>#REF!</v>
      </c>
      <c r="HS278" t="e">
        <f>AND(#REF!,"AAAAAHvXdeI=")</f>
        <v>#REF!</v>
      </c>
      <c r="HT278" t="e">
        <f>AND(#REF!,"AAAAAHvXdeM=")</f>
        <v>#REF!</v>
      </c>
      <c r="HU278" t="e">
        <f>AND(#REF!,"AAAAAHvXdeQ=")</f>
        <v>#REF!</v>
      </c>
      <c r="HV278" t="e">
        <f>IF(#REF!,"AAAAAHvXdeU=",0)</f>
        <v>#REF!</v>
      </c>
      <c r="HW278" t="e">
        <f>AND(#REF!,"AAAAAHvXdeY=")</f>
        <v>#REF!</v>
      </c>
      <c r="HX278" t="e">
        <f>AND(#REF!,"AAAAAHvXdec=")</f>
        <v>#REF!</v>
      </c>
      <c r="HY278" t="e">
        <f>AND(#REF!,"AAAAAHvXdeg=")</f>
        <v>#REF!</v>
      </c>
      <c r="HZ278" t="e">
        <f>AND(#REF!,"AAAAAHvXdek=")</f>
        <v>#REF!</v>
      </c>
      <c r="IA278" t="e">
        <f>AND(#REF!,"AAAAAHvXdeo=")</f>
        <v>#REF!</v>
      </c>
      <c r="IB278" t="e">
        <f>AND(#REF!,"AAAAAHvXdes=")</f>
        <v>#REF!</v>
      </c>
      <c r="IC278" t="e">
        <f>AND(#REF!,"AAAAAHvXdew=")</f>
        <v>#REF!</v>
      </c>
      <c r="ID278" t="e">
        <f>AND(#REF!,"AAAAAHvXde0=")</f>
        <v>#REF!</v>
      </c>
      <c r="IE278" t="e">
        <f>IF(#REF!,"AAAAAHvXde4=",0)</f>
        <v>#REF!</v>
      </c>
      <c r="IF278" t="e">
        <f>AND(#REF!,"AAAAAHvXde8=")</f>
        <v>#REF!</v>
      </c>
      <c r="IG278" t="e">
        <f>AND(#REF!,"AAAAAHvXdfA=")</f>
        <v>#REF!</v>
      </c>
      <c r="IH278" t="e">
        <f>AND(#REF!,"AAAAAHvXdfE=")</f>
        <v>#REF!</v>
      </c>
      <c r="II278" t="e">
        <f>AND(#REF!,"AAAAAHvXdfI=")</f>
        <v>#REF!</v>
      </c>
      <c r="IJ278" t="e">
        <f>AND(#REF!,"AAAAAHvXdfM=")</f>
        <v>#REF!</v>
      </c>
      <c r="IK278" t="e">
        <f>AND(#REF!,"AAAAAHvXdfQ=")</f>
        <v>#REF!</v>
      </c>
      <c r="IL278" t="e">
        <f>AND(#REF!,"AAAAAHvXdfU=")</f>
        <v>#REF!</v>
      </c>
      <c r="IM278" t="e">
        <f>AND(#REF!,"AAAAAHvXdfY=")</f>
        <v>#REF!</v>
      </c>
      <c r="IN278" t="e">
        <f>IF(#REF!,"AAAAAHvXdfc=",0)</f>
        <v>#REF!</v>
      </c>
      <c r="IO278" t="e">
        <f>AND(#REF!,"AAAAAHvXdfg=")</f>
        <v>#REF!</v>
      </c>
      <c r="IP278" t="e">
        <f>AND(#REF!,"AAAAAHvXdfk=")</f>
        <v>#REF!</v>
      </c>
      <c r="IQ278" t="e">
        <f>AND(#REF!,"AAAAAHvXdfo=")</f>
        <v>#REF!</v>
      </c>
      <c r="IR278" t="e">
        <f>AND(#REF!,"AAAAAHvXdfs=")</f>
        <v>#REF!</v>
      </c>
      <c r="IS278" t="e">
        <f>AND(#REF!,"AAAAAHvXdfw=")</f>
        <v>#REF!</v>
      </c>
      <c r="IT278" t="e">
        <f>AND(#REF!,"AAAAAHvXdf0=")</f>
        <v>#REF!</v>
      </c>
      <c r="IU278" t="e">
        <f>AND(#REF!,"AAAAAHvXdf4=")</f>
        <v>#REF!</v>
      </c>
      <c r="IV278" t="e">
        <f>AND(#REF!,"AAAAAHvXdf8=")</f>
        <v>#REF!</v>
      </c>
    </row>
    <row r="279" spans="1:256">
      <c r="A279" t="e">
        <f>IF(#REF!,"AAAAAH/PzgA=",0)</f>
        <v>#REF!</v>
      </c>
      <c r="B279" t="e">
        <f>AND(#REF!,"AAAAAH/PzgE=")</f>
        <v>#REF!</v>
      </c>
      <c r="C279" t="e">
        <f>AND(#REF!,"AAAAAH/PzgI=")</f>
        <v>#REF!</v>
      </c>
      <c r="D279" t="e">
        <f>AND(#REF!,"AAAAAH/PzgM=")</f>
        <v>#REF!</v>
      </c>
      <c r="E279" t="e">
        <f>AND(#REF!,"AAAAAH/PzgQ=")</f>
        <v>#REF!</v>
      </c>
      <c r="F279" t="e">
        <f>AND(#REF!,"AAAAAH/PzgU=")</f>
        <v>#REF!</v>
      </c>
      <c r="G279" t="e">
        <f>AND(#REF!,"AAAAAH/PzgY=")</f>
        <v>#REF!</v>
      </c>
      <c r="H279" t="e">
        <f>AND(#REF!,"AAAAAH/Pzgc=")</f>
        <v>#REF!</v>
      </c>
      <c r="I279" t="e">
        <f>AND(#REF!,"AAAAAH/Pzgg=")</f>
        <v>#REF!</v>
      </c>
      <c r="J279" t="e">
        <f>IF(#REF!,"AAAAAH/Pzgk=",0)</f>
        <v>#REF!</v>
      </c>
      <c r="K279" t="e">
        <f>AND(#REF!,"AAAAAH/Pzgo=")</f>
        <v>#REF!</v>
      </c>
      <c r="L279" t="e">
        <f>AND(#REF!,"AAAAAH/Pzgs=")</f>
        <v>#REF!</v>
      </c>
      <c r="M279" t="e">
        <f>AND(#REF!,"AAAAAH/Pzgw=")</f>
        <v>#REF!</v>
      </c>
      <c r="N279" t="e">
        <f>AND(#REF!,"AAAAAH/Pzg0=")</f>
        <v>#REF!</v>
      </c>
      <c r="O279" t="e">
        <f>AND(#REF!,"AAAAAH/Pzg4=")</f>
        <v>#REF!</v>
      </c>
      <c r="P279" t="e">
        <f>AND(#REF!,"AAAAAH/Pzg8=")</f>
        <v>#REF!</v>
      </c>
      <c r="Q279" t="e">
        <f>AND(#REF!,"AAAAAH/PzhA=")</f>
        <v>#REF!</v>
      </c>
      <c r="R279" t="e">
        <f>AND(#REF!,"AAAAAH/PzhE=")</f>
        <v>#REF!</v>
      </c>
      <c r="S279" t="e">
        <f>IF(#REF!,"AAAAAH/PzhI=",0)</f>
        <v>#REF!</v>
      </c>
      <c r="T279" t="e">
        <f>AND(#REF!,"AAAAAH/PzhM=")</f>
        <v>#REF!</v>
      </c>
      <c r="U279" t="e">
        <f>AND(#REF!,"AAAAAH/PzhQ=")</f>
        <v>#REF!</v>
      </c>
      <c r="V279" t="e">
        <f>AND(#REF!,"AAAAAH/PzhU=")</f>
        <v>#REF!</v>
      </c>
      <c r="W279" t="e">
        <f>AND(#REF!,"AAAAAH/PzhY=")</f>
        <v>#REF!</v>
      </c>
      <c r="X279" t="e">
        <f>AND(#REF!,"AAAAAH/Pzhc=")</f>
        <v>#REF!</v>
      </c>
      <c r="Y279" t="e">
        <f>AND(#REF!,"AAAAAH/Pzhg=")</f>
        <v>#REF!</v>
      </c>
      <c r="Z279" t="e">
        <f>AND(#REF!,"AAAAAH/Pzhk=")</f>
        <v>#REF!</v>
      </c>
      <c r="AA279" t="e">
        <f>AND(#REF!,"AAAAAH/Pzho=")</f>
        <v>#REF!</v>
      </c>
      <c r="AB279" t="e">
        <f>IF(#REF!,"AAAAAH/Pzhs=",0)</f>
        <v>#REF!</v>
      </c>
      <c r="AC279" t="e">
        <f>AND(#REF!,"AAAAAH/Pzhw=")</f>
        <v>#REF!</v>
      </c>
      <c r="AD279" t="e">
        <f>AND(#REF!,"AAAAAH/Pzh0=")</f>
        <v>#REF!</v>
      </c>
      <c r="AE279" t="e">
        <f>AND(#REF!,"AAAAAH/Pzh4=")</f>
        <v>#REF!</v>
      </c>
      <c r="AF279" t="e">
        <f>AND(#REF!,"AAAAAH/Pzh8=")</f>
        <v>#REF!</v>
      </c>
      <c r="AG279" t="e">
        <f>AND(#REF!,"AAAAAH/PziA=")</f>
        <v>#REF!</v>
      </c>
      <c r="AH279" t="e">
        <f>AND(#REF!,"AAAAAH/PziE=")</f>
        <v>#REF!</v>
      </c>
      <c r="AI279" t="e">
        <f>AND(#REF!,"AAAAAH/PziI=")</f>
        <v>#REF!</v>
      </c>
      <c r="AJ279" t="e">
        <f>AND(#REF!,"AAAAAH/PziM=")</f>
        <v>#REF!</v>
      </c>
      <c r="AK279" t="e">
        <f>IF(#REF!,"AAAAAH/PziQ=",0)</f>
        <v>#REF!</v>
      </c>
      <c r="AL279" t="e">
        <f>AND(#REF!,"AAAAAH/PziU=")</f>
        <v>#REF!</v>
      </c>
      <c r="AM279" t="e">
        <f>AND(#REF!,"AAAAAH/PziY=")</f>
        <v>#REF!</v>
      </c>
      <c r="AN279" t="e">
        <f>AND(#REF!,"AAAAAH/Pzic=")</f>
        <v>#REF!</v>
      </c>
      <c r="AO279" t="e">
        <f>AND(#REF!,"AAAAAH/Pzig=")</f>
        <v>#REF!</v>
      </c>
      <c r="AP279" t="e">
        <f>AND(#REF!,"AAAAAH/Pzik=")</f>
        <v>#REF!</v>
      </c>
      <c r="AQ279" t="e">
        <f>AND(#REF!,"AAAAAH/Pzio=")</f>
        <v>#REF!</v>
      </c>
      <c r="AR279" t="e">
        <f>AND(#REF!,"AAAAAH/Pzis=")</f>
        <v>#REF!</v>
      </c>
      <c r="AS279" t="e">
        <f>AND(#REF!,"AAAAAH/Pziw=")</f>
        <v>#REF!</v>
      </c>
      <c r="AT279" t="e">
        <f>IF(#REF!,"AAAAAH/Pzi0=",0)</f>
        <v>#REF!</v>
      </c>
      <c r="AU279" t="e">
        <f>AND(#REF!,"AAAAAH/Pzi4=")</f>
        <v>#REF!</v>
      </c>
      <c r="AV279" t="e">
        <f>AND(#REF!,"AAAAAH/Pzi8=")</f>
        <v>#REF!</v>
      </c>
      <c r="AW279" t="e">
        <f>AND(#REF!,"AAAAAH/PzjA=")</f>
        <v>#REF!</v>
      </c>
      <c r="AX279" t="e">
        <f>AND(#REF!,"AAAAAH/PzjE=")</f>
        <v>#REF!</v>
      </c>
      <c r="AY279" t="e">
        <f>AND(#REF!,"AAAAAH/PzjI=")</f>
        <v>#REF!</v>
      </c>
      <c r="AZ279" t="e">
        <f>AND(#REF!,"AAAAAH/PzjM=")</f>
        <v>#REF!</v>
      </c>
      <c r="BA279" t="e">
        <f>AND(#REF!,"AAAAAH/PzjQ=")</f>
        <v>#REF!</v>
      </c>
      <c r="BB279" t="e">
        <f>AND(#REF!,"AAAAAH/PzjU=")</f>
        <v>#REF!</v>
      </c>
      <c r="BC279" t="e">
        <f>IF(#REF!,"AAAAAH/PzjY=",0)</f>
        <v>#REF!</v>
      </c>
      <c r="BD279" t="e">
        <f>AND(#REF!,"AAAAAH/Pzjc=")</f>
        <v>#REF!</v>
      </c>
      <c r="BE279" t="e">
        <f>AND(#REF!,"AAAAAH/Pzjg=")</f>
        <v>#REF!</v>
      </c>
      <c r="BF279" t="e">
        <f>AND(#REF!,"AAAAAH/Pzjk=")</f>
        <v>#REF!</v>
      </c>
      <c r="BG279" t="e">
        <f>AND(#REF!,"AAAAAH/Pzjo=")</f>
        <v>#REF!</v>
      </c>
      <c r="BH279" t="e">
        <f>AND(#REF!,"AAAAAH/Pzjs=")</f>
        <v>#REF!</v>
      </c>
      <c r="BI279" t="e">
        <f>AND(#REF!,"AAAAAH/Pzjw=")</f>
        <v>#REF!</v>
      </c>
      <c r="BJ279" t="e">
        <f>AND(#REF!,"AAAAAH/Pzj0=")</f>
        <v>#REF!</v>
      </c>
      <c r="BK279" t="e">
        <f>AND(#REF!,"AAAAAH/Pzj4=")</f>
        <v>#REF!</v>
      </c>
      <c r="BL279" t="e">
        <f>IF(#REF!,"AAAAAH/Pzj8=",0)</f>
        <v>#REF!</v>
      </c>
      <c r="BM279" t="e">
        <f>AND(#REF!,"AAAAAH/PzkA=")</f>
        <v>#REF!</v>
      </c>
      <c r="BN279" t="e">
        <f>AND(#REF!,"AAAAAH/PzkE=")</f>
        <v>#REF!</v>
      </c>
      <c r="BO279" t="e">
        <f>AND(#REF!,"AAAAAH/PzkI=")</f>
        <v>#REF!</v>
      </c>
      <c r="BP279" t="e">
        <f>AND(#REF!,"AAAAAH/PzkM=")</f>
        <v>#REF!</v>
      </c>
      <c r="BQ279" t="e">
        <f>AND(#REF!,"AAAAAH/PzkQ=")</f>
        <v>#REF!</v>
      </c>
      <c r="BR279" t="e">
        <f>AND(#REF!,"AAAAAH/PzkU=")</f>
        <v>#REF!</v>
      </c>
      <c r="BS279" t="e">
        <f>AND(#REF!,"AAAAAH/PzkY=")</f>
        <v>#REF!</v>
      </c>
      <c r="BT279" t="e">
        <f>AND(#REF!,"AAAAAH/Pzkc=")</f>
        <v>#REF!</v>
      </c>
      <c r="BU279" t="e">
        <f>IF(#REF!,"AAAAAH/Pzkg=",0)</f>
        <v>#REF!</v>
      </c>
      <c r="BV279" t="e">
        <f>AND(#REF!,"AAAAAH/Pzkk=")</f>
        <v>#REF!</v>
      </c>
      <c r="BW279" t="e">
        <f>AND(#REF!,"AAAAAH/Pzko=")</f>
        <v>#REF!</v>
      </c>
      <c r="BX279" t="e">
        <f>AND(#REF!,"AAAAAH/Pzks=")</f>
        <v>#REF!</v>
      </c>
      <c r="BY279" t="e">
        <f>AND(#REF!,"AAAAAH/Pzkw=")</f>
        <v>#REF!</v>
      </c>
      <c r="BZ279" t="e">
        <f>AND(#REF!,"AAAAAH/Pzk0=")</f>
        <v>#REF!</v>
      </c>
      <c r="CA279" t="e">
        <f>AND(#REF!,"AAAAAH/Pzk4=")</f>
        <v>#REF!</v>
      </c>
      <c r="CB279" t="e">
        <f>AND(#REF!,"AAAAAH/Pzk8=")</f>
        <v>#REF!</v>
      </c>
      <c r="CC279" t="e">
        <f>AND(#REF!,"AAAAAH/PzlA=")</f>
        <v>#REF!</v>
      </c>
      <c r="CD279" t="e">
        <f>IF(#REF!,"AAAAAH/PzlE=",0)</f>
        <v>#REF!</v>
      </c>
      <c r="CE279" t="e">
        <f>AND(#REF!,"AAAAAH/PzlI=")</f>
        <v>#REF!</v>
      </c>
      <c r="CF279" t="e">
        <f>AND(#REF!,"AAAAAH/PzlM=")</f>
        <v>#REF!</v>
      </c>
      <c r="CG279" t="e">
        <f>AND(#REF!,"AAAAAH/PzlQ=")</f>
        <v>#REF!</v>
      </c>
      <c r="CH279" t="e">
        <f>AND(#REF!,"AAAAAH/PzlU=")</f>
        <v>#REF!</v>
      </c>
      <c r="CI279" t="e">
        <f>AND(#REF!,"AAAAAH/PzlY=")</f>
        <v>#REF!</v>
      </c>
      <c r="CJ279" t="e">
        <f>AND(#REF!,"AAAAAH/Pzlc=")</f>
        <v>#REF!</v>
      </c>
      <c r="CK279" t="e">
        <f>AND(#REF!,"AAAAAH/Pzlg=")</f>
        <v>#REF!</v>
      </c>
      <c r="CL279" t="e">
        <f>AND(#REF!,"AAAAAH/Pzlk=")</f>
        <v>#REF!</v>
      </c>
      <c r="CM279" t="e">
        <f>IF(#REF!,"AAAAAH/Pzlo=",0)</f>
        <v>#REF!</v>
      </c>
      <c r="CN279" t="e">
        <f>AND(#REF!,"AAAAAH/Pzls=")</f>
        <v>#REF!</v>
      </c>
      <c r="CO279" t="e">
        <f>AND(#REF!,"AAAAAH/Pzlw=")</f>
        <v>#REF!</v>
      </c>
      <c r="CP279" t="e">
        <f>AND(#REF!,"AAAAAH/Pzl0=")</f>
        <v>#REF!</v>
      </c>
      <c r="CQ279" t="e">
        <f>AND(#REF!,"AAAAAH/Pzl4=")</f>
        <v>#REF!</v>
      </c>
      <c r="CR279" t="e">
        <f>AND(#REF!,"AAAAAH/Pzl8=")</f>
        <v>#REF!</v>
      </c>
      <c r="CS279" t="e">
        <f>AND(#REF!,"AAAAAH/PzmA=")</f>
        <v>#REF!</v>
      </c>
      <c r="CT279" t="e">
        <f>AND(#REF!,"AAAAAH/PzmE=")</f>
        <v>#REF!</v>
      </c>
      <c r="CU279" t="e">
        <f>AND(#REF!,"AAAAAH/PzmI=")</f>
        <v>#REF!</v>
      </c>
      <c r="CV279" t="e">
        <f>IF(#REF!,"AAAAAH/PzmM=",0)</f>
        <v>#REF!</v>
      </c>
      <c r="CW279" t="e">
        <f>AND(#REF!,"AAAAAH/PzmQ=")</f>
        <v>#REF!</v>
      </c>
      <c r="CX279" t="e">
        <f>AND(#REF!,"AAAAAH/PzmU=")</f>
        <v>#REF!</v>
      </c>
      <c r="CY279" t="e">
        <f>AND(#REF!,"AAAAAH/PzmY=")</f>
        <v>#REF!</v>
      </c>
      <c r="CZ279" t="e">
        <f>AND(#REF!,"AAAAAH/Pzmc=")</f>
        <v>#REF!</v>
      </c>
      <c r="DA279" t="e">
        <f>AND(#REF!,"AAAAAH/Pzmg=")</f>
        <v>#REF!</v>
      </c>
      <c r="DB279" t="e">
        <f>AND(#REF!,"AAAAAH/Pzmk=")</f>
        <v>#REF!</v>
      </c>
      <c r="DC279" t="e">
        <f>AND(#REF!,"AAAAAH/Pzmo=")</f>
        <v>#REF!</v>
      </c>
      <c r="DD279" t="e">
        <f>AND(#REF!,"AAAAAH/Pzms=")</f>
        <v>#REF!</v>
      </c>
      <c r="DE279" t="e">
        <f>IF(#REF!,"AAAAAH/Pzmw=",0)</f>
        <v>#REF!</v>
      </c>
      <c r="DF279" t="e">
        <f>AND(#REF!,"AAAAAH/Pzm0=")</f>
        <v>#REF!</v>
      </c>
      <c r="DG279" t="e">
        <f>AND(#REF!,"AAAAAH/Pzm4=")</f>
        <v>#REF!</v>
      </c>
      <c r="DH279" t="e">
        <f>AND(#REF!,"AAAAAH/Pzm8=")</f>
        <v>#REF!</v>
      </c>
      <c r="DI279" t="e">
        <f>AND(#REF!,"AAAAAH/PznA=")</f>
        <v>#REF!</v>
      </c>
      <c r="DJ279" t="e">
        <f>AND(#REF!,"AAAAAH/PznE=")</f>
        <v>#REF!</v>
      </c>
      <c r="DK279" t="e">
        <f>AND(#REF!,"AAAAAH/PznI=")</f>
        <v>#REF!</v>
      </c>
      <c r="DL279" t="e">
        <f>AND(#REF!,"AAAAAH/PznM=")</f>
        <v>#REF!</v>
      </c>
      <c r="DM279" t="e">
        <f>AND(#REF!,"AAAAAH/PznQ=")</f>
        <v>#REF!</v>
      </c>
      <c r="DN279" t="e">
        <f>IF(#REF!,"AAAAAH/PznU=",0)</f>
        <v>#REF!</v>
      </c>
      <c r="DO279" t="e">
        <f>AND(#REF!,"AAAAAH/PznY=")</f>
        <v>#REF!</v>
      </c>
      <c r="DP279" t="e">
        <f>AND(#REF!,"AAAAAH/Pznc=")</f>
        <v>#REF!</v>
      </c>
      <c r="DQ279" t="e">
        <f>AND(#REF!,"AAAAAH/Pzng=")</f>
        <v>#REF!</v>
      </c>
      <c r="DR279" t="e">
        <f>AND(#REF!,"AAAAAH/Pznk=")</f>
        <v>#REF!</v>
      </c>
      <c r="DS279" t="e">
        <f>AND(#REF!,"AAAAAH/Pzno=")</f>
        <v>#REF!</v>
      </c>
      <c r="DT279" t="e">
        <f>AND(#REF!,"AAAAAH/Pzns=")</f>
        <v>#REF!</v>
      </c>
      <c r="DU279" t="e">
        <f>AND(#REF!,"AAAAAH/Pznw=")</f>
        <v>#REF!</v>
      </c>
      <c r="DV279" t="e">
        <f>AND(#REF!,"AAAAAH/Pzn0=")</f>
        <v>#REF!</v>
      </c>
      <c r="DW279" t="e">
        <f>IF(#REF!,"AAAAAH/Pzn4=",0)</f>
        <v>#REF!</v>
      </c>
      <c r="DX279" t="e">
        <f>AND(#REF!,"AAAAAH/Pzn8=")</f>
        <v>#REF!</v>
      </c>
      <c r="DY279" t="e">
        <f>AND(#REF!,"AAAAAH/PzoA=")</f>
        <v>#REF!</v>
      </c>
      <c r="DZ279" t="e">
        <f>AND(#REF!,"AAAAAH/PzoE=")</f>
        <v>#REF!</v>
      </c>
      <c r="EA279" t="e">
        <f>AND(#REF!,"AAAAAH/PzoI=")</f>
        <v>#REF!</v>
      </c>
      <c r="EB279" t="e">
        <f>AND(#REF!,"AAAAAH/PzoM=")</f>
        <v>#REF!</v>
      </c>
      <c r="EC279" t="e">
        <f>AND(#REF!,"AAAAAH/PzoQ=")</f>
        <v>#REF!</v>
      </c>
      <c r="ED279" t="e">
        <f>AND(#REF!,"AAAAAH/PzoU=")</f>
        <v>#REF!</v>
      </c>
      <c r="EE279" t="e">
        <f>AND(#REF!,"AAAAAH/PzoY=")</f>
        <v>#REF!</v>
      </c>
      <c r="EF279" t="e">
        <f>IF(#REF!,"AAAAAH/Pzoc=",0)</f>
        <v>#REF!</v>
      </c>
      <c r="EG279" t="e">
        <f>AND(#REF!,"AAAAAH/Pzog=")</f>
        <v>#REF!</v>
      </c>
      <c r="EH279" t="e">
        <f>AND(#REF!,"AAAAAH/Pzok=")</f>
        <v>#REF!</v>
      </c>
      <c r="EI279" t="e">
        <f>AND(#REF!,"AAAAAH/Pzoo=")</f>
        <v>#REF!</v>
      </c>
      <c r="EJ279" t="e">
        <f>AND(#REF!,"AAAAAH/Pzos=")</f>
        <v>#REF!</v>
      </c>
      <c r="EK279" t="e">
        <f>AND(#REF!,"AAAAAH/Pzow=")</f>
        <v>#REF!</v>
      </c>
      <c r="EL279" t="e">
        <f>AND(#REF!,"AAAAAH/Pzo0=")</f>
        <v>#REF!</v>
      </c>
      <c r="EM279" t="e">
        <f>AND(#REF!,"AAAAAH/Pzo4=")</f>
        <v>#REF!</v>
      </c>
      <c r="EN279" t="e">
        <f>AND(#REF!,"AAAAAH/Pzo8=")</f>
        <v>#REF!</v>
      </c>
      <c r="EO279" t="e">
        <f>IF(#REF!,"AAAAAH/PzpA=",0)</f>
        <v>#REF!</v>
      </c>
      <c r="EP279" t="e">
        <f>AND(#REF!,"AAAAAH/PzpE=")</f>
        <v>#REF!</v>
      </c>
      <c r="EQ279" t="e">
        <f>AND(#REF!,"AAAAAH/PzpI=")</f>
        <v>#REF!</v>
      </c>
      <c r="ER279" t="e">
        <f>AND(#REF!,"AAAAAH/PzpM=")</f>
        <v>#REF!</v>
      </c>
      <c r="ES279" t="e">
        <f>AND(#REF!,"AAAAAH/PzpQ=")</f>
        <v>#REF!</v>
      </c>
      <c r="ET279" t="e">
        <f>AND(#REF!,"AAAAAH/PzpU=")</f>
        <v>#REF!</v>
      </c>
      <c r="EU279" t="e">
        <f>AND(#REF!,"AAAAAH/PzpY=")</f>
        <v>#REF!</v>
      </c>
      <c r="EV279" t="e">
        <f>AND(#REF!,"AAAAAH/Pzpc=")</f>
        <v>#REF!</v>
      </c>
      <c r="EW279" t="e">
        <f>AND(#REF!,"AAAAAH/Pzpg=")</f>
        <v>#REF!</v>
      </c>
      <c r="EX279" t="e">
        <f>IF(#REF!,"AAAAAH/Pzpk=",0)</f>
        <v>#REF!</v>
      </c>
      <c r="EY279" t="e">
        <f>AND(#REF!,"AAAAAH/Pzpo=")</f>
        <v>#REF!</v>
      </c>
      <c r="EZ279" t="e">
        <f>AND(#REF!,"AAAAAH/Pzps=")</f>
        <v>#REF!</v>
      </c>
      <c r="FA279" t="e">
        <f>AND(#REF!,"AAAAAH/Pzpw=")</f>
        <v>#REF!</v>
      </c>
      <c r="FB279" t="e">
        <f>AND(#REF!,"AAAAAH/Pzp0=")</f>
        <v>#REF!</v>
      </c>
      <c r="FC279" t="e">
        <f>AND(#REF!,"AAAAAH/Pzp4=")</f>
        <v>#REF!</v>
      </c>
      <c r="FD279" t="e">
        <f>AND(#REF!,"AAAAAH/Pzp8=")</f>
        <v>#REF!</v>
      </c>
      <c r="FE279" t="e">
        <f>AND(#REF!,"AAAAAH/PzqA=")</f>
        <v>#REF!</v>
      </c>
      <c r="FF279" t="e">
        <f>AND(#REF!,"AAAAAH/PzqE=")</f>
        <v>#REF!</v>
      </c>
      <c r="FG279" t="e">
        <f>IF(#REF!,"AAAAAH/PzqI=",0)</f>
        <v>#REF!</v>
      </c>
      <c r="FH279" t="e">
        <f>AND(#REF!,"AAAAAH/PzqM=")</f>
        <v>#REF!</v>
      </c>
      <c r="FI279" t="e">
        <f>AND(#REF!,"AAAAAH/PzqQ=")</f>
        <v>#REF!</v>
      </c>
      <c r="FJ279" t="e">
        <f>AND(#REF!,"AAAAAH/PzqU=")</f>
        <v>#REF!</v>
      </c>
      <c r="FK279" t="e">
        <f>AND(#REF!,"AAAAAH/PzqY=")</f>
        <v>#REF!</v>
      </c>
      <c r="FL279" t="e">
        <f>AND(#REF!,"AAAAAH/Pzqc=")</f>
        <v>#REF!</v>
      </c>
      <c r="FM279" t="e">
        <f>AND(#REF!,"AAAAAH/Pzqg=")</f>
        <v>#REF!</v>
      </c>
      <c r="FN279" t="e">
        <f>AND(#REF!,"AAAAAH/Pzqk=")</f>
        <v>#REF!</v>
      </c>
      <c r="FO279" t="e">
        <f>AND(#REF!,"AAAAAH/Pzqo=")</f>
        <v>#REF!</v>
      </c>
      <c r="FP279" t="e">
        <f>IF(#REF!,"AAAAAH/Pzqs=",0)</f>
        <v>#REF!</v>
      </c>
      <c r="FQ279" t="e">
        <f>AND(#REF!,"AAAAAH/Pzqw=")</f>
        <v>#REF!</v>
      </c>
      <c r="FR279" t="e">
        <f>AND(#REF!,"AAAAAH/Pzq0=")</f>
        <v>#REF!</v>
      </c>
      <c r="FS279" t="e">
        <f>AND(#REF!,"AAAAAH/Pzq4=")</f>
        <v>#REF!</v>
      </c>
      <c r="FT279" t="e">
        <f>AND(#REF!,"AAAAAH/Pzq8=")</f>
        <v>#REF!</v>
      </c>
      <c r="FU279" t="e">
        <f>AND(#REF!,"AAAAAH/PzrA=")</f>
        <v>#REF!</v>
      </c>
      <c r="FV279" t="e">
        <f>AND(#REF!,"AAAAAH/PzrE=")</f>
        <v>#REF!</v>
      </c>
      <c r="FW279" t="e">
        <f>AND(#REF!,"AAAAAH/PzrI=")</f>
        <v>#REF!</v>
      </c>
      <c r="FX279" t="e">
        <f>AND(#REF!,"AAAAAH/PzrM=")</f>
        <v>#REF!</v>
      </c>
      <c r="FY279" t="e">
        <f>IF(#REF!,"AAAAAH/PzrQ=",0)</f>
        <v>#REF!</v>
      </c>
      <c r="FZ279" t="e">
        <f>AND(#REF!,"AAAAAH/PzrU=")</f>
        <v>#REF!</v>
      </c>
      <c r="GA279" t="e">
        <f>AND(#REF!,"AAAAAH/PzrY=")</f>
        <v>#REF!</v>
      </c>
      <c r="GB279" t="e">
        <f>AND(#REF!,"AAAAAH/Pzrc=")</f>
        <v>#REF!</v>
      </c>
      <c r="GC279" t="e">
        <f>AND(#REF!,"AAAAAH/Pzrg=")</f>
        <v>#REF!</v>
      </c>
      <c r="GD279" t="e">
        <f>AND(#REF!,"AAAAAH/Pzrk=")</f>
        <v>#REF!</v>
      </c>
      <c r="GE279" t="e">
        <f>AND(#REF!,"AAAAAH/Pzro=")</f>
        <v>#REF!</v>
      </c>
      <c r="GF279" t="e">
        <f>AND(#REF!,"AAAAAH/Pzrs=")</f>
        <v>#REF!</v>
      </c>
      <c r="GG279" t="e">
        <f>AND(#REF!,"AAAAAH/Pzrw=")</f>
        <v>#REF!</v>
      </c>
      <c r="GH279" t="e">
        <f>IF(#REF!,"AAAAAH/Pzr0=",0)</f>
        <v>#REF!</v>
      </c>
      <c r="GI279" t="e">
        <f>AND(#REF!,"AAAAAH/Pzr4=")</f>
        <v>#REF!</v>
      </c>
      <c r="GJ279" t="e">
        <f>AND(#REF!,"AAAAAH/Pzr8=")</f>
        <v>#REF!</v>
      </c>
      <c r="GK279" t="e">
        <f>AND(#REF!,"AAAAAH/PzsA=")</f>
        <v>#REF!</v>
      </c>
      <c r="GL279" t="e">
        <f>AND(#REF!,"AAAAAH/PzsE=")</f>
        <v>#REF!</v>
      </c>
      <c r="GM279" t="e">
        <f>AND(#REF!,"AAAAAH/PzsI=")</f>
        <v>#REF!</v>
      </c>
      <c r="GN279" t="e">
        <f>AND(#REF!,"AAAAAH/PzsM=")</f>
        <v>#REF!</v>
      </c>
      <c r="GO279" t="e">
        <f>AND(#REF!,"AAAAAH/PzsQ=")</f>
        <v>#REF!</v>
      </c>
      <c r="GP279" t="e">
        <f>AND(#REF!,"AAAAAH/PzsU=")</f>
        <v>#REF!</v>
      </c>
      <c r="GQ279" t="e">
        <f>IF(#REF!,"AAAAAH/PzsY=",0)</f>
        <v>#REF!</v>
      </c>
      <c r="GR279" t="e">
        <f>AND(#REF!,"AAAAAH/Pzsc=")</f>
        <v>#REF!</v>
      </c>
      <c r="GS279" t="e">
        <f>AND(#REF!,"AAAAAH/Pzsg=")</f>
        <v>#REF!</v>
      </c>
      <c r="GT279" t="e">
        <f>AND(#REF!,"AAAAAH/Pzsk=")</f>
        <v>#REF!</v>
      </c>
      <c r="GU279" t="e">
        <f>AND(#REF!,"AAAAAH/Pzso=")</f>
        <v>#REF!</v>
      </c>
      <c r="GV279" t="e">
        <f>AND(#REF!,"AAAAAH/Pzss=")</f>
        <v>#REF!</v>
      </c>
      <c r="GW279" t="e">
        <f>AND(#REF!,"AAAAAH/Pzsw=")</f>
        <v>#REF!</v>
      </c>
      <c r="GX279" t="e">
        <f>AND(#REF!,"AAAAAH/Pzs0=")</f>
        <v>#REF!</v>
      </c>
      <c r="GY279" t="e">
        <f>AND(#REF!,"AAAAAH/Pzs4=")</f>
        <v>#REF!</v>
      </c>
      <c r="GZ279" t="e">
        <f>IF(#REF!,"AAAAAH/Pzs8=",0)</f>
        <v>#REF!</v>
      </c>
      <c r="HA279" t="e">
        <f>AND(#REF!,"AAAAAH/PztA=")</f>
        <v>#REF!</v>
      </c>
      <c r="HB279" t="e">
        <f>AND(#REF!,"AAAAAH/PztE=")</f>
        <v>#REF!</v>
      </c>
      <c r="HC279" t="e">
        <f>AND(#REF!,"AAAAAH/PztI=")</f>
        <v>#REF!</v>
      </c>
      <c r="HD279" t="e">
        <f>AND(#REF!,"AAAAAH/PztM=")</f>
        <v>#REF!</v>
      </c>
      <c r="HE279" t="e">
        <f>AND(#REF!,"AAAAAH/PztQ=")</f>
        <v>#REF!</v>
      </c>
      <c r="HF279" t="e">
        <f>AND(#REF!,"AAAAAH/PztU=")</f>
        <v>#REF!</v>
      </c>
      <c r="HG279" t="e">
        <f>AND(#REF!,"AAAAAH/PztY=")</f>
        <v>#REF!</v>
      </c>
      <c r="HH279" t="e">
        <f>AND(#REF!,"AAAAAH/Pztc=")</f>
        <v>#REF!</v>
      </c>
      <c r="HI279" t="e">
        <f>IF(#REF!,"AAAAAH/Pztg=",0)</f>
        <v>#REF!</v>
      </c>
      <c r="HJ279" t="e">
        <f>AND(#REF!,"AAAAAH/Pztk=")</f>
        <v>#REF!</v>
      </c>
      <c r="HK279" t="e">
        <f>AND(#REF!,"AAAAAH/Pzto=")</f>
        <v>#REF!</v>
      </c>
      <c r="HL279" t="e">
        <f>AND(#REF!,"AAAAAH/Pzts=")</f>
        <v>#REF!</v>
      </c>
      <c r="HM279" t="e">
        <f>AND(#REF!,"AAAAAH/Pztw=")</f>
        <v>#REF!</v>
      </c>
      <c r="HN279" t="e">
        <f>AND(#REF!,"AAAAAH/Pzt0=")</f>
        <v>#REF!</v>
      </c>
      <c r="HO279" t="e">
        <f>AND(#REF!,"AAAAAH/Pzt4=")</f>
        <v>#REF!</v>
      </c>
      <c r="HP279" t="e">
        <f>AND(#REF!,"AAAAAH/Pzt8=")</f>
        <v>#REF!</v>
      </c>
      <c r="HQ279" t="e">
        <f>AND(#REF!,"AAAAAH/PzuA=")</f>
        <v>#REF!</v>
      </c>
      <c r="HR279" t="e">
        <f>IF(#REF!,"AAAAAH/PzuE=",0)</f>
        <v>#REF!</v>
      </c>
      <c r="HS279" t="e">
        <f>AND(#REF!,"AAAAAH/PzuI=")</f>
        <v>#REF!</v>
      </c>
      <c r="HT279" t="e">
        <f>AND(#REF!,"AAAAAH/PzuM=")</f>
        <v>#REF!</v>
      </c>
      <c r="HU279" t="e">
        <f>AND(#REF!,"AAAAAH/PzuQ=")</f>
        <v>#REF!</v>
      </c>
      <c r="HV279" t="e">
        <f>AND(#REF!,"AAAAAH/PzuU=")</f>
        <v>#REF!</v>
      </c>
      <c r="HW279" t="e">
        <f>AND(#REF!,"AAAAAH/PzuY=")</f>
        <v>#REF!</v>
      </c>
      <c r="HX279" t="e">
        <f>AND(#REF!,"AAAAAH/Pzuc=")</f>
        <v>#REF!</v>
      </c>
      <c r="HY279" t="e">
        <f>AND(#REF!,"AAAAAH/Pzug=")</f>
        <v>#REF!</v>
      </c>
      <c r="HZ279" t="e">
        <f>AND(#REF!,"AAAAAH/Pzuk=")</f>
        <v>#REF!</v>
      </c>
      <c r="IA279" t="e">
        <f>IF(#REF!,"AAAAAH/Pzuo=",0)</f>
        <v>#REF!</v>
      </c>
      <c r="IB279" t="e">
        <f>AND(#REF!,"AAAAAH/Pzus=")</f>
        <v>#REF!</v>
      </c>
      <c r="IC279" t="e">
        <f>AND(#REF!,"AAAAAH/Pzuw=")</f>
        <v>#REF!</v>
      </c>
      <c r="ID279" t="e">
        <f>AND(#REF!,"AAAAAH/Pzu0=")</f>
        <v>#REF!</v>
      </c>
      <c r="IE279" t="e">
        <f>AND(#REF!,"AAAAAH/Pzu4=")</f>
        <v>#REF!</v>
      </c>
      <c r="IF279" t="e">
        <f>AND(#REF!,"AAAAAH/Pzu8=")</f>
        <v>#REF!</v>
      </c>
      <c r="IG279" t="e">
        <f>AND(#REF!,"AAAAAH/PzvA=")</f>
        <v>#REF!</v>
      </c>
      <c r="IH279" t="e">
        <f>AND(#REF!,"AAAAAH/PzvE=")</f>
        <v>#REF!</v>
      </c>
      <c r="II279" t="e">
        <f>AND(#REF!,"AAAAAH/PzvI=")</f>
        <v>#REF!</v>
      </c>
      <c r="IJ279" t="e">
        <f>IF(#REF!,"AAAAAH/PzvM=",0)</f>
        <v>#REF!</v>
      </c>
      <c r="IK279" t="e">
        <f>AND(#REF!,"AAAAAH/PzvQ=")</f>
        <v>#REF!</v>
      </c>
      <c r="IL279" t="e">
        <f>AND(#REF!,"AAAAAH/PzvU=")</f>
        <v>#REF!</v>
      </c>
      <c r="IM279" t="e">
        <f>AND(#REF!,"AAAAAH/PzvY=")</f>
        <v>#REF!</v>
      </c>
      <c r="IN279" t="e">
        <f>AND(#REF!,"AAAAAH/Pzvc=")</f>
        <v>#REF!</v>
      </c>
      <c r="IO279" t="e">
        <f>AND(#REF!,"AAAAAH/Pzvg=")</f>
        <v>#REF!</v>
      </c>
      <c r="IP279" t="e">
        <f>AND(#REF!,"AAAAAH/Pzvk=")</f>
        <v>#REF!</v>
      </c>
      <c r="IQ279" t="e">
        <f>AND(#REF!,"AAAAAH/Pzvo=")</f>
        <v>#REF!</v>
      </c>
      <c r="IR279" t="e">
        <f>AND(#REF!,"AAAAAH/Pzvs=")</f>
        <v>#REF!</v>
      </c>
      <c r="IS279" t="e">
        <f>IF(#REF!,"AAAAAH/Pzvw=",0)</f>
        <v>#REF!</v>
      </c>
      <c r="IT279" t="e">
        <f>AND(#REF!,"AAAAAH/Pzv0=")</f>
        <v>#REF!</v>
      </c>
      <c r="IU279" t="e">
        <f>AND(#REF!,"AAAAAH/Pzv4=")</f>
        <v>#REF!</v>
      </c>
      <c r="IV279" t="e">
        <f>AND(#REF!,"AAAAAH/Pzv8=")</f>
        <v>#REF!</v>
      </c>
    </row>
    <row r="280" spans="1:256">
      <c r="A280" t="e">
        <f>AND(#REF!,"AAAAAD+f7QA=")</f>
        <v>#REF!</v>
      </c>
      <c r="B280" t="e">
        <f>AND(#REF!,"AAAAAD+f7QE=")</f>
        <v>#REF!</v>
      </c>
      <c r="C280" t="e">
        <f>AND(#REF!,"AAAAAD+f7QI=")</f>
        <v>#REF!</v>
      </c>
      <c r="D280" t="e">
        <f>AND(#REF!,"AAAAAD+f7QM=")</f>
        <v>#REF!</v>
      </c>
      <c r="E280" t="e">
        <f>AND(#REF!,"AAAAAD+f7QQ=")</f>
        <v>#REF!</v>
      </c>
      <c r="F280" t="e">
        <f>IF(#REF!,"AAAAAD+f7QU=",0)</f>
        <v>#REF!</v>
      </c>
      <c r="G280" t="e">
        <f>AND(#REF!,"AAAAAD+f7QY=")</f>
        <v>#REF!</v>
      </c>
      <c r="H280" t="e">
        <f>AND(#REF!,"AAAAAD+f7Qc=")</f>
        <v>#REF!</v>
      </c>
      <c r="I280" t="e">
        <f>AND(#REF!,"AAAAAD+f7Qg=")</f>
        <v>#REF!</v>
      </c>
      <c r="J280" t="e">
        <f>AND(#REF!,"AAAAAD+f7Qk=")</f>
        <v>#REF!</v>
      </c>
      <c r="K280" t="e">
        <f>AND(#REF!,"AAAAAD+f7Qo=")</f>
        <v>#REF!</v>
      </c>
      <c r="L280" t="e">
        <f>AND(#REF!,"AAAAAD+f7Qs=")</f>
        <v>#REF!</v>
      </c>
      <c r="M280" t="e">
        <f>AND(#REF!,"AAAAAD+f7Qw=")</f>
        <v>#REF!</v>
      </c>
      <c r="N280" t="e">
        <f>AND(#REF!,"AAAAAD+f7Q0=")</f>
        <v>#REF!</v>
      </c>
      <c r="O280" t="e">
        <f>IF(#REF!,"AAAAAD+f7Q4=",0)</f>
        <v>#REF!</v>
      </c>
      <c r="P280" t="e">
        <f>AND(#REF!,"AAAAAD+f7Q8=")</f>
        <v>#REF!</v>
      </c>
      <c r="Q280" t="e">
        <f>AND(#REF!,"AAAAAD+f7RA=")</f>
        <v>#REF!</v>
      </c>
      <c r="R280" t="e">
        <f>AND(#REF!,"AAAAAD+f7RE=")</f>
        <v>#REF!</v>
      </c>
      <c r="S280" t="e">
        <f>AND(#REF!,"AAAAAD+f7RI=")</f>
        <v>#REF!</v>
      </c>
      <c r="T280" t="e">
        <f>AND(#REF!,"AAAAAD+f7RM=")</f>
        <v>#REF!</v>
      </c>
      <c r="U280" t="e">
        <f>AND(#REF!,"AAAAAD+f7RQ=")</f>
        <v>#REF!</v>
      </c>
      <c r="V280" t="e">
        <f>AND(#REF!,"AAAAAD+f7RU=")</f>
        <v>#REF!</v>
      </c>
      <c r="W280" t="e">
        <f>AND(#REF!,"AAAAAD+f7RY=")</f>
        <v>#REF!</v>
      </c>
      <c r="X280" t="e">
        <f>IF(#REF!,"AAAAAD+f7Rc=",0)</f>
        <v>#REF!</v>
      </c>
      <c r="Y280" t="e">
        <f>AND(#REF!,"AAAAAD+f7Rg=")</f>
        <v>#REF!</v>
      </c>
      <c r="Z280" t="e">
        <f>AND(#REF!,"AAAAAD+f7Rk=")</f>
        <v>#REF!</v>
      </c>
      <c r="AA280" t="e">
        <f>AND(#REF!,"AAAAAD+f7Ro=")</f>
        <v>#REF!</v>
      </c>
      <c r="AB280" t="e">
        <f>AND(#REF!,"AAAAAD+f7Rs=")</f>
        <v>#REF!</v>
      </c>
      <c r="AC280" t="e">
        <f>AND(#REF!,"AAAAAD+f7Rw=")</f>
        <v>#REF!</v>
      </c>
      <c r="AD280" t="e">
        <f>AND(#REF!,"AAAAAD+f7R0=")</f>
        <v>#REF!</v>
      </c>
      <c r="AE280" t="e">
        <f>AND(#REF!,"AAAAAD+f7R4=")</f>
        <v>#REF!</v>
      </c>
      <c r="AF280" t="e">
        <f>AND(#REF!,"AAAAAD+f7R8=")</f>
        <v>#REF!</v>
      </c>
      <c r="AG280" t="e">
        <f>IF(#REF!,"AAAAAD+f7SA=",0)</f>
        <v>#REF!</v>
      </c>
      <c r="AH280" t="e">
        <f>AND(#REF!,"AAAAAD+f7SE=")</f>
        <v>#REF!</v>
      </c>
      <c r="AI280" t="e">
        <f>AND(#REF!,"AAAAAD+f7SI=")</f>
        <v>#REF!</v>
      </c>
      <c r="AJ280" t="e">
        <f>AND(#REF!,"AAAAAD+f7SM=")</f>
        <v>#REF!</v>
      </c>
      <c r="AK280" t="e">
        <f>AND(#REF!,"AAAAAD+f7SQ=")</f>
        <v>#REF!</v>
      </c>
      <c r="AL280" t="e">
        <f>AND(#REF!,"AAAAAD+f7SU=")</f>
        <v>#REF!</v>
      </c>
      <c r="AM280" t="e">
        <f>AND(#REF!,"AAAAAD+f7SY=")</f>
        <v>#REF!</v>
      </c>
      <c r="AN280" t="e">
        <f>AND(#REF!,"AAAAAD+f7Sc=")</f>
        <v>#REF!</v>
      </c>
      <c r="AO280" t="e">
        <f>AND(#REF!,"AAAAAD+f7Sg=")</f>
        <v>#REF!</v>
      </c>
      <c r="AP280" t="e">
        <f>IF(#REF!,"AAAAAD+f7Sk=",0)</f>
        <v>#REF!</v>
      </c>
      <c r="AQ280" t="e">
        <f>AND(#REF!,"AAAAAD+f7So=")</f>
        <v>#REF!</v>
      </c>
      <c r="AR280" t="e">
        <f>AND(#REF!,"AAAAAD+f7Ss=")</f>
        <v>#REF!</v>
      </c>
      <c r="AS280" t="e">
        <f>AND(#REF!,"AAAAAD+f7Sw=")</f>
        <v>#REF!</v>
      </c>
      <c r="AT280" t="e">
        <f>AND(#REF!,"AAAAAD+f7S0=")</f>
        <v>#REF!</v>
      </c>
      <c r="AU280" t="e">
        <f>AND(#REF!,"AAAAAD+f7S4=")</f>
        <v>#REF!</v>
      </c>
      <c r="AV280" t="e">
        <f>AND(#REF!,"AAAAAD+f7S8=")</f>
        <v>#REF!</v>
      </c>
      <c r="AW280" t="e">
        <f>AND(#REF!,"AAAAAD+f7TA=")</f>
        <v>#REF!</v>
      </c>
      <c r="AX280" t="e">
        <f>AND(#REF!,"AAAAAD+f7TE=")</f>
        <v>#REF!</v>
      </c>
      <c r="AY280" t="e">
        <f>IF(#REF!,"AAAAAD+f7TI=",0)</f>
        <v>#REF!</v>
      </c>
      <c r="AZ280" t="e">
        <f>AND(#REF!,"AAAAAD+f7TM=")</f>
        <v>#REF!</v>
      </c>
      <c r="BA280" t="e">
        <f>AND(#REF!,"AAAAAD+f7TQ=")</f>
        <v>#REF!</v>
      </c>
      <c r="BB280" t="e">
        <f>AND(#REF!,"AAAAAD+f7TU=")</f>
        <v>#REF!</v>
      </c>
      <c r="BC280" t="e">
        <f>AND(#REF!,"AAAAAD+f7TY=")</f>
        <v>#REF!</v>
      </c>
      <c r="BD280" t="e">
        <f>AND(#REF!,"AAAAAD+f7Tc=")</f>
        <v>#REF!</v>
      </c>
      <c r="BE280" t="e">
        <f>AND(#REF!,"AAAAAD+f7Tg=")</f>
        <v>#REF!</v>
      </c>
      <c r="BF280" t="e">
        <f>AND(#REF!,"AAAAAD+f7Tk=")</f>
        <v>#REF!</v>
      </c>
      <c r="BG280" t="e">
        <f>AND(#REF!,"AAAAAD+f7To=")</f>
        <v>#REF!</v>
      </c>
      <c r="BH280" t="e">
        <f>IF(#REF!,"AAAAAD+f7Ts=",0)</f>
        <v>#REF!</v>
      </c>
      <c r="BI280" t="e">
        <f>AND(#REF!,"AAAAAD+f7Tw=")</f>
        <v>#REF!</v>
      </c>
      <c r="BJ280" t="e">
        <f>AND(#REF!,"AAAAAD+f7T0=")</f>
        <v>#REF!</v>
      </c>
      <c r="BK280" t="e">
        <f>AND(#REF!,"AAAAAD+f7T4=")</f>
        <v>#REF!</v>
      </c>
      <c r="BL280" t="e">
        <f>AND(#REF!,"AAAAAD+f7T8=")</f>
        <v>#REF!</v>
      </c>
      <c r="BM280" t="e">
        <f>AND(#REF!,"AAAAAD+f7UA=")</f>
        <v>#REF!</v>
      </c>
      <c r="BN280" t="e">
        <f>AND(#REF!,"AAAAAD+f7UE=")</f>
        <v>#REF!</v>
      </c>
      <c r="BO280" t="e">
        <f>AND(#REF!,"AAAAAD+f7UI=")</f>
        <v>#REF!</v>
      </c>
      <c r="BP280" t="e">
        <f>AND(#REF!,"AAAAAD+f7UM=")</f>
        <v>#REF!</v>
      </c>
      <c r="BQ280" t="e">
        <f>IF(#REF!,"AAAAAD+f7UQ=",0)</f>
        <v>#REF!</v>
      </c>
      <c r="BR280" t="e">
        <f>AND(#REF!,"AAAAAD+f7UU=")</f>
        <v>#REF!</v>
      </c>
      <c r="BS280" t="e">
        <f>AND(#REF!,"AAAAAD+f7UY=")</f>
        <v>#REF!</v>
      </c>
      <c r="BT280" t="e">
        <f>AND(#REF!,"AAAAAD+f7Uc=")</f>
        <v>#REF!</v>
      </c>
      <c r="BU280" t="e">
        <f>AND(#REF!,"AAAAAD+f7Ug=")</f>
        <v>#REF!</v>
      </c>
      <c r="BV280" t="e">
        <f>AND(#REF!,"AAAAAD+f7Uk=")</f>
        <v>#REF!</v>
      </c>
      <c r="BW280" t="e">
        <f>AND(#REF!,"AAAAAD+f7Uo=")</f>
        <v>#REF!</v>
      </c>
      <c r="BX280" t="e">
        <f>AND(#REF!,"AAAAAD+f7Us=")</f>
        <v>#REF!</v>
      </c>
      <c r="BY280" t="e">
        <f>AND(#REF!,"AAAAAD+f7Uw=")</f>
        <v>#REF!</v>
      </c>
      <c r="BZ280" t="e">
        <f>IF(#REF!,"AAAAAD+f7U0=",0)</f>
        <v>#REF!</v>
      </c>
      <c r="CA280" t="e">
        <f>AND(#REF!,"AAAAAD+f7U4=")</f>
        <v>#REF!</v>
      </c>
      <c r="CB280" t="e">
        <f>AND(#REF!,"AAAAAD+f7U8=")</f>
        <v>#REF!</v>
      </c>
      <c r="CC280" t="e">
        <f>AND(#REF!,"AAAAAD+f7VA=")</f>
        <v>#REF!</v>
      </c>
      <c r="CD280" t="e">
        <f>AND(#REF!,"AAAAAD+f7VE=")</f>
        <v>#REF!</v>
      </c>
      <c r="CE280" t="e">
        <f>AND(#REF!,"AAAAAD+f7VI=")</f>
        <v>#REF!</v>
      </c>
      <c r="CF280" t="e">
        <f>AND(#REF!,"AAAAAD+f7VM=")</f>
        <v>#REF!</v>
      </c>
      <c r="CG280" t="e">
        <f>AND(#REF!,"AAAAAD+f7VQ=")</f>
        <v>#REF!</v>
      </c>
      <c r="CH280" t="e">
        <f>AND(#REF!,"AAAAAD+f7VU=")</f>
        <v>#REF!</v>
      </c>
      <c r="CI280" t="e">
        <f>IF(#REF!,"AAAAAD+f7VY=",0)</f>
        <v>#REF!</v>
      </c>
      <c r="CJ280" t="e">
        <f>AND(#REF!,"AAAAAD+f7Vc=")</f>
        <v>#REF!</v>
      </c>
      <c r="CK280" t="e">
        <f>AND(#REF!,"AAAAAD+f7Vg=")</f>
        <v>#REF!</v>
      </c>
      <c r="CL280" t="e">
        <f>AND(#REF!,"AAAAAD+f7Vk=")</f>
        <v>#REF!</v>
      </c>
      <c r="CM280" t="e">
        <f>AND(#REF!,"AAAAAD+f7Vo=")</f>
        <v>#REF!</v>
      </c>
      <c r="CN280" t="e">
        <f>AND(#REF!,"AAAAAD+f7Vs=")</f>
        <v>#REF!</v>
      </c>
      <c r="CO280" t="e">
        <f>AND(#REF!,"AAAAAD+f7Vw=")</f>
        <v>#REF!</v>
      </c>
      <c r="CP280" t="e">
        <f>AND(#REF!,"AAAAAD+f7V0=")</f>
        <v>#REF!</v>
      </c>
      <c r="CQ280" t="e">
        <f>AND(#REF!,"AAAAAD+f7V4=")</f>
        <v>#REF!</v>
      </c>
      <c r="CR280" t="e">
        <f>IF(#REF!,"AAAAAD+f7V8=",0)</f>
        <v>#REF!</v>
      </c>
      <c r="CS280" t="e">
        <f>AND(#REF!,"AAAAAD+f7WA=")</f>
        <v>#REF!</v>
      </c>
      <c r="CT280" t="e">
        <f>AND(#REF!,"AAAAAD+f7WE=")</f>
        <v>#REF!</v>
      </c>
      <c r="CU280" t="e">
        <f>AND(#REF!,"AAAAAD+f7WI=")</f>
        <v>#REF!</v>
      </c>
      <c r="CV280" t="e">
        <f>AND(#REF!,"AAAAAD+f7WM=")</f>
        <v>#REF!</v>
      </c>
      <c r="CW280" t="e">
        <f>AND(#REF!,"AAAAAD+f7WQ=")</f>
        <v>#REF!</v>
      </c>
      <c r="CX280" t="e">
        <f>AND(#REF!,"AAAAAD+f7WU=")</f>
        <v>#REF!</v>
      </c>
      <c r="CY280" t="e">
        <f>AND(#REF!,"AAAAAD+f7WY=")</f>
        <v>#REF!</v>
      </c>
      <c r="CZ280" t="e">
        <f>AND(#REF!,"AAAAAD+f7Wc=")</f>
        <v>#REF!</v>
      </c>
      <c r="DA280" t="e">
        <f>IF(#REF!,"AAAAAD+f7Wg=",0)</f>
        <v>#REF!</v>
      </c>
      <c r="DB280" t="e">
        <f>IF(#REF!,"AAAAAD+f7Wk=",0)</f>
        <v>#REF!</v>
      </c>
      <c r="DC280" t="e">
        <f>IF(#REF!,"AAAAAD+f7Wo=",0)</f>
        <v>#REF!</v>
      </c>
      <c r="DD280" t="e">
        <f>IF(#REF!,"AAAAAD+f7Ws=",0)</f>
        <v>#REF!</v>
      </c>
      <c r="DE280" t="e">
        <f>IF(#REF!,"AAAAAD+f7Ww=",0)</f>
        <v>#REF!</v>
      </c>
      <c r="DF280" t="e">
        <f>IF(#REF!,"AAAAAD+f7W0=",0)</f>
        <v>#REF!</v>
      </c>
      <c r="DG280" t="e">
        <f>IF(#REF!,"AAAAAD+f7W4=",0)</f>
        <v>#REF!</v>
      </c>
      <c r="DH280" t="e">
        <f>IF(#REF!,"AAAAAD+f7W8=",0)</f>
        <v>#REF!</v>
      </c>
      <c r="DI280" t="e">
        <f>IF(#REF!,"AAAAAD+f7XA=",0)</f>
        <v>#REF!</v>
      </c>
      <c r="DJ280" t="e">
        <f>IF(#REF!,"AAAAAD+f7XE=",0)</f>
        <v>#REF!</v>
      </c>
      <c r="DK280" t="e">
        <f>IF(#REF!,"AAAAAD+f7XI=",0)</f>
        <v>#REF!</v>
      </c>
      <c r="DL280" t="e">
        <f>IF(#REF!,"AAAAAD+f7XM=",0)</f>
        <v>#REF!</v>
      </c>
      <c r="DM280" t="e">
        <f>IF(#REF!,"AAAAAD+f7XQ=",0)</f>
        <v>#REF!</v>
      </c>
      <c r="DN280" t="e">
        <f>IF(#REF!,"AAAAAD+f7XU=",0)</f>
        <v>#REF!</v>
      </c>
      <c r="DO280" t="e">
        <f>IF(#REF!,"AAAAAD+f7XY=",0)</f>
        <v>#REF!</v>
      </c>
      <c r="DP280" t="e">
        <f>IF(#REF!,"AAAAAD+f7Xc=",0)</f>
        <v>#REF!</v>
      </c>
      <c r="DQ280" t="e">
        <f>IF(#REF!,"AAAAAD+f7Xg=",0)</f>
        <v>#REF!</v>
      </c>
      <c r="DR280" t="e">
        <f>IF(#REF!,"AAAAAD+f7Xk=",0)</f>
        <v>#REF!</v>
      </c>
      <c r="DS280">
        <f>IF('SP PORTMAGDALENA'!1:1,"AAAAAD+f7Xo=",0)</f>
        <v>0</v>
      </c>
      <c r="DT280" t="e">
        <f>AND('SP PORTMAGDALENA'!A1,"AAAAAD+f7Xs=")</f>
        <v>#VALUE!</v>
      </c>
      <c r="DU280" t="e">
        <f>AND('SP PORTMAGDALENA'!B1,"AAAAAD+f7Xw=")</f>
        <v>#VALUE!</v>
      </c>
      <c r="DV280" t="e">
        <f>AND('SP PORTMAGDALENA'!C1,"AAAAAD+f7X0=")</f>
        <v>#VALUE!</v>
      </c>
      <c r="DW280">
        <f>IF('SP PORTMAGDALENA'!2:2,"AAAAAD+f7X4=",0)</f>
        <v>0</v>
      </c>
      <c r="DX280" t="e">
        <f>AND('SP PORTMAGDALENA'!A2,"AAAAAD+f7X8=")</f>
        <v>#VALUE!</v>
      </c>
      <c r="DY280" t="e">
        <f>AND('SP PORTMAGDALENA'!B2,"AAAAAD+f7YA=")</f>
        <v>#VALUE!</v>
      </c>
      <c r="DZ280" t="e">
        <f>AND('SP PORTMAGDALENA'!C2,"AAAAAD+f7YE=")</f>
        <v>#VALUE!</v>
      </c>
      <c r="EA280">
        <f>IF('SP PORTMAGDALENA'!3:3,"AAAAAD+f7YI=",0)</f>
        <v>0</v>
      </c>
      <c r="EB280" t="e">
        <f>AND('SP PORTMAGDALENA'!A3,"AAAAAD+f7YM=")</f>
        <v>#VALUE!</v>
      </c>
      <c r="EC280" t="e">
        <f>AND('SP PORTMAGDALENA'!B3,"AAAAAD+f7YQ=")</f>
        <v>#VALUE!</v>
      </c>
      <c r="ED280" t="e">
        <f>AND('SP PORTMAGDALENA'!C3,"AAAAAD+f7YU=")</f>
        <v>#VALUE!</v>
      </c>
      <c r="EE280">
        <f>IF('SP PORTMAGDALENA'!4:4,"AAAAAD+f7YY=",0)</f>
        <v>0</v>
      </c>
      <c r="EF280" t="e">
        <f>AND('SP PORTMAGDALENA'!A4,"AAAAAD+f7Yc=")</f>
        <v>#VALUE!</v>
      </c>
      <c r="EG280" t="e">
        <f>AND('SP PORTMAGDALENA'!B4,"AAAAAD+f7Yg=")</f>
        <v>#VALUE!</v>
      </c>
      <c r="EH280" t="e">
        <f>AND('SP PORTMAGDALENA'!C4,"AAAAAD+f7Yk=")</f>
        <v>#VALUE!</v>
      </c>
      <c r="EI280">
        <f>IF('SP PORTMAGDALENA'!5:5,"AAAAAD+f7Yo=",0)</f>
        <v>0</v>
      </c>
      <c r="EJ280" t="e">
        <f>AND('SP PORTMAGDALENA'!A5,"AAAAAD+f7Ys=")</f>
        <v>#VALUE!</v>
      </c>
      <c r="EK280" t="e">
        <f>AND('SP PORTMAGDALENA'!B5,"AAAAAD+f7Yw=")</f>
        <v>#VALUE!</v>
      </c>
      <c r="EL280" t="e">
        <f>AND('SP PORTMAGDALENA'!C5,"AAAAAD+f7Y0=")</f>
        <v>#VALUE!</v>
      </c>
      <c r="EM280">
        <f>IF('SP PORTMAGDALENA'!6:6,"AAAAAD+f7Y4=",0)</f>
        <v>0</v>
      </c>
      <c r="EN280" t="e">
        <f>AND('SP PORTMAGDALENA'!A6,"AAAAAD+f7Y8=")</f>
        <v>#VALUE!</v>
      </c>
      <c r="EO280" t="e">
        <f>AND('SP PORTMAGDALENA'!B6,"AAAAAD+f7ZA=")</f>
        <v>#VALUE!</v>
      </c>
      <c r="EP280" t="e">
        <f>AND('SP PORTMAGDALENA'!C6,"AAAAAD+f7ZE=")</f>
        <v>#VALUE!</v>
      </c>
      <c r="EQ280">
        <f>IF('SP PORTMAGDALENA'!7:7,"AAAAAD+f7ZI=",0)</f>
        <v>0</v>
      </c>
      <c r="ER280" t="e">
        <f>AND('SP PORTMAGDALENA'!A7,"AAAAAD+f7ZM=")</f>
        <v>#VALUE!</v>
      </c>
      <c r="ES280" t="e">
        <f>AND('SP PORTMAGDALENA'!B7,"AAAAAD+f7ZQ=")</f>
        <v>#VALUE!</v>
      </c>
      <c r="ET280" t="e">
        <f>AND('SP PORTMAGDALENA'!C7,"AAAAAD+f7ZU=")</f>
        <v>#VALUE!</v>
      </c>
      <c r="EU280">
        <f>IF('SP PORTMAGDALENA'!8:8,"AAAAAD+f7ZY=",0)</f>
        <v>0</v>
      </c>
      <c r="EV280" t="e">
        <f>AND('SP PORTMAGDALENA'!A8,"AAAAAD+f7Zc=")</f>
        <v>#VALUE!</v>
      </c>
      <c r="EW280" t="e">
        <f>AND('SP PORTMAGDALENA'!B8,"AAAAAD+f7Zg=")</f>
        <v>#VALUE!</v>
      </c>
      <c r="EX280" t="e">
        <f>AND('SP PORTMAGDALENA'!C8,"AAAAAD+f7Zk=")</f>
        <v>#VALUE!</v>
      </c>
      <c r="EY280">
        <f>IF('SP PORTMAGDALENA'!9:9,"AAAAAD+f7Zo=",0)</f>
        <v>0</v>
      </c>
      <c r="EZ280" t="e">
        <f>AND('SP PORTMAGDALENA'!A9,"AAAAAD+f7Zs=")</f>
        <v>#VALUE!</v>
      </c>
      <c r="FA280" t="e">
        <f>AND('SP PORTMAGDALENA'!B9,"AAAAAD+f7Zw=")</f>
        <v>#VALUE!</v>
      </c>
      <c r="FB280" t="e">
        <f>AND('SP PORTMAGDALENA'!C9,"AAAAAD+f7Z0=")</f>
        <v>#VALUE!</v>
      </c>
      <c r="FC280">
        <f>IF('SP PORTMAGDALENA'!10:10,"AAAAAD+f7Z4=",0)</f>
        <v>0</v>
      </c>
      <c r="FD280" t="e">
        <f>AND('SP PORTMAGDALENA'!A10,"AAAAAD+f7Z8=")</f>
        <v>#VALUE!</v>
      </c>
      <c r="FE280" t="e">
        <f>AND('SP PORTMAGDALENA'!B10,"AAAAAD+f7aA=")</f>
        <v>#VALUE!</v>
      </c>
      <c r="FF280" t="e">
        <f>AND('SP PORTMAGDALENA'!C10,"AAAAAD+f7aE=")</f>
        <v>#VALUE!</v>
      </c>
      <c r="FG280">
        <f>IF('SP PORTMAGDALENA'!11:11,"AAAAAD+f7aI=",0)</f>
        <v>0</v>
      </c>
      <c r="FH280" t="e">
        <f>AND('SP PORTMAGDALENA'!A11,"AAAAAD+f7aM=")</f>
        <v>#VALUE!</v>
      </c>
      <c r="FI280" t="e">
        <f>AND('SP PORTMAGDALENA'!B11,"AAAAAD+f7aQ=")</f>
        <v>#VALUE!</v>
      </c>
      <c r="FJ280" t="e">
        <f>AND('SP PORTMAGDALENA'!C11,"AAAAAD+f7aU=")</f>
        <v>#VALUE!</v>
      </c>
      <c r="FK280">
        <f>IF('SP PORTMAGDALENA'!12:12,"AAAAAD+f7aY=",0)</f>
        <v>0</v>
      </c>
      <c r="FL280" t="e">
        <f>AND('SP PORTMAGDALENA'!A12,"AAAAAD+f7ac=")</f>
        <v>#VALUE!</v>
      </c>
      <c r="FM280" t="e">
        <f>AND('SP PORTMAGDALENA'!B12,"AAAAAD+f7ag=")</f>
        <v>#VALUE!</v>
      </c>
      <c r="FN280" t="e">
        <f>AND('SP PORTMAGDALENA'!C12,"AAAAAD+f7ak=")</f>
        <v>#VALUE!</v>
      </c>
      <c r="FO280">
        <f>IF('SP PORTMAGDALENA'!13:13,"AAAAAD+f7ao=",0)</f>
        <v>0</v>
      </c>
      <c r="FP280" t="e">
        <f>AND('SP PORTMAGDALENA'!A13,"AAAAAD+f7as=")</f>
        <v>#VALUE!</v>
      </c>
      <c r="FQ280" t="e">
        <f>AND('SP PORTMAGDALENA'!B13,"AAAAAD+f7aw=")</f>
        <v>#VALUE!</v>
      </c>
      <c r="FR280" t="e">
        <f>AND('SP PORTMAGDALENA'!C13,"AAAAAD+f7a0=")</f>
        <v>#VALUE!</v>
      </c>
      <c r="FS280">
        <f>IF('SP PORTMAGDALENA'!14:14,"AAAAAD+f7a4=",0)</f>
        <v>0</v>
      </c>
      <c r="FT280" t="e">
        <f>AND('SP PORTMAGDALENA'!A14,"AAAAAD+f7a8=")</f>
        <v>#VALUE!</v>
      </c>
      <c r="FU280" t="e">
        <f>AND('SP PORTMAGDALENA'!B14,"AAAAAD+f7bA=")</f>
        <v>#VALUE!</v>
      </c>
      <c r="FV280" t="e">
        <f>AND('SP PORTMAGDALENA'!C14,"AAAAAD+f7bE=")</f>
        <v>#VALUE!</v>
      </c>
      <c r="FW280">
        <f>IF('SP PORTMAGDALENA'!15:15,"AAAAAD+f7bI=",0)</f>
        <v>0</v>
      </c>
      <c r="FX280" t="e">
        <f>AND('SP PORTMAGDALENA'!A15,"AAAAAD+f7bM=")</f>
        <v>#VALUE!</v>
      </c>
      <c r="FY280" t="e">
        <f>AND('SP PORTMAGDALENA'!B15,"AAAAAD+f7bQ=")</f>
        <v>#VALUE!</v>
      </c>
      <c r="FZ280" t="e">
        <f>AND('SP PORTMAGDALENA'!C15,"AAAAAD+f7bU=")</f>
        <v>#VALUE!</v>
      </c>
      <c r="GA280">
        <f>IF('SP PORTMAGDALENA'!16:16,"AAAAAD+f7bY=",0)</f>
        <v>0</v>
      </c>
      <c r="GB280" t="e">
        <f>AND('SP PORTMAGDALENA'!A16,"AAAAAD+f7bc=")</f>
        <v>#VALUE!</v>
      </c>
      <c r="GC280" t="e">
        <f>AND('SP PORTMAGDALENA'!B16,"AAAAAD+f7bg=")</f>
        <v>#VALUE!</v>
      </c>
      <c r="GD280" t="e">
        <f>AND('SP PORTMAGDALENA'!C16,"AAAAAD+f7bk=")</f>
        <v>#VALUE!</v>
      </c>
      <c r="GE280">
        <f>IF('SP PORTMAGDALENA'!17:17,"AAAAAD+f7bo=",0)</f>
        <v>0</v>
      </c>
      <c r="GF280" t="e">
        <f>AND('SP PORTMAGDALENA'!A17,"AAAAAD+f7bs=")</f>
        <v>#VALUE!</v>
      </c>
      <c r="GG280" t="e">
        <f>AND('SP PORTMAGDALENA'!B17,"AAAAAD+f7bw=")</f>
        <v>#VALUE!</v>
      </c>
      <c r="GH280" t="e">
        <f>AND('SP PORTMAGDALENA'!C17,"AAAAAD+f7b0=")</f>
        <v>#VALUE!</v>
      </c>
      <c r="GI280">
        <f>IF('SP PORTMAGDALENA'!18:18,"AAAAAD+f7b4=",0)</f>
        <v>0</v>
      </c>
      <c r="GJ280" t="e">
        <f>AND('SP PORTMAGDALENA'!A18,"AAAAAD+f7b8=")</f>
        <v>#VALUE!</v>
      </c>
      <c r="GK280" t="e">
        <f>AND('SP PORTMAGDALENA'!B18,"AAAAAD+f7cA=")</f>
        <v>#VALUE!</v>
      </c>
      <c r="GL280" t="e">
        <f>AND('SP PORTMAGDALENA'!C18,"AAAAAD+f7cE=")</f>
        <v>#VALUE!</v>
      </c>
      <c r="GM280">
        <f>IF('SP PORTMAGDALENA'!19:19,"AAAAAD+f7cI=",0)</f>
        <v>0</v>
      </c>
      <c r="GN280" t="e">
        <f>AND('SP PORTMAGDALENA'!A19,"AAAAAD+f7cM=")</f>
        <v>#VALUE!</v>
      </c>
      <c r="GO280" t="e">
        <f>AND('SP PORTMAGDALENA'!B19,"AAAAAD+f7cQ=")</f>
        <v>#VALUE!</v>
      </c>
      <c r="GP280" t="e">
        <f>AND('SP PORTMAGDALENA'!C19,"AAAAAD+f7cU=")</f>
        <v>#VALUE!</v>
      </c>
      <c r="GQ280">
        <f>IF('SP PORTMAGDALENA'!20:20,"AAAAAD+f7cY=",0)</f>
        <v>0</v>
      </c>
      <c r="GR280" t="e">
        <f>AND('SP PORTMAGDALENA'!A20,"AAAAAD+f7cc=")</f>
        <v>#VALUE!</v>
      </c>
      <c r="GS280" t="e">
        <f>AND('SP PORTMAGDALENA'!B20,"AAAAAD+f7cg=")</f>
        <v>#VALUE!</v>
      </c>
      <c r="GT280" t="e">
        <f>AND('SP PORTMAGDALENA'!C20,"AAAAAD+f7ck=")</f>
        <v>#VALUE!</v>
      </c>
      <c r="GU280">
        <f>IF('SP PORTMAGDALENA'!21:21,"AAAAAD+f7co=",0)</f>
        <v>0</v>
      </c>
      <c r="GV280" t="e">
        <f>AND('SP PORTMAGDALENA'!A21,"AAAAAD+f7cs=")</f>
        <v>#VALUE!</v>
      </c>
      <c r="GW280" t="e">
        <f>AND('SP PORTMAGDALENA'!B21,"AAAAAD+f7cw=")</f>
        <v>#VALUE!</v>
      </c>
      <c r="GX280" t="e">
        <f>AND('SP PORTMAGDALENA'!C21,"AAAAAD+f7c0=")</f>
        <v>#VALUE!</v>
      </c>
      <c r="GY280">
        <f>IF('SP PORTMAGDALENA'!22:22,"AAAAAD+f7c4=",0)</f>
        <v>0</v>
      </c>
      <c r="GZ280" t="e">
        <f>AND('SP PORTMAGDALENA'!A22,"AAAAAD+f7c8=")</f>
        <v>#VALUE!</v>
      </c>
      <c r="HA280" t="e">
        <f>AND('SP PORTMAGDALENA'!B22,"AAAAAD+f7dA=")</f>
        <v>#VALUE!</v>
      </c>
      <c r="HB280" t="e">
        <f>AND('SP PORTMAGDALENA'!C22,"AAAAAD+f7dE=")</f>
        <v>#VALUE!</v>
      </c>
      <c r="HC280">
        <f>IF('SP PORTMAGDALENA'!23:23,"AAAAAD+f7dI=",0)</f>
        <v>0</v>
      </c>
      <c r="HD280" t="e">
        <f>AND('SP PORTMAGDALENA'!A23,"AAAAAD+f7dM=")</f>
        <v>#VALUE!</v>
      </c>
      <c r="HE280" t="e">
        <f>AND('SP PORTMAGDALENA'!B23,"AAAAAD+f7dQ=")</f>
        <v>#VALUE!</v>
      </c>
      <c r="HF280" t="e">
        <f>AND('SP PORTMAGDALENA'!C23,"AAAAAD+f7dU=")</f>
        <v>#VALUE!</v>
      </c>
      <c r="HG280">
        <f>IF('SP PORTMAGDALENA'!24:24,"AAAAAD+f7dY=",0)</f>
        <v>0</v>
      </c>
      <c r="HH280" t="e">
        <f>AND('SP PORTMAGDALENA'!A24,"AAAAAD+f7dc=")</f>
        <v>#VALUE!</v>
      </c>
      <c r="HI280" t="e">
        <f>AND('SP PORTMAGDALENA'!B24,"AAAAAD+f7dg=")</f>
        <v>#VALUE!</v>
      </c>
      <c r="HJ280" t="e">
        <f>AND('SP PORTMAGDALENA'!C24,"AAAAAD+f7dk=")</f>
        <v>#VALUE!</v>
      </c>
      <c r="HK280">
        <f>IF('SP PORTMAGDALENA'!25:25,"AAAAAD+f7do=",0)</f>
        <v>0</v>
      </c>
      <c r="HL280" t="e">
        <f>AND('SP PORTMAGDALENA'!A25,"AAAAAD+f7ds=")</f>
        <v>#VALUE!</v>
      </c>
      <c r="HM280" t="e">
        <f>AND('SP PORTMAGDALENA'!B25,"AAAAAD+f7dw=")</f>
        <v>#VALUE!</v>
      </c>
      <c r="HN280" t="e">
        <f>AND('SP PORTMAGDALENA'!C25,"AAAAAD+f7d0=")</f>
        <v>#VALUE!</v>
      </c>
      <c r="HO280">
        <f>IF('SP PORTMAGDALENA'!26:26,"AAAAAD+f7d4=",0)</f>
        <v>0</v>
      </c>
      <c r="HP280" t="e">
        <f>AND('SP PORTMAGDALENA'!A26,"AAAAAD+f7d8=")</f>
        <v>#VALUE!</v>
      </c>
      <c r="HQ280" t="e">
        <f>AND('SP PORTMAGDALENA'!B26,"AAAAAD+f7eA=")</f>
        <v>#VALUE!</v>
      </c>
      <c r="HR280" t="e">
        <f>AND('SP PORTMAGDALENA'!C26,"AAAAAD+f7eE=")</f>
        <v>#VALUE!</v>
      </c>
      <c r="HS280">
        <f>IF('SP PORTMAGDALENA'!27:27,"AAAAAD+f7eI=",0)</f>
        <v>0</v>
      </c>
      <c r="HT280" t="e">
        <f>AND('SP PORTMAGDALENA'!A27,"AAAAAD+f7eM=")</f>
        <v>#VALUE!</v>
      </c>
      <c r="HU280" t="e">
        <f>AND('SP PORTMAGDALENA'!B27,"AAAAAD+f7eQ=")</f>
        <v>#VALUE!</v>
      </c>
      <c r="HV280" t="e">
        <f>AND('SP PORTMAGDALENA'!C27,"AAAAAD+f7eU=")</f>
        <v>#VALUE!</v>
      </c>
      <c r="HW280">
        <f>IF('SP PORTMAGDALENA'!28:28,"AAAAAD+f7eY=",0)</f>
        <v>0</v>
      </c>
      <c r="HX280" t="e">
        <f>AND('SP PORTMAGDALENA'!A28,"AAAAAD+f7ec=")</f>
        <v>#VALUE!</v>
      </c>
      <c r="HY280" t="e">
        <f>AND('SP PORTMAGDALENA'!B28,"AAAAAD+f7eg=")</f>
        <v>#VALUE!</v>
      </c>
      <c r="HZ280" t="e">
        <f>AND('SP PORTMAGDALENA'!C28,"AAAAAD+f7ek=")</f>
        <v>#VALUE!</v>
      </c>
      <c r="IA280">
        <f>IF('SP PORTMAGDALENA'!29:29,"AAAAAD+f7eo=",0)</f>
        <v>0</v>
      </c>
      <c r="IB280" t="e">
        <f>AND('SP PORTMAGDALENA'!A29,"AAAAAD+f7es=")</f>
        <v>#VALUE!</v>
      </c>
      <c r="IC280" t="e">
        <f>AND('SP PORTMAGDALENA'!B29,"AAAAAD+f7ew=")</f>
        <v>#VALUE!</v>
      </c>
      <c r="ID280" t="e">
        <f>AND('SP PORTMAGDALENA'!C29,"AAAAAD+f7e0=")</f>
        <v>#VALUE!</v>
      </c>
      <c r="IE280">
        <f>IF('SP PORTMAGDALENA'!30:30,"AAAAAD+f7e4=",0)</f>
        <v>0</v>
      </c>
      <c r="IF280" t="e">
        <f>AND('SP PORTMAGDALENA'!A30,"AAAAAD+f7e8=")</f>
        <v>#VALUE!</v>
      </c>
      <c r="IG280" t="e">
        <f>AND('SP PORTMAGDALENA'!B30,"AAAAAD+f7fA=")</f>
        <v>#VALUE!</v>
      </c>
      <c r="IH280" t="e">
        <f>AND('SP PORTMAGDALENA'!C30,"AAAAAD+f7fE=")</f>
        <v>#VALUE!</v>
      </c>
      <c r="II280">
        <f>IF('SP PORTMAGDALENA'!31:31,"AAAAAD+f7fI=",0)</f>
        <v>0</v>
      </c>
      <c r="IJ280" t="e">
        <f>AND('SP PORTMAGDALENA'!A31,"AAAAAD+f7fM=")</f>
        <v>#VALUE!</v>
      </c>
      <c r="IK280" t="e">
        <f>AND('SP PORTMAGDALENA'!B31,"AAAAAD+f7fQ=")</f>
        <v>#VALUE!</v>
      </c>
      <c r="IL280" t="e">
        <f>AND('SP PORTMAGDALENA'!C31,"AAAAAD+f7fU=")</f>
        <v>#VALUE!</v>
      </c>
      <c r="IM280">
        <f>IF('SP PORTMAGDALENA'!32:32,"AAAAAD+f7fY=",0)</f>
        <v>0</v>
      </c>
      <c r="IN280" t="e">
        <f>AND('SP PORTMAGDALENA'!A32,"AAAAAD+f7fc=")</f>
        <v>#VALUE!</v>
      </c>
      <c r="IO280" t="e">
        <f>AND('SP PORTMAGDALENA'!B32,"AAAAAD+f7fg=")</f>
        <v>#VALUE!</v>
      </c>
      <c r="IP280" t="e">
        <f>AND('SP PORTMAGDALENA'!C32,"AAAAAD+f7fk=")</f>
        <v>#VALUE!</v>
      </c>
      <c r="IQ280">
        <f>IF('SP PORTMAGDALENA'!33:33,"AAAAAD+f7fo=",0)</f>
        <v>0</v>
      </c>
      <c r="IR280" t="e">
        <f>AND('SP PORTMAGDALENA'!A33,"AAAAAD+f7fs=")</f>
        <v>#VALUE!</v>
      </c>
      <c r="IS280" t="e">
        <f>AND('SP PORTMAGDALENA'!B33,"AAAAAD+f7fw=")</f>
        <v>#VALUE!</v>
      </c>
      <c r="IT280" t="e">
        <f>AND('SP PORTMAGDALENA'!C33,"AAAAAD+f7f0=")</f>
        <v>#VALUE!</v>
      </c>
      <c r="IU280" t="e">
        <f>IF('SP PORTMAGDALENA'!#REF!,"AAAAAD+f7f4=",0)</f>
        <v>#REF!</v>
      </c>
      <c r="IV280" t="e">
        <f>IF('SP PORTMAGDALENA'!#REF!,"AAAAAD+f7f8=",0)</f>
        <v>#REF!</v>
      </c>
    </row>
    <row r="281" spans="1:256">
      <c r="A281">
        <f>IF('SP PORTMAGDALENA'!A:A,"AAAAAH76cwA=",0)</f>
        <v>0</v>
      </c>
      <c r="B281">
        <f>IF('SP PORTMAGDALENA'!B:B,"AAAAAH76cwE=",0)</f>
        <v>0</v>
      </c>
      <c r="C281">
        <f>IF('SP PORTMAGDALENA'!C:C,"AAAAAH76cwI=",0)</f>
        <v>0</v>
      </c>
      <c r="D281" t="e">
        <f>IF(#REF!,"AAAAAH76cwM=",0)</f>
        <v>#REF!</v>
      </c>
      <c r="E281" t="e">
        <f>AND(#REF!,"AAAAAH76cwQ=")</f>
        <v>#REF!</v>
      </c>
      <c r="F281" t="e">
        <f>AND(#REF!,"AAAAAH76cwU=")</f>
        <v>#REF!</v>
      </c>
      <c r="G281" t="e">
        <f>AND(#REF!,"AAAAAH76cwY=")</f>
        <v>#REF!</v>
      </c>
      <c r="H281" t="e">
        <f>AND(#REF!,"AAAAAH76cwc=")</f>
        <v>#REF!</v>
      </c>
      <c r="I281" t="e">
        <f>AND(#REF!,"AAAAAH76cwg=")</f>
        <v>#REF!</v>
      </c>
      <c r="J281" t="e">
        <f>AND(#REF!,"AAAAAH76cwk=")</f>
        <v>#REF!</v>
      </c>
      <c r="K281" t="e">
        <f>AND(#REF!,"AAAAAH76cwo=")</f>
        <v>#REF!</v>
      </c>
      <c r="L281" t="e">
        <f>AND(#REF!,"AAAAAH76cws=")</f>
        <v>#REF!</v>
      </c>
      <c r="M281" t="e">
        <f>AND(#REF!,"AAAAAH76cww=")</f>
        <v>#REF!</v>
      </c>
      <c r="N281" t="e">
        <f>AND(#REF!,"AAAAAH76cw0=")</f>
        <v>#REF!</v>
      </c>
      <c r="O281" t="e">
        <f>AND(#REF!,"AAAAAH76cw4=")</f>
        <v>#REF!</v>
      </c>
      <c r="P281" t="e">
        <f>AND(#REF!,"AAAAAH76cw8=")</f>
        <v>#REF!</v>
      </c>
      <c r="Q281" t="e">
        <f>AND(#REF!,"AAAAAH76cxA=")</f>
        <v>#REF!</v>
      </c>
      <c r="R281" t="e">
        <f>AND(#REF!,"AAAAAH76cxE=")</f>
        <v>#REF!</v>
      </c>
      <c r="S281" t="e">
        <f>AND(#REF!,"AAAAAH76cxI=")</f>
        <v>#REF!</v>
      </c>
      <c r="T281" t="e">
        <f>AND(#REF!,"AAAAAH76cxM=")</f>
        <v>#REF!</v>
      </c>
      <c r="U281" t="e">
        <f>AND(#REF!,"AAAAAH76cxQ=")</f>
        <v>#REF!</v>
      </c>
      <c r="V281" t="e">
        <f>AND(#REF!,"AAAAAH76cxU=")</f>
        <v>#REF!</v>
      </c>
      <c r="W281" t="e">
        <f>AND(#REF!,"AAAAAH76cxY=")</f>
        <v>#REF!</v>
      </c>
      <c r="X281" t="e">
        <f>AND(#REF!,"AAAAAH76cxc=")</f>
        <v>#REF!</v>
      </c>
      <c r="Y281" t="e">
        <f>AND(#REF!,"AAAAAH76cxg=")</f>
        <v>#REF!</v>
      </c>
      <c r="Z281" t="e">
        <f>AND(#REF!,"AAAAAH76cxk=")</f>
        <v>#REF!</v>
      </c>
      <c r="AA281" t="e">
        <f>AND(#REF!,"AAAAAH76cxo=")</f>
        <v>#REF!</v>
      </c>
      <c r="AB281" t="e">
        <f>AND(#REF!,"AAAAAH76cxs=")</f>
        <v>#REF!</v>
      </c>
      <c r="AC281" t="e">
        <f>AND(#REF!,"AAAAAH76cxw=")</f>
        <v>#REF!</v>
      </c>
      <c r="AD281" t="e">
        <f>AND(#REF!,"AAAAAH76cx0=")</f>
        <v>#REF!</v>
      </c>
      <c r="AE281" t="e">
        <f>AND(#REF!,"AAAAAH76cx4=")</f>
        <v>#REF!</v>
      </c>
      <c r="AF281" t="e">
        <f>AND(#REF!,"AAAAAH76cx8=")</f>
        <v>#REF!</v>
      </c>
      <c r="AG281" t="e">
        <f>AND(#REF!,"AAAAAH76cyA=")</f>
        <v>#REF!</v>
      </c>
      <c r="AH281" t="e">
        <f>AND(#REF!,"AAAAAH76cyE=")</f>
        <v>#REF!</v>
      </c>
      <c r="AI281" t="e">
        <f>AND(#REF!,"AAAAAH76cyI=")</f>
        <v>#REF!</v>
      </c>
      <c r="AJ281" t="e">
        <f>AND(#REF!,"AAAAAH76cyM=")</f>
        <v>#REF!</v>
      </c>
      <c r="AK281" t="e">
        <f>AND(#REF!,"AAAAAH76cyQ=")</f>
        <v>#REF!</v>
      </c>
      <c r="AL281" t="e">
        <f>AND(#REF!,"AAAAAH76cyU=")</f>
        <v>#REF!</v>
      </c>
      <c r="AM281" t="e">
        <f>AND(#REF!,"AAAAAH76cyY=")</f>
        <v>#REF!</v>
      </c>
      <c r="AN281" t="e">
        <f>AND(#REF!,"AAAAAH76cyc=")</f>
        <v>#REF!</v>
      </c>
      <c r="AO281" t="e">
        <f>AND(#REF!,"AAAAAH76cyg=")</f>
        <v>#REF!</v>
      </c>
      <c r="AP281" t="e">
        <f>AND(#REF!,"AAAAAH76cyk=")</f>
        <v>#REF!</v>
      </c>
      <c r="AQ281" t="e">
        <f>AND(#REF!,"AAAAAH76cyo=")</f>
        <v>#REF!</v>
      </c>
      <c r="AR281" t="e">
        <f>AND(#REF!,"AAAAAH76cys=")</f>
        <v>#REF!</v>
      </c>
      <c r="AS281" t="e">
        <f>AND(#REF!,"AAAAAH76cyw=")</f>
        <v>#REF!</v>
      </c>
      <c r="AT281" t="e">
        <f>AND(#REF!,"AAAAAH76cy0=")</f>
        <v>#REF!</v>
      </c>
      <c r="AU281" t="e">
        <f>AND(#REF!,"AAAAAH76cy4=")</f>
        <v>#REF!</v>
      </c>
      <c r="AV281" t="e">
        <f>AND(#REF!,"AAAAAH76cy8=")</f>
        <v>#REF!</v>
      </c>
      <c r="AW281" t="e">
        <f>AND(#REF!,"AAAAAH76czA=")</f>
        <v>#REF!</v>
      </c>
      <c r="AX281" t="e">
        <f>AND(#REF!,"AAAAAH76czE=")</f>
        <v>#REF!</v>
      </c>
      <c r="AY281" t="e">
        <f>AND(#REF!,"AAAAAH76czI=")</f>
        <v>#REF!</v>
      </c>
      <c r="AZ281" t="e">
        <f>AND(#REF!,"AAAAAH76czM=")</f>
        <v>#REF!</v>
      </c>
      <c r="BA281" t="e">
        <f>AND(#REF!,"AAAAAH76czQ=")</f>
        <v>#REF!</v>
      </c>
      <c r="BB281" t="e">
        <f>AND(#REF!,"AAAAAH76czU=")</f>
        <v>#REF!</v>
      </c>
      <c r="BC281" t="e">
        <f>AND(#REF!,"AAAAAH76czY=")</f>
        <v>#REF!</v>
      </c>
      <c r="BD281" t="e">
        <f>IF(#REF!,"AAAAAH76czc=",0)</f>
        <v>#REF!</v>
      </c>
      <c r="BE281" t="e">
        <f>AND(#REF!,"AAAAAH76czg=")</f>
        <v>#REF!</v>
      </c>
      <c r="BF281" t="e">
        <f>AND(#REF!,"AAAAAH76czk=")</f>
        <v>#REF!</v>
      </c>
      <c r="BG281" t="e">
        <f>AND(#REF!,"AAAAAH76czo=")</f>
        <v>#REF!</v>
      </c>
      <c r="BH281" t="e">
        <f>AND(#REF!,"AAAAAH76czs=")</f>
        <v>#REF!</v>
      </c>
      <c r="BI281" t="e">
        <f>AND(#REF!,"AAAAAH76czw=")</f>
        <v>#REF!</v>
      </c>
      <c r="BJ281" t="e">
        <f>AND(#REF!,"AAAAAH76cz0=")</f>
        <v>#REF!</v>
      </c>
      <c r="BK281" t="e">
        <f>AND(#REF!,"AAAAAH76cz4=")</f>
        <v>#REF!</v>
      </c>
      <c r="BL281" t="e">
        <f>AND(#REF!,"AAAAAH76cz8=")</f>
        <v>#REF!</v>
      </c>
      <c r="BM281" t="e">
        <f>AND(#REF!,"AAAAAH76c0A=")</f>
        <v>#REF!</v>
      </c>
      <c r="BN281" t="e">
        <f>AND(#REF!,"AAAAAH76c0E=")</f>
        <v>#REF!</v>
      </c>
      <c r="BO281" t="e">
        <f>AND(#REF!,"AAAAAH76c0I=")</f>
        <v>#REF!</v>
      </c>
      <c r="BP281" t="e">
        <f>AND(#REF!,"AAAAAH76c0M=")</f>
        <v>#REF!</v>
      </c>
      <c r="BQ281" t="e">
        <f>AND(#REF!,"AAAAAH76c0Q=")</f>
        <v>#REF!</v>
      </c>
      <c r="BR281" t="e">
        <f>AND(#REF!,"AAAAAH76c0U=")</f>
        <v>#REF!</v>
      </c>
      <c r="BS281" t="e">
        <f>AND(#REF!,"AAAAAH76c0Y=")</f>
        <v>#REF!</v>
      </c>
      <c r="BT281" t="e">
        <f>AND(#REF!,"AAAAAH76c0c=")</f>
        <v>#REF!</v>
      </c>
      <c r="BU281" t="e">
        <f>AND(#REF!,"AAAAAH76c0g=")</f>
        <v>#REF!</v>
      </c>
      <c r="BV281" t="e">
        <f>AND(#REF!,"AAAAAH76c0k=")</f>
        <v>#REF!</v>
      </c>
      <c r="BW281" t="e">
        <f>AND(#REF!,"AAAAAH76c0o=")</f>
        <v>#REF!</v>
      </c>
      <c r="BX281" t="e">
        <f>AND(#REF!,"AAAAAH76c0s=")</f>
        <v>#REF!</v>
      </c>
      <c r="BY281" t="e">
        <f>AND(#REF!,"AAAAAH76c0w=")</f>
        <v>#REF!</v>
      </c>
      <c r="BZ281" t="e">
        <f>AND(#REF!,"AAAAAH76c00=")</f>
        <v>#REF!</v>
      </c>
      <c r="CA281" t="e">
        <f>AND(#REF!,"AAAAAH76c04=")</f>
        <v>#REF!</v>
      </c>
      <c r="CB281" t="e">
        <f>AND(#REF!,"AAAAAH76c08=")</f>
        <v>#REF!</v>
      </c>
      <c r="CC281" t="e">
        <f>AND(#REF!,"AAAAAH76c1A=")</f>
        <v>#REF!</v>
      </c>
      <c r="CD281" t="e">
        <f>AND(#REF!,"AAAAAH76c1E=")</f>
        <v>#REF!</v>
      </c>
      <c r="CE281" t="e">
        <f>AND(#REF!,"AAAAAH76c1I=")</f>
        <v>#REF!</v>
      </c>
      <c r="CF281" t="e">
        <f>AND(#REF!,"AAAAAH76c1M=")</f>
        <v>#REF!</v>
      </c>
      <c r="CG281" t="e">
        <f>AND(#REF!,"AAAAAH76c1Q=")</f>
        <v>#REF!</v>
      </c>
      <c r="CH281" t="e">
        <f>AND(#REF!,"AAAAAH76c1U=")</f>
        <v>#REF!</v>
      </c>
      <c r="CI281" t="e">
        <f>AND(#REF!,"AAAAAH76c1Y=")</f>
        <v>#REF!</v>
      </c>
      <c r="CJ281" t="e">
        <f>AND(#REF!,"AAAAAH76c1c=")</f>
        <v>#REF!</v>
      </c>
      <c r="CK281" t="e">
        <f>AND(#REF!,"AAAAAH76c1g=")</f>
        <v>#REF!</v>
      </c>
      <c r="CL281" t="e">
        <f>AND(#REF!,"AAAAAH76c1k=")</f>
        <v>#REF!</v>
      </c>
      <c r="CM281" t="e">
        <f>AND(#REF!,"AAAAAH76c1o=")</f>
        <v>#REF!</v>
      </c>
      <c r="CN281" t="e">
        <f>AND(#REF!,"AAAAAH76c1s=")</f>
        <v>#REF!</v>
      </c>
      <c r="CO281" t="e">
        <f>AND(#REF!,"AAAAAH76c1w=")</f>
        <v>#REF!</v>
      </c>
      <c r="CP281" t="e">
        <f>AND(#REF!,"AAAAAH76c10=")</f>
        <v>#REF!</v>
      </c>
      <c r="CQ281" t="e">
        <f>AND(#REF!,"AAAAAH76c14=")</f>
        <v>#REF!</v>
      </c>
      <c r="CR281" t="e">
        <f>AND(#REF!,"AAAAAH76c18=")</f>
        <v>#REF!</v>
      </c>
      <c r="CS281" t="e">
        <f>AND(#REF!,"AAAAAH76c2A=")</f>
        <v>#REF!</v>
      </c>
      <c r="CT281" t="e">
        <f>AND(#REF!,"AAAAAH76c2E=")</f>
        <v>#REF!</v>
      </c>
      <c r="CU281" t="e">
        <f>AND(#REF!,"AAAAAH76c2I=")</f>
        <v>#REF!</v>
      </c>
      <c r="CV281" t="e">
        <f>AND(#REF!,"AAAAAH76c2M=")</f>
        <v>#REF!</v>
      </c>
      <c r="CW281" t="e">
        <f>AND(#REF!,"AAAAAH76c2Q=")</f>
        <v>#REF!</v>
      </c>
      <c r="CX281" t="e">
        <f>AND(#REF!,"AAAAAH76c2U=")</f>
        <v>#REF!</v>
      </c>
      <c r="CY281" t="e">
        <f>AND(#REF!,"AAAAAH76c2Y=")</f>
        <v>#REF!</v>
      </c>
      <c r="CZ281" t="e">
        <f>AND(#REF!,"AAAAAH76c2c=")</f>
        <v>#REF!</v>
      </c>
      <c r="DA281" t="e">
        <f>AND(#REF!,"AAAAAH76c2g=")</f>
        <v>#REF!</v>
      </c>
      <c r="DB281" t="e">
        <f>AND(#REF!,"AAAAAH76c2k=")</f>
        <v>#REF!</v>
      </c>
      <c r="DC281" t="e">
        <f>AND(#REF!,"AAAAAH76c2o=")</f>
        <v>#REF!</v>
      </c>
      <c r="DD281" t="e">
        <f>IF(#REF!,"AAAAAH76c2s=",0)</f>
        <v>#REF!</v>
      </c>
      <c r="DE281" t="e">
        <f>AND(#REF!,"AAAAAH76c2w=")</f>
        <v>#REF!</v>
      </c>
      <c r="DF281" t="e">
        <f>AND(#REF!,"AAAAAH76c20=")</f>
        <v>#REF!</v>
      </c>
      <c r="DG281" t="e">
        <f>AND(#REF!,"AAAAAH76c24=")</f>
        <v>#REF!</v>
      </c>
      <c r="DH281" t="e">
        <f>AND(#REF!,"AAAAAH76c28=")</f>
        <v>#REF!</v>
      </c>
      <c r="DI281" t="e">
        <f>AND(#REF!,"AAAAAH76c3A=")</f>
        <v>#REF!</v>
      </c>
      <c r="DJ281" t="e">
        <f>AND(#REF!,"AAAAAH76c3E=")</f>
        <v>#REF!</v>
      </c>
      <c r="DK281" t="e">
        <f>AND(#REF!,"AAAAAH76c3I=")</f>
        <v>#REF!</v>
      </c>
      <c r="DL281" t="e">
        <f>AND(#REF!,"AAAAAH76c3M=")</f>
        <v>#REF!</v>
      </c>
      <c r="DM281" t="e">
        <f>AND(#REF!,"AAAAAH76c3Q=")</f>
        <v>#REF!</v>
      </c>
      <c r="DN281" t="e">
        <f>AND(#REF!,"AAAAAH76c3U=")</f>
        <v>#REF!</v>
      </c>
      <c r="DO281" t="e">
        <f>AND(#REF!,"AAAAAH76c3Y=")</f>
        <v>#REF!</v>
      </c>
      <c r="DP281" t="e">
        <f>AND(#REF!,"AAAAAH76c3c=")</f>
        <v>#REF!</v>
      </c>
      <c r="DQ281" t="e">
        <f>AND(#REF!,"AAAAAH76c3g=")</f>
        <v>#REF!</v>
      </c>
      <c r="DR281" t="e">
        <f>AND(#REF!,"AAAAAH76c3k=")</f>
        <v>#REF!</v>
      </c>
      <c r="DS281" t="e">
        <f>AND(#REF!,"AAAAAH76c3o=")</f>
        <v>#REF!</v>
      </c>
      <c r="DT281" t="e">
        <f>AND(#REF!,"AAAAAH76c3s=")</f>
        <v>#REF!</v>
      </c>
      <c r="DU281" t="e">
        <f>AND(#REF!,"AAAAAH76c3w=")</f>
        <v>#REF!</v>
      </c>
      <c r="DV281" t="e">
        <f>AND(#REF!,"AAAAAH76c30=")</f>
        <v>#REF!</v>
      </c>
      <c r="DW281" t="e">
        <f>AND(#REF!,"AAAAAH76c34=")</f>
        <v>#REF!</v>
      </c>
      <c r="DX281" t="e">
        <f>AND(#REF!,"AAAAAH76c38=")</f>
        <v>#REF!</v>
      </c>
      <c r="DY281" t="e">
        <f>AND(#REF!,"AAAAAH76c4A=")</f>
        <v>#REF!</v>
      </c>
      <c r="DZ281" t="e">
        <f>AND(#REF!,"AAAAAH76c4E=")</f>
        <v>#REF!</v>
      </c>
      <c r="EA281" t="e">
        <f>AND(#REF!,"AAAAAH76c4I=")</f>
        <v>#REF!</v>
      </c>
      <c r="EB281" t="e">
        <f>AND(#REF!,"AAAAAH76c4M=")</f>
        <v>#REF!</v>
      </c>
      <c r="EC281" t="e">
        <f>AND(#REF!,"AAAAAH76c4Q=")</f>
        <v>#REF!</v>
      </c>
      <c r="ED281" t="e">
        <f>AND(#REF!,"AAAAAH76c4U=")</f>
        <v>#REF!</v>
      </c>
      <c r="EE281" t="e">
        <f>AND(#REF!,"AAAAAH76c4Y=")</f>
        <v>#REF!</v>
      </c>
      <c r="EF281" t="e">
        <f>AND(#REF!,"AAAAAH76c4c=")</f>
        <v>#REF!</v>
      </c>
      <c r="EG281" t="e">
        <f>AND(#REF!,"AAAAAH76c4g=")</f>
        <v>#REF!</v>
      </c>
      <c r="EH281" t="e">
        <f>AND(#REF!,"AAAAAH76c4k=")</f>
        <v>#REF!</v>
      </c>
      <c r="EI281" t="e">
        <f>AND(#REF!,"AAAAAH76c4o=")</f>
        <v>#REF!</v>
      </c>
      <c r="EJ281" t="e">
        <f>AND(#REF!,"AAAAAH76c4s=")</f>
        <v>#REF!</v>
      </c>
      <c r="EK281" t="e">
        <f>AND(#REF!,"AAAAAH76c4w=")</f>
        <v>#REF!</v>
      </c>
      <c r="EL281" t="e">
        <f>AND(#REF!,"AAAAAH76c40=")</f>
        <v>#REF!</v>
      </c>
      <c r="EM281" t="e">
        <f>AND(#REF!,"AAAAAH76c44=")</f>
        <v>#REF!</v>
      </c>
      <c r="EN281" t="e">
        <f>AND(#REF!,"AAAAAH76c48=")</f>
        <v>#REF!</v>
      </c>
      <c r="EO281" t="e">
        <f>AND(#REF!,"AAAAAH76c5A=")</f>
        <v>#REF!</v>
      </c>
      <c r="EP281" t="e">
        <f>AND(#REF!,"AAAAAH76c5E=")</f>
        <v>#REF!</v>
      </c>
      <c r="EQ281" t="e">
        <f>AND(#REF!,"AAAAAH76c5I=")</f>
        <v>#REF!</v>
      </c>
      <c r="ER281" t="e">
        <f>AND(#REF!,"AAAAAH76c5M=")</f>
        <v>#REF!</v>
      </c>
      <c r="ES281" t="e">
        <f>AND(#REF!,"AAAAAH76c5Q=")</f>
        <v>#REF!</v>
      </c>
      <c r="ET281" t="e">
        <f>AND(#REF!,"AAAAAH76c5U=")</f>
        <v>#REF!</v>
      </c>
      <c r="EU281" t="e">
        <f>AND(#REF!,"AAAAAH76c5Y=")</f>
        <v>#REF!</v>
      </c>
      <c r="EV281" t="e">
        <f>AND(#REF!,"AAAAAH76c5c=")</f>
        <v>#REF!</v>
      </c>
      <c r="EW281" t="e">
        <f>AND(#REF!,"AAAAAH76c5g=")</f>
        <v>#REF!</v>
      </c>
      <c r="EX281" t="e">
        <f>AND(#REF!,"AAAAAH76c5k=")</f>
        <v>#REF!</v>
      </c>
      <c r="EY281" t="e">
        <f>AND(#REF!,"AAAAAH76c5o=")</f>
        <v>#REF!</v>
      </c>
      <c r="EZ281" t="e">
        <f>AND(#REF!,"AAAAAH76c5s=")</f>
        <v>#REF!</v>
      </c>
      <c r="FA281" t="e">
        <f>AND(#REF!,"AAAAAH76c5w=")</f>
        <v>#REF!</v>
      </c>
      <c r="FB281" t="e">
        <f>AND(#REF!,"AAAAAH76c50=")</f>
        <v>#REF!</v>
      </c>
      <c r="FC281" t="e">
        <f>AND(#REF!,"AAAAAH76c54=")</f>
        <v>#REF!</v>
      </c>
      <c r="FD281" t="e">
        <f>IF(#REF!,"AAAAAH76c58=",0)</f>
        <v>#REF!</v>
      </c>
      <c r="FE281" t="e">
        <f>AND(#REF!,"AAAAAH76c6A=")</f>
        <v>#REF!</v>
      </c>
      <c r="FF281" t="e">
        <f>AND(#REF!,"AAAAAH76c6E=")</f>
        <v>#REF!</v>
      </c>
      <c r="FG281" t="e">
        <f>AND(#REF!,"AAAAAH76c6I=")</f>
        <v>#REF!</v>
      </c>
      <c r="FH281" t="e">
        <f>AND(#REF!,"AAAAAH76c6M=")</f>
        <v>#REF!</v>
      </c>
      <c r="FI281" t="e">
        <f>AND(#REF!,"AAAAAH76c6Q=")</f>
        <v>#REF!</v>
      </c>
      <c r="FJ281" t="e">
        <f>AND(#REF!,"AAAAAH76c6U=")</f>
        <v>#REF!</v>
      </c>
      <c r="FK281" t="e">
        <f>AND(#REF!,"AAAAAH76c6Y=")</f>
        <v>#REF!</v>
      </c>
      <c r="FL281" t="e">
        <f>AND(#REF!,"AAAAAH76c6c=")</f>
        <v>#REF!</v>
      </c>
      <c r="FM281" t="e">
        <f>AND(#REF!,"AAAAAH76c6g=")</f>
        <v>#REF!</v>
      </c>
      <c r="FN281" t="e">
        <f>AND(#REF!,"AAAAAH76c6k=")</f>
        <v>#REF!</v>
      </c>
      <c r="FO281" t="e">
        <f>AND(#REF!,"AAAAAH76c6o=")</f>
        <v>#REF!</v>
      </c>
      <c r="FP281" t="e">
        <f>AND(#REF!,"AAAAAH76c6s=")</f>
        <v>#REF!</v>
      </c>
      <c r="FQ281" t="e">
        <f>AND(#REF!,"AAAAAH76c6w=")</f>
        <v>#REF!</v>
      </c>
      <c r="FR281" t="e">
        <f>AND(#REF!,"AAAAAH76c60=")</f>
        <v>#REF!</v>
      </c>
      <c r="FS281" t="e">
        <f>AND(#REF!,"AAAAAH76c64=")</f>
        <v>#REF!</v>
      </c>
      <c r="FT281" t="e">
        <f>AND(#REF!,"AAAAAH76c68=")</f>
        <v>#REF!</v>
      </c>
      <c r="FU281" t="e">
        <f>AND(#REF!,"AAAAAH76c7A=")</f>
        <v>#REF!</v>
      </c>
      <c r="FV281" t="e">
        <f>AND(#REF!,"AAAAAH76c7E=")</f>
        <v>#REF!</v>
      </c>
      <c r="FW281" t="e">
        <f>AND(#REF!,"AAAAAH76c7I=")</f>
        <v>#REF!</v>
      </c>
      <c r="FX281" t="e">
        <f>AND(#REF!,"AAAAAH76c7M=")</f>
        <v>#REF!</v>
      </c>
      <c r="FY281" t="e">
        <f>AND(#REF!,"AAAAAH76c7Q=")</f>
        <v>#REF!</v>
      </c>
      <c r="FZ281" t="e">
        <f>AND(#REF!,"AAAAAH76c7U=")</f>
        <v>#REF!</v>
      </c>
      <c r="GA281" t="e">
        <f>AND(#REF!,"AAAAAH76c7Y=")</f>
        <v>#REF!</v>
      </c>
      <c r="GB281" t="e">
        <f>AND(#REF!,"AAAAAH76c7c=")</f>
        <v>#REF!</v>
      </c>
      <c r="GC281" t="e">
        <f>AND(#REF!,"AAAAAH76c7g=")</f>
        <v>#REF!</v>
      </c>
      <c r="GD281" t="e">
        <f>AND(#REF!,"AAAAAH76c7k=")</f>
        <v>#REF!</v>
      </c>
      <c r="GE281" t="e">
        <f>AND(#REF!,"AAAAAH76c7o=")</f>
        <v>#REF!</v>
      </c>
      <c r="GF281" t="e">
        <f>AND(#REF!,"AAAAAH76c7s=")</f>
        <v>#REF!</v>
      </c>
      <c r="GG281" t="e">
        <f>AND(#REF!,"AAAAAH76c7w=")</f>
        <v>#REF!</v>
      </c>
      <c r="GH281" t="e">
        <f>AND(#REF!,"AAAAAH76c70=")</f>
        <v>#REF!</v>
      </c>
      <c r="GI281" t="e">
        <f>AND(#REF!,"AAAAAH76c74=")</f>
        <v>#REF!</v>
      </c>
      <c r="GJ281" t="e">
        <f>AND(#REF!,"AAAAAH76c78=")</f>
        <v>#REF!</v>
      </c>
      <c r="GK281" t="e">
        <f>AND(#REF!,"AAAAAH76c8A=")</f>
        <v>#REF!</v>
      </c>
      <c r="GL281" t="e">
        <f>AND(#REF!,"AAAAAH76c8E=")</f>
        <v>#REF!</v>
      </c>
      <c r="GM281" t="e">
        <f>AND(#REF!,"AAAAAH76c8I=")</f>
        <v>#REF!</v>
      </c>
      <c r="GN281" t="e">
        <f>AND(#REF!,"AAAAAH76c8M=")</f>
        <v>#REF!</v>
      </c>
      <c r="GO281" t="e">
        <f>AND(#REF!,"AAAAAH76c8Q=")</f>
        <v>#REF!</v>
      </c>
      <c r="GP281" t="e">
        <f>AND(#REF!,"AAAAAH76c8U=")</f>
        <v>#REF!</v>
      </c>
      <c r="GQ281" t="e">
        <f>AND(#REF!,"AAAAAH76c8Y=")</f>
        <v>#REF!</v>
      </c>
      <c r="GR281" t="e">
        <f>AND(#REF!,"AAAAAH76c8c=")</f>
        <v>#REF!</v>
      </c>
      <c r="GS281" t="e">
        <f>AND(#REF!,"AAAAAH76c8g=")</f>
        <v>#REF!</v>
      </c>
      <c r="GT281" t="e">
        <f>AND(#REF!,"AAAAAH76c8k=")</f>
        <v>#REF!</v>
      </c>
      <c r="GU281" t="e">
        <f>AND(#REF!,"AAAAAH76c8o=")</f>
        <v>#REF!</v>
      </c>
      <c r="GV281" t="e">
        <f>AND(#REF!,"AAAAAH76c8s=")</f>
        <v>#REF!</v>
      </c>
      <c r="GW281" t="e">
        <f>AND(#REF!,"AAAAAH76c8w=")</f>
        <v>#REF!</v>
      </c>
      <c r="GX281" t="e">
        <f>AND(#REF!,"AAAAAH76c80=")</f>
        <v>#REF!</v>
      </c>
      <c r="GY281" t="e">
        <f>AND(#REF!,"AAAAAH76c84=")</f>
        <v>#REF!</v>
      </c>
      <c r="GZ281" t="e">
        <f>AND(#REF!,"AAAAAH76c88=")</f>
        <v>#REF!</v>
      </c>
      <c r="HA281" t="e">
        <f>AND(#REF!,"AAAAAH76c9A=")</f>
        <v>#REF!</v>
      </c>
      <c r="HB281" t="e">
        <f>AND(#REF!,"AAAAAH76c9E=")</f>
        <v>#REF!</v>
      </c>
      <c r="HC281" t="e">
        <f>AND(#REF!,"AAAAAH76c9I=")</f>
        <v>#REF!</v>
      </c>
      <c r="HD281" t="e">
        <f>IF(#REF!,"AAAAAH76c9M=",0)</f>
        <v>#REF!</v>
      </c>
      <c r="HE281" t="e">
        <f>AND(#REF!,"AAAAAH76c9Q=")</f>
        <v>#REF!</v>
      </c>
      <c r="HF281" t="e">
        <f>AND(#REF!,"AAAAAH76c9U=")</f>
        <v>#REF!</v>
      </c>
      <c r="HG281" t="e">
        <f>AND(#REF!,"AAAAAH76c9Y=")</f>
        <v>#REF!</v>
      </c>
      <c r="HH281" t="e">
        <f>AND(#REF!,"AAAAAH76c9c=")</f>
        <v>#REF!</v>
      </c>
      <c r="HI281" t="e">
        <f>AND(#REF!,"AAAAAH76c9g=")</f>
        <v>#REF!</v>
      </c>
      <c r="HJ281" t="e">
        <f>AND(#REF!,"AAAAAH76c9k=")</f>
        <v>#REF!</v>
      </c>
      <c r="HK281" t="e">
        <f>AND(#REF!,"AAAAAH76c9o=")</f>
        <v>#REF!</v>
      </c>
      <c r="HL281" t="e">
        <f>AND(#REF!,"AAAAAH76c9s=")</f>
        <v>#REF!</v>
      </c>
      <c r="HM281" t="e">
        <f>AND(#REF!,"AAAAAH76c9w=")</f>
        <v>#REF!</v>
      </c>
      <c r="HN281" t="e">
        <f>AND(#REF!,"AAAAAH76c90=")</f>
        <v>#REF!</v>
      </c>
      <c r="HO281" t="e">
        <f>AND(#REF!,"AAAAAH76c94=")</f>
        <v>#REF!</v>
      </c>
      <c r="HP281" t="e">
        <f>AND(#REF!,"AAAAAH76c98=")</f>
        <v>#REF!</v>
      </c>
      <c r="HQ281" t="e">
        <f>AND(#REF!,"AAAAAH76c+A=")</f>
        <v>#REF!</v>
      </c>
      <c r="HR281" t="e">
        <f>AND(#REF!,"AAAAAH76c+E=")</f>
        <v>#REF!</v>
      </c>
      <c r="HS281" t="e">
        <f>AND(#REF!,"AAAAAH76c+I=")</f>
        <v>#REF!</v>
      </c>
      <c r="HT281" t="e">
        <f>AND(#REF!,"AAAAAH76c+M=")</f>
        <v>#REF!</v>
      </c>
      <c r="HU281" t="e">
        <f>AND(#REF!,"AAAAAH76c+Q=")</f>
        <v>#REF!</v>
      </c>
      <c r="HV281" t="e">
        <f>AND(#REF!,"AAAAAH76c+U=")</f>
        <v>#REF!</v>
      </c>
      <c r="HW281" t="e">
        <f>AND(#REF!,"AAAAAH76c+Y=")</f>
        <v>#REF!</v>
      </c>
      <c r="HX281" t="e">
        <f>AND(#REF!,"AAAAAH76c+c=")</f>
        <v>#REF!</v>
      </c>
      <c r="HY281" t="e">
        <f>AND(#REF!,"AAAAAH76c+g=")</f>
        <v>#REF!</v>
      </c>
      <c r="HZ281" t="e">
        <f>AND(#REF!,"AAAAAH76c+k=")</f>
        <v>#REF!</v>
      </c>
      <c r="IA281" t="e">
        <f>AND(#REF!,"AAAAAH76c+o=")</f>
        <v>#REF!</v>
      </c>
      <c r="IB281" t="e">
        <f>AND(#REF!,"AAAAAH76c+s=")</f>
        <v>#REF!</v>
      </c>
      <c r="IC281" t="e">
        <f>AND(#REF!,"AAAAAH76c+w=")</f>
        <v>#REF!</v>
      </c>
      <c r="ID281" t="e">
        <f>AND(#REF!,"AAAAAH76c+0=")</f>
        <v>#REF!</v>
      </c>
      <c r="IE281" t="e">
        <f>AND(#REF!,"AAAAAH76c+4=")</f>
        <v>#REF!</v>
      </c>
      <c r="IF281" t="e">
        <f>AND(#REF!,"AAAAAH76c+8=")</f>
        <v>#REF!</v>
      </c>
      <c r="IG281" t="e">
        <f>AND(#REF!,"AAAAAH76c/A=")</f>
        <v>#REF!</v>
      </c>
      <c r="IH281" t="e">
        <f>AND(#REF!,"AAAAAH76c/E=")</f>
        <v>#REF!</v>
      </c>
      <c r="II281" t="e">
        <f>AND(#REF!,"AAAAAH76c/I=")</f>
        <v>#REF!</v>
      </c>
      <c r="IJ281" t="e">
        <f>AND(#REF!,"AAAAAH76c/M=")</f>
        <v>#REF!</v>
      </c>
      <c r="IK281" t="e">
        <f>AND(#REF!,"AAAAAH76c/Q=")</f>
        <v>#REF!</v>
      </c>
      <c r="IL281" t="e">
        <f>AND(#REF!,"AAAAAH76c/U=")</f>
        <v>#REF!</v>
      </c>
      <c r="IM281" t="e">
        <f>AND(#REF!,"AAAAAH76c/Y=")</f>
        <v>#REF!</v>
      </c>
      <c r="IN281" t="e">
        <f>AND(#REF!,"AAAAAH76c/c=")</f>
        <v>#REF!</v>
      </c>
      <c r="IO281" t="e">
        <f>AND(#REF!,"AAAAAH76c/g=")</f>
        <v>#REF!</v>
      </c>
      <c r="IP281" t="e">
        <f>AND(#REF!,"AAAAAH76c/k=")</f>
        <v>#REF!</v>
      </c>
      <c r="IQ281" t="e">
        <f>AND(#REF!,"AAAAAH76c/o=")</f>
        <v>#REF!</v>
      </c>
      <c r="IR281" t="e">
        <f>AND(#REF!,"AAAAAH76c/s=")</f>
        <v>#REF!</v>
      </c>
      <c r="IS281" t="e">
        <f>AND(#REF!,"AAAAAH76c/w=")</f>
        <v>#REF!</v>
      </c>
      <c r="IT281" t="e">
        <f>AND(#REF!,"AAAAAH76c/0=")</f>
        <v>#REF!</v>
      </c>
      <c r="IU281" t="e">
        <f>AND(#REF!,"AAAAAH76c/4=")</f>
        <v>#REF!</v>
      </c>
      <c r="IV281" t="e">
        <f>AND(#REF!,"AAAAAH76c/8=")</f>
        <v>#REF!</v>
      </c>
    </row>
    <row r="282" spans="1:256">
      <c r="A282" t="e">
        <f>AND(#REF!,"AAAAAH/TvgA=")</f>
        <v>#REF!</v>
      </c>
      <c r="B282" t="e">
        <f>AND(#REF!,"AAAAAH/TvgE=")</f>
        <v>#REF!</v>
      </c>
      <c r="C282" t="e">
        <f>AND(#REF!,"AAAAAH/TvgI=")</f>
        <v>#REF!</v>
      </c>
      <c r="D282" t="e">
        <f>AND(#REF!,"AAAAAH/TvgM=")</f>
        <v>#REF!</v>
      </c>
      <c r="E282" t="e">
        <f>AND(#REF!,"AAAAAH/TvgQ=")</f>
        <v>#REF!</v>
      </c>
      <c r="F282" t="e">
        <f>AND(#REF!,"AAAAAH/TvgU=")</f>
        <v>#REF!</v>
      </c>
      <c r="G282" t="e">
        <f>AND(#REF!,"AAAAAH/TvgY=")</f>
        <v>#REF!</v>
      </c>
      <c r="H282" t="e">
        <f>IF(#REF!,"AAAAAH/Tvgc=",0)</f>
        <v>#REF!</v>
      </c>
      <c r="I282" t="e">
        <f>AND(#REF!,"AAAAAH/Tvgg=")</f>
        <v>#REF!</v>
      </c>
      <c r="J282" t="e">
        <f>AND(#REF!,"AAAAAH/Tvgk=")</f>
        <v>#REF!</v>
      </c>
      <c r="K282" t="e">
        <f>AND(#REF!,"AAAAAH/Tvgo=")</f>
        <v>#REF!</v>
      </c>
      <c r="L282" t="e">
        <f>AND(#REF!,"AAAAAH/Tvgs=")</f>
        <v>#REF!</v>
      </c>
      <c r="M282" t="e">
        <f>AND(#REF!,"AAAAAH/Tvgw=")</f>
        <v>#REF!</v>
      </c>
      <c r="N282" t="e">
        <f>AND(#REF!,"AAAAAH/Tvg0=")</f>
        <v>#REF!</v>
      </c>
      <c r="O282" t="e">
        <f>AND(#REF!,"AAAAAH/Tvg4=")</f>
        <v>#REF!</v>
      </c>
      <c r="P282" t="e">
        <f>AND(#REF!,"AAAAAH/Tvg8=")</f>
        <v>#REF!</v>
      </c>
      <c r="Q282" t="e">
        <f>AND(#REF!,"AAAAAH/TvhA=")</f>
        <v>#REF!</v>
      </c>
      <c r="R282" t="e">
        <f>AND(#REF!,"AAAAAH/TvhE=")</f>
        <v>#REF!</v>
      </c>
      <c r="S282" t="e">
        <f>AND(#REF!,"AAAAAH/TvhI=")</f>
        <v>#REF!</v>
      </c>
      <c r="T282" t="e">
        <f>AND(#REF!,"AAAAAH/TvhM=")</f>
        <v>#REF!</v>
      </c>
      <c r="U282" t="e">
        <f>AND(#REF!,"AAAAAH/TvhQ=")</f>
        <v>#REF!</v>
      </c>
      <c r="V282" t="e">
        <f>AND(#REF!,"AAAAAH/TvhU=")</f>
        <v>#REF!</v>
      </c>
      <c r="W282" t="e">
        <f>AND(#REF!,"AAAAAH/TvhY=")</f>
        <v>#REF!</v>
      </c>
      <c r="X282" t="e">
        <f>AND(#REF!,"AAAAAH/Tvhc=")</f>
        <v>#REF!</v>
      </c>
      <c r="Y282" t="e">
        <f>AND(#REF!,"AAAAAH/Tvhg=")</f>
        <v>#REF!</v>
      </c>
      <c r="Z282" t="e">
        <f>AND(#REF!,"AAAAAH/Tvhk=")</f>
        <v>#REF!</v>
      </c>
      <c r="AA282" t="e">
        <f>AND(#REF!,"AAAAAH/Tvho=")</f>
        <v>#REF!</v>
      </c>
      <c r="AB282" t="e">
        <f>AND(#REF!,"AAAAAH/Tvhs=")</f>
        <v>#REF!</v>
      </c>
      <c r="AC282" t="e">
        <f>AND(#REF!,"AAAAAH/Tvhw=")</f>
        <v>#REF!</v>
      </c>
      <c r="AD282" t="e">
        <f>AND(#REF!,"AAAAAH/Tvh0=")</f>
        <v>#REF!</v>
      </c>
      <c r="AE282" t="e">
        <f>AND(#REF!,"AAAAAH/Tvh4=")</f>
        <v>#REF!</v>
      </c>
      <c r="AF282" t="e">
        <f>AND(#REF!,"AAAAAH/Tvh8=")</f>
        <v>#REF!</v>
      </c>
      <c r="AG282" t="e">
        <f>AND(#REF!,"AAAAAH/TviA=")</f>
        <v>#REF!</v>
      </c>
      <c r="AH282" t="e">
        <f>AND(#REF!,"AAAAAH/TviE=")</f>
        <v>#REF!</v>
      </c>
      <c r="AI282" t="e">
        <f>AND(#REF!,"AAAAAH/TviI=")</f>
        <v>#REF!</v>
      </c>
      <c r="AJ282" t="e">
        <f>AND(#REF!,"AAAAAH/TviM=")</f>
        <v>#REF!</v>
      </c>
      <c r="AK282" t="e">
        <f>AND(#REF!,"AAAAAH/TviQ=")</f>
        <v>#REF!</v>
      </c>
      <c r="AL282" t="e">
        <f>AND(#REF!,"AAAAAH/TviU=")</f>
        <v>#REF!</v>
      </c>
      <c r="AM282" t="e">
        <f>AND(#REF!,"AAAAAH/TviY=")</f>
        <v>#REF!</v>
      </c>
      <c r="AN282" t="e">
        <f>AND(#REF!,"AAAAAH/Tvic=")</f>
        <v>#REF!</v>
      </c>
      <c r="AO282" t="e">
        <f>AND(#REF!,"AAAAAH/Tvig=")</f>
        <v>#REF!</v>
      </c>
      <c r="AP282" t="e">
        <f>AND(#REF!,"AAAAAH/Tvik=")</f>
        <v>#REF!</v>
      </c>
      <c r="AQ282" t="e">
        <f>AND(#REF!,"AAAAAH/Tvio=")</f>
        <v>#REF!</v>
      </c>
      <c r="AR282" t="e">
        <f>AND(#REF!,"AAAAAH/Tvis=")</f>
        <v>#REF!</v>
      </c>
      <c r="AS282" t="e">
        <f>AND(#REF!,"AAAAAH/Tviw=")</f>
        <v>#REF!</v>
      </c>
      <c r="AT282" t="e">
        <f>AND(#REF!,"AAAAAH/Tvi0=")</f>
        <v>#REF!</v>
      </c>
      <c r="AU282" t="e">
        <f>AND(#REF!,"AAAAAH/Tvi4=")</f>
        <v>#REF!</v>
      </c>
      <c r="AV282" t="e">
        <f>AND(#REF!,"AAAAAH/Tvi8=")</f>
        <v>#REF!</v>
      </c>
      <c r="AW282" t="e">
        <f>AND(#REF!,"AAAAAH/TvjA=")</f>
        <v>#REF!</v>
      </c>
      <c r="AX282" t="e">
        <f>AND(#REF!,"AAAAAH/TvjE=")</f>
        <v>#REF!</v>
      </c>
      <c r="AY282" t="e">
        <f>AND(#REF!,"AAAAAH/TvjI=")</f>
        <v>#REF!</v>
      </c>
      <c r="AZ282" t="e">
        <f>AND(#REF!,"AAAAAH/TvjM=")</f>
        <v>#REF!</v>
      </c>
      <c r="BA282" t="e">
        <f>AND(#REF!,"AAAAAH/TvjQ=")</f>
        <v>#REF!</v>
      </c>
      <c r="BB282" t="e">
        <f>AND(#REF!,"AAAAAH/TvjU=")</f>
        <v>#REF!</v>
      </c>
      <c r="BC282" t="e">
        <f>AND(#REF!,"AAAAAH/TvjY=")</f>
        <v>#REF!</v>
      </c>
      <c r="BD282" t="e">
        <f>AND(#REF!,"AAAAAH/Tvjc=")</f>
        <v>#REF!</v>
      </c>
      <c r="BE282" t="e">
        <f>AND(#REF!,"AAAAAH/Tvjg=")</f>
        <v>#REF!</v>
      </c>
      <c r="BF282" t="e">
        <f>AND(#REF!,"AAAAAH/Tvjk=")</f>
        <v>#REF!</v>
      </c>
      <c r="BG282" t="e">
        <f>AND(#REF!,"AAAAAH/Tvjo=")</f>
        <v>#REF!</v>
      </c>
      <c r="BH282" t="e">
        <f>IF(#REF!,"AAAAAH/Tvjs=",0)</f>
        <v>#REF!</v>
      </c>
      <c r="BI282" t="e">
        <f>AND(#REF!,"AAAAAH/Tvjw=")</f>
        <v>#REF!</v>
      </c>
      <c r="BJ282" t="e">
        <f>AND(#REF!,"AAAAAH/Tvj0=")</f>
        <v>#REF!</v>
      </c>
      <c r="BK282" t="e">
        <f>AND(#REF!,"AAAAAH/Tvj4=")</f>
        <v>#REF!</v>
      </c>
      <c r="BL282" t="e">
        <f>AND(#REF!,"AAAAAH/Tvj8=")</f>
        <v>#REF!</v>
      </c>
      <c r="BM282" t="e">
        <f>AND(#REF!,"AAAAAH/TvkA=")</f>
        <v>#REF!</v>
      </c>
      <c r="BN282" t="e">
        <f>AND(#REF!,"AAAAAH/TvkE=")</f>
        <v>#REF!</v>
      </c>
      <c r="BO282" t="e">
        <f>AND(#REF!,"AAAAAH/TvkI=")</f>
        <v>#REF!</v>
      </c>
      <c r="BP282" t="e">
        <f>AND(#REF!,"AAAAAH/TvkM=")</f>
        <v>#REF!</v>
      </c>
      <c r="BQ282" t="e">
        <f>AND(#REF!,"AAAAAH/TvkQ=")</f>
        <v>#REF!</v>
      </c>
      <c r="BR282" t="e">
        <f>AND(#REF!,"AAAAAH/TvkU=")</f>
        <v>#REF!</v>
      </c>
      <c r="BS282" t="e">
        <f>AND(#REF!,"AAAAAH/TvkY=")</f>
        <v>#REF!</v>
      </c>
      <c r="BT282" t="e">
        <f>AND(#REF!,"AAAAAH/Tvkc=")</f>
        <v>#REF!</v>
      </c>
      <c r="BU282" t="e">
        <f>AND(#REF!,"AAAAAH/Tvkg=")</f>
        <v>#REF!</v>
      </c>
      <c r="BV282" t="e">
        <f>AND(#REF!,"AAAAAH/Tvkk=")</f>
        <v>#REF!</v>
      </c>
      <c r="BW282" t="e">
        <f>AND(#REF!,"AAAAAH/Tvko=")</f>
        <v>#REF!</v>
      </c>
      <c r="BX282" t="e">
        <f>AND(#REF!,"AAAAAH/Tvks=")</f>
        <v>#REF!</v>
      </c>
      <c r="BY282" t="e">
        <f>AND(#REF!,"AAAAAH/Tvkw=")</f>
        <v>#REF!</v>
      </c>
      <c r="BZ282" t="e">
        <f>AND(#REF!,"AAAAAH/Tvk0=")</f>
        <v>#REF!</v>
      </c>
      <c r="CA282" t="e">
        <f>AND(#REF!,"AAAAAH/Tvk4=")</f>
        <v>#REF!</v>
      </c>
      <c r="CB282" t="e">
        <f>AND(#REF!,"AAAAAH/Tvk8=")</f>
        <v>#REF!</v>
      </c>
      <c r="CC282" t="e">
        <f>AND(#REF!,"AAAAAH/TvlA=")</f>
        <v>#REF!</v>
      </c>
      <c r="CD282" t="e">
        <f>AND(#REF!,"AAAAAH/TvlE=")</f>
        <v>#REF!</v>
      </c>
      <c r="CE282" t="e">
        <f>AND(#REF!,"AAAAAH/TvlI=")</f>
        <v>#REF!</v>
      </c>
      <c r="CF282" t="e">
        <f>AND(#REF!,"AAAAAH/TvlM=")</f>
        <v>#REF!</v>
      </c>
      <c r="CG282" t="e">
        <f>AND(#REF!,"AAAAAH/TvlQ=")</f>
        <v>#REF!</v>
      </c>
      <c r="CH282" t="e">
        <f>AND(#REF!,"AAAAAH/TvlU=")</f>
        <v>#REF!</v>
      </c>
      <c r="CI282" t="e">
        <f>AND(#REF!,"AAAAAH/TvlY=")</f>
        <v>#REF!</v>
      </c>
      <c r="CJ282" t="e">
        <f>AND(#REF!,"AAAAAH/Tvlc=")</f>
        <v>#REF!</v>
      </c>
      <c r="CK282" t="e">
        <f>AND(#REF!,"AAAAAH/Tvlg=")</f>
        <v>#REF!</v>
      </c>
      <c r="CL282" t="e">
        <f>AND(#REF!,"AAAAAH/Tvlk=")</f>
        <v>#REF!</v>
      </c>
      <c r="CM282" t="e">
        <f>AND(#REF!,"AAAAAH/Tvlo=")</f>
        <v>#REF!</v>
      </c>
      <c r="CN282" t="e">
        <f>AND(#REF!,"AAAAAH/Tvls=")</f>
        <v>#REF!</v>
      </c>
      <c r="CO282" t="e">
        <f>AND(#REF!,"AAAAAH/Tvlw=")</f>
        <v>#REF!</v>
      </c>
      <c r="CP282" t="e">
        <f>AND(#REF!,"AAAAAH/Tvl0=")</f>
        <v>#REF!</v>
      </c>
      <c r="CQ282" t="e">
        <f>AND(#REF!,"AAAAAH/Tvl4=")</f>
        <v>#REF!</v>
      </c>
      <c r="CR282" t="e">
        <f>AND(#REF!,"AAAAAH/Tvl8=")</f>
        <v>#REF!</v>
      </c>
      <c r="CS282" t="e">
        <f>AND(#REF!,"AAAAAH/TvmA=")</f>
        <v>#REF!</v>
      </c>
      <c r="CT282" t="e">
        <f>AND(#REF!,"AAAAAH/TvmE=")</f>
        <v>#REF!</v>
      </c>
      <c r="CU282" t="e">
        <f>AND(#REF!,"AAAAAH/TvmI=")</f>
        <v>#REF!</v>
      </c>
      <c r="CV282" t="e">
        <f>AND(#REF!,"AAAAAH/TvmM=")</f>
        <v>#REF!</v>
      </c>
      <c r="CW282" t="e">
        <f>AND(#REF!,"AAAAAH/TvmQ=")</f>
        <v>#REF!</v>
      </c>
      <c r="CX282" t="e">
        <f>AND(#REF!,"AAAAAH/TvmU=")</f>
        <v>#REF!</v>
      </c>
      <c r="CY282" t="e">
        <f>AND(#REF!,"AAAAAH/TvmY=")</f>
        <v>#REF!</v>
      </c>
      <c r="CZ282" t="e">
        <f>AND(#REF!,"AAAAAH/Tvmc=")</f>
        <v>#REF!</v>
      </c>
      <c r="DA282" t="e">
        <f>AND(#REF!,"AAAAAH/Tvmg=")</f>
        <v>#REF!</v>
      </c>
      <c r="DB282" t="e">
        <f>AND(#REF!,"AAAAAH/Tvmk=")</f>
        <v>#REF!</v>
      </c>
      <c r="DC282" t="e">
        <f>AND(#REF!,"AAAAAH/Tvmo=")</f>
        <v>#REF!</v>
      </c>
      <c r="DD282" t="e">
        <f>AND(#REF!,"AAAAAH/Tvms=")</f>
        <v>#REF!</v>
      </c>
      <c r="DE282" t="e">
        <f>AND(#REF!,"AAAAAH/Tvmw=")</f>
        <v>#REF!</v>
      </c>
      <c r="DF282" t="e">
        <f>AND(#REF!,"AAAAAH/Tvm0=")</f>
        <v>#REF!</v>
      </c>
      <c r="DG282" t="e">
        <f>AND(#REF!,"AAAAAH/Tvm4=")</f>
        <v>#REF!</v>
      </c>
      <c r="DH282" t="e">
        <f>IF(#REF!,"AAAAAH/Tvm8=",0)</f>
        <v>#REF!</v>
      </c>
      <c r="DI282" t="e">
        <f>AND(#REF!,"AAAAAH/TvnA=")</f>
        <v>#REF!</v>
      </c>
      <c r="DJ282" t="e">
        <f>AND(#REF!,"AAAAAH/TvnE=")</f>
        <v>#REF!</v>
      </c>
      <c r="DK282" t="e">
        <f>AND(#REF!,"AAAAAH/TvnI=")</f>
        <v>#REF!</v>
      </c>
      <c r="DL282" t="e">
        <f>AND(#REF!,"AAAAAH/TvnM=")</f>
        <v>#REF!</v>
      </c>
      <c r="DM282" t="e">
        <f>AND(#REF!,"AAAAAH/TvnQ=")</f>
        <v>#REF!</v>
      </c>
      <c r="DN282" t="e">
        <f>AND(#REF!,"AAAAAH/TvnU=")</f>
        <v>#REF!</v>
      </c>
      <c r="DO282" t="e">
        <f>AND(#REF!,"AAAAAH/TvnY=")</f>
        <v>#REF!</v>
      </c>
      <c r="DP282" t="e">
        <f>AND(#REF!,"AAAAAH/Tvnc=")</f>
        <v>#REF!</v>
      </c>
      <c r="DQ282" t="e">
        <f>AND(#REF!,"AAAAAH/Tvng=")</f>
        <v>#REF!</v>
      </c>
      <c r="DR282" t="e">
        <f>AND(#REF!,"AAAAAH/Tvnk=")</f>
        <v>#REF!</v>
      </c>
      <c r="DS282" t="e">
        <f>AND(#REF!,"AAAAAH/Tvno=")</f>
        <v>#REF!</v>
      </c>
      <c r="DT282" t="e">
        <f>AND(#REF!,"AAAAAH/Tvns=")</f>
        <v>#REF!</v>
      </c>
      <c r="DU282" t="e">
        <f>AND(#REF!,"AAAAAH/Tvnw=")</f>
        <v>#REF!</v>
      </c>
      <c r="DV282" t="e">
        <f>AND(#REF!,"AAAAAH/Tvn0=")</f>
        <v>#REF!</v>
      </c>
      <c r="DW282" t="e">
        <f>AND(#REF!,"AAAAAH/Tvn4=")</f>
        <v>#REF!</v>
      </c>
      <c r="DX282" t="e">
        <f>AND(#REF!,"AAAAAH/Tvn8=")</f>
        <v>#REF!</v>
      </c>
      <c r="DY282" t="e">
        <f>AND(#REF!,"AAAAAH/TvoA=")</f>
        <v>#REF!</v>
      </c>
      <c r="DZ282" t="e">
        <f>AND(#REF!,"AAAAAH/TvoE=")</f>
        <v>#REF!</v>
      </c>
      <c r="EA282" t="e">
        <f>AND(#REF!,"AAAAAH/TvoI=")</f>
        <v>#REF!</v>
      </c>
      <c r="EB282" t="e">
        <f>AND(#REF!,"AAAAAH/TvoM=")</f>
        <v>#REF!</v>
      </c>
      <c r="EC282" t="e">
        <f>AND(#REF!,"AAAAAH/TvoQ=")</f>
        <v>#REF!</v>
      </c>
      <c r="ED282" t="e">
        <f>AND(#REF!,"AAAAAH/TvoU=")</f>
        <v>#REF!</v>
      </c>
      <c r="EE282" t="e">
        <f>AND(#REF!,"AAAAAH/TvoY=")</f>
        <v>#REF!</v>
      </c>
      <c r="EF282" t="e">
        <f>AND(#REF!,"AAAAAH/Tvoc=")</f>
        <v>#REF!</v>
      </c>
      <c r="EG282" t="e">
        <f>AND(#REF!,"AAAAAH/Tvog=")</f>
        <v>#REF!</v>
      </c>
      <c r="EH282" t="e">
        <f>AND(#REF!,"AAAAAH/Tvok=")</f>
        <v>#REF!</v>
      </c>
      <c r="EI282" t="e">
        <f>AND(#REF!,"AAAAAH/Tvoo=")</f>
        <v>#REF!</v>
      </c>
      <c r="EJ282" t="e">
        <f>AND(#REF!,"AAAAAH/Tvos=")</f>
        <v>#REF!</v>
      </c>
      <c r="EK282" t="e">
        <f>AND(#REF!,"AAAAAH/Tvow=")</f>
        <v>#REF!</v>
      </c>
      <c r="EL282" t="e">
        <f>AND(#REF!,"AAAAAH/Tvo0=")</f>
        <v>#REF!</v>
      </c>
      <c r="EM282" t="e">
        <f>AND(#REF!,"AAAAAH/Tvo4=")</f>
        <v>#REF!</v>
      </c>
      <c r="EN282" t="e">
        <f>AND(#REF!,"AAAAAH/Tvo8=")</f>
        <v>#REF!</v>
      </c>
      <c r="EO282" t="e">
        <f>AND(#REF!,"AAAAAH/TvpA=")</f>
        <v>#REF!</v>
      </c>
      <c r="EP282" t="e">
        <f>AND(#REF!,"AAAAAH/TvpE=")</f>
        <v>#REF!</v>
      </c>
      <c r="EQ282" t="e">
        <f>AND(#REF!,"AAAAAH/TvpI=")</f>
        <v>#REF!</v>
      </c>
      <c r="ER282" t="e">
        <f>AND(#REF!,"AAAAAH/TvpM=")</f>
        <v>#REF!</v>
      </c>
      <c r="ES282" t="e">
        <f>AND(#REF!,"AAAAAH/TvpQ=")</f>
        <v>#REF!</v>
      </c>
      <c r="ET282" t="e">
        <f>AND(#REF!,"AAAAAH/TvpU=")</f>
        <v>#REF!</v>
      </c>
      <c r="EU282" t="e">
        <f>AND(#REF!,"AAAAAH/TvpY=")</f>
        <v>#REF!</v>
      </c>
      <c r="EV282" t="e">
        <f>AND(#REF!,"AAAAAH/Tvpc=")</f>
        <v>#REF!</v>
      </c>
      <c r="EW282" t="e">
        <f>AND(#REF!,"AAAAAH/Tvpg=")</f>
        <v>#REF!</v>
      </c>
      <c r="EX282" t="e">
        <f>AND(#REF!,"AAAAAH/Tvpk=")</f>
        <v>#REF!</v>
      </c>
      <c r="EY282" t="e">
        <f>AND(#REF!,"AAAAAH/Tvpo=")</f>
        <v>#REF!</v>
      </c>
      <c r="EZ282" t="e">
        <f>AND(#REF!,"AAAAAH/Tvps=")</f>
        <v>#REF!</v>
      </c>
      <c r="FA282" t="e">
        <f>AND(#REF!,"AAAAAH/Tvpw=")</f>
        <v>#REF!</v>
      </c>
      <c r="FB282" t="e">
        <f>AND(#REF!,"AAAAAH/Tvp0=")</f>
        <v>#REF!</v>
      </c>
      <c r="FC282" t="e">
        <f>AND(#REF!,"AAAAAH/Tvp4=")</f>
        <v>#REF!</v>
      </c>
      <c r="FD282" t="e">
        <f>AND(#REF!,"AAAAAH/Tvp8=")</f>
        <v>#REF!</v>
      </c>
      <c r="FE282" t="e">
        <f>AND(#REF!,"AAAAAH/TvqA=")</f>
        <v>#REF!</v>
      </c>
      <c r="FF282" t="e">
        <f>AND(#REF!,"AAAAAH/TvqE=")</f>
        <v>#REF!</v>
      </c>
      <c r="FG282" t="e">
        <f>AND(#REF!,"AAAAAH/TvqI=")</f>
        <v>#REF!</v>
      </c>
      <c r="FH282" t="e">
        <f>IF(#REF!,"AAAAAH/TvqM=",0)</f>
        <v>#REF!</v>
      </c>
      <c r="FI282" t="e">
        <f>AND(#REF!,"AAAAAH/TvqQ=")</f>
        <v>#REF!</v>
      </c>
      <c r="FJ282" t="e">
        <f>AND(#REF!,"AAAAAH/TvqU=")</f>
        <v>#REF!</v>
      </c>
      <c r="FK282" t="e">
        <f>AND(#REF!,"AAAAAH/TvqY=")</f>
        <v>#REF!</v>
      </c>
      <c r="FL282" t="e">
        <f>AND(#REF!,"AAAAAH/Tvqc=")</f>
        <v>#REF!</v>
      </c>
      <c r="FM282" t="e">
        <f>AND(#REF!,"AAAAAH/Tvqg=")</f>
        <v>#REF!</v>
      </c>
      <c r="FN282" t="e">
        <f>AND(#REF!,"AAAAAH/Tvqk=")</f>
        <v>#REF!</v>
      </c>
      <c r="FO282" t="e">
        <f>AND(#REF!,"AAAAAH/Tvqo=")</f>
        <v>#REF!</v>
      </c>
      <c r="FP282" t="e">
        <f>AND(#REF!,"AAAAAH/Tvqs=")</f>
        <v>#REF!</v>
      </c>
      <c r="FQ282" t="e">
        <f>AND(#REF!,"AAAAAH/Tvqw=")</f>
        <v>#REF!</v>
      </c>
      <c r="FR282" t="e">
        <f>AND(#REF!,"AAAAAH/Tvq0=")</f>
        <v>#REF!</v>
      </c>
      <c r="FS282" t="e">
        <f>AND(#REF!,"AAAAAH/Tvq4=")</f>
        <v>#REF!</v>
      </c>
      <c r="FT282" t="e">
        <f>AND(#REF!,"AAAAAH/Tvq8=")</f>
        <v>#REF!</v>
      </c>
      <c r="FU282" t="e">
        <f>AND(#REF!,"AAAAAH/TvrA=")</f>
        <v>#REF!</v>
      </c>
      <c r="FV282" t="e">
        <f>AND(#REF!,"AAAAAH/TvrE=")</f>
        <v>#REF!</v>
      </c>
      <c r="FW282" t="e">
        <f>AND(#REF!,"AAAAAH/TvrI=")</f>
        <v>#REF!</v>
      </c>
      <c r="FX282" t="e">
        <f>AND(#REF!,"AAAAAH/TvrM=")</f>
        <v>#REF!</v>
      </c>
      <c r="FY282" t="e">
        <f>AND(#REF!,"AAAAAH/TvrQ=")</f>
        <v>#REF!</v>
      </c>
      <c r="FZ282" t="e">
        <f>AND(#REF!,"AAAAAH/TvrU=")</f>
        <v>#REF!</v>
      </c>
      <c r="GA282" t="e">
        <f>AND(#REF!,"AAAAAH/TvrY=")</f>
        <v>#REF!</v>
      </c>
      <c r="GB282" t="e">
        <f>AND(#REF!,"AAAAAH/Tvrc=")</f>
        <v>#REF!</v>
      </c>
      <c r="GC282" t="e">
        <f>AND(#REF!,"AAAAAH/Tvrg=")</f>
        <v>#REF!</v>
      </c>
      <c r="GD282" t="e">
        <f>AND(#REF!,"AAAAAH/Tvrk=")</f>
        <v>#REF!</v>
      </c>
      <c r="GE282" t="e">
        <f>AND(#REF!,"AAAAAH/Tvro=")</f>
        <v>#REF!</v>
      </c>
      <c r="GF282" t="e">
        <f>AND(#REF!,"AAAAAH/Tvrs=")</f>
        <v>#REF!</v>
      </c>
      <c r="GG282" t="e">
        <f>AND(#REF!,"AAAAAH/Tvrw=")</f>
        <v>#REF!</v>
      </c>
      <c r="GH282" t="e">
        <f>AND(#REF!,"AAAAAH/Tvr0=")</f>
        <v>#REF!</v>
      </c>
      <c r="GI282" t="e">
        <f>AND(#REF!,"AAAAAH/Tvr4=")</f>
        <v>#REF!</v>
      </c>
      <c r="GJ282" t="e">
        <f>AND(#REF!,"AAAAAH/Tvr8=")</f>
        <v>#REF!</v>
      </c>
      <c r="GK282" t="e">
        <f>AND(#REF!,"AAAAAH/TvsA=")</f>
        <v>#REF!</v>
      </c>
      <c r="GL282" t="e">
        <f>AND(#REF!,"AAAAAH/TvsE=")</f>
        <v>#REF!</v>
      </c>
      <c r="GM282" t="e">
        <f>AND(#REF!,"AAAAAH/TvsI=")</f>
        <v>#REF!</v>
      </c>
      <c r="GN282" t="e">
        <f>AND(#REF!,"AAAAAH/TvsM=")</f>
        <v>#REF!</v>
      </c>
      <c r="GO282" t="e">
        <f>AND(#REF!,"AAAAAH/TvsQ=")</f>
        <v>#REF!</v>
      </c>
      <c r="GP282" t="e">
        <f>AND(#REF!,"AAAAAH/TvsU=")</f>
        <v>#REF!</v>
      </c>
      <c r="GQ282" t="e">
        <f>AND(#REF!,"AAAAAH/TvsY=")</f>
        <v>#REF!</v>
      </c>
      <c r="GR282" t="e">
        <f>AND(#REF!,"AAAAAH/Tvsc=")</f>
        <v>#REF!</v>
      </c>
      <c r="GS282" t="e">
        <f>AND(#REF!,"AAAAAH/Tvsg=")</f>
        <v>#REF!</v>
      </c>
      <c r="GT282" t="e">
        <f>AND(#REF!,"AAAAAH/Tvsk=")</f>
        <v>#REF!</v>
      </c>
      <c r="GU282" t="e">
        <f>AND(#REF!,"AAAAAH/Tvso=")</f>
        <v>#REF!</v>
      </c>
      <c r="GV282" t="e">
        <f>AND(#REF!,"AAAAAH/Tvss=")</f>
        <v>#REF!</v>
      </c>
      <c r="GW282" t="e">
        <f>AND(#REF!,"AAAAAH/Tvsw=")</f>
        <v>#REF!</v>
      </c>
      <c r="GX282" t="e">
        <f>AND(#REF!,"AAAAAH/Tvs0=")</f>
        <v>#REF!</v>
      </c>
      <c r="GY282" t="e">
        <f>AND(#REF!,"AAAAAH/Tvs4=")</f>
        <v>#REF!</v>
      </c>
      <c r="GZ282" t="e">
        <f>AND(#REF!,"AAAAAH/Tvs8=")</f>
        <v>#REF!</v>
      </c>
      <c r="HA282" t="e">
        <f>AND(#REF!,"AAAAAH/TvtA=")</f>
        <v>#REF!</v>
      </c>
      <c r="HB282" t="e">
        <f>AND(#REF!,"AAAAAH/TvtE=")</f>
        <v>#REF!</v>
      </c>
      <c r="HC282" t="e">
        <f>AND(#REF!,"AAAAAH/TvtI=")</f>
        <v>#REF!</v>
      </c>
      <c r="HD282" t="e">
        <f>AND(#REF!,"AAAAAH/TvtM=")</f>
        <v>#REF!</v>
      </c>
      <c r="HE282" t="e">
        <f>AND(#REF!,"AAAAAH/TvtQ=")</f>
        <v>#REF!</v>
      </c>
      <c r="HF282" t="e">
        <f>AND(#REF!,"AAAAAH/TvtU=")</f>
        <v>#REF!</v>
      </c>
      <c r="HG282" t="e">
        <f>AND(#REF!,"AAAAAH/TvtY=")</f>
        <v>#REF!</v>
      </c>
      <c r="HH282" t="e">
        <f>IF(#REF!,"AAAAAH/Tvtc=",0)</f>
        <v>#REF!</v>
      </c>
      <c r="HI282" t="e">
        <f>AND(#REF!,"AAAAAH/Tvtg=")</f>
        <v>#REF!</v>
      </c>
      <c r="HJ282" t="e">
        <f>AND(#REF!,"AAAAAH/Tvtk=")</f>
        <v>#REF!</v>
      </c>
      <c r="HK282" t="e">
        <f>AND(#REF!,"AAAAAH/Tvto=")</f>
        <v>#REF!</v>
      </c>
      <c r="HL282" t="e">
        <f>AND(#REF!,"AAAAAH/Tvts=")</f>
        <v>#REF!</v>
      </c>
      <c r="HM282" t="e">
        <f>AND(#REF!,"AAAAAH/Tvtw=")</f>
        <v>#REF!</v>
      </c>
      <c r="HN282" t="e">
        <f>AND(#REF!,"AAAAAH/Tvt0=")</f>
        <v>#REF!</v>
      </c>
      <c r="HO282" t="e">
        <f>AND(#REF!,"AAAAAH/Tvt4=")</f>
        <v>#REF!</v>
      </c>
      <c r="HP282" t="e">
        <f>AND(#REF!,"AAAAAH/Tvt8=")</f>
        <v>#REF!</v>
      </c>
      <c r="HQ282" t="e">
        <f>AND(#REF!,"AAAAAH/TvuA=")</f>
        <v>#REF!</v>
      </c>
      <c r="HR282" t="e">
        <f>AND(#REF!,"AAAAAH/TvuE=")</f>
        <v>#REF!</v>
      </c>
      <c r="HS282" t="e">
        <f>AND(#REF!,"AAAAAH/TvuI=")</f>
        <v>#REF!</v>
      </c>
      <c r="HT282" t="e">
        <f>AND(#REF!,"AAAAAH/TvuM=")</f>
        <v>#REF!</v>
      </c>
      <c r="HU282" t="e">
        <f>AND(#REF!,"AAAAAH/TvuQ=")</f>
        <v>#REF!</v>
      </c>
      <c r="HV282" t="e">
        <f>AND(#REF!,"AAAAAH/TvuU=")</f>
        <v>#REF!</v>
      </c>
      <c r="HW282" t="e">
        <f>AND(#REF!,"AAAAAH/TvuY=")</f>
        <v>#REF!</v>
      </c>
      <c r="HX282" t="e">
        <f>AND(#REF!,"AAAAAH/Tvuc=")</f>
        <v>#REF!</v>
      </c>
      <c r="HY282" t="e">
        <f>AND(#REF!,"AAAAAH/Tvug=")</f>
        <v>#REF!</v>
      </c>
      <c r="HZ282" t="e">
        <f>AND(#REF!,"AAAAAH/Tvuk=")</f>
        <v>#REF!</v>
      </c>
      <c r="IA282" t="e">
        <f>AND(#REF!,"AAAAAH/Tvuo=")</f>
        <v>#REF!</v>
      </c>
      <c r="IB282" t="e">
        <f>AND(#REF!,"AAAAAH/Tvus=")</f>
        <v>#REF!</v>
      </c>
      <c r="IC282" t="e">
        <f>AND(#REF!,"AAAAAH/Tvuw=")</f>
        <v>#REF!</v>
      </c>
      <c r="ID282" t="e">
        <f>AND(#REF!,"AAAAAH/Tvu0=")</f>
        <v>#REF!</v>
      </c>
      <c r="IE282" t="e">
        <f>AND(#REF!,"AAAAAH/Tvu4=")</f>
        <v>#REF!</v>
      </c>
      <c r="IF282" t="e">
        <f>AND(#REF!,"AAAAAH/Tvu8=")</f>
        <v>#REF!</v>
      </c>
      <c r="IG282" t="e">
        <f>AND(#REF!,"AAAAAH/TvvA=")</f>
        <v>#REF!</v>
      </c>
      <c r="IH282" t="e">
        <f>AND(#REF!,"AAAAAH/TvvE=")</f>
        <v>#REF!</v>
      </c>
      <c r="II282" t="e">
        <f>AND(#REF!,"AAAAAH/TvvI=")</f>
        <v>#REF!</v>
      </c>
      <c r="IJ282" t="e">
        <f>AND(#REF!,"AAAAAH/TvvM=")</f>
        <v>#REF!</v>
      </c>
      <c r="IK282" t="e">
        <f>AND(#REF!,"AAAAAH/TvvQ=")</f>
        <v>#REF!</v>
      </c>
      <c r="IL282" t="e">
        <f>AND(#REF!,"AAAAAH/TvvU=")</f>
        <v>#REF!</v>
      </c>
      <c r="IM282" t="e">
        <f>AND(#REF!,"AAAAAH/TvvY=")</f>
        <v>#REF!</v>
      </c>
      <c r="IN282" t="e">
        <f>AND(#REF!,"AAAAAH/Tvvc=")</f>
        <v>#REF!</v>
      </c>
      <c r="IO282" t="e">
        <f>AND(#REF!,"AAAAAH/Tvvg=")</f>
        <v>#REF!</v>
      </c>
      <c r="IP282" t="e">
        <f>AND(#REF!,"AAAAAH/Tvvk=")</f>
        <v>#REF!</v>
      </c>
      <c r="IQ282" t="e">
        <f>AND(#REF!,"AAAAAH/Tvvo=")</f>
        <v>#REF!</v>
      </c>
      <c r="IR282" t="e">
        <f>AND(#REF!,"AAAAAH/Tvvs=")</f>
        <v>#REF!</v>
      </c>
      <c r="IS282" t="e">
        <f>AND(#REF!,"AAAAAH/Tvvw=")</f>
        <v>#REF!</v>
      </c>
      <c r="IT282" t="e">
        <f>AND(#REF!,"AAAAAH/Tvv0=")</f>
        <v>#REF!</v>
      </c>
      <c r="IU282" t="e">
        <f>AND(#REF!,"AAAAAH/Tvv4=")</f>
        <v>#REF!</v>
      </c>
      <c r="IV282" t="e">
        <f>AND(#REF!,"AAAAAH/Tvv8=")</f>
        <v>#REF!</v>
      </c>
    </row>
    <row r="283" spans="1:256">
      <c r="A283" t="e">
        <f>AND(#REF!,"AAAAAG+/1QA=")</f>
        <v>#REF!</v>
      </c>
      <c r="B283" t="e">
        <f>AND(#REF!,"AAAAAG+/1QE=")</f>
        <v>#REF!</v>
      </c>
      <c r="C283" t="e">
        <f>AND(#REF!,"AAAAAG+/1QI=")</f>
        <v>#REF!</v>
      </c>
      <c r="D283" t="e">
        <f>AND(#REF!,"AAAAAG+/1QM=")</f>
        <v>#REF!</v>
      </c>
      <c r="E283" t="e">
        <f>AND(#REF!,"AAAAAG+/1QQ=")</f>
        <v>#REF!</v>
      </c>
      <c r="F283" t="e">
        <f>AND(#REF!,"AAAAAG+/1QU=")</f>
        <v>#REF!</v>
      </c>
      <c r="G283" t="e">
        <f>AND(#REF!,"AAAAAG+/1QY=")</f>
        <v>#REF!</v>
      </c>
      <c r="H283" t="e">
        <f>AND(#REF!,"AAAAAG+/1Qc=")</f>
        <v>#REF!</v>
      </c>
      <c r="I283" t="e">
        <f>AND(#REF!,"AAAAAG+/1Qg=")</f>
        <v>#REF!</v>
      </c>
      <c r="J283" t="e">
        <f>AND(#REF!,"AAAAAG+/1Qk=")</f>
        <v>#REF!</v>
      </c>
      <c r="K283" t="e">
        <f>AND(#REF!,"AAAAAG+/1Qo=")</f>
        <v>#REF!</v>
      </c>
      <c r="L283" t="e">
        <f>IF(#REF!,"AAAAAG+/1Qs=",0)</f>
        <v>#REF!</v>
      </c>
      <c r="M283" t="e">
        <f>AND(#REF!,"AAAAAG+/1Qw=")</f>
        <v>#REF!</v>
      </c>
      <c r="N283" t="e">
        <f>AND(#REF!,"AAAAAG+/1Q0=")</f>
        <v>#REF!</v>
      </c>
      <c r="O283" t="e">
        <f>AND(#REF!,"AAAAAG+/1Q4=")</f>
        <v>#REF!</v>
      </c>
      <c r="P283" t="e">
        <f>AND(#REF!,"AAAAAG+/1Q8=")</f>
        <v>#REF!</v>
      </c>
      <c r="Q283" t="e">
        <f>AND(#REF!,"AAAAAG+/1RA=")</f>
        <v>#REF!</v>
      </c>
      <c r="R283" t="e">
        <f>AND(#REF!,"AAAAAG+/1RE=")</f>
        <v>#REF!</v>
      </c>
      <c r="S283" t="e">
        <f>AND(#REF!,"AAAAAG+/1RI=")</f>
        <v>#REF!</v>
      </c>
      <c r="T283" t="e">
        <f>AND(#REF!,"AAAAAG+/1RM=")</f>
        <v>#REF!</v>
      </c>
      <c r="U283" t="e">
        <f>AND(#REF!,"AAAAAG+/1RQ=")</f>
        <v>#REF!</v>
      </c>
      <c r="V283" t="e">
        <f>AND(#REF!,"AAAAAG+/1RU=")</f>
        <v>#REF!</v>
      </c>
      <c r="W283" t="e">
        <f>AND(#REF!,"AAAAAG+/1RY=")</f>
        <v>#REF!</v>
      </c>
      <c r="X283" t="e">
        <f>AND(#REF!,"AAAAAG+/1Rc=")</f>
        <v>#REF!</v>
      </c>
      <c r="Y283" t="e">
        <f>AND(#REF!,"AAAAAG+/1Rg=")</f>
        <v>#REF!</v>
      </c>
      <c r="Z283" t="e">
        <f>AND(#REF!,"AAAAAG+/1Rk=")</f>
        <v>#REF!</v>
      </c>
      <c r="AA283" t="e">
        <f>AND(#REF!,"AAAAAG+/1Ro=")</f>
        <v>#REF!</v>
      </c>
      <c r="AB283" t="e">
        <f>AND(#REF!,"AAAAAG+/1Rs=")</f>
        <v>#REF!</v>
      </c>
      <c r="AC283" t="e">
        <f>AND(#REF!,"AAAAAG+/1Rw=")</f>
        <v>#REF!</v>
      </c>
      <c r="AD283" t="e">
        <f>AND(#REF!,"AAAAAG+/1R0=")</f>
        <v>#REF!</v>
      </c>
      <c r="AE283" t="e">
        <f>AND(#REF!,"AAAAAG+/1R4=")</f>
        <v>#REF!</v>
      </c>
      <c r="AF283" t="e">
        <f>AND(#REF!,"AAAAAG+/1R8=")</f>
        <v>#REF!</v>
      </c>
      <c r="AG283" t="e">
        <f>AND(#REF!,"AAAAAG+/1SA=")</f>
        <v>#REF!</v>
      </c>
      <c r="AH283" t="e">
        <f>AND(#REF!,"AAAAAG+/1SE=")</f>
        <v>#REF!</v>
      </c>
      <c r="AI283" t="e">
        <f>AND(#REF!,"AAAAAG+/1SI=")</f>
        <v>#REF!</v>
      </c>
      <c r="AJ283" t="e">
        <f>AND(#REF!,"AAAAAG+/1SM=")</f>
        <v>#REF!</v>
      </c>
      <c r="AK283" t="e">
        <f>AND(#REF!,"AAAAAG+/1SQ=")</f>
        <v>#REF!</v>
      </c>
      <c r="AL283" t="e">
        <f>AND(#REF!,"AAAAAG+/1SU=")</f>
        <v>#REF!</v>
      </c>
      <c r="AM283" t="e">
        <f>AND(#REF!,"AAAAAG+/1SY=")</f>
        <v>#REF!</v>
      </c>
      <c r="AN283" t="e">
        <f>AND(#REF!,"AAAAAG+/1Sc=")</f>
        <v>#REF!</v>
      </c>
      <c r="AO283" t="e">
        <f>AND(#REF!,"AAAAAG+/1Sg=")</f>
        <v>#REF!</v>
      </c>
      <c r="AP283" t="e">
        <f>AND(#REF!,"AAAAAG+/1Sk=")</f>
        <v>#REF!</v>
      </c>
      <c r="AQ283" t="e">
        <f>AND(#REF!,"AAAAAG+/1So=")</f>
        <v>#REF!</v>
      </c>
      <c r="AR283" t="e">
        <f>AND(#REF!,"AAAAAG+/1Ss=")</f>
        <v>#REF!</v>
      </c>
      <c r="AS283" t="e">
        <f>AND(#REF!,"AAAAAG+/1Sw=")</f>
        <v>#REF!</v>
      </c>
      <c r="AT283" t="e">
        <f>AND(#REF!,"AAAAAG+/1S0=")</f>
        <v>#REF!</v>
      </c>
      <c r="AU283" t="e">
        <f>AND(#REF!,"AAAAAG+/1S4=")</f>
        <v>#REF!</v>
      </c>
      <c r="AV283" t="e">
        <f>AND(#REF!,"AAAAAG+/1S8=")</f>
        <v>#REF!</v>
      </c>
      <c r="AW283" t="e">
        <f>AND(#REF!,"AAAAAG+/1TA=")</f>
        <v>#REF!</v>
      </c>
      <c r="AX283" t="e">
        <f>AND(#REF!,"AAAAAG+/1TE=")</f>
        <v>#REF!</v>
      </c>
      <c r="AY283" t="e">
        <f>AND(#REF!,"AAAAAG+/1TI=")</f>
        <v>#REF!</v>
      </c>
      <c r="AZ283" t="e">
        <f>AND(#REF!,"AAAAAG+/1TM=")</f>
        <v>#REF!</v>
      </c>
      <c r="BA283" t="e">
        <f>AND(#REF!,"AAAAAG+/1TQ=")</f>
        <v>#REF!</v>
      </c>
      <c r="BB283" t="e">
        <f>AND(#REF!,"AAAAAG+/1TU=")</f>
        <v>#REF!</v>
      </c>
      <c r="BC283" t="e">
        <f>AND(#REF!,"AAAAAG+/1TY=")</f>
        <v>#REF!</v>
      </c>
      <c r="BD283" t="e">
        <f>AND(#REF!,"AAAAAG+/1Tc=")</f>
        <v>#REF!</v>
      </c>
      <c r="BE283" t="e">
        <f>AND(#REF!,"AAAAAG+/1Tg=")</f>
        <v>#REF!</v>
      </c>
      <c r="BF283" t="e">
        <f>AND(#REF!,"AAAAAG+/1Tk=")</f>
        <v>#REF!</v>
      </c>
      <c r="BG283" t="e">
        <f>AND(#REF!,"AAAAAG+/1To=")</f>
        <v>#REF!</v>
      </c>
      <c r="BH283" t="e">
        <f>AND(#REF!,"AAAAAG+/1Ts=")</f>
        <v>#REF!</v>
      </c>
      <c r="BI283" t="e">
        <f>AND(#REF!,"AAAAAG+/1Tw=")</f>
        <v>#REF!</v>
      </c>
      <c r="BJ283" t="e">
        <f>AND(#REF!,"AAAAAG+/1T0=")</f>
        <v>#REF!</v>
      </c>
      <c r="BK283" t="e">
        <f>AND(#REF!,"AAAAAG+/1T4=")</f>
        <v>#REF!</v>
      </c>
      <c r="BL283" t="e">
        <f>IF(#REF!,"AAAAAG+/1T8=",0)</f>
        <v>#REF!</v>
      </c>
      <c r="BM283" t="e">
        <f>AND(#REF!,"AAAAAG+/1UA=")</f>
        <v>#REF!</v>
      </c>
      <c r="BN283" t="e">
        <f>AND(#REF!,"AAAAAG+/1UE=")</f>
        <v>#REF!</v>
      </c>
      <c r="BO283" t="e">
        <f>AND(#REF!,"AAAAAG+/1UI=")</f>
        <v>#REF!</v>
      </c>
      <c r="BP283" t="e">
        <f>AND(#REF!,"AAAAAG+/1UM=")</f>
        <v>#REF!</v>
      </c>
      <c r="BQ283" t="e">
        <f>AND(#REF!,"AAAAAG+/1UQ=")</f>
        <v>#REF!</v>
      </c>
      <c r="BR283" t="e">
        <f>AND(#REF!,"AAAAAG+/1UU=")</f>
        <v>#REF!</v>
      </c>
      <c r="BS283" t="e">
        <f>AND(#REF!,"AAAAAG+/1UY=")</f>
        <v>#REF!</v>
      </c>
      <c r="BT283" t="e">
        <f>AND(#REF!,"AAAAAG+/1Uc=")</f>
        <v>#REF!</v>
      </c>
      <c r="BU283" t="e">
        <f>AND(#REF!,"AAAAAG+/1Ug=")</f>
        <v>#REF!</v>
      </c>
      <c r="BV283" t="e">
        <f>AND(#REF!,"AAAAAG+/1Uk=")</f>
        <v>#REF!</v>
      </c>
      <c r="BW283" t="e">
        <f>AND(#REF!,"AAAAAG+/1Uo=")</f>
        <v>#REF!</v>
      </c>
      <c r="BX283" t="e">
        <f>AND(#REF!,"AAAAAG+/1Us=")</f>
        <v>#REF!</v>
      </c>
      <c r="BY283" t="e">
        <f>AND(#REF!,"AAAAAG+/1Uw=")</f>
        <v>#REF!</v>
      </c>
      <c r="BZ283" t="e">
        <f>AND(#REF!,"AAAAAG+/1U0=")</f>
        <v>#REF!</v>
      </c>
      <c r="CA283" t="e">
        <f>AND(#REF!,"AAAAAG+/1U4=")</f>
        <v>#REF!</v>
      </c>
      <c r="CB283" t="e">
        <f>AND(#REF!,"AAAAAG+/1U8=")</f>
        <v>#REF!</v>
      </c>
      <c r="CC283" t="e">
        <f>AND(#REF!,"AAAAAG+/1VA=")</f>
        <v>#REF!</v>
      </c>
      <c r="CD283" t="e">
        <f>AND(#REF!,"AAAAAG+/1VE=")</f>
        <v>#REF!</v>
      </c>
      <c r="CE283" t="e">
        <f>AND(#REF!,"AAAAAG+/1VI=")</f>
        <v>#REF!</v>
      </c>
      <c r="CF283" t="e">
        <f>AND(#REF!,"AAAAAG+/1VM=")</f>
        <v>#REF!</v>
      </c>
      <c r="CG283" t="e">
        <f>AND(#REF!,"AAAAAG+/1VQ=")</f>
        <v>#REF!</v>
      </c>
      <c r="CH283" t="e">
        <f>AND(#REF!,"AAAAAG+/1VU=")</f>
        <v>#REF!</v>
      </c>
      <c r="CI283" t="e">
        <f>AND(#REF!,"AAAAAG+/1VY=")</f>
        <v>#REF!</v>
      </c>
      <c r="CJ283" t="e">
        <f>AND(#REF!,"AAAAAG+/1Vc=")</f>
        <v>#REF!</v>
      </c>
      <c r="CK283" t="e">
        <f>AND(#REF!,"AAAAAG+/1Vg=")</f>
        <v>#REF!</v>
      </c>
      <c r="CL283" t="e">
        <f>AND(#REF!,"AAAAAG+/1Vk=")</f>
        <v>#REF!</v>
      </c>
      <c r="CM283" t="e">
        <f>AND(#REF!,"AAAAAG+/1Vo=")</f>
        <v>#REF!</v>
      </c>
      <c r="CN283" t="e">
        <f>AND(#REF!,"AAAAAG+/1Vs=")</f>
        <v>#REF!</v>
      </c>
      <c r="CO283" t="e">
        <f>AND(#REF!,"AAAAAG+/1Vw=")</f>
        <v>#REF!</v>
      </c>
      <c r="CP283" t="e">
        <f>AND(#REF!,"AAAAAG+/1V0=")</f>
        <v>#REF!</v>
      </c>
      <c r="CQ283" t="e">
        <f>AND(#REF!,"AAAAAG+/1V4=")</f>
        <v>#REF!</v>
      </c>
      <c r="CR283" t="e">
        <f>AND(#REF!,"AAAAAG+/1V8=")</f>
        <v>#REF!</v>
      </c>
      <c r="CS283" t="e">
        <f>AND(#REF!,"AAAAAG+/1WA=")</f>
        <v>#REF!</v>
      </c>
      <c r="CT283" t="e">
        <f>AND(#REF!,"AAAAAG+/1WE=")</f>
        <v>#REF!</v>
      </c>
      <c r="CU283" t="e">
        <f>AND(#REF!,"AAAAAG+/1WI=")</f>
        <v>#REF!</v>
      </c>
      <c r="CV283" t="e">
        <f>AND(#REF!,"AAAAAG+/1WM=")</f>
        <v>#REF!</v>
      </c>
      <c r="CW283" t="e">
        <f>AND(#REF!,"AAAAAG+/1WQ=")</f>
        <v>#REF!</v>
      </c>
      <c r="CX283" t="e">
        <f>AND(#REF!,"AAAAAG+/1WU=")</f>
        <v>#REF!</v>
      </c>
      <c r="CY283" t="e">
        <f>AND(#REF!,"AAAAAG+/1WY=")</f>
        <v>#REF!</v>
      </c>
      <c r="CZ283" t="e">
        <f>AND(#REF!,"AAAAAG+/1Wc=")</f>
        <v>#REF!</v>
      </c>
      <c r="DA283" t="e">
        <f>AND(#REF!,"AAAAAG+/1Wg=")</f>
        <v>#REF!</v>
      </c>
      <c r="DB283" t="e">
        <f>AND(#REF!,"AAAAAG+/1Wk=")</f>
        <v>#REF!</v>
      </c>
      <c r="DC283" t="e">
        <f>AND(#REF!,"AAAAAG+/1Wo=")</f>
        <v>#REF!</v>
      </c>
      <c r="DD283" t="e">
        <f>AND(#REF!,"AAAAAG+/1Ws=")</f>
        <v>#REF!</v>
      </c>
      <c r="DE283" t="e">
        <f>AND(#REF!,"AAAAAG+/1Ww=")</f>
        <v>#REF!</v>
      </c>
      <c r="DF283" t="e">
        <f>AND(#REF!,"AAAAAG+/1W0=")</f>
        <v>#REF!</v>
      </c>
      <c r="DG283" t="e">
        <f>AND(#REF!,"AAAAAG+/1W4=")</f>
        <v>#REF!</v>
      </c>
      <c r="DH283" t="e">
        <f>AND(#REF!,"AAAAAG+/1W8=")</f>
        <v>#REF!</v>
      </c>
      <c r="DI283" t="e">
        <f>AND(#REF!,"AAAAAG+/1XA=")</f>
        <v>#REF!</v>
      </c>
      <c r="DJ283" t="e">
        <f>AND(#REF!,"AAAAAG+/1XE=")</f>
        <v>#REF!</v>
      </c>
      <c r="DK283" t="e">
        <f>AND(#REF!,"AAAAAG+/1XI=")</f>
        <v>#REF!</v>
      </c>
      <c r="DL283" t="e">
        <f>IF(#REF!,"AAAAAG+/1XM=",0)</f>
        <v>#REF!</v>
      </c>
      <c r="DM283" t="e">
        <f>AND(#REF!,"AAAAAG+/1XQ=")</f>
        <v>#REF!</v>
      </c>
      <c r="DN283" t="e">
        <f>AND(#REF!,"AAAAAG+/1XU=")</f>
        <v>#REF!</v>
      </c>
      <c r="DO283" t="e">
        <f>AND(#REF!,"AAAAAG+/1XY=")</f>
        <v>#REF!</v>
      </c>
      <c r="DP283" t="e">
        <f>AND(#REF!,"AAAAAG+/1Xc=")</f>
        <v>#REF!</v>
      </c>
      <c r="DQ283" t="e">
        <f>AND(#REF!,"AAAAAG+/1Xg=")</f>
        <v>#REF!</v>
      </c>
      <c r="DR283" t="e">
        <f>AND(#REF!,"AAAAAG+/1Xk=")</f>
        <v>#REF!</v>
      </c>
      <c r="DS283" t="e">
        <f>AND(#REF!,"AAAAAG+/1Xo=")</f>
        <v>#REF!</v>
      </c>
      <c r="DT283" t="e">
        <f>AND(#REF!,"AAAAAG+/1Xs=")</f>
        <v>#REF!</v>
      </c>
      <c r="DU283" t="e">
        <f>AND(#REF!,"AAAAAG+/1Xw=")</f>
        <v>#REF!</v>
      </c>
      <c r="DV283" t="e">
        <f>AND(#REF!,"AAAAAG+/1X0=")</f>
        <v>#REF!</v>
      </c>
      <c r="DW283" t="e">
        <f>AND(#REF!,"AAAAAG+/1X4=")</f>
        <v>#REF!</v>
      </c>
      <c r="DX283" t="e">
        <f>AND(#REF!,"AAAAAG+/1X8=")</f>
        <v>#REF!</v>
      </c>
      <c r="DY283" t="e">
        <f>AND(#REF!,"AAAAAG+/1YA=")</f>
        <v>#REF!</v>
      </c>
      <c r="DZ283" t="e">
        <f>AND(#REF!,"AAAAAG+/1YE=")</f>
        <v>#REF!</v>
      </c>
      <c r="EA283" t="e">
        <f>AND(#REF!,"AAAAAG+/1YI=")</f>
        <v>#REF!</v>
      </c>
      <c r="EB283" t="e">
        <f>AND(#REF!,"AAAAAG+/1YM=")</f>
        <v>#REF!</v>
      </c>
      <c r="EC283" t="e">
        <f>AND(#REF!,"AAAAAG+/1YQ=")</f>
        <v>#REF!</v>
      </c>
      <c r="ED283" t="e">
        <f>AND(#REF!,"AAAAAG+/1YU=")</f>
        <v>#REF!</v>
      </c>
      <c r="EE283" t="e">
        <f>AND(#REF!,"AAAAAG+/1YY=")</f>
        <v>#REF!</v>
      </c>
      <c r="EF283" t="e">
        <f>AND(#REF!,"AAAAAG+/1Yc=")</f>
        <v>#REF!</v>
      </c>
      <c r="EG283" t="e">
        <f>AND(#REF!,"AAAAAG+/1Yg=")</f>
        <v>#REF!</v>
      </c>
      <c r="EH283" t="e">
        <f>AND(#REF!,"AAAAAG+/1Yk=")</f>
        <v>#REF!</v>
      </c>
      <c r="EI283" t="e">
        <f>AND(#REF!,"AAAAAG+/1Yo=")</f>
        <v>#REF!</v>
      </c>
      <c r="EJ283" t="e">
        <f>AND(#REF!,"AAAAAG+/1Ys=")</f>
        <v>#REF!</v>
      </c>
      <c r="EK283" t="e">
        <f>AND(#REF!,"AAAAAG+/1Yw=")</f>
        <v>#REF!</v>
      </c>
      <c r="EL283" t="e">
        <f>AND(#REF!,"AAAAAG+/1Y0=")</f>
        <v>#REF!</v>
      </c>
      <c r="EM283" t="e">
        <f>AND(#REF!,"AAAAAG+/1Y4=")</f>
        <v>#REF!</v>
      </c>
      <c r="EN283" t="e">
        <f>AND(#REF!,"AAAAAG+/1Y8=")</f>
        <v>#REF!</v>
      </c>
      <c r="EO283" t="e">
        <f>AND(#REF!,"AAAAAG+/1ZA=")</f>
        <v>#REF!</v>
      </c>
      <c r="EP283" t="e">
        <f>AND(#REF!,"AAAAAG+/1ZE=")</f>
        <v>#REF!</v>
      </c>
      <c r="EQ283" t="e">
        <f>AND(#REF!,"AAAAAG+/1ZI=")</f>
        <v>#REF!</v>
      </c>
      <c r="ER283" t="e">
        <f>AND(#REF!,"AAAAAG+/1ZM=")</f>
        <v>#REF!</v>
      </c>
      <c r="ES283" t="e">
        <f>AND(#REF!,"AAAAAG+/1ZQ=")</f>
        <v>#REF!</v>
      </c>
      <c r="ET283" t="e">
        <f>AND(#REF!,"AAAAAG+/1ZU=")</f>
        <v>#REF!</v>
      </c>
      <c r="EU283" t="e">
        <f>AND(#REF!,"AAAAAG+/1ZY=")</f>
        <v>#REF!</v>
      </c>
      <c r="EV283" t="e">
        <f>AND(#REF!,"AAAAAG+/1Zc=")</f>
        <v>#REF!</v>
      </c>
      <c r="EW283" t="e">
        <f>AND(#REF!,"AAAAAG+/1Zg=")</f>
        <v>#REF!</v>
      </c>
      <c r="EX283" t="e">
        <f>AND(#REF!,"AAAAAG+/1Zk=")</f>
        <v>#REF!</v>
      </c>
      <c r="EY283" t="e">
        <f>AND(#REF!,"AAAAAG+/1Zo=")</f>
        <v>#REF!</v>
      </c>
      <c r="EZ283" t="e">
        <f>AND(#REF!,"AAAAAG+/1Zs=")</f>
        <v>#REF!</v>
      </c>
      <c r="FA283" t="e">
        <f>AND(#REF!,"AAAAAG+/1Zw=")</f>
        <v>#REF!</v>
      </c>
      <c r="FB283" t="e">
        <f>AND(#REF!,"AAAAAG+/1Z0=")</f>
        <v>#REF!</v>
      </c>
      <c r="FC283" t="e">
        <f>AND(#REF!,"AAAAAG+/1Z4=")</f>
        <v>#REF!</v>
      </c>
      <c r="FD283" t="e">
        <f>AND(#REF!,"AAAAAG+/1Z8=")</f>
        <v>#REF!</v>
      </c>
      <c r="FE283" t="e">
        <f>AND(#REF!,"AAAAAG+/1aA=")</f>
        <v>#REF!</v>
      </c>
      <c r="FF283" t="e">
        <f>AND(#REF!,"AAAAAG+/1aE=")</f>
        <v>#REF!</v>
      </c>
      <c r="FG283" t="e">
        <f>AND(#REF!,"AAAAAG+/1aI=")</f>
        <v>#REF!</v>
      </c>
      <c r="FH283" t="e">
        <f>AND(#REF!,"AAAAAG+/1aM=")</f>
        <v>#REF!</v>
      </c>
      <c r="FI283" t="e">
        <f>AND(#REF!,"AAAAAG+/1aQ=")</f>
        <v>#REF!</v>
      </c>
      <c r="FJ283" t="e">
        <f>AND(#REF!,"AAAAAG+/1aU=")</f>
        <v>#REF!</v>
      </c>
      <c r="FK283" t="e">
        <f>AND(#REF!,"AAAAAG+/1aY=")</f>
        <v>#REF!</v>
      </c>
      <c r="FL283" t="e">
        <f>IF(#REF!,"AAAAAG+/1ac=",0)</f>
        <v>#REF!</v>
      </c>
      <c r="FM283" t="e">
        <f>AND(#REF!,"AAAAAG+/1ag=")</f>
        <v>#REF!</v>
      </c>
      <c r="FN283" t="e">
        <f>AND(#REF!,"AAAAAG+/1ak=")</f>
        <v>#REF!</v>
      </c>
      <c r="FO283" t="e">
        <f>AND(#REF!,"AAAAAG+/1ao=")</f>
        <v>#REF!</v>
      </c>
      <c r="FP283" t="e">
        <f>AND(#REF!,"AAAAAG+/1as=")</f>
        <v>#REF!</v>
      </c>
      <c r="FQ283" t="e">
        <f>AND(#REF!,"AAAAAG+/1aw=")</f>
        <v>#REF!</v>
      </c>
      <c r="FR283" t="e">
        <f>AND(#REF!,"AAAAAG+/1a0=")</f>
        <v>#REF!</v>
      </c>
      <c r="FS283" t="e">
        <f>AND(#REF!,"AAAAAG+/1a4=")</f>
        <v>#REF!</v>
      </c>
      <c r="FT283" t="e">
        <f>AND(#REF!,"AAAAAG+/1a8=")</f>
        <v>#REF!</v>
      </c>
      <c r="FU283" t="e">
        <f>AND(#REF!,"AAAAAG+/1bA=")</f>
        <v>#REF!</v>
      </c>
      <c r="FV283" t="e">
        <f>AND(#REF!,"AAAAAG+/1bE=")</f>
        <v>#REF!</v>
      </c>
      <c r="FW283" t="e">
        <f>AND(#REF!,"AAAAAG+/1bI=")</f>
        <v>#REF!</v>
      </c>
      <c r="FX283" t="e">
        <f>AND(#REF!,"AAAAAG+/1bM=")</f>
        <v>#REF!</v>
      </c>
      <c r="FY283" t="e">
        <f>AND(#REF!,"AAAAAG+/1bQ=")</f>
        <v>#REF!</v>
      </c>
      <c r="FZ283" t="e">
        <f>AND(#REF!,"AAAAAG+/1bU=")</f>
        <v>#REF!</v>
      </c>
      <c r="GA283" t="e">
        <f>AND(#REF!,"AAAAAG+/1bY=")</f>
        <v>#REF!</v>
      </c>
      <c r="GB283" t="e">
        <f>AND(#REF!,"AAAAAG+/1bc=")</f>
        <v>#REF!</v>
      </c>
      <c r="GC283" t="e">
        <f>AND(#REF!,"AAAAAG+/1bg=")</f>
        <v>#REF!</v>
      </c>
      <c r="GD283" t="e">
        <f>AND(#REF!,"AAAAAG+/1bk=")</f>
        <v>#REF!</v>
      </c>
      <c r="GE283" t="e">
        <f>AND(#REF!,"AAAAAG+/1bo=")</f>
        <v>#REF!</v>
      </c>
      <c r="GF283" t="e">
        <f>AND(#REF!,"AAAAAG+/1bs=")</f>
        <v>#REF!</v>
      </c>
      <c r="GG283" t="e">
        <f>AND(#REF!,"AAAAAG+/1bw=")</f>
        <v>#REF!</v>
      </c>
      <c r="GH283" t="e">
        <f>AND(#REF!,"AAAAAG+/1b0=")</f>
        <v>#REF!</v>
      </c>
      <c r="GI283" t="e">
        <f>AND(#REF!,"AAAAAG+/1b4=")</f>
        <v>#REF!</v>
      </c>
      <c r="GJ283" t="e">
        <f>AND(#REF!,"AAAAAG+/1b8=")</f>
        <v>#REF!</v>
      </c>
      <c r="GK283" t="e">
        <f>AND(#REF!,"AAAAAG+/1cA=")</f>
        <v>#REF!</v>
      </c>
      <c r="GL283" t="e">
        <f>AND(#REF!,"AAAAAG+/1cE=")</f>
        <v>#REF!</v>
      </c>
      <c r="GM283" t="e">
        <f>AND(#REF!,"AAAAAG+/1cI=")</f>
        <v>#REF!</v>
      </c>
      <c r="GN283" t="e">
        <f>AND(#REF!,"AAAAAG+/1cM=")</f>
        <v>#REF!</v>
      </c>
      <c r="GO283" t="e">
        <f>AND(#REF!,"AAAAAG+/1cQ=")</f>
        <v>#REF!</v>
      </c>
      <c r="GP283" t="e">
        <f>AND(#REF!,"AAAAAG+/1cU=")</f>
        <v>#REF!</v>
      </c>
      <c r="GQ283" t="e">
        <f>AND(#REF!,"AAAAAG+/1cY=")</f>
        <v>#REF!</v>
      </c>
      <c r="GR283" t="e">
        <f>AND(#REF!,"AAAAAG+/1cc=")</f>
        <v>#REF!</v>
      </c>
      <c r="GS283" t="e">
        <f>AND(#REF!,"AAAAAG+/1cg=")</f>
        <v>#REF!</v>
      </c>
      <c r="GT283" t="e">
        <f>AND(#REF!,"AAAAAG+/1ck=")</f>
        <v>#REF!</v>
      </c>
      <c r="GU283" t="e">
        <f>AND(#REF!,"AAAAAG+/1co=")</f>
        <v>#REF!</v>
      </c>
      <c r="GV283" t="e">
        <f>AND(#REF!,"AAAAAG+/1cs=")</f>
        <v>#REF!</v>
      </c>
      <c r="GW283" t="e">
        <f>AND(#REF!,"AAAAAG+/1cw=")</f>
        <v>#REF!</v>
      </c>
      <c r="GX283" t="e">
        <f>AND(#REF!,"AAAAAG+/1c0=")</f>
        <v>#REF!</v>
      </c>
      <c r="GY283" t="e">
        <f>AND(#REF!,"AAAAAG+/1c4=")</f>
        <v>#REF!</v>
      </c>
      <c r="GZ283" t="e">
        <f>AND(#REF!,"AAAAAG+/1c8=")</f>
        <v>#REF!</v>
      </c>
      <c r="HA283" t="e">
        <f>AND(#REF!,"AAAAAG+/1dA=")</f>
        <v>#REF!</v>
      </c>
      <c r="HB283" t="e">
        <f>AND(#REF!,"AAAAAG+/1dE=")</f>
        <v>#REF!</v>
      </c>
      <c r="HC283" t="e">
        <f>AND(#REF!,"AAAAAG+/1dI=")</f>
        <v>#REF!</v>
      </c>
      <c r="HD283" t="e">
        <f>AND(#REF!,"AAAAAG+/1dM=")</f>
        <v>#REF!</v>
      </c>
      <c r="HE283" t="e">
        <f>AND(#REF!,"AAAAAG+/1dQ=")</f>
        <v>#REF!</v>
      </c>
      <c r="HF283" t="e">
        <f>AND(#REF!,"AAAAAG+/1dU=")</f>
        <v>#REF!</v>
      </c>
      <c r="HG283" t="e">
        <f>AND(#REF!,"AAAAAG+/1dY=")</f>
        <v>#REF!</v>
      </c>
      <c r="HH283" t="e">
        <f>AND(#REF!,"AAAAAG+/1dc=")</f>
        <v>#REF!</v>
      </c>
      <c r="HI283" t="e">
        <f>AND(#REF!,"AAAAAG+/1dg=")</f>
        <v>#REF!</v>
      </c>
      <c r="HJ283" t="e">
        <f>AND(#REF!,"AAAAAG+/1dk=")</f>
        <v>#REF!</v>
      </c>
      <c r="HK283" t="e">
        <f>AND(#REF!,"AAAAAG+/1do=")</f>
        <v>#REF!</v>
      </c>
      <c r="HL283" t="e">
        <f>IF(#REF!,"AAAAAG+/1ds=",0)</f>
        <v>#REF!</v>
      </c>
      <c r="HM283" t="e">
        <f>AND(#REF!,"AAAAAG+/1dw=")</f>
        <v>#REF!</v>
      </c>
      <c r="HN283" t="e">
        <f>AND(#REF!,"AAAAAG+/1d0=")</f>
        <v>#REF!</v>
      </c>
      <c r="HO283" t="e">
        <f>AND(#REF!,"AAAAAG+/1d4=")</f>
        <v>#REF!</v>
      </c>
      <c r="HP283" t="e">
        <f>AND(#REF!,"AAAAAG+/1d8=")</f>
        <v>#REF!</v>
      </c>
      <c r="HQ283" t="e">
        <f>AND(#REF!,"AAAAAG+/1eA=")</f>
        <v>#REF!</v>
      </c>
      <c r="HR283" t="e">
        <f>AND(#REF!,"AAAAAG+/1eE=")</f>
        <v>#REF!</v>
      </c>
      <c r="HS283" t="e">
        <f>AND(#REF!,"AAAAAG+/1eI=")</f>
        <v>#REF!</v>
      </c>
      <c r="HT283" t="e">
        <f>AND(#REF!,"AAAAAG+/1eM=")</f>
        <v>#REF!</v>
      </c>
      <c r="HU283" t="e">
        <f>AND(#REF!,"AAAAAG+/1eQ=")</f>
        <v>#REF!</v>
      </c>
      <c r="HV283" t="e">
        <f>AND(#REF!,"AAAAAG+/1eU=")</f>
        <v>#REF!</v>
      </c>
      <c r="HW283" t="e">
        <f>AND(#REF!,"AAAAAG+/1eY=")</f>
        <v>#REF!</v>
      </c>
      <c r="HX283" t="e">
        <f>AND(#REF!,"AAAAAG+/1ec=")</f>
        <v>#REF!</v>
      </c>
      <c r="HY283" t="e">
        <f>AND(#REF!,"AAAAAG+/1eg=")</f>
        <v>#REF!</v>
      </c>
      <c r="HZ283" t="e">
        <f>AND(#REF!,"AAAAAG+/1ek=")</f>
        <v>#REF!</v>
      </c>
      <c r="IA283" t="e">
        <f>AND(#REF!,"AAAAAG+/1eo=")</f>
        <v>#REF!</v>
      </c>
      <c r="IB283" t="e">
        <f>AND(#REF!,"AAAAAG+/1es=")</f>
        <v>#REF!</v>
      </c>
      <c r="IC283" t="e">
        <f>AND(#REF!,"AAAAAG+/1ew=")</f>
        <v>#REF!</v>
      </c>
      <c r="ID283" t="e">
        <f>AND(#REF!,"AAAAAG+/1e0=")</f>
        <v>#REF!</v>
      </c>
      <c r="IE283" t="e">
        <f>AND(#REF!,"AAAAAG+/1e4=")</f>
        <v>#REF!</v>
      </c>
      <c r="IF283" t="e">
        <f>AND(#REF!,"AAAAAG+/1e8=")</f>
        <v>#REF!</v>
      </c>
      <c r="IG283" t="e">
        <f>AND(#REF!,"AAAAAG+/1fA=")</f>
        <v>#REF!</v>
      </c>
      <c r="IH283" t="e">
        <f>AND(#REF!,"AAAAAG+/1fE=")</f>
        <v>#REF!</v>
      </c>
      <c r="II283" t="e">
        <f>AND(#REF!,"AAAAAG+/1fI=")</f>
        <v>#REF!</v>
      </c>
      <c r="IJ283" t="e">
        <f>AND(#REF!,"AAAAAG+/1fM=")</f>
        <v>#REF!</v>
      </c>
      <c r="IK283" t="e">
        <f>AND(#REF!,"AAAAAG+/1fQ=")</f>
        <v>#REF!</v>
      </c>
      <c r="IL283" t="e">
        <f>AND(#REF!,"AAAAAG+/1fU=")</f>
        <v>#REF!</v>
      </c>
      <c r="IM283" t="e">
        <f>AND(#REF!,"AAAAAG+/1fY=")</f>
        <v>#REF!</v>
      </c>
      <c r="IN283" t="e">
        <f>AND(#REF!,"AAAAAG+/1fc=")</f>
        <v>#REF!</v>
      </c>
      <c r="IO283" t="e">
        <f>AND(#REF!,"AAAAAG+/1fg=")</f>
        <v>#REF!</v>
      </c>
      <c r="IP283" t="e">
        <f>AND(#REF!,"AAAAAG+/1fk=")</f>
        <v>#REF!</v>
      </c>
      <c r="IQ283" t="e">
        <f>AND(#REF!,"AAAAAG+/1fo=")</f>
        <v>#REF!</v>
      </c>
      <c r="IR283" t="e">
        <f>AND(#REF!,"AAAAAG+/1fs=")</f>
        <v>#REF!</v>
      </c>
      <c r="IS283" t="e">
        <f>AND(#REF!,"AAAAAG+/1fw=")</f>
        <v>#REF!</v>
      </c>
      <c r="IT283" t="e">
        <f>AND(#REF!,"AAAAAG+/1f0=")</f>
        <v>#REF!</v>
      </c>
      <c r="IU283" t="e">
        <f>AND(#REF!,"AAAAAG+/1f4=")</f>
        <v>#REF!</v>
      </c>
      <c r="IV283" t="e">
        <f>AND(#REF!,"AAAAAG+/1f8=")</f>
        <v>#REF!</v>
      </c>
    </row>
    <row r="284" spans="1:256">
      <c r="A284" t="e">
        <f>AND(#REF!,"AAAAAH/4PwA=")</f>
        <v>#REF!</v>
      </c>
      <c r="B284" t="e">
        <f>AND(#REF!,"AAAAAH/4PwE=")</f>
        <v>#REF!</v>
      </c>
      <c r="C284" t="e">
        <f>AND(#REF!,"AAAAAH/4PwI=")</f>
        <v>#REF!</v>
      </c>
      <c r="D284" t="e">
        <f>AND(#REF!,"AAAAAH/4PwM=")</f>
        <v>#REF!</v>
      </c>
      <c r="E284" t="e">
        <f>AND(#REF!,"AAAAAH/4PwQ=")</f>
        <v>#REF!</v>
      </c>
      <c r="F284" t="e">
        <f>AND(#REF!,"AAAAAH/4PwU=")</f>
        <v>#REF!</v>
      </c>
      <c r="G284" t="e">
        <f>AND(#REF!,"AAAAAH/4PwY=")</f>
        <v>#REF!</v>
      </c>
      <c r="H284" t="e">
        <f>AND(#REF!,"AAAAAH/4Pwc=")</f>
        <v>#REF!</v>
      </c>
      <c r="I284" t="e">
        <f>AND(#REF!,"AAAAAH/4Pwg=")</f>
        <v>#REF!</v>
      </c>
      <c r="J284" t="e">
        <f>AND(#REF!,"AAAAAH/4Pwk=")</f>
        <v>#REF!</v>
      </c>
      <c r="K284" t="e">
        <f>AND(#REF!,"AAAAAH/4Pwo=")</f>
        <v>#REF!</v>
      </c>
      <c r="L284" t="e">
        <f>AND(#REF!,"AAAAAH/4Pws=")</f>
        <v>#REF!</v>
      </c>
      <c r="M284" t="e">
        <f>AND(#REF!,"AAAAAH/4Pww=")</f>
        <v>#REF!</v>
      </c>
      <c r="N284" t="e">
        <f>AND(#REF!,"AAAAAH/4Pw0=")</f>
        <v>#REF!</v>
      </c>
      <c r="O284" t="e">
        <f>AND(#REF!,"AAAAAH/4Pw4=")</f>
        <v>#REF!</v>
      </c>
      <c r="P284" t="e">
        <f>IF(#REF!,"AAAAAH/4Pw8=",0)</f>
        <v>#REF!</v>
      </c>
      <c r="Q284" t="e">
        <f>AND(#REF!,"AAAAAH/4PxA=")</f>
        <v>#REF!</v>
      </c>
      <c r="R284" t="e">
        <f>AND(#REF!,"AAAAAH/4PxE=")</f>
        <v>#REF!</v>
      </c>
      <c r="S284" t="e">
        <f>AND(#REF!,"AAAAAH/4PxI=")</f>
        <v>#REF!</v>
      </c>
      <c r="T284" t="e">
        <f>AND(#REF!,"AAAAAH/4PxM=")</f>
        <v>#REF!</v>
      </c>
      <c r="U284" t="e">
        <f>AND(#REF!,"AAAAAH/4PxQ=")</f>
        <v>#REF!</v>
      </c>
      <c r="V284" t="e">
        <f>AND(#REF!,"AAAAAH/4PxU=")</f>
        <v>#REF!</v>
      </c>
      <c r="W284" t="e">
        <f>AND(#REF!,"AAAAAH/4PxY=")</f>
        <v>#REF!</v>
      </c>
      <c r="X284" t="e">
        <f>AND(#REF!,"AAAAAH/4Pxc=")</f>
        <v>#REF!</v>
      </c>
      <c r="Y284" t="e">
        <f>AND(#REF!,"AAAAAH/4Pxg=")</f>
        <v>#REF!</v>
      </c>
      <c r="Z284" t="e">
        <f>AND(#REF!,"AAAAAH/4Pxk=")</f>
        <v>#REF!</v>
      </c>
      <c r="AA284" t="e">
        <f>AND(#REF!,"AAAAAH/4Pxo=")</f>
        <v>#REF!</v>
      </c>
      <c r="AB284" t="e">
        <f>AND(#REF!,"AAAAAH/4Pxs=")</f>
        <v>#REF!</v>
      </c>
      <c r="AC284" t="e">
        <f>AND(#REF!,"AAAAAH/4Pxw=")</f>
        <v>#REF!</v>
      </c>
      <c r="AD284" t="e">
        <f>AND(#REF!,"AAAAAH/4Px0=")</f>
        <v>#REF!</v>
      </c>
      <c r="AE284" t="e">
        <f>AND(#REF!,"AAAAAH/4Px4=")</f>
        <v>#REF!</v>
      </c>
      <c r="AF284" t="e">
        <f>AND(#REF!,"AAAAAH/4Px8=")</f>
        <v>#REF!</v>
      </c>
      <c r="AG284" t="e">
        <f>AND(#REF!,"AAAAAH/4PyA=")</f>
        <v>#REF!</v>
      </c>
      <c r="AH284" t="e">
        <f>AND(#REF!,"AAAAAH/4PyE=")</f>
        <v>#REF!</v>
      </c>
      <c r="AI284" t="e">
        <f>AND(#REF!,"AAAAAH/4PyI=")</f>
        <v>#REF!</v>
      </c>
      <c r="AJ284" t="e">
        <f>AND(#REF!,"AAAAAH/4PyM=")</f>
        <v>#REF!</v>
      </c>
      <c r="AK284" t="e">
        <f>AND(#REF!,"AAAAAH/4PyQ=")</f>
        <v>#REF!</v>
      </c>
      <c r="AL284" t="e">
        <f>AND(#REF!,"AAAAAH/4PyU=")</f>
        <v>#REF!</v>
      </c>
      <c r="AM284" t="e">
        <f>AND(#REF!,"AAAAAH/4PyY=")</f>
        <v>#REF!</v>
      </c>
      <c r="AN284" t="e">
        <f>AND(#REF!,"AAAAAH/4Pyc=")</f>
        <v>#REF!</v>
      </c>
      <c r="AO284" t="e">
        <f>AND(#REF!,"AAAAAH/4Pyg=")</f>
        <v>#REF!</v>
      </c>
      <c r="AP284" t="e">
        <f>AND(#REF!,"AAAAAH/4Pyk=")</f>
        <v>#REF!</v>
      </c>
      <c r="AQ284" t="e">
        <f>AND(#REF!,"AAAAAH/4Pyo=")</f>
        <v>#REF!</v>
      </c>
      <c r="AR284" t="e">
        <f>AND(#REF!,"AAAAAH/4Pys=")</f>
        <v>#REF!</v>
      </c>
      <c r="AS284" t="e">
        <f>AND(#REF!,"AAAAAH/4Pyw=")</f>
        <v>#REF!</v>
      </c>
      <c r="AT284" t="e">
        <f>AND(#REF!,"AAAAAH/4Py0=")</f>
        <v>#REF!</v>
      </c>
      <c r="AU284" t="e">
        <f>AND(#REF!,"AAAAAH/4Py4=")</f>
        <v>#REF!</v>
      </c>
      <c r="AV284" t="e">
        <f>AND(#REF!,"AAAAAH/4Py8=")</f>
        <v>#REF!</v>
      </c>
      <c r="AW284" t="e">
        <f>AND(#REF!,"AAAAAH/4PzA=")</f>
        <v>#REF!</v>
      </c>
      <c r="AX284" t="e">
        <f>AND(#REF!,"AAAAAH/4PzE=")</f>
        <v>#REF!</v>
      </c>
      <c r="AY284" t="e">
        <f>AND(#REF!,"AAAAAH/4PzI=")</f>
        <v>#REF!</v>
      </c>
      <c r="AZ284" t="e">
        <f>AND(#REF!,"AAAAAH/4PzM=")</f>
        <v>#REF!</v>
      </c>
      <c r="BA284" t="e">
        <f>AND(#REF!,"AAAAAH/4PzQ=")</f>
        <v>#REF!</v>
      </c>
      <c r="BB284" t="e">
        <f>AND(#REF!,"AAAAAH/4PzU=")</f>
        <v>#REF!</v>
      </c>
      <c r="BC284" t="e">
        <f>AND(#REF!,"AAAAAH/4PzY=")</f>
        <v>#REF!</v>
      </c>
      <c r="BD284" t="e">
        <f>AND(#REF!,"AAAAAH/4Pzc=")</f>
        <v>#REF!</v>
      </c>
      <c r="BE284" t="e">
        <f>AND(#REF!,"AAAAAH/4Pzg=")</f>
        <v>#REF!</v>
      </c>
      <c r="BF284" t="e">
        <f>AND(#REF!,"AAAAAH/4Pzk=")</f>
        <v>#REF!</v>
      </c>
      <c r="BG284" t="e">
        <f>AND(#REF!,"AAAAAH/4Pzo=")</f>
        <v>#REF!</v>
      </c>
      <c r="BH284" t="e">
        <f>AND(#REF!,"AAAAAH/4Pzs=")</f>
        <v>#REF!</v>
      </c>
      <c r="BI284" t="e">
        <f>AND(#REF!,"AAAAAH/4Pzw=")</f>
        <v>#REF!</v>
      </c>
      <c r="BJ284" t="e">
        <f>AND(#REF!,"AAAAAH/4Pz0=")</f>
        <v>#REF!</v>
      </c>
      <c r="BK284" t="e">
        <f>AND(#REF!,"AAAAAH/4Pz4=")</f>
        <v>#REF!</v>
      </c>
      <c r="BL284" t="e">
        <f>AND(#REF!,"AAAAAH/4Pz8=")</f>
        <v>#REF!</v>
      </c>
      <c r="BM284" t="e">
        <f>AND(#REF!,"AAAAAH/4P0A=")</f>
        <v>#REF!</v>
      </c>
      <c r="BN284" t="e">
        <f>AND(#REF!,"AAAAAH/4P0E=")</f>
        <v>#REF!</v>
      </c>
      <c r="BO284" t="e">
        <f>AND(#REF!,"AAAAAH/4P0I=")</f>
        <v>#REF!</v>
      </c>
      <c r="BP284" t="e">
        <f>IF(#REF!,"AAAAAH/4P0M=",0)</f>
        <v>#REF!</v>
      </c>
      <c r="BQ284" t="e">
        <f>AND(#REF!,"AAAAAH/4P0Q=")</f>
        <v>#REF!</v>
      </c>
      <c r="BR284" t="e">
        <f>AND(#REF!,"AAAAAH/4P0U=")</f>
        <v>#REF!</v>
      </c>
      <c r="BS284" t="e">
        <f>AND(#REF!,"AAAAAH/4P0Y=")</f>
        <v>#REF!</v>
      </c>
      <c r="BT284" t="e">
        <f>AND(#REF!,"AAAAAH/4P0c=")</f>
        <v>#REF!</v>
      </c>
      <c r="BU284" t="e">
        <f>AND(#REF!,"AAAAAH/4P0g=")</f>
        <v>#REF!</v>
      </c>
      <c r="BV284" t="e">
        <f>AND(#REF!,"AAAAAH/4P0k=")</f>
        <v>#REF!</v>
      </c>
      <c r="BW284" t="e">
        <f>AND(#REF!,"AAAAAH/4P0o=")</f>
        <v>#REF!</v>
      </c>
      <c r="BX284" t="e">
        <f>AND(#REF!,"AAAAAH/4P0s=")</f>
        <v>#REF!</v>
      </c>
      <c r="BY284" t="e">
        <f>AND(#REF!,"AAAAAH/4P0w=")</f>
        <v>#REF!</v>
      </c>
      <c r="BZ284" t="e">
        <f>AND(#REF!,"AAAAAH/4P00=")</f>
        <v>#REF!</v>
      </c>
      <c r="CA284" t="e">
        <f>AND(#REF!,"AAAAAH/4P04=")</f>
        <v>#REF!</v>
      </c>
      <c r="CB284" t="e">
        <f>AND(#REF!,"AAAAAH/4P08=")</f>
        <v>#REF!</v>
      </c>
      <c r="CC284" t="e">
        <f>AND(#REF!,"AAAAAH/4P1A=")</f>
        <v>#REF!</v>
      </c>
      <c r="CD284" t="e">
        <f>AND(#REF!,"AAAAAH/4P1E=")</f>
        <v>#REF!</v>
      </c>
      <c r="CE284" t="e">
        <f>AND(#REF!,"AAAAAH/4P1I=")</f>
        <v>#REF!</v>
      </c>
      <c r="CF284" t="e">
        <f>AND(#REF!,"AAAAAH/4P1M=")</f>
        <v>#REF!</v>
      </c>
      <c r="CG284" t="e">
        <f>AND(#REF!,"AAAAAH/4P1Q=")</f>
        <v>#REF!</v>
      </c>
      <c r="CH284" t="e">
        <f>AND(#REF!,"AAAAAH/4P1U=")</f>
        <v>#REF!</v>
      </c>
      <c r="CI284" t="e">
        <f>AND(#REF!,"AAAAAH/4P1Y=")</f>
        <v>#REF!</v>
      </c>
      <c r="CJ284" t="e">
        <f>AND(#REF!,"AAAAAH/4P1c=")</f>
        <v>#REF!</v>
      </c>
      <c r="CK284" t="e">
        <f>AND(#REF!,"AAAAAH/4P1g=")</f>
        <v>#REF!</v>
      </c>
      <c r="CL284" t="e">
        <f>AND(#REF!,"AAAAAH/4P1k=")</f>
        <v>#REF!</v>
      </c>
      <c r="CM284" t="e">
        <f>AND(#REF!,"AAAAAH/4P1o=")</f>
        <v>#REF!</v>
      </c>
      <c r="CN284" t="e">
        <f>AND(#REF!,"AAAAAH/4P1s=")</f>
        <v>#REF!</v>
      </c>
      <c r="CO284" t="e">
        <f>AND(#REF!,"AAAAAH/4P1w=")</f>
        <v>#REF!</v>
      </c>
      <c r="CP284" t="e">
        <f>AND(#REF!,"AAAAAH/4P10=")</f>
        <v>#REF!</v>
      </c>
      <c r="CQ284" t="e">
        <f>AND(#REF!,"AAAAAH/4P14=")</f>
        <v>#REF!</v>
      </c>
      <c r="CR284" t="e">
        <f>AND(#REF!,"AAAAAH/4P18=")</f>
        <v>#REF!</v>
      </c>
      <c r="CS284" t="e">
        <f>AND(#REF!,"AAAAAH/4P2A=")</f>
        <v>#REF!</v>
      </c>
      <c r="CT284" t="e">
        <f>AND(#REF!,"AAAAAH/4P2E=")</f>
        <v>#REF!</v>
      </c>
      <c r="CU284" t="e">
        <f>AND(#REF!,"AAAAAH/4P2I=")</f>
        <v>#REF!</v>
      </c>
      <c r="CV284" t="e">
        <f>AND(#REF!,"AAAAAH/4P2M=")</f>
        <v>#REF!</v>
      </c>
      <c r="CW284" t="e">
        <f>AND(#REF!,"AAAAAH/4P2Q=")</f>
        <v>#REF!</v>
      </c>
      <c r="CX284" t="e">
        <f>AND(#REF!,"AAAAAH/4P2U=")</f>
        <v>#REF!</v>
      </c>
      <c r="CY284" t="e">
        <f>AND(#REF!,"AAAAAH/4P2Y=")</f>
        <v>#REF!</v>
      </c>
      <c r="CZ284" t="e">
        <f>AND(#REF!,"AAAAAH/4P2c=")</f>
        <v>#REF!</v>
      </c>
      <c r="DA284" t="e">
        <f>AND(#REF!,"AAAAAH/4P2g=")</f>
        <v>#REF!</v>
      </c>
      <c r="DB284" t="e">
        <f>AND(#REF!,"AAAAAH/4P2k=")</f>
        <v>#REF!</v>
      </c>
      <c r="DC284" t="e">
        <f>AND(#REF!,"AAAAAH/4P2o=")</f>
        <v>#REF!</v>
      </c>
      <c r="DD284" t="e">
        <f>AND(#REF!,"AAAAAH/4P2s=")</f>
        <v>#REF!</v>
      </c>
      <c r="DE284" t="e">
        <f>AND(#REF!,"AAAAAH/4P2w=")</f>
        <v>#REF!</v>
      </c>
      <c r="DF284" t="e">
        <f>AND(#REF!,"AAAAAH/4P20=")</f>
        <v>#REF!</v>
      </c>
      <c r="DG284" t="e">
        <f>AND(#REF!,"AAAAAH/4P24=")</f>
        <v>#REF!</v>
      </c>
      <c r="DH284" t="e">
        <f>AND(#REF!,"AAAAAH/4P28=")</f>
        <v>#REF!</v>
      </c>
      <c r="DI284" t="e">
        <f>AND(#REF!,"AAAAAH/4P3A=")</f>
        <v>#REF!</v>
      </c>
      <c r="DJ284" t="e">
        <f>AND(#REF!,"AAAAAH/4P3E=")</f>
        <v>#REF!</v>
      </c>
      <c r="DK284" t="e">
        <f>AND(#REF!,"AAAAAH/4P3I=")</f>
        <v>#REF!</v>
      </c>
      <c r="DL284" t="e">
        <f>AND(#REF!,"AAAAAH/4P3M=")</f>
        <v>#REF!</v>
      </c>
      <c r="DM284" t="e">
        <f>AND(#REF!,"AAAAAH/4P3Q=")</f>
        <v>#REF!</v>
      </c>
      <c r="DN284" t="e">
        <f>AND(#REF!,"AAAAAH/4P3U=")</f>
        <v>#REF!</v>
      </c>
      <c r="DO284" t="e">
        <f>AND(#REF!,"AAAAAH/4P3Y=")</f>
        <v>#REF!</v>
      </c>
      <c r="DP284" t="e">
        <f>IF(#REF!,"AAAAAH/4P3c=",0)</f>
        <v>#REF!</v>
      </c>
      <c r="DQ284" t="e">
        <f>AND(#REF!,"AAAAAH/4P3g=")</f>
        <v>#REF!</v>
      </c>
      <c r="DR284" t="e">
        <f>AND(#REF!,"AAAAAH/4P3k=")</f>
        <v>#REF!</v>
      </c>
      <c r="DS284" t="e">
        <f>AND(#REF!,"AAAAAH/4P3o=")</f>
        <v>#REF!</v>
      </c>
      <c r="DT284" t="e">
        <f>AND(#REF!,"AAAAAH/4P3s=")</f>
        <v>#REF!</v>
      </c>
      <c r="DU284" t="e">
        <f>AND(#REF!,"AAAAAH/4P3w=")</f>
        <v>#REF!</v>
      </c>
      <c r="DV284" t="e">
        <f>AND(#REF!,"AAAAAH/4P30=")</f>
        <v>#REF!</v>
      </c>
      <c r="DW284" t="e">
        <f>AND(#REF!,"AAAAAH/4P34=")</f>
        <v>#REF!</v>
      </c>
      <c r="DX284" t="e">
        <f>AND(#REF!,"AAAAAH/4P38=")</f>
        <v>#REF!</v>
      </c>
      <c r="DY284" t="e">
        <f>AND(#REF!,"AAAAAH/4P4A=")</f>
        <v>#REF!</v>
      </c>
      <c r="DZ284" t="e">
        <f>AND(#REF!,"AAAAAH/4P4E=")</f>
        <v>#REF!</v>
      </c>
      <c r="EA284" t="e">
        <f>AND(#REF!,"AAAAAH/4P4I=")</f>
        <v>#REF!</v>
      </c>
      <c r="EB284" t="e">
        <f>AND(#REF!,"AAAAAH/4P4M=")</f>
        <v>#REF!</v>
      </c>
      <c r="EC284" t="e">
        <f>AND(#REF!,"AAAAAH/4P4Q=")</f>
        <v>#REF!</v>
      </c>
      <c r="ED284" t="e">
        <f>AND(#REF!,"AAAAAH/4P4U=")</f>
        <v>#REF!</v>
      </c>
      <c r="EE284" t="e">
        <f>AND(#REF!,"AAAAAH/4P4Y=")</f>
        <v>#REF!</v>
      </c>
      <c r="EF284" t="e">
        <f>AND(#REF!,"AAAAAH/4P4c=")</f>
        <v>#REF!</v>
      </c>
      <c r="EG284" t="e">
        <f>AND(#REF!,"AAAAAH/4P4g=")</f>
        <v>#REF!</v>
      </c>
      <c r="EH284" t="e">
        <f>AND(#REF!,"AAAAAH/4P4k=")</f>
        <v>#REF!</v>
      </c>
      <c r="EI284" t="e">
        <f>AND(#REF!,"AAAAAH/4P4o=")</f>
        <v>#REF!</v>
      </c>
      <c r="EJ284" t="e">
        <f>AND(#REF!,"AAAAAH/4P4s=")</f>
        <v>#REF!</v>
      </c>
      <c r="EK284" t="e">
        <f>AND(#REF!,"AAAAAH/4P4w=")</f>
        <v>#REF!</v>
      </c>
      <c r="EL284" t="e">
        <f>AND(#REF!,"AAAAAH/4P40=")</f>
        <v>#REF!</v>
      </c>
      <c r="EM284" t="e">
        <f>AND(#REF!,"AAAAAH/4P44=")</f>
        <v>#REF!</v>
      </c>
      <c r="EN284" t="e">
        <f>AND(#REF!,"AAAAAH/4P48=")</f>
        <v>#REF!</v>
      </c>
      <c r="EO284" t="e">
        <f>AND(#REF!,"AAAAAH/4P5A=")</f>
        <v>#REF!</v>
      </c>
      <c r="EP284" t="e">
        <f>AND(#REF!,"AAAAAH/4P5E=")</f>
        <v>#REF!</v>
      </c>
      <c r="EQ284" t="e">
        <f>AND(#REF!,"AAAAAH/4P5I=")</f>
        <v>#REF!</v>
      </c>
      <c r="ER284" t="e">
        <f>AND(#REF!,"AAAAAH/4P5M=")</f>
        <v>#REF!</v>
      </c>
      <c r="ES284" t="e">
        <f>AND(#REF!,"AAAAAH/4P5Q=")</f>
        <v>#REF!</v>
      </c>
      <c r="ET284" t="e">
        <f>AND(#REF!,"AAAAAH/4P5U=")</f>
        <v>#REF!</v>
      </c>
      <c r="EU284" t="e">
        <f>AND(#REF!,"AAAAAH/4P5Y=")</f>
        <v>#REF!</v>
      </c>
      <c r="EV284" t="e">
        <f>AND(#REF!,"AAAAAH/4P5c=")</f>
        <v>#REF!</v>
      </c>
      <c r="EW284" t="e">
        <f>AND(#REF!,"AAAAAH/4P5g=")</f>
        <v>#REF!</v>
      </c>
      <c r="EX284" t="e">
        <f>AND(#REF!,"AAAAAH/4P5k=")</f>
        <v>#REF!</v>
      </c>
      <c r="EY284" t="e">
        <f>AND(#REF!,"AAAAAH/4P5o=")</f>
        <v>#REF!</v>
      </c>
      <c r="EZ284" t="e">
        <f>AND(#REF!,"AAAAAH/4P5s=")</f>
        <v>#REF!</v>
      </c>
      <c r="FA284" t="e">
        <f>AND(#REF!,"AAAAAH/4P5w=")</f>
        <v>#REF!</v>
      </c>
      <c r="FB284" t="e">
        <f>AND(#REF!,"AAAAAH/4P50=")</f>
        <v>#REF!</v>
      </c>
      <c r="FC284" t="e">
        <f>AND(#REF!,"AAAAAH/4P54=")</f>
        <v>#REF!</v>
      </c>
      <c r="FD284" t="e">
        <f>AND(#REF!,"AAAAAH/4P58=")</f>
        <v>#REF!</v>
      </c>
      <c r="FE284" t="e">
        <f>AND(#REF!,"AAAAAH/4P6A=")</f>
        <v>#REF!</v>
      </c>
      <c r="FF284" t="e">
        <f>AND(#REF!,"AAAAAH/4P6E=")</f>
        <v>#REF!</v>
      </c>
      <c r="FG284" t="e">
        <f>AND(#REF!,"AAAAAH/4P6I=")</f>
        <v>#REF!</v>
      </c>
      <c r="FH284" t="e">
        <f>AND(#REF!,"AAAAAH/4P6M=")</f>
        <v>#REF!</v>
      </c>
      <c r="FI284" t="e">
        <f>AND(#REF!,"AAAAAH/4P6Q=")</f>
        <v>#REF!</v>
      </c>
      <c r="FJ284" t="e">
        <f>AND(#REF!,"AAAAAH/4P6U=")</f>
        <v>#REF!</v>
      </c>
      <c r="FK284" t="e">
        <f>AND(#REF!,"AAAAAH/4P6Y=")</f>
        <v>#REF!</v>
      </c>
      <c r="FL284" t="e">
        <f>AND(#REF!,"AAAAAH/4P6c=")</f>
        <v>#REF!</v>
      </c>
      <c r="FM284" t="e">
        <f>AND(#REF!,"AAAAAH/4P6g=")</f>
        <v>#REF!</v>
      </c>
      <c r="FN284" t="e">
        <f>AND(#REF!,"AAAAAH/4P6k=")</f>
        <v>#REF!</v>
      </c>
      <c r="FO284" t="e">
        <f>AND(#REF!,"AAAAAH/4P6o=")</f>
        <v>#REF!</v>
      </c>
      <c r="FP284" t="e">
        <f>IF(#REF!,"AAAAAH/4P6s=",0)</f>
        <v>#REF!</v>
      </c>
      <c r="FQ284" t="e">
        <f>AND(#REF!,"AAAAAH/4P6w=")</f>
        <v>#REF!</v>
      </c>
      <c r="FR284" t="e">
        <f>AND(#REF!,"AAAAAH/4P60=")</f>
        <v>#REF!</v>
      </c>
      <c r="FS284" t="e">
        <f>AND(#REF!,"AAAAAH/4P64=")</f>
        <v>#REF!</v>
      </c>
      <c r="FT284" t="e">
        <f>AND(#REF!,"AAAAAH/4P68=")</f>
        <v>#REF!</v>
      </c>
      <c r="FU284" t="e">
        <f>AND(#REF!,"AAAAAH/4P7A=")</f>
        <v>#REF!</v>
      </c>
      <c r="FV284" t="e">
        <f>AND(#REF!,"AAAAAH/4P7E=")</f>
        <v>#REF!</v>
      </c>
      <c r="FW284" t="e">
        <f>AND(#REF!,"AAAAAH/4P7I=")</f>
        <v>#REF!</v>
      </c>
      <c r="FX284" t="e">
        <f>AND(#REF!,"AAAAAH/4P7M=")</f>
        <v>#REF!</v>
      </c>
      <c r="FY284" t="e">
        <f>AND(#REF!,"AAAAAH/4P7Q=")</f>
        <v>#REF!</v>
      </c>
      <c r="FZ284" t="e">
        <f>AND(#REF!,"AAAAAH/4P7U=")</f>
        <v>#REF!</v>
      </c>
      <c r="GA284" t="e">
        <f>AND(#REF!,"AAAAAH/4P7Y=")</f>
        <v>#REF!</v>
      </c>
      <c r="GB284" t="e">
        <f>AND(#REF!,"AAAAAH/4P7c=")</f>
        <v>#REF!</v>
      </c>
      <c r="GC284" t="e">
        <f>AND(#REF!,"AAAAAH/4P7g=")</f>
        <v>#REF!</v>
      </c>
      <c r="GD284" t="e">
        <f>AND(#REF!,"AAAAAH/4P7k=")</f>
        <v>#REF!</v>
      </c>
      <c r="GE284" t="e">
        <f>AND(#REF!,"AAAAAH/4P7o=")</f>
        <v>#REF!</v>
      </c>
      <c r="GF284" t="e">
        <f>AND(#REF!,"AAAAAH/4P7s=")</f>
        <v>#REF!</v>
      </c>
      <c r="GG284" t="e">
        <f>AND(#REF!,"AAAAAH/4P7w=")</f>
        <v>#REF!</v>
      </c>
      <c r="GH284" t="e">
        <f>AND(#REF!,"AAAAAH/4P70=")</f>
        <v>#REF!</v>
      </c>
      <c r="GI284" t="e">
        <f>AND(#REF!,"AAAAAH/4P74=")</f>
        <v>#REF!</v>
      </c>
      <c r="GJ284" t="e">
        <f>AND(#REF!,"AAAAAH/4P78=")</f>
        <v>#REF!</v>
      </c>
      <c r="GK284" t="e">
        <f>AND(#REF!,"AAAAAH/4P8A=")</f>
        <v>#REF!</v>
      </c>
      <c r="GL284" t="e">
        <f>AND(#REF!,"AAAAAH/4P8E=")</f>
        <v>#REF!</v>
      </c>
      <c r="GM284" t="e">
        <f>AND(#REF!,"AAAAAH/4P8I=")</f>
        <v>#REF!</v>
      </c>
      <c r="GN284" t="e">
        <f>AND(#REF!,"AAAAAH/4P8M=")</f>
        <v>#REF!</v>
      </c>
      <c r="GO284" t="e">
        <f>AND(#REF!,"AAAAAH/4P8Q=")</f>
        <v>#REF!</v>
      </c>
      <c r="GP284" t="e">
        <f>AND(#REF!,"AAAAAH/4P8U=")</f>
        <v>#REF!</v>
      </c>
      <c r="GQ284" t="e">
        <f>AND(#REF!,"AAAAAH/4P8Y=")</f>
        <v>#REF!</v>
      </c>
      <c r="GR284" t="e">
        <f>AND(#REF!,"AAAAAH/4P8c=")</f>
        <v>#REF!</v>
      </c>
      <c r="GS284" t="e">
        <f>AND(#REF!,"AAAAAH/4P8g=")</f>
        <v>#REF!</v>
      </c>
      <c r="GT284" t="e">
        <f>AND(#REF!,"AAAAAH/4P8k=")</f>
        <v>#REF!</v>
      </c>
      <c r="GU284" t="e">
        <f>AND(#REF!,"AAAAAH/4P8o=")</f>
        <v>#REF!</v>
      </c>
      <c r="GV284" t="e">
        <f>AND(#REF!,"AAAAAH/4P8s=")</f>
        <v>#REF!</v>
      </c>
      <c r="GW284" t="e">
        <f>AND(#REF!,"AAAAAH/4P8w=")</f>
        <v>#REF!</v>
      </c>
      <c r="GX284" t="e">
        <f>AND(#REF!,"AAAAAH/4P80=")</f>
        <v>#REF!</v>
      </c>
      <c r="GY284" t="e">
        <f>AND(#REF!,"AAAAAH/4P84=")</f>
        <v>#REF!</v>
      </c>
      <c r="GZ284" t="e">
        <f>AND(#REF!,"AAAAAH/4P88=")</f>
        <v>#REF!</v>
      </c>
      <c r="HA284" t="e">
        <f>AND(#REF!,"AAAAAH/4P9A=")</f>
        <v>#REF!</v>
      </c>
      <c r="HB284" t="e">
        <f>AND(#REF!,"AAAAAH/4P9E=")</f>
        <v>#REF!</v>
      </c>
      <c r="HC284" t="e">
        <f>AND(#REF!,"AAAAAH/4P9I=")</f>
        <v>#REF!</v>
      </c>
      <c r="HD284" t="e">
        <f>AND(#REF!,"AAAAAH/4P9M=")</f>
        <v>#REF!</v>
      </c>
      <c r="HE284" t="e">
        <f>AND(#REF!,"AAAAAH/4P9Q=")</f>
        <v>#REF!</v>
      </c>
      <c r="HF284" t="e">
        <f>AND(#REF!,"AAAAAH/4P9U=")</f>
        <v>#REF!</v>
      </c>
      <c r="HG284" t="e">
        <f>AND(#REF!,"AAAAAH/4P9Y=")</f>
        <v>#REF!</v>
      </c>
      <c r="HH284" t="e">
        <f>AND(#REF!,"AAAAAH/4P9c=")</f>
        <v>#REF!</v>
      </c>
      <c r="HI284" t="e">
        <f>AND(#REF!,"AAAAAH/4P9g=")</f>
        <v>#REF!</v>
      </c>
      <c r="HJ284" t="e">
        <f>AND(#REF!,"AAAAAH/4P9k=")</f>
        <v>#REF!</v>
      </c>
      <c r="HK284" t="e">
        <f>AND(#REF!,"AAAAAH/4P9o=")</f>
        <v>#REF!</v>
      </c>
      <c r="HL284" t="e">
        <f>AND(#REF!,"AAAAAH/4P9s=")</f>
        <v>#REF!</v>
      </c>
      <c r="HM284" t="e">
        <f>AND(#REF!,"AAAAAH/4P9w=")</f>
        <v>#REF!</v>
      </c>
      <c r="HN284" t="e">
        <f>AND(#REF!,"AAAAAH/4P90=")</f>
        <v>#REF!</v>
      </c>
      <c r="HO284" t="e">
        <f>AND(#REF!,"AAAAAH/4P94=")</f>
        <v>#REF!</v>
      </c>
      <c r="HP284" t="e">
        <f>IF(#REF!,"AAAAAH/4P98=",0)</f>
        <v>#REF!</v>
      </c>
      <c r="HQ284" t="e">
        <f>AND(#REF!,"AAAAAH/4P+A=")</f>
        <v>#REF!</v>
      </c>
      <c r="HR284" t="e">
        <f>AND(#REF!,"AAAAAH/4P+E=")</f>
        <v>#REF!</v>
      </c>
      <c r="HS284" t="e">
        <f>AND(#REF!,"AAAAAH/4P+I=")</f>
        <v>#REF!</v>
      </c>
      <c r="HT284" t="e">
        <f>AND(#REF!,"AAAAAH/4P+M=")</f>
        <v>#REF!</v>
      </c>
      <c r="HU284" t="e">
        <f>AND(#REF!,"AAAAAH/4P+Q=")</f>
        <v>#REF!</v>
      </c>
      <c r="HV284" t="e">
        <f>AND(#REF!,"AAAAAH/4P+U=")</f>
        <v>#REF!</v>
      </c>
      <c r="HW284" t="e">
        <f>AND(#REF!,"AAAAAH/4P+Y=")</f>
        <v>#REF!</v>
      </c>
      <c r="HX284" t="e">
        <f>AND(#REF!,"AAAAAH/4P+c=")</f>
        <v>#REF!</v>
      </c>
      <c r="HY284" t="e">
        <f>AND(#REF!,"AAAAAH/4P+g=")</f>
        <v>#REF!</v>
      </c>
      <c r="HZ284" t="e">
        <f>AND(#REF!,"AAAAAH/4P+k=")</f>
        <v>#REF!</v>
      </c>
      <c r="IA284" t="e">
        <f>AND(#REF!,"AAAAAH/4P+o=")</f>
        <v>#REF!</v>
      </c>
      <c r="IB284" t="e">
        <f>AND(#REF!,"AAAAAH/4P+s=")</f>
        <v>#REF!</v>
      </c>
      <c r="IC284" t="e">
        <f>AND(#REF!,"AAAAAH/4P+w=")</f>
        <v>#REF!</v>
      </c>
      <c r="ID284" t="e">
        <f>AND(#REF!,"AAAAAH/4P+0=")</f>
        <v>#REF!</v>
      </c>
      <c r="IE284" t="e">
        <f>AND(#REF!,"AAAAAH/4P+4=")</f>
        <v>#REF!</v>
      </c>
      <c r="IF284" t="e">
        <f>AND(#REF!,"AAAAAH/4P+8=")</f>
        <v>#REF!</v>
      </c>
      <c r="IG284" t="e">
        <f>AND(#REF!,"AAAAAH/4P/A=")</f>
        <v>#REF!</v>
      </c>
      <c r="IH284" t="e">
        <f>AND(#REF!,"AAAAAH/4P/E=")</f>
        <v>#REF!</v>
      </c>
      <c r="II284" t="e">
        <f>AND(#REF!,"AAAAAH/4P/I=")</f>
        <v>#REF!</v>
      </c>
      <c r="IJ284" t="e">
        <f>AND(#REF!,"AAAAAH/4P/M=")</f>
        <v>#REF!</v>
      </c>
      <c r="IK284" t="e">
        <f>AND(#REF!,"AAAAAH/4P/Q=")</f>
        <v>#REF!</v>
      </c>
      <c r="IL284" t="e">
        <f>AND(#REF!,"AAAAAH/4P/U=")</f>
        <v>#REF!</v>
      </c>
      <c r="IM284" t="e">
        <f>AND(#REF!,"AAAAAH/4P/Y=")</f>
        <v>#REF!</v>
      </c>
      <c r="IN284" t="e">
        <f>AND(#REF!,"AAAAAH/4P/c=")</f>
        <v>#REF!</v>
      </c>
      <c r="IO284" t="e">
        <f>AND(#REF!,"AAAAAH/4P/g=")</f>
        <v>#REF!</v>
      </c>
      <c r="IP284" t="e">
        <f>AND(#REF!,"AAAAAH/4P/k=")</f>
        <v>#REF!</v>
      </c>
      <c r="IQ284" t="e">
        <f>AND(#REF!,"AAAAAH/4P/o=")</f>
        <v>#REF!</v>
      </c>
      <c r="IR284" t="e">
        <f>AND(#REF!,"AAAAAH/4P/s=")</f>
        <v>#REF!</v>
      </c>
      <c r="IS284" t="e">
        <f>AND(#REF!,"AAAAAH/4P/w=")</f>
        <v>#REF!</v>
      </c>
      <c r="IT284" t="e">
        <f>AND(#REF!,"AAAAAH/4P/0=")</f>
        <v>#REF!</v>
      </c>
      <c r="IU284" t="e">
        <f>AND(#REF!,"AAAAAH/4P/4=")</f>
        <v>#REF!</v>
      </c>
      <c r="IV284" t="e">
        <f>AND(#REF!,"AAAAAH/4P/8=")</f>
        <v>#REF!</v>
      </c>
    </row>
    <row r="285" spans="1:256">
      <c r="A285" t="e">
        <f>AND(#REF!,"AAAAAHfvbwA=")</f>
        <v>#REF!</v>
      </c>
      <c r="B285" t="e">
        <f>AND(#REF!,"AAAAAHfvbwE=")</f>
        <v>#REF!</v>
      </c>
      <c r="C285" t="e">
        <f>AND(#REF!,"AAAAAHfvbwI=")</f>
        <v>#REF!</v>
      </c>
      <c r="D285" t="e">
        <f>AND(#REF!,"AAAAAHfvbwM=")</f>
        <v>#REF!</v>
      </c>
      <c r="E285" t="e">
        <f>AND(#REF!,"AAAAAHfvbwQ=")</f>
        <v>#REF!</v>
      </c>
      <c r="F285" t="e">
        <f>AND(#REF!,"AAAAAHfvbwU=")</f>
        <v>#REF!</v>
      </c>
      <c r="G285" t="e">
        <f>AND(#REF!,"AAAAAHfvbwY=")</f>
        <v>#REF!</v>
      </c>
      <c r="H285" t="e">
        <f>AND(#REF!,"AAAAAHfvbwc=")</f>
        <v>#REF!</v>
      </c>
      <c r="I285" t="e">
        <f>AND(#REF!,"AAAAAHfvbwg=")</f>
        <v>#REF!</v>
      </c>
      <c r="J285" t="e">
        <f>AND(#REF!,"AAAAAHfvbwk=")</f>
        <v>#REF!</v>
      </c>
      <c r="K285" t="e">
        <f>AND(#REF!,"AAAAAHfvbwo=")</f>
        <v>#REF!</v>
      </c>
      <c r="L285" t="e">
        <f>AND(#REF!,"AAAAAHfvbws=")</f>
        <v>#REF!</v>
      </c>
      <c r="M285" t="e">
        <f>AND(#REF!,"AAAAAHfvbww=")</f>
        <v>#REF!</v>
      </c>
      <c r="N285" t="e">
        <f>AND(#REF!,"AAAAAHfvbw0=")</f>
        <v>#REF!</v>
      </c>
      <c r="O285" t="e">
        <f>AND(#REF!,"AAAAAHfvbw4=")</f>
        <v>#REF!</v>
      </c>
      <c r="P285" t="e">
        <f>AND(#REF!,"AAAAAHfvbw8=")</f>
        <v>#REF!</v>
      </c>
      <c r="Q285" t="e">
        <f>AND(#REF!,"AAAAAHfvbxA=")</f>
        <v>#REF!</v>
      </c>
      <c r="R285" t="e">
        <f>AND(#REF!,"AAAAAHfvbxE=")</f>
        <v>#REF!</v>
      </c>
      <c r="S285" t="e">
        <f>AND(#REF!,"AAAAAHfvbxI=")</f>
        <v>#REF!</v>
      </c>
      <c r="T285" t="e">
        <f>IF(#REF!,"AAAAAHfvbxM=",0)</f>
        <v>#REF!</v>
      </c>
      <c r="U285" t="e">
        <f>AND(#REF!,"AAAAAHfvbxQ=")</f>
        <v>#REF!</v>
      </c>
      <c r="V285" t="e">
        <f>AND(#REF!,"AAAAAHfvbxU=")</f>
        <v>#REF!</v>
      </c>
      <c r="W285" t="e">
        <f>AND(#REF!,"AAAAAHfvbxY=")</f>
        <v>#REF!</v>
      </c>
      <c r="X285" t="e">
        <f>AND(#REF!,"AAAAAHfvbxc=")</f>
        <v>#REF!</v>
      </c>
      <c r="Y285" t="e">
        <f>AND(#REF!,"AAAAAHfvbxg=")</f>
        <v>#REF!</v>
      </c>
      <c r="Z285" t="e">
        <f>AND(#REF!,"AAAAAHfvbxk=")</f>
        <v>#REF!</v>
      </c>
      <c r="AA285" t="e">
        <f>AND(#REF!,"AAAAAHfvbxo=")</f>
        <v>#REF!</v>
      </c>
      <c r="AB285" t="e">
        <f>AND(#REF!,"AAAAAHfvbxs=")</f>
        <v>#REF!</v>
      </c>
      <c r="AC285" t="e">
        <f>AND(#REF!,"AAAAAHfvbxw=")</f>
        <v>#REF!</v>
      </c>
      <c r="AD285" t="e">
        <f>AND(#REF!,"AAAAAHfvbx0=")</f>
        <v>#REF!</v>
      </c>
      <c r="AE285" t="e">
        <f>AND(#REF!,"AAAAAHfvbx4=")</f>
        <v>#REF!</v>
      </c>
      <c r="AF285" t="e">
        <f>AND(#REF!,"AAAAAHfvbx8=")</f>
        <v>#REF!</v>
      </c>
      <c r="AG285" t="e">
        <f>AND(#REF!,"AAAAAHfvbyA=")</f>
        <v>#REF!</v>
      </c>
      <c r="AH285" t="e">
        <f>AND(#REF!,"AAAAAHfvbyE=")</f>
        <v>#REF!</v>
      </c>
      <c r="AI285" t="e">
        <f>AND(#REF!,"AAAAAHfvbyI=")</f>
        <v>#REF!</v>
      </c>
      <c r="AJ285" t="e">
        <f>AND(#REF!,"AAAAAHfvbyM=")</f>
        <v>#REF!</v>
      </c>
      <c r="AK285" t="e">
        <f>AND(#REF!,"AAAAAHfvbyQ=")</f>
        <v>#REF!</v>
      </c>
      <c r="AL285" t="e">
        <f>AND(#REF!,"AAAAAHfvbyU=")</f>
        <v>#REF!</v>
      </c>
      <c r="AM285" t="e">
        <f>AND(#REF!,"AAAAAHfvbyY=")</f>
        <v>#REF!</v>
      </c>
      <c r="AN285" t="e">
        <f>AND(#REF!,"AAAAAHfvbyc=")</f>
        <v>#REF!</v>
      </c>
      <c r="AO285" t="e">
        <f>AND(#REF!,"AAAAAHfvbyg=")</f>
        <v>#REF!</v>
      </c>
      <c r="AP285" t="e">
        <f>AND(#REF!,"AAAAAHfvbyk=")</f>
        <v>#REF!</v>
      </c>
      <c r="AQ285" t="e">
        <f>AND(#REF!,"AAAAAHfvbyo=")</f>
        <v>#REF!</v>
      </c>
      <c r="AR285" t="e">
        <f>AND(#REF!,"AAAAAHfvbys=")</f>
        <v>#REF!</v>
      </c>
      <c r="AS285" t="e">
        <f>AND(#REF!,"AAAAAHfvbyw=")</f>
        <v>#REF!</v>
      </c>
      <c r="AT285" t="e">
        <f>AND(#REF!,"AAAAAHfvby0=")</f>
        <v>#REF!</v>
      </c>
      <c r="AU285" t="e">
        <f>AND(#REF!,"AAAAAHfvby4=")</f>
        <v>#REF!</v>
      </c>
      <c r="AV285" t="e">
        <f>AND(#REF!,"AAAAAHfvby8=")</f>
        <v>#REF!</v>
      </c>
      <c r="AW285" t="e">
        <f>AND(#REF!,"AAAAAHfvbzA=")</f>
        <v>#REF!</v>
      </c>
      <c r="AX285" t="e">
        <f>AND(#REF!,"AAAAAHfvbzE=")</f>
        <v>#REF!</v>
      </c>
      <c r="AY285" t="e">
        <f>AND(#REF!,"AAAAAHfvbzI=")</f>
        <v>#REF!</v>
      </c>
      <c r="AZ285" t="e">
        <f>AND(#REF!,"AAAAAHfvbzM=")</f>
        <v>#REF!</v>
      </c>
      <c r="BA285" t="e">
        <f>AND(#REF!,"AAAAAHfvbzQ=")</f>
        <v>#REF!</v>
      </c>
      <c r="BB285" t="e">
        <f>AND(#REF!,"AAAAAHfvbzU=")</f>
        <v>#REF!</v>
      </c>
      <c r="BC285" t="e">
        <f>AND(#REF!,"AAAAAHfvbzY=")</f>
        <v>#REF!</v>
      </c>
      <c r="BD285" t="e">
        <f>AND(#REF!,"AAAAAHfvbzc=")</f>
        <v>#REF!</v>
      </c>
      <c r="BE285" t="e">
        <f>AND(#REF!,"AAAAAHfvbzg=")</f>
        <v>#REF!</v>
      </c>
      <c r="BF285" t="e">
        <f>AND(#REF!,"AAAAAHfvbzk=")</f>
        <v>#REF!</v>
      </c>
      <c r="BG285" t="e">
        <f>AND(#REF!,"AAAAAHfvbzo=")</f>
        <v>#REF!</v>
      </c>
      <c r="BH285" t="e">
        <f>AND(#REF!,"AAAAAHfvbzs=")</f>
        <v>#REF!</v>
      </c>
      <c r="BI285" t="e">
        <f>AND(#REF!,"AAAAAHfvbzw=")</f>
        <v>#REF!</v>
      </c>
      <c r="BJ285" t="e">
        <f>AND(#REF!,"AAAAAHfvbz0=")</f>
        <v>#REF!</v>
      </c>
      <c r="BK285" t="e">
        <f>AND(#REF!,"AAAAAHfvbz4=")</f>
        <v>#REF!</v>
      </c>
      <c r="BL285" t="e">
        <f>AND(#REF!,"AAAAAHfvbz8=")</f>
        <v>#REF!</v>
      </c>
      <c r="BM285" t="e">
        <f>AND(#REF!,"AAAAAHfvb0A=")</f>
        <v>#REF!</v>
      </c>
      <c r="BN285" t="e">
        <f>AND(#REF!,"AAAAAHfvb0E=")</f>
        <v>#REF!</v>
      </c>
      <c r="BO285" t="e">
        <f>AND(#REF!,"AAAAAHfvb0I=")</f>
        <v>#REF!</v>
      </c>
      <c r="BP285" t="e">
        <f>AND(#REF!,"AAAAAHfvb0M=")</f>
        <v>#REF!</v>
      </c>
      <c r="BQ285" t="e">
        <f>AND(#REF!,"AAAAAHfvb0Q=")</f>
        <v>#REF!</v>
      </c>
      <c r="BR285" t="e">
        <f>AND(#REF!,"AAAAAHfvb0U=")</f>
        <v>#REF!</v>
      </c>
      <c r="BS285" t="e">
        <f>AND(#REF!,"AAAAAHfvb0Y=")</f>
        <v>#REF!</v>
      </c>
      <c r="BT285" t="e">
        <f>IF(#REF!,"AAAAAHfvb0c=",0)</f>
        <v>#REF!</v>
      </c>
      <c r="BU285" t="e">
        <f>AND(#REF!,"AAAAAHfvb0g=")</f>
        <v>#REF!</v>
      </c>
      <c r="BV285" t="e">
        <f>AND(#REF!,"AAAAAHfvb0k=")</f>
        <v>#REF!</v>
      </c>
      <c r="BW285" t="e">
        <f>AND(#REF!,"AAAAAHfvb0o=")</f>
        <v>#REF!</v>
      </c>
      <c r="BX285" t="e">
        <f>AND(#REF!,"AAAAAHfvb0s=")</f>
        <v>#REF!</v>
      </c>
      <c r="BY285" t="e">
        <f>AND(#REF!,"AAAAAHfvb0w=")</f>
        <v>#REF!</v>
      </c>
      <c r="BZ285" t="e">
        <f>AND(#REF!,"AAAAAHfvb00=")</f>
        <v>#REF!</v>
      </c>
      <c r="CA285" t="e">
        <f>AND(#REF!,"AAAAAHfvb04=")</f>
        <v>#REF!</v>
      </c>
      <c r="CB285" t="e">
        <f>AND(#REF!,"AAAAAHfvb08=")</f>
        <v>#REF!</v>
      </c>
      <c r="CC285" t="e">
        <f>AND(#REF!,"AAAAAHfvb1A=")</f>
        <v>#REF!</v>
      </c>
      <c r="CD285" t="e">
        <f>AND(#REF!,"AAAAAHfvb1E=")</f>
        <v>#REF!</v>
      </c>
      <c r="CE285" t="e">
        <f>AND(#REF!,"AAAAAHfvb1I=")</f>
        <v>#REF!</v>
      </c>
      <c r="CF285" t="e">
        <f>AND(#REF!,"AAAAAHfvb1M=")</f>
        <v>#REF!</v>
      </c>
      <c r="CG285" t="e">
        <f>AND(#REF!,"AAAAAHfvb1Q=")</f>
        <v>#REF!</v>
      </c>
      <c r="CH285" t="e">
        <f>AND(#REF!,"AAAAAHfvb1U=")</f>
        <v>#REF!</v>
      </c>
      <c r="CI285" t="e">
        <f>AND(#REF!,"AAAAAHfvb1Y=")</f>
        <v>#REF!</v>
      </c>
      <c r="CJ285" t="e">
        <f>AND(#REF!,"AAAAAHfvb1c=")</f>
        <v>#REF!</v>
      </c>
      <c r="CK285" t="e">
        <f>AND(#REF!,"AAAAAHfvb1g=")</f>
        <v>#REF!</v>
      </c>
      <c r="CL285" t="e">
        <f>AND(#REF!,"AAAAAHfvb1k=")</f>
        <v>#REF!</v>
      </c>
      <c r="CM285" t="e">
        <f>AND(#REF!,"AAAAAHfvb1o=")</f>
        <v>#REF!</v>
      </c>
      <c r="CN285" t="e">
        <f>AND(#REF!,"AAAAAHfvb1s=")</f>
        <v>#REF!</v>
      </c>
      <c r="CO285" t="e">
        <f>AND(#REF!,"AAAAAHfvb1w=")</f>
        <v>#REF!</v>
      </c>
      <c r="CP285" t="e">
        <f>AND(#REF!,"AAAAAHfvb10=")</f>
        <v>#REF!</v>
      </c>
      <c r="CQ285" t="e">
        <f>AND(#REF!,"AAAAAHfvb14=")</f>
        <v>#REF!</v>
      </c>
      <c r="CR285" t="e">
        <f>AND(#REF!,"AAAAAHfvb18=")</f>
        <v>#REF!</v>
      </c>
      <c r="CS285" t="e">
        <f>AND(#REF!,"AAAAAHfvb2A=")</f>
        <v>#REF!</v>
      </c>
      <c r="CT285" t="e">
        <f>AND(#REF!,"AAAAAHfvb2E=")</f>
        <v>#REF!</v>
      </c>
      <c r="CU285" t="e">
        <f>AND(#REF!,"AAAAAHfvb2I=")</f>
        <v>#REF!</v>
      </c>
      <c r="CV285" t="e">
        <f>AND(#REF!,"AAAAAHfvb2M=")</f>
        <v>#REF!</v>
      </c>
      <c r="CW285" t="e">
        <f>AND(#REF!,"AAAAAHfvb2Q=")</f>
        <v>#REF!</v>
      </c>
      <c r="CX285" t="e">
        <f>AND(#REF!,"AAAAAHfvb2U=")</f>
        <v>#REF!</v>
      </c>
      <c r="CY285" t="e">
        <f>AND(#REF!,"AAAAAHfvb2Y=")</f>
        <v>#REF!</v>
      </c>
      <c r="CZ285" t="e">
        <f>AND(#REF!,"AAAAAHfvb2c=")</f>
        <v>#REF!</v>
      </c>
      <c r="DA285" t="e">
        <f>AND(#REF!,"AAAAAHfvb2g=")</f>
        <v>#REF!</v>
      </c>
      <c r="DB285" t="e">
        <f>AND(#REF!,"AAAAAHfvb2k=")</f>
        <v>#REF!</v>
      </c>
      <c r="DC285" t="e">
        <f>AND(#REF!,"AAAAAHfvb2o=")</f>
        <v>#REF!</v>
      </c>
      <c r="DD285" t="e">
        <f>AND(#REF!,"AAAAAHfvb2s=")</f>
        <v>#REF!</v>
      </c>
      <c r="DE285" t="e">
        <f>AND(#REF!,"AAAAAHfvb2w=")</f>
        <v>#REF!</v>
      </c>
      <c r="DF285" t="e">
        <f>AND(#REF!,"AAAAAHfvb20=")</f>
        <v>#REF!</v>
      </c>
      <c r="DG285" t="e">
        <f>AND(#REF!,"AAAAAHfvb24=")</f>
        <v>#REF!</v>
      </c>
      <c r="DH285" t="e">
        <f>AND(#REF!,"AAAAAHfvb28=")</f>
        <v>#REF!</v>
      </c>
      <c r="DI285" t="e">
        <f>AND(#REF!,"AAAAAHfvb3A=")</f>
        <v>#REF!</v>
      </c>
      <c r="DJ285" t="e">
        <f>AND(#REF!,"AAAAAHfvb3E=")</f>
        <v>#REF!</v>
      </c>
      <c r="DK285" t="e">
        <f>AND(#REF!,"AAAAAHfvb3I=")</f>
        <v>#REF!</v>
      </c>
      <c r="DL285" t="e">
        <f>AND(#REF!,"AAAAAHfvb3M=")</f>
        <v>#REF!</v>
      </c>
      <c r="DM285" t="e">
        <f>AND(#REF!,"AAAAAHfvb3Q=")</f>
        <v>#REF!</v>
      </c>
      <c r="DN285" t="e">
        <f>AND(#REF!,"AAAAAHfvb3U=")</f>
        <v>#REF!</v>
      </c>
      <c r="DO285" t="e">
        <f>AND(#REF!,"AAAAAHfvb3Y=")</f>
        <v>#REF!</v>
      </c>
      <c r="DP285" t="e">
        <f>AND(#REF!,"AAAAAHfvb3c=")</f>
        <v>#REF!</v>
      </c>
      <c r="DQ285" t="e">
        <f>AND(#REF!,"AAAAAHfvb3g=")</f>
        <v>#REF!</v>
      </c>
      <c r="DR285" t="e">
        <f>AND(#REF!,"AAAAAHfvb3k=")</f>
        <v>#REF!</v>
      </c>
      <c r="DS285" t="e">
        <f>AND(#REF!,"AAAAAHfvb3o=")</f>
        <v>#REF!</v>
      </c>
      <c r="DT285" t="e">
        <f>IF(#REF!,"AAAAAHfvb3s=",0)</f>
        <v>#REF!</v>
      </c>
      <c r="DU285" t="e">
        <f>AND(#REF!,"AAAAAHfvb3w=")</f>
        <v>#REF!</v>
      </c>
      <c r="DV285" t="e">
        <f>AND(#REF!,"AAAAAHfvb30=")</f>
        <v>#REF!</v>
      </c>
      <c r="DW285" t="e">
        <f>AND(#REF!,"AAAAAHfvb34=")</f>
        <v>#REF!</v>
      </c>
      <c r="DX285" t="e">
        <f>AND(#REF!,"AAAAAHfvb38=")</f>
        <v>#REF!</v>
      </c>
      <c r="DY285" t="e">
        <f>AND(#REF!,"AAAAAHfvb4A=")</f>
        <v>#REF!</v>
      </c>
      <c r="DZ285" t="e">
        <f>AND(#REF!,"AAAAAHfvb4E=")</f>
        <v>#REF!</v>
      </c>
      <c r="EA285" t="e">
        <f>AND(#REF!,"AAAAAHfvb4I=")</f>
        <v>#REF!</v>
      </c>
      <c r="EB285" t="e">
        <f>AND(#REF!,"AAAAAHfvb4M=")</f>
        <v>#REF!</v>
      </c>
      <c r="EC285" t="e">
        <f>AND(#REF!,"AAAAAHfvb4Q=")</f>
        <v>#REF!</v>
      </c>
      <c r="ED285" t="e">
        <f>AND(#REF!,"AAAAAHfvb4U=")</f>
        <v>#REF!</v>
      </c>
      <c r="EE285" t="e">
        <f>AND(#REF!,"AAAAAHfvb4Y=")</f>
        <v>#REF!</v>
      </c>
      <c r="EF285" t="e">
        <f>AND(#REF!,"AAAAAHfvb4c=")</f>
        <v>#REF!</v>
      </c>
      <c r="EG285" t="e">
        <f>AND(#REF!,"AAAAAHfvb4g=")</f>
        <v>#REF!</v>
      </c>
      <c r="EH285" t="e">
        <f>AND(#REF!,"AAAAAHfvb4k=")</f>
        <v>#REF!</v>
      </c>
      <c r="EI285" t="e">
        <f>AND(#REF!,"AAAAAHfvb4o=")</f>
        <v>#REF!</v>
      </c>
      <c r="EJ285" t="e">
        <f>AND(#REF!,"AAAAAHfvb4s=")</f>
        <v>#REF!</v>
      </c>
      <c r="EK285" t="e">
        <f>AND(#REF!,"AAAAAHfvb4w=")</f>
        <v>#REF!</v>
      </c>
      <c r="EL285" t="e">
        <f>AND(#REF!,"AAAAAHfvb40=")</f>
        <v>#REF!</v>
      </c>
      <c r="EM285" t="e">
        <f>AND(#REF!,"AAAAAHfvb44=")</f>
        <v>#REF!</v>
      </c>
      <c r="EN285" t="e">
        <f>AND(#REF!,"AAAAAHfvb48=")</f>
        <v>#REF!</v>
      </c>
      <c r="EO285" t="e">
        <f>AND(#REF!,"AAAAAHfvb5A=")</f>
        <v>#REF!</v>
      </c>
      <c r="EP285" t="e">
        <f>AND(#REF!,"AAAAAHfvb5E=")</f>
        <v>#REF!</v>
      </c>
      <c r="EQ285" t="e">
        <f>AND(#REF!,"AAAAAHfvb5I=")</f>
        <v>#REF!</v>
      </c>
      <c r="ER285" t="e">
        <f>AND(#REF!,"AAAAAHfvb5M=")</f>
        <v>#REF!</v>
      </c>
      <c r="ES285" t="e">
        <f>AND(#REF!,"AAAAAHfvb5Q=")</f>
        <v>#REF!</v>
      </c>
      <c r="ET285" t="e">
        <f>AND(#REF!,"AAAAAHfvb5U=")</f>
        <v>#REF!</v>
      </c>
      <c r="EU285" t="e">
        <f>AND(#REF!,"AAAAAHfvb5Y=")</f>
        <v>#REF!</v>
      </c>
      <c r="EV285" t="e">
        <f>AND(#REF!,"AAAAAHfvb5c=")</f>
        <v>#REF!</v>
      </c>
      <c r="EW285" t="e">
        <f>AND(#REF!,"AAAAAHfvb5g=")</f>
        <v>#REF!</v>
      </c>
      <c r="EX285" t="e">
        <f>AND(#REF!,"AAAAAHfvb5k=")</f>
        <v>#REF!</v>
      </c>
      <c r="EY285" t="e">
        <f>AND(#REF!,"AAAAAHfvb5o=")</f>
        <v>#REF!</v>
      </c>
      <c r="EZ285" t="e">
        <f>AND(#REF!,"AAAAAHfvb5s=")</f>
        <v>#REF!</v>
      </c>
      <c r="FA285" t="e">
        <f>AND(#REF!,"AAAAAHfvb5w=")</f>
        <v>#REF!</v>
      </c>
      <c r="FB285" t="e">
        <f>AND(#REF!,"AAAAAHfvb50=")</f>
        <v>#REF!</v>
      </c>
      <c r="FC285" t="e">
        <f>AND(#REF!,"AAAAAHfvb54=")</f>
        <v>#REF!</v>
      </c>
      <c r="FD285" t="e">
        <f>AND(#REF!,"AAAAAHfvb58=")</f>
        <v>#REF!</v>
      </c>
      <c r="FE285" t="e">
        <f>AND(#REF!,"AAAAAHfvb6A=")</f>
        <v>#REF!</v>
      </c>
      <c r="FF285" t="e">
        <f>AND(#REF!,"AAAAAHfvb6E=")</f>
        <v>#REF!</v>
      </c>
      <c r="FG285" t="e">
        <f>AND(#REF!,"AAAAAHfvb6I=")</f>
        <v>#REF!</v>
      </c>
      <c r="FH285" t="e">
        <f>AND(#REF!,"AAAAAHfvb6M=")</f>
        <v>#REF!</v>
      </c>
      <c r="FI285" t="e">
        <f>AND(#REF!,"AAAAAHfvb6Q=")</f>
        <v>#REF!</v>
      </c>
      <c r="FJ285" t="e">
        <f>AND(#REF!,"AAAAAHfvb6U=")</f>
        <v>#REF!</v>
      </c>
      <c r="FK285" t="e">
        <f>AND(#REF!,"AAAAAHfvb6Y=")</f>
        <v>#REF!</v>
      </c>
      <c r="FL285" t="e">
        <f>AND(#REF!,"AAAAAHfvb6c=")</f>
        <v>#REF!</v>
      </c>
      <c r="FM285" t="e">
        <f>AND(#REF!,"AAAAAHfvb6g=")</f>
        <v>#REF!</v>
      </c>
      <c r="FN285" t="e">
        <f>AND(#REF!,"AAAAAHfvb6k=")</f>
        <v>#REF!</v>
      </c>
      <c r="FO285" t="e">
        <f>AND(#REF!,"AAAAAHfvb6o=")</f>
        <v>#REF!</v>
      </c>
      <c r="FP285" t="e">
        <f>AND(#REF!,"AAAAAHfvb6s=")</f>
        <v>#REF!</v>
      </c>
      <c r="FQ285" t="e">
        <f>AND(#REF!,"AAAAAHfvb6w=")</f>
        <v>#REF!</v>
      </c>
      <c r="FR285" t="e">
        <f>AND(#REF!,"AAAAAHfvb60=")</f>
        <v>#REF!</v>
      </c>
      <c r="FS285" t="e">
        <f>AND(#REF!,"AAAAAHfvb64=")</f>
        <v>#REF!</v>
      </c>
      <c r="FT285" t="e">
        <f>IF(#REF!,"AAAAAHfvb68=",0)</f>
        <v>#REF!</v>
      </c>
      <c r="FU285" t="e">
        <f>AND(#REF!,"AAAAAHfvb7A=")</f>
        <v>#REF!</v>
      </c>
      <c r="FV285" t="e">
        <f>AND(#REF!,"AAAAAHfvb7E=")</f>
        <v>#REF!</v>
      </c>
      <c r="FW285" t="e">
        <f>AND(#REF!,"AAAAAHfvb7I=")</f>
        <v>#REF!</v>
      </c>
      <c r="FX285" t="e">
        <f>AND(#REF!,"AAAAAHfvb7M=")</f>
        <v>#REF!</v>
      </c>
      <c r="FY285" t="e">
        <f>AND(#REF!,"AAAAAHfvb7Q=")</f>
        <v>#REF!</v>
      </c>
      <c r="FZ285" t="e">
        <f>AND(#REF!,"AAAAAHfvb7U=")</f>
        <v>#REF!</v>
      </c>
      <c r="GA285" t="e">
        <f>AND(#REF!,"AAAAAHfvb7Y=")</f>
        <v>#REF!</v>
      </c>
      <c r="GB285" t="e">
        <f>AND(#REF!,"AAAAAHfvb7c=")</f>
        <v>#REF!</v>
      </c>
      <c r="GC285" t="e">
        <f>AND(#REF!,"AAAAAHfvb7g=")</f>
        <v>#REF!</v>
      </c>
      <c r="GD285" t="e">
        <f>AND(#REF!,"AAAAAHfvb7k=")</f>
        <v>#REF!</v>
      </c>
      <c r="GE285" t="e">
        <f>AND(#REF!,"AAAAAHfvb7o=")</f>
        <v>#REF!</v>
      </c>
      <c r="GF285" t="e">
        <f>AND(#REF!,"AAAAAHfvb7s=")</f>
        <v>#REF!</v>
      </c>
      <c r="GG285" t="e">
        <f>AND(#REF!,"AAAAAHfvb7w=")</f>
        <v>#REF!</v>
      </c>
      <c r="GH285" t="e">
        <f>AND(#REF!,"AAAAAHfvb70=")</f>
        <v>#REF!</v>
      </c>
      <c r="GI285" t="e">
        <f>AND(#REF!,"AAAAAHfvb74=")</f>
        <v>#REF!</v>
      </c>
      <c r="GJ285" t="e">
        <f>AND(#REF!,"AAAAAHfvb78=")</f>
        <v>#REF!</v>
      </c>
      <c r="GK285" t="e">
        <f>AND(#REF!,"AAAAAHfvb8A=")</f>
        <v>#REF!</v>
      </c>
      <c r="GL285" t="e">
        <f>AND(#REF!,"AAAAAHfvb8E=")</f>
        <v>#REF!</v>
      </c>
      <c r="GM285" t="e">
        <f>AND(#REF!,"AAAAAHfvb8I=")</f>
        <v>#REF!</v>
      </c>
      <c r="GN285" t="e">
        <f>AND(#REF!,"AAAAAHfvb8M=")</f>
        <v>#REF!</v>
      </c>
      <c r="GO285" t="e">
        <f>AND(#REF!,"AAAAAHfvb8Q=")</f>
        <v>#REF!</v>
      </c>
      <c r="GP285" t="e">
        <f>AND(#REF!,"AAAAAHfvb8U=")</f>
        <v>#REF!</v>
      </c>
      <c r="GQ285" t="e">
        <f>AND(#REF!,"AAAAAHfvb8Y=")</f>
        <v>#REF!</v>
      </c>
      <c r="GR285" t="e">
        <f>AND(#REF!,"AAAAAHfvb8c=")</f>
        <v>#REF!</v>
      </c>
      <c r="GS285" t="e">
        <f>AND(#REF!,"AAAAAHfvb8g=")</f>
        <v>#REF!</v>
      </c>
      <c r="GT285" t="e">
        <f>AND(#REF!,"AAAAAHfvb8k=")</f>
        <v>#REF!</v>
      </c>
      <c r="GU285" t="e">
        <f>AND(#REF!,"AAAAAHfvb8o=")</f>
        <v>#REF!</v>
      </c>
      <c r="GV285" t="e">
        <f>AND(#REF!,"AAAAAHfvb8s=")</f>
        <v>#REF!</v>
      </c>
      <c r="GW285" t="e">
        <f>AND(#REF!,"AAAAAHfvb8w=")</f>
        <v>#REF!</v>
      </c>
      <c r="GX285" t="e">
        <f>AND(#REF!,"AAAAAHfvb80=")</f>
        <v>#REF!</v>
      </c>
      <c r="GY285" t="e">
        <f>AND(#REF!,"AAAAAHfvb84=")</f>
        <v>#REF!</v>
      </c>
      <c r="GZ285" t="e">
        <f>AND(#REF!,"AAAAAHfvb88=")</f>
        <v>#REF!</v>
      </c>
      <c r="HA285" t="e">
        <f>AND(#REF!,"AAAAAHfvb9A=")</f>
        <v>#REF!</v>
      </c>
      <c r="HB285" t="e">
        <f>AND(#REF!,"AAAAAHfvb9E=")</f>
        <v>#REF!</v>
      </c>
      <c r="HC285" t="e">
        <f>AND(#REF!,"AAAAAHfvb9I=")</f>
        <v>#REF!</v>
      </c>
      <c r="HD285" t="e">
        <f>AND(#REF!,"AAAAAHfvb9M=")</f>
        <v>#REF!</v>
      </c>
      <c r="HE285" t="e">
        <f>AND(#REF!,"AAAAAHfvb9Q=")</f>
        <v>#REF!</v>
      </c>
      <c r="HF285" t="e">
        <f>AND(#REF!,"AAAAAHfvb9U=")</f>
        <v>#REF!</v>
      </c>
      <c r="HG285" t="e">
        <f>AND(#REF!,"AAAAAHfvb9Y=")</f>
        <v>#REF!</v>
      </c>
      <c r="HH285" t="e">
        <f>AND(#REF!,"AAAAAHfvb9c=")</f>
        <v>#REF!</v>
      </c>
      <c r="HI285" t="e">
        <f>AND(#REF!,"AAAAAHfvb9g=")</f>
        <v>#REF!</v>
      </c>
      <c r="HJ285" t="e">
        <f>AND(#REF!,"AAAAAHfvb9k=")</f>
        <v>#REF!</v>
      </c>
      <c r="HK285" t="e">
        <f>AND(#REF!,"AAAAAHfvb9o=")</f>
        <v>#REF!</v>
      </c>
      <c r="HL285" t="e">
        <f>AND(#REF!,"AAAAAHfvb9s=")</f>
        <v>#REF!</v>
      </c>
      <c r="HM285" t="e">
        <f>AND(#REF!,"AAAAAHfvb9w=")</f>
        <v>#REF!</v>
      </c>
      <c r="HN285" t="e">
        <f>AND(#REF!,"AAAAAHfvb90=")</f>
        <v>#REF!</v>
      </c>
      <c r="HO285" t="e">
        <f>AND(#REF!,"AAAAAHfvb94=")</f>
        <v>#REF!</v>
      </c>
      <c r="HP285" t="e">
        <f>AND(#REF!,"AAAAAHfvb98=")</f>
        <v>#REF!</v>
      </c>
      <c r="HQ285" t="e">
        <f>AND(#REF!,"AAAAAHfvb+A=")</f>
        <v>#REF!</v>
      </c>
      <c r="HR285" t="e">
        <f>AND(#REF!,"AAAAAHfvb+E=")</f>
        <v>#REF!</v>
      </c>
      <c r="HS285" t="e">
        <f>AND(#REF!,"AAAAAHfvb+I=")</f>
        <v>#REF!</v>
      </c>
      <c r="HT285" t="e">
        <f>IF(#REF!,"AAAAAHfvb+M=",0)</f>
        <v>#REF!</v>
      </c>
      <c r="HU285" t="e">
        <f>AND(#REF!,"AAAAAHfvb+Q=")</f>
        <v>#REF!</v>
      </c>
      <c r="HV285" t="e">
        <f>AND(#REF!,"AAAAAHfvb+U=")</f>
        <v>#REF!</v>
      </c>
      <c r="HW285" t="e">
        <f>AND(#REF!,"AAAAAHfvb+Y=")</f>
        <v>#REF!</v>
      </c>
      <c r="HX285" t="e">
        <f>AND(#REF!,"AAAAAHfvb+c=")</f>
        <v>#REF!</v>
      </c>
      <c r="HY285" t="e">
        <f>AND(#REF!,"AAAAAHfvb+g=")</f>
        <v>#REF!</v>
      </c>
      <c r="HZ285" t="e">
        <f>AND(#REF!,"AAAAAHfvb+k=")</f>
        <v>#REF!</v>
      </c>
      <c r="IA285" t="e">
        <f>AND(#REF!,"AAAAAHfvb+o=")</f>
        <v>#REF!</v>
      </c>
      <c r="IB285" t="e">
        <f>AND(#REF!,"AAAAAHfvb+s=")</f>
        <v>#REF!</v>
      </c>
      <c r="IC285" t="e">
        <f>AND(#REF!,"AAAAAHfvb+w=")</f>
        <v>#REF!</v>
      </c>
      <c r="ID285" t="e">
        <f>AND(#REF!,"AAAAAHfvb+0=")</f>
        <v>#REF!</v>
      </c>
      <c r="IE285" t="e">
        <f>AND(#REF!,"AAAAAHfvb+4=")</f>
        <v>#REF!</v>
      </c>
      <c r="IF285" t="e">
        <f>AND(#REF!,"AAAAAHfvb+8=")</f>
        <v>#REF!</v>
      </c>
      <c r="IG285" t="e">
        <f>AND(#REF!,"AAAAAHfvb/A=")</f>
        <v>#REF!</v>
      </c>
      <c r="IH285" t="e">
        <f>AND(#REF!,"AAAAAHfvb/E=")</f>
        <v>#REF!</v>
      </c>
      <c r="II285" t="e">
        <f>AND(#REF!,"AAAAAHfvb/I=")</f>
        <v>#REF!</v>
      </c>
      <c r="IJ285" t="e">
        <f>AND(#REF!,"AAAAAHfvb/M=")</f>
        <v>#REF!</v>
      </c>
      <c r="IK285" t="e">
        <f>AND(#REF!,"AAAAAHfvb/Q=")</f>
        <v>#REF!</v>
      </c>
      <c r="IL285" t="e">
        <f>AND(#REF!,"AAAAAHfvb/U=")</f>
        <v>#REF!</v>
      </c>
      <c r="IM285" t="e">
        <f>AND(#REF!,"AAAAAHfvb/Y=")</f>
        <v>#REF!</v>
      </c>
      <c r="IN285" t="e">
        <f>AND(#REF!,"AAAAAHfvb/c=")</f>
        <v>#REF!</v>
      </c>
      <c r="IO285" t="e">
        <f>AND(#REF!,"AAAAAHfvb/g=")</f>
        <v>#REF!</v>
      </c>
      <c r="IP285" t="e">
        <f>AND(#REF!,"AAAAAHfvb/k=")</f>
        <v>#REF!</v>
      </c>
      <c r="IQ285" t="e">
        <f>AND(#REF!,"AAAAAHfvb/o=")</f>
        <v>#REF!</v>
      </c>
      <c r="IR285" t="e">
        <f>AND(#REF!,"AAAAAHfvb/s=")</f>
        <v>#REF!</v>
      </c>
      <c r="IS285" t="e">
        <f>AND(#REF!,"AAAAAHfvb/w=")</f>
        <v>#REF!</v>
      </c>
      <c r="IT285" t="e">
        <f>AND(#REF!,"AAAAAHfvb/0=")</f>
        <v>#REF!</v>
      </c>
      <c r="IU285" t="e">
        <f>AND(#REF!,"AAAAAHfvb/4=")</f>
        <v>#REF!</v>
      </c>
      <c r="IV285" t="e">
        <f>AND(#REF!,"AAAAAHfvb/8=")</f>
        <v>#REF!</v>
      </c>
    </row>
    <row r="286" spans="1:256">
      <c r="A286" t="e">
        <f>AND(#REF!,"AAAAAFt3WwA=")</f>
        <v>#REF!</v>
      </c>
      <c r="B286" t="e">
        <f>AND(#REF!,"AAAAAFt3WwE=")</f>
        <v>#REF!</v>
      </c>
      <c r="C286" t="e">
        <f>AND(#REF!,"AAAAAFt3WwI=")</f>
        <v>#REF!</v>
      </c>
      <c r="D286" t="e">
        <f>AND(#REF!,"AAAAAFt3WwM=")</f>
        <v>#REF!</v>
      </c>
      <c r="E286" t="e">
        <f>AND(#REF!,"AAAAAFt3WwQ=")</f>
        <v>#REF!</v>
      </c>
      <c r="F286" t="e">
        <f>AND(#REF!,"AAAAAFt3WwU=")</f>
        <v>#REF!</v>
      </c>
      <c r="G286" t="e">
        <f>AND(#REF!,"AAAAAFt3WwY=")</f>
        <v>#REF!</v>
      </c>
      <c r="H286" t="e">
        <f>AND(#REF!,"AAAAAFt3Wwc=")</f>
        <v>#REF!</v>
      </c>
      <c r="I286" t="e">
        <f>AND(#REF!,"AAAAAFt3Wwg=")</f>
        <v>#REF!</v>
      </c>
      <c r="J286" t="e">
        <f>AND(#REF!,"AAAAAFt3Wwk=")</f>
        <v>#REF!</v>
      </c>
      <c r="K286" t="e">
        <f>AND(#REF!,"AAAAAFt3Wwo=")</f>
        <v>#REF!</v>
      </c>
      <c r="L286" t="e">
        <f>AND(#REF!,"AAAAAFt3Wws=")</f>
        <v>#REF!</v>
      </c>
      <c r="M286" t="e">
        <f>AND(#REF!,"AAAAAFt3Www=")</f>
        <v>#REF!</v>
      </c>
      <c r="N286" t="e">
        <f>AND(#REF!,"AAAAAFt3Ww0=")</f>
        <v>#REF!</v>
      </c>
      <c r="O286" t="e">
        <f>AND(#REF!,"AAAAAFt3Ww4=")</f>
        <v>#REF!</v>
      </c>
      <c r="P286" t="e">
        <f>AND(#REF!,"AAAAAFt3Ww8=")</f>
        <v>#REF!</v>
      </c>
      <c r="Q286" t="e">
        <f>AND(#REF!,"AAAAAFt3WxA=")</f>
        <v>#REF!</v>
      </c>
      <c r="R286" t="e">
        <f>AND(#REF!,"AAAAAFt3WxE=")</f>
        <v>#REF!</v>
      </c>
      <c r="S286" t="e">
        <f>AND(#REF!,"AAAAAFt3WxI=")</f>
        <v>#REF!</v>
      </c>
      <c r="T286" t="e">
        <f>AND(#REF!,"AAAAAFt3WxM=")</f>
        <v>#REF!</v>
      </c>
      <c r="U286" t="e">
        <f>AND(#REF!,"AAAAAFt3WxQ=")</f>
        <v>#REF!</v>
      </c>
      <c r="V286" t="e">
        <f>AND(#REF!,"AAAAAFt3WxU=")</f>
        <v>#REF!</v>
      </c>
      <c r="W286" t="e">
        <f>AND(#REF!,"AAAAAFt3WxY=")</f>
        <v>#REF!</v>
      </c>
      <c r="X286" t="e">
        <f>IF(#REF!,"AAAAAFt3Wxc=",0)</f>
        <v>#REF!</v>
      </c>
      <c r="Y286" t="e">
        <f>AND(#REF!,"AAAAAFt3Wxg=")</f>
        <v>#REF!</v>
      </c>
      <c r="Z286" t="e">
        <f>AND(#REF!,"AAAAAFt3Wxk=")</f>
        <v>#REF!</v>
      </c>
      <c r="AA286" t="e">
        <f>AND(#REF!,"AAAAAFt3Wxo=")</f>
        <v>#REF!</v>
      </c>
      <c r="AB286" t="e">
        <f>AND(#REF!,"AAAAAFt3Wxs=")</f>
        <v>#REF!</v>
      </c>
      <c r="AC286" t="e">
        <f>AND(#REF!,"AAAAAFt3Wxw=")</f>
        <v>#REF!</v>
      </c>
      <c r="AD286" t="e">
        <f>AND(#REF!,"AAAAAFt3Wx0=")</f>
        <v>#REF!</v>
      </c>
      <c r="AE286" t="e">
        <f>AND(#REF!,"AAAAAFt3Wx4=")</f>
        <v>#REF!</v>
      </c>
      <c r="AF286" t="e">
        <f>AND(#REF!,"AAAAAFt3Wx8=")</f>
        <v>#REF!</v>
      </c>
      <c r="AG286" t="e">
        <f>AND(#REF!,"AAAAAFt3WyA=")</f>
        <v>#REF!</v>
      </c>
      <c r="AH286" t="e">
        <f>AND(#REF!,"AAAAAFt3WyE=")</f>
        <v>#REF!</v>
      </c>
      <c r="AI286" t="e">
        <f>AND(#REF!,"AAAAAFt3WyI=")</f>
        <v>#REF!</v>
      </c>
      <c r="AJ286" t="e">
        <f>AND(#REF!,"AAAAAFt3WyM=")</f>
        <v>#REF!</v>
      </c>
      <c r="AK286" t="e">
        <f>AND(#REF!,"AAAAAFt3WyQ=")</f>
        <v>#REF!</v>
      </c>
      <c r="AL286" t="e">
        <f>AND(#REF!,"AAAAAFt3WyU=")</f>
        <v>#REF!</v>
      </c>
      <c r="AM286" t="e">
        <f>AND(#REF!,"AAAAAFt3WyY=")</f>
        <v>#REF!</v>
      </c>
      <c r="AN286" t="e">
        <f>AND(#REF!,"AAAAAFt3Wyc=")</f>
        <v>#REF!</v>
      </c>
      <c r="AO286" t="e">
        <f>AND(#REF!,"AAAAAFt3Wyg=")</f>
        <v>#REF!</v>
      </c>
      <c r="AP286" t="e">
        <f>AND(#REF!,"AAAAAFt3Wyk=")</f>
        <v>#REF!</v>
      </c>
      <c r="AQ286" t="e">
        <f>AND(#REF!,"AAAAAFt3Wyo=")</f>
        <v>#REF!</v>
      </c>
      <c r="AR286" t="e">
        <f>AND(#REF!,"AAAAAFt3Wys=")</f>
        <v>#REF!</v>
      </c>
      <c r="AS286" t="e">
        <f>AND(#REF!,"AAAAAFt3Wyw=")</f>
        <v>#REF!</v>
      </c>
      <c r="AT286" t="e">
        <f>AND(#REF!,"AAAAAFt3Wy0=")</f>
        <v>#REF!</v>
      </c>
      <c r="AU286" t="e">
        <f>AND(#REF!,"AAAAAFt3Wy4=")</f>
        <v>#REF!</v>
      </c>
      <c r="AV286" t="e">
        <f>AND(#REF!,"AAAAAFt3Wy8=")</f>
        <v>#REF!</v>
      </c>
      <c r="AW286" t="e">
        <f>AND(#REF!,"AAAAAFt3WzA=")</f>
        <v>#REF!</v>
      </c>
      <c r="AX286" t="e">
        <f>AND(#REF!,"AAAAAFt3WzE=")</f>
        <v>#REF!</v>
      </c>
      <c r="AY286" t="e">
        <f>AND(#REF!,"AAAAAFt3WzI=")</f>
        <v>#REF!</v>
      </c>
      <c r="AZ286" t="e">
        <f>AND(#REF!,"AAAAAFt3WzM=")</f>
        <v>#REF!</v>
      </c>
      <c r="BA286" t="e">
        <f>AND(#REF!,"AAAAAFt3WzQ=")</f>
        <v>#REF!</v>
      </c>
      <c r="BB286" t="e">
        <f>AND(#REF!,"AAAAAFt3WzU=")</f>
        <v>#REF!</v>
      </c>
      <c r="BC286" t="e">
        <f>AND(#REF!,"AAAAAFt3WzY=")</f>
        <v>#REF!</v>
      </c>
      <c r="BD286" t="e">
        <f>AND(#REF!,"AAAAAFt3Wzc=")</f>
        <v>#REF!</v>
      </c>
      <c r="BE286" t="e">
        <f>AND(#REF!,"AAAAAFt3Wzg=")</f>
        <v>#REF!</v>
      </c>
      <c r="BF286" t="e">
        <f>AND(#REF!,"AAAAAFt3Wzk=")</f>
        <v>#REF!</v>
      </c>
      <c r="BG286" t="e">
        <f>AND(#REF!,"AAAAAFt3Wzo=")</f>
        <v>#REF!</v>
      </c>
      <c r="BH286" t="e">
        <f>AND(#REF!,"AAAAAFt3Wzs=")</f>
        <v>#REF!</v>
      </c>
      <c r="BI286" t="e">
        <f>AND(#REF!,"AAAAAFt3Wzw=")</f>
        <v>#REF!</v>
      </c>
      <c r="BJ286" t="e">
        <f>AND(#REF!,"AAAAAFt3Wz0=")</f>
        <v>#REF!</v>
      </c>
      <c r="BK286" t="e">
        <f>AND(#REF!,"AAAAAFt3Wz4=")</f>
        <v>#REF!</v>
      </c>
      <c r="BL286" t="e">
        <f>AND(#REF!,"AAAAAFt3Wz8=")</f>
        <v>#REF!</v>
      </c>
      <c r="BM286" t="e">
        <f>AND(#REF!,"AAAAAFt3W0A=")</f>
        <v>#REF!</v>
      </c>
      <c r="BN286" t="e">
        <f>AND(#REF!,"AAAAAFt3W0E=")</f>
        <v>#REF!</v>
      </c>
      <c r="BO286" t="e">
        <f>AND(#REF!,"AAAAAFt3W0I=")</f>
        <v>#REF!</v>
      </c>
      <c r="BP286" t="e">
        <f>AND(#REF!,"AAAAAFt3W0M=")</f>
        <v>#REF!</v>
      </c>
      <c r="BQ286" t="e">
        <f>AND(#REF!,"AAAAAFt3W0Q=")</f>
        <v>#REF!</v>
      </c>
      <c r="BR286" t="e">
        <f>AND(#REF!,"AAAAAFt3W0U=")</f>
        <v>#REF!</v>
      </c>
      <c r="BS286" t="e">
        <f>AND(#REF!,"AAAAAFt3W0Y=")</f>
        <v>#REF!</v>
      </c>
      <c r="BT286" t="e">
        <f>AND(#REF!,"AAAAAFt3W0c=")</f>
        <v>#REF!</v>
      </c>
      <c r="BU286" t="e">
        <f>AND(#REF!,"AAAAAFt3W0g=")</f>
        <v>#REF!</v>
      </c>
      <c r="BV286" t="e">
        <f>AND(#REF!,"AAAAAFt3W0k=")</f>
        <v>#REF!</v>
      </c>
      <c r="BW286" t="e">
        <f>AND(#REF!,"AAAAAFt3W0o=")</f>
        <v>#REF!</v>
      </c>
      <c r="BX286" t="e">
        <f>IF(#REF!,"AAAAAFt3W0s=",0)</f>
        <v>#REF!</v>
      </c>
      <c r="BY286" t="e">
        <f>AND(#REF!,"AAAAAFt3W0w=")</f>
        <v>#REF!</v>
      </c>
      <c r="BZ286" t="e">
        <f>AND(#REF!,"AAAAAFt3W00=")</f>
        <v>#REF!</v>
      </c>
      <c r="CA286" t="e">
        <f>AND(#REF!,"AAAAAFt3W04=")</f>
        <v>#REF!</v>
      </c>
      <c r="CB286" t="e">
        <f>AND(#REF!,"AAAAAFt3W08=")</f>
        <v>#REF!</v>
      </c>
      <c r="CC286" t="e">
        <f>AND(#REF!,"AAAAAFt3W1A=")</f>
        <v>#REF!</v>
      </c>
      <c r="CD286" t="e">
        <f>AND(#REF!,"AAAAAFt3W1E=")</f>
        <v>#REF!</v>
      </c>
      <c r="CE286" t="e">
        <f>AND(#REF!,"AAAAAFt3W1I=")</f>
        <v>#REF!</v>
      </c>
      <c r="CF286" t="e">
        <f>AND(#REF!,"AAAAAFt3W1M=")</f>
        <v>#REF!</v>
      </c>
      <c r="CG286" t="e">
        <f>AND(#REF!,"AAAAAFt3W1Q=")</f>
        <v>#REF!</v>
      </c>
      <c r="CH286" t="e">
        <f>AND(#REF!,"AAAAAFt3W1U=")</f>
        <v>#REF!</v>
      </c>
      <c r="CI286" t="e">
        <f>AND(#REF!,"AAAAAFt3W1Y=")</f>
        <v>#REF!</v>
      </c>
      <c r="CJ286" t="e">
        <f>AND(#REF!,"AAAAAFt3W1c=")</f>
        <v>#REF!</v>
      </c>
      <c r="CK286" t="e">
        <f>AND(#REF!,"AAAAAFt3W1g=")</f>
        <v>#REF!</v>
      </c>
      <c r="CL286" t="e">
        <f>AND(#REF!,"AAAAAFt3W1k=")</f>
        <v>#REF!</v>
      </c>
      <c r="CM286" t="e">
        <f>AND(#REF!,"AAAAAFt3W1o=")</f>
        <v>#REF!</v>
      </c>
      <c r="CN286" t="e">
        <f>AND(#REF!,"AAAAAFt3W1s=")</f>
        <v>#REF!</v>
      </c>
      <c r="CO286" t="e">
        <f>AND(#REF!,"AAAAAFt3W1w=")</f>
        <v>#REF!</v>
      </c>
      <c r="CP286" t="e">
        <f>AND(#REF!,"AAAAAFt3W10=")</f>
        <v>#REF!</v>
      </c>
      <c r="CQ286" t="e">
        <f>AND(#REF!,"AAAAAFt3W14=")</f>
        <v>#REF!</v>
      </c>
      <c r="CR286" t="e">
        <f>AND(#REF!,"AAAAAFt3W18=")</f>
        <v>#REF!</v>
      </c>
      <c r="CS286" t="e">
        <f>AND(#REF!,"AAAAAFt3W2A=")</f>
        <v>#REF!</v>
      </c>
      <c r="CT286" t="e">
        <f>AND(#REF!,"AAAAAFt3W2E=")</f>
        <v>#REF!</v>
      </c>
      <c r="CU286" t="e">
        <f>AND(#REF!,"AAAAAFt3W2I=")</f>
        <v>#REF!</v>
      </c>
      <c r="CV286" t="e">
        <f>AND(#REF!,"AAAAAFt3W2M=")</f>
        <v>#REF!</v>
      </c>
      <c r="CW286" t="e">
        <f>AND(#REF!,"AAAAAFt3W2Q=")</f>
        <v>#REF!</v>
      </c>
      <c r="CX286" t="e">
        <f>AND(#REF!,"AAAAAFt3W2U=")</f>
        <v>#REF!</v>
      </c>
      <c r="CY286" t="e">
        <f>AND(#REF!,"AAAAAFt3W2Y=")</f>
        <v>#REF!</v>
      </c>
      <c r="CZ286" t="e">
        <f>AND(#REF!,"AAAAAFt3W2c=")</f>
        <v>#REF!</v>
      </c>
      <c r="DA286" t="e">
        <f>AND(#REF!,"AAAAAFt3W2g=")</f>
        <v>#REF!</v>
      </c>
      <c r="DB286" t="e">
        <f>AND(#REF!,"AAAAAFt3W2k=")</f>
        <v>#REF!</v>
      </c>
      <c r="DC286" t="e">
        <f>AND(#REF!,"AAAAAFt3W2o=")</f>
        <v>#REF!</v>
      </c>
      <c r="DD286" t="e">
        <f>AND(#REF!,"AAAAAFt3W2s=")</f>
        <v>#REF!</v>
      </c>
      <c r="DE286" t="e">
        <f>AND(#REF!,"AAAAAFt3W2w=")</f>
        <v>#REF!</v>
      </c>
      <c r="DF286" t="e">
        <f>AND(#REF!,"AAAAAFt3W20=")</f>
        <v>#REF!</v>
      </c>
      <c r="DG286" t="e">
        <f>AND(#REF!,"AAAAAFt3W24=")</f>
        <v>#REF!</v>
      </c>
      <c r="DH286" t="e">
        <f>AND(#REF!,"AAAAAFt3W28=")</f>
        <v>#REF!</v>
      </c>
      <c r="DI286" t="e">
        <f>AND(#REF!,"AAAAAFt3W3A=")</f>
        <v>#REF!</v>
      </c>
      <c r="DJ286" t="e">
        <f>AND(#REF!,"AAAAAFt3W3E=")</f>
        <v>#REF!</v>
      </c>
      <c r="DK286" t="e">
        <f>AND(#REF!,"AAAAAFt3W3I=")</f>
        <v>#REF!</v>
      </c>
      <c r="DL286" t="e">
        <f>AND(#REF!,"AAAAAFt3W3M=")</f>
        <v>#REF!</v>
      </c>
      <c r="DM286" t="e">
        <f>AND(#REF!,"AAAAAFt3W3Q=")</f>
        <v>#REF!</v>
      </c>
      <c r="DN286" t="e">
        <f>AND(#REF!,"AAAAAFt3W3U=")</f>
        <v>#REF!</v>
      </c>
      <c r="DO286" t="e">
        <f>AND(#REF!,"AAAAAFt3W3Y=")</f>
        <v>#REF!</v>
      </c>
      <c r="DP286" t="e">
        <f>AND(#REF!,"AAAAAFt3W3c=")</f>
        <v>#REF!</v>
      </c>
      <c r="DQ286" t="e">
        <f>AND(#REF!,"AAAAAFt3W3g=")</f>
        <v>#REF!</v>
      </c>
      <c r="DR286" t="e">
        <f>AND(#REF!,"AAAAAFt3W3k=")</f>
        <v>#REF!</v>
      </c>
      <c r="DS286" t="e">
        <f>AND(#REF!,"AAAAAFt3W3o=")</f>
        <v>#REF!</v>
      </c>
      <c r="DT286" t="e">
        <f>AND(#REF!,"AAAAAFt3W3s=")</f>
        <v>#REF!</v>
      </c>
      <c r="DU286" t="e">
        <f>AND(#REF!,"AAAAAFt3W3w=")</f>
        <v>#REF!</v>
      </c>
      <c r="DV286" t="e">
        <f>AND(#REF!,"AAAAAFt3W30=")</f>
        <v>#REF!</v>
      </c>
      <c r="DW286" t="e">
        <f>AND(#REF!,"AAAAAFt3W34=")</f>
        <v>#REF!</v>
      </c>
      <c r="DX286" t="e">
        <f>IF(#REF!,"AAAAAFt3W38=",0)</f>
        <v>#REF!</v>
      </c>
      <c r="DY286" t="e">
        <f>AND(#REF!,"AAAAAFt3W4A=")</f>
        <v>#REF!</v>
      </c>
      <c r="DZ286" t="e">
        <f>AND(#REF!,"AAAAAFt3W4E=")</f>
        <v>#REF!</v>
      </c>
      <c r="EA286" t="e">
        <f>AND(#REF!,"AAAAAFt3W4I=")</f>
        <v>#REF!</v>
      </c>
      <c r="EB286" t="e">
        <f>AND(#REF!,"AAAAAFt3W4M=")</f>
        <v>#REF!</v>
      </c>
      <c r="EC286" t="e">
        <f>AND(#REF!,"AAAAAFt3W4Q=")</f>
        <v>#REF!</v>
      </c>
      <c r="ED286" t="e">
        <f>AND(#REF!,"AAAAAFt3W4U=")</f>
        <v>#REF!</v>
      </c>
      <c r="EE286" t="e">
        <f>AND(#REF!,"AAAAAFt3W4Y=")</f>
        <v>#REF!</v>
      </c>
      <c r="EF286" t="e">
        <f>AND(#REF!,"AAAAAFt3W4c=")</f>
        <v>#REF!</v>
      </c>
      <c r="EG286" t="e">
        <f>AND(#REF!,"AAAAAFt3W4g=")</f>
        <v>#REF!</v>
      </c>
      <c r="EH286" t="e">
        <f>AND(#REF!,"AAAAAFt3W4k=")</f>
        <v>#REF!</v>
      </c>
      <c r="EI286" t="e">
        <f>AND(#REF!,"AAAAAFt3W4o=")</f>
        <v>#REF!</v>
      </c>
      <c r="EJ286" t="e">
        <f>AND(#REF!,"AAAAAFt3W4s=")</f>
        <v>#REF!</v>
      </c>
      <c r="EK286" t="e">
        <f>AND(#REF!,"AAAAAFt3W4w=")</f>
        <v>#REF!</v>
      </c>
      <c r="EL286" t="e">
        <f>AND(#REF!,"AAAAAFt3W40=")</f>
        <v>#REF!</v>
      </c>
      <c r="EM286" t="e">
        <f>AND(#REF!,"AAAAAFt3W44=")</f>
        <v>#REF!</v>
      </c>
      <c r="EN286" t="e">
        <f>AND(#REF!,"AAAAAFt3W48=")</f>
        <v>#REF!</v>
      </c>
      <c r="EO286" t="e">
        <f>AND(#REF!,"AAAAAFt3W5A=")</f>
        <v>#REF!</v>
      </c>
      <c r="EP286" t="e">
        <f>AND(#REF!,"AAAAAFt3W5E=")</f>
        <v>#REF!</v>
      </c>
      <c r="EQ286" t="e">
        <f>AND(#REF!,"AAAAAFt3W5I=")</f>
        <v>#REF!</v>
      </c>
      <c r="ER286" t="e">
        <f>AND(#REF!,"AAAAAFt3W5M=")</f>
        <v>#REF!</v>
      </c>
      <c r="ES286" t="e">
        <f>AND(#REF!,"AAAAAFt3W5Q=")</f>
        <v>#REF!</v>
      </c>
      <c r="ET286" t="e">
        <f>AND(#REF!,"AAAAAFt3W5U=")</f>
        <v>#REF!</v>
      </c>
      <c r="EU286" t="e">
        <f>AND(#REF!,"AAAAAFt3W5Y=")</f>
        <v>#REF!</v>
      </c>
      <c r="EV286" t="e">
        <f>AND(#REF!,"AAAAAFt3W5c=")</f>
        <v>#REF!</v>
      </c>
      <c r="EW286" t="e">
        <f>AND(#REF!,"AAAAAFt3W5g=")</f>
        <v>#REF!</v>
      </c>
      <c r="EX286" t="e">
        <f>AND(#REF!,"AAAAAFt3W5k=")</f>
        <v>#REF!</v>
      </c>
      <c r="EY286" t="e">
        <f>AND(#REF!,"AAAAAFt3W5o=")</f>
        <v>#REF!</v>
      </c>
      <c r="EZ286" t="e">
        <f>AND(#REF!,"AAAAAFt3W5s=")</f>
        <v>#REF!</v>
      </c>
      <c r="FA286" t="e">
        <f>AND(#REF!,"AAAAAFt3W5w=")</f>
        <v>#REF!</v>
      </c>
      <c r="FB286" t="e">
        <f>AND(#REF!,"AAAAAFt3W50=")</f>
        <v>#REF!</v>
      </c>
      <c r="FC286" t="e">
        <f>AND(#REF!,"AAAAAFt3W54=")</f>
        <v>#REF!</v>
      </c>
      <c r="FD286" t="e">
        <f>AND(#REF!,"AAAAAFt3W58=")</f>
        <v>#REF!</v>
      </c>
      <c r="FE286" t="e">
        <f>AND(#REF!,"AAAAAFt3W6A=")</f>
        <v>#REF!</v>
      </c>
      <c r="FF286" t="e">
        <f>AND(#REF!,"AAAAAFt3W6E=")</f>
        <v>#REF!</v>
      </c>
      <c r="FG286" t="e">
        <f>AND(#REF!,"AAAAAFt3W6I=")</f>
        <v>#REF!</v>
      </c>
      <c r="FH286" t="e">
        <f>AND(#REF!,"AAAAAFt3W6M=")</f>
        <v>#REF!</v>
      </c>
      <c r="FI286" t="e">
        <f>AND(#REF!,"AAAAAFt3W6Q=")</f>
        <v>#REF!</v>
      </c>
      <c r="FJ286" t="e">
        <f>AND(#REF!,"AAAAAFt3W6U=")</f>
        <v>#REF!</v>
      </c>
      <c r="FK286" t="e">
        <f>AND(#REF!,"AAAAAFt3W6Y=")</f>
        <v>#REF!</v>
      </c>
      <c r="FL286" t="e">
        <f>AND(#REF!,"AAAAAFt3W6c=")</f>
        <v>#REF!</v>
      </c>
      <c r="FM286" t="e">
        <f>AND(#REF!,"AAAAAFt3W6g=")</f>
        <v>#REF!</v>
      </c>
      <c r="FN286" t="e">
        <f>AND(#REF!,"AAAAAFt3W6k=")</f>
        <v>#REF!</v>
      </c>
      <c r="FO286" t="e">
        <f>AND(#REF!,"AAAAAFt3W6o=")</f>
        <v>#REF!</v>
      </c>
      <c r="FP286" t="e">
        <f>AND(#REF!,"AAAAAFt3W6s=")</f>
        <v>#REF!</v>
      </c>
      <c r="FQ286" t="e">
        <f>AND(#REF!,"AAAAAFt3W6w=")</f>
        <v>#REF!</v>
      </c>
      <c r="FR286" t="e">
        <f>AND(#REF!,"AAAAAFt3W60=")</f>
        <v>#REF!</v>
      </c>
      <c r="FS286" t="e">
        <f>AND(#REF!,"AAAAAFt3W64=")</f>
        <v>#REF!</v>
      </c>
      <c r="FT286" t="e">
        <f>AND(#REF!,"AAAAAFt3W68=")</f>
        <v>#REF!</v>
      </c>
      <c r="FU286" t="e">
        <f>AND(#REF!,"AAAAAFt3W7A=")</f>
        <v>#REF!</v>
      </c>
      <c r="FV286" t="e">
        <f>AND(#REF!,"AAAAAFt3W7E=")</f>
        <v>#REF!</v>
      </c>
      <c r="FW286" t="e">
        <f>AND(#REF!,"AAAAAFt3W7I=")</f>
        <v>#REF!</v>
      </c>
      <c r="FX286" t="e">
        <f>IF(#REF!,"AAAAAFt3W7M=",0)</f>
        <v>#REF!</v>
      </c>
      <c r="FY286" t="e">
        <f>AND(#REF!,"AAAAAFt3W7Q=")</f>
        <v>#REF!</v>
      </c>
      <c r="FZ286" t="e">
        <f>AND(#REF!,"AAAAAFt3W7U=")</f>
        <v>#REF!</v>
      </c>
      <c r="GA286" t="e">
        <f>AND(#REF!,"AAAAAFt3W7Y=")</f>
        <v>#REF!</v>
      </c>
      <c r="GB286" t="e">
        <f>AND(#REF!,"AAAAAFt3W7c=")</f>
        <v>#REF!</v>
      </c>
      <c r="GC286" t="e">
        <f>AND(#REF!,"AAAAAFt3W7g=")</f>
        <v>#REF!</v>
      </c>
      <c r="GD286" t="e">
        <f>AND(#REF!,"AAAAAFt3W7k=")</f>
        <v>#REF!</v>
      </c>
      <c r="GE286" t="e">
        <f>AND(#REF!,"AAAAAFt3W7o=")</f>
        <v>#REF!</v>
      </c>
      <c r="GF286" t="e">
        <f>AND(#REF!,"AAAAAFt3W7s=")</f>
        <v>#REF!</v>
      </c>
      <c r="GG286" t="e">
        <f>AND(#REF!,"AAAAAFt3W7w=")</f>
        <v>#REF!</v>
      </c>
      <c r="GH286" t="e">
        <f>AND(#REF!,"AAAAAFt3W70=")</f>
        <v>#REF!</v>
      </c>
      <c r="GI286" t="e">
        <f>AND(#REF!,"AAAAAFt3W74=")</f>
        <v>#REF!</v>
      </c>
      <c r="GJ286" t="e">
        <f>AND(#REF!,"AAAAAFt3W78=")</f>
        <v>#REF!</v>
      </c>
      <c r="GK286" t="e">
        <f>AND(#REF!,"AAAAAFt3W8A=")</f>
        <v>#REF!</v>
      </c>
      <c r="GL286" t="e">
        <f>AND(#REF!,"AAAAAFt3W8E=")</f>
        <v>#REF!</v>
      </c>
      <c r="GM286" t="e">
        <f>AND(#REF!,"AAAAAFt3W8I=")</f>
        <v>#REF!</v>
      </c>
      <c r="GN286" t="e">
        <f>AND(#REF!,"AAAAAFt3W8M=")</f>
        <v>#REF!</v>
      </c>
      <c r="GO286" t="e">
        <f>AND(#REF!,"AAAAAFt3W8Q=")</f>
        <v>#REF!</v>
      </c>
      <c r="GP286" t="e">
        <f>AND(#REF!,"AAAAAFt3W8U=")</f>
        <v>#REF!</v>
      </c>
      <c r="GQ286" t="e">
        <f>AND(#REF!,"AAAAAFt3W8Y=")</f>
        <v>#REF!</v>
      </c>
      <c r="GR286" t="e">
        <f>AND(#REF!,"AAAAAFt3W8c=")</f>
        <v>#REF!</v>
      </c>
      <c r="GS286" t="e">
        <f>AND(#REF!,"AAAAAFt3W8g=")</f>
        <v>#REF!</v>
      </c>
      <c r="GT286" t="e">
        <f>AND(#REF!,"AAAAAFt3W8k=")</f>
        <v>#REF!</v>
      </c>
      <c r="GU286" t="e">
        <f>AND(#REF!,"AAAAAFt3W8o=")</f>
        <v>#REF!</v>
      </c>
      <c r="GV286" t="e">
        <f>AND(#REF!,"AAAAAFt3W8s=")</f>
        <v>#REF!</v>
      </c>
      <c r="GW286" t="e">
        <f>AND(#REF!,"AAAAAFt3W8w=")</f>
        <v>#REF!</v>
      </c>
      <c r="GX286" t="e">
        <f>AND(#REF!,"AAAAAFt3W80=")</f>
        <v>#REF!</v>
      </c>
      <c r="GY286" t="e">
        <f>AND(#REF!,"AAAAAFt3W84=")</f>
        <v>#REF!</v>
      </c>
      <c r="GZ286" t="e">
        <f>AND(#REF!,"AAAAAFt3W88=")</f>
        <v>#REF!</v>
      </c>
      <c r="HA286" t="e">
        <f>AND(#REF!,"AAAAAFt3W9A=")</f>
        <v>#REF!</v>
      </c>
      <c r="HB286" t="e">
        <f>AND(#REF!,"AAAAAFt3W9E=")</f>
        <v>#REF!</v>
      </c>
      <c r="HC286" t="e">
        <f>AND(#REF!,"AAAAAFt3W9I=")</f>
        <v>#REF!</v>
      </c>
      <c r="HD286" t="e">
        <f>AND(#REF!,"AAAAAFt3W9M=")</f>
        <v>#REF!</v>
      </c>
      <c r="HE286" t="e">
        <f>AND(#REF!,"AAAAAFt3W9Q=")</f>
        <v>#REF!</v>
      </c>
      <c r="HF286" t="e">
        <f>AND(#REF!,"AAAAAFt3W9U=")</f>
        <v>#REF!</v>
      </c>
      <c r="HG286" t="e">
        <f>AND(#REF!,"AAAAAFt3W9Y=")</f>
        <v>#REF!</v>
      </c>
      <c r="HH286" t="e">
        <f>AND(#REF!,"AAAAAFt3W9c=")</f>
        <v>#REF!</v>
      </c>
      <c r="HI286" t="e">
        <f>AND(#REF!,"AAAAAFt3W9g=")</f>
        <v>#REF!</v>
      </c>
      <c r="HJ286" t="e">
        <f>AND(#REF!,"AAAAAFt3W9k=")</f>
        <v>#REF!</v>
      </c>
      <c r="HK286" t="e">
        <f>AND(#REF!,"AAAAAFt3W9o=")</f>
        <v>#REF!</v>
      </c>
      <c r="HL286" t="e">
        <f>AND(#REF!,"AAAAAFt3W9s=")</f>
        <v>#REF!</v>
      </c>
      <c r="HM286" t="e">
        <f>AND(#REF!,"AAAAAFt3W9w=")</f>
        <v>#REF!</v>
      </c>
      <c r="HN286" t="e">
        <f>AND(#REF!,"AAAAAFt3W90=")</f>
        <v>#REF!</v>
      </c>
      <c r="HO286" t="e">
        <f>AND(#REF!,"AAAAAFt3W94=")</f>
        <v>#REF!</v>
      </c>
      <c r="HP286" t="e">
        <f>AND(#REF!,"AAAAAFt3W98=")</f>
        <v>#REF!</v>
      </c>
      <c r="HQ286" t="e">
        <f>AND(#REF!,"AAAAAFt3W+A=")</f>
        <v>#REF!</v>
      </c>
      <c r="HR286" t="e">
        <f>AND(#REF!,"AAAAAFt3W+E=")</f>
        <v>#REF!</v>
      </c>
      <c r="HS286" t="e">
        <f>AND(#REF!,"AAAAAFt3W+I=")</f>
        <v>#REF!</v>
      </c>
      <c r="HT286" t="e">
        <f>AND(#REF!,"AAAAAFt3W+M=")</f>
        <v>#REF!</v>
      </c>
      <c r="HU286" t="e">
        <f>AND(#REF!,"AAAAAFt3W+Q=")</f>
        <v>#REF!</v>
      </c>
      <c r="HV286" t="e">
        <f>AND(#REF!,"AAAAAFt3W+U=")</f>
        <v>#REF!</v>
      </c>
      <c r="HW286" t="e">
        <f>AND(#REF!,"AAAAAFt3W+Y=")</f>
        <v>#REF!</v>
      </c>
      <c r="HX286" t="e">
        <f>IF(#REF!,"AAAAAFt3W+c=",0)</f>
        <v>#REF!</v>
      </c>
      <c r="HY286" t="e">
        <f>AND(#REF!,"AAAAAFt3W+g=")</f>
        <v>#REF!</v>
      </c>
      <c r="HZ286" t="e">
        <f>AND(#REF!,"AAAAAFt3W+k=")</f>
        <v>#REF!</v>
      </c>
      <c r="IA286" t="e">
        <f>AND(#REF!,"AAAAAFt3W+o=")</f>
        <v>#REF!</v>
      </c>
      <c r="IB286" t="e">
        <f>AND(#REF!,"AAAAAFt3W+s=")</f>
        <v>#REF!</v>
      </c>
      <c r="IC286" t="e">
        <f>AND(#REF!,"AAAAAFt3W+w=")</f>
        <v>#REF!</v>
      </c>
      <c r="ID286" t="e">
        <f>AND(#REF!,"AAAAAFt3W+0=")</f>
        <v>#REF!</v>
      </c>
      <c r="IE286" t="e">
        <f>AND(#REF!,"AAAAAFt3W+4=")</f>
        <v>#REF!</v>
      </c>
      <c r="IF286" t="e">
        <f>AND(#REF!,"AAAAAFt3W+8=")</f>
        <v>#REF!</v>
      </c>
      <c r="IG286" t="e">
        <f>AND(#REF!,"AAAAAFt3W/A=")</f>
        <v>#REF!</v>
      </c>
      <c r="IH286" t="e">
        <f>AND(#REF!,"AAAAAFt3W/E=")</f>
        <v>#REF!</v>
      </c>
      <c r="II286" t="e">
        <f>AND(#REF!,"AAAAAFt3W/I=")</f>
        <v>#REF!</v>
      </c>
      <c r="IJ286" t="e">
        <f>AND(#REF!,"AAAAAFt3W/M=")</f>
        <v>#REF!</v>
      </c>
      <c r="IK286" t="e">
        <f>AND(#REF!,"AAAAAFt3W/Q=")</f>
        <v>#REF!</v>
      </c>
      <c r="IL286" t="e">
        <f>AND(#REF!,"AAAAAFt3W/U=")</f>
        <v>#REF!</v>
      </c>
      <c r="IM286" t="e">
        <f>AND(#REF!,"AAAAAFt3W/Y=")</f>
        <v>#REF!</v>
      </c>
      <c r="IN286" t="e">
        <f>AND(#REF!,"AAAAAFt3W/c=")</f>
        <v>#REF!</v>
      </c>
      <c r="IO286" t="e">
        <f>AND(#REF!,"AAAAAFt3W/g=")</f>
        <v>#REF!</v>
      </c>
      <c r="IP286" t="e">
        <f>AND(#REF!,"AAAAAFt3W/k=")</f>
        <v>#REF!</v>
      </c>
      <c r="IQ286" t="e">
        <f>AND(#REF!,"AAAAAFt3W/o=")</f>
        <v>#REF!</v>
      </c>
      <c r="IR286" t="e">
        <f>AND(#REF!,"AAAAAFt3W/s=")</f>
        <v>#REF!</v>
      </c>
      <c r="IS286" t="e">
        <f>AND(#REF!,"AAAAAFt3W/w=")</f>
        <v>#REF!</v>
      </c>
      <c r="IT286" t="e">
        <f>AND(#REF!,"AAAAAFt3W/0=")</f>
        <v>#REF!</v>
      </c>
      <c r="IU286" t="e">
        <f>AND(#REF!,"AAAAAFt3W/4=")</f>
        <v>#REF!</v>
      </c>
      <c r="IV286" t="e">
        <f>AND(#REF!,"AAAAAFt3W/8=")</f>
        <v>#REF!</v>
      </c>
    </row>
    <row r="287" spans="1:256">
      <c r="A287" t="e">
        <f>AND(#REF!,"AAAAAHz/pgA=")</f>
        <v>#REF!</v>
      </c>
      <c r="B287" t="e">
        <f>AND(#REF!,"AAAAAHz/pgE=")</f>
        <v>#REF!</v>
      </c>
      <c r="C287" t="e">
        <f>AND(#REF!,"AAAAAHz/pgI=")</f>
        <v>#REF!</v>
      </c>
      <c r="D287" t="e">
        <f>AND(#REF!,"AAAAAHz/pgM=")</f>
        <v>#REF!</v>
      </c>
      <c r="E287" t="e">
        <f>AND(#REF!,"AAAAAHz/pgQ=")</f>
        <v>#REF!</v>
      </c>
      <c r="F287" t="e">
        <f>AND(#REF!,"AAAAAHz/pgU=")</f>
        <v>#REF!</v>
      </c>
      <c r="G287" t="e">
        <f>AND(#REF!,"AAAAAHz/pgY=")</f>
        <v>#REF!</v>
      </c>
      <c r="H287" t="e">
        <f>AND(#REF!,"AAAAAHz/pgc=")</f>
        <v>#REF!</v>
      </c>
      <c r="I287" t="e">
        <f>AND(#REF!,"AAAAAHz/pgg=")</f>
        <v>#REF!</v>
      </c>
      <c r="J287" t="e">
        <f>AND(#REF!,"AAAAAHz/pgk=")</f>
        <v>#REF!</v>
      </c>
      <c r="K287" t="e">
        <f>AND(#REF!,"AAAAAHz/pgo=")</f>
        <v>#REF!</v>
      </c>
      <c r="L287" t="e">
        <f>AND(#REF!,"AAAAAHz/pgs=")</f>
        <v>#REF!</v>
      </c>
      <c r="M287" t="e">
        <f>AND(#REF!,"AAAAAHz/pgw=")</f>
        <v>#REF!</v>
      </c>
      <c r="N287" t="e">
        <f>AND(#REF!,"AAAAAHz/pg0=")</f>
        <v>#REF!</v>
      </c>
      <c r="O287" t="e">
        <f>AND(#REF!,"AAAAAHz/pg4=")</f>
        <v>#REF!</v>
      </c>
      <c r="P287" t="e">
        <f>AND(#REF!,"AAAAAHz/pg8=")</f>
        <v>#REF!</v>
      </c>
      <c r="Q287" t="e">
        <f>AND(#REF!,"AAAAAHz/phA=")</f>
        <v>#REF!</v>
      </c>
      <c r="R287" t="e">
        <f>AND(#REF!,"AAAAAHz/phE=")</f>
        <v>#REF!</v>
      </c>
      <c r="S287" t="e">
        <f>AND(#REF!,"AAAAAHz/phI=")</f>
        <v>#REF!</v>
      </c>
      <c r="T287" t="e">
        <f>AND(#REF!,"AAAAAHz/phM=")</f>
        <v>#REF!</v>
      </c>
      <c r="U287" t="e">
        <f>AND(#REF!,"AAAAAHz/phQ=")</f>
        <v>#REF!</v>
      </c>
      <c r="V287" t="e">
        <f>AND(#REF!,"AAAAAHz/phU=")</f>
        <v>#REF!</v>
      </c>
      <c r="W287" t="e">
        <f>AND(#REF!,"AAAAAHz/phY=")</f>
        <v>#REF!</v>
      </c>
      <c r="X287" t="e">
        <f>AND(#REF!,"AAAAAHz/phc=")</f>
        <v>#REF!</v>
      </c>
      <c r="Y287" t="e">
        <f>AND(#REF!,"AAAAAHz/phg=")</f>
        <v>#REF!</v>
      </c>
      <c r="Z287" t="e">
        <f>AND(#REF!,"AAAAAHz/phk=")</f>
        <v>#REF!</v>
      </c>
      <c r="AA287" t="e">
        <f>AND(#REF!,"AAAAAHz/pho=")</f>
        <v>#REF!</v>
      </c>
      <c r="AB287" t="e">
        <f>IF(#REF!,"AAAAAHz/phs=",0)</f>
        <v>#REF!</v>
      </c>
      <c r="AC287" t="e">
        <f>AND(#REF!,"AAAAAHz/phw=")</f>
        <v>#REF!</v>
      </c>
      <c r="AD287" t="e">
        <f>AND(#REF!,"AAAAAHz/ph0=")</f>
        <v>#REF!</v>
      </c>
      <c r="AE287" t="e">
        <f>AND(#REF!,"AAAAAHz/ph4=")</f>
        <v>#REF!</v>
      </c>
      <c r="AF287" t="e">
        <f>AND(#REF!,"AAAAAHz/ph8=")</f>
        <v>#REF!</v>
      </c>
      <c r="AG287" t="e">
        <f>AND(#REF!,"AAAAAHz/piA=")</f>
        <v>#REF!</v>
      </c>
      <c r="AH287" t="e">
        <f>AND(#REF!,"AAAAAHz/piE=")</f>
        <v>#REF!</v>
      </c>
      <c r="AI287" t="e">
        <f>AND(#REF!,"AAAAAHz/piI=")</f>
        <v>#REF!</v>
      </c>
      <c r="AJ287" t="e">
        <f>AND(#REF!,"AAAAAHz/piM=")</f>
        <v>#REF!</v>
      </c>
      <c r="AK287" t="e">
        <f>AND(#REF!,"AAAAAHz/piQ=")</f>
        <v>#REF!</v>
      </c>
      <c r="AL287" t="e">
        <f>AND(#REF!,"AAAAAHz/piU=")</f>
        <v>#REF!</v>
      </c>
      <c r="AM287" t="e">
        <f>AND(#REF!,"AAAAAHz/piY=")</f>
        <v>#REF!</v>
      </c>
      <c r="AN287" t="e">
        <f>AND(#REF!,"AAAAAHz/pic=")</f>
        <v>#REF!</v>
      </c>
      <c r="AO287" t="e">
        <f>AND(#REF!,"AAAAAHz/pig=")</f>
        <v>#REF!</v>
      </c>
      <c r="AP287" t="e">
        <f>AND(#REF!,"AAAAAHz/pik=")</f>
        <v>#REF!</v>
      </c>
      <c r="AQ287" t="e">
        <f>AND(#REF!,"AAAAAHz/pio=")</f>
        <v>#REF!</v>
      </c>
      <c r="AR287" t="e">
        <f>AND(#REF!,"AAAAAHz/pis=")</f>
        <v>#REF!</v>
      </c>
      <c r="AS287" t="e">
        <f>AND(#REF!,"AAAAAHz/piw=")</f>
        <v>#REF!</v>
      </c>
      <c r="AT287" t="e">
        <f>AND(#REF!,"AAAAAHz/pi0=")</f>
        <v>#REF!</v>
      </c>
      <c r="AU287" t="e">
        <f>AND(#REF!,"AAAAAHz/pi4=")</f>
        <v>#REF!</v>
      </c>
      <c r="AV287" t="e">
        <f>AND(#REF!,"AAAAAHz/pi8=")</f>
        <v>#REF!</v>
      </c>
      <c r="AW287" t="e">
        <f>AND(#REF!,"AAAAAHz/pjA=")</f>
        <v>#REF!</v>
      </c>
      <c r="AX287" t="e">
        <f>AND(#REF!,"AAAAAHz/pjE=")</f>
        <v>#REF!</v>
      </c>
      <c r="AY287" t="e">
        <f>AND(#REF!,"AAAAAHz/pjI=")</f>
        <v>#REF!</v>
      </c>
      <c r="AZ287" t="e">
        <f>AND(#REF!,"AAAAAHz/pjM=")</f>
        <v>#REF!</v>
      </c>
      <c r="BA287" t="e">
        <f>AND(#REF!,"AAAAAHz/pjQ=")</f>
        <v>#REF!</v>
      </c>
      <c r="BB287" t="e">
        <f>AND(#REF!,"AAAAAHz/pjU=")</f>
        <v>#REF!</v>
      </c>
      <c r="BC287" t="e">
        <f>AND(#REF!,"AAAAAHz/pjY=")</f>
        <v>#REF!</v>
      </c>
      <c r="BD287" t="e">
        <f>AND(#REF!,"AAAAAHz/pjc=")</f>
        <v>#REF!</v>
      </c>
      <c r="BE287" t="e">
        <f>AND(#REF!,"AAAAAHz/pjg=")</f>
        <v>#REF!</v>
      </c>
      <c r="BF287" t="e">
        <f>AND(#REF!,"AAAAAHz/pjk=")</f>
        <v>#REF!</v>
      </c>
      <c r="BG287" t="e">
        <f>AND(#REF!,"AAAAAHz/pjo=")</f>
        <v>#REF!</v>
      </c>
      <c r="BH287" t="e">
        <f>AND(#REF!,"AAAAAHz/pjs=")</f>
        <v>#REF!</v>
      </c>
      <c r="BI287" t="e">
        <f>AND(#REF!,"AAAAAHz/pjw=")</f>
        <v>#REF!</v>
      </c>
      <c r="BJ287" t="e">
        <f>AND(#REF!,"AAAAAHz/pj0=")</f>
        <v>#REF!</v>
      </c>
      <c r="BK287" t="e">
        <f>AND(#REF!,"AAAAAHz/pj4=")</f>
        <v>#REF!</v>
      </c>
      <c r="BL287" t="e">
        <f>AND(#REF!,"AAAAAHz/pj8=")</f>
        <v>#REF!</v>
      </c>
      <c r="BM287" t="e">
        <f>AND(#REF!,"AAAAAHz/pkA=")</f>
        <v>#REF!</v>
      </c>
      <c r="BN287" t="e">
        <f>AND(#REF!,"AAAAAHz/pkE=")</f>
        <v>#REF!</v>
      </c>
      <c r="BO287" t="e">
        <f>AND(#REF!,"AAAAAHz/pkI=")</f>
        <v>#REF!</v>
      </c>
      <c r="BP287" t="e">
        <f>AND(#REF!,"AAAAAHz/pkM=")</f>
        <v>#REF!</v>
      </c>
      <c r="BQ287" t="e">
        <f>AND(#REF!,"AAAAAHz/pkQ=")</f>
        <v>#REF!</v>
      </c>
      <c r="BR287" t="e">
        <f>AND(#REF!,"AAAAAHz/pkU=")</f>
        <v>#REF!</v>
      </c>
      <c r="BS287" t="e">
        <f>AND(#REF!,"AAAAAHz/pkY=")</f>
        <v>#REF!</v>
      </c>
      <c r="BT287" t="e">
        <f>AND(#REF!,"AAAAAHz/pkc=")</f>
        <v>#REF!</v>
      </c>
      <c r="BU287" t="e">
        <f>AND(#REF!,"AAAAAHz/pkg=")</f>
        <v>#REF!</v>
      </c>
      <c r="BV287" t="e">
        <f>AND(#REF!,"AAAAAHz/pkk=")</f>
        <v>#REF!</v>
      </c>
      <c r="BW287" t="e">
        <f>AND(#REF!,"AAAAAHz/pko=")</f>
        <v>#REF!</v>
      </c>
      <c r="BX287" t="e">
        <f>AND(#REF!,"AAAAAHz/pks=")</f>
        <v>#REF!</v>
      </c>
      <c r="BY287" t="e">
        <f>AND(#REF!,"AAAAAHz/pkw=")</f>
        <v>#REF!</v>
      </c>
      <c r="BZ287" t="e">
        <f>AND(#REF!,"AAAAAHz/pk0=")</f>
        <v>#REF!</v>
      </c>
      <c r="CA287" t="e">
        <f>AND(#REF!,"AAAAAHz/pk4=")</f>
        <v>#REF!</v>
      </c>
      <c r="CB287" t="e">
        <f>IF(#REF!,"AAAAAHz/pk8=",0)</f>
        <v>#REF!</v>
      </c>
      <c r="CC287" t="e">
        <f>AND(#REF!,"AAAAAHz/plA=")</f>
        <v>#REF!</v>
      </c>
      <c r="CD287" t="e">
        <f>AND(#REF!,"AAAAAHz/plE=")</f>
        <v>#REF!</v>
      </c>
      <c r="CE287" t="e">
        <f>AND(#REF!,"AAAAAHz/plI=")</f>
        <v>#REF!</v>
      </c>
      <c r="CF287" t="e">
        <f>AND(#REF!,"AAAAAHz/plM=")</f>
        <v>#REF!</v>
      </c>
      <c r="CG287" t="e">
        <f>AND(#REF!,"AAAAAHz/plQ=")</f>
        <v>#REF!</v>
      </c>
      <c r="CH287" t="e">
        <f>AND(#REF!,"AAAAAHz/plU=")</f>
        <v>#REF!</v>
      </c>
      <c r="CI287" t="e">
        <f>AND(#REF!,"AAAAAHz/plY=")</f>
        <v>#REF!</v>
      </c>
      <c r="CJ287" t="e">
        <f>AND(#REF!,"AAAAAHz/plc=")</f>
        <v>#REF!</v>
      </c>
      <c r="CK287" t="e">
        <f>AND(#REF!,"AAAAAHz/plg=")</f>
        <v>#REF!</v>
      </c>
      <c r="CL287" t="e">
        <f>AND(#REF!,"AAAAAHz/plk=")</f>
        <v>#REF!</v>
      </c>
      <c r="CM287" t="e">
        <f>AND(#REF!,"AAAAAHz/plo=")</f>
        <v>#REF!</v>
      </c>
      <c r="CN287" t="e">
        <f>AND(#REF!,"AAAAAHz/pls=")</f>
        <v>#REF!</v>
      </c>
      <c r="CO287" t="e">
        <f>AND(#REF!,"AAAAAHz/plw=")</f>
        <v>#REF!</v>
      </c>
      <c r="CP287" t="e">
        <f>AND(#REF!,"AAAAAHz/pl0=")</f>
        <v>#REF!</v>
      </c>
      <c r="CQ287" t="e">
        <f>AND(#REF!,"AAAAAHz/pl4=")</f>
        <v>#REF!</v>
      </c>
      <c r="CR287" t="e">
        <f>AND(#REF!,"AAAAAHz/pl8=")</f>
        <v>#REF!</v>
      </c>
      <c r="CS287" t="e">
        <f>AND(#REF!,"AAAAAHz/pmA=")</f>
        <v>#REF!</v>
      </c>
      <c r="CT287" t="e">
        <f>AND(#REF!,"AAAAAHz/pmE=")</f>
        <v>#REF!</v>
      </c>
      <c r="CU287" t="e">
        <f>AND(#REF!,"AAAAAHz/pmI=")</f>
        <v>#REF!</v>
      </c>
      <c r="CV287" t="e">
        <f>AND(#REF!,"AAAAAHz/pmM=")</f>
        <v>#REF!</v>
      </c>
      <c r="CW287" t="e">
        <f>AND(#REF!,"AAAAAHz/pmQ=")</f>
        <v>#REF!</v>
      </c>
      <c r="CX287" t="e">
        <f>AND(#REF!,"AAAAAHz/pmU=")</f>
        <v>#REF!</v>
      </c>
      <c r="CY287" t="e">
        <f>AND(#REF!,"AAAAAHz/pmY=")</f>
        <v>#REF!</v>
      </c>
      <c r="CZ287" t="e">
        <f>AND(#REF!,"AAAAAHz/pmc=")</f>
        <v>#REF!</v>
      </c>
      <c r="DA287" t="e">
        <f>AND(#REF!,"AAAAAHz/pmg=")</f>
        <v>#REF!</v>
      </c>
      <c r="DB287" t="e">
        <f>AND(#REF!,"AAAAAHz/pmk=")</f>
        <v>#REF!</v>
      </c>
      <c r="DC287" t="e">
        <f>AND(#REF!,"AAAAAHz/pmo=")</f>
        <v>#REF!</v>
      </c>
      <c r="DD287" t="e">
        <f>AND(#REF!,"AAAAAHz/pms=")</f>
        <v>#REF!</v>
      </c>
      <c r="DE287" t="e">
        <f>AND(#REF!,"AAAAAHz/pmw=")</f>
        <v>#REF!</v>
      </c>
      <c r="DF287" t="e">
        <f>AND(#REF!,"AAAAAHz/pm0=")</f>
        <v>#REF!</v>
      </c>
      <c r="DG287" t="e">
        <f>AND(#REF!,"AAAAAHz/pm4=")</f>
        <v>#REF!</v>
      </c>
      <c r="DH287" t="e">
        <f>AND(#REF!,"AAAAAHz/pm8=")</f>
        <v>#REF!</v>
      </c>
      <c r="DI287" t="e">
        <f>AND(#REF!,"AAAAAHz/pnA=")</f>
        <v>#REF!</v>
      </c>
      <c r="DJ287" t="e">
        <f>AND(#REF!,"AAAAAHz/pnE=")</f>
        <v>#REF!</v>
      </c>
      <c r="DK287" t="e">
        <f>AND(#REF!,"AAAAAHz/pnI=")</f>
        <v>#REF!</v>
      </c>
      <c r="DL287" t="e">
        <f>AND(#REF!,"AAAAAHz/pnM=")</f>
        <v>#REF!</v>
      </c>
      <c r="DM287" t="e">
        <f>AND(#REF!,"AAAAAHz/pnQ=")</f>
        <v>#REF!</v>
      </c>
      <c r="DN287" t="e">
        <f>AND(#REF!,"AAAAAHz/pnU=")</f>
        <v>#REF!</v>
      </c>
      <c r="DO287" t="e">
        <f>AND(#REF!,"AAAAAHz/pnY=")</f>
        <v>#REF!</v>
      </c>
      <c r="DP287" t="e">
        <f>AND(#REF!,"AAAAAHz/pnc=")</f>
        <v>#REF!</v>
      </c>
      <c r="DQ287" t="e">
        <f>AND(#REF!,"AAAAAHz/png=")</f>
        <v>#REF!</v>
      </c>
      <c r="DR287" t="e">
        <f>AND(#REF!,"AAAAAHz/pnk=")</f>
        <v>#REF!</v>
      </c>
      <c r="DS287" t="e">
        <f>AND(#REF!,"AAAAAHz/pno=")</f>
        <v>#REF!</v>
      </c>
      <c r="DT287" t="e">
        <f>AND(#REF!,"AAAAAHz/pns=")</f>
        <v>#REF!</v>
      </c>
      <c r="DU287" t="e">
        <f>AND(#REF!,"AAAAAHz/pnw=")</f>
        <v>#REF!</v>
      </c>
      <c r="DV287" t="e">
        <f>AND(#REF!,"AAAAAHz/pn0=")</f>
        <v>#REF!</v>
      </c>
      <c r="DW287" t="e">
        <f>AND(#REF!,"AAAAAHz/pn4=")</f>
        <v>#REF!</v>
      </c>
      <c r="DX287" t="e">
        <f>AND(#REF!,"AAAAAHz/pn8=")</f>
        <v>#REF!</v>
      </c>
      <c r="DY287" t="e">
        <f>AND(#REF!,"AAAAAHz/poA=")</f>
        <v>#REF!</v>
      </c>
      <c r="DZ287" t="e">
        <f>AND(#REF!,"AAAAAHz/poE=")</f>
        <v>#REF!</v>
      </c>
      <c r="EA287" t="e">
        <f>AND(#REF!,"AAAAAHz/poI=")</f>
        <v>#REF!</v>
      </c>
      <c r="EB287" t="e">
        <f>IF(#REF!,"AAAAAHz/poM=",0)</f>
        <v>#REF!</v>
      </c>
      <c r="EC287" t="e">
        <f>AND(#REF!,"AAAAAHz/poQ=")</f>
        <v>#REF!</v>
      </c>
      <c r="ED287" t="e">
        <f>AND(#REF!,"AAAAAHz/poU=")</f>
        <v>#REF!</v>
      </c>
      <c r="EE287" t="e">
        <f>AND(#REF!,"AAAAAHz/poY=")</f>
        <v>#REF!</v>
      </c>
      <c r="EF287" t="e">
        <f>AND(#REF!,"AAAAAHz/poc=")</f>
        <v>#REF!</v>
      </c>
      <c r="EG287" t="e">
        <f>AND(#REF!,"AAAAAHz/pog=")</f>
        <v>#REF!</v>
      </c>
      <c r="EH287" t="e">
        <f>AND(#REF!,"AAAAAHz/pok=")</f>
        <v>#REF!</v>
      </c>
      <c r="EI287" t="e">
        <f>AND(#REF!,"AAAAAHz/poo=")</f>
        <v>#REF!</v>
      </c>
      <c r="EJ287" t="e">
        <f>AND(#REF!,"AAAAAHz/pos=")</f>
        <v>#REF!</v>
      </c>
      <c r="EK287" t="e">
        <f>AND(#REF!,"AAAAAHz/pow=")</f>
        <v>#REF!</v>
      </c>
      <c r="EL287" t="e">
        <f>AND(#REF!,"AAAAAHz/po0=")</f>
        <v>#REF!</v>
      </c>
      <c r="EM287" t="e">
        <f>AND(#REF!,"AAAAAHz/po4=")</f>
        <v>#REF!</v>
      </c>
      <c r="EN287" t="e">
        <f>AND(#REF!,"AAAAAHz/po8=")</f>
        <v>#REF!</v>
      </c>
      <c r="EO287" t="e">
        <f>AND(#REF!,"AAAAAHz/ppA=")</f>
        <v>#REF!</v>
      </c>
      <c r="EP287" t="e">
        <f>AND(#REF!,"AAAAAHz/ppE=")</f>
        <v>#REF!</v>
      </c>
      <c r="EQ287" t="e">
        <f>AND(#REF!,"AAAAAHz/ppI=")</f>
        <v>#REF!</v>
      </c>
      <c r="ER287" t="e">
        <f>AND(#REF!,"AAAAAHz/ppM=")</f>
        <v>#REF!</v>
      </c>
      <c r="ES287" t="e">
        <f>AND(#REF!,"AAAAAHz/ppQ=")</f>
        <v>#REF!</v>
      </c>
      <c r="ET287" t="e">
        <f>AND(#REF!,"AAAAAHz/ppU=")</f>
        <v>#REF!</v>
      </c>
      <c r="EU287" t="e">
        <f>AND(#REF!,"AAAAAHz/ppY=")</f>
        <v>#REF!</v>
      </c>
      <c r="EV287" t="e">
        <f>AND(#REF!,"AAAAAHz/ppc=")</f>
        <v>#REF!</v>
      </c>
      <c r="EW287" t="e">
        <f>AND(#REF!,"AAAAAHz/ppg=")</f>
        <v>#REF!</v>
      </c>
      <c r="EX287" t="e">
        <f>AND(#REF!,"AAAAAHz/ppk=")</f>
        <v>#REF!</v>
      </c>
      <c r="EY287" t="e">
        <f>AND(#REF!,"AAAAAHz/ppo=")</f>
        <v>#REF!</v>
      </c>
      <c r="EZ287" t="e">
        <f>AND(#REF!,"AAAAAHz/pps=")</f>
        <v>#REF!</v>
      </c>
      <c r="FA287" t="e">
        <f>AND(#REF!,"AAAAAHz/ppw=")</f>
        <v>#REF!</v>
      </c>
      <c r="FB287" t="e">
        <f>AND(#REF!,"AAAAAHz/pp0=")</f>
        <v>#REF!</v>
      </c>
      <c r="FC287" t="e">
        <f>AND(#REF!,"AAAAAHz/pp4=")</f>
        <v>#REF!</v>
      </c>
      <c r="FD287" t="e">
        <f>AND(#REF!,"AAAAAHz/pp8=")</f>
        <v>#REF!</v>
      </c>
      <c r="FE287" t="e">
        <f>AND(#REF!,"AAAAAHz/pqA=")</f>
        <v>#REF!</v>
      </c>
      <c r="FF287" t="e">
        <f>AND(#REF!,"AAAAAHz/pqE=")</f>
        <v>#REF!</v>
      </c>
      <c r="FG287" t="e">
        <f>AND(#REF!,"AAAAAHz/pqI=")</f>
        <v>#REF!</v>
      </c>
      <c r="FH287" t="e">
        <f>AND(#REF!,"AAAAAHz/pqM=")</f>
        <v>#REF!</v>
      </c>
      <c r="FI287" t="e">
        <f>AND(#REF!,"AAAAAHz/pqQ=")</f>
        <v>#REF!</v>
      </c>
      <c r="FJ287" t="e">
        <f>AND(#REF!,"AAAAAHz/pqU=")</f>
        <v>#REF!</v>
      </c>
      <c r="FK287" t="e">
        <f>AND(#REF!,"AAAAAHz/pqY=")</f>
        <v>#REF!</v>
      </c>
      <c r="FL287" t="e">
        <f>AND(#REF!,"AAAAAHz/pqc=")</f>
        <v>#REF!</v>
      </c>
      <c r="FM287" t="e">
        <f>AND(#REF!,"AAAAAHz/pqg=")</f>
        <v>#REF!</v>
      </c>
      <c r="FN287" t="e">
        <f>AND(#REF!,"AAAAAHz/pqk=")</f>
        <v>#REF!</v>
      </c>
      <c r="FO287" t="e">
        <f>AND(#REF!,"AAAAAHz/pqo=")</f>
        <v>#REF!</v>
      </c>
      <c r="FP287" t="e">
        <f>AND(#REF!,"AAAAAHz/pqs=")</f>
        <v>#REF!</v>
      </c>
      <c r="FQ287" t="e">
        <f>AND(#REF!,"AAAAAHz/pqw=")</f>
        <v>#REF!</v>
      </c>
      <c r="FR287" t="e">
        <f>AND(#REF!,"AAAAAHz/pq0=")</f>
        <v>#REF!</v>
      </c>
      <c r="FS287" t="e">
        <f>AND(#REF!,"AAAAAHz/pq4=")</f>
        <v>#REF!</v>
      </c>
      <c r="FT287" t="e">
        <f>AND(#REF!,"AAAAAHz/pq8=")</f>
        <v>#REF!</v>
      </c>
      <c r="FU287" t="e">
        <f>AND(#REF!,"AAAAAHz/prA=")</f>
        <v>#REF!</v>
      </c>
      <c r="FV287" t="e">
        <f>AND(#REF!,"AAAAAHz/prE=")</f>
        <v>#REF!</v>
      </c>
      <c r="FW287" t="e">
        <f>AND(#REF!,"AAAAAHz/prI=")</f>
        <v>#REF!</v>
      </c>
      <c r="FX287" t="e">
        <f>AND(#REF!,"AAAAAHz/prM=")</f>
        <v>#REF!</v>
      </c>
      <c r="FY287" t="e">
        <f>AND(#REF!,"AAAAAHz/prQ=")</f>
        <v>#REF!</v>
      </c>
      <c r="FZ287" t="e">
        <f>AND(#REF!,"AAAAAHz/prU=")</f>
        <v>#REF!</v>
      </c>
      <c r="GA287" t="e">
        <f>AND(#REF!,"AAAAAHz/prY=")</f>
        <v>#REF!</v>
      </c>
      <c r="GB287" t="e">
        <f>IF(#REF!,"AAAAAHz/prc=",0)</f>
        <v>#REF!</v>
      </c>
      <c r="GC287" t="e">
        <f>AND(#REF!,"AAAAAHz/prg=")</f>
        <v>#REF!</v>
      </c>
      <c r="GD287" t="e">
        <f>AND(#REF!,"AAAAAHz/prk=")</f>
        <v>#REF!</v>
      </c>
      <c r="GE287" t="e">
        <f>AND(#REF!,"AAAAAHz/pro=")</f>
        <v>#REF!</v>
      </c>
      <c r="GF287" t="e">
        <f>AND(#REF!,"AAAAAHz/prs=")</f>
        <v>#REF!</v>
      </c>
      <c r="GG287" t="e">
        <f>AND(#REF!,"AAAAAHz/prw=")</f>
        <v>#REF!</v>
      </c>
      <c r="GH287" t="e">
        <f>AND(#REF!,"AAAAAHz/pr0=")</f>
        <v>#REF!</v>
      </c>
      <c r="GI287" t="e">
        <f>AND(#REF!,"AAAAAHz/pr4=")</f>
        <v>#REF!</v>
      </c>
      <c r="GJ287" t="e">
        <f>AND(#REF!,"AAAAAHz/pr8=")</f>
        <v>#REF!</v>
      </c>
      <c r="GK287" t="e">
        <f>AND(#REF!,"AAAAAHz/psA=")</f>
        <v>#REF!</v>
      </c>
      <c r="GL287" t="e">
        <f>AND(#REF!,"AAAAAHz/psE=")</f>
        <v>#REF!</v>
      </c>
      <c r="GM287" t="e">
        <f>AND(#REF!,"AAAAAHz/psI=")</f>
        <v>#REF!</v>
      </c>
      <c r="GN287" t="e">
        <f>AND(#REF!,"AAAAAHz/psM=")</f>
        <v>#REF!</v>
      </c>
      <c r="GO287" t="e">
        <f>AND(#REF!,"AAAAAHz/psQ=")</f>
        <v>#REF!</v>
      </c>
      <c r="GP287" t="e">
        <f>AND(#REF!,"AAAAAHz/psU=")</f>
        <v>#REF!</v>
      </c>
      <c r="GQ287" t="e">
        <f>AND(#REF!,"AAAAAHz/psY=")</f>
        <v>#REF!</v>
      </c>
      <c r="GR287" t="e">
        <f>AND(#REF!,"AAAAAHz/psc=")</f>
        <v>#REF!</v>
      </c>
      <c r="GS287" t="e">
        <f>AND(#REF!,"AAAAAHz/psg=")</f>
        <v>#REF!</v>
      </c>
      <c r="GT287" t="e">
        <f>AND(#REF!,"AAAAAHz/psk=")</f>
        <v>#REF!</v>
      </c>
      <c r="GU287" t="e">
        <f>AND(#REF!,"AAAAAHz/pso=")</f>
        <v>#REF!</v>
      </c>
      <c r="GV287" t="e">
        <f>AND(#REF!,"AAAAAHz/pss=")</f>
        <v>#REF!</v>
      </c>
      <c r="GW287" t="e">
        <f>AND(#REF!,"AAAAAHz/psw=")</f>
        <v>#REF!</v>
      </c>
      <c r="GX287" t="e">
        <f>AND(#REF!,"AAAAAHz/ps0=")</f>
        <v>#REF!</v>
      </c>
      <c r="GY287" t="e">
        <f>AND(#REF!,"AAAAAHz/ps4=")</f>
        <v>#REF!</v>
      </c>
      <c r="GZ287" t="e">
        <f>AND(#REF!,"AAAAAHz/ps8=")</f>
        <v>#REF!</v>
      </c>
      <c r="HA287" t="e">
        <f>AND(#REF!,"AAAAAHz/ptA=")</f>
        <v>#REF!</v>
      </c>
      <c r="HB287" t="e">
        <f>AND(#REF!,"AAAAAHz/ptE=")</f>
        <v>#REF!</v>
      </c>
      <c r="HC287" t="e">
        <f>AND(#REF!,"AAAAAHz/ptI=")</f>
        <v>#REF!</v>
      </c>
      <c r="HD287" t="e">
        <f>AND(#REF!,"AAAAAHz/ptM=")</f>
        <v>#REF!</v>
      </c>
      <c r="HE287" t="e">
        <f>AND(#REF!,"AAAAAHz/ptQ=")</f>
        <v>#REF!</v>
      </c>
      <c r="HF287" t="e">
        <f>AND(#REF!,"AAAAAHz/ptU=")</f>
        <v>#REF!</v>
      </c>
      <c r="HG287" t="e">
        <f>AND(#REF!,"AAAAAHz/ptY=")</f>
        <v>#REF!</v>
      </c>
      <c r="HH287" t="e">
        <f>AND(#REF!,"AAAAAHz/ptc=")</f>
        <v>#REF!</v>
      </c>
      <c r="HI287" t="e">
        <f>AND(#REF!,"AAAAAHz/ptg=")</f>
        <v>#REF!</v>
      </c>
      <c r="HJ287" t="e">
        <f>AND(#REF!,"AAAAAHz/ptk=")</f>
        <v>#REF!</v>
      </c>
      <c r="HK287" t="e">
        <f>AND(#REF!,"AAAAAHz/pto=")</f>
        <v>#REF!</v>
      </c>
      <c r="HL287" t="e">
        <f>AND(#REF!,"AAAAAHz/pts=")</f>
        <v>#REF!</v>
      </c>
      <c r="HM287" t="e">
        <f>AND(#REF!,"AAAAAHz/ptw=")</f>
        <v>#REF!</v>
      </c>
      <c r="HN287" t="e">
        <f>AND(#REF!,"AAAAAHz/pt0=")</f>
        <v>#REF!</v>
      </c>
      <c r="HO287" t="e">
        <f>AND(#REF!,"AAAAAHz/pt4=")</f>
        <v>#REF!</v>
      </c>
      <c r="HP287" t="e">
        <f>AND(#REF!,"AAAAAHz/pt8=")</f>
        <v>#REF!</v>
      </c>
      <c r="HQ287" t="e">
        <f>AND(#REF!,"AAAAAHz/puA=")</f>
        <v>#REF!</v>
      </c>
      <c r="HR287" t="e">
        <f>AND(#REF!,"AAAAAHz/puE=")</f>
        <v>#REF!</v>
      </c>
      <c r="HS287" t="e">
        <f>AND(#REF!,"AAAAAHz/puI=")</f>
        <v>#REF!</v>
      </c>
      <c r="HT287" t="e">
        <f>AND(#REF!,"AAAAAHz/puM=")</f>
        <v>#REF!</v>
      </c>
      <c r="HU287" t="e">
        <f>AND(#REF!,"AAAAAHz/puQ=")</f>
        <v>#REF!</v>
      </c>
      <c r="HV287" t="e">
        <f>AND(#REF!,"AAAAAHz/puU=")</f>
        <v>#REF!</v>
      </c>
      <c r="HW287" t="e">
        <f>AND(#REF!,"AAAAAHz/puY=")</f>
        <v>#REF!</v>
      </c>
      <c r="HX287" t="e">
        <f>AND(#REF!,"AAAAAHz/puc=")</f>
        <v>#REF!</v>
      </c>
      <c r="HY287" t="e">
        <f>AND(#REF!,"AAAAAHz/pug=")</f>
        <v>#REF!</v>
      </c>
      <c r="HZ287" t="e">
        <f>AND(#REF!,"AAAAAHz/puk=")</f>
        <v>#REF!</v>
      </c>
      <c r="IA287" t="e">
        <f>AND(#REF!,"AAAAAHz/puo=")</f>
        <v>#REF!</v>
      </c>
      <c r="IB287" t="e">
        <f>IF(#REF!,"AAAAAHz/pus=",0)</f>
        <v>#REF!</v>
      </c>
      <c r="IC287" t="e">
        <f>AND(#REF!,"AAAAAHz/puw=")</f>
        <v>#REF!</v>
      </c>
      <c r="ID287" t="e">
        <f>AND(#REF!,"AAAAAHz/pu0=")</f>
        <v>#REF!</v>
      </c>
      <c r="IE287" t="e">
        <f>AND(#REF!,"AAAAAHz/pu4=")</f>
        <v>#REF!</v>
      </c>
      <c r="IF287" t="e">
        <f>AND(#REF!,"AAAAAHz/pu8=")</f>
        <v>#REF!</v>
      </c>
      <c r="IG287" t="e">
        <f>AND(#REF!,"AAAAAHz/pvA=")</f>
        <v>#REF!</v>
      </c>
      <c r="IH287" t="e">
        <f>AND(#REF!,"AAAAAHz/pvE=")</f>
        <v>#REF!</v>
      </c>
      <c r="II287" t="e">
        <f>AND(#REF!,"AAAAAHz/pvI=")</f>
        <v>#REF!</v>
      </c>
      <c r="IJ287" t="e">
        <f>AND(#REF!,"AAAAAHz/pvM=")</f>
        <v>#REF!</v>
      </c>
      <c r="IK287" t="e">
        <f>AND(#REF!,"AAAAAHz/pvQ=")</f>
        <v>#REF!</v>
      </c>
      <c r="IL287" t="e">
        <f>AND(#REF!,"AAAAAHz/pvU=")</f>
        <v>#REF!</v>
      </c>
      <c r="IM287" t="e">
        <f>AND(#REF!,"AAAAAHz/pvY=")</f>
        <v>#REF!</v>
      </c>
      <c r="IN287" t="e">
        <f>AND(#REF!,"AAAAAHz/pvc=")</f>
        <v>#REF!</v>
      </c>
      <c r="IO287" t="e">
        <f>AND(#REF!,"AAAAAHz/pvg=")</f>
        <v>#REF!</v>
      </c>
      <c r="IP287" t="e">
        <f>AND(#REF!,"AAAAAHz/pvk=")</f>
        <v>#REF!</v>
      </c>
      <c r="IQ287" t="e">
        <f>AND(#REF!,"AAAAAHz/pvo=")</f>
        <v>#REF!</v>
      </c>
      <c r="IR287" t="e">
        <f>AND(#REF!,"AAAAAHz/pvs=")</f>
        <v>#REF!</v>
      </c>
      <c r="IS287" t="e">
        <f>AND(#REF!,"AAAAAHz/pvw=")</f>
        <v>#REF!</v>
      </c>
      <c r="IT287" t="e">
        <f>AND(#REF!,"AAAAAHz/pv0=")</f>
        <v>#REF!</v>
      </c>
      <c r="IU287" t="e">
        <f>AND(#REF!,"AAAAAHz/pv4=")</f>
        <v>#REF!</v>
      </c>
      <c r="IV287" t="e">
        <f>AND(#REF!,"AAAAAHz/pv8=")</f>
        <v>#REF!</v>
      </c>
    </row>
    <row r="288" spans="1:256">
      <c r="A288" t="e">
        <f>AND(#REF!,"AAAAAG+vjwA=")</f>
        <v>#REF!</v>
      </c>
      <c r="B288" t="e">
        <f>AND(#REF!,"AAAAAG+vjwE=")</f>
        <v>#REF!</v>
      </c>
      <c r="C288" t="e">
        <f>AND(#REF!,"AAAAAG+vjwI=")</f>
        <v>#REF!</v>
      </c>
      <c r="D288" t="e">
        <f>AND(#REF!,"AAAAAG+vjwM=")</f>
        <v>#REF!</v>
      </c>
      <c r="E288" t="e">
        <f>AND(#REF!,"AAAAAG+vjwQ=")</f>
        <v>#REF!</v>
      </c>
      <c r="F288" t="e">
        <f>AND(#REF!,"AAAAAG+vjwU=")</f>
        <v>#REF!</v>
      </c>
      <c r="G288" t="e">
        <f>AND(#REF!,"AAAAAG+vjwY=")</f>
        <v>#REF!</v>
      </c>
      <c r="H288" t="e">
        <f>AND(#REF!,"AAAAAG+vjwc=")</f>
        <v>#REF!</v>
      </c>
      <c r="I288" t="e">
        <f>AND(#REF!,"AAAAAG+vjwg=")</f>
        <v>#REF!</v>
      </c>
      <c r="J288" t="e">
        <f>AND(#REF!,"AAAAAG+vjwk=")</f>
        <v>#REF!</v>
      </c>
      <c r="K288" t="e">
        <f>AND(#REF!,"AAAAAG+vjwo=")</f>
        <v>#REF!</v>
      </c>
      <c r="L288" t="e">
        <f>AND(#REF!,"AAAAAG+vjws=")</f>
        <v>#REF!</v>
      </c>
      <c r="M288" t="e">
        <f>AND(#REF!,"AAAAAG+vjww=")</f>
        <v>#REF!</v>
      </c>
      <c r="N288" t="e">
        <f>AND(#REF!,"AAAAAG+vjw0=")</f>
        <v>#REF!</v>
      </c>
      <c r="O288" t="e">
        <f>AND(#REF!,"AAAAAG+vjw4=")</f>
        <v>#REF!</v>
      </c>
      <c r="P288" t="e">
        <f>AND(#REF!,"AAAAAG+vjw8=")</f>
        <v>#REF!</v>
      </c>
      <c r="Q288" t="e">
        <f>AND(#REF!,"AAAAAG+vjxA=")</f>
        <v>#REF!</v>
      </c>
      <c r="R288" t="e">
        <f>AND(#REF!,"AAAAAG+vjxE=")</f>
        <v>#REF!</v>
      </c>
      <c r="S288" t="e">
        <f>AND(#REF!,"AAAAAG+vjxI=")</f>
        <v>#REF!</v>
      </c>
      <c r="T288" t="e">
        <f>AND(#REF!,"AAAAAG+vjxM=")</f>
        <v>#REF!</v>
      </c>
      <c r="U288" t="e">
        <f>AND(#REF!,"AAAAAG+vjxQ=")</f>
        <v>#REF!</v>
      </c>
      <c r="V288" t="e">
        <f>AND(#REF!,"AAAAAG+vjxU=")</f>
        <v>#REF!</v>
      </c>
      <c r="W288" t="e">
        <f>AND(#REF!,"AAAAAG+vjxY=")</f>
        <v>#REF!</v>
      </c>
      <c r="X288" t="e">
        <f>AND(#REF!,"AAAAAG+vjxc=")</f>
        <v>#REF!</v>
      </c>
      <c r="Y288" t="e">
        <f>AND(#REF!,"AAAAAG+vjxg=")</f>
        <v>#REF!</v>
      </c>
      <c r="Z288" t="e">
        <f>AND(#REF!,"AAAAAG+vjxk=")</f>
        <v>#REF!</v>
      </c>
      <c r="AA288" t="e">
        <f>AND(#REF!,"AAAAAG+vjxo=")</f>
        <v>#REF!</v>
      </c>
      <c r="AB288" t="e">
        <f>AND(#REF!,"AAAAAG+vjxs=")</f>
        <v>#REF!</v>
      </c>
      <c r="AC288" t="e">
        <f>AND(#REF!,"AAAAAG+vjxw=")</f>
        <v>#REF!</v>
      </c>
      <c r="AD288" t="e">
        <f>AND(#REF!,"AAAAAG+vjx0=")</f>
        <v>#REF!</v>
      </c>
      <c r="AE288" t="e">
        <f>AND(#REF!,"AAAAAG+vjx4=")</f>
        <v>#REF!</v>
      </c>
      <c r="AF288" t="e">
        <f>IF(#REF!,"AAAAAG+vjx8=",0)</f>
        <v>#REF!</v>
      </c>
      <c r="AG288" t="e">
        <f>AND(#REF!,"AAAAAG+vjyA=")</f>
        <v>#REF!</v>
      </c>
      <c r="AH288" t="e">
        <f>AND(#REF!,"AAAAAG+vjyE=")</f>
        <v>#REF!</v>
      </c>
      <c r="AI288" t="e">
        <f>AND(#REF!,"AAAAAG+vjyI=")</f>
        <v>#REF!</v>
      </c>
      <c r="AJ288" t="e">
        <f>AND(#REF!,"AAAAAG+vjyM=")</f>
        <v>#REF!</v>
      </c>
      <c r="AK288" t="e">
        <f>AND(#REF!,"AAAAAG+vjyQ=")</f>
        <v>#REF!</v>
      </c>
      <c r="AL288" t="e">
        <f>AND(#REF!,"AAAAAG+vjyU=")</f>
        <v>#REF!</v>
      </c>
      <c r="AM288" t="e">
        <f>AND(#REF!,"AAAAAG+vjyY=")</f>
        <v>#REF!</v>
      </c>
      <c r="AN288" t="e">
        <f>AND(#REF!,"AAAAAG+vjyc=")</f>
        <v>#REF!</v>
      </c>
      <c r="AO288" t="e">
        <f>AND(#REF!,"AAAAAG+vjyg=")</f>
        <v>#REF!</v>
      </c>
      <c r="AP288" t="e">
        <f>AND(#REF!,"AAAAAG+vjyk=")</f>
        <v>#REF!</v>
      </c>
      <c r="AQ288" t="e">
        <f>AND(#REF!,"AAAAAG+vjyo=")</f>
        <v>#REF!</v>
      </c>
      <c r="AR288" t="e">
        <f>AND(#REF!,"AAAAAG+vjys=")</f>
        <v>#REF!</v>
      </c>
      <c r="AS288" t="e">
        <f>AND(#REF!,"AAAAAG+vjyw=")</f>
        <v>#REF!</v>
      </c>
      <c r="AT288" t="e">
        <f>AND(#REF!,"AAAAAG+vjy0=")</f>
        <v>#REF!</v>
      </c>
      <c r="AU288" t="e">
        <f>AND(#REF!,"AAAAAG+vjy4=")</f>
        <v>#REF!</v>
      </c>
      <c r="AV288" t="e">
        <f>AND(#REF!,"AAAAAG+vjy8=")</f>
        <v>#REF!</v>
      </c>
      <c r="AW288" t="e">
        <f>AND(#REF!,"AAAAAG+vjzA=")</f>
        <v>#REF!</v>
      </c>
      <c r="AX288" t="e">
        <f>AND(#REF!,"AAAAAG+vjzE=")</f>
        <v>#REF!</v>
      </c>
      <c r="AY288" t="e">
        <f>AND(#REF!,"AAAAAG+vjzI=")</f>
        <v>#REF!</v>
      </c>
      <c r="AZ288" t="e">
        <f>AND(#REF!,"AAAAAG+vjzM=")</f>
        <v>#REF!</v>
      </c>
      <c r="BA288" t="e">
        <f>AND(#REF!,"AAAAAG+vjzQ=")</f>
        <v>#REF!</v>
      </c>
      <c r="BB288" t="e">
        <f>AND(#REF!,"AAAAAG+vjzU=")</f>
        <v>#REF!</v>
      </c>
      <c r="BC288" t="e">
        <f>AND(#REF!,"AAAAAG+vjzY=")</f>
        <v>#REF!</v>
      </c>
      <c r="BD288" t="e">
        <f>AND(#REF!,"AAAAAG+vjzc=")</f>
        <v>#REF!</v>
      </c>
      <c r="BE288" t="e">
        <f>AND(#REF!,"AAAAAG+vjzg=")</f>
        <v>#REF!</v>
      </c>
      <c r="BF288" t="e">
        <f>AND(#REF!,"AAAAAG+vjzk=")</f>
        <v>#REF!</v>
      </c>
      <c r="BG288" t="e">
        <f>AND(#REF!,"AAAAAG+vjzo=")</f>
        <v>#REF!</v>
      </c>
      <c r="BH288" t="e">
        <f>AND(#REF!,"AAAAAG+vjzs=")</f>
        <v>#REF!</v>
      </c>
      <c r="BI288" t="e">
        <f>AND(#REF!,"AAAAAG+vjzw=")</f>
        <v>#REF!</v>
      </c>
      <c r="BJ288" t="e">
        <f>AND(#REF!,"AAAAAG+vjz0=")</f>
        <v>#REF!</v>
      </c>
      <c r="BK288" t="e">
        <f>AND(#REF!,"AAAAAG+vjz4=")</f>
        <v>#REF!</v>
      </c>
      <c r="BL288" t="e">
        <f>AND(#REF!,"AAAAAG+vjz8=")</f>
        <v>#REF!</v>
      </c>
      <c r="BM288" t="e">
        <f>AND(#REF!,"AAAAAG+vj0A=")</f>
        <v>#REF!</v>
      </c>
      <c r="BN288" t="e">
        <f>AND(#REF!,"AAAAAG+vj0E=")</f>
        <v>#REF!</v>
      </c>
      <c r="BO288" t="e">
        <f>AND(#REF!,"AAAAAG+vj0I=")</f>
        <v>#REF!</v>
      </c>
      <c r="BP288" t="e">
        <f>AND(#REF!,"AAAAAG+vj0M=")</f>
        <v>#REF!</v>
      </c>
      <c r="BQ288" t="e">
        <f>AND(#REF!,"AAAAAG+vj0Q=")</f>
        <v>#REF!</v>
      </c>
      <c r="BR288" t="e">
        <f>AND(#REF!,"AAAAAG+vj0U=")</f>
        <v>#REF!</v>
      </c>
      <c r="BS288" t="e">
        <f>AND(#REF!,"AAAAAG+vj0Y=")</f>
        <v>#REF!</v>
      </c>
      <c r="BT288" t="e">
        <f>AND(#REF!,"AAAAAG+vj0c=")</f>
        <v>#REF!</v>
      </c>
      <c r="BU288" t="e">
        <f>AND(#REF!,"AAAAAG+vj0g=")</f>
        <v>#REF!</v>
      </c>
      <c r="BV288" t="e">
        <f>AND(#REF!,"AAAAAG+vj0k=")</f>
        <v>#REF!</v>
      </c>
      <c r="BW288" t="e">
        <f>AND(#REF!,"AAAAAG+vj0o=")</f>
        <v>#REF!</v>
      </c>
      <c r="BX288" t="e">
        <f>AND(#REF!,"AAAAAG+vj0s=")</f>
        <v>#REF!</v>
      </c>
      <c r="BY288" t="e">
        <f>AND(#REF!,"AAAAAG+vj0w=")</f>
        <v>#REF!</v>
      </c>
      <c r="BZ288" t="e">
        <f>AND(#REF!,"AAAAAG+vj00=")</f>
        <v>#REF!</v>
      </c>
      <c r="CA288" t="e">
        <f>AND(#REF!,"AAAAAG+vj04=")</f>
        <v>#REF!</v>
      </c>
      <c r="CB288" t="e">
        <f>AND(#REF!,"AAAAAG+vj08=")</f>
        <v>#REF!</v>
      </c>
      <c r="CC288" t="e">
        <f>AND(#REF!,"AAAAAG+vj1A=")</f>
        <v>#REF!</v>
      </c>
      <c r="CD288" t="e">
        <f>AND(#REF!,"AAAAAG+vj1E=")</f>
        <v>#REF!</v>
      </c>
      <c r="CE288" t="e">
        <f>AND(#REF!,"AAAAAG+vj1I=")</f>
        <v>#REF!</v>
      </c>
      <c r="CF288" t="e">
        <f>IF(#REF!,"AAAAAG+vj1M=",0)</f>
        <v>#REF!</v>
      </c>
      <c r="CG288" t="e">
        <f>AND(#REF!,"AAAAAG+vj1Q=")</f>
        <v>#REF!</v>
      </c>
      <c r="CH288" t="e">
        <f>AND(#REF!,"AAAAAG+vj1U=")</f>
        <v>#REF!</v>
      </c>
      <c r="CI288" t="e">
        <f>AND(#REF!,"AAAAAG+vj1Y=")</f>
        <v>#REF!</v>
      </c>
      <c r="CJ288" t="e">
        <f>AND(#REF!,"AAAAAG+vj1c=")</f>
        <v>#REF!</v>
      </c>
      <c r="CK288" t="e">
        <f>AND(#REF!,"AAAAAG+vj1g=")</f>
        <v>#REF!</v>
      </c>
      <c r="CL288" t="e">
        <f>AND(#REF!,"AAAAAG+vj1k=")</f>
        <v>#REF!</v>
      </c>
      <c r="CM288" t="e">
        <f>AND(#REF!,"AAAAAG+vj1o=")</f>
        <v>#REF!</v>
      </c>
      <c r="CN288" t="e">
        <f>AND(#REF!,"AAAAAG+vj1s=")</f>
        <v>#REF!</v>
      </c>
      <c r="CO288" t="e">
        <f>AND(#REF!,"AAAAAG+vj1w=")</f>
        <v>#REF!</v>
      </c>
      <c r="CP288" t="e">
        <f>AND(#REF!,"AAAAAG+vj10=")</f>
        <v>#REF!</v>
      </c>
      <c r="CQ288" t="e">
        <f>AND(#REF!,"AAAAAG+vj14=")</f>
        <v>#REF!</v>
      </c>
      <c r="CR288" t="e">
        <f>AND(#REF!,"AAAAAG+vj18=")</f>
        <v>#REF!</v>
      </c>
      <c r="CS288" t="e">
        <f>AND(#REF!,"AAAAAG+vj2A=")</f>
        <v>#REF!</v>
      </c>
      <c r="CT288" t="e">
        <f>AND(#REF!,"AAAAAG+vj2E=")</f>
        <v>#REF!</v>
      </c>
      <c r="CU288" t="e">
        <f>AND(#REF!,"AAAAAG+vj2I=")</f>
        <v>#REF!</v>
      </c>
      <c r="CV288" t="e">
        <f>AND(#REF!,"AAAAAG+vj2M=")</f>
        <v>#REF!</v>
      </c>
      <c r="CW288" t="e">
        <f>AND(#REF!,"AAAAAG+vj2Q=")</f>
        <v>#REF!</v>
      </c>
      <c r="CX288" t="e">
        <f>AND(#REF!,"AAAAAG+vj2U=")</f>
        <v>#REF!</v>
      </c>
      <c r="CY288" t="e">
        <f>AND(#REF!,"AAAAAG+vj2Y=")</f>
        <v>#REF!</v>
      </c>
      <c r="CZ288" t="e">
        <f>AND(#REF!,"AAAAAG+vj2c=")</f>
        <v>#REF!</v>
      </c>
      <c r="DA288" t="e">
        <f>AND(#REF!,"AAAAAG+vj2g=")</f>
        <v>#REF!</v>
      </c>
      <c r="DB288" t="e">
        <f>AND(#REF!,"AAAAAG+vj2k=")</f>
        <v>#REF!</v>
      </c>
      <c r="DC288" t="e">
        <f>AND(#REF!,"AAAAAG+vj2o=")</f>
        <v>#REF!</v>
      </c>
      <c r="DD288" t="e">
        <f>AND(#REF!,"AAAAAG+vj2s=")</f>
        <v>#REF!</v>
      </c>
      <c r="DE288" t="e">
        <f>AND(#REF!,"AAAAAG+vj2w=")</f>
        <v>#REF!</v>
      </c>
      <c r="DF288" t="e">
        <f>AND(#REF!,"AAAAAG+vj20=")</f>
        <v>#REF!</v>
      </c>
      <c r="DG288" t="e">
        <f>AND(#REF!,"AAAAAG+vj24=")</f>
        <v>#REF!</v>
      </c>
      <c r="DH288" t="e">
        <f>AND(#REF!,"AAAAAG+vj28=")</f>
        <v>#REF!</v>
      </c>
      <c r="DI288" t="e">
        <f>AND(#REF!,"AAAAAG+vj3A=")</f>
        <v>#REF!</v>
      </c>
      <c r="DJ288" t="e">
        <f>AND(#REF!,"AAAAAG+vj3E=")</f>
        <v>#REF!</v>
      </c>
      <c r="DK288" t="e">
        <f>AND(#REF!,"AAAAAG+vj3I=")</f>
        <v>#REF!</v>
      </c>
      <c r="DL288" t="e">
        <f>AND(#REF!,"AAAAAG+vj3M=")</f>
        <v>#REF!</v>
      </c>
      <c r="DM288" t="e">
        <f>AND(#REF!,"AAAAAG+vj3Q=")</f>
        <v>#REF!</v>
      </c>
      <c r="DN288" t="e">
        <f>AND(#REF!,"AAAAAG+vj3U=")</f>
        <v>#REF!</v>
      </c>
      <c r="DO288" t="e">
        <f>AND(#REF!,"AAAAAG+vj3Y=")</f>
        <v>#REF!</v>
      </c>
      <c r="DP288" t="e">
        <f>AND(#REF!,"AAAAAG+vj3c=")</f>
        <v>#REF!</v>
      </c>
      <c r="DQ288" t="e">
        <f>AND(#REF!,"AAAAAG+vj3g=")</f>
        <v>#REF!</v>
      </c>
      <c r="DR288" t="e">
        <f>AND(#REF!,"AAAAAG+vj3k=")</f>
        <v>#REF!</v>
      </c>
      <c r="DS288" t="e">
        <f>AND(#REF!,"AAAAAG+vj3o=")</f>
        <v>#REF!</v>
      </c>
      <c r="DT288" t="e">
        <f>AND(#REF!,"AAAAAG+vj3s=")</f>
        <v>#REF!</v>
      </c>
      <c r="DU288" t="e">
        <f>AND(#REF!,"AAAAAG+vj3w=")</f>
        <v>#REF!</v>
      </c>
      <c r="DV288" t="e">
        <f>AND(#REF!,"AAAAAG+vj30=")</f>
        <v>#REF!</v>
      </c>
      <c r="DW288" t="e">
        <f>AND(#REF!,"AAAAAG+vj34=")</f>
        <v>#REF!</v>
      </c>
      <c r="DX288" t="e">
        <f>AND(#REF!,"AAAAAG+vj38=")</f>
        <v>#REF!</v>
      </c>
      <c r="DY288" t="e">
        <f>AND(#REF!,"AAAAAG+vj4A=")</f>
        <v>#REF!</v>
      </c>
      <c r="DZ288" t="e">
        <f>AND(#REF!,"AAAAAG+vj4E=")</f>
        <v>#REF!</v>
      </c>
      <c r="EA288" t="e">
        <f>AND(#REF!,"AAAAAG+vj4I=")</f>
        <v>#REF!</v>
      </c>
      <c r="EB288" t="e">
        <f>AND(#REF!,"AAAAAG+vj4M=")</f>
        <v>#REF!</v>
      </c>
      <c r="EC288" t="e">
        <f>AND(#REF!,"AAAAAG+vj4Q=")</f>
        <v>#REF!</v>
      </c>
      <c r="ED288" t="e">
        <f>AND(#REF!,"AAAAAG+vj4U=")</f>
        <v>#REF!</v>
      </c>
      <c r="EE288" t="e">
        <f>AND(#REF!,"AAAAAG+vj4Y=")</f>
        <v>#REF!</v>
      </c>
      <c r="EF288" t="e">
        <f>IF(#REF!,"AAAAAG+vj4c=",0)</f>
        <v>#REF!</v>
      </c>
      <c r="EG288" t="e">
        <f>AND(#REF!,"AAAAAG+vj4g=")</f>
        <v>#REF!</v>
      </c>
      <c r="EH288" t="e">
        <f>AND(#REF!,"AAAAAG+vj4k=")</f>
        <v>#REF!</v>
      </c>
      <c r="EI288" t="e">
        <f>AND(#REF!,"AAAAAG+vj4o=")</f>
        <v>#REF!</v>
      </c>
      <c r="EJ288" t="e">
        <f>AND(#REF!,"AAAAAG+vj4s=")</f>
        <v>#REF!</v>
      </c>
      <c r="EK288" t="e">
        <f>AND(#REF!,"AAAAAG+vj4w=")</f>
        <v>#REF!</v>
      </c>
      <c r="EL288" t="e">
        <f>AND(#REF!,"AAAAAG+vj40=")</f>
        <v>#REF!</v>
      </c>
      <c r="EM288" t="e">
        <f>AND(#REF!,"AAAAAG+vj44=")</f>
        <v>#REF!</v>
      </c>
      <c r="EN288" t="e">
        <f>AND(#REF!,"AAAAAG+vj48=")</f>
        <v>#REF!</v>
      </c>
      <c r="EO288" t="e">
        <f>AND(#REF!,"AAAAAG+vj5A=")</f>
        <v>#REF!</v>
      </c>
      <c r="EP288" t="e">
        <f>AND(#REF!,"AAAAAG+vj5E=")</f>
        <v>#REF!</v>
      </c>
      <c r="EQ288" t="e">
        <f>AND(#REF!,"AAAAAG+vj5I=")</f>
        <v>#REF!</v>
      </c>
      <c r="ER288" t="e">
        <f>AND(#REF!,"AAAAAG+vj5M=")</f>
        <v>#REF!</v>
      </c>
      <c r="ES288" t="e">
        <f>AND(#REF!,"AAAAAG+vj5Q=")</f>
        <v>#REF!</v>
      </c>
      <c r="ET288" t="e">
        <f>AND(#REF!,"AAAAAG+vj5U=")</f>
        <v>#REF!</v>
      </c>
      <c r="EU288" t="e">
        <f>AND(#REF!,"AAAAAG+vj5Y=")</f>
        <v>#REF!</v>
      </c>
      <c r="EV288" t="e">
        <f>AND(#REF!,"AAAAAG+vj5c=")</f>
        <v>#REF!</v>
      </c>
      <c r="EW288" t="e">
        <f>AND(#REF!,"AAAAAG+vj5g=")</f>
        <v>#REF!</v>
      </c>
      <c r="EX288" t="e">
        <f>AND(#REF!,"AAAAAG+vj5k=")</f>
        <v>#REF!</v>
      </c>
      <c r="EY288" t="e">
        <f>AND(#REF!,"AAAAAG+vj5o=")</f>
        <v>#REF!</v>
      </c>
      <c r="EZ288" t="e">
        <f>AND(#REF!,"AAAAAG+vj5s=")</f>
        <v>#REF!</v>
      </c>
      <c r="FA288" t="e">
        <f>AND(#REF!,"AAAAAG+vj5w=")</f>
        <v>#REF!</v>
      </c>
      <c r="FB288" t="e">
        <f>AND(#REF!,"AAAAAG+vj50=")</f>
        <v>#REF!</v>
      </c>
      <c r="FC288" t="e">
        <f>AND(#REF!,"AAAAAG+vj54=")</f>
        <v>#REF!</v>
      </c>
      <c r="FD288" t="e">
        <f>AND(#REF!,"AAAAAG+vj58=")</f>
        <v>#REF!</v>
      </c>
      <c r="FE288" t="e">
        <f>AND(#REF!,"AAAAAG+vj6A=")</f>
        <v>#REF!</v>
      </c>
      <c r="FF288" t="e">
        <f>AND(#REF!,"AAAAAG+vj6E=")</f>
        <v>#REF!</v>
      </c>
      <c r="FG288" t="e">
        <f>AND(#REF!,"AAAAAG+vj6I=")</f>
        <v>#REF!</v>
      </c>
      <c r="FH288" t="e">
        <f>AND(#REF!,"AAAAAG+vj6M=")</f>
        <v>#REF!</v>
      </c>
      <c r="FI288" t="e">
        <f>AND(#REF!,"AAAAAG+vj6Q=")</f>
        <v>#REF!</v>
      </c>
      <c r="FJ288" t="e">
        <f>AND(#REF!,"AAAAAG+vj6U=")</f>
        <v>#REF!</v>
      </c>
      <c r="FK288" t="e">
        <f>AND(#REF!,"AAAAAG+vj6Y=")</f>
        <v>#REF!</v>
      </c>
      <c r="FL288" t="e">
        <f>AND(#REF!,"AAAAAG+vj6c=")</f>
        <v>#REF!</v>
      </c>
      <c r="FM288" t="e">
        <f>AND(#REF!,"AAAAAG+vj6g=")</f>
        <v>#REF!</v>
      </c>
      <c r="FN288" t="e">
        <f>AND(#REF!,"AAAAAG+vj6k=")</f>
        <v>#REF!</v>
      </c>
      <c r="FO288" t="e">
        <f>AND(#REF!,"AAAAAG+vj6o=")</f>
        <v>#REF!</v>
      </c>
      <c r="FP288" t="e">
        <f>AND(#REF!,"AAAAAG+vj6s=")</f>
        <v>#REF!</v>
      </c>
      <c r="FQ288" t="e">
        <f>AND(#REF!,"AAAAAG+vj6w=")</f>
        <v>#REF!</v>
      </c>
      <c r="FR288" t="e">
        <f>AND(#REF!,"AAAAAG+vj60=")</f>
        <v>#REF!</v>
      </c>
      <c r="FS288" t="e">
        <f>AND(#REF!,"AAAAAG+vj64=")</f>
        <v>#REF!</v>
      </c>
      <c r="FT288" t="e">
        <f>AND(#REF!,"AAAAAG+vj68=")</f>
        <v>#REF!</v>
      </c>
      <c r="FU288" t="e">
        <f>AND(#REF!,"AAAAAG+vj7A=")</f>
        <v>#REF!</v>
      </c>
      <c r="FV288" t="e">
        <f>AND(#REF!,"AAAAAG+vj7E=")</f>
        <v>#REF!</v>
      </c>
      <c r="FW288" t="e">
        <f>AND(#REF!,"AAAAAG+vj7I=")</f>
        <v>#REF!</v>
      </c>
      <c r="FX288" t="e">
        <f>AND(#REF!,"AAAAAG+vj7M=")</f>
        <v>#REF!</v>
      </c>
      <c r="FY288" t="e">
        <f>AND(#REF!,"AAAAAG+vj7Q=")</f>
        <v>#REF!</v>
      </c>
      <c r="FZ288" t="e">
        <f>AND(#REF!,"AAAAAG+vj7U=")</f>
        <v>#REF!</v>
      </c>
      <c r="GA288" t="e">
        <f>AND(#REF!,"AAAAAG+vj7Y=")</f>
        <v>#REF!</v>
      </c>
      <c r="GB288" t="e">
        <f>AND(#REF!,"AAAAAG+vj7c=")</f>
        <v>#REF!</v>
      </c>
      <c r="GC288" t="e">
        <f>AND(#REF!,"AAAAAG+vj7g=")</f>
        <v>#REF!</v>
      </c>
      <c r="GD288" t="e">
        <f>AND(#REF!,"AAAAAG+vj7k=")</f>
        <v>#REF!</v>
      </c>
      <c r="GE288" t="e">
        <f>AND(#REF!,"AAAAAG+vj7o=")</f>
        <v>#REF!</v>
      </c>
      <c r="GF288" t="e">
        <f>IF(#REF!,"AAAAAG+vj7s=",0)</f>
        <v>#REF!</v>
      </c>
      <c r="GG288" t="e">
        <f>AND(#REF!,"AAAAAG+vj7w=")</f>
        <v>#REF!</v>
      </c>
      <c r="GH288" t="e">
        <f>AND(#REF!,"AAAAAG+vj70=")</f>
        <v>#REF!</v>
      </c>
      <c r="GI288" t="e">
        <f>AND(#REF!,"AAAAAG+vj74=")</f>
        <v>#REF!</v>
      </c>
      <c r="GJ288" t="e">
        <f>AND(#REF!,"AAAAAG+vj78=")</f>
        <v>#REF!</v>
      </c>
      <c r="GK288" t="e">
        <f>AND(#REF!,"AAAAAG+vj8A=")</f>
        <v>#REF!</v>
      </c>
      <c r="GL288" t="e">
        <f>AND(#REF!,"AAAAAG+vj8E=")</f>
        <v>#REF!</v>
      </c>
      <c r="GM288" t="e">
        <f>AND(#REF!,"AAAAAG+vj8I=")</f>
        <v>#REF!</v>
      </c>
      <c r="GN288" t="e">
        <f>AND(#REF!,"AAAAAG+vj8M=")</f>
        <v>#REF!</v>
      </c>
      <c r="GO288" t="e">
        <f>AND(#REF!,"AAAAAG+vj8Q=")</f>
        <v>#REF!</v>
      </c>
      <c r="GP288" t="e">
        <f>AND(#REF!,"AAAAAG+vj8U=")</f>
        <v>#REF!</v>
      </c>
      <c r="GQ288" t="e">
        <f>AND(#REF!,"AAAAAG+vj8Y=")</f>
        <v>#REF!</v>
      </c>
      <c r="GR288" t="e">
        <f>AND(#REF!,"AAAAAG+vj8c=")</f>
        <v>#REF!</v>
      </c>
      <c r="GS288" t="e">
        <f>AND(#REF!,"AAAAAG+vj8g=")</f>
        <v>#REF!</v>
      </c>
      <c r="GT288" t="e">
        <f>AND(#REF!,"AAAAAG+vj8k=")</f>
        <v>#REF!</v>
      </c>
      <c r="GU288" t="e">
        <f>AND(#REF!,"AAAAAG+vj8o=")</f>
        <v>#REF!</v>
      </c>
      <c r="GV288" t="e">
        <f>AND(#REF!,"AAAAAG+vj8s=")</f>
        <v>#REF!</v>
      </c>
      <c r="GW288" t="e">
        <f>AND(#REF!,"AAAAAG+vj8w=")</f>
        <v>#REF!</v>
      </c>
      <c r="GX288" t="e">
        <f>AND(#REF!,"AAAAAG+vj80=")</f>
        <v>#REF!</v>
      </c>
      <c r="GY288" t="e">
        <f>AND(#REF!,"AAAAAG+vj84=")</f>
        <v>#REF!</v>
      </c>
      <c r="GZ288" t="e">
        <f>AND(#REF!,"AAAAAG+vj88=")</f>
        <v>#REF!</v>
      </c>
      <c r="HA288" t="e">
        <f>AND(#REF!,"AAAAAG+vj9A=")</f>
        <v>#REF!</v>
      </c>
      <c r="HB288" t="e">
        <f>AND(#REF!,"AAAAAG+vj9E=")</f>
        <v>#REF!</v>
      </c>
      <c r="HC288" t="e">
        <f>AND(#REF!,"AAAAAG+vj9I=")</f>
        <v>#REF!</v>
      </c>
      <c r="HD288" t="e">
        <f>AND(#REF!,"AAAAAG+vj9M=")</f>
        <v>#REF!</v>
      </c>
      <c r="HE288" t="e">
        <f>AND(#REF!,"AAAAAG+vj9Q=")</f>
        <v>#REF!</v>
      </c>
      <c r="HF288" t="e">
        <f>AND(#REF!,"AAAAAG+vj9U=")</f>
        <v>#REF!</v>
      </c>
      <c r="HG288" t="e">
        <f>AND(#REF!,"AAAAAG+vj9Y=")</f>
        <v>#REF!</v>
      </c>
      <c r="HH288" t="e">
        <f>AND(#REF!,"AAAAAG+vj9c=")</f>
        <v>#REF!</v>
      </c>
      <c r="HI288" t="e">
        <f>AND(#REF!,"AAAAAG+vj9g=")</f>
        <v>#REF!</v>
      </c>
      <c r="HJ288" t="e">
        <f>AND(#REF!,"AAAAAG+vj9k=")</f>
        <v>#REF!</v>
      </c>
      <c r="HK288" t="e">
        <f>AND(#REF!,"AAAAAG+vj9o=")</f>
        <v>#REF!</v>
      </c>
      <c r="HL288" t="e">
        <f>AND(#REF!,"AAAAAG+vj9s=")</f>
        <v>#REF!</v>
      </c>
      <c r="HM288" t="e">
        <f>AND(#REF!,"AAAAAG+vj9w=")</f>
        <v>#REF!</v>
      </c>
      <c r="HN288" t="e">
        <f>AND(#REF!,"AAAAAG+vj90=")</f>
        <v>#REF!</v>
      </c>
      <c r="HO288" t="e">
        <f>AND(#REF!,"AAAAAG+vj94=")</f>
        <v>#REF!</v>
      </c>
      <c r="HP288" t="e">
        <f>AND(#REF!,"AAAAAG+vj98=")</f>
        <v>#REF!</v>
      </c>
      <c r="HQ288" t="e">
        <f>AND(#REF!,"AAAAAG+vj+A=")</f>
        <v>#REF!</v>
      </c>
      <c r="HR288" t="e">
        <f>AND(#REF!,"AAAAAG+vj+E=")</f>
        <v>#REF!</v>
      </c>
      <c r="HS288" t="e">
        <f>AND(#REF!,"AAAAAG+vj+I=")</f>
        <v>#REF!</v>
      </c>
      <c r="HT288" t="e">
        <f>AND(#REF!,"AAAAAG+vj+M=")</f>
        <v>#REF!</v>
      </c>
      <c r="HU288" t="e">
        <f>AND(#REF!,"AAAAAG+vj+Q=")</f>
        <v>#REF!</v>
      </c>
      <c r="HV288" t="e">
        <f>AND(#REF!,"AAAAAG+vj+U=")</f>
        <v>#REF!</v>
      </c>
      <c r="HW288" t="e">
        <f>AND(#REF!,"AAAAAG+vj+Y=")</f>
        <v>#REF!</v>
      </c>
      <c r="HX288" t="e">
        <f>AND(#REF!,"AAAAAG+vj+c=")</f>
        <v>#REF!</v>
      </c>
      <c r="HY288" t="e">
        <f>AND(#REF!,"AAAAAG+vj+g=")</f>
        <v>#REF!</v>
      </c>
      <c r="HZ288" t="e">
        <f>AND(#REF!,"AAAAAG+vj+k=")</f>
        <v>#REF!</v>
      </c>
      <c r="IA288" t="e">
        <f>AND(#REF!,"AAAAAG+vj+o=")</f>
        <v>#REF!</v>
      </c>
      <c r="IB288" t="e">
        <f>AND(#REF!,"AAAAAG+vj+s=")</f>
        <v>#REF!</v>
      </c>
      <c r="IC288" t="e">
        <f>AND(#REF!,"AAAAAG+vj+w=")</f>
        <v>#REF!</v>
      </c>
      <c r="ID288" t="e">
        <f>AND(#REF!,"AAAAAG+vj+0=")</f>
        <v>#REF!</v>
      </c>
      <c r="IE288" t="e">
        <f>AND(#REF!,"AAAAAG+vj+4=")</f>
        <v>#REF!</v>
      </c>
      <c r="IF288" t="e">
        <f>IF(#REF!,"AAAAAG+vj+8=",0)</f>
        <v>#REF!</v>
      </c>
      <c r="IG288" t="e">
        <f>AND(#REF!,"AAAAAG+vj/A=")</f>
        <v>#REF!</v>
      </c>
      <c r="IH288" t="e">
        <f>AND(#REF!,"AAAAAG+vj/E=")</f>
        <v>#REF!</v>
      </c>
      <c r="II288" t="e">
        <f>AND(#REF!,"AAAAAG+vj/I=")</f>
        <v>#REF!</v>
      </c>
      <c r="IJ288" t="e">
        <f>AND(#REF!,"AAAAAG+vj/M=")</f>
        <v>#REF!</v>
      </c>
      <c r="IK288" t="e">
        <f>AND(#REF!,"AAAAAG+vj/Q=")</f>
        <v>#REF!</v>
      </c>
      <c r="IL288" t="e">
        <f>AND(#REF!,"AAAAAG+vj/U=")</f>
        <v>#REF!</v>
      </c>
      <c r="IM288" t="e">
        <f>AND(#REF!,"AAAAAG+vj/Y=")</f>
        <v>#REF!</v>
      </c>
      <c r="IN288" t="e">
        <f>AND(#REF!,"AAAAAG+vj/c=")</f>
        <v>#REF!</v>
      </c>
      <c r="IO288" t="e">
        <f>AND(#REF!,"AAAAAG+vj/g=")</f>
        <v>#REF!</v>
      </c>
      <c r="IP288" t="e">
        <f>AND(#REF!,"AAAAAG+vj/k=")</f>
        <v>#REF!</v>
      </c>
      <c r="IQ288" t="e">
        <f>AND(#REF!,"AAAAAG+vj/o=")</f>
        <v>#REF!</v>
      </c>
      <c r="IR288" t="e">
        <f>AND(#REF!,"AAAAAG+vj/s=")</f>
        <v>#REF!</v>
      </c>
      <c r="IS288" t="e">
        <f>AND(#REF!,"AAAAAG+vj/w=")</f>
        <v>#REF!</v>
      </c>
      <c r="IT288" t="e">
        <f>AND(#REF!,"AAAAAG+vj/0=")</f>
        <v>#REF!</v>
      </c>
      <c r="IU288" t="e">
        <f>AND(#REF!,"AAAAAG+vj/4=")</f>
        <v>#REF!</v>
      </c>
      <c r="IV288" t="e">
        <f>AND(#REF!,"AAAAAG+vj/8=")</f>
        <v>#REF!</v>
      </c>
    </row>
    <row r="289" spans="1:256">
      <c r="A289" t="e">
        <f>AND(#REF!,"AAAAAG/zcwA=")</f>
        <v>#REF!</v>
      </c>
      <c r="B289" t="e">
        <f>AND(#REF!,"AAAAAG/zcwE=")</f>
        <v>#REF!</v>
      </c>
      <c r="C289" t="e">
        <f>AND(#REF!,"AAAAAG/zcwI=")</f>
        <v>#REF!</v>
      </c>
      <c r="D289" t="e">
        <f>AND(#REF!,"AAAAAG/zcwM=")</f>
        <v>#REF!</v>
      </c>
      <c r="E289" t="e">
        <f>AND(#REF!,"AAAAAG/zcwQ=")</f>
        <v>#REF!</v>
      </c>
      <c r="F289" t="e">
        <f>AND(#REF!,"AAAAAG/zcwU=")</f>
        <v>#REF!</v>
      </c>
      <c r="G289" t="e">
        <f>AND(#REF!,"AAAAAG/zcwY=")</f>
        <v>#REF!</v>
      </c>
      <c r="H289" t="e">
        <f>AND(#REF!,"AAAAAG/zcwc=")</f>
        <v>#REF!</v>
      </c>
      <c r="I289" t="e">
        <f>AND(#REF!,"AAAAAG/zcwg=")</f>
        <v>#REF!</v>
      </c>
      <c r="J289" t="e">
        <f>AND(#REF!,"AAAAAG/zcwk=")</f>
        <v>#REF!</v>
      </c>
      <c r="K289" t="e">
        <f>AND(#REF!,"AAAAAG/zcwo=")</f>
        <v>#REF!</v>
      </c>
      <c r="L289" t="e">
        <f>AND(#REF!,"AAAAAG/zcws=")</f>
        <v>#REF!</v>
      </c>
      <c r="M289" t="e">
        <f>AND(#REF!,"AAAAAG/zcww=")</f>
        <v>#REF!</v>
      </c>
      <c r="N289" t="e">
        <f>AND(#REF!,"AAAAAG/zcw0=")</f>
        <v>#REF!</v>
      </c>
      <c r="O289" t="e">
        <f>AND(#REF!,"AAAAAG/zcw4=")</f>
        <v>#REF!</v>
      </c>
      <c r="P289" t="e">
        <f>AND(#REF!,"AAAAAG/zcw8=")</f>
        <v>#REF!</v>
      </c>
      <c r="Q289" t="e">
        <f>AND(#REF!,"AAAAAG/zcxA=")</f>
        <v>#REF!</v>
      </c>
      <c r="R289" t="e">
        <f>AND(#REF!,"AAAAAG/zcxE=")</f>
        <v>#REF!</v>
      </c>
      <c r="S289" t="e">
        <f>AND(#REF!,"AAAAAG/zcxI=")</f>
        <v>#REF!</v>
      </c>
      <c r="T289" t="e">
        <f>AND(#REF!,"AAAAAG/zcxM=")</f>
        <v>#REF!</v>
      </c>
      <c r="U289" t="e">
        <f>AND(#REF!,"AAAAAG/zcxQ=")</f>
        <v>#REF!</v>
      </c>
      <c r="V289" t="e">
        <f>AND(#REF!,"AAAAAG/zcxU=")</f>
        <v>#REF!</v>
      </c>
      <c r="W289" t="e">
        <f>AND(#REF!,"AAAAAG/zcxY=")</f>
        <v>#REF!</v>
      </c>
      <c r="X289" t="e">
        <f>AND(#REF!,"AAAAAG/zcxc=")</f>
        <v>#REF!</v>
      </c>
      <c r="Y289" t="e">
        <f>AND(#REF!,"AAAAAG/zcxg=")</f>
        <v>#REF!</v>
      </c>
      <c r="Z289" t="e">
        <f>AND(#REF!,"AAAAAG/zcxk=")</f>
        <v>#REF!</v>
      </c>
      <c r="AA289" t="e">
        <f>AND(#REF!,"AAAAAG/zcxo=")</f>
        <v>#REF!</v>
      </c>
      <c r="AB289" t="e">
        <f>AND(#REF!,"AAAAAG/zcxs=")</f>
        <v>#REF!</v>
      </c>
      <c r="AC289" t="e">
        <f>AND(#REF!,"AAAAAG/zcxw=")</f>
        <v>#REF!</v>
      </c>
      <c r="AD289" t="e">
        <f>AND(#REF!,"AAAAAG/zcx0=")</f>
        <v>#REF!</v>
      </c>
      <c r="AE289" t="e">
        <f>AND(#REF!,"AAAAAG/zcx4=")</f>
        <v>#REF!</v>
      </c>
      <c r="AF289" t="e">
        <f>AND(#REF!,"AAAAAG/zcx8=")</f>
        <v>#REF!</v>
      </c>
      <c r="AG289" t="e">
        <f>AND(#REF!,"AAAAAG/zcyA=")</f>
        <v>#REF!</v>
      </c>
      <c r="AH289" t="e">
        <f>AND(#REF!,"AAAAAG/zcyE=")</f>
        <v>#REF!</v>
      </c>
      <c r="AI289" t="e">
        <f>AND(#REF!,"AAAAAG/zcyI=")</f>
        <v>#REF!</v>
      </c>
      <c r="AJ289" t="e">
        <f>IF(#REF!,"AAAAAG/zcyM=",0)</f>
        <v>#REF!</v>
      </c>
      <c r="AK289" t="e">
        <f>AND(#REF!,"AAAAAG/zcyQ=")</f>
        <v>#REF!</v>
      </c>
      <c r="AL289" t="e">
        <f>AND(#REF!,"AAAAAG/zcyU=")</f>
        <v>#REF!</v>
      </c>
      <c r="AM289" t="e">
        <f>AND(#REF!,"AAAAAG/zcyY=")</f>
        <v>#REF!</v>
      </c>
      <c r="AN289" t="e">
        <f>AND(#REF!,"AAAAAG/zcyc=")</f>
        <v>#REF!</v>
      </c>
      <c r="AO289" t="e">
        <f>AND(#REF!,"AAAAAG/zcyg=")</f>
        <v>#REF!</v>
      </c>
      <c r="AP289" t="e">
        <f>AND(#REF!,"AAAAAG/zcyk=")</f>
        <v>#REF!</v>
      </c>
      <c r="AQ289" t="e">
        <f>AND(#REF!,"AAAAAG/zcyo=")</f>
        <v>#REF!</v>
      </c>
      <c r="AR289" t="e">
        <f>AND(#REF!,"AAAAAG/zcys=")</f>
        <v>#REF!</v>
      </c>
      <c r="AS289" t="e">
        <f>AND(#REF!,"AAAAAG/zcyw=")</f>
        <v>#REF!</v>
      </c>
      <c r="AT289" t="e">
        <f>AND(#REF!,"AAAAAG/zcy0=")</f>
        <v>#REF!</v>
      </c>
      <c r="AU289" t="e">
        <f>AND(#REF!,"AAAAAG/zcy4=")</f>
        <v>#REF!</v>
      </c>
      <c r="AV289" t="e">
        <f>AND(#REF!,"AAAAAG/zcy8=")</f>
        <v>#REF!</v>
      </c>
      <c r="AW289" t="e">
        <f>AND(#REF!,"AAAAAG/zczA=")</f>
        <v>#REF!</v>
      </c>
      <c r="AX289" t="e">
        <f>AND(#REF!,"AAAAAG/zczE=")</f>
        <v>#REF!</v>
      </c>
      <c r="AY289" t="e">
        <f>AND(#REF!,"AAAAAG/zczI=")</f>
        <v>#REF!</v>
      </c>
      <c r="AZ289" t="e">
        <f>AND(#REF!,"AAAAAG/zczM=")</f>
        <v>#REF!</v>
      </c>
      <c r="BA289" t="e">
        <f>AND(#REF!,"AAAAAG/zczQ=")</f>
        <v>#REF!</v>
      </c>
      <c r="BB289" t="e">
        <f>AND(#REF!,"AAAAAG/zczU=")</f>
        <v>#REF!</v>
      </c>
      <c r="BC289" t="e">
        <f>AND(#REF!,"AAAAAG/zczY=")</f>
        <v>#REF!</v>
      </c>
      <c r="BD289" t="e">
        <f>AND(#REF!,"AAAAAG/zczc=")</f>
        <v>#REF!</v>
      </c>
      <c r="BE289" t="e">
        <f>AND(#REF!,"AAAAAG/zczg=")</f>
        <v>#REF!</v>
      </c>
      <c r="BF289" t="e">
        <f>AND(#REF!,"AAAAAG/zczk=")</f>
        <v>#REF!</v>
      </c>
      <c r="BG289" t="e">
        <f>AND(#REF!,"AAAAAG/zczo=")</f>
        <v>#REF!</v>
      </c>
      <c r="BH289" t="e">
        <f>AND(#REF!,"AAAAAG/zczs=")</f>
        <v>#REF!</v>
      </c>
      <c r="BI289" t="e">
        <f>AND(#REF!,"AAAAAG/zczw=")</f>
        <v>#REF!</v>
      </c>
      <c r="BJ289" t="e">
        <f>AND(#REF!,"AAAAAG/zcz0=")</f>
        <v>#REF!</v>
      </c>
      <c r="BK289" t="e">
        <f>AND(#REF!,"AAAAAG/zcz4=")</f>
        <v>#REF!</v>
      </c>
      <c r="BL289" t="e">
        <f>AND(#REF!,"AAAAAG/zcz8=")</f>
        <v>#REF!</v>
      </c>
      <c r="BM289" t="e">
        <f>AND(#REF!,"AAAAAG/zc0A=")</f>
        <v>#REF!</v>
      </c>
      <c r="BN289" t="e">
        <f>AND(#REF!,"AAAAAG/zc0E=")</f>
        <v>#REF!</v>
      </c>
      <c r="BO289" t="e">
        <f>AND(#REF!,"AAAAAG/zc0I=")</f>
        <v>#REF!</v>
      </c>
      <c r="BP289" t="e">
        <f>AND(#REF!,"AAAAAG/zc0M=")</f>
        <v>#REF!</v>
      </c>
      <c r="BQ289" t="e">
        <f>AND(#REF!,"AAAAAG/zc0Q=")</f>
        <v>#REF!</v>
      </c>
      <c r="BR289" t="e">
        <f>AND(#REF!,"AAAAAG/zc0U=")</f>
        <v>#REF!</v>
      </c>
      <c r="BS289" t="e">
        <f>AND(#REF!,"AAAAAG/zc0Y=")</f>
        <v>#REF!</v>
      </c>
      <c r="BT289" t="e">
        <f>AND(#REF!,"AAAAAG/zc0c=")</f>
        <v>#REF!</v>
      </c>
      <c r="BU289" t="e">
        <f>AND(#REF!,"AAAAAG/zc0g=")</f>
        <v>#REF!</v>
      </c>
      <c r="BV289" t="e">
        <f>AND(#REF!,"AAAAAG/zc0k=")</f>
        <v>#REF!</v>
      </c>
      <c r="BW289" t="e">
        <f>AND(#REF!,"AAAAAG/zc0o=")</f>
        <v>#REF!</v>
      </c>
      <c r="BX289" t="e">
        <f>AND(#REF!,"AAAAAG/zc0s=")</f>
        <v>#REF!</v>
      </c>
      <c r="BY289" t="e">
        <f>AND(#REF!,"AAAAAG/zc0w=")</f>
        <v>#REF!</v>
      </c>
      <c r="BZ289" t="e">
        <f>AND(#REF!,"AAAAAG/zc00=")</f>
        <v>#REF!</v>
      </c>
      <c r="CA289" t="e">
        <f>AND(#REF!,"AAAAAG/zc04=")</f>
        <v>#REF!</v>
      </c>
      <c r="CB289" t="e">
        <f>AND(#REF!,"AAAAAG/zc08=")</f>
        <v>#REF!</v>
      </c>
      <c r="CC289" t="e">
        <f>AND(#REF!,"AAAAAG/zc1A=")</f>
        <v>#REF!</v>
      </c>
      <c r="CD289" t="e">
        <f>AND(#REF!,"AAAAAG/zc1E=")</f>
        <v>#REF!</v>
      </c>
      <c r="CE289" t="e">
        <f>AND(#REF!,"AAAAAG/zc1I=")</f>
        <v>#REF!</v>
      </c>
      <c r="CF289" t="e">
        <f>AND(#REF!,"AAAAAG/zc1M=")</f>
        <v>#REF!</v>
      </c>
      <c r="CG289" t="e">
        <f>AND(#REF!,"AAAAAG/zc1Q=")</f>
        <v>#REF!</v>
      </c>
      <c r="CH289" t="e">
        <f>AND(#REF!,"AAAAAG/zc1U=")</f>
        <v>#REF!</v>
      </c>
      <c r="CI289" t="e">
        <f>AND(#REF!,"AAAAAG/zc1Y=")</f>
        <v>#REF!</v>
      </c>
      <c r="CJ289" t="e">
        <f>IF(#REF!,"AAAAAG/zc1c=",0)</f>
        <v>#REF!</v>
      </c>
      <c r="CK289" t="e">
        <f>AND(#REF!,"AAAAAG/zc1g=")</f>
        <v>#REF!</v>
      </c>
      <c r="CL289" t="e">
        <f>AND(#REF!,"AAAAAG/zc1k=")</f>
        <v>#REF!</v>
      </c>
      <c r="CM289" t="e">
        <f>AND(#REF!,"AAAAAG/zc1o=")</f>
        <v>#REF!</v>
      </c>
      <c r="CN289" t="e">
        <f>AND(#REF!,"AAAAAG/zc1s=")</f>
        <v>#REF!</v>
      </c>
      <c r="CO289" t="e">
        <f>AND(#REF!,"AAAAAG/zc1w=")</f>
        <v>#REF!</v>
      </c>
      <c r="CP289" t="e">
        <f>AND(#REF!,"AAAAAG/zc10=")</f>
        <v>#REF!</v>
      </c>
      <c r="CQ289" t="e">
        <f>AND(#REF!,"AAAAAG/zc14=")</f>
        <v>#REF!</v>
      </c>
      <c r="CR289" t="e">
        <f>AND(#REF!,"AAAAAG/zc18=")</f>
        <v>#REF!</v>
      </c>
      <c r="CS289" t="e">
        <f>AND(#REF!,"AAAAAG/zc2A=")</f>
        <v>#REF!</v>
      </c>
      <c r="CT289" t="e">
        <f>AND(#REF!,"AAAAAG/zc2E=")</f>
        <v>#REF!</v>
      </c>
      <c r="CU289" t="e">
        <f>AND(#REF!,"AAAAAG/zc2I=")</f>
        <v>#REF!</v>
      </c>
      <c r="CV289" t="e">
        <f>AND(#REF!,"AAAAAG/zc2M=")</f>
        <v>#REF!</v>
      </c>
      <c r="CW289" t="e">
        <f>AND(#REF!,"AAAAAG/zc2Q=")</f>
        <v>#REF!</v>
      </c>
      <c r="CX289" t="e">
        <f>AND(#REF!,"AAAAAG/zc2U=")</f>
        <v>#REF!</v>
      </c>
      <c r="CY289" t="e">
        <f>AND(#REF!,"AAAAAG/zc2Y=")</f>
        <v>#REF!</v>
      </c>
      <c r="CZ289" t="e">
        <f>AND(#REF!,"AAAAAG/zc2c=")</f>
        <v>#REF!</v>
      </c>
      <c r="DA289" t="e">
        <f>AND(#REF!,"AAAAAG/zc2g=")</f>
        <v>#REF!</v>
      </c>
      <c r="DB289" t="e">
        <f>AND(#REF!,"AAAAAG/zc2k=")</f>
        <v>#REF!</v>
      </c>
      <c r="DC289" t="e">
        <f>AND(#REF!,"AAAAAG/zc2o=")</f>
        <v>#REF!</v>
      </c>
      <c r="DD289" t="e">
        <f>AND(#REF!,"AAAAAG/zc2s=")</f>
        <v>#REF!</v>
      </c>
      <c r="DE289" t="e">
        <f>AND(#REF!,"AAAAAG/zc2w=")</f>
        <v>#REF!</v>
      </c>
      <c r="DF289" t="e">
        <f>AND(#REF!,"AAAAAG/zc20=")</f>
        <v>#REF!</v>
      </c>
      <c r="DG289" t="e">
        <f>AND(#REF!,"AAAAAG/zc24=")</f>
        <v>#REF!</v>
      </c>
      <c r="DH289" t="e">
        <f>AND(#REF!,"AAAAAG/zc28=")</f>
        <v>#REF!</v>
      </c>
      <c r="DI289" t="e">
        <f>AND(#REF!,"AAAAAG/zc3A=")</f>
        <v>#REF!</v>
      </c>
      <c r="DJ289" t="e">
        <f>AND(#REF!,"AAAAAG/zc3E=")</f>
        <v>#REF!</v>
      </c>
      <c r="DK289" t="e">
        <f>AND(#REF!,"AAAAAG/zc3I=")</f>
        <v>#REF!</v>
      </c>
      <c r="DL289" t="e">
        <f>AND(#REF!,"AAAAAG/zc3M=")</f>
        <v>#REF!</v>
      </c>
      <c r="DM289" t="e">
        <f>AND(#REF!,"AAAAAG/zc3Q=")</f>
        <v>#REF!</v>
      </c>
      <c r="DN289" t="e">
        <f>AND(#REF!,"AAAAAG/zc3U=")</f>
        <v>#REF!</v>
      </c>
      <c r="DO289" t="e">
        <f>AND(#REF!,"AAAAAG/zc3Y=")</f>
        <v>#REF!</v>
      </c>
      <c r="DP289" t="e">
        <f>AND(#REF!,"AAAAAG/zc3c=")</f>
        <v>#REF!</v>
      </c>
      <c r="DQ289" t="e">
        <f>AND(#REF!,"AAAAAG/zc3g=")</f>
        <v>#REF!</v>
      </c>
      <c r="DR289" t="e">
        <f>AND(#REF!,"AAAAAG/zc3k=")</f>
        <v>#REF!</v>
      </c>
      <c r="DS289" t="e">
        <f>AND(#REF!,"AAAAAG/zc3o=")</f>
        <v>#REF!</v>
      </c>
      <c r="DT289" t="e">
        <f>AND(#REF!,"AAAAAG/zc3s=")</f>
        <v>#REF!</v>
      </c>
      <c r="DU289" t="e">
        <f>AND(#REF!,"AAAAAG/zc3w=")</f>
        <v>#REF!</v>
      </c>
      <c r="DV289" t="e">
        <f>AND(#REF!,"AAAAAG/zc30=")</f>
        <v>#REF!</v>
      </c>
      <c r="DW289" t="e">
        <f>AND(#REF!,"AAAAAG/zc34=")</f>
        <v>#REF!</v>
      </c>
      <c r="DX289" t="e">
        <f>AND(#REF!,"AAAAAG/zc38=")</f>
        <v>#REF!</v>
      </c>
      <c r="DY289" t="e">
        <f>AND(#REF!,"AAAAAG/zc4A=")</f>
        <v>#REF!</v>
      </c>
      <c r="DZ289" t="e">
        <f>AND(#REF!,"AAAAAG/zc4E=")</f>
        <v>#REF!</v>
      </c>
      <c r="EA289" t="e">
        <f>AND(#REF!,"AAAAAG/zc4I=")</f>
        <v>#REF!</v>
      </c>
      <c r="EB289" t="e">
        <f>AND(#REF!,"AAAAAG/zc4M=")</f>
        <v>#REF!</v>
      </c>
      <c r="EC289" t="e">
        <f>AND(#REF!,"AAAAAG/zc4Q=")</f>
        <v>#REF!</v>
      </c>
      <c r="ED289" t="e">
        <f>AND(#REF!,"AAAAAG/zc4U=")</f>
        <v>#REF!</v>
      </c>
      <c r="EE289" t="e">
        <f>AND(#REF!,"AAAAAG/zc4Y=")</f>
        <v>#REF!</v>
      </c>
      <c r="EF289" t="e">
        <f>AND(#REF!,"AAAAAG/zc4c=")</f>
        <v>#REF!</v>
      </c>
      <c r="EG289" t="e">
        <f>AND(#REF!,"AAAAAG/zc4g=")</f>
        <v>#REF!</v>
      </c>
      <c r="EH289" t="e">
        <f>AND(#REF!,"AAAAAG/zc4k=")</f>
        <v>#REF!</v>
      </c>
      <c r="EI289" t="e">
        <f>AND(#REF!,"AAAAAG/zc4o=")</f>
        <v>#REF!</v>
      </c>
      <c r="EJ289" t="e">
        <f>IF(#REF!,"AAAAAG/zc4s=",0)</f>
        <v>#REF!</v>
      </c>
      <c r="EK289" t="e">
        <f>AND(#REF!,"AAAAAG/zc4w=")</f>
        <v>#REF!</v>
      </c>
      <c r="EL289" t="e">
        <f>AND(#REF!,"AAAAAG/zc40=")</f>
        <v>#REF!</v>
      </c>
      <c r="EM289" t="e">
        <f>AND(#REF!,"AAAAAG/zc44=")</f>
        <v>#REF!</v>
      </c>
      <c r="EN289" t="e">
        <f>AND(#REF!,"AAAAAG/zc48=")</f>
        <v>#REF!</v>
      </c>
      <c r="EO289" t="e">
        <f>AND(#REF!,"AAAAAG/zc5A=")</f>
        <v>#REF!</v>
      </c>
      <c r="EP289" t="e">
        <f>AND(#REF!,"AAAAAG/zc5E=")</f>
        <v>#REF!</v>
      </c>
      <c r="EQ289" t="e">
        <f>AND(#REF!,"AAAAAG/zc5I=")</f>
        <v>#REF!</v>
      </c>
      <c r="ER289" t="e">
        <f>AND(#REF!,"AAAAAG/zc5M=")</f>
        <v>#REF!</v>
      </c>
      <c r="ES289" t="e">
        <f>AND(#REF!,"AAAAAG/zc5Q=")</f>
        <v>#REF!</v>
      </c>
      <c r="ET289" t="e">
        <f>AND(#REF!,"AAAAAG/zc5U=")</f>
        <v>#REF!</v>
      </c>
      <c r="EU289" t="e">
        <f>AND(#REF!,"AAAAAG/zc5Y=")</f>
        <v>#REF!</v>
      </c>
      <c r="EV289" t="e">
        <f>AND(#REF!,"AAAAAG/zc5c=")</f>
        <v>#REF!</v>
      </c>
      <c r="EW289" t="e">
        <f>AND(#REF!,"AAAAAG/zc5g=")</f>
        <v>#REF!</v>
      </c>
      <c r="EX289" t="e">
        <f>AND(#REF!,"AAAAAG/zc5k=")</f>
        <v>#REF!</v>
      </c>
      <c r="EY289" t="e">
        <f>AND(#REF!,"AAAAAG/zc5o=")</f>
        <v>#REF!</v>
      </c>
      <c r="EZ289" t="e">
        <f>AND(#REF!,"AAAAAG/zc5s=")</f>
        <v>#REF!</v>
      </c>
      <c r="FA289" t="e">
        <f>AND(#REF!,"AAAAAG/zc5w=")</f>
        <v>#REF!</v>
      </c>
      <c r="FB289" t="e">
        <f>AND(#REF!,"AAAAAG/zc50=")</f>
        <v>#REF!</v>
      </c>
      <c r="FC289" t="e">
        <f>AND(#REF!,"AAAAAG/zc54=")</f>
        <v>#REF!</v>
      </c>
      <c r="FD289" t="e">
        <f>AND(#REF!,"AAAAAG/zc58=")</f>
        <v>#REF!</v>
      </c>
      <c r="FE289" t="e">
        <f>AND(#REF!,"AAAAAG/zc6A=")</f>
        <v>#REF!</v>
      </c>
      <c r="FF289" t="e">
        <f>AND(#REF!,"AAAAAG/zc6E=")</f>
        <v>#REF!</v>
      </c>
      <c r="FG289" t="e">
        <f>AND(#REF!,"AAAAAG/zc6I=")</f>
        <v>#REF!</v>
      </c>
      <c r="FH289" t="e">
        <f>AND(#REF!,"AAAAAG/zc6M=")</f>
        <v>#REF!</v>
      </c>
      <c r="FI289" t="e">
        <f>AND(#REF!,"AAAAAG/zc6Q=")</f>
        <v>#REF!</v>
      </c>
      <c r="FJ289" t="e">
        <f>AND(#REF!,"AAAAAG/zc6U=")</f>
        <v>#REF!</v>
      </c>
      <c r="FK289" t="e">
        <f>AND(#REF!,"AAAAAG/zc6Y=")</f>
        <v>#REF!</v>
      </c>
      <c r="FL289" t="e">
        <f>AND(#REF!,"AAAAAG/zc6c=")</f>
        <v>#REF!</v>
      </c>
      <c r="FM289" t="e">
        <f>AND(#REF!,"AAAAAG/zc6g=")</f>
        <v>#REF!</v>
      </c>
      <c r="FN289" t="e">
        <f>AND(#REF!,"AAAAAG/zc6k=")</f>
        <v>#REF!</v>
      </c>
      <c r="FO289" t="e">
        <f>AND(#REF!,"AAAAAG/zc6o=")</f>
        <v>#REF!</v>
      </c>
      <c r="FP289" t="e">
        <f>AND(#REF!,"AAAAAG/zc6s=")</f>
        <v>#REF!</v>
      </c>
      <c r="FQ289" t="e">
        <f>AND(#REF!,"AAAAAG/zc6w=")</f>
        <v>#REF!</v>
      </c>
      <c r="FR289" t="e">
        <f>AND(#REF!,"AAAAAG/zc60=")</f>
        <v>#REF!</v>
      </c>
      <c r="FS289" t="e">
        <f>AND(#REF!,"AAAAAG/zc64=")</f>
        <v>#REF!</v>
      </c>
      <c r="FT289" t="e">
        <f>AND(#REF!,"AAAAAG/zc68=")</f>
        <v>#REF!</v>
      </c>
      <c r="FU289" t="e">
        <f>AND(#REF!,"AAAAAG/zc7A=")</f>
        <v>#REF!</v>
      </c>
      <c r="FV289" t="e">
        <f>AND(#REF!,"AAAAAG/zc7E=")</f>
        <v>#REF!</v>
      </c>
      <c r="FW289" t="e">
        <f>AND(#REF!,"AAAAAG/zc7I=")</f>
        <v>#REF!</v>
      </c>
      <c r="FX289" t="e">
        <f>AND(#REF!,"AAAAAG/zc7M=")</f>
        <v>#REF!</v>
      </c>
      <c r="FY289" t="e">
        <f>AND(#REF!,"AAAAAG/zc7Q=")</f>
        <v>#REF!</v>
      </c>
      <c r="FZ289" t="e">
        <f>AND(#REF!,"AAAAAG/zc7U=")</f>
        <v>#REF!</v>
      </c>
      <c r="GA289" t="e">
        <f>AND(#REF!,"AAAAAG/zc7Y=")</f>
        <v>#REF!</v>
      </c>
      <c r="GB289" t="e">
        <f>AND(#REF!,"AAAAAG/zc7c=")</f>
        <v>#REF!</v>
      </c>
      <c r="GC289" t="e">
        <f>AND(#REF!,"AAAAAG/zc7g=")</f>
        <v>#REF!</v>
      </c>
      <c r="GD289" t="e">
        <f>AND(#REF!,"AAAAAG/zc7k=")</f>
        <v>#REF!</v>
      </c>
      <c r="GE289" t="e">
        <f>AND(#REF!,"AAAAAG/zc7o=")</f>
        <v>#REF!</v>
      </c>
      <c r="GF289" t="e">
        <f>AND(#REF!,"AAAAAG/zc7s=")</f>
        <v>#REF!</v>
      </c>
      <c r="GG289" t="e">
        <f>AND(#REF!,"AAAAAG/zc7w=")</f>
        <v>#REF!</v>
      </c>
      <c r="GH289" t="e">
        <f>AND(#REF!,"AAAAAG/zc70=")</f>
        <v>#REF!</v>
      </c>
      <c r="GI289" t="e">
        <f>AND(#REF!,"AAAAAG/zc74=")</f>
        <v>#REF!</v>
      </c>
      <c r="GJ289" t="e">
        <f>IF(#REF!,"AAAAAG/zc78=",0)</f>
        <v>#REF!</v>
      </c>
      <c r="GK289" t="e">
        <f>AND(#REF!,"AAAAAG/zc8A=")</f>
        <v>#REF!</v>
      </c>
      <c r="GL289" t="e">
        <f>AND(#REF!,"AAAAAG/zc8E=")</f>
        <v>#REF!</v>
      </c>
      <c r="GM289" t="e">
        <f>AND(#REF!,"AAAAAG/zc8I=")</f>
        <v>#REF!</v>
      </c>
      <c r="GN289" t="e">
        <f>AND(#REF!,"AAAAAG/zc8M=")</f>
        <v>#REF!</v>
      </c>
      <c r="GO289" t="e">
        <f>AND(#REF!,"AAAAAG/zc8Q=")</f>
        <v>#REF!</v>
      </c>
      <c r="GP289" t="e">
        <f>AND(#REF!,"AAAAAG/zc8U=")</f>
        <v>#REF!</v>
      </c>
      <c r="GQ289" t="e">
        <f>AND(#REF!,"AAAAAG/zc8Y=")</f>
        <v>#REF!</v>
      </c>
      <c r="GR289" t="e">
        <f>AND(#REF!,"AAAAAG/zc8c=")</f>
        <v>#REF!</v>
      </c>
      <c r="GS289" t="e">
        <f>AND(#REF!,"AAAAAG/zc8g=")</f>
        <v>#REF!</v>
      </c>
      <c r="GT289" t="e">
        <f>AND(#REF!,"AAAAAG/zc8k=")</f>
        <v>#REF!</v>
      </c>
      <c r="GU289" t="e">
        <f>AND(#REF!,"AAAAAG/zc8o=")</f>
        <v>#REF!</v>
      </c>
      <c r="GV289" t="e">
        <f>AND(#REF!,"AAAAAG/zc8s=")</f>
        <v>#REF!</v>
      </c>
      <c r="GW289" t="e">
        <f>AND(#REF!,"AAAAAG/zc8w=")</f>
        <v>#REF!</v>
      </c>
      <c r="GX289" t="e">
        <f>AND(#REF!,"AAAAAG/zc80=")</f>
        <v>#REF!</v>
      </c>
      <c r="GY289" t="e">
        <f>AND(#REF!,"AAAAAG/zc84=")</f>
        <v>#REF!</v>
      </c>
      <c r="GZ289" t="e">
        <f>AND(#REF!,"AAAAAG/zc88=")</f>
        <v>#REF!</v>
      </c>
      <c r="HA289" t="e">
        <f>AND(#REF!,"AAAAAG/zc9A=")</f>
        <v>#REF!</v>
      </c>
      <c r="HB289" t="e">
        <f>AND(#REF!,"AAAAAG/zc9E=")</f>
        <v>#REF!</v>
      </c>
      <c r="HC289" t="e">
        <f>AND(#REF!,"AAAAAG/zc9I=")</f>
        <v>#REF!</v>
      </c>
      <c r="HD289" t="e">
        <f>AND(#REF!,"AAAAAG/zc9M=")</f>
        <v>#REF!</v>
      </c>
      <c r="HE289" t="e">
        <f>AND(#REF!,"AAAAAG/zc9Q=")</f>
        <v>#REF!</v>
      </c>
      <c r="HF289" t="e">
        <f>AND(#REF!,"AAAAAG/zc9U=")</f>
        <v>#REF!</v>
      </c>
      <c r="HG289" t="e">
        <f>AND(#REF!,"AAAAAG/zc9Y=")</f>
        <v>#REF!</v>
      </c>
      <c r="HH289" t="e">
        <f>AND(#REF!,"AAAAAG/zc9c=")</f>
        <v>#REF!</v>
      </c>
      <c r="HI289" t="e">
        <f>AND(#REF!,"AAAAAG/zc9g=")</f>
        <v>#REF!</v>
      </c>
      <c r="HJ289" t="e">
        <f>AND(#REF!,"AAAAAG/zc9k=")</f>
        <v>#REF!</v>
      </c>
      <c r="HK289" t="e">
        <f>AND(#REF!,"AAAAAG/zc9o=")</f>
        <v>#REF!</v>
      </c>
      <c r="HL289" t="e">
        <f>AND(#REF!,"AAAAAG/zc9s=")</f>
        <v>#REF!</v>
      </c>
      <c r="HM289" t="e">
        <f>AND(#REF!,"AAAAAG/zc9w=")</f>
        <v>#REF!</v>
      </c>
      <c r="HN289" t="e">
        <f>AND(#REF!,"AAAAAG/zc90=")</f>
        <v>#REF!</v>
      </c>
      <c r="HO289" t="e">
        <f>AND(#REF!,"AAAAAG/zc94=")</f>
        <v>#REF!</v>
      </c>
      <c r="HP289" t="e">
        <f>AND(#REF!,"AAAAAG/zc98=")</f>
        <v>#REF!</v>
      </c>
      <c r="HQ289" t="e">
        <f>AND(#REF!,"AAAAAG/zc+A=")</f>
        <v>#REF!</v>
      </c>
      <c r="HR289" t="e">
        <f>AND(#REF!,"AAAAAG/zc+E=")</f>
        <v>#REF!</v>
      </c>
      <c r="HS289" t="e">
        <f>AND(#REF!,"AAAAAG/zc+I=")</f>
        <v>#REF!</v>
      </c>
      <c r="HT289" t="e">
        <f>AND(#REF!,"AAAAAG/zc+M=")</f>
        <v>#REF!</v>
      </c>
      <c r="HU289" t="e">
        <f>AND(#REF!,"AAAAAG/zc+Q=")</f>
        <v>#REF!</v>
      </c>
      <c r="HV289" t="e">
        <f>AND(#REF!,"AAAAAG/zc+U=")</f>
        <v>#REF!</v>
      </c>
      <c r="HW289" t="e">
        <f>AND(#REF!,"AAAAAG/zc+Y=")</f>
        <v>#REF!</v>
      </c>
      <c r="HX289" t="e">
        <f>AND(#REF!,"AAAAAG/zc+c=")</f>
        <v>#REF!</v>
      </c>
      <c r="HY289" t="e">
        <f>AND(#REF!,"AAAAAG/zc+g=")</f>
        <v>#REF!</v>
      </c>
      <c r="HZ289" t="e">
        <f>AND(#REF!,"AAAAAG/zc+k=")</f>
        <v>#REF!</v>
      </c>
      <c r="IA289" t="e">
        <f>AND(#REF!,"AAAAAG/zc+o=")</f>
        <v>#REF!</v>
      </c>
      <c r="IB289" t="e">
        <f>AND(#REF!,"AAAAAG/zc+s=")</f>
        <v>#REF!</v>
      </c>
      <c r="IC289" t="e">
        <f>AND(#REF!,"AAAAAG/zc+w=")</f>
        <v>#REF!</v>
      </c>
      <c r="ID289" t="e">
        <f>AND(#REF!,"AAAAAG/zc+0=")</f>
        <v>#REF!</v>
      </c>
      <c r="IE289" t="e">
        <f>AND(#REF!,"AAAAAG/zc+4=")</f>
        <v>#REF!</v>
      </c>
      <c r="IF289" t="e">
        <f>AND(#REF!,"AAAAAG/zc+8=")</f>
        <v>#REF!</v>
      </c>
      <c r="IG289" t="e">
        <f>AND(#REF!,"AAAAAG/zc/A=")</f>
        <v>#REF!</v>
      </c>
      <c r="IH289" t="e">
        <f>AND(#REF!,"AAAAAG/zc/E=")</f>
        <v>#REF!</v>
      </c>
      <c r="II289" t="e">
        <f>AND(#REF!,"AAAAAG/zc/I=")</f>
        <v>#REF!</v>
      </c>
      <c r="IJ289" t="e">
        <f>IF(#REF!,"AAAAAG/zc/M=",0)</f>
        <v>#REF!</v>
      </c>
      <c r="IK289" t="e">
        <f>AND(#REF!,"AAAAAG/zc/Q=")</f>
        <v>#REF!</v>
      </c>
      <c r="IL289" t="e">
        <f>AND(#REF!,"AAAAAG/zc/U=")</f>
        <v>#REF!</v>
      </c>
      <c r="IM289" t="e">
        <f>AND(#REF!,"AAAAAG/zc/Y=")</f>
        <v>#REF!</v>
      </c>
      <c r="IN289" t="e">
        <f>AND(#REF!,"AAAAAG/zc/c=")</f>
        <v>#REF!</v>
      </c>
      <c r="IO289" t="e">
        <f>AND(#REF!,"AAAAAG/zc/g=")</f>
        <v>#REF!</v>
      </c>
      <c r="IP289" t="e">
        <f>AND(#REF!,"AAAAAG/zc/k=")</f>
        <v>#REF!</v>
      </c>
      <c r="IQ289" t="e">
        <f>AND(#REF!,"AAAAAG/zc/o=")</f>
        <v>#REF!</v>
      </c>
      <c r="IR289" t="e">
        <f>AND(#REF!,"AAAAAG/zc/s=")</f>
        <v>#REF!</v>
      </c>
      <c r="IS289" t="e">
        <f>AND(#REF!,"AAAAAG/zc/w=")</f>
        <v>#REF!</v>
      </c>
      <c r="IT289" t="e">
        <f>AND(#REF!,"AAAAAG/zc/0=")</f>
        <v>#REF!</v>
      </c>
      <c r="IU289" t="e">
        <f>AND(#REF!,"AAAAAG/zc/4=")</f>
        <v>#REF!</v>
      </c>
      <c r="IV289" t="e">
        <f>AND(#REF!,"AAAAAG/zc/8=")</f>
        <v>#REF!</v>
      </c>
    </row>
    <row r="290" spans="1:256">
      <c r="A290" t="e">
        <f>AND(#REF!,"AAAAAEatZwA=")</f>
        <v>#REF!</v>
      </c>
      <c r="B290" t="e">
        <f>AND(#REF!,"AAAAAEatZwE=")</f>
        <v>#REF!</v>
      </c>
      <c r="C290" t="e">
        <f>AND(#REF!,"AAAAAEatZwI=")</f>
        <v>#REF!</v>
      </c>
      <c r="D290" t="e">
        <f>AND(#REF!,"AAAAAEatZwM=")</f>
        <v>#REF!</v>
      </c>
      <c r="E290" t="e">
        <f>AND(#REF!,"AAAAAEatZwQ=")</f>
        <v>#REF!</v>
      </c>
      <c r="F290" t="e">
        <f>AND(#REF!,"AAAAAEatZwU=")</f>
        <v>#REF!</v>
      </c>
      <c r="G290" t="e">
        <f>AND(#REF!,"AAAAAEatZwY=")</f>
        <v>#REF!</v>
      </c>
      <c r="H290" t="e">
        <f>AND(#REF!,"AAAAAEatZwc=")</f>
        <v>#REF!</v>
      </c>
      <c r="I290" t="e">
        <f>AND(#REF!,"AAAAAEatZwg=")</f>
        <v>#REF!</v>
      </c>
      <c r="J290" t="e">
        <f>AND(#REF!,"AAAAAEatZwk=")</f>
        <v>#REF!</v>
      </c>
      <c r="K290" t="e">
        <f>AND(#REF!,"AAAAAEatZwo=")</f>
        <v>#REF!</v>
      </c>
      <c r="L290" t="e">
        <f>AND(#REF!,"AAAAAEatZws=")</f>
        <v>#REF!</v>
      </c>
      <c r="M290" t="e">
        <f>AND(#REF!,"AAAAAEatZww=")</f>
        <v>#REF!</v>
      </c>
      <c r="N290" t="e">
        <f>AND(#REF!,"AAAAAEatZw0=")</f>
        <v>#REF!</v>
      </c>
      <c r="O290" t="e">
        <f>AND(#REF!,"AAAAAEatZw4=")</f>
        <v>#REF!</v>
      </c>
      <c r="P290" t="e">
        <f>AND(#REF!,"AAAAAEatZw8=")</f>
        <v>#REF!</v>
      </c>
      <c r="Q290" t="e">
        <f>AND(#REF!,"AAAAAEatZxA=")</f>
        <v>#REF!</v>
      </c>
      <c r="R290" t="e">
        <f>AND(#REF!,"AAAAAEatZxE=")</f>
        <v>#REF!</v>
      </c>
      <c r="S290" t="e">
        <f>AND(#REF!,"AAAAAEatZxI=")</f>
        <v>#REF!</v>
      </c>
      <c r="T290" t="e">
        <f>AND(#REF!,"AAAAAEatZxM=")</f>
        <v>#REF!</v>
      </c>
      <c r="U290" t="e">
        <f>AND(#REF!,"AAAAAEatZxQ=")</f>
        <v>#REF!</v>
      </c>
      <c r="V290" t="e">
        <f>AND(#REF!,"AAAAAEatZxU=")</f>
        <v>#REF!</v>
      </c>
      <c r="W290" t="e">
        <f>AND(#REF!,"AAAAAEatZxY=")</f>
        <v>#REF!</v>
      </c>
      <c r="X290" t="e">
        <f>AND(#REF!,"AAAAAEatZxc=")</f>
        <v>#REF!</v>
      </c>
      <c r="Y290" t="e">
        <f>AND(#REF!,"AAAAAEatZxg=")</f>
        <v>#REF!</v>
      </c>
      <c r="Z290" t="e">
        <f>AND(#REF!,"AAAAAEatZxk=")</f>
        <v>#REF!</v>
      </c>
      <c r="AA290" t="e">
        <f>AND(#REF!,"AAAAAEatZxo=")</f>
        <v>#REF!</v>
      </c>
      <c r="AB290" t="e">
        <f>AND(#REF!,"AAAAAEatZxs=")</f>
        <v>#REF!</v>
      </c>
      <c r="AC290" t="e">
        <f>AND(#REF!,"AAAAAEatZxw=")</f>
        <v>#REF!</v>
      </c>
      <c r="AD290" t="e">
        <f>AND(#REF!,"AAAAAEatZx0=")</f>
        <v>#REF!</v>
      </c>
      <c r="AE290" t="e">
        <f>AND(#REF!,"AAAAAEatZx4=")</f>
        <v>#REF!</v>
      </c>
      <c r="AF290" t="e">
        <f>AND(#REF!,"AAAAAEatZx8=")</f>
        <v>#REF!</v>
      </c>
      <c r="AG290" t="e">
        <f>AND(#REF!,"AAAAAEatZyA=")</f>
        <v>#REF!</v>
      </c>
      <c r="AH290" t="e">
        <f>AND(#REF!,"AAAAAEatZyE=")</f>
        <v>#REF!</v>
      </c>
      <c r="AI290" t="e">
        <f>AND(#REF!,"AAAAAEatZyI=")</f>
        <v>#REF!</v>
      </c>
      <c r="AJ290" t="e">
        <f>AND(#REF!,"AAAAAEatZyM=")</f>
        <v>#REF!</v>
      </c>
      <c r="AK290" t="e">
        <f>AND(#REF!,"AAAAAEatZyQ=")</f>
        <v>#REF!</v>
      </c>
      <c r="AL290" t="e">
        <f>AND(#REF!,"AAAAAEatZyU=")</f>
        <v>#REF!</v>
      </c>
      <c r="AM290" t="e">
        <f>AND(#REF!,"AAAAAEatZyY=")</f>
        <v>#REF!</v>
      </c>
      <c r="AN290" t="e">
        <f>IF(#REF!,"AAAAAEatZyc=",0)</f>
        <v>#REF!</v>
      </c>
      <c r="AO290" t="e">
        <f>AND(#REF!,"AAAAAEatZyg=")</f>
        <v>#REF!</v>
      </c>
      <c r="AP290" t="e">
        <f>AND(#REF!,"AAAAAEatZyk=")</f>
        <v>#REF!</v>
      </c>
      <c r="AQ290" t="e">
        <f>AND(#REF!,"AAAAAEatZyo=")</f>
        <v>#REF!</v>
      </c>
      <c r="AR290" t="e">
        <f>AND(#REF!,"AAAAAEatZys=")</f>
        <v>#REF!</v>
      </c>
      <c r="AS290" t="e">
        <f>AND(#REF!,"AAAAAEatZyw=")</f>
        <v>#REF!</v>
      </c>
      <c r="AT290" t="e">
        <f>AND(#REF!,"AAAAAEatZy0=")</f>
        <v>#REF!</v>
      </c>
      <c r="AU290" t="e">
        <f>AND(#REF!,"AAAAAEatZy4=")</f>
        <v>#REF!</v>
      </c>
      <c r="AV290" t="e">
        <f>AND(#REF!,"AAAAAEatZy8=")</f>
        <v>#REF!</v>
      </c>
      <c r="AW290" t="e">
        <f>AND(#REF!,"AAAAAEatZzA=")</f>
        <v>#REF!</v>
      </c>
      <c r="AX290" t="e">
        <f>AND(#REF!,"AAAAAEatZzE=")</f>
        <v>#REF!</v>
      </c>
      <c r="AY290" t="e">
        <f>AND(#REF!,"AAAAAEatZzI=")</f>
        <v>#REF!</v>
      </c>
      <c r="AZ290" t="e">
        <f>AND(#REF!,"AAAAAEatZzM=")</f>
        <v>#REF!</v>
      </c>
      <c r="BA290" t="e">
        <f>AND(#REF!,"AAAAAEatZzQ=")</f>
        <v>#REF!</v>
      </c>
      <c r="BB290" t="e">
        <f>AND(#REF!,"AAAAAEatZzU=")</f>
        <v>#REF!</v>
      </c>
      <c r="BC290" t="e">
        <f>AND(#REF!,"AAAAAEatZzY=")</f>
        <v>#REF!</v>
      </c>
      <c r="BD290" t="e">
        <f>AND(#REF!,"AAAAAEatZzc=")</f>
        <v>#REF!</v>
      </c>
      <c r="BE290" t="e">
        <f>AND(#REF!,"AAAAAEatZzg=")</f>
        <v>#REF!</v>
      </c>
      <c r="BF290" t="e">
        <f>AND(#REF!,"AAAAAEatZzk=")</f>
        <v>#REF!</v>
      </c>
      <c r="BG290" t="e">
        <f>AND(#REF!,"AAAAAEatZzo=")</f>
        <v>#REF!</v>
      </c>
      <c r="BH290" t="e">
        <f>AND(#REF!,"AAAAAEatZzs=")</f>
        <v>#REF!</v>
      </c>
      <c r="BI290" t="e">
        <f>AND(#REF!,"AAAAAEatZzw=")</f>
        <v>#REF!</v>
      </c>
      <c r="BJ290" t="e">
        <f>AND(#REF!,"AAAAAEatZz0=")</f>
        <v>#REF!</v>
      </c>
      <c r="BK290" t="e">
        <f>AND(#REF!,"AAAAAEatZz4=")</f>
        <v>#REF!</v>
      </c>
      <c r="BL290" t="e">
        <f>AND(#REF!,"AAAAAEatZz8=")</f>
        <v>#REF!</v>
      </c>
      <c r="BM290" t="e">
        <f>AND(#REF!,"AAAAAEatZ0A=")</f>
        <v>#REF!</v>
      </c>
      <c r="BN290" t="e">
        <f>AND(#REF!,"AAAAAEatZ0E=")</f>
        <v>#REF!</v>
      </c>
      <c r="BO290" t="e">
        <f>AND(#REF!,"AAAAAEatZ0I=")</f>
        <v>#REF!</v>
      </c>
      <c r="BP290" t="e">
        <f>AND(#REF!,"AAAAAEatZ0M=")</f>
        <v>#REF!</v>
      </c>
      <c r="BQ290" t="e">
        <f>AND(#REF!,"AAAAAEatZ0Q=")</f>
        <v>#REF!</v>
      </c>
      <c r="BR290" t="e">
        <f>AND(#REF!,"AAAAAEatZ0U=")</f>
        <v>#REF!</v>
      </c>
      <c r="BS290" t="e">
        <f>AND(#REF!,"AAAAAEatZ0Y=")</f>
        <v>#REF!</v>
      </c>
      <c r="BT290" t="e">
        <f>AND(#REF!,"AAAAAEatZ0c=")</f>
        <v>#REF!</v>
      </c>
      <c r="BU290" t="e">
        <f>AND(#REF!,"AAAAAEatZ0g=")</f>
        <v>#REF!</v>
      </c>
      <c r="BV290" t="e">
        <f>AND(#REF!,"AAAAAEatZ0k=")</f>
        <v>#REF!</v>
      </c>
      <c r="BW290" t="e">
        <f>AND(#REF!,"AAAAAEatZ0o=")</f>
        <v>#REF!</v>
      </c>
      <c r="BX290" t="e">
        <f>AND(#REF!,"AAAAAEatZ0s=")</f>
        <v>#REF!</v>
      </c>
      <c r="BY290" t="e">
        <f>AND(#REF!,"AAAAAEatZ0w=")</f>
        <v>#REF!</v>
      </c>
      <c r="BZ290" t="e">
        <f>AND(#REF!,"AAAAAEatZ00=")</f>
        <v>#REF!</v>
      </c>
      <c r="CA290" t="e">
        <f>AND(#REF!,"AAAAAEatZ04=")</f>
        <v>#REF!</v>
      </c>
      <c r="CB290" t="e">
        <f>AND(#REF!,"AAAAAEatZ08=")</f>
        <v>#REF!</v>
      </c>
      <c r="CC290" t="e">
        <f>AND(#REF!,"AAAAAEatZ1A=")</f>
        <v>#REF!</v>
      </c>
      <c r="CD290" t="e">
        <f>AND(#REF!,"AAAAAEatZ1E=")</f>
        <v>#REF!</v>
      </c>
      <c r="CE290" t="e">
        <f>AND(#REF!,"AAAAAEatZ1I=")</f>
        <v>#REF!</v>
      </c>
      <c r="CF290" t="e">
        <f>AND(#REF!,"AAAAAEatZ1M=")</f>
        <v>#REF!</v>
      </c>
      <c r="CG290" t="e">
        <f>AND(#REF!,"AAAAAEatZ1Q=")</f>
        <v>#REF!</v>
      </c>
      <c r="CH290" t="e">
        <f>AND(#REF!,"AAAAAEatZ1U=")</f>
        <v>#REF!</v>
      </c>
      <c r="CI290" t="e">
        <f>AND(#REF!,"AAAAAEatZ1Y=")</f>
        <v>#REF!</v>
      </c>
      <c r="CJ290" t="e">
        <f>AND(#REF!,"AAAAAEatZ1c=")</f>
        <v>#REF!</v>
      </c>
      <c r="CK290" t="e">
        <f>AND(#REF!,"AAAAAEatZ1g=")</f>
        <v>#REF!</v>
      </c>
      <c r="CL290" t="e">
        <f>AND(#REF!,"AAAAAEatZ1k=")</f>
        <v>#REF!</v>
      </c>
      <c r="CM290" t="e">
        <f>AND(#REF!,"AAAAAEatZ1o=")</f>
        <v>#REF!</v>
      </c>
      <c r="CN290" t="e">
        <f>IF(#REF!,"AAAAAEatZ1s=",0)</f>
        <v>#REF!</v>
      </c>
      <c r="CO290" t="e">
        <f>AND(#REF!,"AAAAAEatZ1w=")</f>
        <v>#REF!</v>
      </c>
      <c r="CP290" t="e">
        <f>AND(#REF!,"AAAAAEatZ10=")</f>
        <v>#REF!</v>
      </c>
      <c r="CQ290" t="e">
        <f>AND(#REF!,"AAAAAEatZ14=")</f>
        <v>#REF!</v>
      </c>
      <c r="CR290" t="e">
        <f>AND(#REF!,"AAAAAEatZ18=")</f>
        <v>#REF!</v>
      </c>
      <c r="CS290" t="e">
        <f>AND(#REF!,"AAAAAEatZ2A=")</f>
        <v>#REF!</v>
      </c>
      <c r="CT290" t="e">
        <f>AND(#REF!,"AAAAAEatZ2E=")</f>
        <v>#REF!</v>
      </c>
      <c r="CU290" t="e">
        <f>AND(#REF!,"AAAAAEatZ2I=")</f>
        <v>#REF!</v>
      </c>
      <c r="CV290" t="e">
        <f>AND(#REF!,"AAAAAEatZ2M=")</f>
        <v>#REF!</v>
      </c>
      <c r="CW290" t="e">
        <f>AND(#REF!,"AAAAAEatZ2Q=")</f>
        <v>#REF!</v>
      </c>
      <c r="CX290" t="e">
        <f>AND(#REF!,"AAAAAEatZ2U=")</f>
        <v>#REF!</v>
      </c>
      <c r="CY290" t="e">
        <f>AND(#REF!,"AAAAAEatZ2Y=")</f>
        <v>#REF!</v>
      </c>
      <c r="CZ290" t="e">
        <f>AND(#REF!,"AAAAAEatZ2c=")</f>
        <v>#REF!</v>
      </c>
      <c r="DA290" t="e">
        <f>AND(#REF!,"AAAAAEatZ2g=")</f>
        <v>#REF!</v>
      </c>
      <c r="DB290" t="e">
        <f>AND(#REF!,"AAAAAEatZ2k=")</f>
        <v>#REF!</v>
      </c>
      <c r="DC290" t="e">
        <f>AND(#REF!,"AAAAAEatZ2o=")</f>
        <v>#REF!</v>
      </c>
      <c r="DD290" t="e">
        <f>AND(#REF!,"AAAAAEatZ2s=")</f>
        <v>#REF!</v>
      </c>
      <c r="DE290" t="e">
        <f>AND(#REF!,"AAAAAEatZ2w=")</f>
        <v>#REF!</v>
      </c>
      <c r="DF290" t="e">
        <f>AND(#REF!,"AAAAAEatZ20=")</f>
        <v>#REF!</v>
      </c>
      <c r="DG290" t="e">
        <f>AND(#REF!,"AAAAAEatZ24=")</f>
        <v>#REF!</v>
      </c>
      <c r="DH290" t="e">
        <f>AND(#REF!,"AAAAAEatZ28=")</f>
        <v>#REF!</v>
      </c>
      <c r="DI290" t="e">
        <f>AND(#REF!,"AAAAAEatZ3A=")</f>
        <v>#REF!</v>
      </c>
      <c r="DJ290" t="e">
        <f>AND(#REF!,"AAAAAEatZ3E=")</f>
        <v>#REF!</v>
      </c>
      <c r="DK290" t="e">
        <f>AND(#REF!,"AAAAAEatZ3I=")</f>
        <v>#REF!</v>
      </c>
      <c r="DL290" t="e">
        <f>AND(#REF!,"AAAAAEatZ3M=")</f>
        <v>#REF!</v>
      </c>
      <c r="DM290" t="e">
        <f>AND(#REF!,"AAAAAEatZ3Q=")</f>
        <v>#REF!</v>
      </c>
      <c r="DN290" t="e">
        <f>AND(#REF!,"AAAAAEatZ3U=")</f>
        <v>#REF!</v>
      </c>
      <c r="DO290" t="e">
        <f>AND(#REF!,"AAAAAEatZ3Y=")</f>
        <v>#REF!</v>
      </c>
      <c r="DP290" t="e">
        <f>AND(#REF!,"AAAAAEatZ3c=")</f>
        <v>#REF!</v>
      </c>
      <c r="DQ290" t="e">
        <f>AND(#REF!,"AAAAAEatZ3g=")</f>
        <v>#REF!</v>
      </c>
      <c r="DR290" t="e">
        <f>AND(#REF!,"AAAAAEatZ3k=")</f>
        <v>#REF!</v>
      </c>
      <c r="DS290" t="e">
        <f>AND(#REF!,"AAAAAEatZ3o=")</f>
        <v>#REF!</v>
      </c>
      <c r="DT290" t="e">
        <f>AND(#REF!,"AAAAAEatZ3s=")</f>
        <v>#REF!</v>
      </c>
      <c r="DU290" t="e">
        <f>AND(#REF!,"AAAAAEatZ3w=")</f>
        <v>#REF!</v>
      </c>
      <c r="DV290" t="e">
        <f>AND(#REF!,"AAAAAEatZ30=")</f>
        <v>#REF!</v>
      </c>
      <c r="DW290" t="e">
        <f>AND(#REF!,"AAAAAEatZ34=")</f>
        <v>#REF!</v>
      </c>
      <c r="DX290" t="e">
        <f>AND(#REF!,"AAAAAEatZ38=")</f>
        <v>#REF!</v>
      </c>
      <c r="DY290" t="e">
        <f>AND(#REF!,"AAAAAEatZ4A=")</f>
        <v>#REF!</v>
      </c>
      <c r="DZ290" t="e">
        <f>AND(#REF!,"AAAAAEatZ4E=")</f>
        <v>#REF!</v>
      </c>
      <c r="EA290" t="e">
        <f>AND(#REF!,"AAAAAEatZ4I=")</f>
        <v>#REF!</v>
      </c>
      <c r="EB290" t="e">
        <f>AND(#REF!,"AAAAAEatZ4M=")</f>
        <v>#REF!</v>
      </c>
      <c r="EC290" t="e">
        <f>AND(#REF!,"AAAAAEatZ4Q=")</f>
        <v>#REF!</v>
      </c>
      <c r="ED290" t="e">
        <f>AND(#REF!,"AAAAAEatZ4U=")</f>
        <v>#REF!</v>
      </c>
      <c r="EE290" t="e">
        <f>AND(#REF!,"AAAAAEatZ4Y=")</f>
        <v>#REF!</v>
      </c>
      <c r="EF290" t="e">
        <f>AND(#REF!,"AAAAAEatZ4c=")</f>
        <v>#REF!</v>
      </c>
      <c r="EG290" t="e">
        <f>AND(#REF!,"AAAAAEatZ4g=")</f>
        <v>#REF!</v>
      </c>
      <c r="EH290" t="e">
        <f>AND(#REF!,"AAAAAEatZ4k=")</f>
        <v>#REF!</v>
      </c>
      <c r="EI290" t="e">
        <f>AND(#REF!,"AAAAAEatZ4o=")</f>
        <v>#REF!</v>
      </c>
      <c r="EJ290" t="e">
        <f>AND(#REF!,"AAAAAEatZ4s=")</f>
        <v>#REF!</v>
      </c>
      <c r="EK290" t="e">
        <f>AND(#REF!,"AAAAAEatZ4w=")</f>
        <v>#REF!</v>
      </c>
      <c r="EL290" t="e">
        <f>AND(#REF!,"AAAAAEatZ40=")</f>
        <v>#REF!</v>
      </c>
      <c r="EM290" t="e">
        <f>AND(#REF!,"AAAAAEatZ44=")</f>
        <v>#REF!</v>
      </c>
      <c r="EN290" t="e">
        <f>IF(#REF!,"AAAAAEatZ48=",0)</f>
        <v>#REF!</v>
      </c>
      <c r="EO290" t="e">
        <f>AND(#REF!,"AAAAAEatZ5A=")</f>
        <v>#REF!</v>
      </c>
      <c r="EP290" t="e">
        <f>AND(#REF!,"AAAAAEatZ5E=")</f>
        <v>#REF!</v>
      </c>
      <c r="EQ290" t="e">
        <f>AND(#REF!,"AAAAAEatZ5I=")</f>
        <v>#REF!</v>
      </c>
      <c r="ER290" t="e">
        <f>AND(#REF!,"AAAAAEatZ5M=")</f>
        <v>#REF!</v>
      </c>
      <c r="ES290" t="e">
        <f>AND(#REF!,"AAAAAEatZ5Q=")</f>
        <v>#REF!</v>
      </c>
      <c r="ET290" t="e">
        <f>AND(#REF!,"AAAAAEatZ5U=")</f>
        <v>#REF!</v>
      </c>
      <c r="EU290" t="e">
        <f>AND(#REF!,"AAAAAEatZ5Y=")</f>
        <v>#REF!</v>
      </c>
      <c r="EV290" t="e">
        <f>AND(#REF!,"AAAAAEatZ5c=")</f>
        <v>#REF!</v>
      </c>
      <c r="EW290" t="e">
        <f>AND(#REF!,"AAAAAEatZ5g=")</f>
        <v>#REF!</v>
      </c>
      <c r="EX290" t="e">
        <f>AND(#REF!,"AAAAAEatZ5k=")</f>
        <v>#REF!</v>
      </c>
      <c r="EY290" t="e">
        <f>AND(#REF!,"AAAAAEatZ5o=")</f>
        <v>#REF!</v>
      </c>
      <c r="EZ290" t="e">
        <f>AND(#REF!,"AAAAAEatZ5s=")</f>
        <v>#REF!</v>
      </c>
      <c r="FA290" t="e">
        <f>AND(#REF!,"AAAAAEatZ5w=")</f>
        <v>#REF!</v>
      </c>
      <c r="FB290" t="e">
        <f>AND(#REF!,"AAAAAEatZ50=")</f>
        <v>#REF!</v>
      </c>
      <c r="FC290" t="e">
        <f>AND(#REF!,"AAAAAEatZ54=")</f>
        <v>#REF!</v>
      </c>
      <c r="FD290" t="e">
        <f>AND(#REF!,"AAAAAEatZ58=")</f>
        <v>#REF!</v>
      </c>
      <c r="FE290" t="e">
        <f>AND(#REF!,"AAAAAEatZ6A=")</f>
        <v>#REF!</v>
      </c>
      <c r="FF290" t="e">
        <f>AND(#REF!,"AAAAAEatZ6E=")</f>
        <v>#REF!</v>
      </c>
      <c r="FG290" t="e">
        <f>AND(#REF!,"AAAAAEatZ6I=")</f>
        <v>#REF!</v>
      </c>
      <c r="FH290" t="e">
        <f>AND(#REF!,"AAAAAEatZ6M=")</f>
        <v>#REF!</v>
      </c>
      <c r="FI290" t="e">
        <f>AND(#REF!,"AAAAAEatZ6Q=")</f>
        <v>#REF!</v>
      </c>
      <c r="FJ290" t="e">
        <f>AND(#REF!,"AAAAAEatZ6U=")</f>
        <v>#REF!</v>
      </c>
      <c r="FK290" t="e">
        <f>AND(#REF!,"AAAAAEatZ6Y=")</f>
        <v>#REF!</v>
      </c>
      <c r="FL290" t="e">
        <f>AND(#REF!,"AAAAAEatZ6c=")</f>
        <v>#REF!</v>
      </c>
      <c r="FM290" t="e">
        <f>AND(#REF!,"AAAAAEatZ6g=")</f>
        <v>#REF!</v>
      </c>
      <c r="FN290" t="e">
        <f>AND(#REF!,"AAAAAEatZ6k=")</f>
        <v>#REF!</v>
      </c>
      <c r="FO290" t="e">
        <f>AND(#REF!,"AAAAAEatZ6o=")</f>
        <v>#REF!</v>
      </c>
      <c r="FP290" t="e">
        <f>AND(#REF!,"AAAAAEatZ6s=")</f>
        <v>#REF!</v>
      </c>
      <c r="FQ290" t="e">
        <f>AND(#REF!,"AAAAAEatZ6w=")</f>
        <v>#REF!</v>
      </c>
      <c r="FR290" t="e">
        <f>AND(#REF!,"AAAAAEatZ60=")</f>
        <v>#REF!</v>
      </c>
      <c r="FS290" t="e">
        <f>AND(#REF!,"AAAAAEatZ64=")</f>
        <v>#REF!</v>
      </c>
      <c r="FT290" t="e">
        <f>AND(#REF!,"AAAAAEatZ68=")</f>
        <v>#REF!</v>
      </c>
      <c r="FU290" t="e">
        <f>AND(#REF!,"AAAAAEatZ7A=")</f>
        <v>#REF!</v>
      </c>
      <c r="FV290" t="e">
        <f>AND(#REF!,"AAAAAEatZ7E=")</f>
        <v>#REF!</v>
      </c>
      <c r="FW290" t="e">
        <f>AND(#REF!,"AAAAAEatZ7I=")</f>
        <v>#REF!</v>
      </c>
      <c r="FX290" t="e">
        <f>AND(#REF!,"AAAAAEatZ7M=")</f>
        <v>#REF!</v>
      </c>
      <c r="FY290" t="e">
        <f>AND(#REF!,"AAAAAEatZ7Q=")</f>
        <v>#REF!</v>
      </c>
      <c r="FZ290" t="e">
        <f>AND(#REF!,"AAAAAEatZ7U=")</f>
        <v>#REF!</v>
      </c>
      <c r="GA290" t="e">
        <f>AND(#REF!,"AAAAAEatZ7Y=")</f>
        <v>#REF!</v>
      </c>
      <c r="GB290" t="e">
        <f>AND(#REF!,"AAAAAEatZ7c=")</f>
        <v>#REF!</v>
      </c>
      <c r="GC290" t="e">
        <f>AND(#REF!,"AAAAAEatZ7g=")</f>
        <v>#REF!</v>
      </c>
      <c r="GD290" t="e">
        <f>AND(#REF!,"AAAAAEatZ7k=")</f>
        <v>#REF!</v>
      </c>
      <c r="GE290" t="e">
        <f>AND(#REF!,"AAAAAEatZ7o=")</f>
        <v>#REF!</v>
      </c>
      <c r="GF290" t="e">
        <f>AND(#REF!,"AAAAAEatZ7s=")</f>
        <v>#REF!</v>
      </c>
      <c r="GG290" t="e">
        <f>AND(#REF!,"AAAAAEatZ7w=")</f>
        <v>#REF!</v>
      </c>
      <c r="GH290" t="e">
        <f>AND(#REF!,"AAAAAEatZ70=")</f>
        <v>#REF!</v>
      </c>
      <c r="GI290" t="e">
        <f>AND(#REF!,"AAAAAEatZ74=")</f>
        <v>#REF!</v>
      </c>
      <c r="GJ290" t="e">
        <f>AND(#REF!,"AAAAAEatZ78=")</f>
        <v>#REF!</v>
      </c>
      <c r="GK290" t="e">
        <f>AND(#REF!,"AAAAAEatZ8A=")</f>
        <v>#REF!</v>
      </c>
      <c r="GL290" t="e">
        <f>AND(#REF!,"AAAAAEatZ8E=")</f>
        <v>#REF!</v>
      </c>
      <c r="GM290" t="e">
        <f>AND(#REF!,"AAAAAEatZ8I=")</f>
        <v>#REF!</v>
      </c>
      <c r="GN290" t="e">
        <f>IF(#REF!,"AAAAAEatZ8M=",0)</f>
        <v>#REF!</v>
      </c>
      <c r="GO290" t="e">
        <f>AND(#REF!,"AAAAAEatZ8Q=")</f>
        <v>#REF!</v>
      </c>
      <c r="GP290" t="e">
        <f>AND(#REF!,"AAAAAEatZ8U=")</f>
        <v>#REF!</v>
      </c>
      <c r="GQ290" t="e">
        <f>AND(#REF!,"AAAAAEatZ8Y=")</f>
        <v>#REF!</v>
      </c>
      <c r="GR290" t="e">
        <f>AND(#REF!,"AAAAAEatZ8c=")</f>
        <v>#REF!</v>
      </c>
      <c r="GS290" t="e">
        <f>AND(#REF!,"AAAAAEatZ8g=")</f>
        <v>#REF!</v>
      </c>
      <c r="GT290" t="e">
        <f>AND(#REF!,"AAAAAEatZ8k=")</f>
        <v>#REF!</v>
      </c>
      <c r="GU290" t="e">
        <f>AND(#REF!,"AAAAAEatZ8o=")</f>
        <v>#REF!</v>
      </c>
      <c r="GV290" t="e">
        <f>AND(#REF!,"AAAAAEatZ8s=")</f>
        <v>#REF!</v>
      </c>
      <c r="GW290" t="e">
        <f>AND(#REF!,"AAAAAEatZ8w=")</f>
        <v>#REF!</v>
      </c>
      <c r="GX290" t="e">
        <f>AND(#REF!,"AAAAAEatZ80=")</f>
        <v>#REF!</v>
      </c>
      <c r="GY290" t="e">
        <f>AND(#REF!,"AAAAAEatZ84=")</f>
        <v>#REF!</v>
      </c>
      <c r="GZ290" t="e">
        <f>AND(#REF!,"AAAAAEatZ88=")</f>
        <v>#REF!</v>
      </c>
      <c r="HA290" t="e">
        <f>AND(#REF!,"AAAAAEatZ9A=")</f>
        <v>#REF!</v>
      </c>
      <c r="HB290" t="e">
        <f>AND(#REF!,"AAAAAEatZ9E=")</f>
        <v>#REF!</v>
      </c>
      <c r="HC290" t="e">
        <f>AND(#REF!,"AAAAAEatZ9I=")</f>
        <v>#REF!</v>
      </c>
      <c r="HD290" t="e">
        <f>AND(#REF!,"AAAAAEatZ9M=")</f>
        <v>#REF!</v>
      </c>
      <c r="HE290" t="e">
        <f>AND(#REF!,"AAAAAEatZ9Q=")</f>
        <v>#REF!</v>
      </c>
      <c r="HF290" t="e">
        <f>AND(#REF!,"AAAAAEatZ9U=")</f>
        <v>#REF!</v>
      </c>
      <c r="HG290" t="e">
        <f>AND(#REF!,"AAAAAEatZ9Y=")</f>
        <v>#REF!</v>
      </c>
      <c r="HH290" t="e">
        <f>AND(#REF!,"AAAAAEatZ9c=")</f>
        <v>#REF!</v>
      </c>
      <c r="HI290" t="e">
        <f>AND(#REF!,"AAAAAEatZ9g=")</f>
        <v>#REF!</v>
      </c>
      <c r="HJ290" t="e">
        <f>AND(#REF!,"AAAAAEatZ9k=")</f>
        <v>#REF!</v>
      </c>
      <c r="HK290" t="e">
        <f>AND(#REF!,"AAAAAEatZ9o=")</f>
        <v>#REF!</v>
      </c>
      <c r="HL290" t="e">
        <f>AND(#REF!,"AAAAAEatZ9s=")</f>
        <v>#REF!</v>
      </c>
      <c r="HM290" t="e">
        <f>AND(#REF!,"AAAAAEatZ9w=")</f>
        <v>#REF!</v>
      </c>
      <c r="HN290" t="e">
        <f>AND(#REF!,"AAAAAEatZ90=")</f>
        <v>#REF!</v>
      </c>
      <c r="HO290" t="e">
        <f>AND(#REF!,"AAAAAEatZ94=")</f>
        <v>#REF!</v>
      </c>
      <c r="HP290" t="e">
        <f>AND(#REF!,"AAAAAEatZ98=")</f>
        <v>#REF!</v>
      </c>
      <c r="HQ290" t="e">
        <f>AND(#REF!,"AAAAAEatZ+A=")</f>
        <v>#REF!</v>
      </c>
      <c r="HR290" t="e">
        <f>AND(#REF!,"AAAAAEatZ+E=")</f>
        <v>#REF!</v>
      </c>
      <c r="HS290" t="e">
        <f>AND(#REF!,"AAAAAEatZ+I=")</f>
        <v>#REF!</v>
      </c>
      <c r="HT290" t="e">
        <f>AND(#REF!,"AAAAAEatZ+M=")</f>
        <v>#REF!</v>
      </c>
      <c r="HU290" t="e">
        <f>AND(#REF!,"AAAAAEatZ+Q=")</f>
        <v>#REF!</v>
      </c>
      <c r="HV290" t="e">
        <f>AND(#REF!,"AAAAAEatZ+U=")</f>
        <v>#REF!</v>
      </c>
      <c r="HW290" t="e">
        <f>AND(#REF!,"AAAAAEatZ+Y=")</f>
        <v>#REF!</v>
      </c>
      <c r="HX290" t="e">
        <f>AND(#REF!,"AAAAAEatZ+c=")</f>
        <v>#REF!</v>
      </c>
      <c r="HY290" t="e">
        <f>AND(#REF!,"AAAAAEatZ+g=")</f>
        <v>#REF!</v>
      </c>
      <c r="HZ290" t="e">
        <f>AND(#REF!,"AAAAAEatZ+k=")</f>
        <v>#REF!</v>
      </c>
      <c r="IA290" t="e">
        <f>AND(#REF!,"AAAAAEatZ+o=")</f>
        <v>#REF!</v>
      </c>
      <c r="IB290" t="e">
        <f>AND(#REF!,"AAAAAEatZ+s=")</f>
        <v>#REF!</v>
      </c>
      <c r="IC290" t="e">
        <f>AND(#REF!,"AAAAAEatZ+w=")</f>
        <v>#REF!</v>
      </c>
      <c r="ID290" t="e">
        <f>AND(#REF!,"AAAAAEatZ+0=")</f>
        <v>#REF!</v>
      </c>
      <c r="IE290" t="e">
        <f>AND(#REF!,"AAAAAEatZ+4=")</f>
        <v>#REF!</v>
      </c>
      <c r="IF290" t="e">
        <f>AND(#REF!,"AAAAAEatZ+8=")</f>
        <v>#REF!</v>
      </c>
      <c r="IG290" t="e">
        <f>AND(#REF!,"AAAAAEatZ/A=")</f>
        <v>#REF!</v>
      </c>
      <c r="IH290" t="e">
        <f>AND(#REF!,"AAAAAEatZ/E=")</f>
        <v>#REF!</v>
      </c>
      <c r="II290" t="e">
        <f>AND(#REF!,"AAAAAEatZ/I=")</f>
        <v>#REF!</v>
      </c>
      <c r="IJ290" t="e">
        <f>AND(#REF!,"AAAAAEatZ/M=")</f>
        <v>#REF!</v>
      </c>
      <c r="IK290" t="e">
        <f>AND(#REF!,"AAAAAEatZ/Q=")</f>
        <v>#REF!</v>
      </c>
      <c r="IL290" t="e">
        <f>AND(#REF!,"AAAAAEatZ/U=")</f>
        <v>#REF!</v>
      </c>
      <c r="IM290" t="e">
        <f>AND(#REF!,"AAAAAEatZ/Y=")</f>
        <v>#REF!</v>
      </c>
      <c r="IN290" t="e">
        <f>IF(#REF!,"AAAAAEatZ/c=",0)</f>
        <v>#REF!</v>
      </c>
      <c r="IO290" t="e">
        <f>AND(#REF!,"AAAAAEatZ/g=")</f>
        <v>#REF!</v>
      </c>
      <c r="IP290" t="e">
        <f>AND(#REF!,"AAAAAEatZ/k=")</f>
        <v>#REF!</v>
      </c>
      <c r="IQ290" t="e">
        <f>AND(#REF!,"AAAAAEatZ/o=")</f>
        <v>#REF!</v>
      </c>
      <c r="IR290" t="e">
        <f>AND(#REF!,"AAAAAEatZ/s=")</f>
        <v>#REF!</v>
      </c>
      <c r="IS290" t="e">
        <f>AND(#REF!,"AAAAAEatZ/w=")</f>
        <v>#REF!</v>
      </c>
      <c r="IT290" t="e">
        <f>AND(#REF!,"AAAAAEatZ/0=")</f>
        <v>#REF!</v>
      </c>
      <c r="IU290" t="e">
        <f>AND(#REF!,"AAAAAEatZ/4=")</f>
        <v>#REF!</v>
      </c>
      <c r="IV290" t="e">
        <f>AND(#REF!,"AAAAAEatZ/8=")</f>
        <v>#REF!</v>
      </c>
    </row>
    <row r="291" spans="1:256">
      <c r="A291" t="e">
        <f>AND(#REF!,"AAAAAF2+HwA=")</f>
        <v>#REF!</v>
      </c>
      <c r="B291" t="e">
        <f>AND(#REF!,"AAAAAF2+HwE=")</f>
        <v>#REF!</v>
      </c>
      <c r="C291" t="e">
        <f>AND(#REF!,"AAAAAF2+HwI=")</f>
        <v>#REF!</v>
      </c>
      <c r="D291" t="e">
        <f>AND(#REF!,"AAAAAF2+HwM=")</f>
        <v>#REF!</v>
      </c>
      <c r="E291" t="e">
        <f>AND(#REF!,"AAAAAF2+HwQ=")</f>
        <v>#REF!</v>
      </c>
      <c r="F291" t="e">
        <f>AND(#REF!,"AAAAAF2+HwU=")</f>
        <v>#REF!</v>
      </c>
      <c r="G291" t="e">
        <f>AND(#REF!,"AAAAAF2+HwY=")</f>
        <v>#REF!</v>
      </c>
      <c r="H291" t="e">
        <f>AND(#REF!,"AAAAAF2+Hwc=")</f>
        <v>#REF!</v>
      </c>
      <c r="I291" t="e">
        <f>AND(#REF!,"AAAAAF2+Hwg=")</f>
        <v>#REF!</v>
      </c>
      <c r="J291" t="e">
        <f>AND(#REF!,"AAAAAF2+Hwk=")</f>
        <v>#REF!</v>
      </c>
      <c r="K291" t="e">
        <f>AND(#REF!,"AAAAAF2+Hwo=")</f>
        <v>#REF!</v>
      </c>
      <c r="L291" t="e">
        <f>AND(#REF!,"AAAAAF2+Hws=")</f>
        <v>#REF!</v>
      </c>
      <c r="M291" t="e">
        <f>AND(#REF!,"AAAAAF2+Hww=")</f>
        <v>#REF!</v>
      </c>
      <c r="N291" t="e">
        <f>AND(#REF!,"AAAAAF2+Hw0=")</f>
        <v>#REF!</v>
      </c>
      <c r="O291" t="e">
        <f>AND(#REF!,"AAAAAF2+Hw4=")</f>
        <v>#REF!</v>
      </c>
      <c r="P291" t="e">
        <f>AND(#REF!,"AAAAAF2+Hw8=")</f>
        <v>#REF!</v>
      </c>
      <c r="Q291" t="e">
        <f>AND(#REF!,"AAAAAF2+HxA=")</f>
        <v>#REF!</v>
      </c>
      <c r="R291" t="e">
        <f>AND(#REF!,"AAAAAF2+HxE=")</f>
        <v>#REF!</v>
      </c>
      <c r="S291" t="e">
        <f>AND(#REF!,"AAAAAF2+HxI=")</f>
        <v>#REF!</v>
      </c>
      <c r="T291" t="e">
        <f>AND(#REF!,"AAAAAF2+HxM=")</f>
        <v>#REF!</v>
      </c>
      <c r="U291" t="e">
        <f>AND(#REF!,"AAAAAF2+HxQ=")</f>
        <v>#REF!</v>
      </c>
      <c r="V291" t="e">
        <f>AND(#REF!,"AAAAAF2+HxU=")</f>
        <v>#REF!</v>
      </c>
      <c r="W291" t="e">
        <f>AND(#REF!,"AAAAAF2+HxY=")</f>
        <v>#REF!</v>
      </c>
      <c r="X291" t="e">
        <f>AND(#REF!,"AAAAAF2+Hxc=")</f>
        <v>#REF!</v>
      </c>
      <c r="Y291" t="e">
        <f>AND(#REF!,"AAAAAF2+Hxg=")</f>
        <v>#REF!</v>
      </c>
      <c r="Z291" t="e">
        <f>AND(#REF!,"AAAAAF2+Hxk=")</f>
        <v>#REF!</v>
      </c>
      <c r="AA291" t="e">
        <f>AND(#REF!,"AAAAAF2+Hxo=")</f>
        <v>#REF!</v>
      </c>
      <c r="AB291" t="e">
        <f>AND(#REF!,"AAAAAF2+Hxs=")</f>
        <v>#REF!</v>
      </c>
      <c r="AC291" t="e">
        <f>AND(#REF!,"AAAAAF2+Hxw=")</f>
        <v>#REF!</v>
      </c>
      <c r="AD291" t="e">
        <f>AND(#REF!,"AAAAAF2+Hx0=")</f>
        <v>#REF!</v>
      </c>
      <c r="AE291" t="e">
        <f>AND(#REF!,"AAAAAF2+Hx4=")</f>
        <v>#REF!</v>
      </c>
      <c r="AF291" t="e">
        <f>AND(#REF!,"AAAAAF2+Hx8=")</f>
        <v>#REF!</v>
      </c>
      <c r="AG291" t="e">
        <f>AND(#REF!,"AAAAAF2+HyA=")</f>
        <v>#REF!</v>
      </c>
      <c r="AH291" t="e">
        <f>AND(#REF!,"AAAAAF2+HyE=")</f>
        <v>#REF!</v>
      </c>
      <c r="AI291" t="e">
        <f>AND(#REF!,"AAAAAF2+HyI=")</f>
        <v>#REF!</v>
      </c>
      <c r="AJ291" t="e">
        <f>AND(#REF!,"AAAAAF2+HyM=")</f>
        <v>#REF!</v>
      </c>
      <c r="AK291" t="e">
        <f>AND(#REF!,"AAAAAF2+HyQ=")</f>
        <v>#REF!</v>
      </c>
      <c r="AL291" t="e">
        <f>AND(#REF!,"AAAAAF2+HyU=")</f>
        <v>#REF!</v>
      </c>
      <c r="AM291" t="e">
        <f>AND(#REF!,"AAAAAF2+HyY=")</f>
        <v>#REF!</v>
      </c>
      <c r="AN291" t="e">
        <f>AND(#REF!,"AAAAAF2+Hyc=")</f>
        <v>#REF!</v>
      </c>
      <c r="AO291" t="e">
        <f>AND(#REF!,"AAAAAF2+Hyg=")</f>
        <v>#REF!</v>
      </c>
      <c r="AP291" t="e">
        <f>AND(#REF!,"AAAAAF2+Hyk=")</f>
        <v>#REF!</v>
      </c>
      <c r="AQ291" t="e">
        <f>AND(#REF!,"AAAAAF2+Hyo=")</f>
        <v>#REF!</v>
      </c>
      <c r="AR291" t="e">
        <f>IF(#REF!,"AAAAAF2+Hys=",0)</f>
        <v>#REF!</v>
      </c>
      <c r="AS291" t="e">
        <f>AND(#REF!,"AAAAAF2+Hyw=")</f>
        <v>#REF!</v>
      </c>
      <c r="AT291" t="e">
        <f>AND(#REF!,"AAAAAF2+Hy0=")</f>
        <v>#REF!</v>
      </c>
      <c r="AU291" t="e">
        <f>AND(#REF!,"AAAAAF2+Hy4=")</f>
        <v>#REF!</v>
      </c>
      <c r="AV291" t="e">
        <f>AND(#REF!,"AAAAAF2+Hy8=")</f>
        <v>#REF!</v>
      </c>
      <c r="AW291" t="e">
        <f>AND(#REF!,"AAAAAF2+HzA=")</f>
        <v>#REF!</v>
      </c>
      <c r="AX291" t="e">
        <f>AND(#REF!,"AAAAAF2+HzE=")</f>
        <v>#REF!</v>
      </c>
      <c r="AY291" t="e">
        <f>AND(#REF!,"AAAAAF2+HzI=")</f>
        <v>#REF!</v>
      </c>
      <c r="AZ291" t="e">
        <f>AND(#REF!,"AAAAAF2+HzM=")</f>
        <v>#REF!</v>
      </c>
      <c r="BA291" t="e">
        <f>AND(#REF!,"AAAAAF2+HzQ=")</f>
        <v>#REF!</v>
      </c>
      <c r="BB291" t="e">
        <f>AND(#REF!,"AAAAAF2+HzU=")</f>
        <v>#REF!</v>
      </c>
      <c r="BC291" t="e">
        <f>AND(#REF!,"AAAAAF2+HzY=")</f>
        <v>#REF!</v>
      </c>
      <c r="BD291" t="e">
        <f>AND(#REF!,"AAAAAF2+Hzc=")</f>
        <v>#REF!</v>
      </c>
      <c r="BE291" t="e">
        <f>AND(#REF!,"AAAAAF2+Hzg=")</f>
        <v>#REF!</v>
      </c>
      <c r="BF291" t="e">
        <f>AND(#REF!,"AAAAAF2+Hzk=")</f>
        <v>#REF!</v>
      </c>
      <c r="BG291" t="e">
        <f>AND(#REF!,"AAAAAF2+Hzo=")</f>
        <v>#REF!</v>
      </c>
      <c r="BH291" t="e">
        <f>AND(#REF!,"AAAAAF2+Hzs=")</f>
        <v>#REF!</v>
      </c>
      <c r="BI291" t="e">
        <f>AND(#REF!,"AAAAAF2+Hzw=")</f>
        <v>#REF!</v>
      </c>
      <c r="BJ291" t="e">
        <f>AND(#REF!,"AAAAAF2+Hz0=")</f>
        <v>#REF!</v>
      </c>
      <c r="BK291" t="e">
        <f>AND(#REF!,"AAAAAF2+Hz4=")</f>
        <v>#REF!</v>
      </c>
      <c r="BL291" t="e">
        <f>AND(#REF!,"AAAAAF2+Hz8=")</f>
        <v>#REF!</v>
      </c>
      <c r="BM291" t="e">
        <f>AND(#REF!,"AAAAAF2+H0A=")</f>
        <v>#REF!</v>
      </c>
      <c r="BN291" t="e">
        <f>AND(#REF!,"AAAAAF2+H0E=")</f>
        <v>#REF!</v>
      </c>
      <c r="BO291" t="e">
        <f>AND(#REF!,"AAAAAF2+H0I=")</f>
        <v>#REF!</v>
      </c>
      <c r="BP291" t="e">
        <f>AND(#REF!,"AAAAAF2+H0M=")</f>
        <v>#REF!</v>
      </c>
      <c r="BQ291" t="e">
        <f>AND(#REF!,"AAAAAF2+H0Q=")</f>
        <v>#REF!</v>
      </c>
      <c r="BR291" t="e">
        <f>AND(#REF!,"AAAAAF2+H0U=")</f>
        <v>#REF!</v>
      </c>
      <c r="BS291" t="e">
        <f>AND(#REF!,"AAAAAF2+H0Y=")</f>
        <v>#REF!</v>
      </c>
      <c r="BT291" t="e">
        <f>AND(#REF!,"AAAAAF2+H0c=")</f>
        <v>#REF!</v>
      </c>
      <c r="BU291" t="e">
        <f>AND(#REF!,"AAAAAF2+H0g=")</f>
        <v>#REF!</v>
      </c>
      <c r="BV291" t="e">
        <f>AND(#REF!,"AAAAAF2+H0k=")</f>
        <v>#REF!</v>
      </c>
      <c r="BW291" t="e">
        <f>AND(#REF!,"AAAAAF2+H0o=")</f>
        <v>#REF!</v>
      </c>
      <c r="BX291" t="e">
        <f>AND(#REF!,"AAAAAF2+H0s=")</f>
        <v>#REF!</v>
      </c>
      <c r="BY291" t="e">
        <f>AND(#REF!,"AAAAAF2+H0w=")</f>
        <v>#REF!</v>
      </c>
      <c r="BZ291" t="e">
        <f>AND(#REF!,"AAAAAF2+H00=")</f>
        <v>#REF!</v>
      </c>
      <c r="CA291" t="e">
        <f>AND(#REF!,"AAAAAF2+H04=")</f>
        <v>#REF!</v>
      </c>
      <c r="CB291" t="e">
        <f>AND(#REF!,"AAAAAF2+H08=")</f>
        <v>#REF!</v>
      </c>
      <c r="CC291" t="e">
        <f>AND(#REF!,"AAAAAF2+H1A=")</f>
        <v>#REF!</v>
      </c>
      <c r="CD291" t="e">
        <f>AND(#REF!,"AAAAAF2+H1E=")</f>
        <v>#REF!</v>
      </c>
      <c r="CE291" t="e">
        <f>AND(#REF!,"AAAAAF2+H1I=")</f>
        <v>#REF!</v>
      </c>
      <c r="CF291" t="e">
        <f>AND(#REF!,"AAAAAF2+H1M=")</f>
        <v>#REF!</v>
      </c>
      <c r="CG291" t="e">
        <f>AND(#REF!,"AAAAAF2+H1Q=")</f>
        <v>#REF!</v>
      </c>
      <c r="CH291" t="e">
        <f>AND(#REF!,"AAAAAF2+H1U=")</f>
        <v>#REF!</v>
      </c>
      <c r="CI291" t="e">
        <f>AND(#REF!,"AAAAAF2+H1Y=")</f>
        <v>#REF!</v>
      </c>
      <c r="CJ291" t="e">
        <f>AND(#REF!,"AAAAAF2+H1c=")</f>
        <v>#REF!</v>
      </c>
      <c r="CK291" t="e">
        <f>AND(#REF!,"AAAAAF2+H1g=")</f>
        <v>#REF!</v>
      </c>
      <c r="CL291" t="e">
        <f>AND(#REF!,"AAAAAF2+H1k=")</f>
        <v>#REF!</v>
      </c>
      <c r="CM291" t="e">
        <f>AND(#REF!,"AAAAAF2+H1o=")</f>
        <v>#REF!</v>
      </c>
      <c r="CN291" t="e">
        <f>AND(#REF!,"AAAAAF2+H1s=")</f>
        <v>#REF!</v>
      </c>
      <c r="CO291" t="e">
        <f>AND(#REF!,"AAAAAF2+H1w=")</f>
        <v>#REF!</v>
      </c>
      <c r="CP291" t="e">
        <f>AND(#REF!,"AAAAAF2+H10=")</f>
        <v>#REF!</v>
      </c>
      <c r="CQ291" t="e">
        <f>AND(#REF!,"AAAAAF2+H14=")</f>
        <v>#REF!</v>
      </c>
      <c r="CR291" t="e">
        <f>IF(#REF!,"AAAAAF2+H18=",0)</f>
        <v>#REF!</v>
      </c>
      <c r="CS291" t="e">
        <f>AND(#REF!,"AAAAAF2+H2A=")</f>
        <v>#REF!</v>
      </c>
      <c r="CT291" t="e">
        <f>AND(#REF!,"AAAAAF2+H2E=")</f>
        <v>#REF!</v>
      </c>
      <c r="CU291" t="e">
        <f>AND(#REF!,"AAAAAF2+H2I=")</f>
        <v>#REF!</v>
      </c>
      <c r="CV291" t="e">
        <f>AND(#REF!,"AAAAAF2+H2M=")</f>
        <v>#REF!</v>
      </c>
      <c r="CW291" t="e">
        <f>AND(#REF!,"AAAAAF2+H2Q=")</f>
        <v>#REF!</v>
      </c>
      <c r="CX291" t="e">
        <f>AND(#REF!,"AAAAAF2+H2U=")</f>
        <v>#REF!</v>
      </c>
      <c r="CY291" t="e">
        <f>AND(#REF!,"AAAAAF2+H2Y=")</f>
        <v>#REF!</v>
      </c>
      <c r="CZ291" t="e">
        <f>AND(#REF!,"AAAAAF2+H2c=")</f>
        <v>#REF!</v>
      </c>
      <c r="DA291" t="e">
        <f>AND(#REF!,"AAAAAF2+H2g=")</f>
        <v>#REF!</v>
      </c>
      <c r="DB291" t="e">
        <f>AND(#REF!,"AAAAAF2+H2k=")</f>
        <v>#REF!</v>
      </c>
      <c r="DC291" t="e">
        <f>AND(#REF!,"AAAAAF2+H2o=")</f>
        <v>#REF!</v>
      </c>
      <c r="DD291" t="e">
        <f>AND(#REF!,"AAAAAF2+H2s=")</f>
        <v>#REF!</v>
      </c>
      <c r="DE291" t="e">
        <f>AND(#REF!,"AAAAAF2+H2w=")</f>
        <v>#REF!</v>
      </c>
      <c r="DF291" t="e">
        <f>AND(#REF!,"AAAAAF2+H20=")</f>
        <v>#REF!</v>
      </c>
      <c r="DG291" t="e">
        <f>AND(#REF!,"AAAAAF2+H24=")</f>
        <v>#REF!</v>
      </c>
      <c r="DH291" t="e">
        <f>AND(#REF!,"AAAAAF2+H28=")</f>
        <v>#REF!</v>
      </c>
      <c r="DI291" t="e">
        <f>AND(#REF!,"AAAAAF2+H3A=")</f>
        <v>#REF!</v>
      </c>
      <c r="DJ291" t="e">
        <f>AND(#REF!,"AAAAAF2+H3E=")</f>
        <v>#REF!</v>
      </c>
      <c r="DK291" t="e">
        <f>AND(#REF!,"AAAAAF2+H3I=")</f>
        <v>#REF!</v>
      </c>
      <c r="DL291" t="e">
        <f>AND(#REF!,"AAAAAF2+H3M=")</f>
        <v>#REF!</v>
      </c>
      <c r="DM291" t="e">
        <f>AND(#REF!,"AAAAAF2+H3Q=")</f>
        <v>#REF!</v>
      </c>
      <c r="DN291" t="e">
        <f>AND(#REF!,"AAAAAF2+H3U=")</f>
        <v>#REF!</v>
      </c>
      <c r="DO291" t="e">
        <f>AND(#REF!,"AAAAAF2+H3Y=")</f>
        <v>#REF!</v>
      </c>
      <c r="DP291" t="e">
        <f>AND(#REF!,"AAAAAF2+H3c=")</f>
        <v>#REF!</v>
      </c>
      <c r="DQ291" t="e">
        <f>AND(#REF!,"AAAAAF2+H3g=")</f>
        <v>#REF!</v>
      </c>
      <c r="DR291" t="e">
        <f>AND(#REF!,"AAAAAF2+H3k=")</f>
        <v>#REF!</v>
      </c>
      <c r="DS291" t="e">
        <f>AND(#REF!,"AAAAAF2+H3o=")</f>
        <v>#REF!</v>
      </c>
      <c r="DT291" t="e">
        <f>AND(#REF!,"AAAAAF2+H3s=")</f>
        <v>#REF!</v>
      </c>
      <c r="DU291" t="e">
        <f>AND(#REF!,"AAAAAF2+H3w=")</f>
        <v>#REF!</v>
      </c>
      <c r="DV291" t="e">
        <f>AND(#REF!,"AAAAAF2+H30=")</f>
        <v>#REF!</v>
      </c>
      <c r="DW291" t="e">
        <f>AND(#REF!,"AAAAAF2+H34=")</f>
        <v>#REF!</v>
      </c>
      <c r="DX291" t="e">
        <f>AND(#REF!,"AAAAAF2+H38=")</f>
        <v>#REF!</v>
      </c>
      <c r="DY291" t="e">
        <f>AND(#REF!,"AAAAAF2+H4A=")</f>
        <v>#REF!</v>
      </c>
      <c r="DZ291" t="e">
        <f>AND(#REF!,"AAAAAF2+H4E=")</f>
        <v>#REF!</v>
      </c>
      <c r="EA291" t="e">
        <f>AND(#REF!,"AAAAAF2+H4I=")</f>
        <v>#REF!</v>
      </c>
      <c r="EB291" t="e">
        <f>AND(#REF!,"AAAAAF2+H4M=")</f>
        <v>#REF!</v>
      </c>
      <c r="EC291" t="e">
        <f>AND(#REF!,"AAAAAF2+H4Q=")</f>
        <v>#REF!</v>
      </c>
      <c r="ED291" t="e">
        <f>AND(#REF!,"AAAAAF2+H4U=")</f>
        <v>#REF!</v>
      </c>
      <c r="EE291" t="e">
        <f>AND(#REF!,"AAAAAF2+H4Y=")</f>
        <v>#REF!</v>
      </c>
      <c r="EF291" t="e">
        <f>AND(#REF!,"AAAAAF2+H4c=")</f>
        <v>#REF!</v>
      </c>
      <c r="EG291" t="e">
        <f>AND(#REF!,"AAAAAF2+H4g=")</f>
        <v>#REF!</v>
      </c>
      <c r="EH291" t="e">
        <f>AND(#REF!,"AAAAAF2+H4k=")</f>
        <v>#REF!</v>
      </c>
      <c r="EI291" t="e">
        <f>AND(#REF!,"AAAAAF2+H4o=")</f>
        <v>#REF!</v>
      </c>
      <c r="EJ291" t="e">
        <f>AND(#REF!,"AAAAAF2+H4s=")</f>
        <v>#REF!</v>
      </c>
      <c r="EK291" t="e">
        <f>AND(#REF!,"AAAAAF2+H4w=")</f>
        <v>#REF!</v>
      </c>
      <c r="EL291" t="e">
        <f>AND(#REF!,"AAAAAF2+H40=")</f>
        <v>#REF!</v>
      </c>
      <c r="EM291" t="e">
        <f>AND(#REF!,"AAAAAF2+H44=")</f>
        <v>#REF!</v>
      </c>
      <c r="EN291" t="e">
        <f>AND(#REF!,"AAAAAF2+H48=")</f>
        <v>#REF!</v>
      </c>
      <c r="EO291" t="e">
        <f>AND(#REF!,"AAAAAF2+H5A=")</f>
        <v>#REF!</v>
      </c>
      <c r="EP291" t="e">
        <f>AND(#REF!,"AAAAAF2+H5E=")</f>
        <v>#REF!</v>
      </c>
      <c r="EQ291" t="e">
        <f>AND(#REF!,"AAAAAF2+H5I=")</f>
        <v>#REF!</v>
      </c>
      <c r="ER291" t="e">
        <f>IF(#REF!,"AAAAAF2+H5M=",0)</f>
        <v>#REF!</v>
      </c>
      <c r="ES291" t="e">
        <f>AND(#REF!,"AAAAAF2+H5Q=")</f>
        <v>#REF!</v>
      </c>
      <c r="ET291" t="e">
        <f>AND(#REF!,"AAAAAF2+H5U=")</f>
        <v>#REF!</v>
      </c>
      <c r="EU291" t="e">
        <f>AND(#REF!,"AAAAAF2+H5Y=")</f>
        <v>#REF!</v>
      </c>
      <c r="EV291" t="e">
        <f>AND(#REF!,"AAAAAF2+H5c=")</f>
        <v>#REF!</v>
      </c>
      <c r="EW291" t="e">
        <f>AND(#REF!,"AAAAAF2+H5g=")</f>
        <v>#REF!</v>
      </c>
      <c r="EX291" t="e">
        <f>AND(#REF!,"AAAAAF2+H5k=")</f>
        <v>#REF!</v>
      </c>
      <c r="EY291" t="e">
        <f>AND(#REF!,"AAAAAF2+H5o=")</f>
        <v>#REF!</v>
      </c>
      <c r="EZ291" t="e">
        <f>AND(#REF!,"AAAAAF2+H5s=")</f>
        <v>#REF!</v>
      </c>
      <c r="FA291" t="e">
        <f>AND(#REF!,"AAAAAF2+H5w=")</f>
        <v>#REF!</v>
      </c>
      <c r="FB291" t="e">
        <f>AND(#REF!,"AAAAAF2+H50=")</f>
        <v>#REF!</v>
      </c>
      <c r="FC291" t="e">
        <f>AND(#REF!,"AAAAAF2+H54=")</f>
        <v>#REF!</v>
      </c>
      <c r="FD291" t="e">
        <f>AND(#REF!,"AAAAAF2+H58=")</f>
        <v>#REF!</v>
      </c>
      <c r="FE291" t="e">
        <f>AND(#REF!,"AAAAAF2+H6A=")</f>
        <v>#REF!</v>
      </c>
      <c r="FF291" t="e">
        <f>AND(#REF!,"AAAAAF2+H6E=")</f>
        <v>#REF!</v>
      </c>
      <c r="FG291" t="e">
        <f>AND(#REF!,"AAAAAF2+H6I=")</f>
        <v>#REF!</v>
      </c>
      <c r="FH291" t="e">
        <f>AND(#REF!,"AAAAAF2+H6M=")</f>
        <v>#REF!</v>
      </c>
      <c r="FI291" t="e">
        <f>AND(#REF!,"AAAAAF2+H6Q=")</f>
        <v>#REF!</v>
      </c>
      <c r="FJ291" t="e">
        <f>AND(#REF!,"AAAAAF2+H6U=")</f>
        <v>#REF!</v>
      </c>
      <c r="FK291" t="e">
        <f>AND(#REF!,"AAAAAF2+H6Y=")</f>
        <v>#REF!</v>
      </c>
      <c r="FL291" t="e">
        <f>AND(#REF!,"AAAAAF2+H6c=")</f>
        <v>#REF!</v>
      </c>
      <c r="FM291" t="e">
        <f>AND(#REF!,"AAAAAF2+H6g=")</f>
        <v>#REF!</v>
      </c>
      <c r="FN291" t="e">
        <f>AND(#REF!,"AAAAAF2+H6k=")</f>
        <v>#REF!</v>
      </c>
      <c r="FO291" t="e">
        <f>AND(#REF!,"AAAAAF2+H6o=")</f>
        <v>#REF!</v>
      </c>
      <c r="FP291" t="e">
        <f>AND(#REF!,"AAAAAF2+H6s=")</f>
        <v>#REF!</v>
      </c>
      <c r="FQ291" t="e">
        <f>AND(#REF!,"AAAAAF2+H6w=")</f>
        <v>#REF!</v>
      </c>
      <c r="FR291" t="e">
        <f>AND(#REF!,"AAAAAF2+H60=")</f>
        <v>#REF!</v>
      </c>
      <c r="FS291" t="e">
        <f>AND(#REF!,"AAAAAF2+H64=")</f>
        <v>#REF!</v>
      </c>
      <c r="FT291" t="e">
        <f>AND(#REF!,"AAAAAF2+H68=")</f>
        <v>#REF!</v>
      </c>
      <c r="FU291" t="e">
        <f>AND(#REF!,"AAAAAF2+H7A=")</f>
        <v>#REF!</v>
      </c>
      <c r="FV291" t="e">
        <f>AND(#REF!,"AAAAAF2+H7E=")</f>
        <v>#REF!</v>
      </c>
      <c r="FW291" t="e">
        <f>AND(#REF!,"AAAAAF2+H7I=")</f>
        <v>#REF!</v>
      </c>
      <c r="FX291" t="e">
        <f>AND(#REF!,"AAAAAF2+H7M=")</f>
        <v>#REF!</v>
      </c>
      <c r="FY291" t="e">
        <f>AND(#REF!,"AAAAAF2+H7Q=")</f>
        <v>#REF!</v>
      </c>
      <c r="FZ291" t="e">
        <f>AND(#REF!,"AAAAAF2+H7U=")</f>
        <v>#REF!</v>
      </c>
      <c r="GA291" t="e">
        <f>AND(#REF!,"AAAAAF2+H7Y=")</f>
        <v>#REF!</v>
      </c>
      <c r="GB291" t="e">
        <f>AND(#REF!,"AAAAAF2+H7c=")</f>
        <v>#REF!</v>
      </c>
      <c r="GC291" t="e">
        <f>AND(#REF!,"AAAAAF2+H7g=")</f>
        <v>#REF!</v>
      </c>
      <c r="GD291" t="e">
        <f>AND(#REF!,"AAAAAF2+H7k=")</f>
        <v>#REF!</v>
      </c>
      <c r="GE291" t="e">
        <f>AND(#REF!,"AAAAAF2+H7o=")</f>
        <v>#REF!</v>
      </c>
      <c r="GF291" t="e">
        <f>AND(#REF!,"AAAAAF2+H7s=")</f>
        <v>#REF!</v>
      </c>
      <c r="GG291" t="e">
        <f>AND(#REF!,"AAAAAF2+H7w=")</f>
        <v>#REF!</v>
      </c>
      <c r="GH291" t="e">
        <f>AND(#REF!,"AAAAAF2+H70=")</f>
        <v>#REF!</v>
      </c>
      <c r="GI291" t="e">
        <f>AND(#REF!,"AAAAAF2+H74=")</f>
        <v>#REF!</v>
      </c>
      <c r="GJ291" t="e">
        <f>AND(#REF!,"AAAAAF2+H78=")</f>
        <v>#REF!</v>
      </c>
      <c r="GK291" t="e">
        <f>AND(#REF!,"AAAAAF2+H8A=")</f>
        <v>#REF!</v>
      </c>
      <c r="GL291" t="e">
        <f>AND(#REF!,"AAAAAF2+H8E=")</f>
        <v>#REF!</v>
      </c>
      <c r="GM291" t="e">
        <f>AND(#REF!,"AAAAAF2+H8I=")</f>
        <v>#REF!</v>
      </c>
      <c r="GN291" t="e">
        <f>AND(#REF!,"AAAAAF2+H8M=")</f>
        <v>#REF!</v>
      </c>
      <c r="GO291" t="e">
        <f>AND(#REF!,"AAAAAF2+H8Q=")</f>
        <v>#REF!</v>
      </c>
      <c r="GP291" t="e">
        <f>AND(#REF!,"AAAAAF2+H8U=")</f>
        <v>#REF!</v>
      </c>
      <c r="GQ291" t="e">
        <f>AND(#REF!,"AAAAAF2+H8Y=")</f>
        <v>#REF!</v>
      </c>
      <c r="GR291" t="e">
        <f>IF(#REF!,"AAAAAF2+H8c=",0)</f>
        <v>#REF!</v>
      </c>
      <c r="GS291" t="e">
        <f>AND(#REF!,"AAAAAF2+H8g=")</f>
        <v>#REF!</v>
      </c>
      <c r="GT291" t="e">
        <f>AND(#REF!,"AAAAAF2+H8k=")</f>
        <v>#REF!</v>
      </c>
      <c r="GU291" t="e">
        <f>AND(#REF!,"AAAAAF2+H8o=")</f>
        <v>#REF!</v>
      </c>
      <c r="GV291" t="e">
        <f>AND(#REF!,"AAAAAF2+H8s=")</f>
        <v>#REF!</v>
      </c>
      <c r="GW291" t="e">
        <f>AND(#REF!,"AAAAAF2+H8w=")</f>
        <v>#REF!</v>
      </c>
      <c r="GX291" t="e">
        <f>AND(#REF!,"AAAAAF2+H80=")</f>
        <v>#REF!</v>
      </c>
      <c r="GY291" t="e">
        <f>AND(#REF!,"AAAAAF2+H84=")</f>
        <v>#REF!</v>
      </c>
      <c r="GZ291" t="e">
        <f>AND(#REF!,"AAAAAF2+H88=")</f>
        <v>#REF!</v>
      </c>
      <c r="HA291" t="e">
        <f>AND(#REF!,"AAAAAF2+H9A=")</f>
        <v>#REF!</v>
      </c>
      <c r="HB291" t="e">
        <f>AND(#REF!,"AAAAAF2+H9E=")</f>
        <v>#REF!</v>
      </c>
      <c r="HC291" t="e">
        <f>AND(#REF!,"AAAAAF2+H9I=")</f>
        <v>#REF!</v>
      </c>
      <c r="HD291" t="e">
        <f>AND(#REF!,"AAAAAF2+H9M=")</f>
        <v>#REF!</v>
      </c>
      <c r="HE291" t="e">
        <f>AND(#REF!,"AAAAAF2+H9Q=")</f>
        <v>#REF!</v>
      </c>
      <c r="HF291" t="e">
        <f>AND(#REF!,"AAAAAF2+H9U=")</f>
        <v>#REF!</v>
      </c>
      <c r="HG291" t="e">
        <f>AND(#REF!,"AAAAAF2+H9Y=")</f>
        <v>#REF!</v>
      </c>
      <c r="HH291" t="e">
        <f>AND(#REF!,"AAAAAF2+H9c=")</f>
        <v>#REF!</v>
      </c>
      <c r="HI291" t="e">
        <f>AND(#REF!,"AAAAAF2+H9g=")</f>
        <v>#REF!</v>
      </c>
      <c r="HJ291" t="e">
        <f>AND(#REF!,"AAAAAF2+H9k=")</f>
        <v>#REF!</v>
      </c>
      <c r="HK291" t="e">
        <f>AND(#REF!,"AAAAAF2+H9o=")</f>
        <v>#REF!</v>
      </c>
      <c r="HL291" t="e">
        <f>AND(#REF!,"AAAAAF2+H9s=")</f>
        <v>#REF!</v>
      </c>
      <c r="HM291" t="e">
        <f>AND(#REF!,"AAAAAF2+H9w=")</f>
        <v>#REF!</v>
      </c>
      <c r="HN291" t="e">
        <f>AND(#REF!,"AAAAAF2+H90=")</f>
        <v>#REF!</v>
      </c>
      <c r="HO291" t="e">
        <f>AND(#REF!,"AAAAAF2+H94=")</f>
        <v>#REF!</v>
      </c>
      <c r="HP291" t="e">
        <f>AND(#REF!,"AAAAAF2+H98=")</f>
        <v>#REF!</v>
      </c>
      <c r="HQ291" t="e">
        <f>AND(#REF!,"AAAAAF2+H+A=")</f>
        <v>#REF!</v>
      </c>
      <c r="HR291" t="e">
        <f>AND(#REF!,"AAAAAF2+H+E=")</f>
        <v>#REF!</v>
      </c>
      <c r="HS291" t="e">
        <f>AND(#REF!,"AAAAAF2+H+I=")</f>
        <v>#REF!</v>
      </c>
      <c r="HT291" t="e">
        <f>AND(#REF!,"AAAAAF2+H+M=")</f>
        <v>#REF!</v>
      </c>
      <c r="HU291" t="e">
        <f>AND(#REF!,"AAAAAF2+H+Q=")</f>
        <v>#REF!</v>
      </c>
      <c r="HV291" t="e">
        <f>AND(#REF!,"AAAAAF2+H+U=")</f>
        <v>#REF!</v>
      </c>
      <c r="HW291" t="e">
        <f>AND(#REF!,"AAAAAF2+H+Y=")</f>
        <v>#REF!</v>
      </c>
      <c r="HX291" t="e">
        <f>AND(#REF!,"AAAAAF2+H+c=")</f>
        <v>#REF!</v>
      </c>
      <c r="HY291" t="e">
        <f>AND(#REF!,"AAAAAF2+H+g=")</f>
        <v>#REF!</v>
      </c>
      <c r="HZ291" t="e">
        <f>AND(#REF!,"AAAAAF2+H+k=")</f>
        <v>#REF!</v>
      </c>
      <c r="IA291" t="e">
        <f>AND(#REF!,"AAAAAF2+H+o=")</f>
        <v>#REF!</v>
      </c>
      <c r="IB291" t="e">
        <f>AND(#REF!,"AAAAAF2+H+s=")</f>
        <v>#REF!</v>
      </c>
      <c r="IC291" t="e">
        <f>AND(#REF!,"AAAAAF2+H+w=")</f>
        <v>#REF!</v>
      </c>
      <c r="ID291" t="e">
        <f>AND(#REF!,"AAAAAF2+H+0=")</f>
        <v>#REF!</v>
      </c>
      <c r="IE291" t="e">
        <f>AND(#REF!,"AAAAAF2+H+4=")</f>
        <v>#REF!</v>
      </c>
      <c r="IF291" t="e">
        <f>AND(#REF!,"AAAAAF2+H+8=")</f>
        <v>#REF!</v>
      </c>
      <c r="IG291" t="e">
        <f>AND(#REF!,"AAAAAF2+H/A=")</f>
        <v>#REF!</v>
      </c>
      <c r="IH291" t="e">
        <f>AND(#REF!,"AAAAAF2+H/E=")</f>
        <v>#REF!</v>
      </c>
      <c r="II291" t="e">
        <f>AND(#REF!,"AAAAAF2+H/I=")</f>
        <v>#REF!</v>
      </c>
      <c r="IJ291" t="e">
        <f>AND(#REF!,"AAAAAF2+H/M=")</f>
        <v>#REF!</v>
      </c>
      <c r="IK291" t="e">
        <f>AND(#REF!,"AAAAAF2+H/Q=")</f>
        <v>#REF!</v>
      </c>
      <c r="IL291" t="e">
        <f>AND(#REF!,"AAAAAF2+H/U=")</f>
        <v>#REF!</v>
      </c>
      <c r="IM291" t="e">
        <f>AND(#REF!,"AAAAAF2+H/Y=")</f>
        <v>#REF!</v>
      </c>
      <c r="IN291" t="e">
        <f>AND(#REF!,"AAAAAF2+H/c=")</f>
        <v>#REF!</v>
      </c>
      <c r="IO291" t="e">
        <f>AND(#REF!,"AAAAAF2+H/g=")</f>
        <v>#REF!</v>
      </c>
      <c r="IP291" t="e">
        <f>AND(#REF!,"AAAAAF2+H/k=")</f>
        <v>#REF!</v>
      </c>
      <c r="IQ291" t="e">
        <f>AND(#REF!,"AAAAAF2+H/o=")</f>
        <v>#REF!</v>
      </c>
      <c r="IR291" t="e">
        <f>IF(#REF!,"AAAAAF2+H/s=",0)</f>
        <v>#REF!</v>
      </c>
      <c r="IS291" t="e">
        <f>AND(#REF!,"AAAAAF2+H/w=")</f>
        <v>#REF!</v>
      </c>
      <c r="IT291" t="e">
        <f>AND(#REF!,"AAAAAF2+H/0=")</f>
        <v>#REF!</v>
      </c>
      <c r="IU291" t="e">
        <f>AND(#REF!,"AAAAAF2+H/4=")</f>
        <v>#REF!</v>
      </c>
      <c r="IV291" t="e">
        <f>AND(#REF!,"AAAAAF2+H/8=")</f>
        <v>#REF!</v>
      </c>
    </row>
    <row r="292" spans="1:256">
      <c r="A292" t="e">
        <f>AND(#REF!,"AAAAAHPkdQA=")</f>
        <v>#REF!</v>
      </c>
      <c r="B292" t="e">
        <f>AND(#REF!,"AAAAAHPkdQE=")</f>
        <v>#REF!</v>
      </c>
      <c r="C292" t="e">
        <f>AND(#REF!,"AAAAAHPkdQI=")</f>
        <v>#REF!</v>
      </c>
      <c r="D292" t="e">
        <f>AND(#REF!,"AAAAAHPkdQM=")</f>
        <v>#REF!</v>
      </c>
      <c r="E292" t="e">
        <f>AND(#REF!,"AAAAAHPkdQQ=")</f>
        <v>#REF!</v>
      </c>
      <c r="F292" t="e">
        <f>AND(#REF!,"AAAAAHPkdQU=")</f>
        <v>#REF!</v>
      </c>
      <c r="G292" t="e">
        <f>AND(#REF!,"AAAAAHPkdQY=")</f>
        <v>#REF!</v>
      </c>
      <c r="H292" t="e">
        <f>AND(#REF!,"AAAAAHPkdQc=")</f>
        <v>#REF!</v>
      </c>
      <c r="I292" t="e">
        <f>AND(#REF!,"AAAAAHPkdQg=")</f>
        <v>#REF!</v>
      </c>
      <c r="J292" t="e">
        <f>AND(#REF!,"AAAAAHPkdQk=")</f>
        <v>#REF!</v>
      </c>
      <c r="K292" t="e">
        <f>AND(#REF!,"AAAAAHPkdQo=")</f>
        <v>#REF!</v>
      </c>
      <c r="L292" t="e">
        <f>AND(#REF!,"AAAAAHPkdQs=")</f>
        <v>#REF!</v>
      </c>
      <c r="M292" t="e">
        <f>AND(#REF!,"AAAAAHPkdQw=")</f>
        <v>#REF!</v>
      </c>
      <c r="N292" t="e">
        <f>AND(#REF!,"AAAAAHPkdQ0=")</f>
        <v>#REF!</v>
      </c>
      <c r="O292" t="e">
        <f>AND(#REF!,"AAAAAHPkdQ4=")</f>
        <v>#REF!</v>
      </c>
      <c r="P292" t="e">
        <f>AND(#REF!,"AAAAAHPkdQ8=")</f>
        <v>#REF!</v>
      </c>
      <c r="Q292" t="e">
        <f>AND(#REF!,"AAAAAHPkdRA=")</f>
        <v>#REF!</v>
      </c>
      <c r="R292" t="e">
        <f>AND(#REF!,"AAAAAHPkdRE=")</f>
        <v>#REF!</v>
      </c>
      <c r="S292" t="e">
        <f>AND(#REF!,"AAAAAHPkdRI=")</f>
        <v>#REF!</v>
      </c>
      <c r="T292" t="e">
        <f>AND(#REF!,"AAAAAHPkdRM=")</f>
        <v>#REF!</v>
      </c>
      <c r="U292" t="e">
        <f>AND(#REF!,"AAAAAHPkdRQ=")</f>
        <v>#REF!</v>
      </c>
      <c r="V292" t="e">
        <f>AND(#REF!,"AAAAAHPkdRU=")</f>
        <v>#REF!</v>
      </c>
      <c r="W292" t="e">
        <f>AND(#REF!,"AAAAAHPkdRY=")</f>
        <v>#REF!</v>
      </c>
      <c r="X292" t="e">
        <f>AND(#REF!,"AAAAAHPkdRc=")</f>
        <v>#REF!</v>
      </c>
      <c r="Y292" t="e">
        <f>AND(#REF!,"AAAAAHPkdRg=")</f>
        <v>#REF!</v>
      </c>
      <c r="Z292" t="e">
        <f>AND(#REF!,"AAAAAHPkdRk=")</f>
        <v>#REF!</v>
      </c>
      <c r="AA292" t="e">
        <f>AND(#REF!,"AAAAAHPkdRo=")</f>
        <v>#REF!</v>
      </c>
      <c r="AB292" t="e">
        <f>AND(#REF!,"AAAAAHPkdRs=")</f>
        <v>#REF!</v>
      </c>
      <c r="AC292" t="e">
        <f>AND(#REF!,"AAAAAHPkdRw=")</f>
        <v>#REF!</v>
      </c>
      <c r="AD292" t="e">
        <f>AND(#REF!,"AAAAAHPkdR0=")</f>
        <v>#REF!</v>
      </c>
      <c r="AE292" t="e">
        <f>AND(#REF!,"AAAAAHPkdR4=")</f>
        <v>#REF!</v>
      </c>
      <c r="AF292" t="e">
        <f>AND(#REF!,"AAAAAHPkdR8=")</f>
        <v>#REF!</v>
      </c>
      <c r="AG292" t="e">
        <f>AND(#REF!,"AAAAAHPkdSA=")</f>
        <v>#REF!</v>
      </c>
      <c r="AH292" t="e">
        <f>AND(#REF!,"AAAAAHPkdSE=")</f>
        <v>#REF!</v>
      </c>
      <c r="AI292" t="e">
        <f>AND(#REF!,"AAAAAHPkdSI=")</f>
        <v>#REF!</v>
      </c>
      <c r="AJ292" t="e">
        <f>AND(#REF!,"AAAAAHPkdSM=")</f>
        <v>#REF!</v>
      </c>
      <c r="AK292" t="e">
        <f>AND(#REF!,"AAAAAHPkdSQ=")</f>
        <v>#REF!</v>
      </c>
      <c r="AL292" t="e">
        <f>AND(#REF!,"AAAAAHPkdSU=")</f>
        <v>#REF!</v>
      </c>
      <c r="AM292" t="e">
        <f>AND(#REF!,"AAAAAHPkdSY=")</f>
        <v>#REF!</v>
      </c>
      <c r="AN292" t="e">
        <f>AND(#REF!,"AAAAAHPkdSc=")</f>
        <v>#REF!</v>
      </c>
      <c r="AO292" t="e">
        <f>AND(#REF!,"AAAAAHPkdSg=")</f>
        <v>#REF!</v>
      </c>
      <c r="AP292" t="e">
        <f>AND(#REF!,"AAAAAHPkdSk=")</f>
        <v>#REF!</v>
      </c>
      <c r="AQ292" t="e">
        <f>AND(#REF!,"AAAAAHPkdSo=")</f>
        <v>#REF!</v>
      </c>
      <c r="AR292" t="e">
        <f>AND(#REF!,"AAAAAHPkdSs=")</f>
        <v>#REF!</v>
      </c>
      <c r="AS292" t="e">
        <f>AND(#REF!,"AAAAAHPkdSw=")</f>
        <v>#REF!</v>
      </c>
      <c r="AT292" t="e">
        <f>AND(#REF!,"AAAAAHPkdS0=")</f>
        <v>#REF!</v>
      </c>
      <c r="AU292" t="e">
        <f>AND(#REF!,"AAAAAHPkdS4=")</f>
        <v>#REF!</v>
      </c>
      <c r="AV292" t="e">
        <f>IF(#REF!,"AAAAAHPkdS8=",0)</f>
        <v>#REF!</v>
      </c>
      <c r="AW292" t="e">
        <f>AND(#REF!,"AAAAAHPkdTA=")</f>
        <v>#REF!</v>
      </c>
      <c r="AX292" t="e">
        <f>AND(#REF!,"AAAAAHPkdTE=")</f>
        <v>#REF!</v>
      </c>
      <c r="AY292" t="e">
        <f>AND(#REF!,"AAAAAHPkdTI=")</f>
        <v>#REF!</v>
      </c>
      <c r="AZ292" t="e">
        <f>AND(#REF!,"AAAAAHPkdTM=")</f>
        <v>#REF!</v>
      </c>
      <c r="BA292" t="e">
        <f>AND(#REF!,"AAAAAHPkdTQ=")</f>
        <v>#REF!</v>
      </c>
      <c r="BB292" t="e">
        <f>AND(#REF!,"AAAAAHPkdTU=")</f>
        <v>#REF!</v>
      </c>
      <c r="BC292" t="e">
        <f>AND(#REF!,"AAAAAHPkdTY=")</f>
        <v>#REF!</v>
      </c>
      <c r="BD292" t="e">
        <f>AND(#REF!,"AAAAAHPkdTc=")</f>
        <v>#REF!</v>
      </c>
      <c r="BE292" t="e">
        <f>AND(#REF!,"AAAAAHPkdTg=")</f>
        <v>#REF!</v>
      </c>
      <c r="BF292" t="e">
        <f>AND(#REF!,"AAAAAHPkdTk=")</f>
        <v>#REF!</v>
      </c>
      <c r="BG292" t="e">
        <f>AND(#REF!,"AAAAAHPkdTo=")</f>
        <v>#REF!</v>
      </c>
      <c r="BH292" t="e">
        <f>AND(#REF!,"AAAAAHPkdTs=")</f>
        <v>#REF!</v>
      </c>
      <c r="BI292" t="e">
        <f>AND(#REF!,"AAAAAHPkdTw=")</f>
        <v>#REF!</v>
      </c>
      <c r="BJ292" t="e">
        <f>AND(#REF!,"AAAAAHPkdT0=")</f>
        <v>#REF!</v>
      </c>
      <c r="BK292" t="e">
        <f>AND(#REF!,"AAAAAHPkdT4=")</f>
        <v>#REF!</v>
      </c>
      <c r="BL292" t="e">
        <f>AND(#REF!,"AAAAAHPkdT8=")</f>
        <v>#REF!</v>
      </c>
      <c r="BM292" t="e">
        <f>AND(#REF!,"AAAAAHPkdUA=")</f>
        <v>#REF!</v>
      </c>
      <c r="BN292" t="e">
        <f>AND(#REF!,"AAAAAHPkdUE=")</f>
        <v>#REF!</v>
      </c>
      <c r="BO292" t="e">
        <f>AND(#REF!,"AAAAAHPkdUI=")</f>
        <v>#REF!</v>
      </c>
      <c r="BP292" t="e">
        <f>AND(#REF!,"AAAAAHPkdUM=")</f>
        <v>#REF!</v>
      </c>
      <c r="BQ292" t="e">
        <f>AND(#REF!,"AAAAAHPkdUQ=")</f>
        <v>#REF!</v>
      </c>
      <c r="BR292" t="e">
        <f>AND(#REF!,"AAAAAHPkdUU=")</f>
        <v>#REF!</v>
      </c>
      <c r="BS292" t="e">
        <f>AND(#REF!,"AAAAAHPkdUY=")</f>
        <v>#REF!</v>
      </c>
      <c r="BT292" t="e">
        <f>AND(#REF!,"AAAAAHPkdUc=")</f>
        <v>#REF!</v>
      </c>
      <c r="BU292" t="e">
        <f>AND(#REF!,"AAAAAHPkdUg=")</f>
        <v>#REF!</v>
      </c>
      <c r="BV292" t="e">
        <f>AND(#REF!,"AAAAAHPkdUk=")</f>
        <v>#REF!</v>
      </c>
      <c r="BW292" t="e">
        <f>AND(#REF!,"AAAAAHPkdUo=")</f>
        <v>#REF!</v>
      </c>
      <c r="BX292" t="e">
        <f>AND(#REF!,"AAAAAHPkdUs=")</f>
        <v>#REF!</v>
      </c>
      <c r="BY292" t="e">
        <f>AND(#REF!,"AAAAAHPkdUw=")</f>
        <v>#REF!</v>
      </c>
      <c r="BZ292" t="e">
        <f>AND(#REF!,"AAAAAHPkdU0=")</f>
        <v>#REF!</v>
      </c>
      <c r="CA292" t="e">
        <f>AND(#REF!,"AAAAAHPkdU4=")</f>
        <v>#REF!</v>
      </c>
      <c r="CB292" t="e">
        <f>AND(#REF!,"AAAAAHPkdU8=")</f>
        <v>#REF!</v>
      </c>
      <c r="CC292" t="e">
        <f>AND(#REF!,"AAAAAHPkdVA=")</f>
        <v>#REF!</v>
      </c>
      <c r="CD292" t="e">
        <f>AND(#REF!,"AAAAAHPkdVE=")</f>
        <v>#REF!</v>
      </c>
      <c r="CE292" t="e">
        <f>AND(#REF!,"AAAAAHPkdVI=")</f>
        <v>#REF!</v>
      </c>
      <c r="CF292" t="e">
        <f>AND(#REF!,"AAAAAHPkdVM=")</f>
        <v>#REF!</v>
      </c>
      <c r="CG292" t="e">
        <f>AND(#REF!,"AAAAAHPkdVQ=")</f>
        <v>#REF!</v>
      </c>
      <c r="CH292" t="e">
        <f>AND(#REF!,"AAAAAHPkdVU=")</f>
        <v>#REF!</v>
      </c>
      <c r="CI292" t="e">
        <f>AND(#REF!,"AAAAAHPkdVY=")</f>
        <v>#REF!</v>
      </c>
      <c r="CJ292" t="e">
        <f>AND(#REF!,"AAAAAHPkdVc=")</f>
        <v>#REF!</v>
      </c>
      <c r="CK292" t="e">
        <f>AND(#REF!,"AAAAAHPkdVg=")</f>
        <v>#REF!</v>
      </c>
      <c r="CL292" t="e">
        <f>AND(#REF!,"AAAAAHPkdVk=")</f>
        <v>#REF!</v>
      </c>
      <c r="CM292" t="e">
        <f>AND(#REF!,"AAAAAHPkdVo=")</f>
        <v>#REF!</v>
      </c>
      <c r="CN292" t="e">
        <f>AND(#REF!,"AAAAAHPkdVs=")</f>
        <v>#REF!</v>
      </c>
      <c r="CO292" t="e">
        <f>AND(#REF!,"AAAAAHPkdVw=")</f>
        <v>#REF!</v>
      </c>
      <c r="CP292" t="e">
        <f>AND(#REF!,"AAAAAHPkdV0=")</f>
        <v>#REF!</v>
      </c>
      <c r="CQ292" t="e">
        <f>AND(#REF!,"AAAAAHPkdV4=")</f>
        <v>#REF!</v>
      </c>
      <c r="CR292" t="e">
        <f>AND(#REF!,"AAAAAHPkdV8=")</f>
        <v>#REF!</v>
      </c>
      <c r="CS292" t="e">
        <f>AND(#REF!,"AAAAAHPkdWA=")</f>
        <v>#REF!</v>
      </c>
      <c r="CT292" t="e">
        <f>AND(#REF!,"AAAAAHPkdWE=")</f>
        <v>#REF!</v>
      </c>
      <c r="CU292" t="e">
        <f>AND(#REF!,"AAAAAHPkdWI=")</f>
        <v>#REF!</v>
      </c>
      <c r="CV292" t="e">
        <f>IF(#REF!,"AAAAAHPkdWM=",0)</f>
        <v>#REF!</v>
      </c>
      <c r="CW292" t="e">
        <f>AND(#REF!,"AAAAAHPkdWQ=")</f>
        <v>#REF!</v>
      </c>
      <c r="CX292" t="e">
        <f>AND(#REF!,"AAAAAHPkdWU=")</f>
        <v>#REF!</v>
      </c>
      <c r="CY292" t="e">
        <f>AND(#REF!,"AAAAAHPkdWY=")</f>
        <v>#REF!</v>
      </c>
      <c r="CZ292" t="e">
        <f>AND(#REF!,"AAAAAHPkdWc=")</f>
        <v>#REF!</v>
      </c>
      <c r="DA292" t="e">
        <f>AND(#REF!,"AAAAAHPkdWg=")</f>
        <v>#REF!</v>
      </c>
      <c r="DB292" t="e">
        <f>AND(#REF!,"AAAAAHPkdWk=")</f>
        <v>#REF!</v>
      </c>
      <c r="DC292" t="e">
        <f>AND(#REF!,"AAAAAHPkdWo=")</f>
        <v>#REF!</v>
      </c>
      <c r="DD292" t="e">
        <f>AND(#REF!,"AAAAAHPkdWs=")</f>
        <v>#REF!</v>
      </c>
      <c r="DE292" t="e">
        <f>AND(#REF!,"AAAAAHPkdWw=")</f>
        <v>#REF!</v>
      </c>
      <c r="DF292" t="e">
        <f>AND(#REF!,"AAAAAHPkdW0=")</f>
        <v>#REF!</v>
      </c>
      <c r="DG292" t="e">
        <f>AND(#REF!,"AAAAAHPkdW4=")</f>
        <v>#REF!</v>
      </c>
      <c r="DH292" t="e">
        <f>AND(#REF!,"AAAAAHPkdW8=")</f>
        <v>#REF!</v>
      </c>
      <c r="DI292" t="e">
        <f>AND(#REF!,"AAAAAHPkdXA=")</f>
        <v>#REF!</v>
      </c>
      <c r="DJ292" t="e">
        <f>AND(#REF!,"AAAAAHPkdXE=")</f>
        <v>#REF!</v>
      </c>
      <c r="DK292" t="e">
        <f>AND(#REF!,"AAAAAHPkdXI=")</f>
        <v>#REF!</v>
      </c>
      <c r="DL292" t="e">
        <f>AND(#REF!,"AAAAAHPkdXM=")</f>
        <v>#REF!</v>
      </c>
      <c r="DM292" t="e">
        <f>AND(#REF!,"AAAAAHPkdXQ=")</f>
        <v>#REF!</v>
      </c>
      <c r="DN292" t="e">
        <f>AND(#REF!,"AAAAAHPkdXU=")</f>
        <v>#REF!</v>
      </c>
      <c r="DO292" t="e">
        <f>AND(#REF!,"AAAAAHPkdXY=")</f>
        <v>#REF!</v>
      </c>
      <c r="DP292" t="e">
        <f>AND(#REF!,"AAAAAHPkdXc=")</f>
        <v>#REF!</v>
      </c>
      <c r="DQ292" t="e">
        <f>AND(#REF!,"AAAAAHPkdXg=")</f>
        <v>#REF!</v>
      </c>
      <c r="DR292" t="e">
        <f>AND(#REF!,"AAAAAHPkdXk=")</f>
        <v>#REF!</v>
      </c>
      <c r="DS292" t="e">
        <f>AND(#REF!,"AAAAAHPkdXo=")</f>
        <v>#REF!</v>
      </c>
      <c r="DT292" t="e">
        <f>AND(#REF!,"AAAAAHPkdXs=")</f>
        <v>#REF!</v>
      </c>
      <c r="DU292" t="e">
        <f>AND(#REF!,"AAAAAHPkdXw=")</f>
        <v>#REF!</v>
      </c>
      <c r="DV292" t="e">
        <f>AND(#REF!,"AAAAAHPkdX0=")</f>
        <v>#REF!</v>
      </c>
      <c r="DW292" t="e">
        <f>AND(#REF!,"AAAAAHPkdX4=")</f>
        <v>#REF!</v>
      </c>
      <c r="DX292" t="e">
        <f>AND(#REF!,"AAAAAHPkdX8=")</f>
        <v>#REF!</v>
      </c>
      <c r="DY292" t="e">
        <f>AND(#REF!,"AAAAAHPkdYA=")</f>
        <v>#REF!</v>
      </c>
      <c r="DZ292" t="e">
        <f>AND(#REF!,"AAAAAHPkdYE=")</f>
        <v>#REF!</v>
      </c>
      <c r="EA292" t="e">
        <f>AND(#REF!,"AAAAAHPkdYI=")</f>
        <v>#REF!</v>
      </c>
      <c r="EB292" t="e">
        <f>AND(#REF!,"AAAAAHPkdYM=")</f>
        <v>#REF!</v>
      </c>
      <c r="EC292" t="e">
        <f>AND(#REF!,"AAAAAHPkdYQ=")</f>
        <v>#REF!</v>
      </c>
      <c r="ED292" t="e">
        <f>AND(#REF!,"AAAAAHPkdYU=")</f>
        <v>#REF!</v>
      </c>
      <c r="EE292" t="e">
        <f>AND(#REF!,"AAAAAHPkdYY=")</f>
        <v>#REF!</v>
      </c>
      <c r="EF292" t="e">
        <f>AND(#REF!,"AAAAAHPkdYc=")</f>
        <v>#REF!</v>
      </c>
      <c r="EG292" t="e">
        <f>AND(#REF!,"AAAAAHPkdYg=")</f>
        <v>#REF!</v>
      </c>
      <c r="EH292" t="e">
        <f>AND(#REF!,"AAAAAHPkdYk=")</f>
        <v>#REF!</v>
      </c>
      <c r="EI292" t="e">
        <f>AND(#REF!,"AAAAAHPkdYo=")</f>
        <v>#REF!</v>
      </c>
      <c r="EJ292" t="e">
        <f>AND(#REF!,"AAAAAHPkdYs=")</f>
        <v>#REF!</v>
      </c>
      <c r="EK292" t="e">
        <f>AND(#REF!,"AAAAAHPkdYw=")</f>
        <v>#REF!</v>
      </c>
      <c r="EL292" t="e">
        <f>AND(#REF!,"AAAAAHPkdY0=")</f>
        <v>#REF!</v>
      </c>
      <c r="EM292" t="e">
        <f>AND(#REF!,"AAAAAHPkdY4=")</f>
        <v>#REF!</v>
      </c>
      <c r="EN292" t="e">
        <f>AND(#REF!,"AAAAAHPkdY8=")</f>
        <v>#REF!</v>
      </c>
      <c r="EO292" t="e">
        <f>AND(#REF!,"AAAAAHPkdZA=")</f>
        <v>#REF!</v>
      </c>
      <c r="EP292" t="e">
        <f>AND(#REF!,"AAAAAHPkdZE=")</f>
        <v>#REF!</v>
      </c>
      <c r="EQ292" t="e">
        <f>AND(#REF!,"AAAAAHPkdZI=")</f>
        <v>#REF!</v>
      </c>
      <c r="ER292" t="e">
        <f>AND(#REF!,"AAAAAHPkdZM=")</f>
        <v>#REF!</v>
      </c>
      <c r="ES292" t="e">
        <f>AND(#REF!,"AAAAAHPkdZQ=")</f>
        <v>#REF!</v>
      </c>
      <c r="ET292" t="e">
        <f>AND(#REF!,"AAAAAHPkdZU=")</f>
        <v>#REF!</v>
      </c>
      <c r="EU292" t="e">
        <f>AND(#REF!,"AAAAAHPkdZY=")</f>
        <v>#REF!</v>
      </c>
      <c r="EV292" t="e">
        <f>IF(#REF!,"AAAAAHPkdZc=",0)</f>
        <v>#REF!</v>
      </c>
      <c r="EW292" t="e">
        <f>AND(#REF!,"AAAAAHPkdZg=")</f>
        <v>#REF!</v>
      </c>
      <c r="EX292" t="e">
        <f>AND(#REF!,"AAAAAHPkdZk=")</f>
        <v>#REF!</v>
      </c>
      <c r="EY292" t="e">
        <f>AND(#REF!,"AAAAAHPkdZo=")</f>
        <v>#REF!</v>
      </c>
      <c r="EZ292" t="e">
        <f>AND(#REF!,"AAAAAHPkdZs=")</f>
        <v>#REF!</v>
      </c>
      <c r="FA292" t="e">
        <f>AND(#REF!,"AAAAAHPkdZw=")</f>
        <v>#REF!</v>
      </c>
      <c r="FB292" t="e">
        <f>AND(#REF!,"AAAAAHPkdZ0=")</f>
        <v>#REF!</v>
      </c>
      <c r="FC292" t="e">
        <f>AND(#REF!,"AAAAAHPkdZ4=")</f>
        <v>#REF!</v>
      </c>
      <c r="FD292" t="e">
        <f>AND(#REF!,"AAAAAHPkdZ8=")</f>
        <v>#REF!</v>
      </c>
      <c r="FE292" t="e">
        <f>AND(#REF!,"AAAAAHPkdaA=")</f>
        <v>#REF!</v>
      </c>
      <c r="FF292" t="e">
        <f>AND(#REF!,"AAAAAHPkdaE=")</f>
        <v>#REF!</v>
      </c>
      <c r="FG292" t="e">
        <f>AND(#REF!,"AAAAAHPkdaI=")</f>
        <v>#REF!</v>
      </c>
      <c r="FH292" t="e">
        <f>AND(#REF!,"AAAAAHPkdaM=")</f>
        <v>#REF!</v>
      </c>
      <c r="FI292" t="e">
        <f>AND(#REF!,"AAAAAHPkdaQ=")</f>
        <v>#REF!</v>
      </c>
      <c r="FJ292" t="e">
        <f>AND(#REF!,"AAAAAHPkdaU=")</f>
        <v>#REF!</v>
      </c>
      <c r="FK292" t="e">
        <f>AND(#REF!,"AAAAAHPkdaY=")</f>
        <v>#REF!</v>
      </c>
      <c r="FL292" t="e">
        <f>AND(#REF!,"AAAAAHPkdac=")</f>
        <v>#REF!</v>
      </c>
      <c r="FM292" t="e">
        <f>AND(#REF!,"AAAAAHPkdag=")</f>
        <v>#REF!</v>
      </c>
      <c r="FN292" t="e">
        <f>AND(#REF!,"AAAAAHPkdak=")</f>
        <v>#REF!</v>
      </c>
      <c r="FO292" t="e">
        <f>AND(#REF!,"AAAAAHPkdao=")</f>
        <v>#REF!</v>
      </c>
      <c r="FP292" t="e">
        <f>AND(#REF!,"AAAAAHPkdas=")</f>
        <v>#REF!</v>
      </c>
      <c r="FQ292" t="e">
        <f>AND(#REF!,"AAAAAHPkdaw=")</f>
        <v>#REF!</v>
      </c>
      <c r="FR292" t="e">
        <f>AND(#REF!,"AAAAAHPkda0=")</f>
        <v>#REF!</v>
      </c>
      <c r="FS292" t="e">
        <f>AND(#REF!,"AAAAAHPkda4=")</f>
        <v>#REF!</v>
      </c>
      <c r="FT292" t="e">
        <f>AND(#REF!,"AAAAAHPkda8=")</f>
        <v>#REF!</v>
      </c>
      <c r="FU292" t="e">
        <f>AND(#REF!,"AAAAAHPkdbA=")</f>
        <v>#REF!</v>
      </c>
      <c r="FV292" t="e">
        <f>AND(#REF!,"AAAAAHPkdbE=")</f>
        <v>#REF!</v>
      </c>
      <c r="FW292" t="e">
        <f>AND(#REF!,"AAAAAHPkdbI=")</f>
        <v>#REF!</v>
      </c>
      <c r="FX292" t="e">
        <f>AND(#REF!,"AAAAAHPkdbM=")</f>
        <v>#REF!</v>
      </c>
      <c r="FY292" t="e">
        <f>AND(#REF!,"AAAAAHPkdbQ=")</f>
        <v>#REF!</v>
      </c>
      <c r="FZ292" t="e">
        <f>AND(#REF!,"AAAAAHPkdbU=")</f>
        <v>#REF!</v>
      </c>
      <c r="GA292" t="e">
        <f>AND(#REF!,"AAAAAHPkdbY=")</f>
        <v>#REF!</v>
      </c>
      <c r="GB292" t="e">
        <f>AND(#REF!,"AAAAAHPkdbc=")</f>
        <v>#REF!</v>
      </c>
      <c r="GC292" t="e">
        <f>AND(#REF!,"AAAAAHPkdbg=")</f>
        <v>#REF!</v>
      </c>
      <c r="GD292" t="e">
        <f>AND(#REF!,"AAAAAHPkdbk=")</f>
        <v>#REF!</v>
      </c>
      <c r="GE292" t="e">
        <f>AND(#REF!,"AAAAAHPkdbo=")</f>
        <v>#REF!</v>
      </c>
      <c r="GF292" t="e">
        <f>AND(#REF!,"AAAAAHPkdbs=")</f>
        <v>#REF!</v>
      </c>
      <c r="GG292" t="e">
        <f>AND(#REF!,"AAAAAHPkdbw=")</f>
        <v>#REF!</v>
      </c>
      <c r="GH292" t="e">
        <f>AND(#REF!,"AAAAAHPkdb0=")</f>
        <v>#REF!</v>
      </c>
      <c r="GI292" t="e">
        <f>AND(#REF!,"AAAAAHPkdb4=")</f>
        <v>#REF!</v>
      </c>
      <c r="GJ292" t="e">
        <f>AND(#REF!,"AAAAAHPkdb8=")</f>
        <v>#REF!</v>
      </c>
      <c r="GK292" t="e">
        <f>AND(#REF!,"AAAAAHPkdcA=")</f>
        <v>#REF!</v>
      </c>
      <c r="GL292" t="e">
        <f>AND(#REF!,"AAAAAHPkdcE=")</f>
        <v>#REF!</v>
      </c>
      <c r="GM292" t="e">
        <f>AND(#REF!,"AAAAAHPkdcI=")</f>
        <v>#REF!</v>
      </c>
      <c r="GN292" t="e">
        <f>AND(#REF!,"AAAAAHPkdcM=")</f>
        <v>#REF!</v>
      </c>
      <c r="GO292" t="e">
        <f>AND(#REF!,"AAAAAHPkdcQ=")</f>
        <v>#REF!</v>
      </c>
      <c r="GP292" t="e">
        <f>AND(#REF!,"AAAAAHPkdcU=")</f>
        <v>#REF!</v>
      </c>
      <c r="GQ292" t="e">
        <f>AND(#REF!,"AAAAAHPkdcY=")</f>
        <v>#REF!</v>
      </c>
      <c r="GR292" t="e">
        <f>AND(#REF!,"AAAAAHPkdcc=")</f>
        <v>#REF!</v>
      </c>
      <c r="GS292" t="e">
        <f>AND(#REF!,"AAAAAHPkdcg=")</f>
        <v>#REF!</v>
      </c>
      <c r="GT292" t="e">
        <f>AND(#REF!,"AAAAAHPkdck=")</f>
        <v>#REF!</v>
      </c>
      <c r="GU292" t="e">
        <f>AND(#REF!,"AAAAAHPkdco=")</f>
        <v>#REF!</v>
      </c>
      <c r="GV292" t="e">
        <f>IF(#REF!,"AAAAAHPkdcs=",0)</f>
        <v>#REF!</v>
      </c>
      <c r="GW292" t="e">
        <f>AND(#REF!,"AAAAAHPkdcw=")</f>
        <v>#REF!</v>
      </c>
      <c r="GX292" t="e">
        <f>AND(#REF!,"AAAAAHPkdc0=")</f>
        <v>#REF!</v>
      </c>
      <c r="GY292" t="e">
        <f>AND(#REF!,"AAAAAHPkdc4=")</f>
        <v>#REF!</v>
      </c>
      <c r="GZ292" t="e">
        <f>AND(#REF!,"AAAAAHPkdc8=")</f>
        <v>#REF!</v>
      </c>
      <c r="HA292" t="e">
        <f>AND(#REF!,"AAAAAHPkddA=")</f>
        <v>#REF!</v>
      </c>
      <c r="HB292" t="e">
        <f>AND(#REF!,"AAAAAHPkddE=")</f>
        <v>#REF!</v>
      </c>
      <c r="HC292" t="e">
        <f>AND(#REF!,"AAAAAHPkddI=")</f>
        <v>#REF!</v>
      </c>
      <c r="HD292" t="e">
        <f>AND(#REF!,"AAAAAHPkddM=")</f>
        <v>#REF!</v>
      </c>
      <c r="HE292" t="e">
        <f>AND(#REF!,"AAAAAHPkddQ=")</f>
        <v>#REF!</v>
      </c>
      <c r="HF292" t="e">
        <f>AND(#REF!,"AAAAAHPkddU=")</f>
        <v>#REF!</v>
      </c>
      <c r="HG292" t="e">
        <f>AND(#REF!,"AAAAAHPkddY=")</f>
        <v>#REF!</v>
      </c>
      <c r="HH292" t="e">
        <f>AND(#REF!,"AAAAAHPkddc=")</f>
        <v>#REF!</v>
      </c>
      <c r="HI292" t="e">
        <f>AND(#REF!,"AAAAAHPkddg=")</f>
        <v>#REF!</v>
      </c>
      <c r="HJ292" t="e">
        <f>AND(#REF!,"AAAAAHPkddk=")</f>
        <v>#REF!</v>
      </c>
      <c r="HK292" t="e">
        <f>AND(#REF!,"AAAAAHPkddo=")</f>
        <v>#REF!</v>
      </c>
      <c r="HL292" t="e">
        <f>AND(#REF!,"AAAAAHPkdds=")</f>
        <v>#REF!</v>
      </c>
      <c r="HM292" t="e">
        <f>AND(#REF!,"AAAAAHPkddw=")</f>
        <v>#REF!</v>
      </c>
      <c r="HN292" t="e">
        <f>AND(#REF!,"AAAAAHPkdd0=")</f>
        <v>#REF!</v>
      </c>
      <c r="HO292" t="e">
        <f>AND(#REF!,"AAAAAHPkdd4=")</f>
        <v>#REF!</v>
      </c>
      <c r="HP292" t="e">
        <f>AND(#REF!,"AAAAAHPkdd8=")</f>
        <v>#REF!</v>
      </c>
      <c r="HQ292" t="e">
        <f>AND(#REF!,"AAAAAHPkdeA=")</f>
        <v>#REF!</v>
      </c>
      <c r="HR292" t="e">
        <f>AND(#REF!,"AAAAAHPkdeE=")</f>
        <v>#REF!</v>
      </c>
      <c r="HS292" t="e">
        <f>AND(#REF!,"AAAAAHPkdeI=")</f>
        <v>#REF!</v>
      </c>
      <c r="HT292" t="e">
        <f>AND(#REF!,"AAAAAHPkdeM=")</f>
        <v>#REF!</v>
      </c>
      <c r="HU292" t="e">
        <f>AND(#REF!,"AAAAAHPkdeQ=")</f>
        <v>#REF!</v>
      </c>
      <c r="HV292" t="e">
        <f>AND(#REF!,"AAAAAHPkdeU=")</f>
        <v>#REF!</v>
      </c>
      <c r="HW292" t="e">
        <f>AND(#REF!,"AAAAAHPkdeY=")</f>
        <v>#REF!</v>
      </c>
      <c r="HX292" t="e">
        <f>AND(#REF!,"AAAAAHPkdec=")</f>
        <v>#REF!</v>
      </c>
      <c r="HY292" t="e">
        <f>AND(#REF!,"AAAAAHPkdeg=")</f>
        <v>#REF!</v>
      </c>
      <c r="HZ292" t="e">
        <f>AND(#REF!,"AAAAAHPkdek=")</f>
        <v>#REF!</v>
      </c>
      <c r="IA292" t="e">
        <f>AND(#REF!,"AAAAAHPkdeo=")</f>
        <v>#REF!</v>
      </c>
      <c r="IB292" t="e">
        <f>AND(#REF!,"AAAAAHPkdes=")</f>
        <v>#REF!</v>
      </c>
      <c r="IC292" t="e">
        <f>AND(#REF!,"AAAAAHPkdew=")</f>
        <v>#REF!</v>
      </c>
      <c r="ID292" t="e">
        <f>AND(#REF!,"AAAAAHPkde0=")</f>
        <v>#REF!</v>
      </c>
      <c r="IE292" t="e">
        <f>AND(#REF!,"AAAAAHPkde4=")</f>
        <v>#REF!</v>
      </c>
      <c r="IF292" t="e">
        <f>AND(#REF!,"AAAAAHPkde8=")</f>
        <v>#REF!</v>
      </c>
      <c r="IG292" t="e">
        <f>AND(#REF!,"AAAAAHPkdfA=")</f>
        <v>#REF!</v>
      </c>
      <c r="IH292" t="e">
        <f>AND(#REF!,"AAAAAHPkdfE=")</f>
        <v>#REF!</v>
      </c>
      <c r="II292" t="e">
        <f>AND(#REF!,"AAAAAHPkdfI=")</f>
        <v>#REF!</v>
      </c>
      <c r="IJ292" t="e">
        <f>AND(#REF!,"AAAAAHPkdfM=")</f>
        <v>#REF!</v>
      </c>
      <c r="IK292" t="e">
        <f>AND(#REF!,"AAAAAHPkdfQ=")</f>
        <v>#REF!</v>
      </c>
      <c r="IL292" t="e">
        <f>AND(#REF!,"AAAAAHPkdfU=")</f>
        <v>#REF!</v>
      </c>
      <c r="IM292" t="e">
        <f>AND(#REF!,"AAAAAHPkdfY=")</f>
        <v>#REF!</v>
      </c>
      <c r="IN292" t="e">
        <f>AND(#REF!,"AAAAAHPkdfc=")</f>
        <v>#REF!</v>
      </c>
      <c r="IO292" t="e">
        <f>AND(#REF!,"AAAAAHPkdfg=")</f>
        <v>#REF!</v>
      </c>
      <c r="IP292" t="e">
        <f>AND(#REF!,"AAAAAHPkdfk=")</f>
        <v>#REF!</v>
      </c>
      <c r="IQ292" t="e">
        <f>AND(#REF!,"AAAAAHPkdfo=")</f>
        <v>#REF!</v>
      </c>
      <c r="IR292" t="e">
        <f>AND(#REF!,"AAAAAHPkdfs=")</f>
        <v>#REF!</v>
      </c>
      <c r="IS292" t="e">
        <f>AND(#REF!,"AAAAAHPkdfw=")</f>
        <v>#REF!</v>
      </c>
      <c r="IT292" t="e">
        <f>AND(#REF!,"AAAAAHPkdf0=")</f>
        <v>#REF!</v>
      </c>
      <c r="IU292" t="e">
        <f>AND(#REF!,"AAAAAHPkdf4=")</f>
        <v>#REF!</v>
      </c>
      <c r="IV292" t="e">
        <f>IF(#REF!,"AAAAAHPkdf8=",0)</f>
        <v>#REF!</v>
      </c>
    </row>
    <row r="293" spans="1:256">
      <c r="A293" t="e">
        <f>AND(#REF!,"AAAAAHvrqwA=")</f>
        <v>#REF!</v>
      </c>
      <c r="B293" t="e">
        <f>AND(#REF!,"AAAAAHvrqwE=")</f>
        <v>#REF!</v>
      </c>
      <c r="C293" t="e">
        <f>AND(#REF!,"AAAAAHvrqwI=")</f>
        <v>#REF!</v>
      </c>
      <c r="D293" t="e">
        <f>AND(#REF!,"AAAAAHvrqwM=")</f>
        <v>#REF!</v>
      </c>
      <c r="E293" t="e">
        <f>AND(#REF!,"AAAAAHvrqwQ=")</f>
        <v>#REF!</v>
      </c>
      <c r="F293" t="e">
        <f>AND(#REF!,"AAAAAHvrqwU=")</f>
        <v>#REF!</v>
      </c>
      <c r="G293" t="e">
        <f>AND(#REF!,"AAAAAHvrqwY=")</f>
        <v>#REF!</v>
      </c>
      <c r="H293" t="e">
        <f>AND(#REF!,"AAAAAHvrqwc=")</f>
        <v>#REF!</v>
      </c>
      <c r="I293" t="e">
        <f>AND(#REF!,"AAAAAHvrqwg=")</f>
        <v>#REF!</v>
      </c>
      <c r="J293" t="e">
        <f>AND(#REF!,"AAAAAHvrqwk=")</f>
        <v>#REF!</v>
      </c>
      <c r="K293" t="e">
        <f>AND(#REF!,"AAAAAHvrqwo=")</f>
        <v>#REF!</v>
      </c>
      <c r="L293" t="e">
        <f>AND(#REF!,"AAAAAHvrqws=")</f>
        <v>#REF!</v>
      </c>
      <c r="M293" t="e">
        <f>AND(#REF!,"AAAAAHvrqww=")</f>
        <v>#REF!</v>
      </c>
      <c r="N293" t="e">
        <f>AND(#REF!,"AAAAAHvrqw0=")</f>
        <v>#REF!</v>
      </c>
      <c r="O293" t="e">
        <f>AND(#REF!,"AAAAAHvrqw4=")</f>
        <v>#REF!</v>
      </c>
      <c r="P293" t="e">
        <f>AND(#REF!,"AAAAAHvrqw8=")</f>
        <v>#REF!</v>
      </c>
      <c r="Q293" t="e">
        <f>AND(#REF!,"AAAAAHvrqxA=")</f>
        <v>#REF!</v>
      </c>
      <c r="R293" t="e">
        <f>AND(#REF!,"AAAAAHvrqxE=")</f>
        <v>#REF!</v>
      </c>
      <c r="S293" t="e">
        <f>AND(#REF!,"AAAAAHvrqxI=")</f>
        <v>#REF!</v>
      </c>
      <c r="T293" t="e">
        <f>AND(#REF!,"AAAAAHvrqxM=")</f>
        <v>#REF!</v>
      </c>
      <c r="U293" t="e">
        <f>AND(#REF!,"AAAAAHvrqxQ=")</f>
        <v>#REF!</v>
      </c>
      <c r="V293" t="e">
        <f>AND(#REF!,"AAAAAHvrqxU=")</f>
        <v>#REF!</v>
      </c>
      <c r="W293" t="e">
        <f>AND(#REF!,"AAAAAHvrqxY=")</f>
        <v>#REF!</v>
      </c>
      <c r="X293" t="e">
        <f>AND(#REF!,"AAAAAHvrqxc=")</f>
        <v>#REF!</v>
      </c>
      <c r="Y293" t="e">
        <f>AND(#REF!,"AAAAAHvrqxg=")</f>
        <v>#REF!</v>
      </c>
      <c r="Z293" t="e">
        <f>AND(#REF!,"AAAAAHvrqxk=")</f>
        <v>#REF!</v>
      </c>
      <c r="AA293" t="e">
        <f>AND(#REF!,"AAAAAHvrqxo=")</f>
        <v>#REF!</v>
      </c>
      <c r="AB293" t="e">
        <f>AND(#REF!,"AAAAAHvrqxs=")</f>
        <v>#REF!</v>
      </c>
      <c r="AC293" t="e">
        <f>AND(#REF!,"AAAAAHvrqxw=")</f>
        <v>#REF!</v>
      </c>
      <c r="AD293" t="e">
        <f>AND(#REF!,"AAAAAHvrqx0=")</f>
        <v>#REF!</v>
      </c>
      <c r="AE293" t="e">
        <f>AND(#REF!,"AAAAAHvrqx4=")</f>
        <v>#REF!</v>
      </c>
      <c r="AF293" t="e">
        <f>AND(#REF!,"AAAAAHvrqx8=")</f>
        <v>#REF!</v>
      </c>
      <c r="AG293" t="e">
        <f>AND(#REF!,"AAAAAHvrqyA=")</f>
        <v>#REF!</v>
      </c>
      <c r="AH293" t="e">
        <f>AND(#REF!,"AAAAAHvrqyE=")</f>
        <v>#REF!</v>
      </c>
      <c r="AI293" t="e">
        <f>AND(#REF!,"AAAAAHvrqyI=")</f>
        <v>#REF!</v>
      </c>
      <c r="AJ293" t="e">
        <f>AND(#REF!,"AAAAAHvrqyM=")</f>
        <v>#REF!</v>
      </c>
      <c r="AK293" t="e">
        <f>AND(#REF!,"AAAAAHvrqyQ=")</f>
        <v>#REF!</v>
      </c>
      <c r="AL293" t="e">
        <f>AND(#REF!,"AAAAAHvrqyU=")</f>
        <v>#REF!</v>
      </c>
      <c r="AM293" t="e">
        <f>AND(#REF!,"AAAAAHvrqyY=")</f>
        <v>#REF!</v>
      </c>
      <c r="AN293" t="e">
        <f>AND(#REF!,"AAAAAHvrqyc=")</f>
        <v>#REF!</v>
      </c>
      <c r="AO293" t="e">
        <f>AND(#REF!,"AAAAAHvrqyg=")</f>
        <v>#REF!</v>
      </c>
      <c r="AP293" t="e">
        <f>AND(#REF!,"AAAAAHvrqyk=")</f>
        <v>#REF!</v>
      </c>
      <c r="AQ293" t="e">
        <f>AND(#REF!,"AAAAAHvrqyo=")</f>
        <v>#REF!</v>
      </c>
      <c r="AR293" t="e">
        <f>AND(#REF!,"AAAAAHvrqys=")</f>
        <v>#REF!</v>
      </c>
      <c r="AS293" t="e">
        <f>AND(#REF!,"AAAAAHvrqyw=")</f>
        <v>#REF!</v>
      </c>
      <c r="AT293" t="e">
        <f>AND(#REF!,"AAAAAHvrqy0=")</f>
        <v>#REF!</v>
      </c>
      <c r="AU293" t="e">
        <f>AND(#REF!,"AAAAAHvrqy4=")</f>
        <v>#REF!</v>
      </c>
      <c r="AV293" t="e">
        <f>AND(#REF!,"AAAAAHvrqy8=")</f>
        <v>#REF!</v>
      </c>
      <c r="AW293" t="e">
        <f>AND(#REF!,"AAAAAHvrqzA=")</f>
        <v>#REF!</v>
      </c>
      <c r="AX293" t="e">
        <f>AND(#REF!,"AAAAAHvrqzE=")</f>
        <v>#REF!</v>
      </c>
      <c r="AY293" t="e">
        <f>AND(#REF!,"AAAAAHvrqzI=")</f>
        <v>#REF!</v>
      </c>
      <c r="AZ293" t="e">
        <f>IF(#REF!,"AAAAAHvrqzM=",0)</f>
        <v>#REF!</v>
      </c>
      <c r="BA293" t="e">
        <f>AND(#REF!,"AAAAAHvrqzQ=")</f>
        <v>#REF!</v>
      </c>
      <c r="BB293" t="e">
        <f>AND(#REF!,"AAAAAHvrqzU=")</f>
        <v>#REF!</v>
      </c>
      <c r="BC293" t="e">
        <f>AND(#REF!,"AAAAAHvrqzY=")</f>
        <v>#REF!</v>
      </c>
      <c r="BD293" t="e">
        <f>AND(#REF!,"AAAAAHvrqzc=")</f>
        <v>#REF!</v>
      </c>
      <c r="BE293" t="e">
        <f>AND(#REF!,"AAAAAHvrqzg=")</f>
        <v>#REF!</v>
      </c>
      <c r="BF293" t="e">
        <f>AND(#REF!,"AAAAAHvrqzk=")</f>
        <v>#REF!</v>
      </c>
      <c r="BG293" t="e">
        <f>AND(#REF!,"AAAAAHvrqzo=")</f>
        <v>#REF!</v>
      </c>
      <c r="BH293" t="e">
        <f>AND(#REF!,"AAAAAHvrqzs=")</f>
        <v>#REF!</v>
      </c>
      <c r="BI293" t="e">
        <f>AND(#REF!,"AAAAAHvrqzw=")</f>
        <v>#REF!</v>
      </c>
      <c r="BJ293" t="e">
        <f>AND(#REF!,"AAAAAHvrqz0=")</f>
        <v>#REF!</v>
      </c>
      <c r="BK293" t="e">
        <f>AND(#REF!,"AAAAAHvrqz4=")</f>
        <v>#REF!</v>
      </c>
      <c r="BL293" t="e">
        <f>AND(#REF!,"AAAAAHvrqz8=")</f>
        <v>#REF!</v>
      </c>
      <c r="BM293" t="e">
        <f>AND(#REF!,"AAAAAHvrq0A=")</f>
        <v>#REF!</v>
      </c>
      <c r="BN293" t="e">
        <f>AND(#REF!,"AAAAAHvrq0E=")</f>
        <v>#REF!</v>
      </c>
      <c r="BO293" t="e">
        <f>AND(#REF!,"AAAAAHvrq0I=")</f>
        <v>#REF!</v>
      </c>
      <c r="BP293" t="e">
        <f>AND(#REF!,"AAAAAHvrq0M=")</f>
        <v>#REF!</v>
      </c>
      <c r="BQ293" t="e">
        <f>AND(#REF!,"AAAAAHvrq0Q=")</f>
        <v>#REF!</v>
      </c>
      <c r="BR293" t="e">
        <f>AND(#REF!,"AAAAAHvrq0U=")</f>
        <v>#REF!</v>
      </c>
      <c r="BS293" t="e">
        <f>AND(#REF!,"AAAAAHvrq0Y=")</f>
        <v>#REF!</v>
      </c>
      <c r="BT293" t="e">
        <f>AND(#REF!,"AAAAAHvrq0c=")</f>
        <v>#REF!</v>
      </c>
      <c r="BU293" t="e">
        <f>AND(#REF!,"AAAAAHvrq0g=")</f>
        <v>#REF!</v>
      </c>
      <c r="BV293" t="e">
        <f>AND(#REF!,"AAAAAHvrq0k=")</f>
        <v>#REF!</v>
      </c>
      <c r="BW293" t="e">
        <f>AND(#REF!,"AAAAAHvrq0o=")</f>
        <v>#REF!</v>
      </c>
      <c r="BX293" t="e">
        <f>AND(#REF!,"AAAAAHvrq0s=")</f>
        <v>#REF!</v>
      </c>
      <c r="BY293" t="e">
        <f>AND(#REF!,"AAAAAHvrq0w=")</f>
        <v>#REF!</v>
      </c>
      <c r="BZ293" t="e">
        <f>AND(#REF!,"AAAAAHvrq00=")</f>
        <v>#REF!</v>
      </c>
      <c r="CA293" t="e">
        <f>AND(#REF!,"AAAAAHvrq04=")</f>
        <v>#REF!</v>
      </c>
      <c r="CB293" t="e">
        <f>AND(#REF!,"AAAAAHvrq08=")</f>
        <v>#REF!</v>
      </c>
      <c r="CC293" t="e">
        <f>AND(#REF!,"AAAAAHvrq1A=")</f>
        <v>#REF!</v>
      </c>
      <c r="CD293" t="e">
        <f>AND(#REF!,"AAAAAHvrq1E=")</f>
        <v>#REF!</v>
      </c>
      <c r="CE293" t="e">
        <f>AND(#REF!,"AAAAAHvrq1I=")</f>
        <v>#REF!</v>
      </c>
      <c r="CF293" t="e">
        <f>AND(#REF!,"AAAAAHvrq1M=")</f>
        <v>#REF!</v>
      </c>
      <c r="CG293" t="e">
        <f>AND(#REF!,"AAAAAHvrq1Q=")</f>
        <v>#REF!</v>
      </c>
      <c r="CH293" t="e">
        <f>AND(#REF!,"AAAAAHvrq1U=")</f>
        <v>#REF!</v>
      </c>
      <c r="CI293" t="e">
        <f>AND(#REF!,"AAAAAHvrq1Y=")</f>
        <v>#REF!</v>
      </c>
      <c r="CJ293" t="e">
        <f>AND(#REF!,"AAAAAHvrq1c=")</f>
        <v>#REF!</v>
      </c>
      <c r="CK293" t="e">
        <f>AND(#REF!,"AAAAAHvrq1g=")</f>
        <v>#REF!</v>
      </c>
      <c r="CL293" t="e">
        <f>AND(#REF!,"AAAAAHvrq1k=")</f>
        <v>#REF!</v>
      </c>
      <c r="CM293" t="e">
        <f>AND(#REF!,"AAAAAHvrq1o=")</f>
        <v>#REF!</v>
      </c>
      <c r="CN293" t="e">
        <f>AND(#REF!,"AAAAAHvrq1s=")</f>
        <v>#REF!</v>
      </c>
      <c r="CO293" t="e">
        <f>AND(#REF!,"AAAAAHvrq1w=")</f>
        <v>#REF!</v>
      </c>
      <c r="CP293" t="e">
        <f>AND(#REF!,"AAAAAHvrq10=")</f>
        <v>#REF!</v>
      </c>
      <c r="CQ293" t="e">
        <f>AND(#REF!,"AAAAAHvrq14=")</f>
        <v>#REF!</v>
      </c>
      <c r="CR293" t="e">
        <f>AND(#REF!,"AAAAAHvrq18=")</f>
        <v>#REF!</v>
      </c>
      <c r="CS293" t="e">
        <f>AND(#REF!,"AAAAAHvrq2A=")</f>
        <v>#REF!</v>
      </c>
      <c r="CT293" t="e">
        <f>AND(#REF!,"AAAAAHvrq2E=")</f>
        <v>#REF!</v>
      </c>
      <c r="CU293" t="e">
        <f>AND(#REF!,"AAAAAHvrq2I=")</f>
        <v>#REF!</v>
      </c>
      <c r="CV293" t="e">
        <f>AND(#REF!,"AAAAAHvrq2M=")</f>
        <v>#REF!</v>
      </c>
      <c r="CW293" t="e">
        <f>AND(#REF!,"AAAAAHvrq2Q=")</f>
        <v>#REF!</v>
      </c>
      <c r="CX293" t="e">
        <f>AND(#REF!,"AAAAAHvrq2U=")</f>
        <v>#REF!</v>
      </c>
      <c r="CY293" t="e">
        <f>AND(#REF!,"AAAAAHvrq2Y=")</f>
        <v>#REF!</v>
      </c>
      <c r="CZ293" t="e">
        <f>IF(#REF!,"AAAAAHvrq2c=",0)</f>
        <v>#REF!</v>
      </c>
      <c r="DA293" t="e">
        <f>AND(#REF!,"AAAAAHvrq2g=")</f>
        <v>#REF!</v>
      </c>
      <c r="DB293" t="e">
        <f>AND(#REF!,"AAAAAHvrq2k=")</f>
        <v>#REF!</v>
      </c>
      <c r="DC293" t="e">
        <f>AND(#REF!,"AAAAAHvrq2o=")</f>
        <v>#REF!</v>
      </c>
      <c r="DD293" t="e">
        <f>AND(#REF!,"AAAAAHvrq2s=")</f>
        <v>#REF!</v>
      </c>
      <c r="DE293" t="e">
        <f>AND(#REF!,"AAAAAHvrq2w=")</f>
        <v>#REF!</v>
      </c>
      <c r="DF293" t="e">
        <f>AND(#REF!,"AAAAAHvrq20=")</f>
        <v>#REF!</v>
      </c>
      <c r="DG293" t="e">
        <f>AND(#REF!,"AAAAAHvrq24=")</f>
        <v>#REF!</v>
      </c>
      <c r="DH293" t="e">
        <f>AND(#REF!,"AAAAAHvrq28=")</f>
        <v>#REF!</v>
      </c>
      <c r="DI293" t="e">
        <f>AND(#REF!,"AAAAAHvrq3A=")</f>
        <v>#REF!</v>
      </c>
      <c r="DJ293" t="e">
        <f>AND(#REF!,"AAAAAHvrq3E=")</f>
        <v>#REF!</v>
      </c>
      <c r="DK293" t="e">
        <f>AND(#REF!,"AAAAAHvrq3I=")</f>
        <v>#REF!</v>
      </c>
      <c r="DL293" t="e">
        <f>AND(#REF!,"AAAAAHvrq3M=")</f>
        <v>#REF!</v>
      </c>
      <c r="DM293" t="e">
        <f>AND(#REF!,"AAAAAHvrq3Q=")</f>
        <v>#REF!</v>
      </c>
      <c r="DN293" t="e">
        <f>AND(#REF!,"AAAAAHvrq3U=")</f>
        <v>#REF!</v>
      </c>
      <c r="DO293" t="e">
        <f>AND(#REF!,"AAAAAHvrq3Y=")</f>
        <v>#REF!</v>
      </c>
      <c r="DP293" t="e">
        <f>AND(#REF!,"AAAAAHvrq3c=")</f>
        <v>#REF!</v>
      </c>
      <c r="DQ293" t="e">
        <f>AND(#REF!,"AAAAAHvrq3g=")</f>
        <v>#REF!</v>
      </c>
      <c r="DR293" t="e">
        <f>AND(#REF!,"AAAAAHvrq3k=")</f>
        <v>#REF!</v>
      </c>
      <c r="DS293" t="e">
        <f>AND(#REF!,"AAAAAHvrq3o=")</f>
        <v>#REF!</v>
      </c>
      <c r="DT293" t="e">
        <f>AND(#REF!,"AAAAAHvrq3s=")</f>
        <v>#REF!</v>
      </c>
      <c r="DU293" t="e">
        <f>AND(#REF!,"AAAAAHvrq3w=")</f>
        <v>#REF!</v>
      </c>
      <c r="DV293" t="e">
        <f>AND(#REF!,"AAAAAHvrq30=")</f>
        <v>#REF!</v>
      </c>
      <c r="DW293" t="e">
        <f>AND(#REF!,"AAAAAHvrq34=")</f>
        <v>#REF!</v>
      </c>
      <c r="DX293" t="e">
        <f>AND(#REF!,"AAAAAHvrq38=")</f>
        <v>#REF!</v>
      </c>
      <c r="DY293" t="e">
        <f>AND(#REF!,"AAAAAHvrq4A=")</f>
        <v>#REF!</v>
      </c>
      <c r="DZ293" t="e">
        <f>AND(#REF!,"AAAAAHvrq4E=")</f>
        <v>#REF!</v>
      </c>
      <c r="EA293" t="e">
        <f>AND(#REF!,"AAAAAHvrq4I=")</f>
        <v>#REF!</v>
      </c>
      <c r="EB293" t="e">
        <f>AND(#REF!,"AAAAAHvrq4M=")</f>
        <v>#REF!</v>
      </c>
      <c r="EC293" t="e">
        <f>AND(#REF!,"AAAAAHvrq4Q=")</f>
        <v>#REF!</v>
      </c>
      <c r="ED293" t="e">
        <f>AND(#REF!,"AAAAAHvrq4U=")</f>
        <v>#REF!</v>
      </c>
      <c r="EE293" t="e">
        <f>AND(#REF!,"AAAAAHvrq4Y=")</f>
        <v>#REF!</v>
      </c>
      <c r="EF293" t="e">
        <f>AND(#REF!,"AAAAAHvrq4c=")</f>
        <v>#REF!</v>
      </c>
      <c r="EG293" t="e">
        <f>AND(#REF!,"AAAAAHvrq4g=")</f>
        <v>#REF!</v>
      </c>
      <c r="EH293" t="e">
        <f>AND(#REF!,"AAAAAHvrq4k=")</f>
        <v>#REF!</v>
      </c>
      <c r="EI293" t="e">
        <f>AND(#REF!,"AAAAAHvrq4o=")</f>
        <v>#REF!</v>
      </c>
      <c r="EJ293" t="e">
        <f>AND(#REF!,"AAAAAHvrq4s=")</f>
        <v>#REF!</v>
      </c>
      <c r="EK293" t="e">
        <f>AND(#REF!,"AAAAAHvrq4w=")</f>
        <v>#REF!</v>
      </c>
      <c r="EL293" t="e">
        <f>AND(#REF!,"AAAAAHvrq40=")</f>
        <v>#REF!</v>
      </c>
      <c r="EM293" t="e">
        <f>AND(#REF!,"AAAAAHvrq44=")</f>
        <v>#REF!</v>
      </c>
      <c r="EN293" t="e">
        <f>AND(#REF!,"AAAAAHvrq48=")</f>
        <v>#REF!</v>
      </c>
      <c r="EO293" t="e">
        <f>AND(#REF!,"AAAAAHvrq5A=")</f>
        <v>#REF!</v>
      </c>
      <c r="EP293" t="e">
        <f>AND(#REF!,"AAAAAHvrq5E=")</f>
        <v>#REF!</v>
      </c>
      <c r="EQ293" t="e">
        <f>AND(#REF!,"AAAAAHvrq5I=")</f>
        <v>#REF!</v>
      </c>
      <c r="ER293" t="e">
        <f>AND(#REF!,"AAAAAHvrq5M=")</f>
        <v>#REF!</v>
      </c>
      <c r="ES293" t="e">
        <f>AND(#REF!,"AAAAAHvrq5Q=")</f>
        <v>#REF!</v>
      </c>
      <c r="ET293" t="e">
        <f>AND(#REF!,"AAAAAHvrq5U=")</f>
        <v>#REF!</v>
      </c>
      <c r="EU293" t="e">
        <f>AND(#REF!,"AAAAAHvrq5Y=")</f>
        <v>#REF!</v>
      </c>
      <c r="EV293" t="e">
        <f>AND(#REF!,"AAAAAHvrq5c=")</f>
        <v>#REF!</v>
      </c>
      <c r="EW293" t="e">
        <f>AND(#REF!,"AAAAAHvrq5g=")</f>
        <v>#REF!</v>
      </c>
      <c r="EX293" t="e">
        <f>AND(#REF!,"AAAAAHvrq5k=")</f>
        <v>#REF!</v>
      </c>
      <c r="EY293" t="e">
        <f>AND(#REF!,"AAAAAHvrq5o=")</f>
        <v>#REF!</v>
      </c>
      <c r="EZ293" t="e">
        <f>IF(#REF!,"AAAAAHvrq5s=",0)</f>
        <v>#REF!</v>
      </c>
      <c r="FA293" t="e">
        <f>AND(#REF!,"AAAAAHvrq5w=")</f>
        <v>#REF!</v>
      </c>
      <c r="FB293" t="e">
        <f>AND(#REF!,"AAAAAHvrq50=")</f>
        <v>#REF!</v>
      </c>
      <c r="FC293" t="e">
        <f>AND(#REF!,"AAAAAHvrq54=")</f>
        <v>#REF!</v>
      </c>
      <c r="FD293" t="e">
        <f>AND(#REF!,"AAAAAHvrq58=")</f>
        <v>#REF!</v>
      </c>
      <c r="FE293" t="e">
        <f>AND(#REF!,"AAAAAHvrq6A=")</f>
        <v>#REF!</v>
      </c>
      <c r="FF293" t="e">
        <f>AND(#REF!,"AAAAAHvrq6E=")</f>
        <v>#REF!</v>
      </c>
      <c r="FG293" t="e">
        <f>AND(#REF!,"AAAAAHvrq6I=")</f>
        <v>#REF!</v>
      </c>
      <c r="FH293" t="e">
        <f>AND(#REF!,"AAAAAHvrq6M=")</f>
        <v>#REF!</v>
      </c>
      <c r="FI293" t="e">
        <f>AND(#REF!,"AAAAAHvrq6Q=")</f>
        <v>#REF!</v>
      </c>
      <c r="FJ293" t="e">
        <f>AND(#REF!,"AAAAAHvrq6U=")</f>
        <v>#REF!</v>
      </c>
      <c r="FK293" t="e">
        <f>AND(#REF!,"AAAAAHvrq6Y=")</f>
        <v>#REF!</v>
      </c>
      <c r="FL293" t="e">
        <f>AND(#REF!,"AAAAAHvrq6c=")</f>
        <v>#REF!</v>
      </c>
      <c r="FM293" t="e">
        <f>AND(#REF!,"AAAAAHvrq6g=")</f>
        <v>#REF!</v>
      </c>
      <c r="FN293" t="e">
        <f>AND(#REF!,"AAAAAHvrq6k=")</f>
        <v>#REF!</v>
      </c>
      <c r="FO293" t="e">
        <f>AND(#REF!,"AAAAAHvrq6o=")</f>
        <v>#REF!</v>
      </c>
      <c r="FP293" t="e">
        <f>AND(#REF!,"AAAAAHvrq6s=")</f>
        <v>#REF!</v>
      </c>
      <c r="FQ293" t="e">
        <f>AND(#REF!,"AAAAAHvrq6w=")</f>
        <v>#REF!</v>
      </c>
      <c r="FR293" t="e">
        <f>AND(#REF!,"AAAAAHvrq60=")</f>
        <v>#REF!</v>
      </c>
      <c r="FS293" t="e">
        <f>AND(#REF!,"AAAAAHvrq64=")</f>
        <v>#REF!</v>
      </c>
      <c r="FT293" t="e">
        <f>AND(#REF!,"AAAAAHvrq68=")</f>
        <v>#REF!</v>
      </c>
      <c r="FU293" t="e">
        <f>AND(#REF!,"AAAAAHvrq7A=")</f>
        <v>#REF!</v>
      </c>
      <c r="FV293" t="e">
        <f>AND(#REF!,"AAAAAHvrq7E=")</f>
        <v>#REF!</v>
      </c>
      <c r="FW293" t="e">
        <f>AND(#REF!,"AAAAAHvrq7I=")</f>
        <v>#REF!</v>
      </c>
      <c r="FX293" t="e">
        <f>AND(#REF!,"AAAAAHvrq7M=")</f>
        <v>#REF!</v>
      </c>
      <c r="FY293" t="e">
        <f>AND(#REF!,"AAAAAHvrq7Q=")</f>
        <v>#REF!</v>
      </c>
      <c r="FZ293" t="e">
        <f>AND(#REF!,"AAAAAHvrq7U=")</f>
        <v>#REF!</v>
      </c>
      <c r="GA293" t="e">
        <f>AND(#REF!,"AAAAAHvrq7Y=")</f>
        <v>#REF!</v>
      </c>
      <c r="GB293" t="e">
        <f>AND(#REF!,"AAAAAHvrq7c=")</f>
        <v>#REF!</v>
      </c>
      <c r="GC293" t="e">
        <f>AND(#REF!,"AAAAAHvrq7g=")</f>
        <v>#REF!</v>
      </c>
      <c r="GD293" t="e">
        <f>AND(#REF!,"AAAAAHvrq7k=")</f>
        <v>#REF!</v>
      </c>
      <c r="GE293" t="e">
        <f>AND(#REF!,"AAAAAHvrq7o=")</f>
        <v>#REF!</v>
      </c>
      <c r="GF293" t="e">
        <f>AND(#REF!,"AAAAAHvrq7s=")</f>
        <v>#REF!</v>
      </c>
      <c r="GG293" t="e">
        <f>AND(#REF!,"AAAAAHvrq7w=")</f>
        <v>#REF!</v>
      </c>
      <c r="GH293" t="e">
        <f>AND(#REF!,"AAAAAHvrq70=")</f>
        <v>#REF!</v>
      </c>
      <c r="GI293" t="e">
        <f>AND(#REF!,"AAAAAHvrq74=")</f>
        <v>#REF!</v>
      </c>
      <c r="GJ293" t="e">
        <f>AND(#REF!,"AAAAAHvrq78=")</f>
        <v>#REF!</v>
      </c>
      <c r="GK293" t="e">
        <f>AND(#REF!,"AAAAAHvrq8A=")</f>
        <v>#REF!</v>
      </c>
      <c r="GL293" t="e">
        <f>AND(#REF!,"AAAAAHvrq8E=")</f>
        <v>#REF!</v>
      </c>
      <c r="GM293" t="e">
        <f>AND(#REF!,"AAAAAHvrq8I=")</f>
        <v>#REF!</v>
      </c>
      <c r="GN293" t="e">
        <f>AND(#REF!,"AAAAAHvrq8M=")</f>
        <v>#REF!</v>
      </c>
      <c r="GO293" t="e">
        <f>AND(#REF!,"AAAAAHvrq8Q=")</f>
        <v>#REF!</v>
      </c>
      <c r="GP293" t="e">
        <f>AND(#REF!,"AAAAAHvrq8U=")</f>
        <v>#REF!</v>
      </c>
      <c r="GQ293" t="e">
        <f>AND(#REF!,"AAAAAHvrq8Y=")</f>
        <v>#REF!</v>
      </c>
      <c r="GR293" t="e">
        <f>AND(#REF!,"AAAAAHvrq8c=")</f>
        <v>#REF!</v>
      </c>
      <c r="GS293" t="e">
        <f>AND(#REF!,"AAAAAHvrq8g=")</f>
        <v>#REF!</v>
      </c>
      <c r="GT293" t="e">
        <f>AND(#REF!,"AAAAAHvrq8k=")</f>
        <v>#REF!</v>
      </c>
      <c r="GU293" t="e">
        <f>AND(#REF!,"AAAAAHvrq8o=")</f>
        <v>#REF!</v>
      </c>
      <c r="GV293" t="e">
        <f>AND(#REF!,"AAAAAHvrq8s=")</f>
        <v>#REF!</v>
      </c>
      <c r="GW293" t="e">
        <f>AND(#REF!,"AAAAAHvrq8w=")</f>
        <v>#REF!</v>
      </c>
      <c r="GX293" t="e">
        <f>AND(#REF!,"AAAAAHvrq80=")</f>
        <v>#REF!</v>
      </c>
      <c r="GY293" t="e">
        <f>AND(#REF!,"AAAAAHvrq84=")</f>
        <v>#REF!</v>
      </c>
      <c r="GZ293" t="e">
        <f>IF(#REF!,"AAAAAHvrq88=",0)</f>
        <v>#REF!</v>
      </c>
      <c r="HA293" t="e">
        <f>AND(#REF!,"AAAAAHvrq9A=")</f>
        <v>#REF!</v>
      </c>
      <c r="HB293" t="e">
        <f>AND(#REF!,"AAAAAHvrq9E=")</f>
        <v>#REF!</v>
      </c>
      <c r="HC293" t="e">
        <f>AND(#REF!,"AAAAAHvrq9I=")</f>
        <v>#REF!</v>
      </c>
      <c r="HD293" t="e">
        <f>AND(#REF!,"AAAAAHvrq9M=")</f>
        <v>#REF!</v>
      </c>
      <c r="HE293" t="e">
        <f>AND(#REF!,"AAAAAHvrq9Q=")</f>
        <v>#REF!</v>
      </c>
      <c r="HF293" t="e">
        <f>AND(#REF!,"AAAAAHvrq9U=")</f>
        <v>#REF!</v>
      </c>
      <c r="HG293" t="e">
        <f>AND(#REF!,"AAAAAHvrq9Y=")</f>
        <v>#REF!</v>
      </c>
      <c r="HH293" t="e">
        <f>AND(#REF!,"AAAAAHvrq9c=")</f>
        <v>#REF!</v>
      </c>
      <c r="HI293" t="e">
        <f>AND(#REF!,"AAAAAHvrq9g=")</f>
        <v>#REF!</v>
      </c>
      <c r="HJ293" t="e">
        <f>AND(#REF!,"AAAAAHvrq9k=")</f>
        <v>#REF!</v>
      </c>
      <c r="HK293" t="e">
        <f>AND(#REF!,"AAAAAHvrq9o=")</f>
        <v>#REF!</v>
      </c>
      <c r="HL293" t="e">
        <f>AND(#REF!,"AAAAAHvrq9s=")</f>
        <v>#REF!</v>
      </c>
      <c r="HM293" t="e">
        <f>AND(#REF!,"AAAAAHvrq9w=")</f>
        <v>#REF!</v>
      </c>
      <c r="HN293" t="e">
        <f>AND(#REF!,"AAAAAHvrq90=")</f>
        <v>#REF!</v>
      </c>
      <c r="HO293" t="e">
        <f>AND(#REF!,"AAAAAHvrq94=")</f>
        <v>#REF!</v>
      </c>
      <c r="HP293" t="e">
        <f>AND(#REF!,"AAAAAHvrq98=")</f>
        <v>#REF!</v>
      </c>
      <c r="HQ293" t="e">
        <f>AND(#REF!,"AAAAAHvrq+A=")</f>
        <v>#REF!</v>
      </c>
      <c r="HR293" t="e">
        <f>AND(#REF!,"AAAAAHvrq+E=")</f>
        <v>#REF!</v>
      </c>
      <c r="HS293" t="e">
        <f>AND(#REF!,"AAAAAHvrq+I=")</f>
        <v>#REF!</v>
      </c>
      <c r="HT293" t="e">
        <f>AND(#REF!,"AAAAAHvrq+M=")</f>
        <v>#REF!</v>
      </c>
      <c r="HU293" t="e">
        <f>AND(#REF!,"AAAAAHvrq+Q=")</f>
        <v>#REF!</v>
      </c>
      <c r="HV293" t="e">
        <f>AND(#REF!,"AAAAAHvrq+U=")</f>
        <v>#REF!</v>
      </c>
      <c r="HW293" t="e">
        <f>AND(#REF!,"AAAAAHvrq+Y=")</f>
        <v>#REF!</v>
      </c>
      <c r="HX293" t="e">
        <f>AND(#REF!,"AAAAAHvrq+c=")</f>
        <v>#REF!</v>
      </c>
      <c r="HY293" t="e">
        <f>AND(#REF!,"AAAAAHvrq+g=")</f>
        <v>#REF!</v>
      </c>
      <c r="HZ293" t="e">
        <f>AND(#REF!,"AAAAAHvrq+k=")</f>
        <v>#REF!</v>
      </c>
      <c r="IA293" t="e">
        <f>AND(#REF!,"AAAAAHvrq+o=")</f>
        <v>#REF!</v>
      </c>
      <c r="IB293" t="e">
        <f>AND(#REF!,"AAAAAHvrq+s=")</f>
        <v>#REF!</v>
      </c>
      <c r="IC293" t="e">
        <f>AND(#REF!,"AAAAAHvrq+w=")</f>
        <v>#REF!</v>
      </c>
      <c r="ID293" t="e">
        <f>AND(#REF!,"AAAAAHvrq+0=")</f>
        <v>#REF!</v>
      </c>
      <c r="IE293" t="e">
        <f>AND(#REF!,"AAAAAHvrq+4=")</f>
        <v>#REF!</v>
      </c>
      <c r="IF293" t="e">
        <f>AND(#REF!,"AAAAAHvrq+8=")</f>
        <v>#REF!</v>
      </c>
      <c r="IG293" t="e">
        <f>AND(#REF!,"AAAAAHvrq/A=")</f>
        <v>#REF!</v>
      </c>
      <c r="IH293" t="e">
        <f>AND(#REF!,"AAAAAHvrq/E=")</f>
        <v>#REF!</v>
      </c>
      <c r="II293" t="e">
        <f>AND(#REF!,"AAAAAHvrq/I=")</f>
        <v>#REF!</v>
      </c>
      <c r="IJ293" t="e">
        <f>AND(#REF!,"AAAAAHvrq/M=")</f>
        <v>#REF!</v>
      </c>
      <c r="IK293" t="e">
        <f>AND(#REF!,"AAAAAHvrq/Q=")</f>
        <v>#REF!</v>
      </c>
      <c r="IL293" t="e">
        <f>AND(#REF!,"AAAAAHvrq/U=")</f>
        <v>#REF!</v>
      </c>
      <c r="IM293" t="e">
        <f>AND(#REF!,"AAAAAHvrq/Y=")</f>
        <v>#REF!</v>
      </c>
      <c r="IN293" t="e">
        <f>AND(#REF!,"AAAAAHvrq/c=")</f>
        <v>#REF!</v>
      </c>
      <c r="IO293" t="e">
        <f>AND(#REF!,"AAAAAHvrq/g=")</f>
        <v>#REF!</v>
      </c>
      <c r="IP293" t="e">
        <f>AND(#REF!,"AAAAAHvrq/k=")</f>
        <v>#REF!</v>
      </c>
      <c r="IQ293" t="e">
        <f>AND(#REF!,"AAAAAHvrq/o=")</f>
        <v>#REF!</v>
      </c>
      <c r="IR293" t="e">
        <f>AND(#REF!,"AAAAAHvrq/s=")</f>
        <v>#REF!</v>
      </c>
      <c r="IS293" t="e">
        <f>AND(#REF!,"AAAAAHvrq/w=")</f>
        <v>#REF!</v>
      </c>
      <c r="IT293" t="e">
        <f>AND(#REF!,"AAAAAHvrq/0=")</f>
        <v>#REF!</v>
      </c>
      <c r="IU293" t="e">
        <f>AND(#REF!,"AAAAAHvrq/4=")</f>
        <v>#REF!</v>
      </c>
      <c r="IV293" t="e">
        <f>AND(#REF!,"AAAAAHvrq/8=")</f>
        <v>#REF!</v>
      </c>
    </row>
    <row r="294" spans="1:256">
      <c r="A294" t="e">
        <f>AND(#REF!,"AAAAAG/tdQA=")</f>
        <v>#REF!</v>
      </c>
      <c r="B294" t="e">
        <f>AND(#REF!,"AAAAAG/tdQE=")</f>
        <v>#REF!</v>
      </c>
      <c r="C294" t="e">
        <f>AND(#REF!,"AAAAAG/tdQI=")</f>
        <v>#REF!</v>
      </c>
      <c r="D294" t="e">
        <f>IF(#REF!,"AAAAAG/tdQM=",0)</f>
        <v>#REF!</v>
      </c>
      <c r="E294" t="e">
        <f>AND(#REF!,"AAAAAG/tdQQ=")</f>
        <v>#REF!</v>
      </c>
      <c r="F294" t="e">
        <f>AND(#REF!,"AAAAAG/tdQU=")</f>
        <v>#REF!</v>
      </c>
      <c r="G294" t="e">
        <f>AND(#REF!,"AAAAAG/tdQY=")</f>
        <v>#REF!</v>
      </c>
      <c r="H294" t="e">
        <f>AND(#REF!,"AAAAAG/tdQc=")</f>
        <v>#REF!</v>
      </c>
      <c r="I294" t="e">
        <f>AND(#REF!,"AAAAAG/tdQg=")</f>
        <v>#REF!</v>
      </c>
      <c r="J294" t="e">
        <f>AND(#REF!,"AAAAAG/tdQk=")</f>
        <v>#REF!</v>
      </c>
      <c r="K294" t="e">
        <f>AND(#REF!,"AAAAAG/tdQo=")</f>
        <v>#REF!</v>
      </c>
      <c r="L294" t="e">
        <f>AND(#REF!,"AAAAAG/tdQs=")</f>
        <v>#REF!</v>
      </c>
      <c r="M294" t="e">
        <f>AND(#REF!,"AAAAAG/tdQw=")</f>
        <v>#REF!</v>
      </c>
      <c r="N294" t="e">
        <f>AND(#REF!,"AAAAAG/tdQ0=")</f>
        <v>#REF!</v>
      </c>
      <c r="O294" t="e">
        <f>AND(#REF!,"AAAAAG/tdQ4=")</f>
        <v>#REF!</v>
      </c>
      <c r="P294" t="e">
        <f>AND(#REF!,"AAAAAG/tdQ8=")</f>
        <v>#REF!</v>
      </c>
      <c r="Q294" t="e">
        <f>AND(#REF!,"AAAAAG/tdRA=")</f>
        <v>#REF!</v>
      </c>
      <c r="R294" t="e">
        <f>AND(#REF!,"AAAAAG/tdRE=")</f>
        <v>#REF!</v>
      </c>
      <c r="S294" t="e">
        <f>AND(#REF!,"AAAAAG/tdRI=")</f>
        <v>#REF!</v>
      </c>
      <c r="T294" t="e">
        <f>AND(#REF!,"AAAAAG/tdRM=")</f>
        <v>#REF!</v>
      </c>
      <c r="U294" t="e">
        <f>AND(#REF!,"AAAAAG/tdRQ=")</f>
        <v>#REF!</v>
      </c>
      <c r="V294" t="e">
        <f>AND(#REF!,"AAAAAG/tdRU=")</f>
        <v>#REF!</v>
      </c>
      <c r="W294" t="e">
        <f>AND(#REF!,"AAAAAG/tdRY=")</f>
        <v>#REF!</v>
      </c>
      <c r="X294" t="e">
        <f>AND(#REF!,"AAAAAG/tdRc=")</f>
        <v>#REF!</v>
      </c>
      <c r="Y294" t="e">
        <f>AND(#REF!,"AAAAAG/tdRg=")</f>
        <v>#REF!</v>
      </c>
      <c r="Z294" t="e">
        <f>AND(#REF!,"AAAAAG/tdRk=")</f>
        <v>#REF!</v>
      </c>
      <c r="AA294" t="e">
        <f>AND(#REF!,"AAAAAG/tdRo=")</f>
        <v>#REF!</v>
      </c>
      <c r="AB294" t="e">
        <f>AND(#REF!,"AAAAAG/tdRs=")</f>
        <v>#REF!</v>
      </c>
      <c r="AC294" t="e">
        <f>AND(#REF!,"AAAAAG/tdRw=")</f>
        <v>#REF!</v>
      </c>
      <c r="AD294" t="e">
        <f>AND(#REF!,"AAAAAG/tdR0=")</f>
        <v>#REF!</v>
      </c>
      <c r="AE294" t="e">
        <f>AND(#REF!,"AAAAAG/tdR4=")</f>
        <v>#REF!</v>
      </c>
      <c r="AF294" t="e">
        <f>AND(#REF!,"AAAAAG/tdR8=")</f>
        <v>#REF!</v>
      </c>
      <c r="AG294" t="e">
        <f>AND(#REF!,"AAAAAG/tdSA=")</f>
        <v>#REF!</v>
      </c>
      <c r="AH294" t="e">
        <f>AND(#REF!,"AAAAAG/tdSE=")</f>
        <v>#REF!</v>
      </c>
      <c r="AI294" t="e">
        <f>AND(#REF!,"AAAAAG/tdSI=")</f>
        <v>#REF!</v>
      </c>
      <c r="AJ294" t="e">
        <f>AND(#REF!,"AAAAAG/tdSM=")</f>
        <v>#REF!</v>
      </c>
      <c r="AK294" t="e">
        <f>AND(#REF!,"AAAAAG/tdSQ=")</f>
        <v>#REF!</v>
      </c>
      <c r="AL294" t="e">
        <f>AND(#REF!,"AAAAAG/tdSU=")</f>
        <v>#REF!</v>
      </c>
      <c r="AM294" t="e">
        <f>AND(#REF!,"AAAAAG/tdSY=")</f>
        <v>#REF!</v>
      </c>
      <c r="AN294" t="e">
        <f>AND(#REF!,"AAAAAG/tdSc=")</f>
        <v>#REF!</v>
      </c>
      <c r="AO294" t="e">
        <f>AND(#REF!,"AAAAAG/tdSg=")</f>
        <v>#REF!</v>
      </c>
      <c r="AP294" t="e">
        <f>AND(#REF!,"AAAAAG/tdSk=")</f>
        <v>#REF!</v>
      </c>
      <c r="AQ294" t="e">
        <f>AND(#REF!,"AAAAAG/tdSo=")</f>
        <v>#REF!</v>
      </c>
      <c r="AR294" t="e">
        <f>AND(#REF!,"AAAAAG/tdSs=")</f>
        <v>#REF!</v>
      </c>
      <c r="AS294" t="e">
        <f>AND(#REF!,"AAAAAG/tdSw=")</f>
        <v>#REF!</v>
      </c>
      <c r="AT294" t="e">
        <f>AND(#REF!,"AAAAAG/tdS0=")</f>
        <v>#REF!</v>
      </c>
      <c r="AU294" t="e">
        <f>AND(#REF!,"AAAAAG/tdS4=")</f>
        <v>#REF!</v>
      </c>
      <c r="AV294" t="e">
        <f>AND(#REF!,"AAAAAG/tdS8=")</f>
        <v>#REF!</v>
      </c>
      <c r="AW294" t="e">
        <f>AND(#REF!,"AAAAAG/tdTA=")</f>
        <v>#REF!</v>
      </c>
      <c r="AX294" t="e">
        <f>AND(#REF!,"AAAAAG/tdTE=")</f>
        <v>#REF!</v>
      </c>
      <c r="AY294" t="e">
        <f>AND(#REF!,"AAAAAG/tdTI=")</f>
        <v>#REF!</v>
      </c>
      <c r="AZ294" t="e">
        <f>AND(#REF!,"AAAAAG/tdTM=")</f>
        <v>#REF!</v>
      </c>
      <c r="BA294" t="e">
        <f>AND(#REF!,"AAAAAG/tdTQ=")</f>
        <v>#REF!</v>
      </c>
      <c r="BB294" t="e">
        <f>AND(#REF!,"AAAAAG/tdTU=")</f>
        <v>#REF!</v>
      </c>
      <c r="BC294" t="e">
        <f>AND(#REF!,"AAAAAG/tdTY=")</f>
        <v>#REF!</v>
      </c>
      <c r="BD294" t="e">
        <f>IF(#REF!,"AAAAAG/tdTc=",0)</f>
        <v>#REF!</v>
      </c>
      <c r="BE294" t="e">
        <f>AND(#REF!,"AAAAAG/tdTg=")</f>
        <v>#REF!</v>
      </c>
      <c r="BF294" t="e">
        <f>AND(#REF!,"AAAAAG/tdTk=")</f>
        <v>#REF!</v>
      </c>
      <c r="BG294" t="e">
        <f>AND(#REF!,"AAAAAG/tdTo=")</f>
        <v>#REF!</v>
      </c>
      <c r="BH294" t="e">
        <f>AND(#REF!,"AAAAAG/tdTs=")</f>
        <v>#REF!</v>
      </c>
      <c r="BI294" t="e">
        <f>AND(#REF!,"AAAAAG/tdTw=")</f>
        <v>#REF!</v>
      </c>
      <c r="BJ294" t="e">
        <f>AND(#REF!,"AAAAAG/tdT0=")</f>
        <v>#REF!</v>
      </c>
      <c r="BK294" t="e">
        <f>AND(#REF!,"AAAAAG/tdT4=")</f>
        <v>#REF!</v>
      </c>
      <c r="BL294" t="e">
        <f>AND(#REF!,"AAAAAG/tdT8=")</f>
        <v>#REF!</v>
      </c>
      <c r="BM294" t="e">
        <f>AND(#REF!,"AAAAAG/tdUA=")</f>
        <v>#REF!</v>
      </c>
      <c r="BN294" t="e">
        <f>AND(#REF!,"AAAAAG/tdUE=")</f>
        <v>#REF!</v>
      </c>
      <c r="BO294" t="e">
        <f>AND(#REF!,"AAAAAG/tdUI=")</f>
        <v>#REF!</v>
      </c>
      <c r="BP294" t="e">
        <f>AND(#REF!,"AAAAAG/tdUM=")</f>
        <v>#REF!</v>
      </c>
      <c r="BQ294" t="e">
        <f>AND(#REF!,"AAAAAG/tdUQ=")</f>
        <v>#REF!</v>
      </c>
      <c r="BR294" t="e">
        <f>AND(#REF!,"AAAAAG/tdUU=")</f>
        <v>#REF!</v>
      </c>
      <c r="BS294" t="e">
        <f>AND(#REF!,"AAAAAG/tdUY=")</f>
        <v>#REF!</v>
      </c>
      <c r="BT294" t="e">
        <f>AND(#REF!,"AAAAAG/tdUc=")</f>
        <v>#REF!</v>
      </c>
      <c r="BU294" t="e">
        <f>AND(#REF!,"AAAAAG/tdUg=")</f>
        <v>#REF!</v>
      </c>
      <c r="BV294" t="e">
        <f>AND(#REF!,"AAAAAG/tdUk=")</f>
        <v>#REF!</v>
      </c>
      <c r="BW294" t="e">
        <f>AND(#REF!,"AAAAAG/tdUo=")</f>
        <v>#REF!</v>
      </c>
      <c r="BX294" t="e">
        <f>AND(#REF!,"AAAAAG/tdUs=")</f>
        <v>#REF!</v>
      </c>
      <c r="BY294" t="e">
        <f>AND(#REF!,"AAAAAG/tdUw=")</f>
        <v>#REF!</v>
      </c>
      <c r="BZ294" t="e">
        <f>AND(#REF!,"AAAAAG/tdU0=")</f>
        <v>#REF!</v>
      </c>
      <c r="CA294" t="e">
        <f>AND(#REF!,"AAAAAG/tdU4=")</f>
        <v>#REF!</v>
      </c>
      <c r="CB294" t="e">
        <f>AND(#REF!,"AAAAAG/tdU8=")</f>
        <v>#REF!</v>
      </c>
      <c r="CC294" t="e">
        <f>AND(#REF!,"AAAAAG/tdVA=")</f>
        <v>#REF!</v>
      </c>
      <c r="CD294" t="e">
        <f>AND(#REF!,"AAAAAG/tdVE=")</f>
        <v>#REF!</v>
      </c>
      <c r="CE294" t="e">
        <f>AND(#REF!,"AAAAAG/tdVI=")</f>
        <v>#REF!</v>
      </c>
      <c r="CF294" t="e">
        <f>AND(#REF!,"AAAAAG/tdVM=")</f>
        <v>#REF!</v>
      </c>
      <c r="CG294" t="e">
        <f>AND(#REF!,"AAAAAG/tdVQ=")</f>
        <v>#REF!</v>
      </c>
      <c r="CH294" t="e">
        <f>AND(#REF!,"AAAAAG/tdVU=")</f>
        <v>#REF!</v>
      </c>
      <c r="CI294" t="e">
        <f>AND(#REF!,"AAAAAG/tdVY=")</f>
        <v>#REF!</v>
      </c>
      <c r="CJ294" t="e">
        <f>AND(#REF!,"AAAAAG/tdVc=")</f>
        <v>#REF!</v>
      </c>
      <c r="CK294" t="e">
        <f>AND(#REF!,"AAAAAG/tdVg=")</f>
        <v>#REF!</v>
      </c>
      <c r="CL294" t="e">
        <f>AND(#REF!,"AAAAAG/tdVk=")</f>
        <v>#REF!</v>
      </c>
      <c r="CM294" t="e">
        <f>AND(#REF!,"AAAAAG/tdVo=")</f>
        <v>#REF!</v>
      </c>
      <c r="CN294" t="e">
        <f>AND(#REF!,"AAAAAG/tdVs=")</f>
        <v>#REF!</v>
      </c>
      <c r="CO294" t="e">
        <f>AND(#REF!,"AAAAAG/tdVw=")</f>
        <v>#REF!</v>
      </c>
      <c r="CP294" t="e">
        <f>AND(#REF!,"AAAAAG/tdV0=")</f>
        <v>#REF!</v>
      </c>
      <c r="CQ294" t="e">
        <f>AND(#REF!,"AAAAAG/tdV4=")</f>
        <v>#REF!</v>
      </c>
      <c r="CR294" t="e">
        <f>AND(#REF!,"AAAAAG/tdV8=")</f>
        <v>#REF!</v>
      </c>
      <c r="CS294" t="e">
        <f>AND(#REF!,"AAAAAG/tdWA=")</f>
        <v>#REF!</v>
      </c>
      <c r="CT294" t="e">
        <f>AND(#REF!,"AAAAAG/tdWE=")</f>
        <v>#REF!</v>
      </c>
      <c r="CU294" t="e">
        <f>AND(#REF!,"AAAAAG/tdWI=")</f>
        <v>#REF!</v>
      </c>
      <c r="CV294" t="e">
        <f>AND(#REF!,"AAAAAG/tdWM=")</f>
        <v>#REF!</v>
      </c>
      <c r="CW294" t="e">
        <f>AND(#REF!,"AAAAAG/tdWQ=")</f>
        <v>#REF!</v>
      </c>
      <c r="CX294" t="e">
        <f>AND(#REF!,"AAAAAG/tdWU=")</f>
        <v>#REF!</v>
      </c>
      <c r="CY294" t="e">
        <f>AND(#REF!,"AAAAAG/tdWY=")</f>
        <v>#REF!</v>
      </c>
      <c r="CZ294" t="e">
        <f>AND(#REF!,"AAAAAG/tdWc=")</f>
        <v>#REF!</v>
      </c>
      <c r="DA294" t="e">
        <f>AND(#REF!,"AAAAAG/tdWg=")</f>
        <v>#REF!</v>
      </c>
      <c r="DB294" t="e">
        <f>AND(#REF!,"AAAAAG/tdWk=")</f>
        <v>#REF!</v>
      </c>
      <c r="DC294" t="e">
        <f>AND(#REF!,"AAAAAG/tdWo=")</f>
        <v>#REF!</v>
      </c>
      <c r="DD294" t="e">
        <f>IF(#REF!,"AAAAAG/tdWs=",0)</f>
        <v>#REF!</v>
      </c>
      <c r="DE294" t="e">
        <f>AND(#REF!,"AAAAAG/tdWw=")</f>
        <v>#REF!</v>
      </c>
      <c r="DF294" t="e">
        <f>AND(#REF!,"AAAAAG/tdW0=")</f>
        <v>#REF!</v>
      </c>
      <c r="DG294" t="e">
        <f>AND(#REF!,"AAAAAG/tdW4=")</f>
        <v>#REF!</v>
      </c>
      <c r="DH294" t="e">
        <f>AND(#REF!,"AAAAAG/tdW8=")</f>
        <v>#REF!</v>
      </c>
      <c r="DI294" t="e">
        <f>AND(#REF!,"AAAAAG/tdXA=")</f>
        <v>#REF!</v>
      </c>
      <c r="DJ294" t="e">
        <f>AND(#REF!,"AAAAAG/tdXE=")</f>
        <v>#REF!</v>
      </c>
      <c r="DK294" t="e">
        <f>AND(#REF!,"AAAAAG/tdXI=")</f>
        <v>#REF!</v>
      </c>
      <c r="DL294" t="e">
        <f>AND(#REF!,"AAAAAG/tdXM=")</f>
        <v>#REF!</v>
      </c>
      <c r="DM294" t="e">
        <f>AND(#REF!,"AAAAAG/tdXQ=")</f>
        <v>#REF!</v>
      </c>
      <c r="DN294" t="e">
        <f>AND(#REF!,"AAAAAG/tdXU=")</f>
        <v>#REF!</v>
      </c>
      <c r="DO294" t="e">
        <f>AND(#REF!,"AAAAAG/tdXY=")</f>
        <v>#REF!</v>
      </c>
      <c r="DP294" t="e">
        <f>AND(#REF!,"AAAAAG/tdXc=")</f>
        <v>#REF!</v>
      </c>
      <c r="DQ294" t="e">
        <f>AND(#REF!,"AAAAAG/tdXg=")</f>
        <v>#REF!</v>
      </c>
      <c r="DR294" t="e">
        <f>AND(#REF!,"AAAAAG/tdXk=")</f>
        <v>#REF!</v>
      </c>
      <c r="DS294" t="e">
        <f>AND(#REF!,"AAAAAG/tdXo=")</f>
        <v>#REF!</v>
      </c>
      <c r="DT294" t="e">
        <f>AND(#REF!,"AAAAAG/tdXs=")</f>
        <v>#REF!</v>
      </c>
      <c r="DU294" t="e">
        <f>AND(#REF!,"AAAAAG/tdXw=")</f>
        <v>#REF!</v>
      </c>
      <c r="DV294" t="e">
        <f>AND(#REF!,"AAAAAG/tdX0=")</f>
        <v>#REF!</v>
      </c>
      <c r="DW294" t="e">
        <f>AND(#REF!,"AAAAAG/tdX4=")</f>
        <v>#REF!</v>
      </c>
      <c r="DX294" t="e">
        <f>AND(#REF!,"AAAAAG/tdX8=")</f>
        <v>#REF!</v>
      </c>
      <c r="DY294" t="e">
        <f>AND(#REF!,"AAAAAG/tdYA=")</f>
        <v>#REF!</v>
      </c>
      <c r="DZ294" t="e">
        <f>AND(#REF!,"AAAAAG/tdYE=")</f>
        <v>#REF!</v>
      </c>
      <c r="EA294" t="e">
        <f>AND(#REF!,"AAAAAG/tdYI=")</f>
        <v>#REF!</v>
      </c>
      <c r="EB294" t="e">
        <f>AND(#REF!,"AAAAAG/tdYM=")</f>
        <v>#REF!</v>
      </c>
      <c r="EC294" t="e">
        <f>AND(#REF!,"AAAAAG/tdYQ=")</f>
        <v>#REF!</v>
      </c>
      <c r="ED294" t="e">
        <f>AND(#REF!,"AAAAAG/tdYU=")</f>
        <v>#REF!</v>
      </c>
      <c r="EE294" t="e">
        <f>AND(#REF!,"AAAAAG/tdYY=")</f>
        <v>#REF!</v>
      </c>
      <c r="EF294" t="e">
        <f>AND(#REF!,"AAAAAG/tdYc=")</f>
        <v>#REF!</v>
      </c>
      <c r="EG294" t="e">
        <f>AND(#REF!,"AAAAAG/tdYg=")</f>
        <v>#REF!</v>
      </c>
      <c r="EH294" t="e">
        <f>AND(#REF!,"AAAAAG/tdYk=")</f>
        <v>#REF!</v>
      </c>
      <c r="EI294" t="e">
        <f>AND(#REF!,"AAAAAG/tdYo=")</f>
        <v>#REF!</v>
      </c>
      <c r="EJ294" t="e">
        <f>AND(#REF!,"AAAAAG/tdYs=")</f>
        <v>#REF!</v>
      </c>
      <c r="EK294" t="e">
        <f>AND(#REF!,"AAAAAG/tdYw=")</f>
        <v>#REF!</v>
      </c>
      <c r="EL294" t="e">
        <f>AND(#REF!,"AAAAAG/tdY0=")</f>
        <v>#REF!</v>
      </c>
      <c r="EM294" t="e">
        <f>AND(#REF!,"AAAAAG/tdY4=")</f>
        <v>#REF!</v>
      </c>
      <c r="EN294" t="e">
        <f>AND(#REF!,"AAAAAG/tdY8=")</f>
        <v>#REF!</v>
      </c>
      <c r="EO294" t="e">
        <f>AND(#REF!,"AAAAAG/tdZA=")</f>
        <v>#REF!</v>
      </c>
      <c r="EP294" t="e">
        <f>AND(#REF!,"AAAAAG/tdZE=")</f>
        <v>#REF!</v>
      </c>
      <c r="EQ294" t="e">
        <f>AND(#REF!,"AAAAAG/tdZI=")</f>
        <v>#REF!</v>
      </c>
      <c r="ER294" t="e">
        <f>AND(#REF!,"AAAAAG/tdZM=")</f>
        <v>#REF!</v>
      </c>
      <c r="ES294" t="e">
        <f>AND(#REF!,"AAAAAG/tdZQ=")</f>
        <v>#REF!</v>
      </c>
      <c r="ET294" t="e">
        <f>AND(#REF!,"AAAAAG/tdZU=")</f>
        <v>#REF!</v>
      </c>
      <c r="EU294" t="e">
        <f>AND(#REF!,"AAAAAG/tdZY=")</f>
        <v>#REF!</v>
      </c>
      <c r="EV294" t="e">
        <f>AND(#REF!,"AAAAAG/tdZc=")</f>
        <v>#REF!</v>
      </c>
      <c r="EW294" t="e">
        <f>AND(#REF!,"AAAAAG/tdZg=")</f>
        <v>#REF!</v>
      </c>
      <c r="EX294" t="e">
        <f>AND(#REF!,"AAAAAG/tdZk=")</f>
        <v>#REF!</v>
      </c>
      <c r="EY294" t="e">
        <f>AND(#REF!,"AAAAAG/tdZo=")</f>
        <v>#REF!</v>
      </c>
      <c r="EZ294" t="e">
        <f>AND(#REF!,"AAAAAG/tdZs=")</f>
        <v>#REF!</v>
      </c>
      <c r="FA294" t="e">
        <f>AND(#REF!,"AAAAAG/tdZw=")</f>
        <v>#REF!</v>
      </c>
      <c r="FB294" t="e">
        <f>AND(#REF!,"AAAAAG/tdZ0=")</f>
        <v>#REF!</v>
      </c>
      <c r="FC294" t="e">
        <f>AND(#REF!,"AAAAAG/tdZ4=")</f>
        <v>#REF!</v>
      </c>
      <c r="FD294" t="e">
        <f>IF(#REF!,"AAAAAG/tdZ8=",0)</f>
        <v>#REF!</v>
      </c>
      <c r="FE294" t="e">
        <f>AND(#REF!,"AAAAAG/tdaA=")</f>
        <v>#REF!</v>
      </c>
      <c r="FF294" t="e">
        <f>AND(#REF!,"AAAAAG/tdaE=")</f>
        <v>#REF!</v>
      </c>
      <c r="FG294" t="e">
        <f>AND(#REF!,"AAAAAG/tdaI=")</f>
        <v>#REF!</v>
      </c>
      <c r="FH294" t="e">
        <f>AND(#REF!,"AAAAAG/tdaM=")</f>
        <v>#REF!</v>
      </c>
      <c r="FI294" t="e">
        <f>AND(#REF!,"AAAAAG/tdaQ=")</f>
        <v>#REF!</v>
      </c>
      <c r="FJ294" t="e">
        <f>AND(#REF!,"AAAAAG/tdaU=")</f>
        <v>#REF!</v>
      </c>
      <c r="FK294" t="e">
        <f>AND(#REF!,"AAAAAG/tdaY=")</f>
        <v>#REF!</v>
      </c>
      <c r="FL294" t="e">
        <f>AND(#REF!,"AAAAAG/tdac=")</f>
        <v>#REF!</v>
      </c>
      <c r="FM294" t="e">
        <f>AND(#REF!,"AAAAAG/tdag=")</f>
        <v>#REF!</v>
      </c>
      <c r="FN294" t="e">
        <f>AND(#REF!,"AAAAAG/tdak=")</f>
        <v>#REF!</v>
      </c>
      <c r="FO294" t="e">
        <f>AND(#REF!,"AAAAAG/tdao=")</f>
        <v>#REF!</v>
      </c>
      <c r="FP294" t="e">
        <f>AND(#REF!,"AAAAAG/tdas=")</f>
        <v>#REF!</v>
      </c>
      <c r="FQ294" t="e">
        <f>AND(#REF!,"AAAAAG/tdaw=")</f>
        <v>#REF!</v>
      </c>
      <c r="FR294" t="e">
        <f>AND(#REF!,"AAAAAG/tda0=")</f>
        <v>#REF!</v>
      </c>
      <c r="FS294" t="e">
        <f>AND(#REF!,"AAAAAG/tda4=")</f>
        <v>#REF!</v>
      </c>
      <c r="FT294" t="e">
        <f>AND(#REF!,"AAAAAG/tda8=")</f>
        <v>#REF!</v>
      </c>
      <c r="FU294" t="e">
        <f>AND(#REF!,"AAAAAG/tdbA=")</f>
        <v>#REF!</v>
      </c>
      <c r="FV294" t="e">
        <f>AND(#REF!,"AAAAAG/tdbE=")</f>
        <v>#REF!</v>
      </c>
      <c r="FW294" t="e">
        <f>AND(#REF!,"AAAAAG/tdbI=")</f>
        <v>#REF!</v>
      </c>
      <c r="FX294" t="e">
        <f>AND(#REF!,"AAAAAG/tdbM=")</f>
        <v>#REF!</v>
      </c>
      <c r="FY294" t="e">
        <f>AND(#REF!,"AAAAAG/tdbQ=")</f>
        <v>#REF!</v>
      </c>
      <c r="FZ294" t="e">
        <f>AND(#REF!,"AAAAAG/tdbU=")</f>
        <v>#REF!</v>
      </c>
      <c r="GA294" t="e">
        <f>AND(#REF!,"AAAAAG/tdbY=")</f>
        <v>#REF!</v>
      </c>
      <c r="GB294" t="e">
        <f>AND(#REF!,"AAAAAG/tdbc=")</f>
        <v>#REF!</v>
      </c>
      <c r="GC294" t="e">
        <f>AND(#REF!,"AAAAAG/tdbg=")</f>
        <v>#REF!</v>
      </c>
      <c r="GD294" t="e">
        <f>AND(#REF!,"AAAAAG/tdbk=")</f>
        <v>#REF!</v>
      </c>
      <c r="GE294" t="e">
        <f>AND(#REF!,"AAAAAG/tdbo=")</f>
        <v>#REF!</v>
      </c>
      <c r="GF294" t="e">
        <f>AND(#REF!,"AAAAAG/tdbs=")</f>
        <v>#REF!</v>
      </c>
      <c r="GG294" t="e">
        <f>AND(#REF!,"AAAAAG/tdbw=")</f>
        <v>#REF!</v>
      </c>
      <c r="GH294" t="e">
        <f>AND(#REF!,"AAAAAG/tdb0=")</f>
        <v>#REF!</v>
      </c>
      <c r="GI294" t="e">
        <f>AND(#REF!,"AAAAAG/tdb4=")</f>
        <v>#REF!</v>
      </c>
      <c r="GJ294" t="e">
        <f>AND(#REF!,"AAAAAG/tdb8=")</f>
        <v>#REF!</v>
      </c>
      <c r="GK294" t="e">
        <f>AND(#REF!,"AAAAAG/tdcA=")</f>
        <v>#REF!</v>
      </c>
      <c r="GL294" t="e">
        <f>AND(#REF!,"AAAAAG/tdcE=")</f>
        <v>#REF!</v>
      </c>
      <c r="GM294" t="e">
        <f>AND(#REF!,"AAAAAG/tdcI=")</f>
        <v>#REF!</v>
      </c>
      <c r="GN294" t="e">
        <f>AND(#REF!,"AAAAAG/tdcM=")</f>
        <v>#REF!</v>
      </c>
      <c r="GO294" t="e">
        <f>AND(#REF!,"AAAAAG/tdcQ=")</f>
        <v>#REF!</v>
      </c>
      <c r="GP294" t="e">
        <f>AND(#REF!,"AAAAAG/tdcU=")</f>
        <v>#REF!</v>
      </c>
      <c r="GQ294" t="e">
        <f>AND(#REF!,"AAAAAG/tdcY=")</f>
        <v>#REF!</v>
      </c>
      <c r="GR294" t="e">
        <f>AND(#REF!,"AAAAAG/tdcc=")</f>
        <v>#REF!</v>
      </c>
      <c r="GS294" t="e">
        <f>AND(#REF!,"AAAAAG/tdcg=")</f>
        <v>#REF!</v>
      </c>
      <c r="GT294" t="e">
        <f>AND(#REF!,"AAAAAG/tdck=")</f>
        <v>#REF!</v>
      </c>
      <c r="GU294" t="e">
        <f>AND(#REF!,"AAAAAG/tdco=")</f>
        <v>#REF!</v>
      </c>
      <c r="GV294" t="e">
        <f>AND(#REF!,"AAAAAG/tdcs=")</f>
        <v>#REF!</v>
      </c>
      <c r="GW294" t="e">
        <f>AND(#REF!,"AAAAAG/tdcw=")</f>
        <v>#REF!</v>
      </c>
      <c r="GX294" t="e">
        <f>AND(#REF!,"AAAAAG/tdc0=")</f>
        <v>#REF!</v>
      </c>
      <c r="GY294" t="e">
        <f>AND(#REF!,"AAAAAG/tdc4=")</f>
        <v>#REF!</v>
      </c>
      <c r="GZ294" t="e">
        <f>AND(#REF!,"AAAAAG/tdc8=")</f>
        <v>#REF!</v>
      </c>
      <c r="HA294" t="e">
        <f>AND(#REF!,"AAAAAG/tddA=")</f>
        <v>#REF!</v>
      </c>
      <c r="HB294" t="e">
        <f>AND(#REF!,"AAAAAG/tddE=")</f>
        <v>#REF!</v>
      </c>
      <c r="HC294" t="e">
        <f>AND(#REF!,"AAAAAG/tddI=")</f>
        <v>#REF!</v>
      </c>
      <c r="HD294" t="e">
        <f>IF(#REF!,"AAAAAG/tddM=",0)</f>
        <v>#REF!</v>
      </c>
      <c r="HE294" t="e">
        <f>AND(#REF!,"AAAAAG/tddQ=")</f>
        <v>#REF!</v>
      </c>
      <c r="HF294" t="e">
        <f>AND(#REF!,"AAAAAG/tddU=")</f>
        <v>#REF!</v>
      </c>
      <c r="HG294" t="e">
        <f>AND(#REF!,"AAAAAG/tddY=")</f>
        <v>#REF!</v>
      </c>
      <c r="HH294" t="e">
        <f>AND(#REF!,"AAAAAG/tddc=")</f>
        <v>#REF!</v>
      </c>
      <c r="HI294" t="e">
        <f>AND(#REF!,"AAAAAG/tddg=")</f>
        <v>#REF!</v>
      </c>
      <c r="HJ294" t="e">
        <f>AND(#REF!,"AAAAAG/tddk=")</f>
        <v>#REF!</v>
      </c>
      <c r="HK294" t="e">
        <f>AND(#REF!,"AAAAAG/tddo=")</f>
        <v>#REF!</v>
      </c>
      <c r="HL294" t="e">
        <f>AND(#REF!,"AAAAAG/tdds=")</f>
        <v>#REF!</v>
      </c>
      <c r="HM294" t="e">
        <f>AND(#REF!,"AAAAAG/tddw=")</f>
        <v>#REF!</v>
      </c>
      <c r="HN294" t="e">
        <f>AND(#REF!,"AAAAAG/tdd0=")</f>
        <v>#REF!</v>
      </c>
      <c r="HO294" t="e">
        <f>AND(#REF!,"AAAAAG/tdd4=")</f>
        <v>#REF!</v>
      </c>
      <c r="HP294" t="e">
        <f>AND(#REF!,"AAAAAG/tdd8=")</f>
        <v>#REF!</v>
      </c>
      <c r="HQ294" t="e">
        <f>AND(#REF!,"AAAAAG/tdeA=")</f>
        <v>#REF!</v>
      </c>
      <c r="HR294" t="e">
        <f>AND(#REF!,"AAAAAG/tdeE=")</f>
        <v>#REF!</v>
      </c>
      <c r="HS294" t="e">
        <f>AND(#REF!,"AAAAAG/tdeI=")</f>
        <v>#REF!</v>
      </c>
      <c r="HT294" t="e">
        <f>AND(#REF!,"AAAAAG/tdeM=")</f>
        <v>#REF!</v>
      </c>
      <c r="HU294" t="e">
        <f>AND(#REF!,"AAAAAG/tdeQ=")</f>
        <v>#REF!</v>
      </c>
      <c r="HV294" t="e">
        <f>AND(#REF!,"AAAAAG/tdeU=")</f>
        <v>#REF!</v>
      </c>
      <c r="HW294" t="e">
        <f>AND(#REF!,"AAAAAG/tdeY=")</f>
        <v>#REF!</v>
      </c>
      <c r="HX294" t="e">
        <f>AND(#REF!,"AAAAAG/tdec=")</f>
        <v>#REF!</v>
      </c>
      <c r="HY294" t="e">
        <f>AND(#REF!,"AAAAAG/tdeg=")</f>
        <v>#REF!</v>
      </c>
      <c r="HZ294" t="e">
        <f>AND(#REF!,"AAAAAG/tdek=")</f>
        <v>#REF!</v>
      </c>
      <c r="IA294" t="e">
        <f>AND(#REF!,"AAAAAG/tdeo=")</f>
        <v>#REF!</v>
      </c>
      <c r="IB294" t="e">
        <f>AND(#REF!,"AAAAAG/tdes=")</f>
        <v>#REF!</v>
      </c>
      <c r="IC294" t="e">
        <f>AND(#REF!,"AAAAAG/tdew=")</f>
        <v>#REF!</v>
      </c>
      <c r="ID294" t="e">
        <f>AND(#REF!,"AAAAAG/tde0=")</f>
        <v>#REF!</v>
      </c>
      <c r="IE294" t="e">
        <f>AND(#REF!,"AAAAAG/tde4=")</f>
        <v>#REF!</v>
      </c>
      <c r="IF294" t="e">
        <f>AND(#REF!,"AAAAAG/tde8=")</f>
        <v>#REF!</v>
      </c>
      <c r="IG294" t="e">
        <f>AND(#REF!,"AAAAAG/tdfA=")</f>
        <v>#REF!</v>
      </c>
      <c r="IH294" t="e">
        <f>AND(#REF!,"AAAAAG/tdfE=")</f>
        <v>#REF!</v>
      </c>
      <c r="II294" t="e">
        <f>AND(#REF!,"AAAAAG/tdfI=")</f>
        <v>#REF!</v>
      </c>
      <c r="IJ294" t="e">
        <f>AND(#REF!,"AAAAAG/tdfM=")</f>
        <v>#REF!</v>
      </c>
      <c r="IK294" t="e">
        <f>AND(#REF!,"AAAAAG/tdfQ=")</f>
        <v>#REF!</v>
      </c>
      <c r="IL294" t="e">
        <f>AND(#REF!,"AAAAAG/tdfU=")</f>
        <v>#REF!</v>
      </c>
      <c r="IM294" t="e">
        <f>AND(#REF!,"AAAAAG/tdfY=")</f>
        <v>#REF!</v>
      </c>
      <c r="IN294" t="e">
        <f>AND(#REF!,"AAAAAG/tdfc=")</f>
        <v>#REF!</v>
      </c>
      <c r="IO294" t="e">
        <f>AND(#REF!,"AAAAAG/tdfg=")</f>
        <v>#REF!</v>
      </c>
      <c r="IP294" t="e">
        <f>AND(#REF!,"AAAAAG/tdfk=")</f>
        <v>#REF!</v>
      </c>
      <c r="IQ294" t="e">
        <f>AND(#REF!,"AAAAAG/tdfo=")</f>
        <v>#REF!</v>
      </c>
      <c r="IR294" t="e">
        <f>AND(#REF!,"AAAAAG/tdfs=")</f>
        <v>#REF!</v>
      </c>
      <c r="IS294" t="e">
        <f>AND(#REF!,"AAAAAG/tdfw=")</f>
        <v>#REF!</v>
      </c>
      <c r="IT294" t="e">
        <f>AND(#REF!,"AAAAAG/tdf0=")</f>
        <v>#REF!</v>
      </c>
      <c r="IU294" t="e">
        <f>AND(#REF!,"AAAAAG/tdf4=")</f>
        <v>#REF!</v>
      </c>
      <c r="IV294" t="e">
        <f>AND(#REF!,"AAAAAG/tdf8=")</f>
        <v>#REF!</v>
      </c>
    </row>
    <row r="295" spans="1:256">
      <c r="A295" t="e">
        <f>AND(#REF!,"AAAAAD7PmgA=")</f>
        <v>#REF!</v>
      </c>
      <c r="B295" t="e">
        <f>AND(#REF!,"AAAAAD7PmgE=")</f>
        <v>#REF!</v>
      </c>
      <c r="C295" t="e">
        <f>AND(#REF!,"AAAAAD7PmgI=")</f>
        <v>#REF!</v>
      </c>
      <c r="D295" t="e">
        <f>AND(#REF!,"AAAAAD7PmgM=")</f>
        <v>#REF!</v>
      </c>
      <c r="E295" t="e">
        <f>AND(#REF!,"AAAAAD7PmgQ=")</f>
        <v>#REF!</v>
      </c>
      <c r="F295" t="e">
        <f>AND(#REF!,"AAAAAD7PmgU=")</f>
        <v>#REF!</v>
      </c>
      <c r="G295" t="e">
        <f>AND(#REF!,"AAAAAD7PmgY=")</f>
        <v>#REF!</v>
      </c>
      <c r="H295" t="e">
        <f>IF(#REF!,"AAAAAD7Pmgc=",0)</f>
        <v>#REF!</v>
      </c>
      <c r="I295" t="e">
        <f>AND(#REF!,"AAAAAD7Pmgg=")</f>
        <v>#REF!</v>
      </c>
      <c r="J295" t="e">
        <f>AND(#REF!,"AAAAAD7Pmgk=")</f>
        <v>#REF!</v>
      </c>
      <c r="K295" t="e">
        <f>AND(#REF!,"AAAAAD7Pmgo=")</f>
        <v>#REF!</v>
      </c>
      <c r="L295" t="e">
        <f>AND(#REF!,"AAAAAD7Pmgs=")</f>
        <v>#REF!</v>
      </c>
      <c r="M295" t="e">
        <f>AND(#REF!,"AAAAAD7Pmgw=")</f>
        <v>#REF!</v>
      </c>
      <c r="N295" t="e">
        <f>AND(#REF!,"AAAAAD7Pmg0=")</f>
        <v>#REF!</v>
      </c>
      <c r="O295" t="e">
        <f>AND(#REF!,"AAAAAD7Pmg4=")</f>
        <v>#REF!</v>
      </c>
      <c r="P295" t="e">
        <f>AND(#REF!,"AAAAAD7Pmg8=")</f>
        <v>#REF!</v>
      </c>
      <c r="Q295" t="e">
        <f>AND(#REF!,"AAAAAD7PmhA=")</f>
        <v>#REF!</v>
      </c>
      <c r="R295" t="e">
        <f>AND(#REF!,"AAAAAD7PmhE=")</f>
        <v>#REF!</v>
      </c>
      <c r="S295" t="e">
        <f>AND(#REF!,"AAAAAD7PmhI=")</f>
        <v>#REF!</v>
      </c>
      <c r="T295" t="e">
        <f>AND(#REF!,"AAAAAD7PmhM=")</f>
        <v>#REF!</v>
      </c>
      <c r="U295" t="e">
        <f>AND(#REF!,"AAAAAD7PmhQ=")</f>
        <v>#REF!</v>
      </c>
      <c r="V295" t="e">
        <f>AND(#REF!,"AAAAAD7PmhU=")</f>
        <v>#REF!</v>
      </c>
      <c r="W295" t="e">
        <f>AND(#REF!,"AAAAAD7PmhY=")</f>
        <v>#REF!</v>
      </c>
      <c r="X295" t="e">
        <f>AND(#REF!,"AAAAAD7Pmhc=")</f>
        <v>#REF!</v>
      </c>
      <c r="Y295" t="e">
        <f>AND(#REF!,"AAAAAD7Pmhg=")</f>
        <v>#REF!</v>
      </c>
      <c r="Z295" t="e">
        <f>AND(#REF!,"AAAAAD7Pmhk=")</f>
        <v>#REF!</v>
      </c>
      <c r="AA295" t="e">
        <f>AND(#REF!,"AAAAAD7Pmho=")</f>
        <v>#REF!</v>
      </c>
      <c r="AB295" t="e">
        <f>AND(#REF!,"AAAAAD7Pmhs=")</f>
        <v>#REF!</v>
      </c>
      <c r="AC295" t="e">
        <f>AND(#REF!,"AAAAAD7Pmhw=")</f>
        <v>#REF!</v>
      </c>
      <c r="AD295" t="e">
        <f>AND(#REF!,"AAAAAD7Pmh0=")</f>
        <v>#REF!</v>
      </c>
      <c r="AE295" t="e">
        <f>AND(#REF!,"AAAAAD7Pmh4=")</f>
        <v>#REF!</v>
      </c>
      <c r="AF295" t="e">
        <f>AND(#REF!,"AAAAAD7Pmh8=")</f>
        <v>#REF!</v>
      </c>
      <c r="AG295" t="e">
        <f>AND(#REF!,"AAAAAD7PmiA=")</f>
        <v>#REF!</v>
      </c>
      <c r="AH295" t="e">
        <f>AND(#REF!,"AAAAAD7PmiE=")</f>
        <v>#REF!</v>
      </c>
      <c r="AI295" t="e">
        <f>AND(#REF!,"AAAAAD7PmiI=")</f>
        <v>#REF!</v>
      </c>
      <c r="AJ295" t="e">
        <f>AND(#REF!,"AAAAAD7PmiM=")</f>
        <v>#REF!</v>
      </c>
      <c r="AK295" t="e">
        <f>AND(#REF!,"AAAAAD7PmiQ=")</f>
        <v>#REF!</v>
      </c>
      <c r="AL295" t="e">
        <f>AND(#REF!,"AAAAAD7PmiU=")</f>
        <v>#REF!</v>
      </c>
      <c r="AM295" t="e">
        <f>AND(#REF!,"AAAAAD7PmiY=")</f>
        <v>#REF!</v>
      </c>
      <c r="AN295" t="e">
        <f>AND(#REF!,"AAAAAD7Pmic=")</f>
        <v>#REF!</v>
      </c>
      <c r="AO295" t="e">
        <f>AND(#REF!,"AAAAAD7Pmig=")</f>
        <v>#REF!</v>
      </c>
      <c r="AP295" t="e">
        <f>AND(#REF!,"AAAAAD7Pmik=")</f>
        <v>#REF!</v>
      </c>
      <c r="AQ295" t="e">
        <f>AND(#REF!,"AAAAAD7Pmio=")</f>
        <v>#REF!</v>
      </c>
      <c r="AR295" t="e">
        <f>AND(#REF!,"AAAAAD7Pmis=")</f>
        <v>#REF!</v>
      </c>
      <c r="AS295" t="e">
        <f>AND(#REF!,"AAAAAD7Pmiw=")</f>
        <v>#REF!</v>
      </c>
      <c r="AT295" t="e">
        <f>AND(#REF!,"AAAAAD7Pmi0=")</f>
        <v>#REF!</v>
      </c>
      <c r="AU295" t="e">
        <f>AND(#REF!,"AAAAAD7Pmi4=")</f>
        <v>#REF!</v>
      </c>
      <c r="AV295" t="e">
        <f>AND(#REF!,"AAAAAD7Pmi8=")</f>
        <v>#REF!</v>
      </c>
      <c r="AW295" t="e">
        <f>AND(#REF!,"AAAAAD7PmjA=")</f>
        <v>#REF!</v>
      </c>
      <c r="AX295" t="e">
        <f>AND(#REF!,"AAAAAD7PmjE=")</f>
        <v>#REF!</v>
      </c>
      <c r="AY295" t="e">
        <f>AND(#REF!,"AAAAAD7PmjI=")</f>
        <v>#REF!</v>
      </c>
      <c r="AZ295" t="e">
        <f>AND(#REF!,"AAAAAD7PmjM=")</f>
        <v>#REF!</v>
      </c>
      <c r="BA295" t="e">
        <f>AND(#REF!,"AAAAAD7PmjQ=")</f>
        <v>#REF!</v>
      </c>
      <c r="BB295" t="e">
        <f>AND(#REF!,"AAAAAD7PmjU=")</f>
        <v>#REF!</v>
      </c>
      <c r="BC295" t="e">
        <f>AND(#REF!,"AAAAAD7PmjY=")</f>
        <v>#REF!</v>
      </c>
      <c r="BD295" t="e">
        <f>AND(#REF!,"AAAAAD7Pmjc=")</f>
        <v>#REF!</v>
      </c>
      <c r="BE295" t="e">
        <f>AND(#REF!,"AAAAAD7Pmjg=")</f>
        <v>#REF!</v>
      </c>
      <c r="BF295" t="e">
        <f>AND(#REF!,"AAAAAD7Pmjk=")</f>
        <v>#REF!</v>
      </c>
      <c r="BG295" t="e">
        <f>AND(#REF!,"AAAAAD7Pmjo=")</f>
        <v>#REF!</v>
      </c>
      <c r="BH295" t="e">
        <f>IF(#REF!,"AAAAAD7Pmjs=",0)</f>
        <v>#REF!</v>
      </c>
      <c r="BI295" t="e">
        <f>AND(#REF!,"AAAAAD7Pmjw=")</f>
        <v>#REF!</v>
      </c>
      <c r="BJ295" t="e">
        <f>AND(#REF!,"AAAAAD7Pmj0=")</f>
        <v>#REF!</v>
      </c>
      <c r="BK295" t="e">
        <f>AND(#REF!,"AAAAAD7Pmj4=")</f>
        <v>#REF!</v>
      </c>
      <c r="BL295" t="e">
        <f>AND(#REF!,"AAAAAD7Pmj8=")</f>
        <v>#REF!</v>
      </c>
      <c r="BM295" t="e">
        <f>AND(#REF!,"AAAAAD7PmkA=")</f>
        <v>#REF!</v>
      </c>
      <c r="BN295" t="e">
        <f>AND(#REF!,"AAAAAD7PmkE=")</f>
        <v>#REF!</v>
      </c>
      <c r="BO295" t="e">
        <f>AND(#REF!,"AAAAAD7PmkI=")</f>
        <v>#REF!</v>
      </c>
      <c r="BP295" t="e">
        <f>AND(#REF!,"AAAAAD7PmkM=")</f>
        <v>#REF!</v>
      </c>
      <c r="BQ295" t="e">
        <f>AND(#REF!,"AAAAAD7PmkQ=")</f>
        <v>#REF!</v>
      </c>
      <c r="BR295" t="e">
        <f>AND(#REF!,"AAAAAD7PmkU=")</f>
        <v>#REF!</v>
      </c>
      <c r="BS295" t="e">
        <f>AND(#REF!,"AAAAAD7PmkY=")</f>
        <v>#REF!</v>
      </c>
      <c r="BT295" t="e">
        <f>AND(#REF!,"AAAAAD7Pmkc=")</f>
        <v>#REF!</v>
      </c>
      <c r="BU295" t="e">
        <f>AND(#REF!,"AAAAAD7Pmkg=")</f>
        <v>#REF!</v>
      </c>
      <c r="BV295" t="e">
        <f>AND(#REF!,"AAAAAD7Pmkk=")</f>
        <v>#REF!</v>
      </c>
      <c r="BW295" t="e">
        <f>AND(#REF!,"AAAAAD7Pmko=")</f>
        <v>#REF!</v>
      </c>
      <c r="BX295" t="e">
        <f>AND(#REF!,"AAAAAD7Pmks=")</f>
        <v>#REF!</v>
      </c>
      <c r="BY295" t="e">
        <f>AND(#REF!,"AAAAAD7Pmkw=")</f>
        <v>#REF!</v>
      </c>
      <c r="BZ295" t="e">
        <f>AND(#REF!,"AAAAAD7Pmk0=")</f>
        <v>#REF!</v>
      </c>
      <c r="CA295" t="e">
        <f>AND(#REF!,"AAAAAD7Pmk4=")</f>
        <v>#REF!</v>
      </c>
      <c r="CB295" t="e">
        <f>AND(#REF!,"AAAAAD7Pmk8=")</f>
        <v>#REF!</v>
      </c>
      <c r="CC295" t="e">
        <f>AND(#REF!,"AAAAAD7PmlA=")</f>
        <v>#REF!</v>
      </c>
      <c r="CD295" t="e">
        <f>AND(#REF!,"AAAAAD7PmlE=")</f>
        <v>#REF!</v>
      </c>
      <c r="CE295" t="e">
        <f>AND(#REF!,"AAAAAD7PmlI=")</f>
        <v>#REF!</v>
      </c>
      <c r="CF295" t="e">
        <f>AND(#REF!,"AAAAAD7PmlM=")</f>
        <v>#REF!</v>
      </c>
      <c r="CG295" t="e">
        <f>AND(#REF!,"AAAAAD7PmlQ=")</f>
        <v>#REF!</v>
      </c>
      <c r="CH295" t="e">
        <f>AND(#REF!,"AAAAAD7PmlU=")</f>
        <v>#REF!</v>
      </c>
      <c r="CI295" t="e">
        <f>AND(#REF!,"AAAAAD7PmlY=")</f>
        <v>#REF!</v>
      </c>
      <c r="CJ295" t="e">
        <f>AND(#REF!,"AAAAAD7Pmlc=")</f>
        <v>#REF!</v>
      </c>
      <c r="CK295" t="e">
        <f>AND(#REF!,"AAAAAD7Pmlg=")</f>
        <v>#REF!</v>
      </c>
      <c r="CL295" t="e">
        <f>AND(#REF!,"AAAAAD7Pmlk=")</f>
        <v>#REF!</v>
      </c>
      <c r="CM295" t="e">
        <f>AND(#REF!,"AAAAAD7Pmlo=")</f>
        <v>#REF!</v>
      </c>
      <c r="CN295" t="e">
        <f>AND(#REF!,"AAAAAD7Pmls=")</f>
        <v>#REF!</v>
      </c>
      <c r="CO295" t="e">
        <f>AND(#REF!,"AAAAAD7Pmlw=")</f>
        <v>#REF!</v>
      </c>
      <c r="CP295" t="e">
        <f>AND(#REF!,"AAAAAD7Pml0=")</f>
        <v>#REF!</v>
      </c>
      <c r="CQ295" t="e">
        <f>AND(#REF!,"AAAAAD7Pml4=")</f>
        <v>#REF!</v>
      </c>
      <c r="CR295" t="e">
        <f>AND(#REF!,"AAAAAD7Pml8=")</f>
        <v>#REF!</v>
      </c>
      <c r="CS295" t="e">
        <f>AND(#REF!,"AAAAAD7PmmA=")</f>
        <v>#REF!</v>
      </c>
      <c r="CT295" t="e">
        <f>AND(#REF!,"AAAAAD7PmmE=")</f>
        <v>#REF!</v>
      </c>
      <c r="CU295" t="e">
        <f>AND(#REF!,"AAAAAD7PmmI=")</f>
        <v>#REF!</v>
      </c>
      <c r="CV295" t="e">
        <f>AND(#REF!,"AAAAAD7PmmM=")</f>
        <v>#REF!</v>
      </c>
      <c r="CW295" t="e">
        <f>AND(#REF!,"AAAAAD7PmmQ=")</f>
        <v>#REF!</v>
      </c>
      <c r="CX295" t="e">
        <f>AND(#REF!,"AAAAAD7PmmU=")</f>
        <v>#REF!</v>
      </c>
      <c r="CY295" t="e">
        <f>AND(#REF!,"AAAAAD7PmmY=")</f>
        <v>#REF!</v>
      </c>
      <c r="CZ295" t="e">
        <f>AND(#REF!,"AAAAAD7Pmmc=")</f>
        <v>#REF!</v>
      </c>
      <c r="DA295" t="e">
        <f>AND(#REF!,"AAAAAD7Pmmg=")</f>
        <v>#REF!</v>
      </c>
      <c r="DB295" t="e">
        <f>AND(#REF!,"AAAAAD7Pmmk=")</f>
        <v>#REF!</v>
      </c>
      <c r="DC295" t="e">
        <f>AND(#REF!,"AAAAAD7Pmmo=")</f>
        <v>#REF!</v>
      </c>
      <c r="DD295" t="e">
        <f>AND(#REF!,"AAAAAD7Pmms=")</f>
        <v>#REF!</v>
      </c>
      <c r="DE295" t="e">
        <f>AND(#REF!,"AAAAAD7Pmmw=")</f>
        <v>#REF!</v>
      </c>
      <c r="DF295" t="e">
        <f>AND(#REF!,"AAAAAD7Pmm0=")</f>
        <v>#REF!</v>
      </c>
      <c r="DG295" t="e">
        <f>AND(#REF!,"AAAAAD7Pmm4=")</f>
        <v>#REF!</v>
      </c>
      <c r="DH295" t="e">
        <f>IF(#REF!,"AAAAAD7Pmm8=",0)</f>
        <v>#REF!</v>
      </c>
      <c r="DI295" t="e">
        <f>AND(#REF!,"AAAAAD7PmnA=")</f>
        <v>#REF!</v>
      </c>
      <c r="DJ295" t="e">
        <f>AND(#REF!,"AAAAAD7PmnE=")</f>
        <v>#REF!</v>
      </c>
      <c r="DK295" t="e">
        <f>AND(#REF!,"AAAAAD7PmnI=")</f>
        <v>#REF!</v>
      </c>
      <c r="DL295" t="e">
        <f>AND(#REF!,"AAAAAD7PmnM=")</f>
        <v>#REF!</v>
      </c>
      <c r="DM295" t="e">
        <f>AND(#REF!,"AAAAAD7PmnQ=")</f>
        <v>#REF!</v>
      </c>
      <c r="DN295" t="e">
        <f>AND(#REF!,"AAAAAD7PmnU=")</f>
        <v>#REF!</v>
      </c>
      <c r="DO295" t="e">
        <f>AND(#REF!,"AAAAAD7PmnY=")</f>
        <v>#REF!</v>
      </c>
      <c r="DP295" t="e">
        <f>AND(#REF!,"AAAAAD7Pmnc=")</f>
        <v>#REF!</v>
      </c>
      <c r="DQ295" t="e">
        <f>AND(#REF!,"AAAAAD7Pmng=")</f>
        <v>#REF!</v>
      </c>
      <c r="DR295" t="e">
        <f>AND(#REF!,"AAAAAD7Pmnk=")</f>
        <v>#REF!</v>
      </c>
      <c r="DS295" t="e">
        <f>AND(#REF!,"AAAAAD7Pmno=")</f>
        <v>#REF!</v>
      </c>
      <c r="DT295" t="e">
        <f>AND(#REF!,"AAAAAD7Pmns=")</f>
        <v>#REF!</v>
      </c>
      <c r="DU295" t="e">
        <f>AND(#REF!,"AAAAAD7Pmnw=")</f>
        <v>#REF!</v>
      </c>
      <c r="DV295" t="e">
        <f>AND(#REF!,"AAAAAD7Pmn0=")</f>
        <v>#REF!</v>
      </c>
      <c r="DW295" t="e">
        <f>AND(#REF!,"AAAAAD7Pmn4=")</f>
        <v>#REF!</v>
      </c>
      <c r="DX295" t="e">
        <f>AND(#REF!,"AAAAAD7Pmn8=")</f>
        <v>#REF!</v>
      </c>
      <c r="DY295" t="e">
        <f>AND(#REF!,"AAAAAD7PmoA=")</f>
        <v>#REF!</v>
      </c>
      <c r="DZ295" t="e">
        <f>AND(#REF!,"AAAAAD7PmoE=")</f>
        <v>#REF!</v>
      </c>
      <c r="EA295" t="e">
        <f>AND(#REF!,"AAAAAD7PmoI=")</f>
        <v>#REF!</v>
      </c>
      <c r="EB295" t="e">
        <f>AND(#REF!,"AAAAAD7PmoM=")</f>
        <v>#REF!</v>
      </c>
      <c r="EC295" t="e">
        <f>AND(#REF!,"AAAAAD7PmoQ=")</f>
        <v>#REF!</v>
      </c>
      <c r="ED295" t="e">
        <f>AND(#REF!,"AAAAAD7PmoU=")</f>
        <v>#REF!</v>
      </c>
      <c r="EE295" t="e">
        <f>AND(#REF!,"AAAAAD7PmoY=")</f>
        <v>#REF!</v>
      </c>
      <c r="EF295" t="e">
        <f>AND(#REF!,"AAAAAD7Pmoc=")</f>
        <v>#REF!</v>
      </c>
      <c r="EG295" t="e">
        <f>AND(#REF!,"AAAAAD7Pmog=")</f>
        <v>#REF!</v>
      </c>
      <c r="EH295" t="e">
        <f>AND(#REF!,"AAAAAD7Pmok=")</f>
        <v>#REF!</v>
      </c>
      <c r="EI295" t="e">
        <f>AND(#REF!,"AAAAAD7Pmoo=")</f>
        <v>#REF!</v>
      </c>
      <c r="EJ295" t="e">
        <f>AND(#REF!,"AAAAAD7Pmos=")</f>
        <v>#REF!</v>
      </c>
      <c r="EK295" t="e">
        <f>AND(#REF!,"AAAAAD7Pmow=")</f>
        <v>#REF!</v>
      </c>
      <c r="EL295" t="e">
        <f>AND(#REF!,"AAAAAD7Pmo0=")</f>
        <v>#REF!</v>
      </c>
      <c r="EM295" t="e">
        <f>AND(#REF!,"AAAAAD7Pmo4=")</f>
        <v>#REF!</v>
      </c>
      <c r="EN295" t="e">
        <f>AND(#REF!,"AAAAAD7Pmo8=")</f>
        <v>#REF!</v>
      </c>
      <c r="EO295" t="e">
        <f>AND(#REF!,"AAAAAD7PmpA=")</f>
        <v>#REF!</v>
      </c>
      <c r="EP295" t="e">
        <f>AND(#REF!,"AAAAAD7PmpE=")</f>
        <v>#REF!</v>
      </c>
      <c r="EQ295" t="e">
        <f>AND(#REF!,"AAAAAD7PmpI=")</f>
        <v>#REF!</v>
      </c>
      <c r="ER295" t="e">
        <f>AND(#REF!,"AAAAAD7PmpM=")</f>
        <v>#REF!</v>
      </c>
      <c r="ES295" t="e">
        <f>AND(#REF!,"AAAAAD7PmpQ=")</f>
        <v>#REF!</v>
      </c>
      <c r="ET295" t="e">
        <f>AND(#REF!,"AAAAAD7PmpU=")</f>
        <v>#REF!</v>
      </c>
      <c r="EU295" t="e">
        <f>AND(#REF!,"AAAAAD7PmpY=")</f>
        <v>#REF!</v>
      </c>
      <c r="EV295" t="e">
        <f>AND(#REF!,"AAAAAD7Pmpc=")</f>
        <v>#REF!</v>
      </c>
      <c r="EW295" t="e">
        <f>AND(#REF!,"AAAAAD7Pmpg=")</f>
        <v>#REF!</v>
      </c>
      <c r="EX295" t="e">
        <f>AND(#REF!,"AAAAAD7Pmpk=")</f>
        <v>#REF!</v>
      </c>
      <c r="EY295" t="e">
        <f>AND(#REF!,"AAAAAD7Pmpo=")</f>
        <v>#REF!</v>
      </c>
      <c r="EZ295" t="e">
        <f>AND(#REF!,"AAAAAD7Pmps=")</f>
        <v>#REF!</v>
      </c>
      <c r="FA295" t="e">
        <f>AND(#REF!,"AAAAAD7Pmpw=")</f>
        <v>#REF!</v>
      </c>
      <c r="FB295" t="e">
        <f>AND(#REF!,"AAAAAD7Pmp0=")</f>
        <v>#REF!</v>
      </c>
      <c r="FC295" t="e">
        <f>AND(#REF!,"AAAAAD7Pmp4=")</f>
        <v>#REF!</v>
      </c>
      <c r="FD295" t="e">
        <f>AND(#REF!,"AAAAAD7Pmp8=")</f>
        <v>#REF!</v>
      </c>
      <c r="FE295" t="e">
        <f>AND(#REF!,"AAAAAD7PmqA=")</f>
        <v>#REF!</v>
      </c>
      <c r="FF295" t="e">
        <f>AND(#REF!,"AAAAAD7PmqE=")</f>
        <v>#REF!</v>
      </c>
      <c r="FG295" t="e">
        <f>AND(#REF!,"AAAAAD7PmqI=")</f>
        <v>#REF!</v>
      </c>
      <c r="FH295" t="e">
        <f>IF(#REF!,"AAAAAD7PmqM=",0)</f>
        <v>#REF!</v>
      </c>
      <c r="FI295" t="e">
        <f>AND(#REF!,"AAAAAD7PmqQ=")</f>
        <v>#REF!</v>
      </c>
      <c r="FJ295" t="e">
        <f>AND(#REF!,"AAAAAD7PmqU=")</f>
        <v>#REF!</v>
      </c>
      <c r="FK295" t="e">
        <f>AND(#REF!,"AAAAAD7PmqY=")</f>
        <v>#REF!</v>
      </c>
      <c r="FL295" t="e">
        <f>AND(#REF!,"AAAAAD7Pmqc=")</f>
        <v>#REF!</v>
      </c>
      <c r="FM295" t="e">
        <f>AND(#REF!,"AAAAAD7Pmqg=")</f>
        <v>#REF!</v>
      </c>
      <c r="FN295" t="e">
        <f>AND(#REF!,"AAAAAD7Pmqk=")</f>
        <v>#REF!</v>
      </c>
      <c r="FO295" t="e">
        <f>AND(#REF!,"AAAAAD7Pmqo=")</f>
        <v>#REF!</v>
      </c>
      <c r="FP295" t="e">
        <f>AND(#REF!,"AAAAAD7Pmqs=")</f>
        <v>#REF!</v>
      </c>
      <c r="FQ295" t="e">
        <f>AND(#REF!,"AAAAAD7Pmqw=")</f>
        <v>#REF!</v>
      </c>
      <c r="FR295" t="e">
        <f>AND(#REF!,"AAAAAD7Pmq0=")</f>
        <v>#REF!</v>
      </c>
      <c r="FS295" t="e">
        <f>AND(#REF!,"AAAAAD7Pmq4=")</f>
        <v>#REF!</v>
      </c>
      <c r="FT295" t="e">
        <f>AND(#REF!,"AAAAAD7Pmq8=")</f>
        <v>#REF!</v>
      </c>
      <c r="FU295" t="e">
        <f>AND(#REF!,"AAAAAD7PmrA=")</f>
        <v>#REF!</v>
      </c>
      <c r="FV295" t="e">
        <f>AND(#REF!,"AAAAAD7PmrE=")</f>
        <v>#REF!</v>
      </c>
      <c r="FW295" t="e">
        <f>AND(#REF!,"AAAAAD7PmrI=")</f>
        <v>#REF!</v>
      </c>
      <c r="FX295" t="e">
        <f>AND(#REF!,"AAAAAD7PmrM=")</f>
        <v>#REF!</v>
      </c>
      <c r="FY295" t="e">
        <f>AND(#REF!,"AAAAAD7PmrQ=")</f>
        <v>#REF!</v>
      </c>
      <c r="FZ295" t="e">
        <f>AND(#REF!,"AAAAAD7PmrU=")</f>
        <v>#REF!</v>
      </c>
      <c r="GA295" t="e">
        <f>AND(#REF!,"AAAAAD7PmrY=")</f>
        <v>#REF!</v>
      </c>
      <c r="GB295" t="e">
        <f>AND(#REF!,"AAAAAD7Pmrc=")</f>
        <v>#REF!</v>
      </c>
      <c r="GC295" t="e">
        <f>AND(#REF!,"AAAAAD7Pmrg=")</f>
        <v>#REF!</v>
      </c>
      <c r="GD295" t="e">
        <f>AND(#REF!,"AAAAAD7Pmrk=")</f>
        <v>#REF!</v>
      </c>
      <c r="GE295" t="e">
        <f>AND(#REF!,"AAAAAD7Pmro=")</f>
        <v>#REF!</v>
      </c>
      <c r="GF295" t="e">
        <f>AND(#REF!,"AAAAAD7Pmrs=")</f>
        <v>#REF!</v>
      </c>
      <c r="GG295" t="e">
        <f>AND(#REF!,"AAAAAD7Pmrw=")</f>
        <v>#REF!</v>
      </c>
      <c r="GH295" t="e">
        <f>AND(#REF!,"AAAAAD7Pmr0=")</f>
        <v>#REF!</v>
      </c>
      <c r="GI295" t="e">
        <f>AND(#REF!,"AAAAAD7Pmr4=")</f>
        <v>#REF!</v>
      </c>
      <c r="GJ295" t="e">
        <f>AND(#REF!,"AAAAAD7Pmr8=")</f>
        <v>#REF!</v>
      </c>
      <c r="GK295" t="e">
        <f>AND(#REF!,"AAAAAD7PmsA=")</f>
        <v>#REF!</v>
      </c>
      <c r="GL295" t="e">
        <f>AND(#REF!,"AAAAAD7PmsE=")</f>
        <v>#REF!</v>
      </c>
      <c r="GM295" t="e">
        <f>AND(#REF!,"AAAAAD7PmsI=")</f>
        <v>#REF!</v>
      </c>
      <c r="GN295" t="e">
        <f>AND(#REF!,"AAAAAD7PmsM=")</f>
        <v>#REF!</v>
      </c>
      <c r="GO295" t="e">
        <f>AND(#REF!,"AAAAAD7PmsQ=")</f>
        <v>#REF!</v>
      </c>
      <c r="GP295" t="e">
        <f>AND(#REF!,"AAAAAD7PmsU=")</f>
        <v>#REF!</v>
      </c>
      <c r="GQ295" t="e">
        <f>AND(#REF!,"AAAAAD7PmsY=")</f>
        <v>#REF!</v>
      </c>
      <c r="GR295" t="e">
        <f>AND(#REF!,"AAAAAD7Pmsc=")</f>
        <v>#REF!</v>
      </c>
      <c r="GS295" t="e">
        <f>AND(#REF!,"AAAAAD7Pmsg=")</f>
        <v>#REF!</v>
      </c>
      <c r="GT295" t="e">
        <f>AND(#REF!,"AAAAAD7Pmsk=")</f>
        <v>#REF!</v>
      </c>
      <c r="GU295" t="e">
        <f>AND(#REF!,"AAAAAD7Pmso=")</f>
        <v>#REF!</v>
      </c>
      <c r="GV295" t="e">
        <f>AND(#REF!,"AAAAAD7Pmss=")</f>
        <v>#REF!</v>
      </c>
      <c r="GW295" t="e">
        <f>AND(#REF!,"AAAAAD7Pmsw=")</f>
        <v>#REF!</v>
      </c>
      <c r="GX295" t="e">
        <f>AND(#REF!,"AAAAAD7Pms0=")</f>
        <v>#REF!</v>
      </c>
      <c r="GY295" t="e">
        <f>AND(#REF!,"AAAAAD7Pms4=")</f>
        <v>#REF!</v>
      </c>
      <c r="GZ295" t="e">
        <f>AND(#REF!,"AAAAAD7Pms8=")</f>
        <v>#REF!</v>
      </c>
      <c r="HA295" t="e">
        <f>AND(#REF!,"AAAAAD7PmtA=")</f>
        <v>#REF!</v>
      </c>
      <c r="HB295" t="e">
        <f>AND(#REF!,"AAAAAD7PmtE=")</f>
        <v>#REF!</v>
      </c>
      <c r="HC295" t="e">
        <f>AND(#REF!,"AAAAAD7PmtI=")</f>
        <v>#REF!</v>
      </c>
      <c r="HD295" t="e">
        <f>AND(#REF!,"AAAAAD7PmtM=")</f>
        <v>#REF!</v>
      </c>
      <c r="HE295" t="e">
        <f>AND(#REF!,"AAAAAD7PmtQ=")</f>
        <v>#REF!</v>
      </c>
      <c r="HF295" t="e">
        <f>AND(#REF!,"AAAAAD7PmtU=")</f>
        <v>#REF!</v>
      </c>
      <c r="HG295" t="e">
        <f>AND(#REF!,"AAAAAD7PmtY=")</f>
        <v>#REF!</v>
      </c>
      <c r="HH295" t="e">
        <f>IF(#REF!,"AAAAAD7Pmtc=",0)</f>
        <v>#REF!</v>
      </c>
      <c r="HI295" t="e">
        <f>AND(#REF!,"AAAAAD7Pmtg=")</f>
        <v>#REF!</v>
      </c>
      <c r="HJ295" t="e">
        <f>AND(#REF!,"AAAAAD7Pmtk=")</f>
        <v>#REF!</v>
      </c>
      <c r="HK295" t="e">
        <f>AND(#REF!,"AAAAAD7Pmto=")</f>
        <v>#REF!</v>
      </c>
      <c r="HL295" t="e">
        <f>AND(#REF!,"AAAAAD7Pmts=")</f>
        <v>#REF!</v>
      </c>
      <c r="HM295" t="e">
        <f>AND(#REF!,"AAAAAD7Pmtw=")</f>
        <v>#REF!</v>
      </c>
      <c r="HN295" t="e">
        <f>AND(#REF!,"AAAAAD7Pmt0=")</f>
        <v>#REF!</v>
      </c>
      <c r="HO295" t="e">
        <f>AND(#REF!,"AAAAAD7Pmt4=")</f>
        <v>#REF!</v>
      </c>
      <c r="HP295" t="e">
        <f>AND(#REF!,"AAAAAD7Pmt8=")</f>
        <v>#REF!</v>
      </c>
      <c r="HQ295" t="e">
        <f>AND(#REF!,"AAAAAD7PmuA=")</f>
        <v>#REF!</v>
      </c>
      <c r="HR295" t="e">
        <f>AND(#REF!,"AAAAAD7PmuE=")</f>
        <v>#REF!</v>
      </c>
      <c r="HS295" t="e">
        <f>AND(#REF!,"AAAAAD7PmuI=")</f>
        <v>#REF!</v>
      </c>
      <c r="HT295" t="e">
        <f>AND(#REF!,"AAAAAD7PmuM=")</f>
        <v>#REF!</v>
      </c>
      <c r="HU295" t="e">
        <f>AND(#REF!,"AAAAAD7PmuQ=")</f>
        <v>#REF!</v>
      </c>
      <c r="HV295" t="e">
        <f>AND(#REF!,"AAAAAD7PmuU=")</f>
        <v>#REF!</v>
      </c>
      <c r="HW295" t="e">
        <f>AND(#REF!,"AAAAAD7PmuY=")</f>
        <v>#REF!</v>
      </c>
      <c r="HX295" t="e">
        <f>AND(#REF!,"AAAAAD7Pmuc=")</f>
        <v>#REF!</v>
      </c>
      <c r="HY295" t="e">
        <f>AND(#REF!,"AAAAAD7Pmug=")</f>
        <v>#REF!</v>
      </c>
      <c r="HZ295" t="e">
        <f>AND(#REF!,"AAAAAD7Pmuk=")</f>
        <v>#REF!</v>
      </c>
      <c r="IA295" t="e">
        <f>AND(#REF!,"AAAAAD7Pmuo=")</f>
        <v>#REF!</v>
      </c>
      <c r="IB295" t="e">
        <f>AND(#REF!,"AAAAAD7Pmus=")</f>
        <v>#REF!</v>
      </c>
      <c r="IC295" t="e">
        <f>AND(#REF!,"AAAAAD7Pmuw=")</f>
        <v>#REF!</v>
      </c>
      <c r="ID295" t="e">
        <f>AND(#REF!,"AAAAAD7Pmu0=")</f>
        <v>#REF!</v>
      </c>
      <c r="IE295" t="e">
        <f>AND(#REF!,"AAAAAD7Pmu4=")</f>
        <v>#REF!</v>
      </c>
      <c r="IF295" t="e">
        <f>AND(#REF!,"AAAAAD7Pmu8=")</f>
        <v>#REF!</v>
      </c>
      <c r="IG295" t="e">
        <f>AND(#REF!,"AAAAAD7PmvA=")</f>
        <v>#REF!</v>
      </c>
      <c r="IH295" t="e">
        <f>AND(#REF!,"AAAAAD7PmvE=")</f>
        <v>#REF!</v>
      </c>
      <c r="II295" t="e">
        <f>AND(#REF!,"AAAAAD7PmvI=")</f>
        <v>#REF!</v>
      </c>
      <c r="IJ295" t="e">
        <f>AND(#REF!,"AAAAAD7PmvM=")</f>
        <v>#REF!</v>
      </c>
      <c r="IK295" t="e">
        <f>AND(#REF!,"AAAAAD7PmvQ=")</f>
        <v>#REF!</v>
      </c>
      <c r="IL295" t="e">
        <f>AND(#REF!,"AAAAAD7PmvU=")</f>
        <v>#REF!</v>
      </c>
      <c r="IM295" t="e">
        <f>AND(#REF!,"AAAAAD7PmvY=")</f>
        <v>#REF!</v>
      </c>
      <c r="IN295" t="e">
        <f>AND(#REF!,"AAAAAD7Pmvc=")</f>
        <v>#REF!</v>
      </c>
      <c r="IO295" t="e">
        <f>AND(#REF!,"AAAAAD7Pmvg=")</f>
        <v>#REF!</v>
      </c>
      <c r="IP295" t="e">
        <f>AND(#REF!,"AAAAAD7Pmvk=")</f>
        <v>#REF!</v>
      </c>
      <c r="IQ295" t="e">
        <f>AND(#REF!,"AAAAAD7Pmvo=")</f>
        <v>#REF!</v>
      </c>
      <c r="IR295" t="e">
        <f>AND(#REF!,"AAAAAD7Pmvs=")</f>
        <v>#REF!</v>
      </c>
      <c r="IS295" t="e">
        <f>AND(#REF!,"AAAAAD7Pmvw=")</f>
        <v>#REF!</v>
      </c>
      <c r="IT295" t="e">
        <f>AND(#REF!,"AAAAAD7Pmv0=")</f>
        <v>#REF!</v>
      </c>
      <c r="IU295" t="e">
        <f>AND(#REF!,"AAAAAD7Pmv4=")</f>
        <v>#REF!</v>
      </c>
      <c r="IV295" t="e">
        <f>AND(#REF!,"AAAAAD7Pmv8=")</f>
        <v>#REF!</v>
      </c>
    </row>
    <row r="296" spans="1:256">
      <c r="A296" t="e">
        <f>AND(#REF!,"AAAAAHP/2wA=")</f>
        <v>#REF!</v>
      </c>
      <c r="B296" t="e">
        <f>AND(#REF!,"AAAAAHP/2wE=")</f>
        <v>#REF!</v>
      </c>
      <c r="C296" t="e">
        <f>AND(#REF!,"AAAAAHP/2wI=")</f>
        <v>#REF!</v>
      </c>
      <c r="D296" t="e">
        <f>AND(#REF!,"AAAAAHP/2wM=")</f>
        <v>#REF!</v>
      </c>
      <c r="E296" t="e">
        <f>AND(#REF!,"AAAAAHP/2wQ=")</f>
        <v>#REF!</v>
      </c>
      <c r="F296" t="e">
        <f>AND(#REF!,"AAAAAHP/2wU=")</f>
        <v>#REF!</v>
      </c>
      <c r="G296" t="e">
        <f>AND(#REF!,"AAAAAHP/2wY=")</f>
        <v>#REF!</v>
      </c>
      <c r="H296" t="e">
        <f>AND(#REF!,"AAAAAHP/2wc=")</f>
        <v>#REF!</v>
      </c>
      <c r="I296" t="e">
        <f>AND(#REF!,"AAAAAHP/2wg=")</f>
        <v>#REF!</v>
      </c>
      <c r="J296" t="e">
        <f>AND(#REF!,"AAAAAHP/2wk=")</f>
        <v>#REF!</v>
      </c>
      <c r="K296" t="e">
        <f>AND(#REF!,"AAAAAHP/2wo=")</f>
        <v>#REF!</v>
      </c>
      <c r="L296" t="e">
        <f>IF(#REF!,"AAAAAHP/2ws=",0)</f>
        <v>#REF!</v>
      </c>
      <c r="M296" t="e">
        <f>AND(#REF!,"AAAAAHP/2ww=")</f>
        <v>#REF!</v>
      </c>
      <c r="N296" t="e">
        <f>AND(#REF!,"AAAAAHP/2w0=")</f>
        <v>#REF!</v>
      </c>
      <c r="O296" t="e">
        <f>AND(#REF!,"AAAAAHP/2w4=")</f>
        <v>#REF!</v>
      </c>
      <c r="P296" t="e">
        <f>AND(#REF!,"AAAAAHP/2w8=")</f>
        <v>#REF!</v>
      </c>
      <c r="Q296" t="e">
        <f>AND(#REF!,"AAAAAHP/2xA=")</f>
        <v>#REF!</v>
      </c>
      <c r="R296" t="e">
        <f>AND(#REF!,"AAAAAHP/2xE=")</f>
        <v>#REF!</v>
      </c>
      <c r="S296" t="e">
        <f>AND(#REF!,"AAAAAHP/2xI=")</f>
        <v>#REF!</v>
      </c>
      <c r="T296" t="e">
        <f>AND(#REF!,"AAAAAHP/2xM=")</f>
        <v>#REF!</v>
      </c>
      <c r="U296" t="e">
        <f>AND(#REF!,"AAAAAHP/2xQ=")</f>
        <v>#REF!</v>
      </c>
      <c r="V296" t="e">
        <f>AND(#REF!,"AAAAAHP/2xU=")</f>
        <v>#REF!</v>
      </c>
      <c r="W296" t="e">
        <f>AND(#REF!,"AAAAAHP/2xY=")</f>
        <v>#REF!</v>
      </c>
      <c r="X296" t="e">
        <f>AND(#REF!,"AAAAAHP/2xc=")</f>
        <v>#REF!</v>
      </c>
      <c r="Y296" t="e">
        <f>AND(#REF!,"AAAAAHP/2xg=")</f>
        <v>#REF!</v>
      </c>
      <c r="Z296" t="e">
        <f>AND(#REF!,"AAAAAHP/2xk=")</f>
        <v>#REF!</v>
      </c>
      <c r="AA296" t="e">
        <f>AND(#REF!,"AAAAAHP/2xo=")</f>
        <v>#REF!</v>
      </c>
      <c r="AB296" t="e">
        <f>AND(#REF!,"AAAAAHP/2xs=")</f>
        <v>#REF!</v>
      </c>
      <c r="AC296" t="e">
        <f>AND(#REF!,"AAAAAHP/2xw=")</f>
        <v>#REF!</v>
      </c>
      <c r="AD296" t="e">
        <f>AND(#REF!,"AAAAAHP/2x0=")</f>
        <v>#REF!</v>
      </c>
      <c r="AE296" t="e">
        <f>AND(#REF!,"AAAAAHP/2x4=")</f>
        <v>#REF!</v>
      </c>
      <c r="AF296" t="e">
        <f>AND(#REF!,"AAAAAHP/2x8=")</f>
        <v>#REF!</v>
      </c>
      <c r="AG296" t="e">
        <f>AND(#REF!,"AAAAAHP/2yA=")</f>
        <v>#REF!</v>
      </c>
      <c r="AH296" t="e">
        <f>AND(#REF!,"AAAAAHP/2yE=")</f>
        <v>#REF!</v>
      </c>
      <c r="AI296" t="e">
        <f>AND(#REF!,"AAAAAHP/2yI=")</f>
        <v>#REF!</v>
      </c>
      <c r="AJ296" t="e">
        <f>AND(#REF!,"AAAAAHP/2yM=")</f>
        <v>#REF!</v>
      </c>
      <c r="AK296" t="e">
        <f>AND(#REF!,"AAAAAHP/2yQ=")</f>
        <v>#REF!</v>
      </c>
      <c r="AL296" t="e">
        <f>AND(#REF!,"AAAAAHP/2yU=")</f>
        <v>#REF!</v>
      </c>
      <c r="AM296" t="e">
        <f>AND(#REF!,"AAAAAHP/2yY=")</f>
        <v>#REF!</v>
      </c>
      <c r="AN296" t="e">
        <f>AND(#REF!,"AAAAAHP/2yc=")</f>
        <v>#REF!</v>
      </c>
      <c r="AO296" t="e">
        <f>AND(#REF!,"AAAAAHP/2yg=")</f>
        <v>#REF!</v>
      </c>
      <c r="AP296" t="e">
        <f>AND(#REF!,"AAAAAHP/2yk=")</f>
        <v>#REF!</v>
      </c>
      <c r="AQ296" t="e">
        <f>AND(#REF!,"AAAAAHP/2yo=")</f>
        <v>#REF!</v>
      </c>
      <c r="AR296" t="e">
        <f>AND(#REF!,"AAAAAHP/2ys=")</f>
        <v>#REF!</v>
      </c>
      <c r="AS296" t="e">
        <f>AND(#REF!,"AAAAAHP/2yw=")</f>
        <v>#REF!</v>
      </c>
      <c r="AT296" t="e">
        <f>AND(#REF!,"AAAAAHP/2y0=")</f>
        <v>#REF!</v>
      </c>
      <c r="AU296" t="e">
        <f>AND(#REF!,"AAAAAHP/2y4=")</f>
        <v>#REF!</v>
      </c>
      <c r="AV296" t="e">
        <f>AND(#REF!,"AAAAAHP/2y8=")</f>
        <v>#REF!</v>
      </c>
      <c r="AW296" t="e">
        <f>AND(#REF!,"AAAAAHP/2zA=")</f>
        <v>#REF!</v>
      </c>
      <c r="AX296" t="e">
        <f>AND(#REF!,"AAAAAHP/2zE=")</f>
        <v>#REF!</v>
      </c>
      <c r="AY296" t="e">
        <f>AND(#REF!,"AAAAAHP/2zI=")</f>
        <v>#REF!</v>
      </c>
      <c r="AZ296" t="e">
        <f>AND(#REF!,"AAAAAHP/2zM=")</f>
        <v>#REF!</v>
      </c>
      <c r="BA296" t="e">
        <f>AND(#REF!,"AAAAAHP/2zQ=")</f>
        <v>#REF!</v>
      </c>
      <c r="BB296" t="e">
        <f>AND(#REF!,"AAAAAHP/2zU=")</f>
        <v>#REF!</v>
      </c>
      <c r="BC296" t="e">
        <f>AND(#REF!,"AAAAAHP/2zY=")</f>
        <v>#REF!</v>
      </c>
      <c r="BD296" t="e">
        <f>AND(#REF!,"AAAAAHP/2zc=")</f>
        <v>#REF!</v>
      </c>
      <c r="BE296" t="e">
        <f>AND(#REF!,"AAAAAHP/2zg=")</f>
        <v>#REF!</v>
      </c>
      <c r="BF296" t="e">
        <f>AND(#REF!,"AAAAAHP/2zk=")</f>
        <v>#REF!</v>
      </c>
      <c r="BG296" t="e">
        <f>AND(#REF!,"AAAAAHP/2zo=")</f>
        <v>#REF!</v>
      </c>
      <c r="BH296" t="e">
        <f>AND(#REF!,"AAAAAHP/2zs=")</f>
        <v>#REF!</v>
      </c>
      <c r="BI296" t="e">
        <f>AND(#REF!,"AAAAAHP/2zw=")</f>
        <v>#REF!</v>
      </c>
      <c r="BJ296" t="e">
        <f>AND(#REF!,"AAAAAHP/2z0=")</f>
        <v>#REF!</v>
      </c>
      <c r="BK296" t="e">
        <f>AND(#REF!,"AAAAAHP/2z4=")</f>
        <v>#REF!</v>
      </c>
      <c r="BL296" t="e">
        <f>IF(#REF!,"AAAAAHP/2z8=",0)</f>
        <v>#REF!</v>
      </c>
      <c r="BM296" t="e">
        <f>AND(#REF!,"AAAAAHP/20A=")</f>
        <v>#REF!</v>
      </c>
      <c r="BN296" t="e">
        <f>AND(#REF!,"AAAAAHP/20E=")</f>
        <v>#REF!</v>
      </c>
      <c r="BO296" t="e">
        <f>AND(#REF!,"AAAAAHP/20I=")</f>
        <v>#REF!</v>
      </c>
      <c r="BP296" t="e">
        <f>AND(#REF!,"AAAAAHP/20M=")</f>
        <v>#REF!</v>
      </c>
      <c r="BQ296" t="e">
        <f>AND(#REF!,"AAAAAHP/20Q=")</f>
        <v>#REF!</v>
      </c>
      <c r="BR296" t="e">
        <f>AND(#REF!,"AAAAAHP/20U=")</f>
        <v>#REF!</v>
      </c>
      <c r="BS296" t="e">
        <f>AND(#REF!,"AAAAAHP/20Y=")</f>
        <v>#REF!</v>
      </c>
      <c r="BT296" t="e">
        <f>AND(#REF!,"AAAAAHP/20c=")</f>
        <v>#REF!</v>
      </c>
      <c r="BU296" t="e">
        <f>AND(#REF!,"AAAAAHP/20g=")</f>
        <v>#REF!</v>
      </c>
      <c r="BV296" t="e">
        <f>AND(#REF!,"AAAAAHP/20k=")</f>
        <v>#REF!</v>
      </c>
      <c r="BW296" t="e">
        <f>AND(#REF!,"AAAAAHP/20o=")</f>
        <v>#REF!</v>
      </c>
      <c r="BX296" t="e">
        <f>AND(#REF!,"AAAAAHP/20s=")</f>
        <v>#REF!</v>
      </c>
      <c r="BY296" t="e">
        <f>AND(#REF!,"AAAAAHP/20w=")</f>
        <v>#REF!</v>
      </c>
      <c r="BZ296" t="e">
        <f>AND(#REF!,"AAAAAHP/200=")</f>
        <v>#REF!</v>
      </c>
      <c r="CA296" t="e">
        <f>AND(#REF!,"AAAAAHP/204=")</f>
        <v>#REF!</v>
      </c>
      <c r="CB296" t="e">
        <f>AND(#REF!,"AAAAAHP/208=")</f>
        <v>#REF!</v>
      </c>
      <c r="CC296" t="e">
        <f>AND(#REF!,"AAAAAHP/21A=")</f>
        <v>#REF!</v>
      </c>
      <c r="CD296" t="e">
        <f>AND(#REF!,"AAAAAHP/21E=")</f>
        <v>#REF!</v>
      </c>
      <c r="CE296" t="e">
        <f>AND(#REF!,"AAAAAHP/21I=")</f>
        <v>#REF!</v>
      </c>
      <c r="CF296" t="e">
        <f>AND(#REF!,"AAAAAHP/21M=")</f>
        <v>#REF!</v>
      </c>
      <c r="CG296" t="e">
        <f>AND(#REF!,"AAAAAHP/21Q=")</f>
        <v>#REF!</v>
      </c>
      <c r="CH296" t="e">
        <f>AND(#REF!,"AAAAAHP/21U=")</f>
        <v>#REF!</v>
      </c>
      <c r="CI296" t="e">
        <f>AND(#REF!,"AAAAAHP/21Y=")</f>
        <v>#REF!</v>
      </c>
      <c r="CJ296" t="e">
        <f>AND(#REF!,"AAAAAHP/21c=")</f>
        <v>#REF!</v>
      </c>
      <c r="CK296" t="e">
        <f>AND(#REF!,"AAAAAHP/21g=")</f>
        <v>#REF!</v>
      </c>
      <c r="CL296" t="e">
        <f>AND(#REF!,"AAAAAHP/21k=")</f>
        <v>#REF!</v>
      </c>
      <c r="CM296" t="e">
        <f>AND(#REF!,"AAAAAHP/21o=")</f>
        <v>#REF!</v>
      </c>
      <c r="CN296" t="e">
        <f>AND(#REF!,"AAAAAHP/21s=")</f>
        <v>#REF!</v>
      </c>
      <c r="CO296" t="e">
        <f>AND(#REF!,"AAAAAHP/21w=")</f>
        <v>#REF!</v>
      </c>
      <c r="CP296" t="e">
        <f>AND(#REF!,"AAAAAHP/210=")</f>
        <v>#REF!</v>
      </c>
      <c r="CQ296" t="e">
        <f>AND(#REF!,"AAAAAHP/214=")</f>
        <v>#REF!</v>
      </c>
      <c r="CR296" t="e">
        <f>AND(#REF!,"AAAAAHP/218=")</f>
        <v>#REF!</v>
      </c>
      <c r="CS296" t="e">
        <f>AND(#REF!,"AAAAAHP/22A=")</f>
        <v>#REF!</v>
      </c>
      <c r="CT296" t="e">
        <f>AND(#REF!,"AAAAAHP/22E=")</f>
        <v>#REF!</v>
      </c>
      <c r="CU296" t="e">
        <f>AND(#REF!,"AAAAAHP/22I=")</f>
        <v>#REF!</v>
      </c>
      <c r="CV296" t="e">
        <f>AND(#REF!,"AAAAAHP/22M=")</f>
        <v>#REF!</v>
      </c>
      <c r="CW296" t="e">
        <f>AND(#REF!,"AAAAAHP/22Q=")</f>
        <v>#REF!</v>
      </c>
      <c r="CX296" t="e">
        <f>AND(#REF!,"AAAAAHP/22U=")</f>
        <v>#REF!</v>
      </c>
      <c r="CY296" t="e">
        <f>AND(#REF!,"AAAAAHP/22Y=")</f>
        <v>#REF!</v>
      </c>
      <c r="CZ296" t="e">
        <f>AND(#REF!,"AAAAAHP/22c=")</f>
        <v>#REF!</v>
      </c>
      <c r="DA296" t="e">
        <f>AND(#REF!,"AAAAAHP/22g=")</f>
        <v>#REF!</v>
      </c>
      <c r="DB296" t="e">
        <f>AND(#REF!,"AAAAAHP/22k=")</f>
        <v>#REF!</v>
      </c>
      <c r="DC296" t="e">
        <f>AND(#REF!,"AAAAAHP/22o=")</f>
        <v>#REF!</v>
      </c>
      <c r="DD296" t="e">
        <f>AND(#REF!,"AAAAAHP/22s=")</f>
        <v>#REF!</v>
      </c>
      <c r="DE296" t="e">
        <f>AND(#REF!,"AAAAAHP/22w=")</f>
        <v>#REF!</v>
      </c>
      <c r="DF296" t="e">
        <f>AND(#REF!,"AAAAAHP/220=")</f>
        <v>#REF!</v>
      </c>
      <c r="DG296" t="e">
        <f>AND(#REF!,"AAAAAHP/224=")</f>
        <v>#REF!</v>
      </c>
      <c r="DH296" t="e">
        <f>AND(#REF!,"AAAAAHP/228=")</f>
        <v>#REF!</v>
      </c>
      <c r="DI296" t="e">
        <f>AND(#REF!,"AAAAAHP/23A=")</f>
        <v>#REF!</v>
      </c>
      <c r="DJ296" t="e">
        <f>AND(#REF!,"AAAAAHP/23E=")</f>
        <v>#REF!</v>
      </c>
      <c r="DK296" t="e">
        <f>AND(#REF!,"AAAAAHP/23I=")</f>
        <v>#REF!</v>
      </c>
      <c r="DL296" t="e">
        <f>IF(#REF!,"AAAAAHP/23M=",0)</f>
        <v>#REF!</v>
      </c>
      <c r="DM296" t="e">
        <f>AND(#REF!,"AAAAAHP/23Q=")</f>
        <v>#REF!</v>
      </c>
      <c r="DN296" t="e">
        <f>AND(#REF!,"AAAAAHP/23U=")</f>
        <v>#REF!</v>
      </c>
      <c r="DO296" t="e">
        <f>AND(#REF!,"AAAAAHP/23Y=")</f>
        <v>#REF!</v>
      </c>
      <c r="DP296" t="e">
        <f>AND(#REF!,"AAAAAHP/23c=")</f>
        <v>#REF!</v>
      </c>
      <c r="DQ296" t="e">
        <f>AND(#REF!,"AAAAAHP/23g=")</f>
        <v>#REF!</v>
      </c>
      <c r="DR296" t="e">
        <f>AND(#REF!,"AAAAAHP/23k=")</f>
        <v>#REF!</v>
      </c>
      <c r="DS296" t="e">
        <f>AND(#REF!,"AAAAAHP/23o=")</f>
        <v>#REF!</v>
      </c>
      <c r="DT296" t="e">
        <f>AND(#REF!,"AAAAAHP/23s=")</f>
        <v>#REF!</v>
      </c>
      <c r="DU296" t="e">
        <f>AND(#REF!,"AAAAAHP/23w=")</f>
        <v>#REF!</v>
      </c>
      <c r="DV296" t="e">
        <f>AND(#REF!,"AAAAAHP/230=")</f>
        <v>#REF!</v>
      </c>
      <c r="DW296" t="e">
        <f>AND(#REF!,"AAAAAHP/234=")</f>
        <v>#REF!</v>
      </c>
      <c r="DX296" t="e">
        <f>AND(#REF!,"AAAAAHP/238=")</f>
        <v>#REF!</v>
      </c>
      <c r="DY296" t="e">
        <f>AND(#REF!,"AAAAAHP/24A=")</f>
        <v>#REF!</v>
      </c>
      <c r="DZ296" t="e">
        <f>AND(#REF!,"AAAAAHP/24E=")</f>
        <v>#REF!</v>
      </c>
      <c r="EA296" t="e">
        <f>AND(#REF!,"AAAAAHP/24I=")</f>
        <v>#REF!</v>
      </c>
      <c r="EB296" t="e">
        <f>AND(#REF!,"AAAAAHP/24M=")</f>
        <v>#REF!</v>
      </c>
      <c r="EC296" t="e">
        <f>AND(#REF!,"AAAAAHP/24Q=")</f>
        <v>#REF!</v>
      </c>
      <c r="ED296" t="e">
        <f>AND(#REF!,"AAAAAHP/24U=")</f>
        <v>#REF!</v>
      </c>
      <c r="EE296" t="e">
        <f>AND(#REF!,"AAAAAHP/24Y=")</f>
        <v>#REF!</v>
      </c>
      <c r="EF296" t="e">
        <f>AND(#REF!,"AAAAAHP/24c=")</f>
        <v>#REF!</v>
      </c>
      <c r="EG296" t="e">
        <f>AND(#REF!,"AAAAAHP/24g=")</f>
        <v>#REF!</v>
      </c>
      <c r="EH296" t="e">
        <f>AND(#REF!,"AAAAAHP/24k=")</f>
        <v>#REF!</v>
      </c>
      <c r="EI296" t="e">
        <f>AND(#REF!,"AAAAAHP/24o=")</f>
        <v>#REF!</v>
      </c>
      <c r="EJ296" t="e">
        <f>AND(#REF!,"AAAAAHP/24s=")</f>
        <v>#REF!</v>
      </c>
      <c r="EK296" t="e">
        <f>AND(#REF!,"AAAAAHP/24w=")</f>
        <v>#REF!</v>
      </c>
      <c r="EL296" t="e">
        <f>AND(#REF!,"AAAAAHP/240=")</f>
        <v>#REF!</v>
      </c>
      <c r="EM296" t="e">
        <f>AND(#REF!,"AAAAAHP/244=")</f>
        <v>#REF!</v>
      </c>
      <c r="EN296" t="e">
        <f>AND(#REF!,"AAAAAHP/248=")</f>
        <v>#REF!</v>
      </c>
      <c r="EO296" t="e">
        <f>AND(#REF!,"AAAAAHP/25A=")</f>
        <v>#REF!</v>
      </c>
      <c r="EP296" t="e">
        <f>AND(#REF!,"AAAAAHP/25E=")</f>
        <v>#REF!</v>
      </c>
      <c r="EQ296" t="e">
        <f>AND(#REF!,"AAAAAHP/25I=")</f>
        <v>#REF!</v>
      </c>
      <c r="ER296" t="e">
        <f>AND(#REF!,"AAAAAHP/25M=")</f>
        <v>#REF!</v>
      </c>
      <c r="ES296" t="e">
        <f>AND(#REF!,"AAAAAHP/25Q=")</f>
        <v>#REF!</v>
      </c>
      <c r="ET296" t="e">
        <f>AND(#REF!,"AAAAAHP/25U=")</f>
        <v>#REF!</v>
      </c>
      <c r="EU296" t="e">
        <f>AND(#REF!,"AAAAAHP/25Y=")</f>
        <v>#REF!</v>
      </c>
      <c r="EV296" t="e">
        <f>AND(#REF!,"AAAAAHP/25c=")</f>
        <v>#REF!</v>
      </c>
      <c r="EW296" t="e">
        <f>AND(#REF!,"AAAAAHP/25g=")</f>
        <v>#REF!</v>
      </c>
      <c r="EX296" t="e">
        <f>AND(#REF!,"AAAAAHP/25k=")</f>
        <v>#REF!</v>
      </c>
      <c r="EY296" t="e">
        <f>AND(#REF!,"AAAAAHP/25o=")</f>
        <v>#REF!</v>
      </c>
      <c r="EZ296" t="e">
        <f>AND(#REF!,"AAAAAHP/25s=")</f>
        <v>#REF!</v>
      </c>
      <c r="FA296" t="e">
        <f>AND(#REF!,"AAAAAHP/25w=")</f>
        <v>#REF!</v>
      </c>
      <c r="FB296" t="e">
        <f>AND(#REF!,"AAAAAHP/250=")</f>
        <v>#REF!</v>
      </c>
      <c r="FC296" t="e">
        <f>AND(#REF!,"AAAAAHP/254=")</f>
        <v>#REF!</v>
      </c>
      <c r="FD296" t="e">
        <f>AND(#REF!,"AAAAAHP/258=")</f>
        <v>#REF!</v>
      </c>
      <c r="FE296" t="e">
        <f>AND(#REF!,"AAAAAHP/26A=")</f>
        <v>#REF!</v>
      </c>
      <c r="FF296" t="e">
        <f>AND(#REF!,"AAAAAHP/26E=")</f>
        <v>#REF!</v>
      </c>
      <c r="FG296" t="e">
        <f>AND(#REF!,"AAAAAHP/26I=")</f>
        <v>#REF!</v>
      </c>
      <c r="FH296" t="e">
        <f>AND(#REF!,"AAAAAHP/26M=")</f>
        <v>#REF!</v>
      </c>
      <c r="FI296" t="e">
        <f>AND(#REF!,"AAAAAHP/26Q=")</f>
        <v>#REF!</v>
      </c>
      <c r="FJ296" t="e">
        <f>AND(#REF!,"AAAAAHP/26U=")</f>
        <v>#REF!</v>
      </c>
      <c r="FK296" t="e">
        <f>AND(#REF!,"AAAAAHP/26Y=")</f>
        <v>#REF!</v>
      </c>
      <c r="FL296" t="e">
        <f>IF(#REF!,"AAAAAHP/26c=",0)</f>
        <v>#REF!</v>
      </c>
      <c r="FM296" t="e">
        <f>AND(#REF!,"AAAAAHP/26g=")</f>
        <v>#REF!</v>
      </c>
      <c r="FN296" t="e">
        <f>AND(#REF!,"AAAAAHP/26k=")</f>
        <v>#REF!</v>
      </c>
      <c r="FO296" t="e">
        <f>AND(#REF!,"AAAAAHP/26o=")</f>
        <v>#REF!</v>
      </c>
      <c r="FP296" t="e">
        <f>AND(#REF!,"AAAAAHP/26s=")</f>
        <v>#REF!</v>
      </c>
      <c r="FQ296" t="e">
        <f>AND(#REF!,"AAAAAHP/26w=")</f>
        <v>#REF!</v>
      </c>
      <c r="FR296" t="e">
        <f>AND(#REF!,"AAAAAHP/260=")</f>
        <v>#REF!</v>
      </c>
      <c r="FS296" t="e">
        <f>AND(#REF!,"AAAAAHP/264=")</f>
        <v>#REF!</v>
      </c>
      <c r="FT296" t="e">
        <f>AND(#REF!,"AAAAAHP/268=")</f>
        <v>#REF!</v>
      </c>
      <c r="FU296" t="e">
        <f>AND(#REF!,"AAAAAHP/27A=")</f>
        <v>#REF!</v>
      </c>
      <c r="FV296" t="e">
        <f>AND(#REF!,"AAAAAHP/27E=")</f>
        <v>#REF!</v>
      </c>
      <c r="FW296" t="e">
        <f>AND(#REF!,"AAAAAHP/27I=")</f>
        <v>#REF!</v>
      </c>
      <c r="FX296" t="e">
        <f>AND(#REF!,"AAAAAHP/27M=")</f>
        <v>#REF!</v>
      </c>
      <c r="FY296" t="e">
        <f>AND(#REF!,"AAAAAHP/27Q=")</f>
        <v>#REF!</v>
      </c>
      <c r="FZ296" t="e">
        <f>AND(#REF!,"AAAAAHP/27U=")</f>
        <v>#REF!</v>
      </c>
      <c r="GA296" t="e">
        <f>AND(#REF!,"AAAAAHP/27Y=")</f>
        <v>#REF!</v>
      </c>
      <c r="GB296" t="e">
        <f>AND(#REF!,"AAAAAHP/27c=")</f>
        <v>#REF!</v>
      </c>
      <c r="GC296" t="e">
        <f>AND(#REF!,"AAAAAHP/27g=")</f>
        <v>#REF!</v>
      </c>
      <c r="GD296" t="e">
        <f>AND(#REF!,"AAAAAHP/27k=")</f>
        <v>#REF!</v>
      </c>
      <c r="GE296" t="e">
        <f>AND(#REF!,"AAAAAHP/27o=")</f>
        <v>#REF!</v>
      </c>
      <c r="GF296" t="e">
        <f>AND(#REF!,"AAAAAHP/27s=")</f>
        <v>#REF!</v>
      </c>
      <c r="GG296" t="e">
        <f>AND(#REF!,"AAAAAHP/27w=")</f>
        <v>#REF!</v>
      </c>
      <c r="GH296" t="e">
        <f>AND(#REF!,"AAAAAHP/270=")</f>
        <v>#REF!</v>
      </c>
      <c r="GI296" t="e">
        <f>AND(#REF!,"AAAAAHP/274=")</f>
        <v>#REF!</v>
      </c>
      <c r="GJ296" t="e">
        <f>AND(#REF!,"AAAAAHP/278=")</f>
        <v>#REF!</v>
      </c>
      <c r="GK296" t="e">
        <f>AND(#REF!,"AAAAAHP/28A=")</f>
        <v>#REF!</v>
      </c>
      <c r="GL296" t="e">
        <f>AND(#REF!,"AAAAAHP/28E=")</f>
        <v>#REF!</v>
      </c>
      <c r="GM296" t="e">
        <f>AND(#REF!,"AAAAAHP/28I=")</f>
        <v>#REF!</v>
      </c>
      <c r="GN296" t="e">
        <f>AND(#REF!,"AAAAAHP/28M=")</f>
        <v>#REF!</v>
      </c>
      <c r="GO296" t="e">
        <f>AND(#REF!,"AAAAAHP/28Q=")</f>
        <v>#REF!</v>
      </c>
      <c r="GP296" t="e">
        <f>AND(#REF!,"AAAAAHP/28U=")</f>
        <v>#REF!</v>
      </c>
      <c r="GQ296" t="e">
        <f>AND(#REF!,"AAAAAHP/28Y=")</f>
        <v>#REF!</v>
      </c>
      <c r="GR296" t="e">
        <f>AND(#REF!,"AAAAAHP/28c=")</f>
        <v>#REF!</v>
      </c>
      <c r="GS296" t="e">
        <f>AND(#REF!,"AAAAAHP/28g=")</f>
        <v>#REF!</v>
      </c>
      <c r="GT296" t="e">
        <f>AND(#REF!,"AAAAAHP/28k=")</f>
        <v>#REF!</v>
      </c>
      <c r="GU296" t="e">
        <f>AND(#REF!,"AAAAAHP/28o=")</f>
        <v>#REF!</v>
      </c>
      <c r="GV296" t="e">
        <f>AND(#REF!,"AAAAAHP/28s=")</f>
        <v>#REF!</v>
      </c>
      <c r="GW296" t="e">
        <f>AND(#REF!,"AAAAAHP/28w=")</f>
        <v>#REF!</v>
      </c>
      <c r="GX296" t="e">
        <f>AND(#REF!,"AAAAAHP/280=")</f>
        <v>#REF!</v>
      </c>
      <c r="GY296" t="e">
        <f>AND(#REF!,"AAAAAHP/284=")</f>
        <v>#REF!</v>
      </c>
      <c r="GZ296" t="e">
        <f>AND(#REF!,"AAAAAHP/288=")</f>
        <v>#REF!</v>
      </c>
      <c r="HA296" t="e">
        <f>AND(#REF!,"AAAAAHP/29A=")</f>
        <v>#REF!</v>
      </c>
      <c r="HB296" t="e">
        <f>AND(#REF!,"AAAAAHP/29E=")</f>
        <v>#REF!</v>
      </c>
      <c r="HC296" t="e">
        <f>AND(#REF!,"AAAAAHP/29I=")</f>
        <v>#REF!</v>
      </c>
      <c r="HD296" t="e">
        <f>AND(#REF!,"AAAAAHP/29M=")</f>
        <v>#REF!</v>
      </c>
      <c r="HE296" t="e">
        <f>AND(#REF!,"AAAAAHP/29Q=")</f>
        <v>#REF!</v>
      </c>
      <c r="HF296" t="e">
        <f>AND(#REF!,"AAAAAHP/29U=")</f>
        <v>#REF!</v>
      </c>
      <c r="HG296" t="e">
        <f>AND(#REF!,"AAAAAHP/29Y=")</f>
        <v>#REF!</v>
      </c>
      <c r="HH296" t="e">
        <f>AND(#REF!,"AAAAAHP/29c=")</f>
        <v>#REF!</v>
      </c>
      <c r="HI296" t="e">
        <f>AND(#REF!,"AAAAAHP/29g=")</f>
        <v>#REF!</v>
      </c>
      <c r="HJ296" t="e">
        <f>AND(#REF!,"AAAAAHP/29k=")</f>
        <v>#REF!</v>
      </c>
      <c r="HK296" t="e">
        <f>AND(#REF!,"AAAAAHP/29o=")</f>
        <v>#REF!</v>
      </c>
      <c r="HL296" t="e">
        <f>IF(#REF!,"AAAAAHP/29s=",0)</f>
        <v>#REF!</v>
      </c>
      <c r="HM296" t="e">
        <f>AND(#REF!,"AAAAAHP/29w=")</f>
        <v>#REF!</v>
      </c>
      <c r="HN296" t="e">
        <f>AND(#REF!,"AAAAAHP/290=")</f>
        <v>#REF!</v>
      </c>
      <c r="HO296" t="e">
        <f>AND(#REF!,"AAAAAHP/294=")</f>
        <v>#REF!</v>
      </c>
      <c r="HP296" t="e">
        <f>AND(#REF!,"AAAAAHP/298=")</f>
        <v>#REF!</v>
      </c>
      <c r="HQ296" t="e">
        <f>AND(#REF!,"AAAAAHP/2+A=")</f>
        <v>#REF!</v>
      </c>
      <c r="HR296" t="e">
        <f>AND(#REF!,"AAAAAHP/2+E=")</f>
        <v>#REF!</v>
      </c>
      <c r="HS296" t="e">
        <f>AND(#REF!,"AAAAAHP/2+I=")</f>
        <v>#REF!</v>
      </c>
      <c r="HT296" t="e">
        <f>AND(#REF!,"AAAAAHP/2+M=")</f>
        <v>#REF!</v>
      </c>
      <c r="HU296" t="e">
        <f>AND(#REF!,"AAAAAHP/2+Q=")</f>
        <v>#REF!</v>
      </c>
      <c r="HV296" t="e">
        <f>AND(#REF!,"AAAAAHP/2+U=")</f>
        <v>#REF!</v>
      </c>
      <c r="HW296" t="e">
        <f>AND(#REF!,"AAAAAHP/2+Y=")</f>
        <v>#REF!</v>
      </c>
      <c r="HX296" t="e">
        <f>AND(#REF!,"AAAAAHP/2+c=")</f>
        <v>#REF!</v>
      </c>
      <c r="HY296" t="e">
        <f>AND(#REF!,"AAAAAHP/2+g=")</f>
        <v>#REF!</v>
      </c>
      <c r="HZ296" t="e">
        <f>AND(#REF!,"AAAAAHP/2+k=")</f>
        <v>#REF!</v>
      </c>
      <c r="IA296" t="e">
        <f>AND(#REF!,"AAAAAHP/2+o=")</f>
        <v>#REF!</v>
      </c>
      <c r="IB296" t="e">
        <f>AND(#REF!,"AAAAAHP/2+s=")</f>
        <v>#REF!</v>
      </c>
      <c r="IC296" t="e">
        <f>AND(#REF!,"AAAAAHP/2+w=")</f>
        <v>#REF!</v>
      </c>
      <c r="ID296" t="e">
        <f>AND(#REF!,"AAAAAHP/2+0=")</f>
        <v>#REF!</v>
      </c>
      <c r="IE296" t="e">
        <f>AND(#REF!,"AAAAAHP/2+4=")</f>
        <v>#REF!</v>
      </c>
      <c r="IF296" t="e">
        <f>AND(#REF!,"AAAAAHP/2+8=")</f>
        <v>#REF!</v>
      </c>
      <c r="IG296" t="e">
        <f>AND(#REF!,"AAAAAHP/2/A=")</f>
        <v>#REF!</v>
      </c>
      <c r="IH296" t="e">
        <f>AND(#REF!,"AAAAAHP/2/E=")</f>
        <v>#REF!</v>
      </c>
      <c r="II296" t="e">
        <f>AND(#REF!,"AAAAAHP/2/I=")</f>
        <v>#REF!</v>
      </c>
      <c r="IJ296" t="e">
        <f>AND(#REF!,"AAAAAHP/2/M=")</f>
        <v>#REF!</v>
      </c>
      <c r="IK296" t="e">
        <f>AND(#REF!,"AAAAAHP/2/Q=")</f>
        <v>#REF!</v>
      </c>
      <c r="IL296" t="e">
        <f>AND(#REF!,"AAAAAHP/2/U=")</f>
        <v>#REF!</v>
      </c>
      <c r="IM296" t="e">
        <f>AND(#REF!,"AAAAAHP/2/Y=")</f>
        <v>#REF!</v>
      </c>
      <c r="IN296" t="e">
        <f>AND(#REF!,"AAAAAHP/2/c=")</f>
        <v>#REF!</v>
      </c>
      <c r="IO296" t="e">
        <f>AND(#REF!,"AAAAAHP/2/g=")</f>
        <v>#REF!</v>
      </c>
      <c r="IP296" t="e">
        <f>AND(#REF!,"AAAAAHP/2/k=")</f>
        <v>#REF!</v>
      </c>
      <c r="IQ296" t="e">
        <f>AND(#REF!,"AAAAAHP/2/o=")</f>
        <v>#REF!</v>
      </c>
      <c r="IR296" t="e">
        <f>AND(#REF!,"AAAAAHP/2/s=")</f>
        <v>#REF!</v>
      </c>
      <c r="IS296" t="e">
        <f>AND(#REF!,"AAAAAHP/2/w=")</f>
        <v>#REF!</v>
      </c>
      <c r="IT296" t="e">
        <f>AND(#REF!,"AAAAAHP/2/0=")</f>
        <v>#REF!</v>
      </c>
      <c r="IU296" t="e">
        <f>AND(#REF!,"AAAAAHP/2/4=")</f>
        <v>#REF!</v>
      </c>
      <c r="IV296" t="e">
        <f>AND(#REF!,"AAAAAHP/2/8=")</f>
        <v>#REF!</v>
      </c>
    </row>
    <row r="297" spans="1:256">
      <c r="A297" t="e">
        <f>AND(#REF!,"AAAAAHnbWwA=")</f>
        <v>#REF!</v>
      </c>
      <c r="B297" t="e">
        <f>AND(#REF!,"AAAAAHnbWwE=")</f>
        <v>#REF!</v>
      </c>
      <c r="C297" t="e">
        <f>AND(#REF!,"AAAAAHnbWwI=")</f>
        <v>#REF!</v>
      </c>
      <c r="D297" t="e">
        <f>AND(#REF!,"AAAAAHnbWwM=")</f>
        <v>#REF!</v>
      </c>
      <c r="E297" t="e">
        <f>AND(#REF!,"AAAAAHnbWwQ=")</f>
        <v>#REF!</v>
      </c>
      <c r="F297" t="e">
        <f>AND(#REF!,"AAAAAHnbWwU=")</f>
        <v>#REF!</v>
      </c>
      <c r="G297" t="e">
        <f>AND(#REF!,"AAAAAHnbWwY=")</f>
        <v>#REF!</v>
      </c>
      <c r="H297" t="e">
        <f>AND(#REF!,"AAAAAHnbWwc=")</f>
        <v>#REF!</v>
      </c>
      <c r="I297" t="e">
        <f>AND(#REF!,"AAAAAHnbWwg=")</f>
        <v>#REF!</v>
      </c>
      <c r="J297" t="e">
        <f>AND(#REF!,"AAAAAHnbWwk=")</f>
        <v>#REF!</v>
      </c>
      <c r="K297" t="e">
        <f>AND(#REF!,"AAAAAHnbWwo=")</f>
        <v>#REF!</v>
      </c>
      <c r="L297" t="e">
        <f>AND(#REF!,"AAAAAHnbWws=")</f>
        <v>#REF!</v>
      </c>
      <c r="M297" t="e">
        <f>AND(#REF!,"AAAAAHnbWww=")</f>
        <v>#REF!</v>
      </c>
      <c r="N297" t="e">
        <f>AND(#REF!,"AAAAAHnbWw0=")</f>
        <v>#REF!</v>
      </c>
      <c r="O297" t="e">
        <f>AND(#REF!,"AAAAAHnbWw4=")</f>
        <v>#REF!</v>
      </c>
      <c r="P297" t="e">
        <f>IF(#REF!,"AAAAAHnbWw8=",0)</f>
        <v>#REF!</v>
      </c>
      <c r="Q297" t="e">
        <f>AND(#REF!,"AAAAAHnbWxA=")</f>
        <v>#REF!</v>
      </c>
      <c r="R297" t="e">
        <f>AND(#REF!,"AAAAAHnbWxE=")</f>
        <v>#REF!</v>
      </c>
      <c r="S297" t="e">
        <f>AND(#REF!,"AAAAAHnbWxI=")</f>
        <v>#REF!</v>
      </c>
      <c r="T297" t="e">
        <f>AND(#REF!,"AAAAAHnbWxM=")</f>
        <v>#REF!</v>
      </c>
      <c r="U297" t="e">
        <f>AND(#REF!,"AAAAAHnbWxQ=")</f>
        <v>#REF!</v>
      </c>
      <c r="V297" t="e">
        <f>AND(#REF!,"AAAAAHnbWxU=")</f>
        <v>#REF!</v>
      </c>
      <c r="W297" t="e">
        <f>AND(#REF!,"AAAAAHnbWxY=")</f>
        <v>#REF!</v>
      </c>
      <c r="X297" t="e">
        <f>AND(#REF!,"AAAAAHnbWxc=")</f>
        <v>#REF!</v>
      </c>
      <c r="Y297" t="e">
        <f>AND(#REF!,"AAAAAHnbWxg=")</f>
        <v>#REF!</v>
      </c>
      <c r="Z297" t="e">
        <f>AND(#REF!,"AAAAAHnbWxk=")</f>
        <v>#REF!</v>
      </c>
      <c r="AA297" t="e">
        <f>AND(#REF!,"AAAAAHnbWxo=")</f>
        <v>#REF!</v>
      </c>
      <c r="AB297" t="e">
        <f>AND(#REF!,"AAAAAHnbWxs=")</f>
        <v>#REF!</v>
      </c>
      <c r="AC297" t="e">
        <f>AND(#REF!,"AAAAAHnbWxw=")</f>
        <v>#REF!</v>
      </c>
      <c r="AD297" t="e">
        <f>AND(#REF!,"AAAAAHnbWx0=")</f>
        <v>#REF!</v>
      </c>
      <c r="AE297" t="e">
        <f>AND(#REF!,"AAAAAHnbWx4=")</f>
        <v>#REF!</v>
      </c>
      <c r="AF297" t="e">
        <f>AND(#REF!,"AAAAAHnbWx8=")</f>
        <v>#REF!</v>
      </c>
      <c r="AG297" t="e">
        <f>AND(#REF!,"AAAAAHnbWyA=")</f>
        <v>#REF!</v>
      </c>
      <c r="AH297" t="e">
        <f>AND(#REF!,"AAAAAHnbWyE=")</f>
        <v>#REF!</v>
      </c>
      <c r="AI297" t="e">
        <f>AND(#REF!,"AAAAAHnbWyI=")</f>
        <v>#REF!</v>
      </c>
      <c r="AJ297" t="e">
        <f>AND(#REF!,"AAAAAHnbWyM=")</f>
        <v>#REF!</v>
      </c>
      <c r="AK297" t="e">
        <f>AND(#REF!,"AAAAAHnbWyQ=")</f>
        <v>#REF!</v>
      </c>
      <c r="AL297" t="e">
        <f>AND(#REF!,"AAAAAHnbWyU=")</f>
        <v>#REF!</v>
      </c>
      <c r="AM297" t="e">
        <f>AND(#REF!,"AAAAAHnbWyY=")</f>
        <v>#REF!</v>
      </c>
      <c r="AN297" t="e">
        <f>AND(#REF!,"AAAAAHnbWyc=")</f>
        <v>#REF!</v>
      </c>
      <c r="AO297" t="e">
        <f>AND(#REF!,"AAAAAHnbWyg=")</f>
        <v>#REF!</v>
      </c>
      <c r="AP297" t="e">
        <f>AND(#REF!,"AAAAAHnbWyk=")</f>
        <v>#REF!</v>
      </c>
      <c r="AQ297" t="e">
        <f>AND(#REF!,"AAAAAHnbWyo=")</f>
        <v>#REF!</v>
      </c>
      <c r="AR297" t="e">
        <f>AND(#REF!,"AAAAAHnbWys=")</f>
        <v>#REF!</v>
      </c>
      <c r="AS297" t="e">
        <f>AND(#REF!,"AAAAAHnbWyw=")</f>
        <v>#REF!</v>
      </c>
      <c r="AT297" t="e">
        <f>AND(#REF!,"AAAAAHnbWy0=")</f>
        <v>#REF!</v>
      </c>
      <c r="AU297" t="e">
        <f>AND(#REF!,"AAAAAHnbWy4=")</f>
        <v>#REF!</v>
      </c>
      <c r="AV297" t="e">
        <f>AND(#REF!,"AAAAAHnbWy8=")</f>
        <v>#REF!</v>
      </c>
      <c r="AW297" t="e">
        <f>AND(#REF!,"AAAAAHnbWzA=")</f>
        <v>#REF!</v>
      </c>
      <c r="AX297" t="e">
        <f>AND(#REF!,"AAAAAHnbWzE=")</f>
        <v>#REF!</v>
      </c>
      <c r="AY297" t="e">
        <f>AND(#REF!,"AAAAAHnbWzI=")</f>
        <v>#REF!</v>
      </c>
      <c r="AZ297" t="e">
        <f>AND(#REF!,"AAAAAHnbWzM=")</f>
        <v>#REF!</v>
      </c>
      <c r="BA297" t="e">
        <f>AND(#REF!,"AAAAAHnbWzQ=")</f>
        <v>#REF!</v>
      </c>
      <c r="BB297" t="e">
        <f>AND(#REF!,"AAAAAHnbWzU=")</f>
        <v>#REF!</v>
      </c>
      <c r="BC297" t="e">
        <f>AND(#REF!,"AAAAAHnbWzY=")</f>
        <v>#REF!</v>
      </c>
      <c r="BD297" t="e">
        <f>AND(#REF!,"AAAAAHnbWzc=")</f>
        <v>#REF!</v>
      </c>
      <c r="BE297" t="e">
        <f>AND(#REF!,"AAAAAHnbWzg=")</f>
        <v>#REF!</v>
      </c>
      <c r="BF297" t="e">
        <f>AND(#REF!,"AAAAAHnbWzk=")</f>
        <v>#REF!</v>
      </c>
      <c r="BG297" t="e">
        <f>AND(#REF!,"AAAAAHnbWzo=")</f>
        <v>#REF!</v>
      </c>
      <c r="BH297" t="e">
        <f>AND(#REF!,"AAAAAHnbWzs=")</f>
        <v>#REF!</v>
      </c>
      <c r="BI297" t="e">
        <f>AND(#REF!,"AAAAAHnbWzw=")</f>
        <v>#REF!</v>
      </c>
      <c r="BJ297" t="e">
        <f>AND(#REF!,"AAAAAHnbWz0=")</f>
        <v>#REF!</v>
      </c>
      <c r="BK297" t="e">
        <f>AND(#REF!,"AAAAAHnbWz4=")</f>
        <v>#REF!</v>
      </c>
      <c r="BL297" t="e">
        <f>AND(#REF!,"AAAAAHnbWz8=")</f>
        <v>#REF!</v>
      </c>
      <c r="BM297" t="e">
        <f>AND(#REF!,"AAAAAHnbW0A=")</f>
        <v>#REF!</v>
      </c>
      <c r="BN297" t="e">
        <f>AND(#REF!,"AAAAAHnbW0E=")</f>
        <v>#REF!</v>
      </c>
      <c r="BO297" t="e">
        <f>AND(#REF!,"AAAAAHnbW0I=")</f>
        <v>#REF!</v>
      </c>
      <c r="BP297" t="e">
        <f>IF(#REF!,"AAAAAHnbW0M=",0)</f>
        <v>#REF!</v>
      </c>
      <c r="BQ297" t="e">
        <f>AND(#REF!,"AAAAAHnbW0Q=")</f>
        <v>#REF!</v>
      </c>
      <c r="BR297" t="e">
        <f>AND(#REF!,"AAAAAHnbW0U=")</f>
        <v>#REF!</v>
      </c>
      <c r="BS297" t="e">
        <f>AND(#REF!,"AAAAAHnbW0Y=")</f>
        <v>#REF!</v>
      </c>
      <c r="BT297" t="e">
        <f>AND(#REF!,"AAAAAHnbW0c=")</f>
        <v>#REF!</v>
      </c>
      <c r="BU297" t="e">
        <f>AND(#REF!,"AAAAAHnbW0g=")</f>
        <v>#REF!</v>
      </c>
      <c r="BV297" t="e">
        <f>AND(#REF!,"AAAAAHnbW0k=")</f>
        <v>#REF!</v>
      </c>
      <c r="BW297" t="e">
        <f>AND(#REF!,"AAAAAHnbW0o=")</f>
        <v>#REF!</v>
      </c>
      <c r="BX297" t="e">
        <f>AND(#REF!,"AAAAAHnbW0s=")</f>
        <v>#REF!</v>
      </c>
      <c r="BY297" t="e">
        <f>AND(#REF!,"AAAAAHnbW0w=")</f>
        <v>#REF!</v>
      </c>
      <c r="BZ297" t="e">
        <f>AND(#REF!,"AAAAAHnbW00=")</f>
        <v>#REF!</v>
      </c>
      <c r="CA297" t="e">
        <f>AND(#REF!,"AAAAAHnbW04=")</f>
        <v>#REF!</v>
      </c>
      <c r="CB297" t="e">
        <f>AND(#REF!,"AAAAAHnbW08=")</f>
        <v>#REF!</v>
      </c>
      <c r="CC297" t="e">
        <f>AND(#REF!,"AAAAAHnbW1A=")</f>
        <v>#REF!</v>
      </c>
      <c r="CD297" t="e">
        <f>AND(#REF!,"AAAAAHnbW1E=")</f>
        <v>#REF!</v>
      </c>
      <c r="CE297" t="e">
        <f>AND(#REF!,"AAAAAHnbW1I=")</f>
        <v>#REF!</v>
      </c>
      <c r="CF297" t="e">
        <f>AND(#REF!,"AAAAAHnbW1M=")</f>
        <v>#REF!</v>
      </c>
      <c r="CG297" t="e">
        <f>AND(#REF!,"AAAAAHnbW1Q=")</f>
        <v>#REF!</v>
      </c>
      <c r="CH297" t="e">
        <f>AND(#REF!,"AAAAAHnbW1U=")</f>
        <v>#REF!</v>
      </c>
      <c r="CI297" t="e">
        <f>AND(#REF!,"AAAAAHnbW1Y=")</f>
        <v>#REF!</v>
      </c>
      <c r="CJ297" t="e">
        <f>AND(#REF!,"AAAAAHnbW1c=")</f>
        <v>#REF!</v>
      </c>
      <c r="CK297" t="e">
        <f>AND(#REF!,"AAAAAHnbW1g=")</f>
        <v>#REF!</v>
      </c>
      <c r="CL297" t="e">
        <f>AND(#REF!,"AAAAAHnbW1k=")</f>
        <v>#REF!</v>
      </c>
      <c r="CM297" t="e">
        <f>AND(#REF!,"AAAAAHnbW1o=")</f>
        <v>#REF!</v>
      </c>
      <c r="CN297" t="e">
        <f>AND(#REF!,"AAAAAHnbW1s=")</f>
        <v>#REF!</v>
      </c>
      <c r="CO297" t="e">
        <f>AND(#REF!,"AAAAAHnbW1w=")</f>
        <v>#REF!</v>
      </c>
      <c r="CP297" t="e">
        <f>AND(#REF!,"AAAAAHnbW10=")</f>
        <v>#REF!</v>
      </c>
      <c r="CQ297" t="e">
        <f>AND(#REF!,"AAAAAHnbW14=")</f>
        <v>#REF!</v>
      </c>
      <c r="CR297" t="e">
        <f>AND(#REF!,"AAAAAHnbW18=")</f>
        <v>#REF!</v>
      </c>
      <c r="CS297" t="e">
        <f>AND(#REF!,"AAAAAHnbW2A=")</f>
        <v>#REF!</v>
      </c>
      <c r="CT297" t="e">
        <f>AND(#REF!,"AAAAAHnbW2E=")</f>
        <v>#REF!</v>
      </c>
      <c r="CU297" t="e">
        <f>AND(#REF!,"AAAAAHnbW2I=")</f>
        <v>#REF!</v>
      </c>
      <c r="CV297" t="e">
        <f>AND(#REF!,"AAAAAHnbW2M=")</f>
        <v>#REF!</v>
      </c>
      <c r="CW297" t="e">
        <f>AND(#REF!,"AAAAAHnbW2Q=")</f>
        <v>#REF!</v>
      </c>
      <c r="CX297" t="e">
        <f>AND(#REF!,"AAAAAHnbW2U=")</f>
        <v>#REF!</v>
      </c>
      <c r="CY297" t="e">
        <f>AND(#REF!,"AAAAAHnbW2Y=")</f>
        <v>#REF!</v>
      </c>
      <c r="CZ297" t="e">
        <f>AND(#REF!,"AAAAAHnbW2c=")</f>
        <v>#REF!</v>
      </c>
      <c r="DA297" t="e">
        <f>AND(#REF!,"AAAAAHnbW2g=")</f>
        <v>#REF!</v>
      </c>
      <c r="DB297" t="e">
        <f>AND(#REF!,"AAAAAHnbW2k=")</f>
        <v>#REF!</v>
      </c>
      <c r="DC297" t="e">
        <f>AND(#REF!,"AAAAAHnbW2o=")</f>
        <v>#REF!</v>
      </c>
      <c r="DD297" t="e">
        <f>AND(#REF!,"AAAAAHnbW2s=")</f>
        <v>#REF!</v>
      </c>
      <c r="DE297" t="e">
        <f>AND(#REF!,"AAAAAHnbW2w=")</f>
        <v>#REF!</v>
      </c>
      <c r="DF297" t="e">
        <f>AND(#REF!,"AAAAAHnbW20=")</f>
        <v>#REF!</v>
      </c>
      <c r="DG297" t="e">
        <f>AND(#REF!,"AAAAAHnbW24=")</f>
        <v>#REF!</v>
      </c>
      <c r="DH297" t="e">
        <f>AND(#REF!,"AAAAAHnbW28=")</f>
        <v>#REF!</v>
      </c>
      <c r="DI297" t="e">
        <f>AND(#REF!,"AAAAAHnbW3A=")</f>
        <v>#REF!</v>
      </c>
      <c r="DJ297" t="e">
        <f>AND(#REF!,"AAAAAHnbW3E=")</f>
        <v>#REF!</v>
      </c>
      <c r="DK297" t="e">
        <f>AND(#REF!,"AAAAAHnbW3I=")</f>
        <v>#REF!</v>
      </c>
      <c r="DL297" t="e">
        <f>AND(#REF!,"AAAAAHnbW3M=")</f>
        <v>#REF!</v>
      </c>
      <c r="DM297" t="e">
        <f>AND(#REF!,"AAAAAHnbW3Q=")</f>
        <v>#REF!</v>
      </c>
      <c r="DN297" t="e">
        <f>AND(#REF!,"AAAAAHnbW3U=")</f>
        <v>#REF!</v>
      </c>
      <c r="DO297" t="e">
        <f>AND(#REF!,"AAAAAHnbW3Y=")</f>
        <v>#REF!</v>
      </c>
      <c r="DP297" t="e">
        <f>IF(#REF!,"AAAAAHnbW3c=",0)</f>
        <v>#REF!</v>
      </c>
      <c r="DQ297" t="e">
        <f>AND(#REF!,"AAAAAHnbW3g=")</f>
        <v>#REF!</v>
      </c>
      <c r="DR297" t="e">
        <f>AND(#REF!,"AAAAAHnbW3k=")</f>
        <v>#REF!</v>
      </c>
      <c r="DS297" t="e">
        <f>AND(#REF!,"AAAAAHnbW3o=")</f>
        <v>#REF!</v>
      </c>
      <c r="DT297" t="e">
        <f>AND(#REF!,"AAAAAHnbW3s=")</f>
        <v>#REF!</v>
      </c>
      <c r="DU297" t="e">
        <f>AND(#REF!,"AAAAAHnbW3w=")</f>
        <v>#REF!</v>
      </c>
      <c r="DV297" t="e">
        <f>AND(#REF!,"AAAAAHnbW30=")</f>
        <v>#REF!</v>
      </c>
      <c r="DW297" t="e">
        <f>AND(#REF!,"AAAAAHnbW34=")</f>
        <v>#REF!</v>
      </c>
      <c r="DX297" t="e">
        <f>AND(#REF!,"AAAAAHnbW38=")</f>
        <v>#REF!</v>
      </c>
      <c r="DY297" t="e">
        <f>AND(#REF!,"AAAAAHnbW4A=")</f>
        <v>#REF!</v>
      </c>
      <c r="DZ297" t="e">
        <f>AND(#REF!,"AAAAAHnbW4E=")</f>
        <v>#REF!</v>
      </c>
      <c r="EA297" t="e">
        <f>AND(#REF!,"AAAAAHnbW4I=")</f>
        <v>#REF!</v>
      </c>
      <c r="EB297" t="e">
        <f>AND(#REF!,"AAAAAHnbW4M=")</f>
        <v>#REF!</v>
      </c>
      <c r="EC297" t="e">
        <f>AND(#REF!,"AAAAAHnbW4Q=")</f>
        <v>#REF!</v>
      </c>
      <c r="ED297" t="e">
        <f>AND(#REF!,"AAAAAHnbW4U=")</f>
        <v>#REF!</v>
      </c>
      <c r="EE297" t="e">
        <f>AND(#REF!,"AAAAAHnbW4Y=")</f>
        <v>#REF!</v>
      </c>
      <c r="EF297" t="e">
        <f>AND(#REF!,"AAAAAHnbW4c=")</f>
        <v>#REF!</v>
      </c>
      <c r="EG297" t="e">
        <f>AND(#REF!,"AAAAAHnbW4g=")</f>
        <v>#REF!</v>
      </c>
      <c r="EH297" t="e">
        <f>AND(#REF!,"AAAAAHnbW4k=")</f>
        <v>#REF!</v>
      </c>
      <c r="EI297" t="e">
        <f>AND(#REF!,"AAAAAHnbW4o=")</f>
        <v>#REF!</v>
      </c>
      <c r="EJ297" t="e">
        <f>AND(#REF!,"AAAAAHnbW4s=")</f>
        <v>#REF!</v>
      </c>
      <c r="EK297" t="e">
        <f>AND(#REF!,"AAAAAHnbW4w=")</f>
        <v>#REF!</v>
      </c>
      <c r="EL297" t="e">
        <f>AND(#REF!,"AAAAAHnbW40=")</f>
        <v>#REF!</v>
      </c>
      <c r="EM297" t="e">
        <f>AND(#REF!,"AAAAAHnbW44=")</f>
        <v>#REF!</v>
      </c>
      <c r="EN297" t="e">
        <f>AND(#REF!,"AAAAAHnbW48=")</f>
        <v>#REF!</v>
      </c>
      <c r="EO297" t="e">
        <f>AND(#REF!,"AAAAAHnbW5A=")</f>
        <v>#REF!</v>
      </c>
      <c r="EP297" t="e">
        <f>AND(#REF!,"AAAAAHnbW5E=")</f>
        <v>#REF!</v>
      </c>
      <c r="EQ297" t="e">
        <f>AND(#REF!,"AAAAAHnbW5I=")</f>
        <v>#REF!</v>
      </c>
      <c r="ER297" t="e">
        <f>AND(#REF!,"AAAAAHnbW5M=")</f>
        <v>#REF!</v>
      </c>
      <c r="ES297" t="e">
        <f>AND(#REF!,"AAAAAHnbW5Q=")</f>
        <v>#REF!</v>
      </c>
      <c r="ET297" t="e">
        <f>AND(#REF!,"AAAAAHnbW5U=")</f>
        <v>#REF!</v>
      </c>
      <c r="EU297" t="e">
        <f>AND(#REF!,"AAAAAHnbW5Y=")</f>
        <v>#REF!</v>
      </c>
      <c r="EV297" t="e">
        <f>AND(#REF!,"AAAAAHnbW5c=")</f>
        <v>#REF!</v>
      </c>
      <c r="EW297" t="e">
        <f>AND(#REF!,"AAAAAHnbW5g=")</f>
        <v>#REF!</v>
      </c>
      <c r="EX297" t="e">
        <f>AND(#REF!,"AAAAAHnbW5k=")</f>
        <v>#REF!</v>
      </c>
      <c r="EY297" t="e">
        <f>AND(#REF!,"AAAAAHnbW5o=")</f>
        <v>#REF!</v>
      </c>
      <c r="EZ297" t="e">
        <f>AND(#REF!,"AAAAAHnbW5s=")</f>
        <v>#REF!</v>
      </c>
      <c r="FA297" t="e">
        <f>AND(#REF!,"AAAAAHnbW5w=")</f>
        <v>#REF!</v>
      </c>
      <c r="FB297" t="e">
        <f>AND(#REF!,"AAAAAHnbW50=")</f>
        <v>#REF!</v>
      </c>
      <c r="FC297" t="e">
        <f>AND(#REF!,"AAAAAHnbW54=")</f>
        <v>#REF!</v>
      </c>
      <c r="FD297" t="e">
        <f>AND(#REF!,"AAAAAHnbW58=")</f>
        <v>#REF!</v>
      </c>
      <c r="FE297" t="e">
        <f>AND(#REF!,"AAAAAHnbW6A=")</f>
        <v>#REF!</v>
      </c>
      <c r="FF297" t="e">
        <f>AND(#REF!,"AAAAAHnbW6E=")</f>
        <v>#REF!</v>
      </c>
      <c r="FG297" t="e">
        <f>AND(#REF!,"AAAAAHnbW6I=")</f>
        <v>#REF!</v>
      </c>
      <c r="FH297" t="e">
        <f>AND(#REF!,"AAAAAHnbW6M=")</f>
        <v>#REF!</v>
      </c>
      <c r="FI297" t="e">
        <f>AND(#REF!,"AAAAAHnbW6Q=")</f>
        <v>#REF!</v>
      </c>
      <c r="FJ297" t="e">
        <f>AND(#REF!,"AAAAAHnbW6U=")</f>
        <v>#REF!</v>
      </c>
      <c r="FK297" t="e">
        <f>AND(#REF!,"AAAAAHnbW6Y=")</f>
        <v>#REF!</v>
      </c>
      <c r="FL297" t="e">
        <f>AND(#REF!,"AAAAAHnbW6c=")</f>
        <v>#REF!</v>
      </c>
      <c r="FM297" t="e">
        <f>AND(#REF!,"AAAAAHnbW6g=")</f>
        <v>#REF!</v>
      </c>
      <c r="FN297" t="e">
        <f>AND(#REF!,"AAAAAHnbW6k=")</f>
        <v>#REF!</v>
      </c>
      <c r="FO297" t="e">
        <f>AND(#REF!,"AAAAAHnbW6o=")</f>
        <v>#REF!</v>
      </c>
      <c r="FP297" t="e">
        <f>IF(#REF!,"AAAAAHnbW6s=",0)</f>
        <v>#REF!</v>
      </c>
      <c r="FQ297" t="e">
        <f>AND(#REF!,"AAAAAHnbW6w=")</f>
        <v>#REF!</v>
      </c>
      <c r="FR297" t="e">
        <f>AND(#REF!,"AAAAAHnbW60=")</f>
        <v>#REF!</v>
      </c>
      <c r="FS297" t="e">
        <f>AND(#REF!,"AAAAAHnbW64=")</f>
        <v>#REF!</v>
      </c>
      <c r="FT297" t="e">
        <f>AND(#REF!,"AAAAAHnbW68=")</f>
        <v>#REF!</v>
      </c>
      <c r="FU297" t="e">
        <f>AND(#REF!,"AAAAAHnbW7A=")</f>
        <v>#REF!</v>
      </c>
      <c r="FV297" t="e">
        <f>AND(#REF!,"AAAAAHnbW7E=")</f>
        <v>#REF!</v>
      </c>
      <c r="FW297" t="e">
        <f>AND(#REF!,"AAAAAHnbW7I=")</f>
        <v>#REF!</v>
      </c>
      <c r="FX297" t="e">
        <f>AND(#REF!,"AAAAAHnbW7M=")</f>
        <v>#REF!</v>
      </c>
      <c r="FY297" t="e">
        <f>AND(#REF!,"AAAAAHnbW7Q=")</f>
        <v>#REF!</v>
      </c>
      <c r="FZ297" t="e">
        <f>AND(#REF!,"AAAAAHnbW7U=")</f>
        <v>#REF!</v>
      </c>
      <c r="GA297" t="e">
        <f>AND(#REF!,"AAAAAHnbW7Y=")</f>
        <v>#REF!</v>
      </c>
      <c r="GB297" t="e">
        <f>AND(#REF!,"AAAAAHnbW7c=")</f>
        <v>#REF!</v>
      </c>
      <c r="GC297" t="e">
        <f>AND(#REF!,"AAAAAHnbW7g=")</f>
        <v>#REF!</v>
      </c>
      <c r="GD297" t="e">
        <f>AND(#REF!,"AAAAAHnbW7k=")</f>
        <v>#REF!</v>
      </c>
      <c r="GE297" t="e">
        <f>AND(#REF!,"AAAAAHnbW7o=")</f>
        <v>#REF!</v>
      </c>
      <c r="GF297" t="e">
        <f>AND(#REF!,"AAAAAHnbW7s=")</f>
        <v>#REF!</v>
      </c>
      <c r="GG297" t="e">
        <f>AND(#REF!,"AAAAAHnbW7w=")</f>
        <v>#REF!</v>
      </c>
      <c r="GH297" t="e">
        <f>AND(#REF!,"AAAAAHnbW70=")</f>
        <v>#REF!</v>
      </c>
      <c r="GI297" t="e">
        <f>AND(#REF!,"AAAAAHnbW74=")</f>
        <v>#REF!</v>
      </c>
      <c r="GJ297" t="e">
        <f>AND(#REF!,"AAAAAHnbW78=")</f>
        <v>#REF!</v>
      </c>
      <c r="GK297" t="e">
        <f>AND(#REF!,"AAAAAHnbW8A=")</f>
        <v>#REF!</v>
      </c>
      <c r="GL297" t="e">
        <f>AND(#REF!,"AAAAAHnbW8E=")</f>
        <v>#REF!</v>
      </c>
      <c r="GM297" t="e">
        <f>AND(#REF!,"AAAAAHnbW8I=")</f>
        <v>#REF!</v>
      </c>
      <c r="GN297" t="e">
        <f>AND(#REF!,"AAAAAHnbW8M=")</f>
        <v>#REF!</v>
      </c>
      <c r="GO297" t="e">
        <f>AND(#REF!,"AAAAAHnbW8Q=")</f>
        <v>#REF!</v>
      </c>
      <c r="GP297" t="e">
        <f>AND(#REF!,"AAAAAHnbW8U=")</f>
        <v>#REF!</v>
      </c>
      <c r="GQ297" t="e">
        <f>AND(#REF!,"AAAAAHnbW8Y=")</f>
        <v>#REF!</v>
      </c>
      <c r="GR297" t="e">
        <f>AND(#REF!,"AAAAAHnbW8c=")</f>
        <v>#REF!</v>
      </c>
      <c r="GS297" t="e">
        <f>AND(#REF!,"AAAAAHnbW8g=")</f>
        <v>#REF!</v>
      </c>
      <c r="GT297" t="e">
        <f>AND(#REF!,"AAAAAHnbW8k=")</f>
        <v>#REF!</v>
      </c>
      <c r="GU297" t="e">
        <f>AND(#REF!,"AAAAAHnbW8o=")</f>
        <v>#REF!</v>
      </c>
      <c r="GV297" t="e">
        <f>AND(#REF!,"AAAAAHnbW8s=")</f>
        <v>#REF!</v>
      </c>
      <c r="GW297" t="e">
        <f>AND(#REF!,"AAAAAHnbW8w=")</f>
        <v>#REF!</v>
      </c>
      <c r="GX297" t="e">
        <f>AND(#REF!,"AAAAAHnbW80=")</f>
        <v>#REF!</v>
      </c>
      <c r="GY297" t="e">
        <f>AND(#REF!,"AAAAAHnbW84=")</f>
        <v>#REF!</v>
      </c>
      <c r="GZ297" t="e">
        <f>AND(#REF!,"AAAAAHnbW88=")</f>
        <v>#REF!</v>
      </c>
      <c r="HA297" t="e">
        <f>AND(#REF!,"AAAAAHnbW9A=")</f>
        <v>#REF!</v>
      </c>
      <c r="HB297" t="e">
        <f>AND(#REF!,"AAAAAHnbW9E=")</f>
        <v>#REF!</v>
      </c>
      <c r="HC297" t="e">
        <f>AND(#REF!,"AAAAAHnbW9I=")</f>
        <v>#REF!</v>
      </c>
      <c r="HD297" t="e">
        <f>AND(#REF!,"AAAAAHnbW9M=")</f>
        <v>#REF!</v>
      </c>
      <c r="HE297" t="e">
        <f>AND(#REF!,"AAAAAHnbW9Q=")</f>
        <v>#REF!</v>
      </c>
      <c r="HF297" t="e">
        <f>AND(#REF!,"AAAAAHnbW9U=")</f>
        <v>#REF!</v>
      </c>
      <c r="HG297" t="e">
        <f>AND(#REF!,"AAAAAHnbW9Y=")</f>
        <v>#REF!</v>
      </c>
      <c r="HH297" t="e">
        <f>AND(#REF!,"AAAAAHnbW9c=")</f>
        <v>#REF!</v>
      </c>
      <c r="HI297" t="e">
        <f>AND(#REF!,"AAAAAHnbW9g=")</f>
        <v>#REF!</v>
      </c>
      <c r="HJ297" t="e">
        <f>AND(#REF!,"AAAAAHnbW9k=")</f>
        <v>#REF!</v>
      </c>
      <c r="HK297" t="e">
        <f>AND(#REF!,"AAAAAHnbW9o=")</f>
        <v>#REF!</v>
      </c>
      <c r="HL297" t="e">
        <f>AND(#REF!,"AAAAAHnbW9s=")</f>
        <v>#REF!</v>
      </c>
      <c r="HM297" t="e">
        <f>AND(#REF!,"AAAAAHnbW9w=")</f>
        <v>#REF!</v>
      </c>
      <c r="HN297" t="e">
        <f>AND(#REF!,"AAAAAHnbW90=")</f>
        <v>#REF!</v>
      </c>
      <c r="HO297" t="e">
        <f>AND(#REF!,"AAAAAHnbW94=")</f>
        <v>#REF!</v>
      </c>
      <c r="HP297" t="e">
        <f>IF(#REF!,"AAAAAHnbW98=",0)</f>
        <v>#REF!</v>
      </c>
      <c r="HQ297" t="e">
        <f>AND(#REF!,"AAAAAHnbW+A=")</f>
        <v>#REF!</v>
      </c>
      <c r="HR297" t="e">
        <f>AND(#REF!,"AAAAAHnbW+E=")</f>
        <v>#REF!</v>
      </c>
      <c r="HS297" t="e">
        <f>AND(#REF!,"AAAAAHnbW+I=")</f>
        <v>#REF!</v>
      </c>
      <c r="HT297" t="e">
        <f>AND(#REF!,"AAAAAHnbW+M=")</f>
        <v>#REF!</v>
      </c>
      <c r="HU297" t="e">
        <f>AND(#REF!,"AAAAAHnbW+Q=")</f>
        <v>#REF!</v>
      </c>
      <c r="HV297" t="e">
        <f>AND(#REF!,"AAAAAHnbW+U=")</f>
        <v>#REF!</v>
      </c>
      <c r="HW297" t="e">
        <f>AND(#REF!,"AAAAAHnbW+Y=")</f>
        <v>#REF!</v>
      </c>
      <c r="HX297" t="e">
        <f>AND(#REF!,"AAAAAHnbW+c=")</f>
        <v>#REF!</v>
      </c>
      <c r="HY297" t="e">
        <f>AND(#REF!,"AAAAAHnbW+g=")</f>
        <v>#REF!</v>
      </c>
      <c r="HZ297" t="e">
        <f>AND(#REF!,"AAAAAHnbW+k=")</f>
        <v>#REF!</v>
      </c>
      <c r="IA297" t="e">
        <f>AND(#REF!,"AAAAAHnbW+o=")</f>
        <v>#REF!</v>
      </c>
      <c r="IB297" t="e">
        <f>AND(#REF!,"AAAAAHnbW+s=")</f>
        <v>#REF!</v>
      </c>
      <c r="IC297" t="e">
        <f>AND(#REF!,"AAAAAHnbW+w=")</f>
        <v>#REF!</v>
      </c>
      <c r="ID297" t="e">
        <f>AND(#REF!,"AAAAAHnbW+0=")</f>
        <v>#REF!</v>
      </c>
      <c r="IE297" t="e">
        <f>AND(#REF!,"AAAAAHnbW+4=")</f>
        <v>#REF!</v>
      </c>
      <c r="IF297" t="e">
        <f>AND(#REF!,"AAAAAHnbW+8=")</f>
        <v>#REF!</v>
      </c>
      <c r="IG297" t="e">
        <f>AND(#REF!,"AAAAAHnbW/A=")</f>
        <v>#REF!</v>
      </c>
      <c r="IH297" t="e">
        <f>AND(#REF!,"AAAAAHnbW/E=")</f>
        <v>#REF!</v>
      </c>
      <c r="II297" t="e">
        <f>AND(#REF!,"AAAAAHnbW/I=")</f>
        <v>#REF!</v>
      </c>
      <c r="IJ297" t="e">
        <f>AND(#REF!,"AAAAAHnbW/M=")</f>
        <v>#REF!</v>
      </c>
      <c r="IK297" t="e">
        <f>AND(#REF!,"AAAAAHnbW/Q=")</f>
        <v>#REF!</v>
      </c>
      <c r="IL297" t="e">
        <f>AND(#REF!,"AAAAAHnbW/U=")</f>
        <v>#REF!</v>
      </c>
      <c r="IM297" t="e">
        <f>AND(#REF!,"AAAAAHnbW/Y=")</f>
        <v>#REF!</v>
      </c>
      <c r="IN297" t="e">
        <f>AND(#REF!,"AAAAAHnbW/c=")</f>
        <v>#REF!</v>
      </c>
      <c r="IO297" t="e">
        <f>AND(#REF!,"AAAAAHnbW/g=")</f>
        <v>#REF!</v>
      </c>
      <c r="IP297" t="e">
        <f>AND(#REF!,"AAAAAHnbW/k=")</f>
        <v>#REF!</v>
      </c>
      <c r="IQ297" t="e">
        <f>AND(#REF!,"AAAAAHnbW/o=")</f>
        <v>#REF!</v>
      </c>
      <c r="IR297" t="e">
        <f>AND(#REF!,"AAAAAHnbW/s=")</f>
        <v>#REF!</v>
      </c>
      <c r="IS297" t="e">
        <f>AND(#REF!,"AAAAAHnbW/w=")</f>
        <v>#REF!</v>
      </c>
      <c r="IT297" t="e">
        <f>AND(#REF!,"AAAAAHnbW/0=")</f>
        <v>#REF!</v>
      </c>
      <c r="IU297" t="e">
        <f>AND(#REF!,"AAAAAHnbW/4=")</f>
        <v>#REF!</v>
      </c>
      <c r="IV297" t="e">
        <f>AND(#REF!,"AAAAAHnbW/8=")</f>
        <v>#REF!</v>
      </c>
    </row>
    <row r="298" spans="1:256">
      <c r="A298" t="e">
        <f>AND(#REF!,"AAAAAE9/fwA=")</f>
        <v>#REF!</v>
      </c>
      <c r="B298" t="e">
        <f>AND(#REF!,"AAAAAE9/fwE=")</f>
        <v>#REF!</v>
      </c>
      <c r="C298" t="e">
        <f>AND(#REF!,"AAAAAE9/fwI=")</f>
        <v>#REF!</v>
      </c>
      <c r="D298" t="e">
        <f>AND(#REF!,"AAAAAE9/fwM=")</f>
        <v>#REF!</v>
      </c>
      <c r="E298" t="e">
        <f>AND(#REF!,"AAAAAE9/fwQ=")</f>
        <v>#REF!</v>
      </c>
      <c r="F298" t="e">
        <f>AND(#REF!,"AAAAAE9/fwU=")</f>
        <v>#REF!</v>
      </c>
      <c r="G298" t="e">
        <f>AND(#REF!,"AAAAAE9/fwY=")</f>
        <v>#REF!</v>
      </c>
      <c r="H298" t="e">
        <f>AND(#REF!,"AAAAAE9/fwc=")</f>
        <v>#REF!</v>
      </c>
      <c r="I298" t="e">
        <f>AND(#REF!,"AAAAAE9/fwg=")</f>
        <v>#REF!</v>
      </c>
      <c r="J298" t="e">
        <f>AND(#REF!,"AAAAAE9/fwk=")</f>
        <v>#REF!</v>
      </c>
      <c r="K298" t="e">
        <f>AND(#REF!,"AAAAAE9/fwo=")</f>
        <v>#REF!</v>
      </c>
      <c r="L298" t="e">
        <f>AND(#REF!,"AAAAAE9/fws=")</f>
        <v>#REF!</v>
      </c>
      <c r="M298" t="e">
        <f>AND(#REF!,"AAAAAE9/fww=")</f>
        <v>#REF!</v>
      </c>
      <c r="N298" t="e">
        <f>AND(#REF!,"AAAAAE9/fw0=")</f>
        <v>#REF!</v>
      </c>
      <c r="O298" t="e">
        <f>AND(#REF!,"AAAAAE9/fw4=")</f>
        <v>#REF!</v>
      </c>
      <c r="P298" t="e">
        <f>AND(#REF!,"AAAAAE9/fw8=")</f>
        <v>#REF!</v>
      </c>
      <c r="Q298" t="e">
        <f>AND(#REF!,"AAAAAE9/fxA=")</f>
        <v>#REF!</v>
      </c>
      <c r="R298" t="e">
        <f>AND(#REF!,"AAAAAE9/fxE=")</f>
        <v>#REF!</v>
      </c>
      <c r="S298" t="e">
        <f>AND(#REF!,"AAAAAE9/fxI=")</f>
        <v>#REF!</v>
      </c>
      <c r="T298" t="e">
        <f>IF(#REF!,"AAAAAE9/fxM=",0)</f>
        <v>#REF!</v>
      </c>
      <c r="U298" t="e">
        <f>AND(#REF!,"AAAAAE9/fxQ=")</f>
        <v>#REF!</v>
      </c>
      <c r="V298" t="e">
        <f>AND(#REF!,"AAAAAE9/fxU=")</f>
        <v>#REF!</v>
      </c>
      <c r="W298" t="e">
        <f>AND(#REF!,"AAAAAE9/fxY=")</f>
        <v>#REF!</v>
      </c>
      <c r="X298" t="e">
        <f>AND(#REF!,"AAAAAE9/fxc=")</f>
        <v>#REF!</v>
      </c>
      <c r="Y298" t="e">
        <f>AND(#REF!,"AAAAAE9/fxg=")</f>
        <v>#REF!</v>
      </c>
      <c r="Z298" t="e">
        <f>AND(#REF!,"AAAAAE9/fxk=")</f>
        <v>#REF!</v>
      </c>
      <c r="AA298" t="e">
        <f>AND(#REF!,"AAAAAE9/fxo=")</f>
        <v>#REF!</v>
      </c>
      <c r="AB298" t="e">
        <f>AND(#REF!,"AAAAAE9/fxs=")</f>
        <v>#REF!</v>
      </c>
      <c r="AC298" t="e">
        <f>AND(#REF!,"AAAAAE9/fxw=")</f>
        <v>#REF!</v>
      </c>
      <c r="AD298" t="e">
        <f>AND(#REF!,"AAAAAE9/fx0=")</f>
        <v>#REF!</v>
      </c>
      <c r="AE298" t="e">
        <f>AND(#REF!,"AAAAAE9/fx4=")</f>
        <v>#REF!</v>
      </c>
      <c r="AF298" t="e">
        <f>AND(#REF!,"AAAAAE9/fx8=")</f>
        <v>#REF!</v>
      </c>
      <c r="AG298" t="e">
        <f>AND(#REF!,"AAAAAE9/fyA=")</f>
        <v>#REF!</v>
      </c>
      <c r="AH298" t="e">
        <f>AND(#REF!,"AAAAAE9/fyE=")</f>
        <v>#REF!</v>
      </c>
      <c r="AI298" t="e">
        <f>AND(#REF!,"AAAAAE9/fyI=")</f>
        <v>#REF!</v>
      </c>
      <c r="AJ298" t="e">
        <f>AND(#REF!,"AAAAAE9/fyM=")</f>
        <v>#REF!</v>
      </c>
      <c r="AK298" t="e">
        <f>AND(#REF!,"AAAAAE9/fyQ=")</f>
        <v>#REF!</v>
      </c>
      <c r="AL298" t="e">
        <f>AND(#REF!,"AAAAAE9/fyU=")</f>
        <v>#REF!</v>
      </c>
      <c r="AM298" t="e">
        <f>AND(#REF!,"AAAAAE9/fyY=")</f>
        <v>#REF!</v>
      </c>
      <c r="AN298" t="e">
        <f>AND(#REF!,"AAAAAE9/fyc=")</f>
        <v>#REF!</v>
      </c>
      <c r="AO298" t="e">
        <f>AND(#REF!,"AAAAAE9/fyg=")</f>
        <v>#REF!</v>
      </c>
      <c r="AP298" t="e">
        <f>AND(#REF!,"AAAAAE9/fyk=")</f>
        <v>#REF!</v>
      </c>
      <c r="AQ298" t="e">
        <f>AND(#REF!,"AAAAAE9/fyo=")</f>
        <v>#REF!</v>
      </c>
      <c r="AR298" t="e">
        <f>AND(#REF!,"AAAAAE9/fys=")</f>
        <v>#REF!</v>
      </c>
      <c r="AS298" t="e">
        <f>AND(#REF!,"AAAAAE9/fyw=")</f>
        <v>#REF!</v>
      </c>
      <c r="AT298" t="e">
        <f>AND(#REF!,"AAAAAE9/fy0=")</f>
        <v>#REF!</v>
      </c>
      <c r="AU298" t="e">
        <f>AND(#REF!,"AAAAAE9/fy4=")</f>
        <v>#REF!</v>
      </c>
      <c r="AV298" t="e">
        <f>AND(#REF!,"AAAAAE9/fy8=")</f>
        <v>#REF!</v>
      </c>
      <c r="AW298" t="e">
        <f>AND(#REF!,"AAAAAE9/fzA=")</f>
        <v>#REF!</v>
      </c>
      <c r="AX298" t="e">
        <f>AND(#REF!,"AAAAAE9/fzE=")</f>
        <v>#REF!</v>
      </c>
      <c r="AY298" t="e">
        <f>AND(#REF!,"AAAAAE9/fzI=")</f>
        <v>#REF!</v>
      </c>
      <c r="AZ298" t="e">
        <f>AND(#REF!,"AAAAAE9/fzM=")</f>
        <v>#REF!</v>
      </c>
      <c r="BA298" t="e">
        <f>AND(#REF!,"AAAAAE9/fzQ=")</f>
        <v>#REF!</v>
      </c>
      <c r="BB298" t="e">
        <f>AND(#REF!,"AAAAAE9/fzU=")</f>
        <v>#REF!</v>
      </c>
      <c r="BC298" t="e">
        <f>AND(#REF!,"AAAAAE9/fzY=")</f>
        <v>#REF!</v>
      </c>
      <c r="BD298" t="e">
        <f>AND(#REF!,"AAAAAE9/fzc=")</f>
        <v>#REF!</v>
      </c>
      <c r="BE298" t="e">
        <f>AND(#REF!,"AAAAAE9/fzg=")</f>
        <v>#REF!</v>
      </c>
      <c r="BF298" t="e">
        <f>AND(#REF!,"AAAAAE9/fzk=")</f>
        <v>#REF!</v>
      </c>
      <c r="BG298" t="e">
        <f>AND(#REF!,"AAAAAE9/fzo=")</f>
        <v>#REF!</v>
      </c>
      <c r="BH298" t="e">
        <f>AND(#REF!,"AAAAAE9/fzs=")</f>
        <v>#REF!</v>
      </c>
      <c r="BI298" t="e">
        <f>AND(#REF!,"AAAAAE9/fzw=")</f>
        <v>#REF!</v>
      </c>
      <c r="BJ298" t="e">
        <f>AND(#REF!,"AAAAAE9/fz0=")</f>
        <v>#REF!</v>
      </c>
      <c r="BK298" t="e">
        <f>AND(#REF!,"AAAAAE9/fz4=")</f>
        <v>#REF!</v>
      </c>
      <c r="BL298" t="e">
        <f>AND(#REF!,"AAAAAE9/fz8=")</f>
        <v>#REF!</v>
      </c>
      <c r="BM298" t="e">
        <f>AND(#REF!,"AAAAAE9/f0A=")</f>
        <v>#REF!</v>
      </c>
      <c r="BN298" t="e">
        <f>AND(#REF!,"AAAAAE9/f0E=")</f>
        <v>#REF!</v>
      </c>
      <c r="BO298" t="e">
        <f>AND(#REF!,"AAAAAE9/f0I=")</f>
        <v>#REF!</v>
      </c>
      <c r="BP298" t="e">
        <f>AND(#REF!,"AAAAAE9/f0M=")</f>
        <v>#REF!</v>
      </c>
      <c r="BQ298" t="e">
        <f>AND(#REF!,"AAAAAE9/f0Q=")</f>
        <v>#REF!</v>
      </c>
      <c r="BR298" t="e">
        <f>AND(#REF!,"AAAAAE9/f0U=")</f>
        <v>#REF!</v>
      </c>
      <c r="BS298" t="e">
        <f>AND(#REF!,"AAAAAE9/f0Y=")</f>
        <v>#REF!</v>
      </c>
      <c r="BT298" t="e">
        <f>IF(#REF!,"AAAAAE9/f0c=",0)</f>
        <v>#REF!</v>
      </c>
      <c r="BU298" t="e">
        <f>AND(#REF!,"AAAAAE9/f0g=")</f>
        <v>#REF!</v>
      </c>
      <c r="BV298" t="e">
        <f>AND(#REF!,"AAAAAE9/f0k=")</f>
        <v>#REF!</v>
      </c>
      <c r="BW298" t="e">
        <f>AND(#REF!,"AAAAAE9/f0o=")</f>
        <v>#REF!</v>
      </c>
      <c r="BX298" t="e">
        <f>AND(#REF!,"AAAAAE9/f0s=")</f>
        <v>#REF!</v>
      </c>
      <c r="BY298" t="e">
        <f>AND(#REF!,"AAAAAE9/f0w=")</f>
        <v>#REF!</v>
      </c>
      <c r="BZ298" t="e">
        <f>AND(#REF!,"AAAAAE9/f00=")</f>
        <v>#REF!</v>
      </c>
      <c r="CA298" t="e">
        <f>AND(#REF!,"AAAAAE9/f04=")</f>
        <v>#REF!</v>
      </c>
      <c r="CB298" t="e">
        <f>AND(#REF!,"AAAAAE9/f08=")</f>
        <v>#REF!</v>
      </c>
      <c r="CC298" t="e">
        <f>AND(#REF!,"AAAAAE9/f1A=")</f>
        <v>#REF!</v>
      </c>
      <c r="CD298" t="e">
        <f>AND(#REF!,"AAAAAE9/f1E=")</f>
        <v>#REF!</v>
      </c>
      <c r="CE298" t="e">
        <f>AND(#REF!,"AAAAAE9/f1I=")</f>
        <v>#REF!</v>
      </c>
      <c r="CF298" t="e">
        <f>AND(#REF!,"AAAAAE9/f1M=")</f>
        <v>#REF!</v>
      </c>
      <c r="CG298" t="e">
        <f>AND(#REF!,"AAAAAE9/f1Q=")</f>
        <v>#REF!</v>
      </c>
      <c r="CH298" t="e">
        <f>AND(#REF!,"AAAAAE9/f1U=")</f>
        <v>#REF!</v>
      </c>
      <c r="CI298" t="e">
        <f>AND(#REF!,"AAAAAE9/f1Y=")</f>
        <v>#REF!</v>
      </c>
      <c r="CJ298" t="e">
        <f>AND(#REF!,"AAAAAE9/f1c=")</f>
        <v>#REF!</v>
      </c>
      <c r="CK298" t="e">
        <f>AND(#REF!,"AAAAAE9/f1g=")</f>
        <v>#REF!</v>
      </c>
      <c r="CL298" t="e">
        <f>AND(#REF!,"AAAAAE9/f1k=")</f>
        <v>#REF!</v>
      </c>
      <c r="CM298" t="e">
        <f>AND(#REF!,"AAAAAE9/f1o=")</f>
        <v>#REF!</v>
      </c>
      <c r="CN298" t="e">
        <f>AND(#REF!,"AAAAAE9/f1s=")</f>
        <v>#REF!</v>
      </c>
      <c r="CO298" t="e">
        <f>AND(#REF!,"AAAAAE9/f1w=")</f>
        <v>#REF!</v>
      </c>
      <c r="CP298" t="e">
        <f>AND(#REF!,"AAAAAE9/f10=")</f>
        <v>#REF!</v>
      </c>
      <c r="CQ298" t="e">
        <f>AND(#REF!,"AAAAAE9/f14=")</f>
        <v>#REF!</v>
      </c>
      <c r="CR298" t="e">
        <f>AND(#REF!,"AAAAAE9/f18=")</f>
        <v>#REF!</v>
      </c>
      <c r="CS298" t="e">
        <f>AND(#REF!,"AAAAAE9/f2A=")</f>
        <v>#REF!</v>
      </c>
      <c r="CT298" t="e">
        <f>AND(#REF!,"AAAAAE9/f2E=")</f>
        <v>#REF!</v>
      </c>
      <c r="CU298" t="e">
        <f>AND(#REF!,"AAAAAE9/f2I=")</f>
        <v>#REF!</v>
      </c>
      <c r="CV298" t="e">
        <f>AND(#REF!,"AAAAAE9/f2M=")</f>
        <v>#REF!</v>
      </c>
      <c r="CW298" t="e">
        <f>AND(#REF!,"AAAAAE9/f2Q=")</f>
        <v>#REF!</v>
      </c>
      <c r="CX298" t="e">
        <f>AND(#REF!,"AAAAAE9/f2U=")</f>
        <v>#REF!</v>
      </c>
      <c r="CY298" t="e">
        <f>AND(#REF!,"AAAAAE9/f2Y=")</f>
        <v>#REF!</v>
      </c>
      <c r="CZ298" t="e">
        <f>AND(#REF!,"AAAAAE9/f2c=")</f>
        <v>#REF!</v>
      </c>
      <c r="DA298" t="e">
        <f>AND(#REF!,"AAAAAE9/f2g=")</f>
        <v>#REF!</v>
      </c>
      <c r="DB298" t="e">
        <f>AND(#REF!,"AAAAAE9/f2k=")</f>
        <v>#REF!</v>
      </c>
      <c r="DC298" t="e">
        <f>AND(#REF!,"AAAAAE9/f2o=")</f>
        <v>#REF!</v>
      </c>
      <c r="DD298" t="e">
        <f>AND(#REF!,"AAAAAE9/f2s=")</f>
        <v>#REF!</v>
      </c>
      <c r="DE298" t="e">
        <f>AND(#REF!,"AAAAAE9/f2w=")</f>
        <v>#REF!</v>
      </c>
      <c r="DF298" t="e">
        <f>AND(#REF!,"AAAAAE9/f20=")</f>
        <v>#REF!</v>
      </c>
      <c r="DG298" t="e">
        <f>AND(#REF!,"AAAAAE9/f24=")</f>
        <v>#REF!</v>
      </c>
      <c r="DH298" t="e">
        <f>AND(#REF!,"AAAAAE9/f28=")</f>
        <v>#REF!</v>
      </c>
      <c r="DI298" t="e">
        <f>AND(#REF!,"AAAAAE9/f3A=")</f>
        <v>#REF!</v>
      </c>
      <c r="DJ298" t="e">
        <f>AND(#REF!,"AAAAAE9/f3E=")</f>
        <v>#REF!</v>
      </c>
      <c r="DK298" t="e">
        <f>AND(#REF!,"AAAAAE9/f3I=")</f>
        <v>#REF!</v>
      </c>
      <c r="DL298" t="e">
        <f>AND(#REF!,"AAAAAE9/f3M=")</f>
        <v>#REF!</v>
      </c>
      <c r="DM298" t="e">
        <f>AND(#REF!,"AAAAAE9/f3Q=")</f>
        <v>#REF!</v>
      </c>
      <c r="DN298" t="e">
        <f>AND(#REF!,"AAAAAE9/f3U=")</f>
        <v>#REF!</v>
      </c>
      <c r="DO298" t="e">
        <f>AND(#REF!,"AAAAAE9/f3Y=")</f>
        <v>#REF!</v>
      </c>
      <c r="DP298" t="e">
        <f>AND(#REF!,"AAAAAE9/f3c=")</f>
        <v>#REF!</v>
      </c>
      <c r="DQ298" t="e">
        <f>AND(#REF!,"AAAAAE9/f3g=")</f>
        <v>#REF!</v>
      </c>
      <c r="DR298" t="e">
        <f>AND(#REF!,"AAAAAE9/f3k=")</f>
        <v>#REF!</v>
      </c>
      <c r="DS298" t="e">
        <f>AND(#REF!,"AAAAAE9/f3o=")</f>
        <v>#REF!</v>
      </c>
      <c r="DT298" t="e">
        <f>IF(#REF!,"AAAAAE9/f3s=",0)</f>
        <v>#REF!</v>
      </c>
      <c r="DU298" t="e">
        <f>AND(#REF!,"AAAAAE9/f3w=")</f>
        <v>#REF!</v>
      </c>
      <c r="DV298" t="e">
        <f>AND(#REF!,"AAAAAE9/f30=")</f>
        <v>#REF!</v>
      </c>
      <c r="DW298" t="e">
        <f>AND(#REF!,"AAAAAE9/f34=")</f>
        <v>#REF!</v>
      </c>
      <c r="DX298" t="e">
        <f>AND(#REF!,"AAAAAE9/f38=")</f>
        <v>#REF!</v>
      </c>
      <c r="DY298" t="e">
        <f>AND(#REF!,"AAAAAE9/f4A=")</f>
        <v>#REF!</v>
      </c>
      <c r="DZ298" t="e">
        <f>AND(#REF!,"AAAAAE9/f4E=")</f>
        <v>#REF!</v>
      </c>
      <c r="EA298" t="e">
        <f>AND(#REF!,"AAAAAE9/f4I=")</f>
        <v>#REF!</v>
      </c>
      <c r="EB298" t="e">
        <f>AND(#REF!,"AAAAAE9/f4M=")</f>
        <v>#REF!</v>
      </c>
      <c r="EC298" t="e">
        <f>AND(#REF!,"AAAAAE9/f4Q=")</f>
        <v>#REF!</v>
      </c>
      <c r="ED298" t="e">
        <f>AND(#REF!,"AAAAAE9/f4U=")</f>
        <v>#REF!</v>
      </c>
      <c r="EE298" t="e">
        <f>AND(#REF!,"AAAAAE9/f4Y=")</f>
        <v>#REF!</v>
      </c>
      <c r="EF298" t="e">
        <f>AND(#REF!,"AAAAAE9/f4c=")</f>
        <v>#REF!</v>
      </c>
      <c r="EG298" t="e">
        <f>AND(#REF!,"AAAAAE9/f4g=")</f>
        <v>#REF!</v>
      </c>
      <c r="EH298" t="e">
        <f>AND(#REF!,"AAAAAE9/f4k=")</f>
        <v>#REF!</v>
      </c>
      <c r="EI298" t="e">
        <f>AND(#REF!,"AAAAAE9/f4o=")</f>
        <v>#REF!</v>
      </c>
      <c r="EJ298" t="e">
        <f>AND(#REF!,"AAAAAE9/f4s=")</f>
        <v>#REF!</v>
      </c>
      <c r="EK298" t="e">
        <f>AND(#REF!,"AAAAAE9/f4w=")</f>
        <v>#REF!</v>
      </c>
      <c r="EL298" t="e">
        <f>AND(#REF!,"AAAAAE9/f40=")</f>
        <v>#REF!</v>
      </c>
      <c r="EM298" t="e">
        <f>AND(#REF!,"AAAAAE9/f44=")</f>
        <v>#REF!</v>
      </c>
      <c r="EN298" t="e">
        <f>AND(#REF!,"AAAAAE9/f48=")</f>
        <v>#REF!</v>
      </c>
      <c r="EO298" t="e">
        <f>AND(#REF!,"AAAAAE9/f5A=")</f>
        <v>#REF!</v>
      </c>
      <c r="EP298" t="e">
        <f>AND(#REF!,"AAAAAE9/f5E=")</f>
        <v>#REF!</v>
      </c>
      <c r="EQ298" t="e">
        <f>AND(#REF!,"AAAAAE9/f5I=")</f>
        <v>#REF!</v>
      </c>
      <c r="ER298" t="e">
        <f>AND(#REF!,"AAAAAE9/f5M=")</f>
        <v>#REF!</v>
      </c>
      <c r="ES298" t="e">
        <f>AND(#REF!,"AAAAAE9/f5Q=")</f>
        <v>#REF!</v>
      </c>
      <c r="ET298" t="e">
        <f>AND(#REF!,"AAAAAE9/f5U=")</f>
        <v>#REF!</v>
      </c>
      <c r="EU298" t="e">
        <f>AND(#REF!,"AAAAAE9/f5Y=")</f>
        <v>#REF!</v>
      </c>
      <c r="EV298" t="e">
        <f>AND(#REF!,"AAAAAE9/f5c=")</f>
        <v>#REF!</v>
      </c>
      <c r="EW298" t="e">
        <f>AND(#REF!,"AAAAAE9/f5g=")</f>
        <v>#REF!</v>
      </c>
      <c r="EX298" t="e">
        <f>AND(#REF!,"AAAAAE9/f5k=")</f>
        <v>#REF!</v>
      </c>
      <c r="EY298" t="e">
        <f>AND(#REF!,"AAAAAE9/f5o=")</f>
        <v>#REF!</v>
      </c>
      <c r="EZ298" t="e">
        <f>AND(#REF!,"AAAAAE9/f5s=")</f>
        <v>#REF!</v>
      </c>
      <c r="FA298" t="e">
        <f>AND(#REF!,"AAAAAE9/f5w=")</f>
        <v>#REF!</v>
      </c>
      <c r="FB298" t="e">
        <f>AND(#REF!,"AAAAAE9/f50=")</f>
        <v>#REF!</v>
      </c>
      <c r="FC298" t="e">
        <f>AND(#REF!,"AAAAAE9/f54=")</f>
        <v>#REF!</v>
      </c>
      <c r="FD298" t="e">
        <f>AND(#REF!,"AAAAAE9/f58=")</f>
        <v>#REF!</v>
      </c>
      <c r="FE298" t="e">
        <f>AND(#REF!,"AAAAAE9/f6A=")</f>
        <v>#REF!</v>
      </c>
      <c r="FF298" t="e">
        <f>AND(#REF!,"AAAAAE9/f6E=")</f>
        <v>#REF!</v>
      </c>
      <c r="FG298" t="e">
        <f>AND(#REF!,"AAAAAE9/f6I=")</f>
        <v>#REF!</v>
      </c>
      <c r="FH298" t="e">
        <f>AND(#REF!,"AAAAAE9/f6M=")</f>
        <v>#REF!</v>
      </c>
      <c r="FI298" t="e">
        <f>AND(#REF!,"AAAAAE9/f6Q=")</f>
        <v>#REF!</v>
      </c>
      <c r="FJ298" t="e">
        <f>AND(#REF!,"AAAAAE9/f6U=")</f>
        <v>#REF!</v>
      </c>
      <c r="FK298" t="e">
        <f>AND(#REF!,"AAAAAE9/f6Y=")</f>
        <v>#REF!</v>
      </c>
      <c r="FL298" t="e">
        <f>AND(#REF!,"AAAAAE9/f6c=")</f>
        <v>#REF!</v>
      </c>
      <c r="FM298" t="e">
        <f>AND(#REF!,"AAAAAE9/f6g=")</f>
        <v>#REF!</v>
      </c>
      <c r="FN298" t="e">
        <f>AND(#REF!,"AAAAAE9/f6k=")</f>
        <v>#REF!</v>
      </c>
      <c r="FO298" t="e">
        <f>AND(#REF!,"AAAAAE9/f6o=")</f>
        <v>#REF!</v>
      </c>
      <c r="FP298" t="e">
        <f>AND(#REF!,"AAAAAE9/f6s=")</f>
        <v>#REF!</v>
      </c>
      <c r="FQ298" t="e">
        <f>AND(#REF!,"AAAAAE9/f6w=")</f>
        <v>#REF!</v>
      </c>
      <c r="FR298" t="e">
        <f>AND(#REF!,"AAAAAE9/f60=")</f>
        <v>#REF!</v>
      </c>
      <c r="FS298" t="e">
        <f>AND(#REF!,"AAAAAE9/f64=")</f>
        <v>#REF!</v>
      </c>
      <c r="FT298" t="e">
        <f>IF(#REF!,"AAAAAE9/f68=",0)</f>
        <v>#REF!</v>
      </c>
      <c r="FU298" t="e">
        <f>AND(#REF!,"AAAAAE9/f7A=")</f>
        <v>#REF!</v>
      </c>
      <c r="FV298" t="e">
        <f>AND(#REF!,"AAAAAE9/f7E=")</f>
        <v>#REF!</v>
      </c>
      <c r="FW298" t="e">
        <f>AND(#REF!,"AAAAAE9/f7I=")</f>
        <v>#REF!</v>
      </c>
      <c r="FX298" t="e">
        <f>AND(#REF!,"AAAAAE9/f7M=")</f>
        <v>#REF!</v>
      </c>
      <c r="FY298" t="e">
        <f>AND(#REF!,"AAAAAE9/f7Q=")</f>
        <v>#REF!</v>
      </c>
      <c r="FZ298" t="e">
        <f>AND(#REF!,"AAAAAE9/f7U=")</f>
        <v>#REF!</v>
      </c>
      <c r="GA298" t="e">
        <f>AND(#REF!,"AAAAAE9/f7Y=")</f>
        <v>#REF!</v>
      </c>
      <c r="GB298" t="e">
        <f>AND(#REF!,"AAAAAE9/f7c=")</f>
        <v>#REF!</v>
      </c>
      <c r="GC298" t="e">
        <f>AND(#REF!,"AAAAAE9/f7g=")</f>
        <v>#REF!</v>
      </c>
      <c r="GD298" t="e">
        <f>AND(#REF!,"AAAAAE9/f7k=")</f>
        <v>#REF!</v>
      </c>
      <c r="GE298" t="e">
        <f>AND(#REF!,"AAAAAE9/f7o=")</f>
        <v>#REF!</v>
      </c>
      <c r="GF298" t="e">
        <f>AND(#REF!,"AAAAAE9/f7s=")</f>
        <v>#REF!</v>
      </c>
      <c r="GG298" t="e">
        <f>AND(#REF!,"AAAAAE9/f7w=")</f>
        <v>#REF!</v>
      </c>
      <c r="GH298" t="e">
        <f>AND(#REF!,"AAAAAE9/f70=")</f>
        <v>#REF!</v>
      </c>
      <c r="GI298" t="e">
        <f>AND(#REF!,"AAAAAE9/f74=")</f>
        <v>#REF!</v>
      </c>
      <c r="GJ298" t="e">
        <f>AND(#REF!,"AAAAAE9/f78=")</f>
        <v>#REF!</v>
      </c>
      <c r="GK298" t="e">
        <f>AND(#REF!,"AAAAAE9/f8A=")</f>
        <v>#REF!</v>
      </c>
      <c r="GL298" t="e">
        <f>AND(#REF!,"AAAAAE9/f8E=")</f>
        <v>#REF!</v>
      </c>
      <c r="GM298" t="e">
        <f>AND(#REF!,"AAAAAE9/f8I=")</f>
        <v>#REF!</v>
      </c>
      <c r="GN298" t="e">
        <f>AND(#REF!,"AAAAAE9/f8M=")</f>
        <v>#REF!</v>
      </c>
      <c r="GO298" t="e">
        <f>AND(#REF!,"AAAAAE9/f8Q=")</f>
        <v>#REF!</v>
      </c>
      <c r="GP298" t="e">
        <f>AND(#REF!,"AAAAAE9/f8U=")</f>
        <v>#REF!</v>
      </c>
      <c r="GQ298" t="e">
        <f>AND(#REF!,"AAAAAE9/f8Y=")</f>
        <v>#REF!</v>
      </c>
      <c r="GR298" t="e">
        <f>AND(#REF!,"AAAAAE9/f8c=")</f>
        <v>#REF!</v>
      </c>
      <c r="GS298" t="e">
        <f>AND(#REF!,"AAAAAE9/f8g=")</f>
        <v>#REF!</v>
      </c>
      <c r="GT298" t="e">
        <f>AND(#REF!,"AAAAAE9/f8k=")</f>
        <v>#REF!</v>
      </c>
      <c r="GU298" t="e">
        <f>AND(#REF!,"AAAAAE9/f8o=")</f>
        <v>#REF!</v>
      </c>
      <c r="GV298" t="e">
        <f>AND(#REF!,"AAAAAE9/f8s=")</f>
        <v>#REF!</v>
      </c>
      <c r="GW298" t="e">
        <f>AND(#REF!,"AAAAAE9/f8w=")</f>
        <v>#REF!</v>
      </c>
      <c r="GX298" t="e">
        <f>AND(#REF!,"AAAAAE9/f80=")</f>
        <v>#REF!</v>
      </c>
      <c r="GY298" t="e">
        <f>AND(#REF!,"AAAAAE9/f84=")</f>
        <v>#REF!</v>
      </c>
      <c r="GZ298" t="e">
        <f>AND(#REF!,"AAAAAE9/f88=")</f>
        <v>#REF!</v>
      </c>
      <c r="HA298" t="e">
        <f>AND(#REF!,"AAAAAE9/f9A=")</f>
        <v>#REF!</v>
      </c>
      <c r="HB298" t="e">
        <f>AND(#REF!,"AAAAAE9/f9E=")</f>
        <v>#REF!</v>
      </c>
      <c r="HC298" t="e">
        <f>AND(#REF!,"AAAAAE9/f9I=")</f>
        <v>#REF!</v>
      </c>
      <c r="HD298" t="e">
        <f>AND(#REF!,"AAAAAE9/f9M=")</f>
        <v>#REF!</v>
      </c>
      <c r="HE298" t="e">
        <f>AND(#REF!,"AAAAAE9/f9Q=")</f>
        <v>#REF!</v>
      </c>
      <c r="HF298" t="e">
        <f>AND(#REF!,"AAAAAE9/f9U=")</f>
        <v>#REF!</v>
      </c>
      <c r="HG298" t="e">
        <f>AND(#REF!,"AAAAAE9/f9Y=")</f>
        <v>#REF!</v>
      </c>
      <c r="HH298" t="e">
        <f>AND(#REF!,"AAAAAE9/f9c=")</f>
        <v>#REF!</v>
      </c>
      <c r="HI298" t="e">
        <f>AND(#REF!,"AAAAAE9/f9g=")</f>
        <v>#REF!</v>
      </c>
      <c r="HJ298" t="e">
        <f>AND(#REF!,"AAAAAE9/f9k=")</f>
        <v>#REF!</v>
      </c>
      <c r="HK298" t="e">
        <f>AND(#REF!,"AAAAAE9/f9o=")</f>
        <v>#REF!</v>
      </c>
      <c r="HL298" t="e">
        <f>AND(#REF!,"AAAAAE9/f9s=")</f>
        <v>#REF!</v>
      </c>
      <c r="HM298" t="e">
        <f>AND(#REF!,"AAAAAE9/f9w=")</f>
        <v>#REF!</v>
      </c>
      <c r="HN298" t="e">
        <f>AND(#REF!,"AAAAAE9/f90=")</f>
        <v>#REF!</v>
      </c>
      <c r="HO298" t="e">
        <f>AND(#REF!,"AAAAAE9/f94=")</f>
        <v>#REF!</v>
      </c>
      <c r="HP298" t="e">
        <f>AND(#REF!,"AAAAAE9/f98=")</f>
        <v>#REF!</v>
      </c>
      <c r="HQ298" t="e">
        <f>AND(#REF!,"AAAAAE9/f+A=")</f>
        <v>#REF!</v>
      </c>
      <c r="HR298" t="e">
        <f>AND(#REF!,"AAAAAE9/f+E=")</f>
        <v>#REF!</v>
      </c>
      <c r="HS298" t="e">
        <f>AND(#REF!,"AAAAAE9/f+I=")</f>
        <v>#REF!</v>
      </c>
      <c r="HT298" t="e">
        <f>IF(#REF!,"AAAAAE9/f+M=",0)</f>
        <v>#REF!</v>
      </c>
      <c r="HU298" t="e">
        <f>AND(#REF!,"AAAAAE9/f+Q=")</f>
        <v>#REF!</v>
      </c>
      <c r="HV298" t="e">
        <f>AND(#REF!,"AAAAAE9/f+U=")</f>
        <v>#REF!</v>
      </c>
      <c r="HW298" t="e">
        <f>AND(#REF!,"AAAAAE9/f+Y=")</f>
        <v>#REF!</v>
      </c>
      <c r="HX298" t="e">
        <f>AND(#REF!,"AAAAAE9/f+c=")</f>
        <v>#REF!</v>
      </c>
      <c r="HY298" t="e">
        <f>AND(#REF!,"AAAAAE9/f+g=")</f>
        <v>#REF!</v>
      </c>
      <c r="HZ298" t="e">
        <f>AND(#REF!,"AAAAAE9/f+k=")</f>
        <v>#REF!</v>
      </c>
      <c r="IA298" t="e">
        <f>AND(#REF!,"AAAAAE9/f+o=")</f>
        <v>#REF!</v>
      </c>
      <c r="IB298" t="e">
        <f>AND(#REF!,"AAAAAE9/f+s=")</f>
        <v>#REF!</v>
      </c>
      <c r="IC298" t="e">
        <f>AND(#REF!,"AAAAAE9/f+w=")</f>
        <v>#REF!</v>
      </c>
      <c r="ID298" t="e">
        <f>AND(#REF!,"AAAAAE9/f+0=")</f>
        <v>#REF!</v>
      </c>
      <c r="IE298" t="e">
        <f>AND(#REF!,"AAAAAE9/f+4=")</f>
        <v>#REF!</v>
      </c>
      <c r="IF298" t="e">
        <f>AND(#REF!,"AAAAAE9/f+8=")</f>
        <v>#REF!</v>
      </c>
      <c r="IG298" t="e">
        <f>AND(#REF!,"AAAAAE9/f/A=")</f>
        <v>#REF!</v>
      </c>
      <c r="IH298" t="e">
        <f>AND(#REF!,"AAAAAE9/f/E=")</f>
        <v>#REF!</v>
      </c>
      <c r="II298" t="e">
        <f>AND(#REF!,"AAAAAE9/f/I=")</f>
        <v>#REF!</v>
      </c>
      <c r="IJ298" t="e">
        <f>AND(#REF!,"AAAAAE9/f/M=")</f>
        <v>#REF!</v>
      </c>
      <c r="IK298" t="e">
        <f>AND(#REF!,"AAAAAE9/f/Q=")</f>
        <v>#REF!</v>
      </c>
      <c r="IL298" t="e">
        <f>AND(#REF!,"AAAAAE9/f/U=")</f>
        <v>#REF!</v>
      </c>
      <c r="IM298" t="e">
        <f>AND(#REF!,"AAAAAE9/f/Y=")</f>
        <v>#REF!</v>
      </c>
      <c r="IN298" t="e">
        <f>AND(#REF!,"AAAAAE9/f/c=")</f>
        <v>#REF!</v>
      </c>
      <c r="IO298" t="e">
        <f>AND(#REF!,"AAAAAE9/f/g=")</f>
        <v>#REF!</v>
      </c>
      <c r="IP298" t="e">
        <f>AND(#REF!,"AAAAAE9/f/k=")</f>
        <v>#REF!</v>
      </c>
      <c r="IQ298" t="e">
        <f>AND(#REF!,"AAAAAE9/f/o=")</f>
        <v>#REF!</v>
      </c>
      <c r="IR298" t="e">
        <f>AND(#REF!,"AAAAAE9/f/s=")</f>
        <v>#REF!</v>
      </c>
      <c r="IS298" t="e">
        <f>AND(#REF!,"AAAAAE9/f/w=")</f>
        <v>#REF!</v>
      </c>
      <c r="IT298" t="e">
        <f>AND(#REF!,"AAAAAE9/f/0=")</f>
        <v>#REF!</v>
      </c>
      <c r="IU298" t="e">
        <f>AND(#REF!,"AAAAAE9/f/4=")</f>
        <v>#REF!</v>
      </c>
      <c r="IV298" t="e">
        <f>AND(#REF!,"AAAAAE9/f/8=")</f>
        <v>#REF!</v>
      </c>
    </row>
    <row r="299" spans="1:256">
      <c r="A299" t="e">
        <f>AND(#REF!,"AAAAAG/v5wA=")</f>
        <v>#REF!</v>
      </c>
      <c r="B299" t="e">
        <f>AND(#REF!,"AAAAAG/v5wE=")</f>
        <v>#REF!</v>
      </c>
      <c r="C299" t="e">
        <f>AND(#REF!,"AAAAAG/v5wI=")</f>
        <v>#REF!</v>
      </c>
      <c r="D299" t="e">
        <f>AND(#REF!,"AAAAAG/v5wM=")</f>
        <v>#REF!</v>
      </c>
      <c r="E299" t="e">
        <f>AND(#REF!,"AAAAAG/v5wQ=")</f>
        <v>#REF!</v>
      </c>
      <c r="F299" t="e">
        <f>AND(#REF!,"AAAAAG/v5wU=")</f>
        <v>#REF!</v>
      </c>
      <c r="G299" t="e">
        <f>AND(#REF!,"AAAAAG/v5wY=")</f>
        <v>#REF!</v>
      </c>
      <c r="H299" t="e">
        <f>AND(#REF!,"AAAAAG/v5wc=")</f>
        <v>#REF!</v>
      </c>
      <c r="I299" t="e">
        <f>AND(#REF!,"AAAAAG/v5wg=")</f>
        <v>#REF!</v>
      </c>
      <c r="J299" t="e">
        <f>AND(#REF!,"AAAAAG/v5wk=")</f>
        <v>#REF!</v>
      </c>
      <c r="K299" t="e">
        <f>AND(#REF!,"AAAAAG/v5wo=")</f>
        <v>#REF!</v>
      </c>
      <c r="L299" t="e">
        <f>AND(#REF!,"AAAAAG/v5ws=")</f>
        <v>#REF!</v>
      </c>
      <c r="M299" t="e">
        <f>AND(#REF!,"AAAAAG/v5ww=")</f>
        <v>#REF!</v>
      </c>
      <c r="N299" t="e">
        <f>AND(#REF!,"AAAAAG/v5w0=")</f>
        <v>#REF!</v>
      </c>
      <c r="O299" t="e">
        <f>AND(#REF!,"AAAAAG/v5w4=")</f>
        <v>#REF!</v>
      </c>
      <c r="P299" t="e">
        <f>AND(#REF!,"AAAAAG/v5w8=")</f>
        <v>#REF!</v>
      </c>
      <c r="Q299" t="e">
        <f>AND(#REF!,"AAAAAG/v5xA=")</f>
        <v>#REF!</v>
      </c>
      <c r="R299" t="e">
        <f>AND(#REF!,"AAAAAG/v5xE=")</f>
        <v>#REF!</v>
      </c>
      <c r="S299" t="e">
        <f>AND(#REF!,"AAAAAG/v5xI=")</f>
        <v>#REF!</v>
      </c>
      <c r="T299" t="e">
        <f>AND(#REF!,"AAAAAG/v5xM=")</f>
        <v>#REF!</v>
      </c>
      <c r="U299" t="e">
        <f>AND(#REF!,"AAAAAG/v5xQ=")</f>
        <v>#REF!</v>
      </c>
      <c r="V299" t="e">
        <f>AND(#REF!,"AAAAAG/v5xU=")</f>
        <v>#REF!</v>
      </c>
      <c r="W299" t="e">
        <f>AND(#REF!,"AAAAAG/v5xY=")</f>
        <v>#REF!</v>
      </c>
      <c r="X299" t="e">
        <f>IF(#REF!,"AAAAAG/v5xc=",0)</f>
        <v>#REF!</v>
      </c>
      <c r="Y299" t="e">
        <f>AND(#REF!,"AAAAAG/v5xg=")</f>
        <v>#REF!</v>
      </c>
      <c r="Z299" t="e">
        <f>AND(#REF!,"AAAAAG/v5xk=")</f>
        <v>#REF!</v>
      </c>
      <c r="AA299" t="e">
        <f>AND(#REF!,"AAAAAG/v5xo=")</f>
        <v>#REF!</v>
      </c>
      <c r="AB299" t="e">
        <f>AND(#REF!,"AAAAAG/v5xs=")</f>
        <v>#REF!</v>
      </c>
      <c r="AC299" t="e">
        <f>AND(#REF!,"AAAAAG/v5xw=")</f>
        <v>#REF!</v>
      </c>
      <c r="AD299" t="e">
        <f>AND(#REF!,"AAAAAG/v5x0=")</f>
        <v>#REF!</v>
      </c>
      <c r="AE299" t="e">
        <f>AND(#REF!,"AAAAAG/v5x4=")</f>
        <v>#REF!</v>
      </c>
      <c r="AF299" t="e">
        <f>AND(#REF!,"AAAAAG/v5x8=")</f>
        <v>#REF!</v>
      </c>
      <c r="AG299" t="e">
        <f>AND(#REF!,"AAAAAG/v5yA=")</f>
        <v>#REF!</v>
      </c>
      <c r="AH299" t="e">
        <f>AND(#REF!,"AAAAAG/v5yE=")</f>
        <v>#REF!</v>
      </c>
      <c r="AI299" t="e">
        <f>AND(#REF!,"AAAAAG/v5yI=")</f>
        <v>#REF!</v>
      </c>
      <c r="AJ299" t="e">
        <f>AND(#REF!,"AAAAAG/v5yM=")</f>
        <v>#REF!</v>
      </c>
      <c r="AK299" t="e">
        <f>AND(#REF!,"AAAAAG/v5yQ=")</f>
        <v>#REF!</v>
      </c>
      <c r="AL299" t="e">
        <f>AND(#REF!,"AAAAAG/v5yU=")</f>
        <v>#REF!</v>
      </c>
      <c r="AM299" t="e">
        <f>AND(#REF!,"AAAAAG/v5yY=")</f>
        <v>#REF!</v>
      </c>
      <c r="AN299" t="e">
        <f>AND(#REF!,"AAAAAG/v5yc=")</f>
        <v>#REF!</v>
      </c>
      <c r="AO299" t="e">
        <f>AND(#REF!,"AAAAAG/v5yg=")</f>
        <v>#REF!</v>
      </c>
      <c r="AP299" t="e">
        <f>AND(#REF!,"AAAAAG/v5yk=")</f>
        <v>#REF!</v>
      </c>
      <c r="AQ299" t="e">
        <f>AND(#REF!,"AAAAAG/v5yo=")</f>
        <v>#REF!</v>
      </c>
      <c r="AR299" t="e">
        <f>AND(#REF!,"AAAAAG/v5ys=")</f>
        <v>#REF!</v>
      </c>
      <c r="AS299" t="e">
        <f>AND(#REF!,"AAAAAG/v5yw=")</f>
        <v>#REF!</v>
      </c>
      <c r="AT299" t="e">
        <f>AND(#REF!,"AAAAAG/v5y0=")</f>
        <v>#REF!</v>
      </c>
      <c r="AU299" t="e">
        <f>AND(#REF!,"AAAAAG/v5y4=")</f>
        <v>#REF!</v>
      </c>
      <c r="AV299" t="e">
        <f>AND(#REF!,"AAAAAG/v5y8=")</f>
        <v>#REF!</v>
      </c>
      <c r="AW299" t="e">
        <f>AND(#REF!,"AAAAAG/v5zA=")</f>
        <v>#REF!</v>
      </c>
      <c r="AX299" t="e">
        <f>AND(#REF!,"AAAAAG/v5zE=")</f>
        <v>#REF!</v>
      </c>
      <c r="AY299" t="e">
        <f>AND(#REF!,"AAAAAG/v5zI=")</f>
        <v>#REF!</v>
      </c>
      <c r="AZ299" t="e">
        <f>AND(#REF!,"AAAAAG/v5zM=")</f>
        <v>#REF!</v>
      </c>
      <c r="BA299" t="e">
        <f>AND(#REF!,"AAAAAG/v5zQ=")</f>
        <v>#REF!</v>
      </c>
      <c r="BB299" t="e">
        <f>AND(#REF!,"AAAAAG/v5zU=")</f>
        <v>#REF!</v>
      </c>
      <c r="BC299" t="e">
        <f>AND(#REF!,"AAAAAG/v5zY=")</f>
        <v>#REF!</v>
      </c>
      <c r="BD299" t="e">
        <f>AND(#REF!,"AAAAAG/v5zc=")</f>
        <v>#REF!</v>
      </c>
      <c r="BE299" t="e">
        <f>AND(#REF!,"AAAAAG/v5zg=")</f>
        <v>#REF!</v>
      </c>
      <c r="BF299" t="e">
        <f>AND(#REF!,"AAAAAG/v5zk=")</f>
        <v>#REF!</v>
      </c>
      <c r="BG299" t="e">
        <f>AND(#REF!,"AAAAAG/v5zo=")</f>
        <v>#REF!</v>
      </c>
      <c r="BH299" t="e">
        <f>AND(#REF!,"AAAAAG/v5zs=")</f>
        <v>#REF!</v>
      </c>
      <c r="BI299" t="e">
        <f>AND(#REF!,"AAAAAG/v5zw=")</f>
        <v>#REF!</v>
      </c>
      <c r="BJ299" t="e">
        <f>AND(#REF!,"AAAAAG/v5z0=")</f>
        <v>#REF!</v>
      </c>
      <c r="BK299" t="e">
        <f>AND(#REF!,"AAAAAG/v5z4=")</f>
        <v>#REF!</v>
      </c>
      <c r="BL299" t="e">
        <f>AND(#REF!,"AAAAAG/v5z8=")</f>
        <v>#REF!</v>
      </c>
      <c r="BM299" t="e">
        <f>AND(#REF!,"AAAAAG/v50A=")</f>
        <v>#REF!</v>
      </c>
      <c r="BN299" t="e">
        <f>AND(#REF!,"AAAAAG/v50E=")</f>
        <v>#REF!</v>
      </c>
      <c r="BO299" t="e">
        <f>AND(#REF!,"AAAAAG/v50I=")</f>
        <v>#REF!</v>
      </c>
      <c r="BP299" t="e">
        <f>AND(#REF!,"AAAAAG/v50M=")</f>
        <v>#REF!</v>
      </c>
      <c r="BQ299" t="e">
        <f>AND(#REF!,"AAAAAG/v50Q=")</f>
        <v>#REF!</v>
      </c>
      <c r="BR299" t="e">
        <f>AND(#REF!,"AAAAAG/v50U=")</f>
        <v>#REF!</v>
      </c>
      <c r="BS299" t="e">
        <f>AND(#REF!,"AAAAAG/v50Y=")</f>
        <v>#REF!</v>
      </c>
      <c r="BT299" t="e">
        <f>AND(#REF!,"AAAAAG/v50c=")</f>
        <v>#REF!</v>
      </c>
      <c r="BU299" t="e">
        <f>AND(#REF!,"AAAAAG/v50g=")</f>
        <v>#REF!</v>
      </c>
      <c r="BV299" t="e">
        <f>AND(#REF!,"AAAAAG/v50k=")</f>
        <v>#REF!</v>
      </c>
      <c r="BW299" t="e">
        <f>AND(#REF!,"AAAAAG/v50o=")</f>
        <v>#REF!</v>
      </c>
      <c r="BX299" t="e">
        <f>IF(#REF!,"AAAAAG/v50s=",0)</f>
        <v>#REF!</v>
      </c>
      <c r="BY299" t="e">
        <f>AND(#REF!,"AAAAAG/v50w=")</f>
        <v>#REF!</v>
      </c>
      <c r="BZ299" t="e">
        <f>AND(#REF!,"AAAAAG/v500=")</f>
        <v>#REF!</v>
      </c>
      <c r="CA299" t="e">
        <f>AND(#REF!,"AAAAAG/v504=")</f>
        <v>#REF!</v>
      </c>
      <c r="CB299" t="e">
        <f>AND(#REF!,"AAAAAG/v508=")</f>
        <v>#REF!</v>
      </c>
      <c r="CC299" t="e">
        <f>AND(#REF!,"AAAAAG/v51A=")</f>
        <v>#REF!</v>
      </c>
      <c r="CD299" t="e">
        <f>AND(#REF!,"AAAAAG/v51E=")</f>
        <v>#REF!</v>
      </c>
      <c r="CE299" t="e">
        <f>AND(#REF!,"AAAAAG/v51I=")</f>
        <v>#REF!</v>
      </c>
      <c r="CF299" t="e">
        <f>AND(#REF!,"AAAAAG/v51M=")</f>
        <v>#REF!</v>
      </c>
      <c r="CG299" t="e">
        <f>AND(#REF!,"AAAAAG/v51Q=")</f>
        <v>#REF!</v>
      </c>
      <c r="CH299" t="e">
        <f>AND(#REF!,"AAAAAG/v51U=")</f>
        <v>#REF!</v>
      </c>
      <c r="CI299" t="e">
        <f>AND(#REF!,"AAAAAG/v51Y=")</f>
        <v>#REF!</v>
      </c>
      <c r="CJ299" t="e">
        <f>AND(#REF!,"AAAAAG/v51c=")</f>
        <v>#REF!</v>
      </c>
      <c r="CK299" t="e">
        <f>AND(#REF!,"AAAAAG/v51g=")</f>
        <v>#REF!</v>
      </c>
      <c r="CL299" t="e">
        <f>AND(#REF!,"AAAAAG/v51k=")</f>
        <v>#REF!</v>
      </c>
      <c r="CM299" t="e">
        <f>AND(#REF!,"AAAAAG/v51o=")</f>
        <v>#REF!</v>
      </c>
      <c r="CN299" t="e">
        <f>AND(#REF!,"AAAAAG/v51s=")</f>
        <v>#REF!</v>
      </c>
      <c r="CO299" t="e">
        <f>AND(#REF!,"AAAAAG/v51w=")</f>
        <v>#REF!</v>
      </c>
      <c r="CP299" t="e">
        <f>AND(#REF!,"AAAAAG/v510=")</f>
        <v>#REF!</v>
      </c>
      <c r="CQ299" t="e">
        <f>AND(#REF!,"AAAAAG/v514=")</f>
        <v>#REF!</v>
      </c>
      <c r="CR299" t="e">
        <f>AND(#REF!,"AAAAAG/v518=")</f>
        <v>#REF!</v>
      </c>
      <c r="CS299" t="e">
        <f>AND(#REF!,"AAAAAG/v52A=")</f>
        <v>#REF!</v>
      </c>
      <c r="CT299" t="e">
        <f>AND(#REF!,"AAAAAG/v52E=")</f>
        <v>#REF!</v>
      </c>
      <c r="CU299" t="e">
        <f>AND(#REF!,"AAAAAG/v52I=")</f>
        <v>#REF!</v>
      </c>
      <c r="CV299" t="e">
        <f>AND(#REF!,"AAAAAG/v52M=")</f>
        <v>#REF!</v>
      </c>
      <c r="CW299" t="e">
        <f>AND(#REF!,"AAAAAG/v52Q=")</f>
        <v>#REF!</v>
      </c>
      <c r="CX299" t="e">
        <f>AND(#REF!,"AAAAAG/v52U=")</f>
        <v>#REF!</v>
      </c>
      <c r="CY299" t="e">
        <f>AND(#REF!,"AAAAAG/v52Y=")</f>
        <v>#REF!</v>
      </c>
      <c r="CZ299" t="e">
        <f>AND(#REF!,"AAAAAG/v52c=")</f>
        <v>#REF!</v>
      </c>
      <c r="DA299" t="e">
        <f>AND(#REF!,"AAAAAG/v52g=")</f>
        <v>#REF!</v>
      </c>
      <c r="DB299" t="e">
        <f>AND(#REF!,"AAAAAG/v52k=")</f>
        <v>#REF!</v>
      </c>
      <c r="DC299" t="e">
        <f>AND(#REF!,"AAAAAG/v52o=")</f>
        <v>#REF!</v>
      </c>
      <c r="DD299" t="e">
        <f>AND(#REF!,"AAAAAG/v52s=")</f>
        <v>#REF!</v>
      </c>
      <c r="DE299" t="e">
        <f>AND(#REF!,"AAAAAG/v52w=")</f>
        <v>#REF!</v>
      </c>
      <c r="DF299" t="e">
        <f>AND(#REF!,"AAAAAG/v520=")</f>
        <v>#REF!</v>
      </c>
      <c r="DG299" t="e">
        <f>AND(#REF!,"AAAAAG/v524=")</f>
        <v>#REF!</v>
      </c>
      <c r="DH299" t="e">
        <f>AND(#REF!,"AAAAAG/v528=")</f>
        <v>#REF!</v>
      </c>
      <c r="DI299" t="e">
        <f>AND(#REF!,"AAAAAG/v53A=")</f>
        <v>#REF!</v>
      </c>
      <c r="DJ299" t="e">
        <f>AND(#REF!,"AAAAAG/v53E=")</f>
        <v>#REF!</v>
      </c>
      <c r="DK299" t="e">
        <f>AND(#REF!,"AAAAAG/v53I=")</f>
        <v>#REF!</v>
      </c>
      <c r="DL299" t="e">
        <f>AND(#REF!,"AAAAAG/v53M=")</f>
        <v>#REF!</v>
      </c>
      <c r="DM299" t="e">
        <f>AND(#REF!,"AAAAAG/v53Q=")</f>
        <v>#REF!</v>
      </c>
      <c r="DN299" t="e">
        <f>AND(#REF!,"AAAAAG/v53U=")</f>
        <v>#REF!</v>
      </c>
      <c r="DO299" t="e">
        <f>AND(#REF!,"AAAAAG/v53Y=")</f>
        <v>#REF!</v>
      </c>
      <c r="DP299" t="e">
        <f>AND(#REF!,"AAAAAG/v53c=")</f>
        <v>#REF!</v>
      </c>
      <c r="DQ299" t="e">
        <f>AND(#REF!,"AAAAAG/v53g=")</f>
        <v>#REF!</v>
      </c>
      <c r="DR299" t="e">
        <f>AND(#REF!,"AAAAAG/v53k=")</f>
        <v>#REF!</v>
      </c>
      <c r="DS299" t="e">
        <f>AND(#REF!,"AAAAAG/v53o=")</f>
        <v>#REF!</v>
      </c>
      <c r="DT299" t="e">
        <f>AND(#REF!,"AAAAAG/v53s=")</f>
        <v>#REF!</v>
      </c>
      <c r="DU299" t="e">
        <f>AND(#REF!,"AAAAAG/v53w=")</f>
        <v>#REF!</v>
      </c>
      <c r="DV299" t="e">
        <f>AND(#REF!,"AAAAAG/v530=")</f>
        <v>#REF!</v>
      </c>
      <c r="DW299" t="e">
        <f>AND(#REF!,"AAAAAG/v534=")</f>
        <v>#REF!</v>
      </c>
      <c r="DX299" t="e">
        <f>IF(#REF!,"AAAAAG/v538=",0)</f>
        <v>#REF!</v>
      </c>
      <c r="DY299" t="e">
        <f>AND(#REF!,"AAAAAG/v54A=")</f>
        <v>#REF!</v>
      </c>
      <c r="DZ299" t="e">
        <f>AND(#REF!,"AAAAAG/v54E=")</f>
        <v>#REF!</v>
      </c>
      <c r="EA299" t="e">
        <f>AND(#REF!,"AAAAAG/v54I=")</f>
        <v>#REF!</v>
      </c>
      <c r="EB299" t="e">
        <f>AND(#REF!,"AAAAAG/v54M=")</f>
        <v>#REF!</v>
      </c>
      <c r="EC299" t="e">
        <f>AND(#REF!,"AAAAAG/v54Q=")</f>
        <v>#REF!</v>
      </c>
      <c r="ED299" t="e">
        <f>AND(#REF!,"AAAAAG/v54U=")</f>
        <v>#REF!</v>
      </c>
      <c r="EE299" t="e">
        <f>AND(#REF!,"AAAAAG/v54Y=")</f>
        <v>#REF!</v>
      </c>
      <c r="EF299" t="e">
        <f>AND(#REF!,"AAAAAG/v54c=")</f>
        <v>#REF!</v>
      </c>
      <c r="EG299" t="e">
        <f>AND(#REF!,"AAAAAG/v54g=")</f>
        <v>#REF!</v>
      </c>
      <c r="EH299" t="e">
        <f>AND(#REF!,"AAAAAG/v54k=")</f>
        <v>#REF!</v>
      </c>
      <c r="EI299" t="e">
        <f>AND(#REF!,"AAAAAG/v54o=")</f>
        <v>#REF!</v>
      </c>
      <c r="EJ299" t="e">
        <f>AND(#REF!,"AAAAAG/v54s=")</f>
        <v>#REF!</v>
      </c>
      <c r="EK299" t="e">
        <f>AND(#REF!,"AAAAAG/v54w=")</f>
        <v>#REF!</v>
      </c>
      <c r="EL299" t="e">
        <f>AND(#REF!,"AAAAAG/v540=")</f>
        <v>#REF!</v>
      </c>
      <c r="EM299" t="e">
        <f>AND(#REF!,"AAAAAG/v544=")</f>
        <v>#REF!</v>
      </c>
      <c r="EN299" t="e">
        <f>AND(#REF!,"AAAAAG/v548=")</f>
        <v>#REF!</v>
      </c>
      <c r="EO299" t="e">
        <f>AND(#REF!,"AAAAAG/v55A=")</f>
        <v>#REF!</v>
      </c>
      <c r="EP299" t="e">
        <f>AND(#REF!,"AAAAAG/v55E=")</f>
        <v>#REF!</v>
      </c>
      <c r="EQ299" t="e">
        <f>AND(#REF!,"AAAAAG/v55I=")</f>
        <v>#REF!</v>
      </c>
      <c r="ER299" t="e">
        <f>AND(#REF!,"AAAAAG/v55M=")</f>
        <v>#REF!</v>
      </c>
      <c r="ES299" t="e">
        <f>AND(#REF!,"AAAAAG/v55Q=")</f>
        <v>#REF!</v>
      </c>
      <c r="ET299" t="e">
        <f>AND(#REF!,"AAAAAG/v55U=")</f>
        <v>#REF!</v>
      </c>
      <c r="EU299" t="e">
        <f>AND(#REF!,"AAAAAG/v55Y=")</f>
        <v>#REF!</v>
      </c>
      <c r="EV299" t="e">
        <f>AND(#REF!,"AAAAAG/v55c=")</f>
        <v>#REF!</v>
      </c>
      <c r="EW299" t="e">
        <f>AND(#REF!,"AAAAAG/v55g=")</f>
        <v>#REF!</v>
      </c>
      <c r="EX299" t="e">
        <f>AND(#REF!,"AAAAAG/v55k=")</f>
        <v>#REF!</v>
      </c>
      <c r="EY299" t="e">
        <f>AND(#REF!,"AAAAAG/v55o=")</f>
        <v>#REF!</v>
      </c>
      <c r="EZ299" t="e">
        <f>AND(#REF!,"AAAAAG/v55s=")</f>
        <v>#REF!</v>
      </c>
      <c r="FA299" t="e">
        <f>AND(#REF!,"AAAAAG/v55w=")</f>
        <v>#REF!</v>
      </c>
      <c r="FB299" t="e">
        <f>AND(#REF!,"AAAAAG/v550=")</f>
        <v>#REF!</v>
      </c>
      <c r="FC299" t="e">
        <f>AND(#REF!,"AAAAAG/v554=")</f>
        <v>#REF!</v>
      </c>
      <c r="FD299" t="e">
        <f>AND(#REF!,"AAAAAG/v558=")</f>
        <v>#REF!</v>
      </c>
      <c r="FE299" t="e">
        <f>AND(#REF!,"AAAAAG/v56A=")</f>
        <v>#REF!</v>
      </c>
      <c r="FF299" t="e">
        <f>AND(#REF!,"AAAAAG/v56E=")</f>
        <v>#REF!</v>
      </c>
      <c r="FG299" t="e">
        <f>AND(#REF!,"AAAAAG/v56I=")</f>
        <v>#REF!</v>
      </c>
      <c r="FH299" t="e">
        <f>AND(#REF!,"AAAAAG/v56M=")</f>
        <v>#REF!</v>
      </c>
      <c r="FI299" t="e">
        <f>AND(#REF!,"AAAAAG/v56Q=")</f>
        <v>#REF!</v>
      </c>
      <c r="FJ299" t="e">
        <f>AND(#REF!,"AAAAAG/v56U=")</f>
        <v>#REF!</v>
      </c>
      <c r="FK299" t="e">
        <f>AND(#REF!,"AAAAAG/v56Y=")</f>
        <v>#REF!</v>
      </c>
      <c r="FL299" t="e">
        <f>AND(#REF!,"AAAAAG/v56c=")</f>
        <v>#REF!</v>
      </c>
      <c r="FM299" t="e">
        <f>AND(#REF!,"AAAAAG/v56g=")</f>
        <v>#REF!</v>
      </c>
      <c r="FN299" t="e">
        <f>AND(#REF!,"AAAAAG/v56k=")</f>
        <v>#REF!</v>
      </c>
      <c r="FO299" t="e">
        <f>AND(#REF!,"AAAAAG/v56o=")</f>
        <v>#REF!</v>
      </c>
      <c r="FP299" t="e">
        <f>AND(#REF!,"AAAAAG/v56s=")</f>
        <v>#REF!</v>
      </c>
      <c r="FQ299" t="e">
        <f>AND(#REF!,"AAAAAG/v56w=")</f>
        <v>#REF!</v>
      </c>
      <c r="FR299" t="e">
        <f>AND(#REF!,"AAAAAG/v560=")</f>
        <v>#REF!</v>
      </c>
      <c r="FS299" t="e">
        <f>AND(#REF!,"AAAAAG/v564=")</f>
        <v>#REF!</v>
      </c>
      <c r="FT299" t="e">
        <f>AND(#REF!,"AAAAAG/v568=")</f>
        <v>#REF!</v>
      </c>
      <c r="FU299" t="e">
        <f>AND(#REF!,"AAAAAG/v57A=")</f>
        <v>#REF!</v>
      </c>
      <c r="FV299" t="e">
        <f>AND(#REF!,"AAAAAG/v57E=")</f>
        <v>#REF!</v>
      </c>
      <c r="FW299" t="e">
        <f>AND(#REF!,"AAAAAG/v57I=")</f>
        <v>#REF!</v>
      </c>
      <c r="FX299" t="e">
        <f>IF(#REF!,"AAAAAG/v57M=",0)</f>
        <v>#REF!</v>
      </c>
      <c r="FY299" t="e">
        <f>AND(#REF!,"AAAAAG/v57Q=")</f>
        <v>#REF!</v>
      </c>
      <c r="FZ299" t="e">
        <f>AND(#REF!,"AAAAAG/v57U=")</f>
        <v>#REF!</v>
      </c>
      <c r="GA299" t="e">
        <f>AND(#REF!,"AAAAAG/v57Y=")</f>
        <v>#REF!</v>
      </c>
      <c r="GB299" t="e">
        <f>AND(#REF!,"AAAAAG/v57c=")</f>
        <v>#REF!</v>
      </c>
      <c r="GC299" t="e">
        <f>AND(#REF!,"AAAAAG/v57g=")</f>
        <v>#REF!</v>
      </c>
      <c r="GD299" t="e">
        <f>AND(#REF!,"AAAAAG/v57k=")</f>
        <v>#REF!</v>
      </c>
      <c r="GE299" t="e">
        <f>AND(#REF!,"AAAAAG/v57o=")</f>
        <v>#REF!</v>
      </c>
      <c r="GF299" t="e">
        <f>AND(#REF!,"AAAAAG/v57s=")</f>
        <v>#REF!</v>
      </c>
      <c r="GG299" t="e">
        <f>AND(#REF!,"AAAAAG/v57w=")</f>
        <v>#REF!</v>
      </c>
      <c r="GH299" t="e">
        <f>AND(#REF!,"AAAAAG/v570=")</f>
        <v>#REF!</v>
      </c>
      <c r="GI299" t="e">
        <f>AND(#REF!,"AAAAAG/v574=")</f>
        <v>#REF!</v>
      </c>
      <c r="GJ299" t="e">
        <f>AND(#REF!,"AAAAAG/v578=")</f>
        <v>#REF!</v>
      </c>
      <c r="GK299" t="e">
        <f>AND(#REF!,"AAAAAG/v58A=")</f>
        <v>#REF!</v>
      </c>
      <c r="GL299" t="e">
        <f>AND(#REF!,"AAAAAG/v58E=")</f>
        <v>#REF!</v>
      </c>
      <c r="GM299" t="e">
        <f>AND(#REF!,"AAAAAG/v58I=")</f>
        <v>#REF!</v>
      </c>
      <c r="GN299" t="e">
        <f>AND(#REF!,"AAAAAG/v58M=")</f>
        <v>#REF!</v>
      </c>
      <c r="GO299" t="e">
        <f>AND(#REF!,"AAAAAG/v58Q=")</f>
        <v>#REF!</v>
      </c>
      <c r="GP299" t="e">
        <f>AND(#REF!,"AAAAAG/v58U=")</f>
        <v>#REF!</v>
      </c>
      <c r="GQ299" t="e">
        <f>AND(#REF!,"AAAAAG/v58Y=")</f>
        <v>#REF!</v>
      </c>
      <c r="GR299" t="e">
        <f>AND(#REF!,"AAAAAG/v58c=")</f>
        <v>#REF!</v>
      </c>
      <c r="GS299" t="e">
        <f>AND(#REF!,"AAAAAG/v58g=")</f>
        <v>#REF!</v>
      </c>
      <c r="GT299" t="e">
        <f>AND(#REF!,"AAAAAG/v58k=")</f>
        <v>#REF!</v>
      </c>
      <c r="GU299" t="e">
        <f>AND(#REF!,"AAAAAG/v58o=")</f>
        <v>#REF!</v>
      </c>
      <c r="GV299" t="e">
        <f>AND(#REF!,"AAAAAG/v58s=")</f>
        <v>#REF!</v>
      </c>
      <c r="GW299" t="e">
        <f>AND(#REF!,"AAAAAG/v58w=")</f>
        <v>#REF!</v>
      </c>
      <c r="GX299" t="e">
        <f>AND(#REF!,"AAAAAG/v580=")</f>
        <v>#REF!</v>
      </c>
      <c r="GY299" t="e">
        <f>AND(#REF!,"AAAAAG/v584=")</f>
        <v>#REF!</v>
      </c>
      <c r="GZ299" t="e">
        <f>AND(#REF!,"AAAAAG/v588=")</f>
        <v>#REF!</v>
      </c>
      <c r="HA299" t="e">
        <f>AND(#REF!,"AAAAAG/v59A=")</f>
        <v>#REF!</v>
      </c>
      <c r="HB299" t="e">
        <f>AND(#REF!,"AAAAAG/v59E=")</f>
        <v>#REF!</v>
      </c>
      <c r="HC299" t="e">
        <f>AND(#REF!,"AAAAAG/v59I=")</f>
        <v>#REF!</v>
      </c>
      <c r="HD299" t="e">
        <f>AND(#REF!,"AAAAAG/v59M=")</f>
        <v>#REF!</v>
      </c>
      <c r="HE299" t="e">
        <f>AND(#REF!,"AAAAAG/v59Q=")</f>
        <v>#REF!</v>
      </c>
      <c r="HF299" t="e">
        <f>AND(#REF!,"AAAAAG/v59U=")</f>
        <v>#REF!</v>
      </c>
      <c r="HG299" t="e">
        <f>AND(#REF!,"AAAAAG/v59Y=")</f>
        <v>#REF!</v>
      </c>
      <c r="HH299" t="e">
        <f>AND(#REF!,"AAAAAG/v59c=")</f>
        <v>#REF!</v>
      </c>
      <c r="HI299" t="e">
        <f>AND(#REF!,"AAAAAG/v59g=")</f>
        <v>#REF!</v>
      </c>
      <c r="HJ299" t="e">
        <f>AND(#REF!,"AAAAAG/v59k=")</f>
        <v>#REF!</v>
      </c>
      <c r="HK299" t="e">
        <f>AND(#REF!,"AAAAAG/v59o=")</f>
        <v>#REF!</v>
      </c>
      <c r="HL299" t="e">
        <f>AND(#REF!,"AAAAAG/v59s=")</f>
        <v>#REF!</v>
      </c>
      <c r="HM299" t="e">
        <f>AND(#REF!,"AAAAAG/v59w=")</f>
        <v>#REF!</v>
      </c>
      <c r="HN299" t="e">
        <f>AND(#REF!,"AAAAAG/v590=")</f>
        <v>#REF!</v>
      </c>
      <c r="HO299" t="e">
        <f>AND(#REF!,"AAAAAG/v594=")</f>
        <v>#REF!</v>
      </c>
      <c r="HP299" t="e">
        <f>AND(#REF!,"AAAAAG/v598=")</f>
        <v>#REF!</v>
      </c>
      <c r="HQ299" t="e">
        <f>AND(#REF!,"AAAAAG/v5+A=")</f>
        <v>#REF!</v>
      </c>
      <c r="HR299" t="e">
        <f>AND(#REF!,"AAAAAG/v5+E=")</f>
        <v>#REF!</v>
      </c>
      <c r="HS299" t="e">
        <f>AND(#REF!,"AAAAAG/v5+I=")</f>
        <v>#REF!</v>
      </c>
      <c r="HT299" t="e">
        <f>AND(#REF!,"AAAAAG/v5+M=")</f>
        <v>#REF!</v>
      </c>
      <c r="HU299" t="e">
        <f>AND(#REF!,"AAAAAG/v5+Q=")</f>
        <v>#REF!</v>
      </c>
      <c r="HV299" t="e">
        <f>AND(#REF!,"AAAAAG/v5+U=")</f>
        <v>#REF!</v>
      </c>
      <c r="HW299" t="e">
        <f>AND(#REF!,"AAAAAG/v5+Y=")</f>
        <v>#REF!</v>
      </c>
      <c r="HX299" t="e">
        <f>IF(#REF!,"AAAAAG/v5+c=",0)</f>
        <v>#REF!</v>
      </c>
      <c r="HY299" t="e">
        <f>AND(#REF!,"AAAAAG/v5+g=")</f>
        <v>#REF!</v>
      </c>
      <c r="HZ299" t="e">
        <f>AND(#REF!,"AAAAAG/v5+k=")</f>
        <v>#REF!</v>
      </c>
      <c r="IA299" t="e">
        <f>AND(#REF!,"AAAAAG/v5+o=")</f>
        <v>#REF!</v>
      </c>
      <c r="IB299" t="e">
        <f>AND(#REF!,"AAAAAG/v5+s=")</f>
        <v>#REF!</v>
      </c>
      <c r="IC299" t="e">
        <f>AND(#REF!,"AAAAAG/v5+w=")</f>
        <v>#REF!</v>
      </c>
      <c r="ID299" t="e">
        <f>AND(#REF!,"AAAAAG/v5+0=")</f>
        <v>#REF!</v>
      </c>
      <c r="IE299" t="e">
        <f>AND(#REF!,"AAAAAG/v5+4=")</f>
        <v>#REF!</v>
      </c>
      <c r="IF299" t="e">
        <f>AND(#REF!,"AAAAAG/v5+8=")</f>
        <v>#REF!</v>
      </c>
      <c r="IG299" t="e">
        <f>AND(#REF!,"AAAAAG/v5/A=")</f>
        <v>#REF!</v>
      </c>
      <c r="IH299" t="e">
        <f>AND(#REF!,"AAAAAG/v5/E=")</f>
        <v>#REF!</v>
      </c>
      <c r="II299" t="e">
        <f>AND(#REF!,"AAAAAG/v5/I=")</f>
        <v>#REF!</v>
      </c>
      <c r="IJ299" t="e">
        <f>AND(#REF!,"AAAAAG/v5/M=")</f>
        <v>#REF!</v>
      </c>
      <c r="IK299" t="e">
        <f>AND(#REF!,"AAAAAG/v5/Q=")</f>
        <v>#REF!</v>
      </c>
      <c r="IL299" t="e">
        <f>AND(#REF!,"AAAAAG/v5/U=")</f>
        <v>#REF!</v>
      </c>
      <c r="IM299" t="e">
        <f>AND(#REF!,"AAAAAG/v5/Y=")</f>
        <v>#REF!</v>
      </c>
      <c r="IN299" t="e">
        <f>AND(#REF!,"AAAAAG/v5/c=")</f>
        <v>#REF!</v>
      </c>
      <c r="IO299" t="e">
        <f>AND(#REF!,"AAAAAG/v5/g=")</f>
        <v>#REF!</v>
      </c>
      <c r="IP299" t="e">
        <f>AND(#REF!,"AAAAAG/v5/k=")</f>
        <v>#REF!</v>
      </c>
      <c r="IQ299" t="e">
        <f>AND(#REF!,"AAAAAG/v5/o=")</f>
        <v>#REF!</v>
      </c>
      <c r="IR299" t="e">
        <f>AND(#REF!,"AAAAAG/v5/s=")</f>
        <v>#REF!</v>
      </c>
      <c r="IS299" t="e">
        <f>AND(#REF!,"AAAAAG/v5/w=")</f>
        <v>#REF!</v>
      </c>
      <c r="IT299" t="e">
        <f>AND(#REF!,"AAAAAG/v5/0=")</f>
        <v>#REF!</v>
      </c>
      <c r="IU299" t="e">
        <f>AND(#REF!,"AAAAAG/v5/4=")</f>
        <v>#REF!</v>
      </c>
      <c r="IV299" t="e">
        <f>AND(#REF!,"AAAAAG/v5/8=")</f>
        <v>#REF!</v>
      </c>
    </row>
    <row r="300" spans="1:256">
      <c r="A300" t="e">
        <f>AND(#REF!,"AAAAAG7t/wA=")</f>
        <v>#REF!</v>
      </c>
      <c r="B300" t="e">
        <f>AND(#REF!,"AAAAAG7t/wE=")</f>
        <v>#REF!</v>
      </c>
      <c r="C300" t="e">
        <f>AND(#REF!,"AAAAAG7t/wI=")</f>
        <v>#REF!</v>
      </c>
      <c r="D300" t="e">
        <f>AND(#REF!,"AAAAAG7t/wM=")</f>
        <v>#REF!</v>
      </c>
      <c r="E300" t="e">
        <f>AND(#REF!,"AAAAAG7t/wQ=")</f>
        <v>#REF!</v>
      </c>
      <c r="F300" t="e">
        <f>AND(#REF!,"AAAAAG7t/wU=")</f>
        <v>#REF!</v>
      </c>
      <c r="G300" t="e">
        <f>AND(#REF!,"AAAAAG7t/wY=")</f>
        <v>#REF!</v>
      </c>
      <c r="H300" t="e">
        <f>AND(#REF!,"AAAAAG7t/wc=")</f>
        <v>#REF!</v>
      </c>
      <c r="I300" t="e">
        <f>AND(#REF!,"AAAAAG7t/wg=")</f>
        <v>#REF!</v>
      </c>
      <c r="J300" t="e">
        <f>AND(#REF!,"AAAAAG7t/wk=")</f>
        <v>#REF!</v>
      </c>
      <c r="K300" t="e">
        <f>AND(#REF!,"AAAAAG7t/wo=")</f>
        <v>#REF!</v>
      </c>
      <c r="L300" t="e">
        <f>AND(#REF!,"AAAAAG7t/ws=")</f>
        <v>#REF!</v>
      </c>
      <c r="M300" t="e">
        <f>AND(#REF!,"AAAAAG7t/ww=")</f>
        <v>#REF!</v>
      </c>
      <c r="N300" t="e">
        <f>AND(#REF!,"AAAAAG7t/w0=")</f>
        <v>#REF!</v>
      </c>
      <c r="O300" t="e">
        <f>AND(#REF!,"AAAAAG7t/w4=")</f>
        <v>#REF!</v>
      </c>
      <c r="P300" t="e">
        <f>AND(#REF!,"AAAAAG7t/w8=")</f>
        <v>#REF!</v>
      </c>
      <c r="Q300" t="e">
        <f>AND(#REF!,"AAAAAG7t/xA=")</f>
        <v>#REF!</v>
      </c>
      <c r="R300" t="e">
        <f>AND(#REF!,"AAAAAG7t/xE=")</f>
        <v>#REF!</v>
      </c>
      <c r="S300" t="e">
        <f>AND(#REF!,"AAAAAG7t/xI=")</f>
        <v>#REF!</v>
      </c>
      <c r="T300" t="e">
        <f>AND(#REF!,"AAAAAG7t/xM=")</f>
        <v>#REF!</v>
      </c>
      <c r="U300" t="e">
        <f>AND(#REF!,"AAAAAG7t/xQ=")</f>
        <v>#REF!</v>
      </c>
      <c r="V300" t="e">
        <f>AND(#REF!,"AAAAAG7t/xU=")</f>
        <v>#REF!</v>
      </c>
      <c r="W300" t="e">
        <f>AND(#REF!,"AAAAAG7t/xY=")</f>
        <v>#REF!</v>
      </c>
      <c r="X300" t="e">
        <f>AND(#REF!,"AAAAAG7t/xc=")</f>
        <v>#REF!</v>
      </c>
      <c r="Y300" t="e">
        <f>AND(#REF!,"AAAAAG7t/xg=")</f>
        <v>#REF!</v>
      </c>
      <c r="Z300" t="e">
        <f>AND(#REF!,"AAAAAG7t/xk=")</f>
        <v>#REF!</v>
      </c>
      <c r="AA300" t="e">
        <f>AND(#REF!,"AAAAAG7t/xo=")</f>
        <v>#REF!</v>
      </c>
      <c r="AB300" t="e">
        <f>IF(#REF!,"AAAAAG7t/xs=",0)</f>
        <v>#REF!</v>
      </c>
      <c r="AC300" t="e">
        <f>AND(#REF!,"AAAAAG7t/xw=")</f>
        <v>#REF!</v>
      </c>
      <c r="AD300" t="e">
        <f>AND(#REF!,"AAAAAG7t/x0=")</f>
        <v>#REF!</v>
      </c>
      <c r="AE300" t="e">
        <f>AND(#REF!,"AAAAAG7t/x4=")</f>
        <v>#REF!</v>
      </c>
      <c r="AF300" t="e">
        <f>AND(#REF!,"AAAAAG7t/x8=")</f>
        <v>#REF!</v>
      </c>
      <c r="AG300" t="e">
        <f>AND(#REF!,"AAAAAG7t/yA=")</f>
        <v>#REF!</v>
      </c>
      <c r="AH300" t="e">
        <f>AND(#REF!,"AAAAAG7t/yE=")</f>
        <v>#REF!</v>
      </c>
      <c r="AI300" t="e">
        <f>AND(#REF!,"AAAAAG7t/yI=")</f>
        <v>#REF!</v>
      </c>
      <c r="AJ300" t="e">
        <f>AND(#REF!,"AAAAAG7t/yM=")</f>
        <v>#REF!</v>
      </c>
      <c r="AK300" t="e">
        <f>AND(#REF!,"AAAAAG7t/yQ=")</f>
        <v>#REF!</v>
      </c>
      <c r="AL300" t="e">
        <f>AND(#REF!,"AAAAAG7t/yU=")</f>
        <v>#REF!</v>
      </c>
      <c r="AM300" t="e">
        <f>AND(#REF!,"AAAAAG7t/yY=")</f>
        <v>#REF!</v>
      </c>
      <c r="AN300" t="e">
        <f>AND(#REF!,"AAAAAG7t/yc=")</f>
        <v>#REF!</v>
      </c>
      <c r="AO300" t="e">
        <f>AND(#REF!,"AAAAAG7t/yg=")</f>
        <v>#REF!</v>
      </c>
      <c r="AP300" t="e">
        <f>AND(#REF!,"AAAAAG7t/yk=")</f>
        <v>#REF!</v>
      </c>
      <c r="AQ300" t="e">
        <f>AND(#REF!,"AAAAAG7t/yo=")</f>
        <v>#REF!</v>
      </c>
      <c r="AR300" t="e">
        <f>AND(#REF!,"AAAAAG7t/ys=")</f>
        <v>#REF!</v>
      </c>
      <c r="AS300" t="e">
        <f>AND(#REF!,"AAAAAG7t/yw=")</f>
        <v>#REF!</v>
      </c>
      <c r="AT300" t="e">
        <f>AND(#REF!,"AAAAAG7t/y0=")</f>
        <v>#REF!</v>
      </c>
      <c r="AU300" t="e">
        <f>AND(#REF!,"AAAAAG7t/y4=")</f>
        <v>#REF!</v>
      </c>
      <c r="AV300" t="e">
        <f>AND(#REF!,"AAAAAG7t/y8=")</f>
        <v>#REF!</v>
      </c>
      <c r="AW300" t="e">
        <f>AND(#REF!,"AAAAAG7t/zA=")</f>
        <v>#REF!</v>
      </c>
      <c r="AX300" t="e">
        <f>AND(#REF!,"AAAAAG7t/zE=")</f>
        <v>#REF!</v>
      </c>
      <c r="AY300" t="e">
        <f>AND(#REF!,"AAAAAG7t/zI=")</f>
        <v>#REF!</v>
      </c>
      <c r="AZ300" t="e">
        <f>AND(#REF!,"AAAAAG7t/zM=")</f>
        <v>#REF!</v>
      </c>
      <c r="BA300" t="e">
        <f>AND(#REF!,"AAAAAG7t/zQ=")</f>
        <v>#REF!</v>
      </c>
      <c r="BB300" t="e">
        <f>AND(#REF!,"AAAAAG7t/zU=")</f>
        <v>#REF!</v>
      </c>
      <c r="BC300" t="e">
        <f>AND(#REF!,"AAAAAG7t/zY=")</f>
        <v>#REF!</v>
      </c>
      <c r="BD300" t="e">
        <f>AND(#REF!,"AAAAAG7t/zc=")</f>
        <v>#REF!</v>
      </c>
      <c r="BE300" t="e">
        <f>AND(#REF!,"AAAAAG7t/zg=")</f>
        <v>#REF!</v>
      </c>
      <c r="BF300" t="e">
        <f>AND(#REF!,"AAAAAG7t/zk=")</f>
        <v>#REF!</v>
      </c>
      <c r="BG300" t="e">
        <f>AND(#REF!,"AAAAAG7t/zo=")</f>
        <v>#REF!</v>
      </c>
      <c r="BH300" t="e">
        <f>AND(#REF!,"AAAAAG7t/zs=")</f>
        <v>#REF!</v>
      </c>
      <c r="BI300" t="e">
        <f>AND(#REF!,"AAAAAG7t/zw=")</f>
        <v>#REF!</v>
      </c>
      <c r="BJ300" t="e">
        <f>AND(#REF!,"AAAAAG7t/z0=")</f>
        <v>#REF!</v>
      </c>
      <c r="BK300" t="e">
        <f>AND(#REF!,"AAAAAG7t/z4=")</f>
        <v>#REF!</v>
      </c>
      <c r="BL300" t="e">
        <f>AND(#REF!,"AAAAAG7t/z8=")</f>
        <v>#REF!</v>
      </c>
      <c r="BM300" t="e">
        <f>AND(#REF!,"AAAAAG7t/0A=")</f>
        <v>#REF!</v>
      </c>
      <c r="BN300" t="e">
        <f>AND(#REF!,"AAAAAG7t/0E=")</f>
        <v>#REF!</v>
      </c>
      <c r="BO300" t="e">
        <f>AND(#REF!,"AAAAAG7t/0I=")</f>
        <v>#REF!</v>
      </c>
      <c r="BP300" t="e">
        <f>AND(#REF!,"AAAAAG7t/0M=")</f>
        <v>#REF!</v>
      </c>
      <c r="BQ300" t="e">
        <f>AND(#REF!,"AAAAAG7t/0Q=")</f>
        <v>#REF!</v>
      </c>
      <c r="BR300" t="e">
        <f>AND(#REF!,"AAAAAG7t/0U=")</f>
        <v>#REF!</v>
      </c>
      <c r="BS300" t="e">
        <f>AND(#REF!,"AAAAAG7t/0Y=")</f>
        <v>#REF!</v>
      </c>
      <c r="BT300" t="e">
        <f>AND(#REF!,"AAAAAG7t/0c=")</f>
        <v>#REF!</v>
      </c>
      <c r="BU300" t="e">
        <f>AND(#REF!,"AAAAAG7t/0g=")</f>
        <v>#REF!</v>
      </c>
      <c r="BV300" t="e">
        <f>AND(#REF!,"AAAAAG7t/0k=")</f>
        <v>#REF!</v>
      </c>
      <c r="BW300" t="e">
        <f>AND(#REF!,"AAAAAG7t/0o=")</f>
        <v>#REF!</v>
      </c>
      <c r="BX300" t="e">
        <f>AND(#REF!,"AAAAAG7t/0s=")</f>
        <v>#REF!</v>
      </c>
      <c r="BY300" t="e">
        <f>AND(#REF!,"AAAAAG7t/0w=")</f>
        <v>#REF!</v>
      </c>
      <c r="BZ300" t="e">
        <f>AND(#REF!,"AAAAAG7t/00=")</f>
        <v>#REF!</v>
      </c>
      <c r="CA300" t="e">
        <f>AND(#REF!,"AAAAAG7t/04=")</f>
        <v>#REF!</v>
      </c>
      <c r="CB300" t="e">
        <f>IF(#REF!,"AAAAAG7t/08=",0)</f>
        <v>#REF!</v>
      </c>
      <c r="CC300" t="e">
        <f>AND(#REF!,"AAAAAG7t/1A=")</f>
        <v>#REF!</v>
      </c>
      <c r="CD300" t="e">
        <f>AND(#REF!,"AAAAAG7t/1E=")</f>
        <v>#REF!</v>
      </c>
      <c r="CE300" t="e">
        <f>AND(#REF!,"AAAAAG7t/1I=")</f>
        <v>#REF!</v>
      </c>
      <c r="CF300" t="e">
        <f>AND(#REF!,"AAAAAG7t/1M=")</f>
        <v>#REF!</v>
      </c>
      <c r="CG300" t="e">
        <f>AND(#REF!,"AAAAAG7t/1Q=")</f>
        <v>#REF!</v>
      </c>
      <c r="CH300" t="e">
        <f>AND(#REF!,"AAAAAG7t/1U=")</f>
        <v>#REF!</v>
      </c>
      <c r="CI300" t="e">
        <f>AND(#REF!,"AAAAAG7t/1Y=")</f>
        <v>#REF!</v>
      </c>
      <c r="CJ300" t="e">
        <f>AND(#REF!,"AAAAAG7t/1c=")</f>
        <v>#REF!</v>
      </c>
      <c r="CK300" t="e">
        <f>AND(#REF!,"AAAAAG7t/1g=")</f>
        <v>#REF!</v>
      </c>
      <c r="CL300" t="e">
        <f>AND(#REF!,"AAAAAG7t/1k=")</f>
        <v>#REF!</v>
      </c>
      <c r="CM300" t="e">
        <f>AND(#REF!,"AAAAAG7t/1o=")</f>
        <v>#REF!</v>
      </c>
      <c r="CN300" t="e">
        <f>AND(#REF!,"AAAAAG7t/1s=")</f>
        <v>#REF!</v>
      </c>
      <c r="CO300" t="e">
        <f>AND(#REF!,"AAAAAG7t/1w=")</f>
        <v>#REF!</v>
      </c>
      <c r="CP300" t="e">
        <f>AND(#REF!,"AAAAAG7t/10=")</f>
        <v>#REF!</v>
      </c>
      <c r="CQ300" t="e">
        <f>AND(#REF!,"AAAAAG7t/14=")</f>
        <v>#REF!</v>
      </c>
      <c r="CR300" t="e">
        <f>AND(#REF!,"AAAAAG7t/18=")</f>
        <v>#REF!</v>
      </c>
      <c r="CS300" t="e">
        <f>AND(#REF!,"AAAAAG7t/2A=")</f>
        <v>#REF!</v>
      </c>
      <c r="CT300" t="e">
        <f>AND(#REF!,"AAAAAG7t/2E=")</f>
        <v>#REF!</v>
      </c>
      <c r="CU300" t="e">
        <f>AND(#REF!,"AAAAAG7t/2I=")</f>
        <v>#REF!</v>
      </c>
      <c r="CV300" t="e">
        <f>AND(#REF!,"AAAAAG7t/2M=")</f>
        <v>#REF!</v>
      </c>
      <c r="CW300" t="e">
        <f>AND(#REF!,"AAAAAG7t/2Q=")</f>
        <v>#REF!</v>
      </c>
      <c r="CX300" t="e">
        <f>AND(#REF!,"AAAAAG7t/2U=")</f>
        <v>#REF!</v>
      </c>
      <c r="CY300" t="e">
        <f>AND(#REF!,"AAAAAG7t/2Y=")</f>
        <v>#REF!</v>
      </c>
      <c r="CZ300" t="e">
        <f>AND(#REF!,"AAAAAG7t/2c=")</f>
        <v>#REF!</v>
      </c>
      <c r="DA300" t="e">
        <f>AND(#REF!,"AAAAAG7t/2g=")</f>
        <v>#REF!</v>
      </c>
      <c r="DB300" t="e">
        <f>AND(#REF!,"AAAAAG7t/2k=")</f>
        <v>#REF!</v>
      </c>
      <c r="DC300" t="e">
        <f>AND(#REF!,"AAAAAG7t/2o=")</f>
        <v>#REF!</v>
      </c>
      <c r="DD300" t="e">
        <f>AND(#REF!,"AAAAAG7t/2s=")</f>
        <v>#REF!</v>
      </c>
      <c r="DE300" t="e">
        <f>AND(#REF!,"AAAAAG7t/2w=")</f>
        <v>#REF!</v>
      </c>
      <c r="DF300" t="e">
        <f>AND(#REF!,"AAAAAG7t/20=")</f>
        <v>#REF!</v>
      </c>
      <c r="DG300" t="e">
        <f>AND(#REF!,"AAAAAG7t/24=")</f>
        <v>#REF!</v>
      </c>
      <c r="DH300" t="e">
        <f>AND(#REF!,"AAAAAG7t/28=")</f>
        <v>#REF!</v>
      </c>
      <c r="DI300" t="e">
        <f>AND(#REF!,"AAAAAG7t/3A=")</f>
        <v>#REF!</v>
      </c>
      <c r="DJ300" t="e">
        <f>AND(#REF!,"AAAAAG7t/3E=")</f>
        <v>#REF!</v>
      </c>
      <c r="DK300" t="e">
        <f>AND(#REF!,"AAAAAG7t/3I=")</f>
        <v>#REF!</v>
      </c>
      <c r="DL300" t="e">
        <f>AND(#REF!,"AAAAAG7t/3M=")</f>
        <v>#REF!</v>
      </c>
      <c r="DM300" t="e">
        <f>AND(#REF!,"AAAAAG7t/3Q=")</f>
        <v>#REF!</v>
      </c>
      <c r="DN300" t="e">
        <f>AND(#REF!,"AAAAAG7t/3U=")</f>
        <v>#REF!</v>
      </c>
      <c r="DO300" t="e">
        <f>AND(#REF!,"AAAAAG7t/3Y=")</f>
        <v>#REF!</v>
      </c>
      <c r="DP300" t="e">
        <f>AND(#REF!,"AAAAAG7t/3c=")</f>
        <v>#REF!</v>
      </c>
      <c r="DQ300" t="e">
        <f>AND(#REF!,"AAAAAG7t/3g=")</f>
        <v>#REF!</v>
      </c>
      <c r="DR300" t="e">
        <f>AND(#REF!,"AAAAAG7t/3k=")</f>
        <v>#REF!</v>
      </c>
      <c r="DS300" t="e">
        <f>AND(#REF!,"AAAAAG7t/3o=")</f>
        <v>#REF!</v>
      </c>
      <c r="DT300" t="e">
        <f>AND(#REF!,"AAAAAG7t/3s=")</f>
        <v>#REF!</v>
      </c>
      <c r="DU300" t="e">
        <f>AND(#REF!,"AAAAAG7t/3w=")</f>
        <v>#REF!</v>
      </c>
      <c r="DV300" t="e">
        <f>AND(#REF!,"AAAAAG7t/30=")</f>
        <v>#REF!</v>
      </c>
      <c r="DW300" t="e">
        <f>AND(#REF!,"AAAAAG7t/34=")</f>
        <v>#REF!</v>
      </c>
      <c r="DX300" t="e">
        <f>AND(#REF!,"AAAAAG7t/38=")</f>
        <v>#REF!</v>
      </c>
      <c r="DY300" t="e">
        <f>AND(#REF!,"AAAAAG7t/4A=")</f>
        <v>#REF!</v>
      </c>
      <c r="DZ300" t="e">
        <f>AND(#REF!,"AAAAAG7t/4E=")</f>
        <v>#REF!</v>
      </c>
      <c r="EA300" t="e">
        <f>AND(#REF!,"AAAAAG7t/4I=")</f>
        <v>#REF!</v>
      </c>
      <c r="EB300" t="e">
        <f>IF(#REF!,"AAAAAG7t/4M=",0)</f>
        <v>#REF!</v>
      </c>
      <c r="EC300" t="e">
        <f>AND(#REF!,"AAAAAG7t/4Q=")</f>
        <v>#REF!</v>
      </c>
      <c r="ED300" t="e">
        <f>AND(#REF!,"AAAAAG7t/4U=")</f>
        <v>#REF!</v>
      </c>
      <c r="EE300" t="e">
        <f>AND(#REF!,"AAAAAG7t/4Y=")</f>
        <v>#REF!</v>
      </c>
      <c r="EF300" t="e">
        <f>AND(#REF!,"AAAAAG7t/4c=")</f>
        <v>#REF!</v>
      </c>
      <c r="EG300" t="e">
        <f>AND(#REF!,"AAAAAG7t/4g=")</f>
        <v>#REF!</v>
      </c>
      <c r="EH300" t="e">
        <f>AND(#REF!,"AAAAAG7t/4k=")</f>
        <v>#REF!</v>
      </c>
      <c r="EI300" t="e">
        <f>AND(#REF!,"AAAAAG7t/4o=")</f>
        <v>#REF!</v>
      </c>
      <c r="EJ300" t="e">
        <f>AND(#REF!,"AAAAAG7t/4s=")</f>
        <v>#REF!</v>
      </c>
      <c r="EK300" t="e">
        <f>AND(#REF!,"AAAAAG7t/4w=")</f>
        <v>#REF!</v>
      </c>
      <c r="EL300" t="e">
        <f>AND(#REF!,"AAAAAG7t/40=")</f>
        <v>#REF!</v>
      </c>
      <c r="EM300" t="e">
        <f>AND(#REF!,"AAAAAG7t/44=")</f>
        <v>#REF!</v>
      </c>
      <c r="EN300" t="e">
        <f>AND(#REF!,"AAAAAG7t/48=")</f>
        <v>#REF!</v>
      </c>
      <c r="EO300" t="e">
        <f>AND(#REF!,"AAAAAG7t/5A=")</f>
        <v>#REF!</v>
      </c>
      <c r="EP300" t="e">
        <f>AND(#REF!,"AAAAAG7t/5E=")</f>
        <v>#REF!</v>
      </c>
      <c r="EQ300" t="e">
        <f>AND(#REF!,"AAAAAG7t/5I=")</f>
        <v>#REF!</v>
      </c>
      <c r="ER300" t="e">
        <f>AND(#REF!,"AAAAAG7t/5M=")</f>
        <v>#REF!</v>
      </c>
      <c r="ES300" t="e">
        <f>AND(#REF!,"AAAAAG7t/5Q=")</f>
        <v>#REF!</v>
      </c>
      <c r="ET300" t="e">
        <f>AND(#REF!,"AAAAAG7t/5U=")</f>
        <v>#REF!</v>
      </c>
      <c r="EU300" t="e">
        <f>AND(#REF!,"AAAAAG7t/5Y=")</f>
        <v>#REF!</v>
      </c>
      <c r="EV300" t="e">
        <f>AND(#REF!,"AAAAAG7t/5c=")</f>
        <v>#REF!</v>
      </c>
      <c r="EW300" t="e">
        <f>AND(#REF!,"AAAAAG7t/5g=")</f>
        <v>#REF!</v>
      </c>
      <c r="EX300" t="e">
        <f>AND(#REF!,"AAAAAG7t/5k=")</f>
        <v>#REF!</v>
      </c>
      <c r="EY300" t="e">
        <f>AND(#REF!,"AAAAAG7t/5o=")</f>
        <v>#REF!</v>
      </c>
      <c r="EZ300" t="e">
        <f>AND(#REF!,"AAAAAG7t/5s=")</f>
        <v>#REF!</v>
      </c>
      <c r="FA300" t="e">
        <f>AND(#REF!,"AAAAAG7t/5w=")</f>
        <v>#REF!</v>
      </c>
      <c r="FB300" t="e">
        <f>AND(#REF!,"AAAAAG7t/50=")</f>
        <v>#REF!</v>
      </c>
      <c r="FC300" t="e">
        <f>AND(#REF!,"AAAAAG7t/54=")</f>
        <v>#REF!</v>
      </c>
      <c r="FD300" t="e">
        <f>AND(#REF!,"AAAAAG7t/58=")</f>
        <v>#REF!</v>
      </c>
      <c r="FE300" t="e">
        <f>AND(#REF!,"AAAAAG7t/6A=")</f>
        <v>#REF!</v>
      </c>
      <c r="FF300" t="e">
        <f>AND(#REF!,"AAAAAG7t/6E=")</f>
        <v>#REF!</v>
      </c>
      <c r="FG300" t="e">
        <f>AND(#REF!,"AAAAAG7t/6I=")</f>
        <v>#REF!</v>
      </c>
      <c r="FH300" t="e">
        <f>AND(#REF!,"AAAAAG7t/6M=")</f>
        <v>#REF!</v>
      </c>
      <c r="FI300" t="e">
        <f>AND(#REF!,"AAAAAG7t/6Q=")</f>
        <v>#REF!</v>
      </c>
      <c r="FJ300" t="e">
        <f>AND(#REF!,"AAAAAG7t/6U=")</f>
        <v>#REF!</v>
      </c>
      <c r="FK300" t="e">
        <f>AND(#REF!,"AAAAAG7t/6Y=")</f>
        <v>#REF!</v>
      </c>
      <c r="FL300" t="e">
        <f>AND(#REF!,"AAAAAG7t/6c=")</f>
        <v>#REF!</v>
      </c>
      <c r="FM300" t="e">
        <f>AND(#REF!,"AAAAAG7t/6g=")</f>
        <v>#REF!</v>
      </c>
      <c r="FN300" t="e">
        <f>AND(#REF!,"AAAAAG7t/6k=")</f>
        <v>#REF!</v>
      </c>
      <c r="FO300" t="e">
        <f>AND(#REF!,"AAAAAG7t/6o=")</f>
        <v>#REF!</v>
      </c>
      <c r="FP300" t="e">
        <f>AND(#REF!,"AAAAAG7t/6s=")</f>
        <v>#REF!</v>
      </c>
      <c r="FQ300" t="e">
        <f>AND(#REF!,"AAAAAG7t/6w=")</f>
        <v>#REF!</v>
      </c>
      <c r="FR300" t="e">
        <f>AND(#REF!,"AAAAAG7t/60=")</f>
        <v>#REF!</v>
      </c>
      <c r="FS300" t="e">
        <f>AND(#REF!,"AAAAAG7t/64=")</f>
        <v>#REF!</v>
      </c>
      <c r="FT300" t="e">
        <f>AND(#REF!,"AAAAAG7t/68=")</f>
        <v>#REF!</v>
      </c>
      <c r="FU300" t="e">
        <f>AND(#REF!,"AAAAAG7t/7A=")</f>
        <v>#REF!</v>
      </c>
      <c r="FV300" t="e">
        <f>AND(#REF!,"AAAAAG7t/7E=")</f>
        <v>#REF!</v>
      </c>
      <c r="FW300" t="e">
        <f>AND(#REF!,"AAAAAG7t/7I=")</f>
        <v>#REF!</v>
      </c>
      <c r="FX300" t="e">
        <f>AND(#REF!,"AAAAAG7t/7M=")</f>
        <v>#REF!</v>
      </c>
      <c r="FY300" t="e">
        <f>AND(#REF!,"AAAAAG7t/7Q=")</f>
        <v>#REF!</v>
      </c>
      <c r="FZ300" t="e">
        <f>AND(#REF!,"AAAAAG7t/7U=")</f>
        <v>#REF!</v>
      </c>
      <c r="GA300" t="e">
        <f>AND(#REF!,"AAAAAG7t/7Y=")</f>
        <v>#REF!</v>
      </c>
      <c r="GB300" t="e">
        <f>IF(#REF!,"AAAAAG7t/7c=",0)</f>
        <v>#REF!</v>
      </c>
      <c r="GC300" t="e">
        <f>AND(#REF!,"AAAAAG7t/7g=")</f>
        <v>#REF!</v>
      </c>
      <c r="GD300" t="e">
        <f>AND(#REF!,"AAAAAG7t/7k=")</f>
        <v>#REF!</v>
      </c>
      <c r="GE300" t="e">
        <f>AND(#REF!,"AAAAAG7t/7o=")</f>
        <v>#REF!</v>
      </c>
      <c r="GF300" t="e">
        <f>AND(#REF!,"AAAAAG7t/7s=")</f>
        <v>#REF!</v>
      </c>
      <c r="GG300" t="e">
        <f>AND(#REF!,"AAAAAG7t/7w=")</f>
        <v>#REF!</v>
      </c>
      <c r="GH300" t="e">
        <f>AND(#REF!,"AAAAAG7t/70=")</f>
        <v>#REF!</v>
      </c>
      <c r="GI300" t="e">
        <f>AND(#REF!,"AAAAAG7t/74=")</f>
        <v>#REF!</v>
      </c>
      <c r="GJ300" t="e">
        <f>AND(#REF!,"AAAAAG7t/78=")</f>
        <v>#REF!</v>
      </c>
      <c r="GK300" t="e">
        <f>AND(#REF!,"AAAAAG7t/8A=")</f>
        <v>#REF!</v>
      </c>
      <c r="GL300" t="e">
        <f>AND(#REF!,"AAAAAG7t/8E=")</f>
        <v>#REF!</v>
      </c>
      <c r="GM300" t="e">
        <f>AND(#REF!,"AAAAAG7t/8I=")</f>
        <v>#REF!</v>
      </c>
      <c r="GN300" t="e">
        <f>AND(#REF!,"AAAAAG7t/8M=")</f>
        <v>#REF!</v>
      </c>
      <c r="GO300" t="e">
        <f>AND(#REF!,"AAAAAG7t/8Q=")</f>
        <v>#REF!</v>
      </c>
      <c r="GP300" t="e">
        <f>AND(#REF!,"AAAAAG7t/8U=")</f>
        <v>#REF!</v>
      </c>
      <c r="GQ300" t="e">
        <f>AND(#REF!,"AAAAAG7t/8Y=")</f>
        <v>#REF!</v>
      </c>
      <c r="GR300" t="e">
        <f>AND(#REF!,"AAAAAG7t/8c=")</f>
        <v>#REF!</v>
      </c>
      <c r="GS300" t="e">
        <f>AND(#REF!,"AAAAAG7t/8g=")</f>
        <v>#REF!</v>
      </c>
      <c r="GT300" t="e">
        <f>AND(#REF!,"AAAAAG7t/8k=")</f>
        <v>#REF!</v>
      </c>
      <c r="GU300" t="e">
        <f>AND(#REF!,"AAAAAG7t/8o=")</f>
        <v>#REF!</v>
      </c>
      <c r="GV300" t="e">
        <f>AND(#REF!,"AAAAAG7t/8s=")</f>
        <v>#REF!</v>
      </c>
      <c r="GW300" t="e">
        <f>AND(#REF!,"AAAAAG7t/8w=")</f>
        <v>#REF!</v>
      </c>
      <c r="GX300" t="e">
        <f>AND(#REF!,"AAAAAG7t/80=")</f>
        <v>#REF!</v>
      </c>
      <c r="GY300" t="e">
        <f>AND(#REF!,"AAAAAG7t/84=")</f>
        <v>#REF!</v>
      </c>
      <c r="GZ300" t="e">
        <f>AND(#REF!,"AAAAAG7t/88=")</f>
        <v>#REF!</v>
      </c>
      <c r="HA300" t="e">
        <f>AND(#REF!,"AAAAAG7t/9A=")</f>
        <v>#REF!</v>
      </c>
      <c r="HB300" t="e">
        <f>AND(#REF!,"AAAAAG7t/9E=")</f>
        <v>#REF!</v>
      </c>
      <c r="HC300" t="e">
        <f>AND(#REF!,"AAAAAG7t/9I=")</f>
        <v>#REF!</v>
      </c>
      <c r="HD300" t="e">
        <f>AND(#REF!,"AAAAAG7t/9M=")</f>
        <v>#REF!</v>
      </c>
      <c r="HE300" t="e">
        <f>AND(#REF!,"AAAAAG7t/9Q=")</f>
        <v>#REF!</v>
      </c>
      <c r="HF300" t="e">
        <f>AND(#REF!,"AAAAAG7t/9U=")</f>
        <v>#REF!</v>
      </c>
      <c r="HG300" t="e">
        <f>AND(#REF!,"AAAAAG7t/9Y=")</f>
        <v>#REF!</v>
      </c>
      <c r="HH300" t="e">
        <f>AND(#REF!,"AAAAAG7t/9c=")</f>
        <v>#REF!</v>
      </c>
      <c r="HI300" t="e">
        <f>AND(#REF!,"AAAAAG7t/9g=")</f>
        <v>#REF!</v>
      </c>
      <c r="HJ300" t="e">
        <f>AND(#REF!,"AAAAAG7t/9k=")</f>
        <v>#REF!</v>
      </c>
      <c r="HK300" t="e">
        <f>AND(#REF!,"AAAAAG7t/9o=")</f>
        <v>#REF!</v>
      </c>
      <c r="HL300" t="e">
        <f>AND(#REF!,"AAAAAG7t/9s=")</f>
        <v>#REF!</v>
      </c>
      <c r="HM300" t="e">
        <f>AND(#REF!,"AAAAAG7t/9w=")</f>
        <v>#REF!</v>
      </c>
      <c r="HN300" t="e">
        <f>AND(#REF!,"AAAAAG7t/90=")</f>
        <v>#REF!</v>
      </c>
      <c r="HO300" t="e">
        <f>AND(#REF!,"AAAAAG7t/94=")</f>
        <v>#REF!</v>
      </c>
      <c r="HP300" t="e">
        <f>AND(#REF!,"AAAAAG7t/98=")</f>
        <v>#REF!</v>
      </c>
      <c r="HQ300" t="e">
        <f>AND(#REF!,"AAAAAG7t/+A=")</f>
        <v>#REF!</v>
      </c>
      <c r="HR300" t="e">
        <f>AND(#REF!,"AAAAAG7t/+E=")</f>
        <v>#REF!</v>
      </c>
      <c r="HS300" t="e">
        <f>AND(#REF!,"AAAAAG7t/+I=")</f>
        <v>#REF!</v>
      </c>
      <c r="HT300" t="e">
        <f>AND(#REF!,"AAAAAG7t/+M=")</f>
        <v>#REF!</v>
      </c>
      <c r="HU300" t="e">
        <f>AND(#REF!,"AAAAAG7t/+Q=")</f>
        <v>#REF!</v>
      </c>
      <c r="HV300" t="e">
        <f>AND(#REF!,"AAAAAG7t/+U=")</f>
        <v>#REF!</v>
      </c>
      <c r="HW300" t="e">
        <f>AND(#REF!,"AAAAAG7t/+Y=")</f>
        <v>#REF!</v>
      </c>
      <c r="HX300" t="e">
        <f>AND(#REF!,"AAAAAG7t/+c=")</f>
        <v>#REF!</v>
      </c>
      <c r="HY300" t="e">
        <f>AND(#REF!,"AAAAAG7t/+g=")</f>
        <v>#REF!</v>
      </c>
      <c r="HZ300" t="e">
        <f>AND(#REF!,"AAAAAG7t/+k=")</f>
        <v>#REF!</v>
      </c>
      <c r="IA300" t="e">
        <f>AND(#REF!,"AAAAAG7t/+o=")</f>
        <v>#REF!</v>
      </c>
      <c r="IB300" t="e">
        <f>IF(#REF!,"AAAAAG7t/+s=",0)</f>
        <v>#REF!</v>
      </c>
      <c r="IC300" t="e">
        <f>AND(#REF!,"AAAAAG7t/+w=")</f>
        <v>#REF!</v>
      </c>
      <c r="ID300" t="e">
        <f>AND(#REF!,"AAAAAG7t/+0=")</f>
        <v>#REF!</v>
      </c>
      <c r="IE300" t="e">
        <f>AND(#REF!,"AAAAAG7t/+4=")</f>
        <v>#REF!</v>
      </c>
      <c r="IF300" t="e">
        <f>AND(#REF!,"AAAAAG7t/+8=")</f>
        <v>#REF!</v>
      </c>
      <c r="IG300" t="e">
        <f>AND(#REF!,"AAAAAG7t//A=")</f>
        <v>#REF!</v>
      </c>
      <c r="IH300" t="e">
        <f>AND(#REF!,"AAAAAG7t//E=")</f>
        <v>#REF!</v>
      </c>
      <c r="II300" t="e">
        <f>AND(#REF!,"AAAAAG7t//I=")</f>
        <v>#REF!</v>
      </c>
      <c r="IJ300" t="e">
        <f>AND(#REF!,"AAAAAG7t//M=")</f>
        <v>#REF!</v>
      </c>
      <c r="IK300" t="e">
        <f>AND(#REF!,"AAAAAG7t//Q=")</f>
        <v>#REF!</v>
      </c>
      <c r="IL300" t="e">
        <f>AND(#REF!,"AAAAAG7t//U=")</f>
        <v>#REF!</v>
      </c>
      <c r="IM300" t="e">
        <f>AND(#REF!,"AAAAAG7t//Y=")</f>
        <v>#REF!</v>
      </c>
      <c r="IN300" t="e">
        <f>AND(#REF!,"AAAAAG7t//c=")</f>
        <v>#REF!</v>
      </c>
      <c r="IO300" t="e">
        <f>AND(#REF!,"AAAAAG7t//g=")</f>
        <v>#REF!</v>
      </c>
      <c r="IP300" t="e">
        <f>AND(#REF!,"AAAAAG7t//k=")</f>
        <v>#REF!</v>
      </c>
      <c r="IQ300" t="e">
        <f>AND(#REF!,"AAAAAG7t//o=")</f>
        <v>#REF!</v>
      </c>
      <c r="IR300" t="e">
        <f>AND(#REF!,"AAAAAG7t//s=")</f>
        <v>#REF!</v>
      </c>
      <c r="IS300" t="e">
        <f>AND(#REF!,"AAAAAG7t//w=")</f>
        <v>#REF!</v>
      </c>
      <c r="IT300" t="e">
        <f>AND(#REF!,"AAAAAG7t//0=")</f>
        <v>#REF!</v>
      </c>
      <c r="IU300" t="e">
        <f>AND(#REF!,"AAAAAG7t//4=")</f>
        <v>#REF!</v>
      </c>
      <c r="IV300" t="e">
        <f>AND(#REF!,"AAAAAG7t//8=")</f>
        <v>#REF!</v>
      </c>
    </row>
    <row r="301" spans="1:256">
      <c r="A301" t="e">
        <f>AND(#REF!,"AAAAAHtbfwA=")</f>
        <v>#REF!</v>
      </c>
      <c r="B301" t="e">
        <f>AND(#REF!,"AAAAAHtbfwE=")</f>
        <v>#REF!</v>
      </c>
      <c r="C301" t="e">
        <f>AND(#REF!,"AAAAAHtbfwI=")</f>
        <v>#REF!</v>
      </c>
      <c r="D301" t="e">
        <f>AND(#REF!,"AAAAAHtbfwM=")</f>
        <v>#REF!</v>
      </c>
      <c r="E301" t="e">
        <f>AND(#REF!,"AAAAAHtbfwQ=")</f>
        <v>#REF!</v>
      </c>
      <c r="F301" t="e">
        <f>AND(#REF!,"AAAAAHtbfwU=")</f>
        <v>#REF!</v>
      </c>
      <c r="G301" t="e">
        <f>AND(#REF!,"AAAAAHtbfwY=")</f>
        <v>#REF!</v>
      </c>
      <c r="H301" t="e">
        <f>AND(#REF!,"AAAAAHtbfwc=")</f>
        <v>#REF!</v>
      </c>
      <c r="I301" t="e">
        <f>AND(#REF!,"AAAAAHtbfwg=")</f>
        <v>#REF!</v>
      </c>
      <c r="J301" t="e">
        <f>AND(#REF!,"AAAAAHtbfwk=")</f>
        <v>#REF!</v>
      </c>
      <c r="K301" t="e">
        <f>AND(#REF!,"AAAAAHtbfwo=")</f>
        <v>#REF!</v>
      </c>
      <c r="L301" t="e">
        <f>AND(#REF!,"AAAAAHtbfws=")</f>
        <v>#REF!</v>
      </c>
      <c r="M301" t="e">
        <f>AND(#REF!,"AAAAAHtbfww=")</f>
        <v>#REF!</v>
      </c>
      <c r="N301" t="e">
        <f>AND(#REF!,"AAAAAHtbfw0=")</f>
        <v>#REF!</v>
      </c>
      <c r="O301" t="e">
        <f>AND(#REF!,"AAAAAHtbfw4=")</f>
        <v>#REF!</v>
      </c>
      <c r="P301" t="e">
        <f>AND(#REF!,"AAAAAHtbfw8=")</f>
        <v>#REF!</v>
      </c>
      <c r="Q301" t="e">
        <f>AND(#REF!,"AAAAAHtbfxA=")</f>
        <v>#REF!</v>
      </c>
      <c r="R301" t="e">
        <f>AND(#REF!,"AAAAAHtbfxE=")</f>
        <v>#REF!</v>
      </c>
      <c r="S301" t="e">
        <f>AND(#REF!,"AAAAAHtbfxI=")</f>
        <v>#REF!</v>
      </c>
      <c r="T301" t="e">
        <f>AND(#REF!,"AAAAAHtbfxM=")</f>
        <v>#REF!</v>
      </c>
      <c r="U301" t="e">
        <f>AND(#REF!,"AAAAAHtbfxQ=")</f>
        <v>#REF!</v>
      </c>
      <c r="V301" t="e">
        <f>AND(#REF!,"AAAAAHtbfxU=")</f>
        <v>#REF!</v>
      </c>
      <c r="W301" t="e">
        <f>AND(#REF!,"AAAAAHtbfxY=")</f>
        <v>#REF!</v>
      </c>
      <c r="X301" t="e">
        <f>AND(#REF!,"AAAAAHtbfxc=")</f>
        <v>#REF!</v>
      </c>
      <c r="Y301" t="e">
        <f>AND(#REF!,"AAAAAHtbfxg=")</f>
        <v>#REF!</v>
      </c>
      <c r="Z301" t="e">
        <f>AND(#REF!,"AAAAAHtbfxk=")</f>
        <v>#REF!</v>
      </c>
      <c r="AA301" t="e">
        <f>AND(#REF!,"AAAAAHtbfxo=")</f>
        <v>#REF!</v>
      </c>
      <c r="AB301" t="e">
        <f>AND(#REF!,"AAAAAHtbfxs=")</f>
        <v>#REF!</v>
      </c>
      <c r="AC301" t="e">
        <f>AND(#REF!,"AAAAAHtbfxw=")</f>
        <v>#REF!</v>
      </c>
      <c r="AD301" t="e">
        <f>AND(#REF!,"AAAAAHtbfx0=")</f>
        <v>#REF!</v>
      </c>
      <c r="AE301" t="e">
        <f>AND(#REF!,"AAAAAHtbfx4=")</f>
        <v>#REF!</v>
      </c>
      <c r="AF301" t="e">
        <f>IF(#REF!,"AAAAAHtbfx8=",0)</f>
        <v>#REF!</v>
      </c>
      <c r="AG301" t="e">
        <f>AND(#REF!,"AAAAAHtbfyA=")</f>
        <v>#REF!</v>
      </c>
      <c r="AH301" t="e">
        <f>AND(#REF!,"AAAAAHtbfyE=")</f>
        <v>#REF!</v>
      </c>
      <c r="AI301" t="e">
        <f>AND(#REF!,"AAAAAHtbfyI=")</f>
        <v>#REF!</v>
      </c>
      <c r="AJ301" t="e">
        <f>AND(#REF!,"AAAAAHtbfyM=")</f>
        <v>#REF!</v>
      </c>
      <c r="AK301" t="e">
        <f>AND(#REF!,"AAAAAHtbfyQ=")</f>
        <v>#REF!</v>
      </c>
      <c r="AL301" t="e">
        <f>AND(#REF!,"AAAAAHtbfyU=")</f>
        <v>#REF!</v>
      </c>
      <c r="AM301" t="e">
        <f>AND(#REF!,"AAAAAHtbfyY=")</f>
        <v>#REF!</v>
      </c>
      <c r="AN301" t="e">
        <f>AND(#REF!,"AAAAAHtbfyc=")</f>
        <v>#REF!</v>
      </c>
      <c r="AO301" t="e">
        <f>AND(#REF!,"AAAAAHtbfyg=")</f>
        <v>#REF!</v>
      </c>
      <c r="AP301" t="e">
        <f>AND(#REF!,"AAAAAHtbfyk=")</f>
        <v>#REF!</v>
      </c>
      <c r="AQ301" t="e">
        <f>AND(#REF!,"AAAAAHtbfyo=")</f>
        <v>#REF!</v>
      </c>
      <c r="AR301" t="e">
        <f>AND(#REF!,"AAAAAHtbfys=")</f>
        <v>#REF!</v>
      </c>
      <c r="AS301" t="e">
        <f>AND(#REF!,"AAAAAHtbfyw=")</f>
        <v>#REF!</v>
      </c>
      <c r="AT301" t="e">
        <f>AND(#REF!,"AAAAAHtbfy0=")</f>
        <v>#REF!</v>
      </c>
      <c r="AU301" t="e">
        <f>AND(#REF!,"AAAAAHtbfy4=")</f>
        <v>#REF!</v>
      </c>
      <c r="AV301" t="e">
        <f>AND(#REF!,"AAAAAHtbfy8=")</f>
        <v>#REF!</v>
      </c>
      <c r="AW301" t="e">
        <f>AND(#REF!,"AAAAAHtbfzA=")</f>
        <v>#REF!</v>
      </c>
      <c r="AX301" t="e">
        <f>AND(#REF!,"AAAAAHtbfzE=")</f>
        <v>#REF!</v>
      </c>
      <c r="AY301" t="e">
        <f>AND(#REF!,"AAAAAHtbfzI=")</f>
        <v>#REF!</v>
      </c>
      <c r="AZ301" t="e">
        <f>AND(#REF!,"AAAAAHtbfzM=")</f>
        <v>#REF!</v>
      </c>
      <c r="BA301" t="e">
        <f>AND(#REF!,"AAAAAHtbfzQ=")</f>
        <v>#REF!</v>
      </c>
      <c r="BB301" t="e">
        <f>AND(#REF!,"AAAAAHtbfzU=")</f>
        <v>#REF!</v>
      </c>
      <c r="BC301" t="e">
        <f>AND(#REF!,"AAAAAHtbfzY=")</f>
        <v>#REF!</v>
      </c>
      <c r="BD301" t="e">
        <f>AND(#REF!,"AAAAAHtbfzc=")</f>
        <v>#REF!</v>
      </c>
      <c r="BE301" t="e">
        <f>AND(#REF!,"AAAAAHtbfzg=")</f>
        <v>#REF!</v>
      </c>
      <c r="BF301" t="e">
        <f>AND(#REF!,"AAAAAHtbfzk=")</f>
        <v>#REF!</v>
      </c>
      <c r="BG301" t="e">
        <f>AND(#REF!,"AAAAAHtbfzo=")</f>
        <v>#REF!</v>
      </c>
      <c r="BH301" t="e">
        <f>AND(#REF!,"AAAAAHtbfzs=")</f>
        <v>#REF!</v>
      </c>
      <c r="BI301" t="e">
        <f>AND(#REF!,"AAAAAHtbfzw=")</f>
        <v>#REF!</v>
      </c>
      <c r="BJ301" t="e">
        <f>AND(#REF!,"AAAAAHtbfz0=")</f>
        <v>#REF!</v>
      </c>
      <c r="BK301" t="e">
        <f>AND(#REF!,"AAAAAHtbfz4=")</f>
        <v>#REF!</v>
      </c>
      <c r="BL301" t="e">
        <f>AND(#REF!,"AAAAAHtbfz8=")</f>
        <v>#REF!</v>
      </c>
      <c r="BM301" t="e">
        <f>AND(#REF!,"AAAAAHtbf0A=")</f>
        <v>#REF!</v>
      </c>
      <c r="BN301" t="e">
        <f>AND(#REF!,"AAAAAHtbf0E=")</f>
        <v>#REF!</v>
      </c>
      <c r="BO301" t="e">
        <f>AND(#REF!,"AAAAAHtbf0I=")</f>
        <v>#REF!</v>
      </c>
      <c r="BP301" t="e">
        <f>AND(#REF!,"AAAAAHtbf0M=")</f>
        <v>#REF!</v>
      </c>
      <c r="BQ301" t="e">
        <f>AND(#REF!,"AAAAAHtbf0Q=")</f>
        <v>#REF!</v>
      </c>
      <c r="BR301" t="e">
        <f>AND(#REF!,"AAAAAHtbf0U=")</f>
        <v>#REF!</v>
      </c>
      <c r="BS301" t="e">
        <f>AND(#REF!,"AAAAAHtbf0Y=")</f>
        <v>#REF!</v>
      </c>
      <c r="BT301" t="e">
        <f>AND(#REF!,"AAAAAHtbf0c=")</f>
        <v>#REF!</v>
      </c>
      <c r="BU301" t="e">
        <f>AND(#REF!,"AAAAAHtbf0g=")</f>
        <v>#REF!</v>
      </c>
      <c r="BV301" t="e">
        <f>AND(#REF!,"AAAAAHtbf0k=")</f>
        <v>#REF!</v>
      </c>
      <c r="BW301" t="e">
        <f>AND(#REF!,"AAAAAHtbf0o=")</f>
        <v>#REF!</v>
      </c>
      <c r="BX301" t="e">
        <f>AND(#REF!,"AAAAAHtbf0s=")</f>
        <v>#REF!</v>
      </c>
      <c r="BY301" t="e">
        <f>AND(#REF!,"AAAAAHtbf0w=")</f>
        <v>#REF!</v>
      </c>
      <c r="BZ301" t="e">
        <f>AND(#REF!,"AAAAAHtbf00=")</f>
        <v>#REF!</v>
      </c>
      <c r="CA301" t="e">
        <f>AND(#REF!,"AAAAAHtbf04=")</f>
        <v>#REF!</v>
      </c>
      <c r="CB301" t="e">
        <f>AND(#REF!,"AAAAAHtbf08=")</f>
        <v>#REF!</v>
      </c>
      <c r="CC301" t="e">
        <f>AND(#REF!,"AAAAAHtbf1A=")</f>
        <v>#REF!</v>
      </c>
      <c r="CD301" t="e">
        <f>AND(#REF!,"AAAAAHtbf1E=")</f>
        <v>#REF!</v>
      </c>
      <c r="CE301" t="e">
        <f>AND(#REF!,"AAAAAHtbf1I=")</f>
        <v>#REF!</v>
      </c>
      <c r="CF301" t="e">
        <f>IF(#REF!,"AAAAAHtbf1M=",0)</f>
        <v>#REF!</v>
      </c>
      <c r="CG301" t="e">
        <f>AND(#REF!,"AAAAAHtbf1Q=")</f>
        <v>#REF!</v>
      </c>
      <c r="CH301" t="e">
        <f>AND(#REF!,"AAAAAHtbf1U=")</f>
        <v>#REF!</v>
      </c>
      <c r="CI301" t="e">
        <f>AND(#REF!,"AAAAAHtbf1Y=")</f>
        <v>#REF!</v>
      </c>
      <c r="CJ301" t="e">
        <f>AND(#REF!,"AAAAAHtbf1c=")</f>
        <v>#REF!</v>
      </c>
      <c r="CK301" t="e">
        <f>AND(#REF!,"AAAAAHtbf1g=")</f>
        <v>#REF!</v>
      </c>
      <c r="CL301" t="e">
        <f>AND(#REF!,"AAAAAHtbf1k=")</f>
        <v>#REF!</v>
      </c>
      <c r="CM301" t="e">
        <f>AND(#REF!,"AAAAAHtbf1o=")</f>
        <v>#REF!</v>
      </c>
      <c r="CN301" t="e">
        <f>AND(#REF!,"AAAAAHtbf1s=")</f>
        <v>#REF!</v>
      </c>
      <c r="CO301" t="e">
        <f>AND(#REF!,"AAAAAHtbf1w=")</f>
        <v>#REF!</v>
      </c>
      <c r="CP301" t="e">
        <f>AND(#REF!,"AAAAAHtbf10=")</f>
        <v>#REF!</v>
      </c>
      <c r="CQ301" t="e">
        <f>AND(#REF!,"AAAAAHtbf14=")</f>
        <v>#REF!</v>
      </c>
      <c r="CR301" t="e">
        <f>AND(#REF!,"AAAAAHtbf18=")</f>
        <v>#REF!</v>
      </c>
      <c r="CS301" t="e">
        <f>AND(#REF!,"AAAAAHtbf2A=")</f>
        <v>#REF!</v>
      </c>
      <c r="CT301" t="e">
        <f>AND(#REF!,"AAAAAHtbf2E=")</f>
        <v>#REF!</v>
      </c>
      <c r="CU301" t="e">
        <f>AND(#REF!,"AAAAAHtbf2I=")</f>
        <v>#REF!</v>
      </c>
      <c r="CV301" t="e">
        <f>AND(#REF!,"AAAAAHtbf2M=")</f>
        <v>#REF!</v>
      </c>
      <c r="CW301" t="e">
        <f>AND(#REF!,"AAAAAHtbf2Q=")</f>
        <v>#REF!</v>
      </c>
      <c r="CX301" t="e">
        <f>AND(#REF!,"AAAAAHtbf2U=")</f>
        <v>#REF!</v>
      </c>
      <c r="CY301" t="e">
        <f>AND(#REF!,"AAAAAHtbf2Y=")</f>
        <v>#REF!</v>
      </c>
      <c r="CZ301" t="e">
        <f>AND(#REF!,"AAAAAHtbf2c=")</f>
        <v>#REF!</v>
      </c>
      <c r="DA301" t="e">
        <f>AND(#REF!,"AAAAAHtbf2g=")</f>
        <v>#REF!</v>
      </c>
      <c r="DB301" t="e">
        <f>AND(#REF!,"AAAAAHtbf2k=")</f>
        <v>#REF!</v>
      </c>
      <c r="DC301" t="e">
        <f>AND(#REF!,"AAAAAHtbf2o=")</f>
        <v>#REF!</v>
      </c>
      <c r="DD301" t="e">
        <f>AND(#REF!,"AAAAAHtbf2s=")</f>
        <v>#REF!</v>
      </c>
      <c r="DE301" t="e">
        <f>AND(#REF!,"AAAAAHtbf2w=")</f>
        <v>#REF!</v>
      </c>
      <c r="DF301" t="e">
        <f>AND(#REF!,"AAAAAHtbf20=")</f>
        <v>#REF!</v>
      </c>
      <c r="DG301" t="e">
        <f>AND(#REF!,"AAAAAHtbf24=")</f>
        <v>#REF!</v>
      </c>
      <c r="DH301" t="e">
        <f>AND(#REF!,"AAAAAHtbf28=")</f>
        <v>#REF!</v>
      </c>
      <c r="DI301" t="e">
        <f>AND(#REF!,"AAAAAHtbf3A=")</f>
        <v>#REF!</v>
      </c>
      <c r="DJ301" t="e">
        <f>AND(#REF!,"AAAAAHtbf3E=")</f>
        <v>#REF!</v>
      </c>
      <c r="DK301" t="e">
        <f>AND(#REF!,"AAAAAHtbf3I=")</f>
        <v>#REF!</v>
      </c>
      <c r="DL301" t="e">
        <f>AND(#REF!,"AAAAAHtbf3M=")</f>
        <v>#REF!</v>
      </c>
      <c r="DM301" t="e">
        <f>AND(#REF!,"AAAAAHtbf3Q=")</f>
        <v>#REF!</v>
      </c>
      <c r="DN301" t="e">
        <f>AND(#REF!,"AAAAAHtbf3U=")</f>
        <v>#REF!</v>
      </c>
      <c r="DO301" t="e">
        <f>AND(#REF!,"AAAAAHtbf3Y=")</f>
        <v>#REF!</v>
      </c>
      <c r="DP301" t="e">
        <f>AND(#REF!,"AAAAAHtbf3c=")</f>
        <v>#REF!</v>
      </c>
      <c r="DQ301" t="e">
        <f>AND(#REF!,"AAAAAHtbf3g=")</f>
        <v>#REF!</v>
      </c>
      <c r="DR301" t="e">
        <f>AND(#REF!,"AAAAAHtbf3k=")</f>
        <v>#REF!</v>
      </c>
      <c r="DS301" t="e">
        <f>AND(#REF!,"AAAAAHtbf3o=")</f>
        <v>#REF!</v>
      </c>
      <c r="DT301" t="e">
        <f>AND(#REF!,"AAAAAHtbf3s=")</f>
        <v>#REF!</v>
      </c>
      <c r="DU301" t="e">
        <f>AND(#REF!,"AAAAAHtbf3w=")</f>
        <v>#REF!</v>
      </c>
      <c r="DV301" t="e">
        <f>AND(#REF!,"AAAAAHtbf30=")</f>
        <v>#REF!</v>
      </c>
      <c r="DW301" t="e">
        <f>AND(#REF!,"AAAAAHtbf34=")</f>
        <v>#REF!</v>
      </c>
      <c r="DX301" t="e">
        <f>AND(#REF!,"AAAAAHtbf38=")</f>
        <v>#REF!</v>
      </c>
      <c r="DY301" t="e">
        <f>AND(#REF!,"AAAAAHtbf4A=")</f>
        <v>#REF!</v>
      </c>
      <c r="DZ301" t="e">
        <f>AND(#REF!,"AAAAAHtbf4E=")</f>
        <v>#REF!</v>
      </c>
      <c r="EA301" t="e">
        <f>AND(#REF!,"AAAAAHtbf4I=")</f>
        <v>#REF!</v>
      </c>
      <c r="EB301" t="e">
        <f>AND(#REF!,"AAAAAHtbf4M=")</f>
        <v>#REF!</v>
      </c>
      <c r="EC301" t="e">
        <f>AND(#REF!,"AAAAAHtbf4Q=")</f>
        <v>#REF!</v>
      </c>
      <c r="ED301" t="e">
        <f>AND(#REF!,"AAAAAHtbf4U=")</f>
        <v>#REF!</v>
      </c>
      <c r="EE301" t="e">
        <f>AND(#REF!,"AAAAAHtbf4Y=")</f>
        <v>#REF!</v>
      </c>
      <c r="EF301" t="e">
        <f>IF(#REF!,"AAAAAHtbf4c=",0)</f>
        <v>#REF!</v>
      </c>
      <c r="EG301" t="e">
        <f>AND(#REF!,"AAAAAHtbf4g=")</f>
        <v>#REF!</v>
      </c>
      <c r="EH301" t="e">
        <f>AND(#REF!,"AAAAAHtbf4k=")</f>
        <v>#REF!</v>
      </c>
      <c r="EI301" t="e">
        <f>AND(#REF!,"AAAAAHtbf4o=")</f>
        <v>#REF!</v>
      </c>
      <c r="EJ301" t="e">
        <f>AND(#REF!,"AAAAAHtbf4s=")</f>
        <v>#REF!</v>
      </c>
      <c r="EK301" t="e">
        <f>AND(#REF!,"AAAAAHtbf4w=")</f>
        <v>#REF!</v>
      </c>
      <c r="EL301" t="e">
        <f>AND(#REF!,"AAAAAHtbf40=")</f>
        <v>#REF!</v>
      </c>
      <c r="EM301" t="e">
        <f>AND(#REF!,"AAAAAHtbf44=")</f>
        <v>#REF!</v>
      </c>
      <c r="EN301" t="e">
        <f>AND(#REF!,"AAAAAHtbf48=")</f>
        <v>#REF!</v>
      </c>
      <c r="EO301" t="e">
        <f>AND(#REF!,"AAAAAHtbf5A=")</f>
        <v>#REF!</v>
      </c>
      <c r="EP301" t="e">
        <f>AND(#REF!,"AAAAAHtbf5E=")</f>
        <v>#REF!</v>
      </c>
      <c r="EQ301" t="e">
        <f>AND(#REF!,"AAAAAHtbf5I=")</f>
        <v>#REF!</v>
      </c>
      <c r="ER301" t="e">
        <f>AND(#REF!,"AAAAAHtbf5M=")</f>
        <v>#REF!</v>
      </c>
      <c r="ES301" t="e">
        <f>AND(#REF!,"AAAAAHtbf5Q=")</f>
        <v>#REF!</v>
      </c>
      <c r="ET301" t="e">
        <f>AND(#REF!,"AAAAAHtbf5U=")</f>
        <v>#REF!</v>
      </c>
      <c r="EU301" t="e">
        <f>AND(#REF!,"AAAAAHtbf5Y=")</f>
        <v>#REF!</v>
      </c>
      <c r="EV301" t="e">
        <f>AND(#REF!,"AAAAAHtbf5c=")</f>
        <v>#REF!</v>
      </c>
      <c r="EW301" t="e">
        <f>AND(#REF!,"AAAAAHtbf5g=")</f>
        <v>#REF!</v>
      </c>
      <c r="EX301" t="e">
        <f>AND(#REF!,"AAAAAHtbf5k=")</f>
        <v>#REF!</v>
      </c>
      <c r="EY301" t="e">
        <f>AND(#REF!,"AAAAAHtbf5o=")</f>
        <v>#REF!</v>
      </c>
      <c r="EZ301" t="e">
        <f>AND(#REF!,"AAAAAHtbf5s=")</f>
        <v>#REF!</v>
      </c>
      <c r="FA301" t="e">
        <f>AND(#REF!,"AAAAAHtbf5w=")</f>
        <v>#REF!</v>
      </c>
      <c r="FB301" t="e">
        <f>AND(#REF!,"AAAAAHtbf50=")</f>
        <v>#REF!</v>
      </c>
      <c r="FC301" t="e">
        <f>AND(#REF!,"AAAAAHtbf54=")</f>
        <v>#REF!</v>
      </c>
      <c r="FD301" t="e">
        <f>AND(#REF!,"AAAAAHtbf58=")</f>
        <v>#REF!</v>
      </c>
      <c r="FE301" t="e">
        <f>AND(#REF!,"AAAAAHtbf6A=")</f>
        <v>#REF!</v>
      </c>
      <c r="FF301" t="e">
        <f>AND(#REF!,"AAAAAHtbf6E=")</f>
        <v>#REF!</v>
      </c>
      <c r="FG301" t="e">
        <f>AND(#REF!,"AAAAAHtbf6I=")</f>
        <v>#REF!</v>
      </c>
      <c r="FH301" t="e">
        <f>AND(#REF!,"AAAAAHtbf6M=")</f>
        <v>#REF!</v>
      </c>
      <c r="FI301" t="e">
        <f>AND(#REF!,"AAAAAHtbf6Q=")</f>
        <v>#REF!</v>
      </c>
      <c r="FJ301" t="e">
        <f>AND(#REF!,"AAAAAHtbf6U=")</f>
        <v>#REF!</v>
      </c>
      <c r="FK301" t="e">
        <f>AND(#REF!,"AAAAAHtbf6Y=")</f>
        <v>#REF!</v>
      </c>
      <c r="FL301" t="e">
        <f>AND(#REF!,"AAAAAHtbf6c=")</f>
        <v>#REF!</v>
      </c>
      <c r="FM301" t="e">
        <f>AND(#REF!,"AAAAAHtbf6g=")</f>
        <v>#REF!</v>
      </c>
      <c r="FN301" t="e">
        <f>AND(#REF!,"AAAAAHtbf6k=")</f>
        <v>#REF!</v>
      </c>
      <c r="FO301" t="e">
        <f>AND(#REF!,"AAAAAHtbf6o=")</f>
        <v>#REF!</v>
      </c>
      <c r="FP301" t="e">
        <f>AND(#REF!,"AAAAAHtbf6s=")</f>
        <v>#REF!</v>
      </c>
      <c r="FQ301" t="e">
        <f>AND(#REF!,"AAAAAHtbf6w=")</f>
        <v>#REF!</v>
      </c>
      <c r="FR301" t="e">
        <f>AND(#REF!,"AAAAAHtbf60=")</f>
        <v>#REF!</v>
      </c>
      <c r="FS301" t="e">
        <f>AND(#REF!,"AAAAAHtbf64=")</f>
        <v>#REF!</v>
      </c>
      <c r="FT301" t="e">
        <f>AND(#REF!,"AAAAAHtbf68=")</f>
        <v>#REF!</v>
      </c>
      <c r="FU301" t="e">
        <f>AND(#REF!,"AAAAAHtbf7A=")</f>
        <v>#REF!</v>
      </c>
      <c r="FV301" t="e">
        <f>AND(#REF!,"AAAAAHtbf7E=")</f>
        <v>#REF!</v>
      </c>
      <c r="FW301" t="e">
        <f>AND(#REF!,"AAAAAHtbf7I=")</f>
        <v>#REF!</v>
      </c>
      <c r="FX301" t="e">
        <f>AND(#REF!,"AAAAAHtbf7M=")</f>
        <v>#REF!</v>
      </c>
      <c r="FY301" t="e">
        <f>AND(#REF!,"AAAAAHtbf7Q=")</f>
        <v>#REF!</v>
      </c>
      <c r="FZ301" t="e">
        <f>AND(#REF!,"AAAAAHtbf7U=")</f>
        <v>#REF!</v>
      </c>
      <c r="GA301" t="e">
        <f>AND(#REF!,"AAAAAHtbf7Y=")</f>
        <v>#REF!</v>
      </c>
      <c r="GB301" t="e">
        <f>AND(#REF!,"AAAAAHtbf7c=")</f>
        <v>#REF!</v>
      </c>
      <c r="GC301" t="e">
        <f>AND(#REF!,"AAAAAHtbf7g=")</f>
        <v>#REF!</v>
      </c>
      <c r="GD301" t="e">
        <f>AND(#REF!,"AAAAAHtbf7k=")</f>
        <v>#REF!</v>
      </c>
      <c r="GE301" t="e">
        <f>AND(#REF!,"AAAAAHtbf7o=")</f>
        <v>#REF!</v>
      </c>
      <c r="GF301" t="e">
        <f>IF(#REF!,"AAAAAHtbf7s=",0)</f>
        <v>#REF!</v>
      </c>
      <c r="GG301" t="e">
        <f>AND(#REF!,"AAAAAHtbf7w=")</f>
        <v>#REF!</v>
      </c>
      <c r="GH301" t="e">
        <f>AND(#REF!,"AAAAAHtbf70=")</f>
        <v>#REF!</v>
      </c>
      <c r="GI301" t="e">
        <f>AND(#REF!,"AAAAAHtbf74=")</f>
        <v>#REF!</v>
      </c>
      <c r="GJ301" t="e">
        <f>AND(#REF!,"AAAAAHtbf78=")</f>
        <v>#REF!</v>
      </c>
      <c r="GK301" t="e">
        <f>AND(#REF!,"AAAAAHtbf8A=")</f>
        <v>#REF!</v>
      </c>
      <c r="GL301" t="e">
        <f>AND(#REF!,"AAAAAHtbf8E=")</f>
        <v>#REF!</v>
      </c>
      <c r="GM301" t="e">
        <f>AND(#REF!,"AAAAAHtbf8I=")</f>
        <v>#REF!</v>
      </c>
      <c r="GN301" t="e">
        <f>AND(#REF!,"AAAAAHtbf8M=")</f>
        <v>#REF!</v>
      </c>
      <c r="GO301" t="e">
        <f>AND(#REF!,"AAAAAHtbf8Q=")</f>
        <v>#REF!</v>
      </c>
      <c r="GP301" t="e">
        <f>AND(#REF!,"AAAAAHtbf8U=")</f>
        <v>#REF!</v>
      </c>
      <c r="GQ301" t="e">
        <f>AND(#REF!,"AAAAAHtbf8Y=")</f>
        <v>#REF!</v>
      </c>
      <c r="GR301" t="e">
        <f>AND(#REF!,"AAAAAHtbf8c=")</f>
        <v>#REF!</v>
      </c>
      <c r="GS301" t="e">
        <f>AND(#REF!,"AAAAAHtbf8g=")</f>
        <v>#REF!</v>
      </c>
      <c r="GT301" t="e">
        <f>AND(#REF!,"AAAAAHtbf8k=")</f>
        <v>#REF!</v>
      </c>
      <c r="GU301" t="e">
        <f>AND(#REF!,"AAAAAHtbf8o=")</f>
        <v>#REF!</v>
      </c>
      <c r="GV301" t="e">
        <f>AND(#REF!,"AAAAAHtbf8s=")</f>
        <v>#REF!</v>
      </c>
      <c r="GW301" t="e">
        <f>AND(#REF!,"AAAAAHtbf8w=")</f>
        <v>#REF!</v>
      </c>
      <c r="GX301" t="e">
        <f>AND(#REF!,"AAAAAHtbf80=")</f>
        <v>#REF!</v>
      </c>
      <c r="GY301" t="e">
        <f>AND(#REF!,"AAAAAHtbf84=")</f>
        <v>#REF!</v>
      </c>
      <c r="GZ301" t="e">
        <f>AND(#REF!,"AAAAAHtbf88=")</f>
        <v>#REF!</v>
      </c>
      <c r="HA301" t="e">
        <f>AND(#REF!,"AAAAAHtbf9A=")</f>
        <v>#REF!</v>
      </c>
      <c r="HB301" t="e">
        <f>AND(#REF!,"AAAAAHtbf9E=")</f>
        <v>#REF!</v>
      </c>
      <c r="HC301" t="e">
        <f>AND(#REF!,"AAAAAHtbf9I=")</f>
        <v>#REF!</v>
      </c>
      <c r="HD301" t="e">
        <f>AND(#REF!,"AAAAAHtbf9M=")</f>
        <v>#REF!</v>
      </c>
      <c r="HE301" t="e">
        <f>AND(#REF!,"AAAAAHtbf9Q=")</f>
        <v>#REF!</v>
      </c>
      <c r="HF301" t="e">
        <f>AND(#REF!,"AAAAAHtbf9U=")</f>
        <v>#REF!</v>
      </c>
      <c r="HG301" t="e">
        <f>AND(#REF!,"AAAAAHtbf9Y=")</f>
        <v>#REF!</v>
      </c>
      <c r="HH301" t="e">
        <f>AND(#REF!,"AAAAAHtbf9c=")</f>
        <v>#REF!</v>
      </c>
      <c r="HI301" t="e">
        <f>AND(#REF!,"AAAAAHtbf9g=")</f>
        <v>#REF!</v>
      </c>
      <c r="HJ301" t="e">
        <f>AND(#REF!,"AAAAAHtbf9k=")</f>
        <v>#REF!</v>
      </c>
      <c r="HK301" t="e">
        <f>AND(#REF!,"AAAAAHtbf9o=")</f>
        <v>#REF!</v>
      </c>
      <c r="HL301" t="e">
        <f>AND(#REF!,"AAAAAHtbf9s=")</f>
        <v>#REF!</v>
      </c>
      <c r="HM301" t="e">
        <f>AND(#REF!,"AAAAAHtbf9w=")</f>
        <v>#REF!</v>
      </c>
      <c r="HN301" t="e">
        <f>AND(#REF!,"AAAAAHtbf90=")</f>
        <v>#REF!</v>
      </c>
      <c r="HO301" t="e">
        <f>AND(#REF!,"AAAAAHtbf94=")</f>
        <v>#REF!</v>
      </c>
      <c r="HP301" t="e">
        <f>AND(#REF!,"AAAAAHtbf98=")</f>
        <v>#REF!</v>
      </c>
      <c r="HQ301" t="e">
        <f>AND(#REF!,"AAAAAHtbf+A=")</f>
        <v>#REF!</v>
      </c>
      <c r="HR301" t="e">
        <f>AND(#REF!,"AAAAAHtbf+E=")</f>
        <v>#REF!</v>
      </c>
      <c r="HS301" t="e">
        <f>AND(#REF!,"AAAAAHtbf+I=")</f>
        <v>#REF!</v>
      </c>
      <c r="HT301" t="e">
        <f>AND(#REF!,"AAAAAHtbf+M=")</f>
        <v>#REF!</v>
      </c>
      <c r="HU301" t="e">
        <f>AND(#REF!,"AAAAAHtbf+Q=")</f>
        <v>#REF!</v>
      </c>
      <c r="HV301" t="e">
        <f>AND(#REF!,"AAAAAHtbf+U=")</f>
        <v>#REF!</v>
      </c>
      <c r="HW301" t="e">
        <f>AND(#REF!,"AAAAAHtbf+Y=")</f>
        <v>#REF!</v>
      </c>
      <c r="HX301" t="e">
        <f>AND(#REF!,"AAAAAHtbf+c=")</f>
        <v>#REF!</v>
      </c>
      <c r="HY301" t="e">
        <f>AND(#REF!,"AAAAAHtbf+g=")</f>
        <v>#REF!</v>
      </c>
      <c r="HZ301" t="e">
        <f>AND(#REF!,"AAAAAHtbf+k=")</f>
        <v>#REF!</v>
      </c>
      <c r="IA301" t="e">
        <f>AND(#REF!,"AAAAAHtbf+o=")</f>
        <v>#REF!</v>
      </c>
      <c r="IB301" t="e">
        <f>AND(#REF!,"AAAAAHtbf+s=")</f>
        <v>#REF!</v>
      </c>
      <c r="IC301" t="e">
        <f>AND(#REF!,"AAAAAHtbf+w=")</f>
        <v>#REF!</v>
      </c>
      <c r="ID301" t="e">
        <f>AND(#REF!,"AAAAAHtbf+0=")</f>
        <v>#REF!</v>
      </c>
      <c r="IE301" t="e">
        <f>AND(#REF!,"AAAAAHtbf+4=")</f>
        <v>#REF!</v>
      </c>
      <c r="IF301" t="e">
        <f>IF(#REF!,"AAAAAHtbf+8=",0)</f>
        <v>#REF!</v>
      </c>
      <c r="IG301" t="e">
        <f>AND(#REF!,"AAAAAHtbf/A=")</f>
        <v>#REF!</v>
      </c>
      <c r="IH301" t="e">
        <f>AND(#REF!,"AAAAAHtbf/E=")</f>
        <v>#REF!</v>
      </c>
      <c r="II301" t="e">
        <f>AND(#REF!,"AAAAAHtbf/I=")</f>
        <v>#REF!</v>
      </c>
      <c r="IJ301" t="e">
        <f>AND(#REF!,"AAAAAHtbf/M=")</f>
        <v>#REF!</v>
      </c>
      <c r="IK301" t="e">
        <f>AND(#REF!,"AAAAAHtbf/Q=")</f>
        <v>#REF!</v>
      </c>
      <c r="IL301" t="e">
        <f>AND(#REF!,"AAAAAHtbf/U=")</f>
        <v>#REF!</v>
      </c>
      <c r="IM301" t="e">
        <f>AND(#REF!,"AAAAAHtbf/Y=")</f>
        <v>#REF!</v>
      </c>
      <c r="IN301" t="e">
        <f>AND(#REF!,"AAAAAHtbf/c=")</f>
        <v>#REF!</v>
      </c>
      <c r="IO301" t="e">
        <f>AND(#REF!,"AAAAAHtbf/g=")</f>
        <v>#REF!</v>
      </c>
      <c r="IP301" t="e">
        <f>AND(#REF!,"AAAAAHtbf/k=")</f>
        <v>#REF!</v>
      </c>
      <c r="IQ301" t="e">
        <f>AND(#REF!,"AAAAAHtbf/o=")</f>
        <v>#REF!</v>
      </c>
      <c r="IR301" t="e">
        <f>AND(#REF!,"AAAAAHtbf/s=")</f>
        <v>#REF!</v>
      </c>
      <c r="IS301" t="e">
        <f>AND(#REF!,"AAAAAHtbf/w=")</f>
        <v>#REF!</v>
      </c>
      <c r="IT301" t="e">
        <f>AND(#REF!,"AAAAAHtbf/0=")</f>
        <v>#REF!</v>
      </c>
      <c r="IU301" t="e">
        <f>AND(#REF!,"AAAAAHtbf/4=")</f>
        <v>#REF!</v>
      </c>
      <c r="IV301" t="e">
        <f>AND(#REF!,"AAAAAHtbf/8=")</f>
        <v>#REF!</v>
      </c>
    </row>
    <row r="302" spans="1:256">
      <c r="A302" t="e">
        <f>AND(#REF!,"AAAAAH767gA=")</f>
        <v>#REF!</v>
      </c>
      <c r="B302" t="e">
        <f>AND(#REF!,"AAAAAH767gE=")</f>
        <v>#REF!</v>
      </c>
      <c r="C302" t="e">
        <f>AND(#REF!,"AAAAAH767gI=")</f>
        <v>#REF!</v>
      </c>
      <c r="D302" t="e">
        <f>AND(#REF!,"AAAAAH767gM=")</f>
        <v>#REF!</v>
      </c>
      <c r="E302" t="e">
        <f>AND(#REF!,"AAAAAH767gQ=")</f>
        <v>#REF!</v>
      </c>
      <c r="F302" t="e">
        <f>AND(#REF!,"AAAAAH767gU=")</f>
        <v>#REF!</v>
      </c>
      <c r="G302" t="e">
        <f>AND(#REF!,"AAAAAH767gY=")</f>
        <v>#REF!</v>
      </c>
      <c r="H302" t="e">
        <f>AND(#REF!,"AAAAAH767gc=")</f>
        <v>#REF!</v>
      </c>
      <c r="I302" t="e">
        <f>AND(#REF!,"AAAAAH767gg=")</f>
        <v>#REF!</v>
      </c>
      <c r="J302" t="e">
        <f>AND(#REF!,"AAAAAH767gk=")</f>
        <v>#REF!</v>
      </c>
      <c r="K302" t="e">
        <f>AND(#REF!,"AAAAAH767go=")</f>
        <v>#REF!</v>
      </c>
      <c r="L302" t="e">
        <f>AND(#REF!,"AAAAAH767gs=")</f>
        <v>#REF!</v>
      </c>
      <c r="M302" t="e">
        <f>AND(#REF!,"AAAAAH767gw=")</f>
        <v>#REF!</v>
      </c>
      <c r="N302" t="e">
        <f>AND(#REF!,"AAAAAH767g0=")</f>
        <v>#REF!</v>
      </c>
      <c r="O302" t="e">
        <f>AND(#REF!,"AAAAAH767g4=")</f>
        <v>#REF!</v>
      </c>
      <c r="P302" t="e">
        <f>AND(#REF!,"AAAAAH767g8=")</f>
        <v>#REF!</v>
      </c>
      <c r="Q302" t="e">
        <f>AND(#REF!,"AAAAAH767hA=")</f>
        <v>#REF!</v>
      </c>
      <c r="R302" t="e">
        <f>AND(#REF!,"AAAAAH767hE=")</f>
        <v>#REF!</v>
      </c>
      <c r="S302" t="e">
        <f>AND(#REF!,"AAAAAH767hI=")</f>
        <v>#REF!</v>
      </c>
      <c r="T302" t="e">
        <f>AND(#REF!,"AAAAAH767hM=")</f>
        <v>#REF!</v>
      </c>
      <c r="U302" t="e">
        <f>AND(#REF!,"AAAAAH767hQ=")</f>
        <v>#REF!</v>
      </c>
      <c r="V302" t="e">
        <f>AND(#REF!,"AAAAAH767hU=")</f>
        <v>#REF!</v>
      </c>
      <c r="W302" t="e">
        <f>AND(#REF!,"AAAAAH767hY=")</f>
        <v>#REF!</v>
      </c>
      <c r="X302" t="e">
        <f>AND(#REF!,"AAAAAH767hc=")</f>
        <v>#REF!</v>
      </c>
      <c r="Y302" t="e">
        <f>AND(#REF!,"AAAAAH767hg=")</f>
        <v>#REF!</v>
      </c>
      <c r="Z302" t="e">
        <f>AND(#REF!,"AAAAAH767hk=")</f>
        <v>#REF!</v>
      </c>
      <c r="AA302" t="e">
        <f>AND(#REF!,"AAAAAH767ho=")</f>
        <v>#REF!</v>
      </c>
      <c r="AB302" t="e">
        <f>AND(#REF!,"AAAAAH767hs=")</f>
        <v>#REF!</v>
      </c>
      <c r="AC302" t="e">
        <f>AND(#REF!,"AAAAAH767hw=")</f>
        <v>#REF!</v>
      </c>
      <c r="AD302" t="e">
        <f>AND(#REF!,"AAAAAH767h0=")</f>
        <v>#REF!</v>
      </c>
      <c r="AE302" t="e">
        <f>AND(#REF!,"AAAAAH767h4=")</f>
        <v>#REF!</v>
      </c>
      <c r="AF302" t="e">
        <f>AND(#REF!,"AAAAAH767h8=")</f>
        <v>#REF!</v>
      </c>
      <c r="AG302" t="e">
        <f>AND(#REF!,"AAAAAH767iA=")</f>
        <v>#REF!</v>
      </c>
      <c r="AH302" t="e">
        <f>AND(#REF!,"AAAAAH767iE=")</f>
        <v>#REF!</v>
      </c>
      <c r="AI302" t="e">
        <f>AND(#REF!,"AAAAAH767iI=")</f>
        <v>#REF!</v>
      </c>
      <c r="AJ302" t="e">
        <f>IF(#REF!,"AAAAAH767iM=",0)</f>
        <v>#REF!</v>
      </c>
      <c r="AK302" t="e">
        <f>AND(#REF!,"AAAAAH767iQ=")</f>
        <v>#REF!</v>
      </c>
      <c r="AL302" t="e">
        <f>AND(#REF!,"AAAAAH767iU=")</f>
        <v>#REF!</v>
      </c>
      <c r="AM302" t="e">
        <f>AND(#REF!,"AAAAAH767iY=")</f>
        <v>#REF!</v>
      </c>
      <c r="AN302" t="e">
        <f>AND(#REF!,"AAAAAH767ic=")</f>
        <v>#REF!</v>
      </c>
      <c r="AO302" t="e">
        <f>AND(#REF!,"AAAAAH767ig=")</f>
        <v>#REF!</v>
      </c>
      <c r="AP302" t="e">
        <f>AND(#REF!,"AAAAAH767ik=")</f>
        <v>#REF!</v>
      </c>
      <c r="AQ302" t="e">
        <f>AND(#REF!,"AAAAAH767io=")</f>
        <v>#REF!</v>
      </c>
      <c r="AR302" t="e">
        <f>AND(#REF!,"AAAAAH767is=")</f>
        <v>#REF!</v>
      </c>
      <c r="AS302" t="e">
        <f>AND(#REF!,"AAAAAH767iw=")</f>
        <v>#REF!</v>
      </c>
      <c r="AT302" t="e">
        <f>AND(#REF!,"AAAAAH767i0=")</f>
        <v>#REF!</v>
      </c>
      <c r="AU302" t="e">
        <f>AND(#REF!,"AAAAAH767i4=")</f>
        <v>#REF!</v>
      </c>
      <c r="AV302" t="e">
        <f>AND(#REF!,"AAAAAH767i8=")</f>
        <v>#REF!</v>
      </c>
      <c r="AW302" t="e">
        <f>AND(#REF!,"AAAAAH767jA=")</f>
        <v>#REF!</v>
      </c>
      <c r="AX302" t="e">
        <f>AND(#REF!,"AAAAAH767jE=")</f>
        <v>#REF!</v>
      </c>
      <c r="AY302" t="e">
        <f>AND(#REF!,"AAAAAH767jI=")</f>
        <v>#REF!</v>
      </c>
      <c r="AZ302" t="e">
        <f>AND(#REF!,"AAAAAH767jM=")</f>
        <v>#REF!</v>
      </c>
      <c r="BA302" t="e">
        <f>AND(#REF!,"AAAAAH767jQ=")</f>
        <v>#REF!</v>
      </c>
      <c r="BB302" t="e">
        <f>AND(#REF!,"AAAAAH767jU=")</f>
        <v>#REF!</v>
      </c>
      <c r="BC302" t="e">
        <f>AND(#REF!,"AAAAAH767jY=")</f>
        <v>#REF!</v>
      </c>
      <c r="BD302" t="e">
        <f>AND(#REF!,"AAAAAH767jc=")</f>
        <v>#REF!</v>
      </c>
      <c r="BE302" t="e">
        <f>AND(#REF!,"AAAAAH767jg=")</f>
        <v>#REF!</v>
      </c>
      <c r="BF302" t="e">
        <f>AND(#REF!,"AAAAAH767jk=")</f>
        <v>#REF!</v>
      </c>
      <c r="BG302" t="e">
        <f>AND(#REF!,"AAAAAH767jo=")</f>
        <v>#REF!</v>
      </c>
      <c r="BH302" t="e">
        <f>AND(#REF!,"AAAAAH767js=")</f>
        <v>#REF!</v>
      </c>
      <c r="BI302" t="e">
        <f>AND(#REF!,"AAAAAH767jw=")</f>
        <v>#REF!</v>
      </c>
      <c r="BJ302" t="e">
        <f>AND(#REF!,"AAAAAH767j0=")</f>
        <v>#REF!</v>
      </c>
      <c r="BK302" t="e">
        <f>AND(#REF!,"AAAAAH767j4=")</f>
        <v>#REF!</v>
      </c>
      <c r="BL302" t="e">
        <f>AND(#REF!,"AAAAAH767j8=")</f>
        <v>#REF!</v>
      </c>
      <c r="BM302" t="e">
        <f>AND(#REF!,"AAAAAH767kA=")</f>
        <v>#REF!</v>
      </c>
      <c r="BN302" t="e">
        <f>AND(#REF!,"AAAAAH767kE=")</f>
        <v>#REF!</v>
      </c>
      <c r="BO302" t="e">
        <f>AND(#REF!,"AAAAAH767kI=")</f>
        <v>#REF!</v>
      </c>
      <c r="BP302" t="e">
        <f>AND(#REF!,"AAAAAH767kM=")</f>
        <v>#REF!</v>
      </c>
      <c r="BQ302" t="e">
        <f>AND(#REF!,"AAAAAH767kQ=")</f>
        <v>#REF!</v>
      </c>
      <c r="BR302" t="e">
        <f>AND(#REF!,"AAAAAH767kU=")</f>
        <v>#REF!</v>
      </c>
      <c r="BS302" t="e">
        <f>AND(#REF!,"AAAAAH767kY=")</f>
        <v>#REF!</v>
      </c>
      <c r="BT302" t="e">
        <f>AND(#REF!,"AAAAAH767kc=")</f>
        <v>#REF!</v>
      </c>
      <c r="BU302" t="e">
        <f>AND(#REF!,"AAAAAH767kg=")</f>
        <v>#REF!</v>
      </c>
      <c r="BV302" t="e">
        <f>AND(#REF!,"AAAAAH767kk=")</f>
        <v>#REF!</v>
      </c>
      <c r="BW302" t="e">
        <f>AND(#REF!,"AAAAAH767ko=")</f>
        <v>#REF!</v>
      </c>
      <c r="BX302" t="e">
        <f>AND(#REF!,"AAAAAH767ks=")</f>
        <v>#REF!</v>
      </c>
      <c r="BY302" t="e">
        <f>AND(#REF!,"AAAAAH767kw=")</f>
        <v>#REF!</v>
      </c>
      <c r="BZ302" t="e">
        <f>AND(#REF!,"AAAAAH767k0=")</f>
        <v>#REF!</v>
      </c>
      <c r="CA302" t="e">
        <f>AND(#REF!,"AAAAAH767k4=")</f>
        <v>#REF!</v>
      </c>
      <c r="CB302" t="e">
        <f>AND(#REF!,"AAAAAH767k8=")</f>
        <v>#REF!</v>
      </c>
      <c r="CC302" t="e">
        <f>AND(#REF!,"AAAAAH767lA=")</f>
        <v>#REF!</v>
      </c>
      <c r="CD302" t="e">
        <f>AND(#REF!,"AAAAAH767lE=")</f>
        <v>#REF!</v>
      </c>
      <c r="CE302" t="e">
        <f>AND(#REF!,"AAAAAH767lI=")</f>
        <v>#REF!</v>
      </c>
      <c r="CF302" t="e">
        <f>AND(#REF!,"AAAAAH767lM=")</f>
        <v>#REF!</v>
      </c>
      <c r="CG302" t="e">
        <f>AND(#REF!,"AAAAAH767lQ=")</f>
        <v>#REF!</v>
      </c>
      <c r="CH302" t="e">
        <f>AND(#REF!,"AAAAAH767lU=")</f>
        <v>#REF!</v>
      </c>
      <c r="CI302" t="e">
        <f>AND(#REF!,"AAAAAH767lY=")</f>
        <v>#REF!</v>
      </c>
      <c r="CJ302" t="e">
        <f>IF(#REF!,"AAAAAH767lc=",0)</f>
        <v>#REF!</v>
      </c>
      <c r="CK302" t="e">
        <f>AND(#REF!,"AAAAAH767lg=")</f>
        <v>#REF!</v>
      </c>
      <c r="CL302" t="e">
        <f>AND(#REF!,"AAAAAH767lk=")</f>
        <v>#REF!</v>
      </c>
      <c r="CM302" t="e">
        <f>AND(#REF!,"AAAAAH767lo=")</f>
        <v>#REF!</v>
      </c>
      <c r="CN302" t="e">
        <f>AND(#REF!,"AAAAAH767ls=")</f>
        <v>#REF!</v>
      </c>
      <c r="CO302" t="e">
        <f>AND(#REF!,"AAAAAH767lw=")</f>
        <v>#REF!</v>
      </c>
      <c r="CP302" t="e">
        <f>AND(#REF!,"AAAAAH767l0=")</f>
        <v>#REF!</v>
      </c>
      <c r="CQ302" t="e">
        <f>AND(#REF!,"AAAAAH767l4=")</f>
        <v>#REF!</v>
      </c>
      <c r="CR302" t="e">
        <f>AND(#REF!,"AAAAAH767l8=")</f>
        <v>#REF!</v>
      </c>
      <c r="CS302" t="e">
        <f>AND(#REF!,"AAAAAH767mA=")</f>
        <v>#REF!</v>
      </c>
      <c r="CT302" t="e">
        <f>AND(#REF!,"AAAAAH767mE=")</f>
        <v>#REF!</v>
      </c>
      <c r="CU302" t="e">
        <f>AND(#REF!,"AAAAAH767mI=")</f>
        <v>#REF!</v>
      </c>
      <c r="CV302" t="e">
        <f>AND(#REF!,"AAAAAH767mM=")</f>
        <v>#REF!</v>
      </c>
      <c r="CW302" t="e">
        <f>AND(#REF!,"AAAAAH767mQ=")</f>
        <v>#REF!</v>
      </c>
      <c r="CX302" t="e">
        <f>AND(#REF!,"AAAAAH767mU=")</f>
        <v>#REF!</v>
      </c>
      <c r="CY302" t="e">
        <f>AND(#REF!,"AAAAAH767mY=")</f>
        <v>#REF!</v>
      </c>
      <c r="CZ302" t="e">
        <f>AND(#REF!,"AAAAAH767mc=")</f>
        <v>#REF!</v>
      </c>
      <c r="DA302" t="e">
        <f>AND(#REF!,"AAAAAH767mg=")</f>
        <v>#REF!</v>
      </c>
      <c r="DB302" t="e">
        <f>AND(#REF!,"AAAAAH767mk=")</f>
        <v>#REF!</v>
      </c>
      <c r="DC302" t="e">
        <f>AND(#REF!,"AAAAAH767mo=")</f>
        <v>#REF!</v>
      </c>
      <c r="DD302" t="e">
        <f>AND(#REF!,"AAAAAH767ms=")</f>
        <v>#REF!</v>
      </c>
      <c r="DE302" t="e">
        <f>AND(#REF!,"AAAAAH767mw=")</f>
        <v>#REF!</v>
      </c>
      <c r="DF302" t="e">
        <f>AND(#REF!,"AAAAAH767m0=")</f>
        <v>#REF!</v>
      </c>
      <c r="DG302" t="e">
        <f>AND(#REF!,"AAAAAH767m4=")</f>
        <v>#REF!</v>
      </c>
      <c r="DH302" t="e">
        <f>AND(#REF!,"AAAAAH767m8=")</f>
        <v>#REF!</v>
      </c>
      <c r="DI302" t="e">
        <f>AND(#REF!,"AAAAAH767nA=")</f>
        <v>#REF!</v>
      </c>
      <c r="DJ302" t="e">
        <f>AND(#REF!,"AAAAAH767nE=")</f>
        <v>#REF!</v>
      </c>
      <c r="DK302" t="e">
        <f>AND(#REF!,"AAAAAH767nI=")</f>
        <v>#REF!</v>
      </c>
      <c r="DL302" t="e">
        <f>AND(#REF!,"AAAAAH767nM=")</f>
        <v>#REF!</v>
      </c>
      <c r="DM302" t="e">
        <f>AND(#REF!,"AAAAAH767nQ=")</f>
        <v>#REF!</v>
      </c>
      <c r="DN302" t="e">
        <f>AND(#REF!,"AAAAAH767nU=")</f>
        <v>#REF!</v>
      </c>
      <c r="DO302" t="e">
        <f>AND(#REF!,"AAAAAH767nY=")</f>
        <v>#REF!</v>
      </c>
      <c r="DP302" t="e">
        <f>AND(#REF!,"AAAAAH767nc=")</f>
        <v>#REF!</v>
      </c>
      <c r="DQ302" t="e">
        <f>AND(#REF!,"AAAAAH767ng=")</f>
        <v>#REF!</v>
      </c>
      <c r="DR302" t="e">
        <f>AND(#REF!,"AAAAAH767nk=")</f>
        <v>#REF!</v>
      </c>
      <c r="DS302" t="e">
        <f>AND(#REF!,"AAAAAH767no=")</f>
        <v>#REF!</v>
      </c>
      <c r="DT302" t="e">
        <f>AND(#REF!,"AAAAAH767ns=")</f>
        <v>#REF!</v>
      </c>
      <c r="DU302" t="e">
        <f>AND(#REF!,"AAAAAH767nw=")</f>
        <v>#REF!</v>
      </c>
      <c r="DV302" t="e">
        <f>AND(#REF!,"AAAAAH767n0=")</f>
        <v>#REF!</v>
      </c>
      <c r="DW302" t="e">
        <f>AND(#REF!,"AAAAAH767n4=")</f>
        <v>#REF!</v>
      </c>
      <c r="DX302" t="e">
        <f>AND(#REF!,"AAAAAH767n8=")</f>
        <v>#REF!</v>
      </c>
      <c r="DY302" t="e">
        <f>AND(#REF!,"AAAAAH767oA=")</f>
        <v>#REF!</v>
      </c>
      <c r="DZ302" t="e">
        <f>AND(#REF!,"AAAAAH767oE=")</f>
        <v>#REF!</v>
      </c>
      <c r="EA302" t="e">
        <f>AND(#REF!,"AAAAAH767oI=")</f>
        <v>#REF!</v>
      </c>
      <c r="EB302" t="e">
        <f>AND(#REF!,"AAAAAH767oM=")</f>
        <v>#REF!</v>
      </c>
      <c r="EC302" t="e">
        <f>AND(#REF!,"AAAAAH767oQ=")</f>
        <v>#REF!</v>
      </c>
      <c r="ED302" t="e">
        <f>AND(#REF!,"AAAAAH767oU=")</f>
        <v>#REF!</v>
      </c>
      <c r="EE302" t="e">
        <f>AND(#REF!,"AAAAAH767oY=")</f>
        <v>#REF!</v>
      </c>
      <c r="EF302" t="e">
        <f>AND(#REF!,"AAAAAH767oc=")</f>
        <v>#REF!</v>
      </c>
      <c r="EG302" t="e">
        <f>AND(#REF!,"AAAAAH767og=")</f>
        <v>#REF!</v>
      </c>
      <c r="EH302" t="e">
        <f>AND(#REF!,"AAAAAH767ok=")</f>
        <v>#REF!</v>
      </c>
      <c r="EI302" t="e">
        <f>AND(#REF!,"AAAAAH767oo=")</f>
        <v>#REF!</v>
      </c>
      <c r="EJ302" t="e">
        <f>IF(#REF!,"AAAAAH767os=",0)</f>
        <v>#REF!</v>
      </c>
      <c r="EK302" t="e">
        <f>AND(#REF!,"AAAAAH767ow=")</f>
        <v>#REF!</v>
      </c>
      <c r="EL302" t="e">
        <f>AND(#REF!,"AAAAAH767o0=")</f>
        <v>#REF!</v>
      </c>
      <c r="EM302" t="e">
        <f>AND(#REF!,"AAAAAH767o4=")</f>
        <v>#REF!</v>
      </c>
      <c r="EN302" t="e">
        <f>AND(#REF!,"AAAAAH767o8=")</f>
        <v>#REF!</v>
      </c>
      <c r="EO302" t="e">
        <f>AND(#REF!,"AAAAAH767pA=")</f>
        <v>#REF!</v>
      </c>
      <c r="EP302" t="e">
        <f>AND(#REF!,"AAAAAH767pE=")</f>
        <v>#REF!</v>
      </c>
      <c r="EQ302" t="e">
        <f>AND(#REF!,"AAAAAH767pI=")</f>
        <v>#REF!</v>
      </c>
      <c r="ER302" t="e">
        <f>AND(#REF!,"AAAAAH767pM=")</f>
        <v>#REF!</v>
      </c>
      <c r="ES302" t="e">
        <f>AND(#REF!,"AAAAAH767pQ=")</f>
        <v>#REF!</v>
      </c>
      <c r="ET302" t="e">
        <f>AND(#REF!,"AAAAAH767pU=")</f>
        <v>#REF!</v>
      </c>
      <c r="EU302" t="e">
        <f>AND(#REF!,"AAAAAH767pY=")</f>
        <v>#REF!</v>
      </c>
      <c r="EV302" t="e">
        <f>AND(#REF!,"AAAAAH767pc=")</f>
        <v>#REF!</v>
      </c>
      <c r="EW302" t="e">
        <f>AND(#REF!,"AAAAAH767pg=")</f>
        <v>#REF!</v>
      </c>
      <c r="EX302" t="e">
        <f>AND(#REF!,"AAAAAH767pk=")</f>
        <v>#REF!</v>
      </c>
      <c r="EY302" t="e">
        <f>AND(#REF!,"AAAAAH767po=")</f>
        <v>#REF!</v>
      </c>
      <c r="EZ302" t="e">
        <f>AND(#REF!,"AAAAAH767ps=")</f>
        <v>#REF!</v>
      </c>
      <c r="FA302" t="e">
        <f>AND(#REF!,"AAAAAH767pw=")</f>
        <v>#REF!</v>
      </c>
      <c r="FB302" t="e">
        <f>AND(#REF!,"AAAAAH767p0=")</f>
        <v>#REF!</v>
      </c>
      <c r="FC302" t="e">
        <f>AND(#REF!,"AAAAAH767p4=")</f>
        <v>#REF!</v>
      </c>
      <c r="FD302" t="e">
        <f>AND(#REF!,"AAAAAH767p8=")</f>
        <v>#REF!</v>
      </c>
      <c r="FE302" t="e">
        <f>AND(#REF!,"AAAAAH767qA=")</f>
        <v>#REF!</v>
      </c>
      <c r="FF302" t="e">
        <f>AND(#REF!,"AAAAAH767qE=")</f>
        <v>#REF!</v>
      </c>
      <c r="FG302" t="e">
        <f>AND(#REF!,"AAAAAH767qI=")</f>
        <v>#REF!</v>
      </c>
      <c r="FH302" t="e">
        <f>AND(#REF!,"AAAAAH767qM=")</f>
        <v>#REF!</v>
      </c>
      <c r="FI302" t="e">
        <f>AND(#REF!,"AAAAAH767qQ=")</f>
        <v>#REF!</v>
      </c>
      <c r="FJ302" t="e">
        <f>AND(#REF!,"AAAAAH767qU=")</f>
        <v>#REF!</v>
      </c>
      <c r="FK302" t="e">
        <f>AND(#REF!,"AAAAAH767qY=")</f>
        <v>#REF!</v>
      </c>
      <c r="FL302" t="e">
        <f>AND(#REF!,"AAAAAH767qc=")</f>
        <v>#REF!</v>
      </c>
      <c r="FM302" t="e">
        <f>AND(#REF!,"AAAAAH767qg=")</f>
        <v>#REF!</v>
      </c>
      <c r="FN302" t="e">
        <f>AND(#REF!,"AAAAAH767qk=")</f>
        <v>#REF!</v>
      </c>
      <c r="FO302" t="e">
        <f>AND(#REF!,"AAAAAH767qo=")</f>
        <v>#REF!</v>
      </c>
      <c r="FP302" t="e">
        <f>AND(#REF!,"AAAAAH767qs=")</f>
        <v>#REF!</v>
      </c>
      <c r="FQ302" t="e">
        <f>AND(#REF!,"AAAAAH767qw=")</f>
        <v>#REF!</v>
      </c>
      <c r="FR302" t="e">
        <f>AND(#REF!,"AAAAAH767q0=")</f>
        <v>#REF!</v>
      </c>
      <c r="FS302" t="e">
        <f>AND(#REF!,"AAAAAH767q4=")</f>
        <v>#REF!</v>
      </c>
      <c r="FT302" t="e">
        <f>AND(#REF!,"AAAAAH767q8=")</f>
        <v>#REF!</v>
      </c>
      <c r="FU302" t="e">
        <f>AND(#REF!,"AAAAAH767rA=")</f>
        <v>#REF!</v>
      </c>
      <c r="FV302" t="e">
        <f>AND(#REF!,"AAAAAH767rE=")</f>
        <v>#REF!</v>
      </c>
      <c r="FW302" t="e">
        <f>AND(#REF!,"AAAAAH767rI=")</f>
        <v>#REF!</v>
      </c>
      <c r="FX302" t="e">
        <f>AND(#REF!,"AAAAAH767rM=")</f>
        <v>#REF!</v>
      </c>
      <c r="FY302" t="e">
        <f>AND(#REF!,"AAAAAH767rQ=")</f>
        <v>#REF!</v>
      </c>
      <c r="FZ302" t="e">
        <f>AND(#REF!,"AAAAAH767rU=")</f>
        <v>#REF!</v>
      </c>
      <c r="GA302" t="e">
        <f>AND(#REF!,"AAAAAH767rY=")</f>
        <v>#REF!</v>
      </c>
      <c r="GB302" t="e">
        <f>AND(#REF!,"AAAAAH767rc=")</f>
        <v>#REF!</v>
      </c>
      <c r="GC302" t="e">
        <f>AND(#REF!,"AAAAAH767rg=")</f>
        <v>#REF!</v>
      </c>
      <c r="GD302" t="e">
        <f>AND(#REF!,"AAAAAH767rk=")</f>
        <v>#REF!</v>
      </c>
      <c r="GE302" t="e">
        <f>AND(#REF!,"AAAAAH767ro=")</f>
        <v>#REF!</v>
      </c>
      <c r="GF302" t="e">
        <f>AND(#REF!,"AAAAAH767rs=")</f>
        <v>#REF!</v>
      </c>
      <c r="GG302" t="e">
        <f>AND(#REF!,"AAAAAH767rw=")</f>
        <v>#REF!</v>
      </c>
      <c r="GH302" t="e">
        <f>AND(#REF!,"AAAAAH767r0=")</f>
        <v>#REF!</v>
      </c>
      <c r="GI302" t="e">
        <f>AND(#REF!,"AAAAAH767r4=")</f>
        <v>#REF!</v>
      </c>
      <c r="GJ302" t="e">
        <f>IF(#REF!,"AAAAAH767r8=",0)</f>
        <v>#REF!</v>
      </c>
      <c r="GK302" t="e">
        <f>AND(#REF!,"AAAAAH767sA=")</f>
        <v>#REF!</v>
      </c>
      <c r="GL302" t="e">
        <f>AND(#REF!,"AAAAAH767sE=")</f>
        <v>#REF!</v>
      </c>
      <c r="GM302" t="e">
        <f>AND(#REF!,"AAAAAH767sI=")</f>
        <v>#REF!</v>
      </c>
      <c r="GN302" t="e">
        <f>AND(#REF!,"AAAAAH767sM=")</f>
        <v>#REF!</v>
      </c>
      <c r="GO302" t="e">
        <f>AND(#REF!,"AAAAAH767sQ=")</f>
        <v>#REF!</v>
      </c>
      <c r="GP302" t="e">
        <f>AND(#REF!,"AAAAAH767sU=")</f>
        <v>#REF!</v>
      </c>
      <c r="GQ302" t="e">
        <f>AND(#REF!,"AAAAAH767sY=")</f>
        <v>#REF!</v>
      </c>
      <c r="GR302" t="e">
        <f>AND(#REF!,"AAAAAH767sc=")</f>
        <v>#REF!</v>
      </c>
      <c r="GS302" t="e">
        <f>AND(#REF!,"AAAAAH767sg=")</f>
        <v>#REF!</v>
      </c>
      <c r="GT302" t="e">
        <f>AND(#REF!,"AAAAAH767sk=")</f>
        <v>#REF!</v>
      </c>
      <c r="GU302" t="e">
        <f>AND(#REF!,"AAAAAH767so=")</f>
        <v>#REF!</v>
      </c>
      <c r="GV302" t="e">
        <f>AND(#REF!,"AAAAAH767ss=")</f>
        <v>#REF!</v>
      </c>
      <c r="GW302" t="e">
        <f>AND(#REF!,"AAAAAH767sw=")</f>
        <v>#REF!</v>
      </c>
      <c r="GX302" t="e">
        <f>AND(#REF!,"AAAAAH767s0=")</f>
        <v>#REF!</v>
      </c>
      <c r="GY302" t="e">
        <f>AND(#REF!,"AAAAAH767s4=")</f>
        <v>#REF!</v>
      </c>
      <c r="GZ302" t="e">
        <f>AND(#REF!,"AAAAAH767s8=")</f>
        <v>#REF!</v>
      </c>
      <c r="HA302" t="e">
        <f>AND(#REF!,"AAAAAH767tA=")</f>
        <v>#REF!</v>
      </c>
      <c r="HB302" t="e">
        <f>AND(#REF!,"AAAAAH767tE=")</f>
        <v>#REF!</v>
      </c>
      <c r="HC302" t="e">
        <f>AND(#REF!,"AAAAAH767tI=")</f>
        <v>#REF!</v>
      </c>
      <c r="HD302" t="e">
        <f>AND(#REF!,"AAAAAH767tM=")</f>
        <v>#REF!</v>
      </c>
      <c r="HE302" t="e">
        <f>AND(#REF!,"AAAAAH767tQ=")</f>
        <v>#REF!</v>
      </c>
      <c r="HF302" t="e">
        <f>AND(#REF!,"AAAAAH767tU=")</f>
        <v>#REF!</v>
      </c>
      <c r="HG302" t="e">
        <f>AND(#REF!,"AAAAAH767tY=")</f>
        <v>#REF!</v>
      </c>
      <c r="HH302" t="e">
        <f>AND(#REF!,"AAAAAH767tc=")</f>
        <v>#REF!</v>
      </c>
      <c r="HI302" t="e">
        <f>AND(#REF!,"AAAAAH767tg=")</f>
        <v>#REF!</v>
      </c>
      <c r="HJ302" t="e">
        <f>AND(#REF!,"AAAAAH767tk=")</f>
        <v>#REF!</v>
      </c>
      <c r="HK302" t="e">
        <f>AND(#REF!,"AAAAAH767to=")</f>
        <v>#REF!</v>
      </c>
      <c r="HL302" t="e">
        <f>AND(#REF!,"AAAAAH767ts=")</f>
        <v>#REF!</v>
      </c>
      <c r="HM302" t="e">
        <f>AND(#REF!,"AAAAAH767tw=")</f>
        <v>#REF!</v>
      </c>
      <c r="HN302" t="e">
        <f>AND(#REF!,"AAAAAH767t0=")</f>
        <v>#REF!</v>
      </c>
      <c r="HO302" t="e">
        <f>AND(#REF!,"AAAAAH767t4=")</f>
        <v>#REF!</v>
      </c>
      <c r="HP302" t="e">
        <f>AND(#REF!,"AAAAAH767t8=")</f>
        <v>#REF!</v>
      </c>
      <c r="HQ302" t="e">
        <f>AND(#REF!,"AAAAAH767uA=")</f>
        <v>#REF!</v>
      </c>
      <c r="HR302" t="e">
        <f>AND(#REF!,"AAAAAH767uE=")</f>
        <v>#REF!</v>
      </c>
      <c r="HS302" t="e">
        <f>AND(#REF!,"AAAAAH767uI=")</f>
        <v>#REF!</v>
      </c>
      <c r="HT302" t="e">
        <f>AND(#REF!,"AAAAAH767uM=")</f>
        <v>#REF!</v>
      </c>
      <c r="HU302" t="e">
        <f>AND(#REF!,"AAAAAH767uQ=")</f>
        <v>#REF!</v>
      </c>
      <c r="HV302" t="e">
        <f>AND(#REF!,"AAAAAH767uU=")</f>
        <v>#REF!</v>
      </c>
      <c r="HW302" t="e">
        <f>AND(#REF!,"AAAAAH767uY=")</f>
        <v>#REF!</v>
      </c>
      <c r="HX302" t="e">
        <f>AND(#REF!,"AAAAAH767uc=")</f>
        <v>#REF!</v>
      </c>
      <c r="HY302" t="e">
        <f>AND(#REF!,"AAAAAH767ug=")</f>
        <v>#REF!</v>
      </c>
      <c r="HZ302" t="e">
        <f>AND(#REF!,"AAAAAH767uk=")</f>
        <v>#REF!</v>
      </c>
      <c r="IA302" t="e">
        <f>AND(#REF!,"AAAAAH767uo=")</f>
        <v>#REF!</v>
      </c>
      <c r="IB302" t="e">
        <f>AND(#REF!,"AAAAAH767us=")</f>
        <v>#REF!</v>
      </c>
      <c r="IC302" t="e">
        <f>AND(#REF!,"AAAAAH767uw=")</f>
        <v>#REF!</v>
      </c>
      <c r="ID302" t="e">
        <f>AND(#REF!,"AAAAAH767u0=")</f>
        <v>#REF!</v>
      </c>
      <c r="IE302" t="e">
        <f>AND(#REF!,"AAAAAH767u4=")</f>
        <v>#REF!</v>
      </c>
      <c r="IF302" t="e">
        <f>AND(#REF!,"AAAAAH767u8=")</f>
        <v>#REF!</v>
      </c>
      <c r="IG302" t="e">
        <f>AND(#REF!,"AAAAAH767vA=")</f>
        <v>#REF!</v>
      </c>
      <c r="IH302" t="e">
        <f>AND(#REF!,"AAAAAH767vE=")</f>
        <v>#REF!</v>
      </c>
      <c r="II302" t="e">
        <f>AND(#REF!,"AAAAAH767vI=")</f>
        <v>#REF!</v>
      </c>
      <c r="IJ302" t="e">
        <f>IF(#REF!,"AAAAAH767vM=",0)</f>
        <v>#REF!</v>
      </c>
      <c r="IK302" t="e">
        <f>AND(#REF!,"AAAAAH767vQ=")</f>
        <v>#REF!</v>
      </c>
      <c r="IL302" t="e">
        <f>AND(#REF!,"AAAAAH767vU=")</f>
        <v>#REF!</v>
      </c>
      <c r="IM302" t="e">
        <f>AND(#REF!,"AAAAAH767vY=")</f>
        <v>#REF!</v>
      </c>
      <c r="IN302" t="e">
        <f>AND(#REF!,"AAAAAH767vc=")</f>
        <v>#REF!</v>
      </c>
      <c r="IO302" t="e">
        <f>AND(#REF!,"AAAAAH767vg=")</f>
        <v>#REF!</v>
      </c>
      <c r="IP302" t="e">
        <f>AND(#REF!,"AAAAAH767vk=")</f>
        <v>#REF!</v>
      </c>
      <c r="IQ302" t="e">
        <f>AND(#REF!,"AAAAAH767vo=")</f>
        <v>#REF!</v>
      </c>
      <c r="IR302" t="e">
        <f>AND(#REF!,"AAAAAH767vs=")</f>
        <v>#REF!</v>
      </c>
      <c r="IS302" t="e">
        <f>AND(#REF!,"AAAAAH767vw=")</f>
        <v>#REF!</v>
      </c>
      <c r="IT302" t="e">
        <f>AND(#REF!,"AAAAAH767v0=")</f>
        <v>#REF!</v>
      </c>
      <c r="IU302" t="e">
        <f>AND(#REF!,"AAAAAH767v4=")</f>
        <v>#REF!</v>
      </c>
      <c r="IV302" t="e">
        <f>AND(#REF!,"AAAAAH767v8=")</f>
        <v>#REF!</v>
      </c>
    </row>
    <row r="303" spans="1:256">
      <c r="A303" t="e">
        <f>AND(#REF!,"AAAAAD/fYwA=")</f>
        <v>#REF!</v>
      </c>
      <c r="B303" t="e">
        <f>AND(#REF!,"AAAAAD/fYwE=")</f>
        <v>#REF!</v>
      </c>
      <c r="C303" t="e">
        <f>AND(#REF!,"AAAAAD/fYwI=")</f>
        <v>#REF!</v>
      </c>
      <c r="D303" t="e">
        <f>AND(#REF!,"AAAAAD/fYwM=")</f>
        <v>#REF!</v>
      </c>
      <c r="E303" t="e">
        <f>AND(#REF!,"AAAAAD/fYwQ=")</f>
        <v>#REF!</v>
      </c>
      <c r="F303" t="e">
        <f>AND(#REF!,"AAAAAD/fYwU=")</f>
        <v>#REF!</v>
      </c>
      <c r="G303" t="e">
        <f>AND(#REF!,"AAAAAD/fYwY=")</f>
        <v>#REF!</v>
      </c>
      <c r="H303" t="e">
        <f>AND(#REF!,"AAAAAD/fYwc=")</f>
        <v>#REF!</v>
      </c>
      <c r="I303" t="e">
        <f>AND(#REF!,"AAAAAD/fYwg=")</f>
        <v>#REF!</v>
      </c>
      <c r="J303" t="e">
        <f>AND(#REF!,"AAAAAD/fYwk=")</f>
        <v>#REF!</v>
      </c>
      <c r="K303" t="e">
        <f>AND(#REF!,"AAAAAD/fYwo=")</f>
        <v>#REF!</v>
      </c>
      <c r="L303" t="e">
        <f>AND(#REF!,"AAAAAD/fYws=")</f>
        <v>#REF!</v>
      </c>
      <c r="M303" t="e">
        <f>AND(#REF!,"AAAAAD/fYww=")</f>
        <v>#REF!</v>
      </c>
      <c r="N303" t="e">
        <f>AND(#REF!,"AAAAAD/fYw0=")</f>
        <v>#REF!</v>
      </c>
      <c r="O303" t="e">
        <f>AND(#REF!,"AAAAAD/fYw4=")</f>
        <v>#REF!</v>
      </c>
      <c r="P303" t="e">
        <f>AND(#REF!,"AAAAAD/fYw8=")</f>
        <v>#REF!</v>
      </c>
      <c r="Q303" t="e">
        <f>AND(#REF!,"AAAAAD/fYxA=")</f>
        <v>#REF!</v>
      </c>
      <c r="R303" t="e">
        <f>AND(#REF!,"AAAAAD/fYxE=")</f>
        <v>#REF!</v>
      </c>
      <c r="S303" t="e">
        <f>AND(#REF!,"AAAAAD/fYxI=")</f>
        <v>#REF!</v>
      </c>
      <c r="T303" t="e">
        <f>AND(#REF!,"AAAAAD/fYxM=")</f>
        <v>#REF!</v>
      </c>
      <c r="U303" t="e">
        <f>AND(#REF!,"AAAAAD/fYxQ=")</f>
        <v>#REF!</v>
      </c>
      <c r="V303" t="e">
        <f>AND(#REF!,"AAAAAD/fYxU=")</f>
        <v>#REF!</v>
      </c>
      <c r="W303" t="e">
        <f>AND(#REF!,"AAAAAD/fYxY=")</f>
        <v>#REF!</v>
      </c>
      <c r="X303" t="e">
        <f>AND(#REF!,"AAAAAD/fYxc=")</f>
        <v>#REF!</v>
      </c>
      <c r="Y303" t="e">
        <f>AND(#REF!,"AAAAAD/fYxg=")</f>
        <v>#REF!</v>
      </c>
      <c r="Z303" t="e">
        <f>AND(#REF!,"AAAAAD/fYxk=")</f>
        <v>#REF!</v>
      </c>
      <c r="AA303" t="e">
        <f>AND(#REF!,"AAAAAD/fYxo=")</f>
        <v>#REF!</v>
      </c>
      <c r="AB303" t="e">
        <f>AND(#REF!,"AAAAAD/fYxs=")</f>
        <v>#REF!</v>
      </c>
      <c r="AC303" t="e">
        <f>AND(#REF!,"AAAAAD/fYxw=")</f>
        <v>#REF!</v>
      </c>
      <c r="AD303" t="e">
        <f>AND(#REF!,"AAAAAD/fYx0=")</f>
        <v>#REF!</v>
      </c>
      <c r="AE303" t="e">
        <f>AND(#REF!,"AAAAAD/fYx4=")</f>
        <v>#REF!</v>
      </c>
      <c r="AF303" t="e">
        <f>AND(#REF!,"AAAAAD/fYx8=")</f>
        <v>#REF!</v>
      </c>
      <c r="AG303" t="e">
        <f>AND(#REF!,"AAAAAD/fYyA=")</f>
        <v>#REF!</v>
      </c>
      <c r="AH303" t="e">
        <f>AND(#REF!,"AAAAAD/fYyE=")</f>
        <v>#REF!</v>
      </c>
      <c r="AI303" t="e">
        <f>AND(#REF!,"AAAAAD/fYyI=")</f>
        <v>#REF!</v>
      </c>
      <c r="AJ303" t="e">
        <f>AND(#REF!,"AAAAAD/fYyM=")</f>
        <v>#REF!</v>
      </c>
      <c r="AK303" t="e">
        <f>AND(#REF!,"AAAAAD/fYyQ=")</f>
        <v>#REF!</v>
      </c>
      <c r="AL303" t="e">
        <f>AND(#REF!,"AAAAAD/fYyU=")</f>
        <v>#REF!</v>
      </c>
      <c r="AM303" t="e">
        <f>AND(#REF!,"AAAAAD/fYyY=")</f>
        <v>#REF!</v>
      </c>
      <c r="AN303" t="e">
        <f>IF(#REF!,"AAAAAD/fYyc=",0)</f>
        <v>#REF!</v>
      </c>
      <c r="AO303" t="e">
        <f>AND(#REF!,"AAAAAD/fYyg=")</f>
        <v>#REF!</v>
      </c>
      <c r="AP303" t="e">
        <f>AND(#REF!,"AAAAAD/fYyk=")</f>
        <v>#REF!</v>
      </c>
      <c r="AQ303" t="e">
        <f>AND(#REF!,"AAAAAD/fYyo=")</f>
        <v>#REF!</v>
      </c>
      <c r="AR303" t="e">
        <f>AND(#REF!,"AAAAAD/fYys=")</f>
        <v>#REF!</v>
      </c>
      <c r="AS303" t="e">
        <f>AND(#REF!,"AAAAAD/fYyw=")</f>
        <v>#REF!</v>
      </c>
      <c r="AT303" t="e">
        <f>AND(#REF!,"AAAAAD/fYy0=")</f>
        <v>#REF!</v>
      </c>
      <c r="AU303" t="e">
        <f>AND(#REF!,"AAAAAD/fYy4=")</f>
        <v>#REF!</v>
      </c>
      <c r="AV303" t="e">
        <f>AND(#REF!,"AAAAAD/fYy8=")</f>
        <v>#REF!</v>
      </c>
      <c r="AW303" t="e">
        <f>AND(#REF!,"AAAAAD/fYzA=")</f>
        <v>#REF!</v>
      </c>
      <c r="AX303" t="e">
        <f>AND(#REF!,"AAAAAD/fYzE=")</f>
        <v>#REF!</v>
      </c>
      <c r="AY303" t="e">
        <f>AND(#REF!,"AAAAAD/fYzI=")</f>
        <v>#REF!</v>
      </c>
      <c r="AZ303" t="e">
        <f>AND(#REF!,"AAAAAD/fYzM=")</f>
        <v>#REF!</v>
      </c>
      <c r="BA303" t="e">
        <f>AND(#REF!,"AAAAAD/fYzQ=")</f>
        <v>#REF!</v>
      </c>
      <c r="BB303" t="e">
        <f>AND(#REF!,"AAAAAD/fYzU=")</f>
        <v>#REF!</v>
      </c>
      <c r="BC303" t="e">
        <f>AND(#REF!,"AAAAAD/fYzY=")</f>
        <v>#REF!</v>
      </c>
      <c r="BD303" t="e">
        <f>AND(#REF!,"AAAAAD/fYzc=")</f>
        <v>#REF!</v>
      </c>
      <c r="BE303" t="e">
        <f>AND(#REF!,"AAAAAD/fYzg=")</f>
        <v>#REF!</v>
      </c>
      <c r="BF303" t="e">
        <f>AND(#REF!,"AAAAAD/fYzk=")</f>
        <v>#REF!</v>
      </c>
      <c r="BG303" t="e">
        <f>AND(#REF!,"AAAAAD/fYzo=")</f>
        <v>#REF!</v>
      </c>
      <c r="BH303" t="e">
        <f>AND(#REF!,"AAAAAD/fYzs=")</f>
        <v>#REF!</v>
      </c>
      <c r="BI303" t="e">
        <f>AND(#REF!,"AAAAAD/fYzw=")</f>
        <v>#REF!</v>
      </c>
      <c r="BJ303" t="e">
        <f>AND(#REF!,"AAAAAD/fYz0=")</f>
        <v>#REF!</v>
      </c>
      <c r="BK303" t="e">
        <f>AND(#REF!,"AAAAAD/fYz4=")</f>
        <v>#REF!</v>
      </c>
      <c r="BL303" t="e">
        <f>AND(#REF!,"AAAAAD/fYz8=")</f>
        <v>#REF!</v>
      </c>
      <c r="BM303" t="e">
        <f>AND(#REF!,"AAAAAD/fY0A=")</f>
        <v>#REF!</v>
      </c>
      <c r="BN303" t="e">
        <f>AND(#REF!,"AAAAAD/fY0E=")</f>
        <v>#REF!</v>
      </c>
      <c r="BO303" t="e">
        <f>AND(#REF!,"AAAAAD/fY0I=")</f>
        <v>#REF!</v>
      </c>
      <c r="BP303" t="e">
        <f>AND(#REF!,"AAAAAD/fY0M=")</f>
        <v>#REF!</v>
      </c>
      <c r="BQ303" t="e">
        <f>AND(#REF!,"AAAAAD/fY0Q=")</f>
        <v>#REF!</v>
      </c>
      <c r="BR303" t="e">
        <f>AND(#REF!,"AAAAAD/fY0U=")</f>
        <v>#REF!</v>
      </c>
      <c r="BS303" t="e">
        <f>AND(#REF!,"AAAAAD/fY0Y=")</f>
        <v>#REF!</v>
      </c>
      <c r="BT303" t="e">
        <f>AND(#REF!,"AAAAAD/fY0c=")</f>
        <v>#REF!</v>
      </c>
      <c r="BU303" t="e">
        <f>AND(#REF!,"AAAAAD/fY0g=")</f>
        <v>#REF!</v>
      </c>
      <c r="BV303" t="e">
        <f>AND(#REF!,"AAAAAD/fY0k=")</f>
        <v>#REF!</v>
      </c>
      <c r="BW303" t="e">
        <f>AND(#REF!,"AAAAAD/fY0o=")</f>
        <v>#REF!</v>
      </c>
      <c r="BX303" t="e">
        <f>AND(#REF!,"AAAAAD/fY0s=")</f>
        <v>#REF!</v>
      </c>
      <c r="BY303" t="e">
        <f>AND(#REF!,"AAAAAD/fY0w=")</f>
        <v>#REF!</v>
      </c>
      <c r="BZ303" t="e">
        <f>AND(#REF!,"AAAAAD/fY00=")</f>
        <v>#REF!</v>
      </c>
      <c r="CA303" t="e">
        <f>AND(#REF!,"AAAAAD/fY04=")</f>
        <v>#REF!</v>
      </c>
      <c r="CB303" t="e">
        <f>AND(#REF!,"AAAAAD/fY08=")</f>
        <v>#REF!</v>
      </c>
      <c r="CC303" t="e">
        <f>AND(#REF!,"AAAAAD/fY1A=")</f>
        <v>#REF!</v>
      </c>
      <c r="CD303" t="e">
        <f>AND(#REF!,"AAAAAD/fY1E=")</f>
        <v>#REF!</v>
      </c>
      <c r="CE303" t="e">
        <f>AND(#REF!,"AAAAAD/fY1I=")</f>
        <v>#REF!</v>
      </c>
      <c r="CF303" t="e">
        <f>AND(#REF!,"AAAAAD/fY1M=")</f>
        <v>#REF!</v>
      </c>
      <c r="CG303" t="e">
        <f>AND(#REF!,"AAAAAD/fY1Q=")</f>
        <v>#REF!</v>
      </c>
      <c r="CH303" t="e">
        <f>AND(#REF!,"AAAAAD/fY1U=")</f>
        <v>#REF!</v>
      </c>
      <c r="CI303" t="e">
        <f>AND(#REF!,"AAAAAD/fY1Y=")</f>
        <v>#REF!</v>
      </c>
      <c r="CJ303" t="e">
        <f>AND(#REF!,"AAAAAD/fY1c=")</f>
        <v>#REF!</v>
      </c>
      <c r="CK303" t="e">
        <f>AND(#REF!,"AAAAAD/fY1g=")</f>
        <v>#REF!</v>
      </c>
      <c r="CL303" t="e">
        <f>AND(#REF!,"AAAAAD/fY1k=")</f>
        <v>#REF!</v>
      </c>
      <c r="CM303" t="e">
        <f>AND(#REF!,"AAAAAD/fY1o=")</f>
        <v>#REF!</v>
      </c>
      <c r="CN303" t="e">
        <f>IF(#REF!,"AAAAAD/fY1s=",0)</f>
        <v>#REF!</v>
      </c>
      <c r="CO303" t="e">
        <f>AND(#REF!,"AAAAAD/fY1w=")</f>
        <v>#REF!</v>
      </c>
      <c r="CP303" t="e">
        <f>AND(#REF!,"AAAAAD/fY10=")</f>
        <v>#REF!</v>
      </c>
      <c r="CQ303" t="e">
        <f>AND(#REF!,"AAAAAD/fY14=")</f>
        <v>#REF!</v>
      </c>
      <c r="CR303" t="e">
        <f>AND(#REF!,"AAAAAD/fY18=")</f>
        <v>#REF!</v>
      </c>
      <c r="CS303" t="e">
        <f>AND(#REF!,"AAAAAD/fY2A=")</f>
        <v>#REF!</v>
      </c>
      <c r="CT303" t="e">
        <f>AND(#REF!,"AAAAAD/fY2E=")</f>
        <v>#REF!</v>
      </c>
      <c r="CU303" t="e">
        <f>AND(#REF!,"AAAAAD/fY2I=")</f>
        <v>#REF!</v>
      </c>
      <c r="CV303" t="e">
        <f>AND(#REF!,"AAAAAD/fY2M=")</f>
        <v>#REF!</v>
      </c>
      <c r="CW303" t="e">
        <f>AND(#REF!,"AAAAAD/fY2Q=")</f>
        <v>#REF!</v>
      </c>
      <c r="CX303" t="e">
        <f>AND(#REF!,"AAAAAD/fY2U=")</f>
        <v>#REF!</v>
      </c>
      <c r="CY303" t="e">
        <f>AND(#REF!,"AAAAAD/fY2Y=")</f>
        <v>#REF!</v>
      </c>
      <c r="CZ303" t="e">
        <f>AND(#REF!,"AAAAAD/fY2c=")</f>
        <v>#REF!</v>
      </c>
      <c r="DA303" t="e">
        <f>AND(#REF!,"AAAAAD/fY2g=")</f>
        <v>#REF!</v>
      </c>
      <c r="DB303" t="e">
        <f>AND(#REF!,"AAAAAD/fY2k=")</f>
        <v>#REF!</v>
      </c>
      <c r="DC303" t="e">
        <f>AND(#REF!,"AAAAAD/fY2o=")</f>
        <v>#REF!</v>
      </c>
      <c r="DD303" t="e">
        <f>AND(#REF!,"AAAAAD/fY2s=")</f>
        <v>#REF!</v>
      </c>
      <c r="DE303" t="e">
        <f>AND(#REF!,"AAAAAD/fY2w=")</f>
        <v>#REF!</v>
      </c>
      <c r="DF303" t="e">
        <f>AND(#REF!,"AAAAAD/fY20=")</f>
        <v>#REF!</v>
      </c>
      <c r="DG303" t="e">
        <f>AND(#REF!,"AAAAAD/fY24=")</f>
        <v>#REF!</v>
      </c>
      <c r="DH303" t="e">
        <f>AND(#REF!,"AAAAAD/fY28=")</f>
        <v>#REF!</v>
      </c>
      <c r="DI303" t="e">
        <f>AND(#REF!,"AAAAAD/fY3A=")</f>
        <v>#REF!</v>
      </c>
      <c r="DJ303" t="e">
        <f>AND(#REF!,"AAAAAD/fY3E=")</f>
        <v>#REF!</v>
      </c>
      <c r="DK303" t="e">
        <f>AND(#REF!,"AAAAAD/fY3I=")</f>
        <v>#REF!</v>
      </c>
      <c r="DL303" t="e">
        <f>AND(#REF!,"AAAAAD/fY3M=")</f>
        <v>#REF!</v>
      </c>
      <c r="DM303" t="e">
        <f>AND(#REF!,"AAAAAD/fY3Q=")</f>
        <v>#REF!</v>
      </c>
      <c r="DN303" t="e">
        <f>AND(#REF!,"AAAAAD/fY3U=")</f>
        <v>#REF!</v>
      </c>
      <c r="DO303" t="e">
        <f>AND(#REF!,"AAAAAD/fY3Y=")</f>
        <v>#REF!</v>
      </c>
      <c r="DP303" t="e">
        <f>AND(#REF!,"AAAAAD/fY3c=")</f>
        <v>#REF!</v>
      </c>
      <c r="DQ303" t="e">
        <f>AND(#REF!,"AAAAAD/fY3g=")</f>
        <v>#REF!</v>
      </c>
      <c r="DR303" t="e">
        <f>AND(#REF!,"AAAAAD/fY3k=")</f>
        <v>#REF!</v>
      </c>
      <c r="DS303" t="e">
        <f>AND(#REF!,"AAAAAD/fY3o=")</f>
        <v>#REF!</v>
      </c>
      <c r="DT303" t="e">
        <f>AND(#REF!,"AAAAAD/fY3s=")</f>
        <v>#REF!</v>
      </c>
      <c r="DU303" t="e">
        <f>AND(#REF!,"AAAAAD/fY3w=")</f>
        <v>#REF!</v>
      </c>
      <c r="DV303" t="e">
        <f>AND(#REF!,"AAAAAD/fY30=")</f>
        <v>#REF!</v>
      </c>
      <c r="DW303" t="e">
        <f>AND(#REF!,"AAAAAD/fY34=")</f>
        <v>#REF!</v>
      </c>
      <c r="DX303" t="e">
        <f>AND(#REF!,"AAAAAD/fY38=")</f>
        <v>#REF!</v>
      </c>
      <c r="DY303" t="e">
        <f>AND(#REF!,"AAAAAD/fY4A=")</f>
        <v>#REF!</v>
      </c>
      <c r="DZ303" t="e">
        <f>AND(#REF!,"AAAAAD/fY4E=")</f>
        <v>#REF!</v>
      </c>
      <c r="EA303" t="e">
        <f>AND(#REF!,"AAAAAD/fY4I=")</f>
        <v>#REF!</v>
      </c>
      <c r="EB303" t="e">
        <f>AND(#REF!,"AAAAAD/fY4M=")</f>
        <v>#REF!</v>
      </c>
      <c r="EC303" t="e">
        <f>AND(#REF!,"AAAAAD/fY4Q=")</f>
        <v>#REF!</v>
      </c>
      <c r="ED303" t="e">
        <f>AND(#REF!,"AAAAAD/fY4U=")</f>
        <v>#REF!</v>
      </c>
      <c r="EE303" t="e">
        <f>AND(#REF!,"AAAAAD/fY4Y=")</f>
        <v>#REF!</v>
      </c>
      <c r="EF303" t="e">
        <f>AND(#REF!,"AAAAAD/fY4c=")</f>
        <v>#REF!</v>
      </c>
      <c r="EG303" t="e">
        <f>AND(#REF!,"AAAAAD/fY4g=")</f>
        <v>#REF!</v>
      </c>
      <c r="EH303" t="e">
        <f>AND(#REF!,"AAAAAD/fY4k=")</f>
        <v>#REF!</v>
      </c>
      <c r="EI303" t="e">
        <f>AND(#REF!,"AAAAAD/fY4o=")</f>
        <v>#REF!</v>
      </c>
      <c r="EJ303" t="e">
        <f>AND(#REF!,"AAAAAD/fY4s=")</f>
        <v>#REF!</v>
      </c>
      <c r="EK303" t="e">
        <f>AND(#REF!,"AAAAAD/fY4w=")</f>
        <v>#REF!</v>
      </c>
      <c r="EL303" t="e">
        <f>AND(#REF!,"AAAAAD/fY40=")</f>
        <v>#REF!</v>
      </c>
      <c r="EM303" t="e">
        <f>AND(#REF!,"AAAAAD/fY44=")</f>
        <v>#REF!</v>
      </c>
      <c r="EN303" t="e">
        <f>IF(#REF!,"AAAAAD/fY48=",0)</f>
        <v>#REF!</v>
      </c>
      <c r="EO303" t="e">
        <f>AND(#REF!,"AAAAAD/fY5A=")</f>
        <v>#REF!</v>
      </c>
      <c r="EP303" t="e">
        <f>AND(#REF!,"AAAAAD/fY5E=")</f>
        <v>#REF!</v>
      </c>
      <c r="EQ303" t="e">
        <f>AND(#REF!,"AAAAAD/fY5I=")</f>
        <v>#REF!</v>
      </c>
      <c r="ER303" t="e">
        <f>AND(#REF!,"AAAAAD/fY5M=")</f>
        <v>#REF!</v>
      </c>
      <c r="ES303" t="e">
        <f>AND(#REF!,"AAAAAD/fY5Q=")</f>
        <v>#REF!</v>
      </c>
      <c r="ET303" t="e">
        <f>AND(#REF!,"AAAAAD/fY5U=")</f>
        <v>#REF!</v>
      </c>
      <c r="EU303" t="e">
        <f>AND(#REF!,"AAAAAD/fY5Y=")</f>
        <v>#REF!</v>
      </c>
      <c r="EV303" t="e">
        <f>AND(#REF!,"AAAAAD/fY5c=")</f>
        <v>#REF!</v>
      </c>
      <c r="EW303" t="e">
        <f>AND(#REF!,"AAAAAD/fY5g=")</f>
        <v>#REF!</v>
      </c>
      <c r="EX303" t="e">
        <f>AND(#REF!,"AAAAAD/fY5k=")</f>
        <v>#REF!</v>
      </c>
      <c r="EY303" t="e">
        <f>AND(#REF!,"AAAAAD/fY5o=")</f>
        <v>#REF!</v>
      </c>
      <c r="EZ303" t="e">
        <f>AND(#REF!,"AAAAAD/fY5s=")</f>
        <v>#REF!</v>
      </c>
      <c r="FA303" t="e">
        <f>AND(#REF!,"AAAAAD/fY5w=")</f>
        <v>#REF!</v>
      </c>
      <c r="FB303" t="e">
        <f>AND(#REF!,"AAAAAD/fY50=")</f>
        <v>#REF!</v>
      </c>
      <c r="FC303" t="e">
        <f>AND(#REF!,"AAAAAD/fY54=")</f>
        <v>#REF!</v>
      </c>
      <c r="FD303" t="e">
        <f>AND(#REF!,"AAAAAD/fY58=")</f>
        <v>#REF!</v>
      </c>
      <c r="FE303" t="e">
        <f>AND(#REF!,"AAAAAD/fY6A=")</f>
        <v>#REF!</v>
      </c>
      <c r="FF303" t="e">
        <f>AND(#REF!,"AAAAAD/fY6E=")</f>
        <v>#REF!</v>
      </c>
      <c r="FG303" t="e">
        <f>AND(#REF!,"AAAAAD/fY6I=")</f>
        <v>#REF!</v>
      </c>
      <c r="FH303" t="e">
        <f>AND(#REF!,"AAAAAD/fY6M=")</f>
        <v>#REF!</v>
      </c>
      <c r="FI303" t="e">
        <f>AND(#REF!,"AAAAAD/fY6Q=")</f>
        <v>#REF!</v>
      </c>
      <c r="FJ303" t="e">
        <f>AND(#REF!,"AAAAAD/fY6U=")</f>
        <v>#REF!</v>
      </c>
      <c r="FK303" t="e">
        <f>AND(#REF!,"AAAAAD/fY6Y=")</f>
        <v>#REF!</v>
      </c>
      <c r="FL303" t="e">
        <f>AND(#REF!,"AAAAAD/fY6c=")</f>
        <v>#REF!</v>
      </c>
      <c r="FM303" t="e">
        <f>AND(#REF!,"AAAAAD/fY6g=")</f>
        <v>#REF!</v>
      </c>
      <c r="FN303" t="e">
        <f>AND(#REF!,"AAAAAD/fY6k=")</f>
        <v>#REF!</v>
      </c>
      <c r="FO303" t="e">
        <f>AND(#REF!,"AAAAAD/fY6o=")</f>
        <v>#REF!</v>
      </c>
      <c r="FP303" t="e">
        <f>AND(#REF!,"AAAAAD/fY6s=")</f>
        <v>#REF!</v>
      </c>
      <c r="FQ303" t="e">
        <f>AND(#REF!,"AAAAAD/fY6w=")</f>
        <v>#REF!</v>
      </c>
      <c r="FR303" t="e">
        <f>AND(#REF!,"AAAAAD/fY60=")</f>
        <v>#REF!</v>
      </c>
      <c r="FS303" t="e">
        <f>AND(#REF!,"AAAAAD/fY64=")</f>
        <v>#REF!</v>
      </c>
      <c r="FT303" t="e">
        <f>AND(#REF!,"AAAAAD/fY68=")</f>
        <v>#REF!</v>
      </c>
      <c r="FU303" t="e">
        <f>AND(#REF!,"AAAAAD/fY7A=")</f>
        <v>#REF!</v>
      </c>
      <c r="FV303" t="e">
        <f>AND(#REF!,"AAAAAD/fY7E=")</f>
        <v>#REF!</v>
      </c>
      <c r="FW303" t="e">
        <f>AND(#REF!,"AAAAAD/fY7I=")</f>
        <v>#REF!</v>
      </c>
      <c r="FX303" t="e">
        <f>AND(#REF!,"AAAAAD/fY7M=")</f>
        <v>#REF!</v>
      </c>
      <c r="FY303" t="e">
        <f>AND(#REF!,"AAAAAD/fY7Q=")</f>
        <v>#REF!</v>
      </c>
      <c r="FZ303" t="e">
        <f>AND(#REF!,"AAAAAD/fY7U=")</f>
        <v>#REF!</v>
      </c>
      <c r="GA303" t="e">
        <f>AND(#REF!,"AAAAAD/fY7Y=")</f>
        <v>#REF!</v>
      </c>
      <c r="GB303" t="e">
        <f>AND(#REF!,"AAAAAD/fY7c=")</f>
        <v>#REF!</v>
      </c>
      <c r="GC303" t="e">
        <f>AND(#REF!,"AAAAAD/fY7g=")</f>
        <v>#REF!</v>
      </c>
      <c r="GD303" t="e">
        <f>AND(#REF!,"AAAAAD/fY7k=")</f>
        <v>#REF!</v>
      </c>
      <c r="GE303" t="e">
        <f>AND(#REF!,"AAAAAD/fY7o=")</f>
        <v>#REF!</v>
      </c>
      <c r="GF303" t="e">
        <f>AND(#REF!,"AAAAAD/fY7s=")</f>
        <v>#REF!</v>
      </c>
      <c r="GG303" t="e">
        <f>AND(#REF!,"AAAAAD/fY7w=")</f>
        <v>#REF!</v>
      </c>
      <c r="GH303" t="e">
        <f>AND(#REF!,"AAAAAD/fY70=")</f>
        <v>#REF!</v>
      </c>
      <c r="GI303" t="e">
        <f>AND(#REF!,"AAAAAD/fY74=")</f>
        <v>#REF!</v>
      </c>
      <c r="GJ303" t="e">
        <f>AND(#REF!,"AAAAAD/fY78=")</f>
        <v>#REF!</v>
      </c>
      <c r="GK303" t="e">
        <f>AND(#REF!,"AAAAAD/fY8A=")</f>
        <v>#REF!</v>
      </c>
      <c r="GL303" t="e">
        <f>AND(#REF!,"AAAAAD/fY8E=")</f>
        <v>#REF!</v>
      </c>
      <c r="GM303" t="e">
        <f>AND(#REF!,"AAAAAD/fY8I=")</f>
        <v>#REF!</v>
      </c>
      <c r="GN303" t="e">
        <f>IF(#REF!,"AAAAAD/fY8M=",0)</f>
        <v>#REF!</v>
      </c>
      <c r="GO303" t="e">
        <f>AND(#REF!,"AAAAAD/fY8Q=")</f>
        <v>#REF!</v>
      </c>
      <c r="GP303" t="e">
        <f>AND(#REF!,"AAAAAD/fY8U=")</f>
        <v>#REF!</v>
      </c>
      <c r="GQ303" t="e">
        <f>AND(#REF!,"AAAAAD/fY8Y=")</f>
        <v>#REF!</v>
      </c>
      <c r="GR303" t="e">
        <f>AND(#REF!,"AAAAAD/fY8c=")</f>
        <v>#REF!</v>
      </c>
      <c r="GS303" t="e">
        <f>AND(#REF!,"AAAAAD/fY8g=")</f>
        <v>#REF!</v>
      </c>
      <c r="GT303" t="e">
        <f>AND(#REF!,"AAAAAD/fY8k=")</f>
        <v>#REF!</v>
      </c>
      <c r="GU303" t="e">
        <f>AND(#REF!,"AAAAAD/fY8o=")</f>
        <v>#REF!</v>
      </c>
      <c r="GV303" t="e">
        <f>AND(#REF!,"AAAAAD/fY8s=")</f>
        <v>#REF!</v>
      </c>
      <c r="GW303" t="e">
        <f>AND(#REF!,"AAAAAD/fY8w=")</f>
        <v>#REF!</v>
      </c>
      <c r="GX303" t="e">
        <f>AND(#REF!,"AAAAAD/fY80=")</f>
        <v>#REF!</v>
      </c>
      <c r="GY303" t="e">
        <f>AND(#REF!,"AAAAAD/fY84=")</f>
        <v>#REF!</v>
      </c>
      <c r="GZ303" t="e">
        <f>AND(#REF!,"AAAAAD/fY88=")</f>
        <v>#REF!</v>
      </c>
      <c r="HA303" t="e">
        <f>AND(#REF!,"AAAAAD/fY9A=")</f>
        <v>#REF!</v>
      </c>
      <c r="HB303" t="e">
        <f>AND(#REF!,"AAAAAD/fY9E=")</f>
        <v>#REF!</v>
      </c>
      <c r="HC303" t="e">
        <f>AND(#REF!,"AAAAAD/fY9I=")</f>
        <v>#REF!</v>
      </c>
      <c r="HD303" t="e">
        <f>AND(#REF!,"AAAAAD/fY9M=")</f>
        <v>#REF!</v>
      </c>
      <c r="HE303" t="e">
        <f>AND(#REF!,"AAAAAD/fY9Q=")</f>
        <v>#REF!</v>
      </c>
      <c r="HF303" t="e">
        <f>AND(#REF!,"AAAAAD/fY9U=")</f>
        <v>#REF!</v>
      </c>
      <c r="HG303" t="e">
        <f>AND(#REF!,"AAAAAD/fY9Y=")</f>
        <v>#REF!</v>
      </c>
      <c r="HH303" t="e">
        <f>AND(#REF!,"AAAAAD/fY9c=")</f>
        <v>#REF!</v>
      </c>
      <c r="HI303" t="e">
        <f>AND(#REF!,"AAAAAD/fY9g=")</f>
        <v>#REF!</v>
      </c>
      <c r="HJ303" t="e">
        <f>AND(#REF!,"AAAAAD/fY9k=")</f>
        <v>#REF!</v>
      </c>
      <c r="HK303" t="e">
        <f>AND(#REF!,"AAAAAD/fY9o=")</f>
        <v>#REF!</v>
      </c>
      <c r="HL303" t="e">
        <f>AND(#REF!,"AAAAAD/fY9s=")</f>
        <v>#REF!</v>
      </c>
      <c r="HM303" t="e">
        <f>AND(#REF!,"AAAAAD/fY9w=")</f>
        <v>#REF!</v>
      </c>
      <c r="HN303" t="e">
        <f>AND(#REF!,"AAAAAD/fY90=")</f>
        <v>#REF!</v>
      </c>
      <c r="HO303" t="e">
        <f>AND(#REF!,"AAAAAD/fY94=")</f>
        <v>#REF!</v>
      </c>
      <c r="HP303" t="e">
        <f>AND(#REF!,"AAAAAD/fY98=")</f>
        <v>#REF!</v>
      </c>
      <c r="HQ303" t="e">
        <f>AND(#REF!,"AAAAAD/fY+A=")</f>
        <v>#REF!</v>
      </c>
      <c r="HR303" t="e">
        <f>AND(#REF!,"AAAAAD/fY+E=")</f>
        <v>#REF!</v>
      </c>
      <c r="HS303" t="e">
        <f>AND(#REF!,"AAAAAD/fY+I=")</f>
        <v>#REF!</v>
      </c>
      <c r="HT303" t="e">
        <f>AND(#REF!,"AAAAAD/fY+M=")</f>
        <v>#REF!</v>
      </c>
      <c r="HU303" t="e">
        <f>AND(#REF!,"AAAAAD/fY+Q=")</f>
        <v>#REF!</v>
      </c>
      <c r="HV303" t="e">
        <f>AND(#REF!,"AAAAAD/fY+U=")</f>
        <v>#REF!</v>
      </c>
      <c r="HW303" t="e">
        <f>AND(#REF!,"AAAAAD/fY+Y=")</f>
        <v>#REF!</v>
      </c>
      <c r="HX303" t="e">
        <f>AND(#REF!,"AAAAAD/fY+c=")</f>
        <v>#REF!</v>
      </c>
      <c r="HY303" t="e">
        <f>AND(#REF!,"AAAAAD/fY+g=")</f>
        <v>#REF!</v>
      </c>
      <c r="HZ303" t="e">
        <f>AND(#REF!,"AAAAAD/fY+k=")</f>
        <v>#REF!</v>
      </c>
      <c r="IA303" t="e">
        <f>AND(#REF!,"AAAAAD/fY+o=")</f>
        <v>#REF!</v>
      </c>
      <c r="IB303" t="e">
        <f>AND(#REF!,"AAAAAD/fY+s=")</f>
        <v>#REF!</v>
      </c>
      <c r="IC303" t="e">
        <f>AND(#REF!,"AAAAAD/fY+w=")</f>
        <v>#REF!</v>
      </c>
      <c r="ID303" t="e">
        <f>AND(#REF!,"AAAAAD/fY+0=")</f>
        <v>#REF!</v>
      </c>
      <c r="IE303" t="e">
        <f>AND(#REF!,"AAAAAD/fY+4=")</f>
        <v>#REF!</v>
      </c>
      <c r="IF303" t="e">
        <f>AND(#REF!,"AAAAAD/fY+8=")</f>
        <v>#REF!</v>
      </c>
      <c r="IG303" t="e">
        <f>AND(#REF!,"AAAAAD/fY/A=")</f>
        <v>#REF!</v>
      </c>
      <c r="IH303" t="e">
        <f>AND(#REF!,"AAAAAD/fY/E=")</f>
        <v>#REF!</v>
      </c>
      <c r="II303" t="e">
        <f>AND(#REF!,"AAAAAD/fY/I=")</f>
        <v>#REF!</v>
      </c>
      <c r="IJ303" t="e">
        <f>AND(#REF!,"AAAAAD/fY/M=")</f>
        <v>#REF!</v>
      </c>
      <c r="IK303" t="e">
        <f>AND(#REF!,"AAAAAD/fY/Q=")</f>
        <v>#REF!</v>
      </c>
      <c r="IL303" t="e">
        <f>AND(#REF!,"AAAAAD/fY/U=")</f>
        <v>#REF!</v>
      </c>
      <c r="IM303" t="e">
        <f>AND(#REF!,"AAAAAD/fY/Y=")</f>
        <v>#REF!</v>
      </c>
      <c r="IN303" t="e">
        <f>IF(#REF!,"AAAAAD/fY/c=",0)</f>
        <v>#REF!</v>
      </c>
      <c r="IO303" t="e">
        <f>AND(#REF!,"AAAAAD/fY/g=")</f>
        <v>#REF!</v>
      </c>
      <c r="IP303" t="e">
        <f>AND(#REF!,"AAAAAD/fY/k=")</f>
        <v>#REF!</v>
      </c>
      <c r="IQ303" t="e">
        <f>AND(#REF!,"AAAAAD/fY/o=")</f>
        <v>#REF!</v>
      </c>
      <c r="IR303" t="e">
        <f>AND(#REF!,"AAAAAD/fY/s=")</f>
        <v>#REF!</v>
      </c>
      <c r="IS303" t="e">
        <f>AND(#REF!,"AAAAAD/fY/w=")</f>
        <v>#REF!</v>
      </c>
      <c r="IT303" t="e">
        <f>AND(#REF!,"AAAAAD/fY/0=")</f>
        <v>#REF!</v>
      </c>
      <c r="IU303" t="e">
        <f>AND(#REF!,"AAAAAD/fY/4=")</f>
        <v>#REF!</v>
      </c>
      <c r="IV303" t="e">
        <f>AND(#REF!,"AAAAAD/fY/8=")</f>
        <v>#REF!</v>
      </c>
    </row>
    <row r="304" spans="1:256">
      <c r="A304" t="e">
        <f>AND(#REF!,"AAAAAGfv/gA=")</f>
        <v>#REF!</v>
      </c>
      <c r="B304" t="e">
        <f>AND(#REF!,"AAAAAGfv/gE=")</f>
        <v>#REF!</v>
      </c>
      <c r="C304" t="e">
        <f>AND(#REF!,"AAAAAGfv/gI=")</f>
        <v>#REF!</v>
      </c>
      <c r="D304" t="e">
        <f>AND(#REF!,"AAAAAGfv/gM=")</f>
        <v>#REF!</v>
      </c>
      <c r="E304" t="e">
        <f>AND(#REF!,"AAAAAGfv/gQ=")</f>
        <v>#REF!</v>
      </c>
      <c r="F304" t="e">
        <f>AND(#REF!,"AAAAAGfv/gU=")</f>
        <v>#REF!</v>
      </c>
      <c r="G304" t="e">
        <f>AND(#REF!,"AAAAAGfv/gY=")</f>
        <v>#REF!</v>
      </c>
      <c r="H304" t="e">
        <f>AND(#REF!,"AAAAAGfv/gc=")</f>
        <v>#REF!</v>
      </c>
      <c r="I304" t="e">
        <f>AND(#REF!,"AAAAAGfv/gg=")</f>
        <v>#REF!</v>
      </c>
      <c r="J304" t="e">
        <f>AND(#REF!,"AAAAAGfv/gk=")</f>
        <v>#REF!</v>
      </c>
      <c r="K304" t="e">
        <f>AND(#REF!,"AAAAAGfv/go=")</f>
        <v>#REF!</v>
      </c>
      <c r="L304" t="e">
        <f>AND(#REF!,"AAAAAGfv/gs=")</f>
        <v>#REF!</v>
      </c>
      <c r="M304" t="e">
        <f>AND(#REF!,"AAAAAGfv/gw=")</f>
        <v>#REF!</v>
      </c>
      <c r="N304" t="e">
        <f>AND(#REF!,"AAAAAGfv/g0=")</f>
        <v>#REF!</v>
      </c>
      <c r="O304" t="e">
        <f>AND(#REF!,"AAAAAGfv/g4=")</f>
        <v>#REF!</v>
      </c>
      <c r="P304" t="e">
        <f>AND(#REF!,"AAAAAGfv/g8=")</f>
        <v>#REF!</v>
      </c>
      <c r="Q304" t="e">
        <f>AND(#REF!,"AAAAAGfv/hA=")</f>
        <v>#REF!</v>
      </c>
      <c r="R304" t="e">
        <f>AND(#REF!,"AAAAAGfv/hE=")</f>
        <v>#REF!</v>
      </c>
      <c r="S304" t="e">
        <f>AND(#REF!,"AAAAAGfv/hI=")</f>
        <v>#REF!</v>
      </c>
      <c r="T304" t="e">
        <f>AND(#REF!,"AAAAAGfv/hM=")</f>
        <v>#REF!</v>
      </c>
      <c r="U304" t="e">
        <f>AND(#REF!,"AAAAAGfv/hQ=")</f>
        <v>#REF!</v>
      </c>
      <c r="V304" t="e">
        <f>AND(#REF!,"AAAAAGfv/hU=")</f>
        <v>#REF!</v>
      </c>
      <c r="W304" t="e">
        <f>AND(#REF!,"AAAAAGfv/hY=")</f>
        <v>#REF!</v>
      </c>
      <c r="X304" t="e">
        <f>AND(#REF!,"AAAAAGfv/hc=")</f>
        <v>#REF!</v>
      </c>
      <c r="Y304" t="e">
        <f>AND(#REF!,"AAAAAGfv/hg=")</f>
        <v>#REF!</v>
      </c>
      <c r="Z304" t="e">
        <f>AND(#REF!,"AAAAAGfv/hk=")</f>
        <v>#REF!</v>
      </c>
      <c r="AA304" t="e">
        <f>AND(#REF!,"AAAAAGfv/ho=")</f>
        <v>#REF!</v>
      </c>
      <c r="AB304" t="e">
        <f>AND(#REF!,"AAAAAGfv/hs=")</f>
        <v>#REF!</v>
      </c>
      <c r="AC304" t="e">
        <f>AND(#REF!,"AAAAAGfv/hw=")</f>
        <v>#REF!</v>
      </c>
      <c r="AD304" t="e">
        <f>AND(#REF!,"AAAAAGfv/h0=")</f>
        <v>#REF!</v>
      </c>
      <c r="AE304" t="e">
        <f>AND(#REF!,"AAAAAGfv/h4=")</f>
        <v>#REF!</v>
      </c>
      <c r="AF304" t="e">
        <f>AND(#REF!,"AAAAAGfv/h8=")</f>
        <v>#REF!</v>
      </c>
      <c r="AG304" t="e">
        <f>AND(#REF!,"AAAAAGfv/iA=")</f>
        <v>#REF!</v>
      </c>
      <c r="AH304" t="e">
        <f>AND(#REF!,"AAAAAGfv/iE=")</f>
        <v>#REF!</v>
      </c>
      <c r="AI304" t="e">
        <f>AND(#REF!,"AAAAAGfv/iI=")</f>
        <v>#REF!</v>
      </c>
      <c r="AJ304" t="e">
        <f>AND(#REF!,"AAAAAGfv/iM=")</f>
        <v>#REF!</v>
      </c>
      <c r="AK304" t="e">
        <f>AND(#REF!,"AAAAAGfv/iQ=")</f>
        <v>#REF!</v>
      </c>
      <c r="AL304" t="e">
        <f>AND(#REF!,"AAAAAGfv/iU=")</f>
        <v>#REF!</v>
      </c>
      <c r="AM304" t="e">
        <f>AND(#REF!,"AAAAAGfv/iY=")</f>
        <v>#REF!</v>
      </c>
      <c r="AN304" t="e">
        <f>AND(#REF!,"AAAAAGfv/ic=")</f>
        <v>#REF!</v>
      </c>
      <c r="AO304" t="e">
        <f>AND(#REF!,"AAAAAGfv/ig=")</f>
        <v>#REF!</v>
      </c>
      <c r="AP304" t="e">
        <f>AND(#REF!,"AAAAAGfv/ik=")</f>
        <v>#REF!</v>
      </c>
      <c r="AQ304" t="e">
        <f>AND(#REF!,"AAAAAGfv/io=")</f>
        <v>#REF!</v>
      </c>
      <c r="AR304" t="e">
        <f>IF(#REF!,"AAAAAGfv/is=",0)</f>
        <v>#REF!</v>
      </c>
      <c r="AS304" t="e">
        <f>AND(#REF!,"AAAAAGfv/iw=")</f>
        <v>#REF!</v>
      </c>
      <c r="AT304" t="e">
        <f>AND(#REF!,"AAAAAGfv/i0=")</f>
        <v>#REF!</v>
      </c>
      <c r="AU304" t="e">
        <f>AND(#REF!,"AAAAAGfv/i4=")</f>
        <v>#REF!</v>
      </c>
      <c r="AV304" t="e">
        <f>AND(#REF!,"AAAAAGfv/i8=")</f>
        <v>#REF!</v>
      </c>
      <c r="AW304" t="e">
        <f>AND(#REF!,"AAAAAGfv/jA=")</f>
        <v>#REF!</v>
      </c>
      <c r="AX304" t="e">
        <f>AND(#REF!,"AAAAAGfv/jE=")</f>
        <v>#REF!</v>
      </c>
      <c r="AY304" t="e">
        <f>AND(#REF!,"AAAAAGfv/jI=")</f>
        <v>#REF!</v>
      </c>
      <c r="AZ304" t="e">
        <f>AND(#REF!,"AAAAAGfv/jM=")</f>
        <v>#REF!</v>
      </c>
      <c r="BA304" t="e">
        <f>AND(#REF!,"AAAAAGfv/jQ=")</f>
        <v>#REF!</v>
      </c>
      <c r="BB304" t="e">
        <f>AND(#REF!,"AAAAAGfv/jU=")</f>
        <v>#REF!</v>
      </c>
      <c r="BC304" t="e">
        <f>AND(#REF!,"AAAAAGfv/jY=")</f>
        <v>#REF!</v>
      </c>
      <c r="BD304" t="e">
        <f>AND(#REF!,"AAAAAGfv/jc=")</f>
        <v>#REF!</v>
      </c>
      <c r="BE304" t="e">
        <f>AND(#REF!,"AAAAAGfv/jg=")</f>
        <v>#REF!</v>
      </c>
      <c r="BF304" t="e">
        <f>AND(#REF!,"AAAAAGfv/jk=")</f>
        <v>#REF!</v>
      </c>
      <c r="BG304" t="e">
        <f>AND(#REF!,"AAAAAGfv/jo=")</f>
        <v>#REF!</v>
      </c>
      <c r="BH304" t="e">
        <f>AND(#REF!,"AAAAAGfv/js=")</f>
        <v>#REF!</v>
      </c>
      <c r="BI304" t="e">
        <f>AND(#REF!,"AAAAAGfv/jw=")</f>
        <v>#REF!</v>
      </c>
      <c r="BJ304" t="e">
        <f>AND(#REF!,"AAAAAGfv/j0=")</f>
        <v>#REF!</v>
      </c>
      <c r="BK304" t="e">
        <f>AND(#REF!,"AAAAAGfv/j4=")</f>
        <v>#REF!</v>
      </c>
      <c r="BL304" t="e">
        <f>AND(#REF!,"AAAAAGfv/j8=")</f>
        <v>#REF!</v>
      </c>
      <c r="BM304" t="e">
        <f>AND(#REF!,"AAAAAGfv/kA=")</f>
        <v>#REF!</v>
      </c>
      <c r="BN304" t="e">
        <f>AND(#REF!,"AAAAAGfv/kE=")</f>
        <v>#REF!</v>
      </c>
      <c r="BO304" t="e">
        <f>AND(#REF!,"AAAAAGfv/kI=")</f>
        <v>#REF!</v>
      </c>
      <c r="BP304" t="e">
        <f>AND(#REF!,"AAAAAGfv/kM=")</f>
        <v>#REF!</v>
      </c>
      <c r="BQ304" t="e">
        <f>AND(#REF!,"AAAAAGfv/kQ=")</f>
        <v>#REF!</v>
      </c>
      <c r="BR304" t="e">
        <f>AND(#REF!,"AAAAAGfv/kU=")</f>
        <v>#REF!</v>
      </c>
      <c r="BS304" t="e">
        <f>AND(#REF!,"AAAAAGfv/kY=")</f>
        <v>#REF!</v>
      </c>
      <c r="BT304" t="e">
        <f>AND(#REF!,"AAAAAGfv/kc=")</f>
        <v>#REF!</v>
      </c>
      <c r="BU304" t="e">
        <f>AND(#REF!,"AAAAAGfv/kg=")</f>
        <v>#REF!</v>
      </c>
      <c r="BV304" t="e">
        <f>AND(#REF!,"AAAAAGfv/kk=")</f>
        <v>#REF!</v>
      </c>
      <c r="BW304" t="e">
        <f>AND(#REF!,"AAAAAGfv/ko=")</f>
        <v>#REF!</v>
      </c>
      <c r="BX304" t="e">
        <f>AND(#REF!,"AAAAAGfv/ks=")</f>
        <v>#REF!</v>
      </c>
      <c r="BY304" t="e">
        <f>AND(#REF!,"AAAAAGfv/kw=")</f>
        <v>#REF!</v>
      </c>
      <c r="BZ304" t="e">
        <f>AND(#REF!,"AAAAAGfv/k0=")</f>
        <v>#REF!</v>
      </c>
      <c r="CA304" t="e">
        <f>AND(#REF!,"AAAAAGfv/k4=")</f>
        <v>#REF!</v>
      </c>
      <c r="CB304" t="e">
        <f>AND(#REF!,"AAAAAGfv/k8=")</f>
        <v>#REF!</v>
      </c>
      <c r="CC304" t="e">
        <f>AND(#REF!,"AAAAAGfv/lA=")</f>
        <v>#REF!</v>
      </c>
      <c r="CD304" t="e">
        <f>AND(#REF!,"AAAAAGfv/lE=")</f>
        <v>#REF!</v>
      </c>
      <c r="CE304" t="e">
        <f>AND(#REF!,"AAAAAGfv/lI=")</f>
        <v>#REF!</v>
      </c>
      <c r="CF304" t="e">
        <f>AND(#REF!,"AAAAAGfv/lM=")</f>
        <v>#REF!</v>
      </c>
      <c r="CG304" t="e">
        <f>AND(#REF!,"AAAAAGfv/lQ=")</f>
        <v>#REF!</v>
      </c>
      <c r="CH304" t="e">
        <f>AND(#REF!,"AAAAAGfv/lU=")</f>
        <v>#REF!</v>
      </c>
      <c r="CI304" t="e">
        <f>AND(#REF!,"AAAAAGfv/lY=")</f>
        <v>#REF!</v>
      </c>
      <c r="CJ304" t="e">
        <f>AND(#REF!,"AAAAAGfv/lc=")</f>
        <v>#REF!</v>
      </c>
      <c r="CK304" t="e">
        <f>AND(#REF!,"AAAAAGfv/lg=")</f>
        <v>#REF!</v>
      </c>
      <c r="CL304" t="e">
        <f>AND(#REF!,"AAAAAGfv/lk=")</f>
        <v>#REF!</v>
      </c>
      <c r="CM304" t="e">
        <f>AND(#REF!,"AAAAAGfv/lo=")</f>
        <v>#REF!</v>
      </c>
      <c r="CN304" t="e">
        <f>AND(#REF!,"AAAAAGfv/ls=")</f>
        <v>#REF!</v>
      </c>
      <c r="CO304" t="e">
        <f>AND(#REF!,"AAAAAGfv/lw=")</f>
        <v>#REF!</v>
      </c>
      <c r="CP304" t="e">
        <f>AND(#REF!,"AAAAAGfv/l0=")</f>
        <v>#REF!</v>
      </c>
      <c r="CQ304" t="e">
        <f>AND(#REF!,"AAAAAGfv/l4=")</f>
        <v>#REF!</v>
      </c>
      <c r="CR304" t="e">
        <f>IF(#REF!,"AAAAAGfv/l8=",0)</f>
        <v>#REF!</v>
      </c>
      <c r="CS304" t="e">
        <f>AND(#REF!,"AAAAAGfv/mA=")</f>
        <v>#REF!</v>
      </c>
      <c r="CT304" t="e">
        <f>AND(#REF!,"AAAAAGfv/mE=")</f>
        <v>#REF!</v>
      </c>
      <c r="CU304" t="e">
        <f>AND(#REF!,"AAAAAGfv/mI=")</f>
        <v>#REF!</v>
      </c>
      <c r="CV304" t="e">
        <f>AND(#REF!,"AAAAAGfv/mM=")</f>
        <v>#REF!</v>
      </c>
      <c r="CW304" t="e">
        <f>AND(#REF!,"AAAAAGfv/mQ=")</f>
        <v>#REF!</v>
      </c>
      <c r="CX304" t="e">
        <f>AND(#REF!,"AAAAAGfv/mU=")</f>
        <v>#REF!</v>
      </c>
      <c r="CY304" t="e">
        <f>AND(#REF!,"AAAAAGfv/mY=")</f>
        <v>#REF!</v>
      </c>
      <c r="CZ304" t="e">
        <f>AND(#REF!,"AAAAAGfv/mc=")</f>
        <v>#REF!</v>
      </c>
      <c r="DA304" t="e">
        <f>AND(#REF!,"AAAAAGfv/mg=")</f>
        <v>#REF!</v>
      </c>
      <c r="DB304" t="e">
        <f>AND(#REF!,"AAAAAGfv/mk=")</f>
        <v>#REF!</v>
      </c>
      <c r="DC304" t="e">
        <f>AND(#REF!,"AAAAAGfv/mo=")</f>
        <v>#REF!</v>
      </c>
      <c r="DD304" t="e">
        <f>AND(#REF!,"AAAAAGfv/ms=")</f>
        <v>#REF!</v>
      </c>
      <c r="DE304" t="e">
        <f>AND(#REF!,"AAAAAGfv/mw=")</f>
        <v>#REF!</v>
      </c>
      <c r="DF304" t="e">
        <f>AND(#REF!,"AAAAAGfv/m0=")</f>
        <v>#REF!</v>
      </c>
      <c r="DG304" t="e">
        <f>AND(#REF!,"AAAAAGfv/m4=")</f>
        <v>#REF!</v>
      </c>
      <c r="DH304" t="e">
        <f>AND(#REF!,"AAAAAGfv/m8=")</f>
        <v>#REF!</v>
      </c>
      <c r="DI304" t="e">
        <f>AND(#REF!,"AAAAAGfv/nA=")</f>
        <v>#REF!</v>
      </c>
      <c r="DJ304" t="e">
        <f>AND(#REF!,"AAAAAGfv/nE=")</f>
        <v>#REF!</v>
      </c>
      <c r="DK304" t="e">
        <f>AND(#REF!,"AAAAAGfv/nI=")</f>
        <v>#REF!</v>
      </c>
      <c r="DL304" t="e">
        <f>AND(#REF!,"AAAAAGfv/nM=")</f>
        <v>#REF!</v>
      </c>
      <c r="DM304" t="e">
        <f>AND(#REF!,"AAAAAGfv/nQ=")</f>
        <v>#REF!</v>
      </c>
      <c r="DN304" t="e">
        <f>AND(#REF!,"AAAAAGfv/nU=")</f>
        <v>#REF!</v>
      </c>
      <c r="DO304" t="e">
        <f>AND(#REF!,"AAAAAGfv/nY=")</f>
        <v>#REF!</v>
      </c>
      <c r="DP304" t="e">
        <f>AND(#REF!,"AAAAAGfv/nc=")</f>
        <v>#REF!</v>
      </c>
      <c r="DQ304" t="e">
        <f>AND(#REF!,"AAAAAGfv/ng=")</f>
        <v>#REF!</v>
      </c>
      <c r="DR304" t="e">
        <f>AND(#REF!,"AAAAAGfv/nk=")</f>
        <v>#REF!</v>
      </c>
      <c r="DS304" t="e">
        <f>AND(#REF!,"AAAAAGfv/no=")</f>
        <v>#REF!</v>
      </c>
      <c r="DT304" t="e">
        <f>AND(#REF!,"AAAAAGfv/ns=")</f>
        <v>#REF!</v>
      </c>
      <c r="DU304" t="e">
        <f>AND(#REF!,"AAAAAGfv/nw=")</f>
        <v>#REF!</v>
      </c>
      <c r="DV304" t="e">
        <f>AND(#REF!,"AAAAAGfv/n0=")</f>
        <v>#REF!</v>
      </c>
      <c r="DW304" t="e">
        <f>AND(#REF!,"AAAAAGfv/n4=")</f>
        <v>#REF!</v>
      </c>
      <c r="DX304" t="e">
        <f>AND(#REF!,"AAAAAGfv/n8=")</f>
        <v>#REF!</v>
      </c>
      <c r="DY304" t="e">
        <f>AND(#REF!,"AAAAAGfv/oA=")</f>
        <v>#REF!</v>
      </c>
      <c r="DZ304" t="e">
        <f>AND(#REF!,"AAAAAGfv/oE=")</f>
        <v>#REF!</v>
      </c>
      <c r="EA304" t="e">
        <f>AND(#REF!,"AAAAAGfv/oI=")</f>
        <v>#REF!</v>
      </c>
      <c r="EB304" t="e">
        <f>AND(#REF!,"AAAAAGfv/oM=")</f>
        <v>#REF!</v>
      </c>
      <c r="EC304" t="e">
        <f>AND(#REF!,"AAAAAGfv/oQ=")</f>
        <v>#REF!</v>
      </c>
      <c r="ED304" t="e">
        <f>AND(#REF!,"AAAAAGfv/oU=")</f>
        <v>#REF!</v>
      </c>
      <c r="EE304" t="e">
        <f>AND(#REF!,"AAAAAGfv/oY=")</f>
        <v>#REF!</v>
      </c>
      <c r="EF304" t="e">
        <f>AND(#REF!,"AAAAAGfv/oc=")</f>
        <v>#REF!</v>
      </c>
      <c r="EG304" t="e">
        <f>AND(#REF!,"AAAAAGfv/og=")</f>
        <v>#REF!</v>
      </c>
      <c r="EH304" t="e">
        <f>AND(#REF!,"AAAAAGfv/ok=")</f>
        <v>#REF!</v>
      </c>
      <c r="EI304" t="e">
        <f>AND(#REF!,"AAAAAGfv/oo=")</f>
        <v>#REF!</v>
      </c>
      <c r="EJ304" t="e">
        <f>AND(#REF!,"AAAAAGfv/os=")</f>
        <v>#REF!</v>
      </c>
      <c r="EK304" t="e">
        <f>AND(#REF!,"AAAAAGfv/ow=")</f>
        <v>#REF!</v>
      </c>
      <c r="EL304" t="e">
        <f>AND(#REF!,"AAAAAGfv/o0=")</f>
        <v>#REF!</v>
      </c>
      <c r="EM304" t="e">
        <f>AND(#REF!,"AAAAAGfv/o4=")</f>
        <v>#REF!</v>
      </c>
      <c r="EN304" t="e">
        <f>AND(#REF!,"AAAAAGfv/o8=")</f>
        <v>#REF!</v>
      </c>
      <c r="EO304" t="e">
        <f>AND(#REF!,"AAAAAGfv/pA=")</f>
        <v>#REF!</v>
      </c>
      <c r="EP304" t="e">
        <f>AND(#REF!,"AAAAAGfv/pE=")</f>
        <v>#REF!</v>
      </c>
      <c r="EQ304" t="e">
        <f>AND(#REF!,"AAAAAGfv/pI=")</f>
        <v>#REF!</v>
      </c>
      <c r="ER304" t="e">
        <f>IF(#REF!,"AAAAAGfv/pM=",0)</f>
        <v>#REF!</v>
      </c>
      <c r="ES304" t="e">
        <f>AND(#REF!,"AAAAAGfv/pQ=")</f>
        <v>#REF!</v>
      </c>
      <c r="ET304" t="e">
        <f>AND(#REF!,"AAAAAGfv/pU=")</f>
        <v>#REF!</v>
      </c>
      <c r="EU304" t="e">
        <f>AND(#REF!,"AAAAAGfv/pY=")</f>
        <v>#REF!</v>
      </c>
      <c r="EV304" t="e">
        <f>AND(#REF!,"AAAAAGfv/pc=")</f>
        <v>#REF!</v>
      </c>
      <c r="EW304" t="e">
        <f>AND(#REF!,"AAAAAGfv/pg=")</f>
        <v>#REF!</v>
      </c>
      <c r="EX304" t="e">
        <f>AND(#REF!,"AAAAAGfv/pk=")</f>
        <v>#REF!</v>
      </c>
      <c r="EY304" t="e">
        <f>AND(#REF!,"AAAAAGfv/po=")</f>
        <v>#REF!</v>
      </c>
      <c r="EZ304" t="e">
        <f>AND(#REF!,"AAAAAGfv/ps=")</f>
        <v>#REF!</v>
      </c>
      <c r="FA304" t="e">
        <f>AND(#REF!,"AAAAAGfv/pw=")</f>
        <v>#REF!</v>
      </c>
      <c r="FB304" t="e">
        <f>AND(#REF!,"AAAAAGfv/p0=")</f>
        <v>#REF!</v>
      </c>
      <c r="FC304" t="e">
        <f>AND(#REF!,"AAAAAGfv/p4=")</f>
        <v>#REF!</v>
      </c>
      <c r="FD304" t="e">
        <f>AND(#REF!,"AAAAAGfv/p8=")</f>
        <v>#REF!</v>
      </c>
      <c r="FE304" t="e">
        <f>AND(#REF!,"AAAAAGfv/qA=")</f>
        <v>#REF!</v>
      </c>
      <c r="FF304" t="e">
        <f>AND(#REF!,"AAAAAGfv/qE=")</f>
        <v>#REF!</v>
      </c>
      <c r="FG304" t="e">
        <f>AND(#REF!,"AAAAAGfv/qI=")</f>
        <v>#REF!</v>
      </c>
      <c r="FH304" t="e">
        <f>AND(#REF!,"AAAAAGfv/qM=")</f>
        <v>#REF!</v>
      </c>
      <c r="FI304" t="e">
        <f>AND(#REF!,"AAAAAGfv/qQ=")</f>
        <v>#REF!</v>
      </c>
      <c r="FJ304" t="e">
        <f>AND(#REF!,"AAAAAGfv/qU=")</f>
        <v>#REF!</v>
      </c>
      <c r="FK304" t="e">
        <f>AND(#REF!,"AAAAAGfv/qY=")</f>
        <v>#REF!</v>
      </c>
      <c r="FL304" t="e">
        <f>AND(#REF!,"AAAAAGfv/qc=")</f>
        <v>#REF!</v>
      </c>
      <c r="FM304" t="e">
        <f>AND(#REF!,"AAAAAGfv/qg=")</f>
        <v>#REF!</v>
      </c>
      <c r="FN304" t="e">
        <f>AND(#REF!,"AAAAAGfv/qk=")</f>
        <v>#REF!</v>
      </c>
      <c r="FO304" t="e">
        <f>AND(#REF!,"AAAAAGfv/qo=")</f>
        <v>#REF!</v>
      </c>
      <c r="FP304" t="e">
        <f>AND(#REF!,"AAAAAGfv/qs=")</f>
        <v>#REF!</v>
      </c>
      <c r="FQ304" t="e">
        <f>AND(#REF!,"AAAAAGfv/qw=")</f>
        <v>#REF!</v>
      </c>
      <c r="FR304" t="e">
        <f>AND(#REF!,"AAAAAGfv/q0=")</f>
        <v>#REF!</v>
      </c>
      <c r="FS304" t="e">
        <f>AND(#REF!,"AAAAAGfv/q4=")</f>
        <v>#REF!</v>
      </c>
      <c r="FT304" t="e">
        <f>AND(#REF!,"AAAAAGfv/q8=")</f>
        <v>#REF!</v>
      </c>
      <c r="FU304" t="e">
        <f>AND(#REF!,"AAAAAGfv/rA=")</f>
        <v>#REF!</v>
      </c>
      <c r="FV304" t="e">
        <f>AND(#REF!,"AAAAAGfv/rE=")</f>
        <v>#REF!</v>
      </c>
      <c r="FW304" t="e">
        <f>AND(#REF!,"AAAAAGfv/rI=")</f>
        <v>#REF!</v>
      </c>
      <c r="FX304" t="e">
        <f>AND(#REF!,"AAAAAGfv/rM=")</f>
        <v>#REF!</v>
      </c>
      <c r="FY304" t="e">
        <f>AND(#REF!,"AAAAAGfv/rQ=")</f>
        <v>#REF!</v>
      </c>
      <c r="FZ304" t="e">
        <f>AND(#REF!,"AAAAAGfv/rU=")</f>
        <v>#REF!</v>
      </c>
      <c r="GA304" t="e">
        <f>AND(#REF!,"AAAAAGfv/rY=")</f>
        <v>#REF!</v>
      </c>
      <c r="GB304" t="e">
        <f>AND(#REF!,"AAAAAGfv/rc=")</f>
        <v>#REF!</v>
      </c>
      <c r="GC304" t="e">
        <f>AND(#REF!,"AAAAAGfv/rg=")</f>
        <v>#REF!</v>
      </c>
      <c r="GD304" t="e">
        <f>AND(#REF!,"AAAAAGfv/rk=")</f>
        <v>#REF!</v>
      </c>
      <c r="GE304" t="e">
        <f>AND(#REF!,"AAAAAGfv/ro=")</f>
        <v>#REF!</v>
      </c>
      <c r="GF304" t="e">
        <f>AND(#REF!,"AAAAAGfv/rs=")</f>
        <v>#REF!</v>
      </c>
      <c r="GG304" t="e">
        <f>AND(#REF!,"AAAAAGfv/rw=")</f>
        <v>#REF!</v>
      </c>
      <c r="GH304" t="e">
        <f>AND(#REF!,"AAAAAGfv/r0=")</f>
        <v>#REF!</v>
      </c>
      <c r="GI304" t="e">
        <f>AND(#REF!,"AAAAAGfv/r4=")</f>
        <v>#REF!</v>
      </c>
      <c r="GJ304" t="e">
        <f>AND(#REF!,"AAAAAGfv/r8=")</f>
        <v>#REF!</v>
      </c>
      <c r="GK304" t="e">
        <f>AND(#REF!,"AAAAAGfv/sA=")</f>
        <v>#REF!</v>
      </c>
      <c r="GL304" t="e">
        <f>AND(#REF!,"AAAAAGfv/sE=")</f>
        <v>#REF!</v>
      </c>
      <c r="GM304" t="e">
        <f>AND(#REF!,"AAAAAGfv/sI=")</f>
        <v>#REF!</v>
      </c>
      <c r="GN304" t="e">
        <f>AND(#REF!,"AAAAAGfv/sM=")</f>
        <v>#REF!</v>
      </c>
      <c r="GO304" t="e">
        <f>AND(#REF!,"AAAAAGfv/sQ=")</f>
        <v>#REF!</v>
      </c>
      <c r="GP304" t="e">
        <f>AND(#REF!,"AAAAAGfv/sU=")</f>
        <v>#REF!</v>
      </c>
      <c r="GQ304" t="e">
        <f>AND(#REF!,"AAAAAGfv/sY=")</f>
        <v>#REF!</v>
      </c>
      <c r="GR304" t="e">
        <f>IF(#REF!,"AAAAAGfv/sc=",0)</f>
        <v>#REF!</v>
      </c>
      <c r="GS304" t="e">
        <f>AND(#REF!,"AAAAAGfv/sg=")</f>
        <v>#REF!</v>
      </c>
      <c r="GT304" t="e">
        <f>AND(#REF!,"AAAAAGfv/sk=")</f>
        <v>#REF!</v>
      </c>
      <c r="GU304" t="e">
        <f>AND(#REF!,"AAAAAGfv/so=")</f>
        <v>#REF!</v>
      </c>
      <c r="GV304" t="e">
        <f>AND(#REF!,"AAAAAGfv/ss=")</f>
        <v>#REF!</v>
      </c>
      <c r="GW304" t="e">
        <f>AND(#REF!,"AAAAAGfv/sw=")</f>
        <v>#REF!</v>
      </c>
      <c r="GX304" t="e">
        <f>AND(#REF!,"AAAAAGfv/s0=")</f>
        <v>#REF!</v>
      </c>
      <c r="GY304" t="e">
        <f>AND(#REF!,"AAAAAGfv/s4=")</f>
        <v>#REF!</v>
      </c>
      <c r="GZ304" t="e">
        <f>AND(#REF!,"AAAAAGfv/s8=")</f>
        <v>#REF!</v>
      </c>
      <c r="HA304" t="e">
        <f>AND(#REF!,"AAAAAGfv/tA=")</f>
        <v>#REF!</v>
      </c>
      <c r="HB304" t="e">
        <f>AND(#REF!,"AAAAAGfv/tE=")</f>
        <v>#REF!</v>
      </c>
      <c r="HC304" t="e">
        <f>AND(#REF!,"AAAAAGfv/tI=")</f>
        <v>#REF!</v>
      </c>
      <c r="HD304" t="e">
        <f>AND(#REF!,"AAAAAGfv/tM=")</f>
        <v>#REF!</v>
      </c>
      <c r="HE304" t="e">
        <f>AND(#REF!,"AAAAAGfv/tQ=")</f>
        <v>#REF!</v>
      </c>
      <c r="HF304" t="e">
        <f>AND(#REF!,"AAAAAGfv/tU=")</f>
        <v>#REF!</v>
      </c>
      <c r="HG304" t="e">
        <f>AND(#REF!,"AAAAAGfv/tY=")</f>
        <v>#REF!</v>
      </c>
      <c r="HH304" t="e">
        <f>AND(#REF!,"AAAAAGfv/tc=")</f>
        <v>#REF!</v>
      </c>
      <c r="HI304" t="e">
        <f>AND(#REF!,"AAAAAGfv/tg=")</f>
        <v>#REF!</v>
      </c>
      <c r="HJ304" t="e">
        <f>AND(#REF!,"AAAAAGfv/tk=")</f>
        <v>#REF!</v>
      </c>
      <c r="HK304" t="e">
        <f>AND(#REF!,"AAAAAGfv/to=")</f>
        <v>#REF!</v>
      </c>
      <c r="HL304" t="e">
        <f>AND(#REF!,"AAAAAGfv/ts=")</f>
        <v>#REF!</v>
      </c>
      <c r="HM304" t="e">
        <f>AND(#REF!,"AAAAAGfv/tw=")</f>
        <v>#REF!</v>
      </c>
      <c r="HN304" t="e">
        <f>AND(#REF!,"AAAAAGfv/t0=")</f>
        <v>#REF!</v>
      </c>
      <c r="HO304" t="e">
        <f>AND(#REF!,"AAAAAGfv/t4=")</f>
        <v>#REF!</v>
      </c>
      <c r="HP304" t="e">
        <f>AND(#REF!,"AAAAAGfv/t8=")</f>
        <v>#REF!</v>
      </c>
      <c r="HQ304" t="e">
        <f>AND(#REF!,"AAAAAGfv/uA=")</f>
        <v>#REF!</v>
      </c>
      <c r="HR304" t="e">
        <f>AND(#REF!,"AAAAAGfv/uE=")</f>
        <v>#REF!</v>
      </c>
      <c r="HS304" t="e">
        <f>AND(#REF!,"AAAAAGfv/uI=")</f>
        <v>#REF!</v>
      </c>
      <c r="HT304" t="e">
        <f>AND(#REF!,"AAAAAGfv/uM=")</f>
        <v>#REF!</v>
      </c>
      <c r="HU304" t="e">
        <f>AND(#REF!,"AAAAAGfv/uQ=")</f>
        <v>#REF!</v>
      </c>
      <c r="HV304" t="e">
        <f>AND(#REF!,"AAAAAGfv/uU=")</f>
        <v>#REF!</v>
      </c>
      <c r="HW304" t="e">
        <f>AND(#REF!,"AAAAAGfv/uY=")</f>
        <v>#REF!</v>
      </c>
      <c r="HX304" t="e">
        <f>AND(#REF!,"AAAAAGfv/uc=")</f>
        <v>#REF!</v>
      </c>
      <c r="HY304" t="e">
        <f>AND(#REF!,"AAAAAGfv/ug=")</f>
        <v>#REF!</v>
      </c>
      <c r="HZ304" t="e">
        <f>AND(#REF!,"AAAAAGfv/uk=")</f>
        <v>#REF!</v>
      </c>
      <c r="IA304" t="e">
        <f>AND(#REF!,"AAAAAGfv/uo=")</f>
        <v>#REF!</v>
      </c>
      <c r="IB304" t="e">
        <f>AND(#REF!,"AAAAAGfv/us=")</f>
        <v>#REF!</v>
      </c>
      <c r="IC304" t="e">
        <f>AND(#REF!,"AAAAAGfv/uw=")</f>
        <v>#REF!</v>
      </c>
      <c r="ID304" t="e">
        <f>AND(#REF!,"AAAAAGfv/u0=")</f>
        <v>#REF!</v>
      </c>
      <c r="IE304" t="e">
        <f>AND(#REF!,"AAAAAGfv/u4=")</f>
        <v>#REF!</v>
      </c>
      <c r="IF304" t="e">
        <f>AND(#REF!,"AAAAAGfv/u8=")</f>
        <v>#REF!</v>
      </c>
      <c r="IG304" t="e">
        <f>AND(#REF!,"AAAAAGfv/vA=")</f>
        <v>#REF!</v>
      </c>
      <c r="IH304" t="e">
        <f>AND(#REF!,"AAAAAGfv/vE=")</f>
        <v>#REF!</v>
      </c>
      <c r="II304" t="e">
        <f>AND(#REF!,"AAAAAGfv/vI=")</f>
        <v>#REF!</v>
      </c>
      <c r="IJ304" t="e">
        <f>AND(#REF!,"AAAAAGfv/vM=")</f>
        <v>#REF!</v>
      </c>
      <c r="IK304" t="e">
        <f>AND(#REF!,"AAAAAGfv/vQ=")</f>
        <v>#REF!</v>
      </c>
      <c r="IL304" t="e">
        <f>AND(#REF!,"AAAAAGfv/vU=")</f>
        <v>#REF!</v>
      </c>
      <c r="IM304" t="e">
        <f>AND(#REF!,"AAAAAGfv/vY=")</f>
        <v>#REF!</v>
      </c>
      <c r="IN304" t="e">
        <f>AND(#REF!,"AAAAAGfv/vc=")</f>
        <v>#REF!</v>
      </c>
      <c r="IO304" t="e">
        <f>AND(#REF!,"AAAAAGfv/vg=")</f>
        <v>#REF!</v>
      </c>
      <c r="IP304" t="e">
        <f>AND(#REF!,"AAAAAGfv/vk=")</f>
        <v>#REF!</v>
      </c>
      <c r="IQ304" t="e">
        <f>AND(#REF!,"AAAAAGfv/vo=")</f>
        <v>#REF!</v>
      </c>
      <c r="IR304" t="e">
        <f>IF(#REF!,"AAAAAGfv/vs=",0)</f>
        <v>#REF!</v>
      </c>
      <c r="IS304" t="e">
        <f>AND(#REF!,"AAAAAGfv/vw=")</f>
        <v>#REF!</v>
      </c>
      <c r="IT304" t="e">
        <f>AND(#REF!,"AAAAAGfv/v0=")</f>
        <v>#REF!</v>
      </c>
      <c r="IU304" t="e">
        <f>AND(#REF!,"AAAAAGfv/v4=")</f>
        <v>#REF!</v>
      </c>
      <c r="IV304" t="e">
        <f>AND(#REF!,"AAAAAGfv/v8=")</f>
        <v>#REF!</v>
      </c>
    </row>
    <row r="305" spans="1:256">
      <c r="A305" t="e">
        <f>AND(#REF!,"AAAAAFe3/wA=")</f>
        <v>#REF!</v>
      </c>
      <c r="B305" t="e">
        <f>AND(#REF!,"AAAAAFe3/wE=")</f>
        <v>#REF!</v>
      </c>
      <c r="C305" t="e">
        <f>AND(#REF!,"AAAAAFe3/wI=")</f>
        <v>#REF!</v>
      </c>
      <c r="D305" t="e">
        <f>AND(#REF!,"AAAAAFe3/wM=")</f>
        <v>#REF!</v>
      </c>
      <c r="E305" t="e">
        <f>AND(#REF!,"AAAAAFe3/wQ=")</f>
        <v>#REF!</v>
      </c>
      <c r="F305" t="e">
        <f>AND(#REF!,"AAAAAFe3/wU=")</f>
        <v>#REF!</v>
      </c>
      <c r="G305" t="e">
        <f>AND(#REF!,"AAAAAFe3/wY=")</f>
        <v>#REF!</v>
      </c>
      <c r="H305" t="e">
        <f>AND(#REF!,"AAAAAFe3/wc=")</f>
        <v>#REF!</v>
      </c>
      <c r="I305" t="e">
        <f>AND(#REF!,"AAAAAFe3/wg=")</f>
        <v>#REF!</v>
      </c>
      <c r="J305" t="e">
        <f>AND(#REF!,"AAAAAFe3/wk=")</f>
        <v>#REF!</v>
      </c>
      <c r="K305" t="e">
        <f>AND(#REF!,"AAAAAFe3/wo=")</f>
        <v>#REF!</v>
      </c>
      <c r="L305" t="e">
        <f>AND(#REF!,"AAAAAFe3/ws=")</f>
        <v>#REF!</v>
      </c>
      <c r="M305" t="e">
        <f>AND(#REF!,"AAAAAFe3/ww=")</f>
        <v>#REF!</v>
      </c>
      <c r="N305" t="e">
        <f>AND(#REF!,"AAAAAFe3/w0=")</f>
        <v>#REF!</v>
      </c>
      <c r="O305" t="e">
        <f>AND(#REF!,"AAAAAFe3/w4=")</f>
        <v>#REF!</v>
      </c>
      <c r="P305" t="e">
        <f>AND(#REF!,"AAAAAFe3/w8=")</f>
        <v>#REF!</v>
      </c>
      <c r="Q305" t="e">
        <f>AND(#REF!,"AAAAAFe3/xA=")</f>
        <v>#REF!</v>
      </c>
      <c r="R305" t="e">
        <f>AND(#REF!,"AAAAAFe3/xE=")</f>
        <v>#REF!</v>
      </c>
      <c r="S305" t="e">
        <f>AND(#REF!,"AAAAAFe3/xI=")</f>
        <v>#REF!</v>
      </c>
      <c r="T305" t="e">
        <f>AND(#REF!,"AAAAAFe3/xM=")</f>
        <v>#REF!</v>
      </c>
      <c r="U305" t="e">
        <f>AND(#REF!,"AAAAAFe3/xQ=")</f>
        <v>#REF!</v>
      </c>
      <c r="V305" t="e">
        <f>AND(#REF!,"AAAAAFe3/xU=")</f>
        <v>#REF!</v>
      </c>
      <c r="W305" t="e">
        <f>AND(#REF!,"AAAAAFe3/xY=")</f>
        <v>#REF!</v>
      </c>
      <c r="X305" t="e">
        <f>AND(#REF!,"AAAAAFe3/xc=")</f>
        <v>#REF!</v>
      </c>
      <c r="Y305" t="e">
        <f>AND(#REF!,"AAAAAFe3/xg=")</f>
        <v>#REF!</v>
      </c>
      <c r="Z305" t="e">
        <f>AND(#REF!,"AAAAAFe3/xk=")</f>
        <v>#REF!</v>
      </c>
      <c r="AA305" t="e">
        <f>AND(#REF!,"AAAAAFe3/xo=")</f>
        <v>#REF!</v>
      </c>
      <c r="AB305" t="e">
        <f>AND(#REF!,"AAAAAFe3/xs=")</f>
        <v>#REF!</v>
      </c>
      <c r="AC305" t="e">
        <f>AND(#REF!,"AAAAAFe3/xw=")</f>
        <v>#REF!</v>
      </c>
      <c r="AD305" t="e">
        <f>AND(#REF!,"AAAAAFe3/x0=")</f>
        <v>#REF!</v>
      </c>
      <c r="AE305" t="e">
        <f>AND(#REF!,"AAAAAFe3/x4=")</f>
        <v>#REF!</v>
      </c>
      <c r="AF305" t="e">
        <f>AND(#REF!,"AAAAAFe3/x8=")</f>
        <v>#REF!</v>
      </c>
      <c r="AG305" t="e">
        <f>AND(#REF!,"AAAAAFe3/yA=")</f>
        <v>#REF!</v>
      </c>
      <c r="AH305" t="e">
        <f>AND(#REF!,"AAAAAFe3/yE=")</f>
        <v>#REF!</v>
      </c>
      <c r="AI305" t="e">
        <f>AND(#REF!,"AAAAAFe3/yI=")</f>
        <v>#REF!</v>
      </c>
      <c r="AJ305" t="e">
        <f>AND(#REF!,"AAAAAFe3/yM=")</f>
        <v>#REF!</v>
      </c>
      <c r="AK305" t="e">
        <f>AND(#REF!,"AAAAAFe3/yQ=")</f>
        <v>#REF!</v>
      </c>
      <c r="AL305" t="e">
        <f>AND(#REF!,"AAAAAFe3/yU=")</f>
        <v>#REF!</v>
      </c>
      <c r="AM305" t="e">
        <f>AND(#REF!,"AAAAAFe3/yY=")</f>
        <v>#REF!</v>
      </c>
      <c r="AN305" t="e">
        <f>AND(#REF!,"AAAAAFe3/yc=")</f>
        <v>#REF!</v>
      </c>
      <c r="AO305" t="e">
        <f>AND(#REF!,"AAAAAFe3/yg=")</f>
        <v>#REF!</v>
      </c>
      <c r="AP305" t="e">
        <f>AND(#REF!,"AAAAAFe3/yk=")</f>
        <v>#REF!</v>
      </c>
      <c r="AQ305" t="e">
        <f>AND(#REF!,"AAAAAFe3/yo=")</f>
        <v>#REF!</v>
      </c>
      <c r="AR305" t="e">
        <f>AND(#REF!,"AAAAAFe3/ys=")</f>
        <v>#REF!</v>
      </c>
      <c r="AS305" t="e">
        <f>AND(#REF!,"AAAAAFe3/yw=")</f>
        <v>#REF!</v>
      </c>
      <c r="AT305" t="e">
        <f>AND(#REF!,"AAAAAFe3/y0=")</f>
        <v>#REF!</v>
      </c>
      <c r="AU305" t="e">
        <f>AND(#REF!,"AAAAAFe3/y4=")</f>
        <v>#REF!</v>
      </c>
      <c r="AV305" t="e">
        <f>IF(#REF!,"AAAAAFe3/y8=",0)</f>
        <v>#REF!</v>
      </c>
      <c r="AW305" t="e">
        <f>AND(#REF!,"AAAAAFe3/zA=")</f>
        <v>#REF!</v>
      </c>
      <c r="AX305" t="e">
        <f>AND(#REF!,"AAAAAFe3/zE=")</f>
        <v>#REF!</v>
      </c>
      <c r="AY305" t="e">
        <f>AND(#REF!,"AAAAAFe3/zI=")</f>
        <v>#REF!</v>
      </c>
      <c r="AZ305" t="e">
        <f>AND(#REF!,"AAAAAFe3/zM=")</f>
        <v>#REF!</v>
      </c>
      <c r="BA305" t="e">
        <f>AND(#REF!,"AAAAAFe3/zQ=")</f>
        <v>#REF!</v>
      </c>
      <c r="BB305" t="e">
        <f>AND(#REF!,"AAAAAFe3/zU=")</f>
        <v>#REF!</v>
      </c>
      <c r="BC305" t="e">
        <f>AND(#REF!,"AAAAAFe3/zY=")</f>
        <v>#REF!</v>
      </c>
      <c r="BD305" t="e">
        <f>AND(#REF!,"AAAAAFe3/zc=")</f>
        <v>#REF!</v>
      </c>
      <c r="BE305" t="e">
        <f>AND(#REF!,"AAAAAFe3/zg=")</f>
        <v>#REF!</v>
      </c>
      <c r="BF305" t="e">
        <f>AND(#REF!,"AAAAAFe3/zk=")</f>
        <v>#REF!</v>
      </c>
      <c r="BG305" t="e">
        <f>AND(#REF!,"AAAAAFe3/zo=")</f>
        <v>#REF!</v>
      </c>
      <c r="BH305" t="e">
        <f>AND(#REF!,"AAAAAFe3/zs=")</f>
        <v>#REF!</v>
      </c>
      <c r="BI305" t="e">
        <f>AND(#REF!,"AAAAAFe3/zw=")</f>
        <v>#REF!</v>
      </c>
      <c r="BJ305" t="e">
        <f>AND(#REF!,"AAAAAFe3/z0=")</f>
        <v>#REF!</v>
      </c>
      <c r="BK305" t="e">
        <f>AND(#REF!,"AAAAAFe3/z4=")</f>
        <v>#REF!</v>
      </c>
      <c r="BL305" t="e">
        <f>AND(#REF!,"AAAAAFe3/z8=")</f>
        <v>#REF!</v>
      </c>
      <c r="BM305" t="e">
        <f>AND(#REF!,"AAAAAFe3/0A=")</f>
        <v>#REF!</v>
      </c>
      <c r="BN305" t="e">
        <f>AND(#REF!,"AAAAAFe3/0E=")</f>
        <v>#REF!</v>
      </c>
      <c r="BO305" t="e">
        <f>AND(#REF!,"AAAAAFe3/0I=")</f>
        <v>#REF!</v>
      </c>
      <c r="BP305" t="e">
        <f>AND(#REF!,"AAAAAFe3/0M=")</f>
        <v>#REF!</v>
      </c>
      <c r="BQ305" t="e">
        <f>AND(#REF!,"AAAAAFe3/0Q=")</f>
        <v>#REF!</v>
      </c>
      <c r="BR305" t="e">
        <f>AND(#REF!,"AAAAAFe3/0U=")</f>
        <v>#REF!</v>
      </c>
      <c r="BS305" t="e">
        <f>AND(#REF!,"AAAAAFe3/0Y=")</f>
        <v>#REF!</v>
      </c>
      <c r="BT305" t="e">
        <f>AND(#REF!,"AAAAAFe3/0c=")</f>
        <v>#REF!</v>
      </c>
      <c r="BU305" t="e">
        <f>AND(#REF!,"AAAAAFe3/0g=")</f>
        <v>#REF!</v>
      </c>
      <c r="BV305" t="e">
        <f>AND(#REF!,"AAAAAFe3/0k=")</f>
        <v>#REF!</v>
      </c>
      <c r="BW305" t="e">
        <f>AND(#REF!,"AAAAAFe3/0o=")</f>
        <v>#REF!</v>
      </c>
      <c r="BX305" t="e">
        <f>AND(#REF!,"AAAAAFe3/0s=")</f>
        <v>#REF!</v>
      </c>
      <c r="BY305" t="e">
        <f>AND(#REF!,"AAAAAFe3/0w=")</f>
        <v>#REF!</v>
      </c>
      <c r="BZ305" t="e">
        <f>AND(#REF!,"AAAAAFe3/00=")</f>
        <v>#REF!</v>
      </c>
      <c r="CA305" t="e">
        <f>AND(#REF!,"AAAAAFe3/04=")</f>
        <v>#REF!</v>
      </c>
      <c r="CB305" t="e">
        <f>AND(#REF!,"AAAAAFe3/08=")</f>
        <v>#REF!</v>
      </c>
      <c r="CC305" t="e">
        <f>AND(#REF!,"AAAAAFe3/1A=")</f>
        <v>#REF!</v>
      </c>
      <c r="CD305" t="e">
        <f>AND(#REF!,"AAAAAFe3/1E=")</f>
        <v>#REF!</v>
      </c>
      <c r="CE305" t="e">
        <f>AND(#REF!,"AAAAAFe3/1I=")</f>
        <v>#REF!</v>
      </c>
      <c r="CF305" t="e">
        <f>AND(#REF!,"AAAAAFe3/1M=")</f>
        <v>#REF!</v>
      </c>
      <c r="CG305" t="e">
        <f>AND(#REF!,"AAAAAFe3/1Q=")</f>
        <v>#REF!</v>
      </c>
      <c r="CH305" t="e">
        <f>AND(#REF!,"AAAAAFe3/1U=")</f>
        <v>#REF!</v>
      </c>
      <c r="CI305" t="e">
        <f>AND(#REF!,"AAAAAFe3/1Y=")</f>
        <v>#REF!</v>
      </c>
      <c r="CJ305" t="e">
        <f>AND(#REF!,"AAAAAFe3/1c=")</f>
        <v>#REF!</v>
      </c>
      <c r="CK305" t="e">
        <f>AND(#REF!,"AAAAAFe3/1g=")</f>
        <v>#REF!</v>
      </c>
      <c r="CL305" t="e">
        <f>AND(#REF!,"AAAAAFe3/1k=")</f>
        <v>#REF!</v>
      </c>
      <c r="CM305" t="e">
        <f>AND(#REF!,"AAAAAFe3/1o=")</f>
        <v>#REF!</v>
      </c>
      <c r="CN305" t="e">
        <f>AND(#REF!,"AAAAAFe3/1s=")</f>
        <v>#REF!</v>
      </c>
      <c r="CO305" t="e">
        <f>AND(#REF!,"AAAAAFe3/1w=")</f>
        <v>#REF!</v>
      </c>
      <c r="CP305" t="e">
        <f>AND(#REF!,"AAAAAFe3/10=")</f>
        <v>#REF!</v>
      </c>
      <c r="CQ305" t="e">
        <f>AND(#REF!,"AAAAAFe3/14=")</f>
        <v>#REF!</v>
      </c>
      <c r="CR305" t="e">
        <f>AND(#REF!,"AAAAAFe3/18=")</f>
        <v>#REF!</v>
      </c>
      <c r="CS305" t="e">
        <f>AND(#REF!,"AAAAAFe3/2A=")</f>
        <v>#REF!</v>
      </c>
      <c r="CT305" t="e">
        <f>AND(#REF!,"AAAAAFe3/2E=")</f>
        <v>#REF!</v>
      </c>
      <c r="CU305" t="e">
        <f>AND(#REF!,"AAAAAFe3/2I=")</f>
        <v>#REF!</v>
      </c>
      <c r="CV305" t="e">
        <f>IF(#REF!,"AAAAAFe3/2M=",0)</f>
        <v>#REF!</v>
      </c>
      <c r="CW305" t="e">
        <f>AND(#REF!,"AAAAAFe3/2Q=")</f>
        <v>#REF!</v>
      </c>
      <c r="CX305" t="e">
        <f>AND(#REF!,"AAAAAFe3/2U=")</f>
        <v>#REF!</v>
      </c>
      <c r="CY305" t="e">
        <f>AND(#REF!,"AAAAAFe3/2Y=")</f>
        <v>#REF!</v>
      </c>
      <c r="CZ305" t="e">
        <f>AND(#REF!,"AAAAAFe3/2c=")</f>
        <v>#REF!</v>
      </c>
      <c r="DA305" t="e">
        <f>AND(#REF!,"AAAAAFe3/2g=")</f>
        <v>#REF!</v>
      </c>
      <c r="DB305" t="e">
        <f>AND(#REF!,"AAAAAFe3/2k=")</f>
        <v>#REF!</v>
      </c>
      <c r="DC305" t="e">
        <f>AND(#REF!,"AAAAAFe3/2o=")</f>
        <v>#REF!</v>
      </c>
      <c r="DD305" t="e">
        <f>AND(#REF!,"AAAAAFe3/2s=")</f>
        <v>#REF!</v>
      </c>
      <c r="DE305" t="e">
        <f>AND(#REF!,"AAAAAFe3/2w=")</f>
        <v>#REF!</v>
      </c>
      <c r="DF305" t="e">
        <f>AND(#REF!,"AAAAAFe3/20=")</f>
        <v>#REF!</v>
      </c>
      <c r="DG305" t="e">
        <f>AND(#REF!,"AAAAAFe3/24=")</f>
        <v>#REF!</v>
      </c>
      <c r="DH305" t="e">
        <f>AND(#REF!,"AAAAAFe3/28=")</f>
        <v>#REF!</v>
      </c>
      <c r="DI305" t="e">
        <f>AND(#REF!,"AAAAAFe3/3A=")</f>
        <v>#REF!</v>
      </c>
      <c r="DJ305" t="e">
        <f>AND(#REF!,"AAAAAFe3/3E=")</f>
        <v>#REF!</v>
      </c>
      <c r="DK305" t="e">
        <f>AND(#REF!,"AAAAAFe3/3I=")</f>
        <v>#REF!</v>
      </c>
      <c r="DL305" t="e">
        <f>AND(#REF!,"AAAAAFe3/3M=")</f>
        <v>#REF!</v>
      </c>
      <c r="DM305" t="e">
        <f>AND(#REF!,"AAAAAFe3/3Q=")</f>
        <v>#REF!</v>
      </c>
      <c r="DN305" t="e">
        <f>AND(#REF!,"AAAAAFe3/3U=")</f>
        <v>#REF!</v>
      </c>
      <c r="DO305" t="e">
        <f>AND(#REF!,"AAAAAFe3/3Y=")</f>
        <v>#REF!</v>
      </c>
      <c r="DP305" t="e">
        <f>AND(#REF!,"AAAAAFe3/3c=")</f>
        <v>#REF!</v>
      </c>
      <c r="DQ305" t="e">
        <f>AND(#REF!,"AAAAAFe3/3g=")</f>
        <v>#REF!</v>
      </c>
      <c r="DR305" t="e">
        <f>AND(#REF!,"AAAAAFe3/3k=")</f>
        <v>#REF!</v>
      </c>
      <c r="DS305" t="e">
        <f>AND(#REF!,"AAAAAFe3/3o=")</f>
        <v>#REF!</v>
      </c>
      <c r="DT305" t="e">
        <f>AND(#REF!,"AAAAAFe3/3s=")</f>
        <v>#REF!</v>
      </c>
      <c r="DU305" t="e">
        <f>AND(#REF!,"AAAAAFe3/3w=")</f>
        <v>#REF!</v>
      </c>
      <c r="DV305" t="e">
        <f>AND(#REF!,"AAAAAFe3/30=")</f>
        <v>#REF!</v>
      </c>
      <c r="DW305" t="e">
        <f>AND(#REF!,"AAAAAFe3/34=")</f>
        <v>#REF!</v>
      </c>
      <c r="DX305" t="e">
        <f>AND(#REF!,"AAAAAFe3/38=")</f>
        <v>#REF!</v>
      </c>
      <c r="DY305" t="e">
        <f>AND(#REF!,"AAAAAFe3/4A=")</f>
        <v>#REF!</v>
      </c>
      <c r="DZ305" t="e">
        <f>AND(#REF!,"AAAAAFe3/4E=")</f>
        <v>#REF!</v>
      </c>
      <c r="EA305" t="e">
        <f>AND(#REF!,"AAAAAFe3/4I=")</f>
        <v>#REF!</v>
      </c>
      <c r="EB305" t="e">
        <f>AND(#REF!,"AAAAAFe3/4M=")</f>
        <v>#REF!</v>
      </c>
      <c r="EC305" t="e">
        <f>AND(#REF!,"AAAAAFe3/4Q=")</f>
        <v>#REF!</v>
      </c>
      <c r="ED305" t="e">
        <f>AND(#REF!,"AAAAAFe3/4U=")</f>
        <v>#REF!</v>
      </c>
      <c r="EE305" t="e">
        <f>AND(#REF!,"AAAAAFe3/4Y=")</f>
        <v>#REF!</v>
      </c>
      <c r="EF305" t="e">
        <f>AND(#REF!,"AAAAAFe3/4c=")</f>
        <v>#REF!</v>
      </c>
      <c r="EG305" t="e">
        <f>AND(#REF!,"AAAAAFe3/4g=")</f>
        <v>#REF!</v>
      </c>
      <c r="EH305" t="e">
        <f>AND(#REF!,"AAAAAFe3/4k=")</f>
        <v>#REF!</v>
      </c>
      <c r="EI305" t="e">
        <f>AND(#REF!,"AAAAAFe3/4o=")</f>
        <v>#REF!</v>
      </c>
      <c r="EJ305" t="e">
        <f>AND(#REF!,"AAAAAFe3/4s=")</f>
        <v>#REF!</v>
      </c>
      <c r="EK305" t="e">
        <f>AND(#REF!,"AAAAAFe3/4w=")</f>
        <v>#REF!</v>
      </c>
      <c r="EL305" t="e">
        <f>AND(#REF!,"AAAAAFe3/40=")</f>
        <v>#REF!</v>
      </c>
      <c r="EM305" t="e">
        <f>AND(#REF!,"AAAAAFe3/44=")</f>
        <v>#REF!</v>
      </c>
      <c r="EN305" t="e">
        <f>AND(#REF!,"AAAAAFe3/48=")</f>
        <v>#REF!</v>
      </c>
      <c r="EO305" t="e">
        <f>AND(#REF!,"AAAAAFe3/5A=")</f>
        <v>#REF!</v>
      </c>
      <c r="EP305" t="e">
        <f>AND(#REF!,"AAAAAFe3/5E=")</f>
        <v>#REF!</v>
      </c>
      <c r="EQ305" t="e">
        <f>AND(#REF!,"AAAAAFe3/5I=")</f>
        <v>#REF!</v>
      </c>
      <c r="ER305" t="e">
        <f>AND(#REF!,"AAAAAFe3/5M=")</f>
        <v>#REF!</v>
      </c>
      <c r="ES305" t="e">
        <f>AND(#REF!,"AAAAAFe3/5Q=")</f>
        <v>#REF!</v>
      </c>
      <c r="ET305" t="e">
        <f>AND(#REF!,"AAAAAFe3/5U=")</f>
        <v>#REF!</v>
      </c>
      <c r="EU305" t="e">
        <f>AND(#REF!,"AAAAAFe3/5Y=")</f>
        <v>#REF!</v>
      </c>
      <c r="EV305" t="e">
        <f>IF(#REF!,"AAAAAFe3/5c=",0)</f>
        <v>#REF!</v>
      </c>
      <c r="EW305" t="e">
        <f>AND(#REF!,"AAAAAFe3/5g=")</f>
        <v>#REF!</v>
      </c>
      <c r="EX305" t="e">
        <f>AND(#REF!,"AAAAAFe3/5k=")</f>
        <v>#REF!</v>
      </c>
      <c r="EY305" t="e">
        <f>AND(#REF!,"AAAAAFe3/5o=")</f>
        <v>#REF!</v>
      </c>
      <c r="EZ305" t="e">
        <f>AND(#REF!,"AAAAAFe3/5s=")</f>
        <v>#REF!</v>
      </c>
      <c r="FA305" t="e">
        <f>AND(#REF!,"AAAAAFe3/5w=")</f>
        <v>#REF!</v>
      </c>
      <c r="FB305" t="e">
        <f>AND(#REF!,"AAAAAFe3/50=")</f>
        <v>#REF!</v>
      </c>
      <c r="FC305" t="e">
        <f>AND(#REF!,"AAAAAFe3/54=")</f>
        <v>#REF!</v>
      </c>
      <c r="FD305" t="e">
        <f>AND(#REF!,"AAAAAFe3/58=")</f>
        <v>#REF!</v>
      </c>
      <c r="FE305" t="e">
        <f>AND(#REF!,"AAAAAFe3/6A=")</f>
        <v>#REF!</v>
      </c>
      <c r="FF305" t="e">
        <f>AND(#REF!,"AAAAAFe3/6E=")</f>
        <v>#REF!</v>
      </c>
      <c r="FG305" t="e">
        <f>AND(#REF!,"AAAAAFe3/6I=")</f>
        <v>#REF!</v>
      </c>
      <c r="FH305" t="e">
        <f>AND(#REF!,"AAAAAFe3/6M=")</f>
        <v>#REF!</v>
      </c>
      <c r="FI305" t="e">
        <f>AND(#REF!,"AAAAAFe3/6Q=")</f>
        <v>#REF!</v>
      </c>
      <c r="FJ305" t="e">
        <f>AND(#REF!,"AAAAAFe3/6U=")</f>
        <v>#REF!</v>
      </c>
      <c r="FK305" t="e">
        <f>AND(#REF!,"AAAAAFe3/6Y=")</f>
        <v>#REF!</v>
      </c>
      <c r="FL305" t="e">
        <f>AND(#REF!,"AAAAAFe3/6c=")</f>
        <v>#REF!</v>
      </c>
      <c r="FM305" t="e">
        <f>AND(#REF!,"AAAAAFe3/6g=")</f>
        <v>#REF!</v>
      </c>
      <c r="FN305" t="e">
        <f>AND(#REF!,"AAAAAFe3/6k=")</f>
        <v>#REF!</v>
      </c>
      <c r="FO305" t="e">
        <f>AND(#REF!,"AAAAAFe3/6o=")</f>
        <v>#REF!</v>
      </c>
      <c r="FP305" t="e">
        <f>AND(#REF!,"AAAAAFe3/6s=")</f>
        <v>#REF!</v>
      </c>
      <c r="FQ305" t="e">
        <f>AND(#REF!,"AAAAAFe3/6w=")</f>
        <v>#REF!</v>
      </c>
      <c r="FR305" t="e">
        <f>AND(#REF!,"AAAAAFe3/60=")</f>
        <v>#REF!</v>
      </c>
      <c r="FS305" t="e">
        <f>AND(#REF!,"AAAAAFe3/64=")</f>
        <v>#REF!</v>
      </c>
      <c r="FT305" t="e">
        <f>AND(#REF!,"AAAAAFe3/68=")</f>
        <v>#REF!</v>
      </c>
      <c r="FU305" t="e">
        <f>AND(#REF!,"AAAAAFe3/7A=")</f>
        <v>#REF!</v>
      </c>
      <c r="FV305" t="e">
        <f>AND(#REF!,"AAAAAFe3/7E=")</f>
        <v>#REF!</v>
      </c>
      <c r="FW305" t="e">
        <f>AND(#REF!,"AAAAAFe3/7I=")</f>
        <v>#REF!</v>
      </c>
      <c r="FX305" t="e">
        <f>AND(#REF!,"AAAAAFe3/7M=")</f>
        <v>#REF!</v>
      </c>
      <c r="FY305" t="e">
        <f>AND(#REF!,"AAAAAFe3/7Q=")</f>
        <v>#REF!</v>
      </c>
      <c r="FZ305" t="e">
        <f>AND(#REF!,"AAAAAFe3/7U=")</f>
        <v>#REF!</v>
      </c>
      <c r="GA305" t="e">
        <f>AND(#REF!,"AAAAAFe3/7Y=")</f>
        <v>#REF!</v>
      </c>
      <c r="GB305" t="e">
        <f>AND(#REF!,"AAAAAFe3/7c=")</f>
        <v>#REF!</v>
      </c>
      <c r="GC305" t="e">
        <f>AND(#REF!,"AAAAAFe3/7g=")</f>
        <v>#REF!</v>
      </c>
      <c r="GD305" t="e">
        <f>AND(#REF!,"AAAAAFe3/7k=")</f>
        <v>#REF!</v>
      </c>
      <c r="GE305" t="e">
        <f>AND(#REF!,"AAAAAFe3/7o=")</f>
        <v>#REF!</v>
      </c>
      <c r="GF305" t="e">
        <f>AND(#REF!,"AAAAAFe3/7s=")</f>
        <v>#REF!</v>
      </c>
      <c r="GG305" t="e">
        <f>AND(#REF!,"AAAAAFe3/7w=")</f>
        <v>#REF!</v>
      </c>
      <c r="GH305" t="e">
        <f>AND(#REF!,"AAAAAFe3/70=")</f>
        <v>#REF!</v>
      </c>
      <c r="GI305" t="e">
        <f>AND(#REF!,"AAAAAFe3/74=")</f>
        <v>#REF!</v>
      </c>
      <c r="GJ305" t="e">
        <f>AND(#REF!,"AAAAAFe3/78=")</f>
        <v>#REF!</v>
      </c>
      <c r="GK305" t="e">
        <f>AND(#REF!,"AAAAAFe3/8A=")</f>
        <v>#REF!</v>
      </c>
      <c r="GL305" t="e">
        <f>AND(#REF!,"AAAAAFe3/8E=")</f>
        <v>#REF!</v>
      </c>
      <c r="GM305" t="e">
        <f>AND(#REF!,"AAAAAFe3/8I=")</f>
        <v>#REF!</v>
      </c>
      <c r="GN305" t="e">
        <f>AND(#REF!,"AAAAAFe3/8M=")</f>
        <v>#REF!</v>
      </c>
      <c r="GO305" t="e">
        <f>AND(#REF!,"AAAAAFe3/8Q=")</f>
        <v>#REF!</v>
      </c>
      <c r="GP305" t="e">
        <f>AND(#REF!,"AAAAAFe3/8U=")</f>
        <v>#REF!</v>
      </c>
      <c r="GQ305" t="e">
        <f>AND(#REF!,"AAAAAFe3/8Y=")</f>
        <v>#REF!</v>
      </c>
      <c r="GR305" t="e">
        <f>AND(#REF!,"AAAAAFe3/8c=")</f>
        <v>#REF!</v>
      </c>
      <c r="GS305" t="e">
        <f>AND(#REF!,"AAAAAFe3/8g=")</f>
        <v>#REF!</v>
      </c>
      <c r="GT305" t="e">
        <f>AND(#REF!,"AAAAAFe3/8k=")</f>
        <v>#REF!</v>
      </c>
      <c r="GU305" t="e">
        <f>AND(#REF!,"AAAAAFe3/8o=")</f>
        <v>#REF!</v>
      </c>
      <c r="GV305" t="e">
        <f>IF(#REF!,"AAAAAFe3/8s=",0)</f>
        <v>#REF!</v>
      </c>
      <c r="GW305" t="e">
        <f>AND(#REF!,"AAAAAFe3/8w=")</f>
        <v>#REF!</v>
      </c>
      <c r="GX305" t="e">
        <f>AND(#REF!,"AAAAAFe3/80=")</f>
        <v>#REF!</v>
      </c>
      <c r="GY305" t="e">
        <f>AND(#REF!,"AAAAAFe3/84=")</f>
        <v>#REF!</v>
      </c>
      <c r="GZ305" t="e">
        <f>AND(#REF!,"AAAAAFe3/88=")</f>
        <v>#REF!</v>
      </c>
      <c r="HA305" t="e">
        <f>AND(#REF!,"AAAAAFe3/9A=")</f>
        <v>#REF!</v>
      </c>
      <c r="HB305" t="e">
        <f>AND(#REF!,"AAAAAFe3/9E=")</f>
        <v>#REF!</v>
      </c>
      <c r="HC305" t="e">
        <f>AND(#REF!,"AAAAAFe3/9I=")</f>
        <v>#REF!</v>
      </c>
      <c r="HD305" t="e">
        <f>AND(#REF!,"AAAAAFe3/9M=")</f>
        <v>#REF!</v>
      </c>
      <c r="HE305" t="e">
        <f>AND(#REF!,"AAAAAFe3/9Q=")</f>
        <v>#REF!</v>
      </c>
      <c r="HF305" t="e">
        <f>AND(#REF!,"AAAAAFe3/9U=")</f>
        <v>#REF!</v>
      </c>
      <c r="HG305" t="e">
        <f>AND(#REF!,"AAAAAFe3/9Y=")</f>
        <v>#REF!</v>
      </c>
      <c r="HH305" t="e">
        <f>AND(#REF!,"AAAAAFe3/9c=")</f>
        <v>#REF!</v>
      </c>
      <c r="HI305" t="e">
        <f>AND(#REF!,"AAAAAFe3/9g=")</f>
        <v>#REF!</v>
      </c>
      <c r="HJ305" t="e">
        <f>AND(#REF!,"AAAAAFe3/9k=")</f>
        <v>#REF!</v>
      </c>
      <c r="HK305" t="e">
        <f>AND(#REF!,"AAAAAFe3/9o=")</f>
        <v>#REF!</v>
      </c>
      <c r="HL305" t="e">
        <f>AND(#REF!,"AAAAAFe3/9s=")</f>
        <v>#REF!</v>
      </c>
      <c r="HM305" t="e">
        <f>AND(#REF!,"AAAAAFe3/9w=")</f>
        <v>#REF!</v>
      </c>
      <c r="HN305" t="e">
        <f>AND(#REF!,"AAAAAFe3/90=")</f>
        <v>#REF!</v>
      </c>
      <c r="HO305" t="e">
        <f>AND(#REF!,"AAAAAFe3/94=")</f>
        <v>#REF!</v>
      </c>
      <c r="HP305" t="e">
        <f>AND(#REF!,"AAAAAFe3/98=")</f>
        <v>#REF!</v>
      </c>
      <c r="HQ305" t="e">
        <f>AND(#REF!,"AAAAAFe3/+A=")</f>
        <v>#REF!</v>
      </c>
      <c r="HR305" t="e">
        <f>AND(#REF!,"AAAAAFe3/+E=")</f>
        <v>#REF!</v>
      </c>
      <c r="HS305" t="e">
        <f>AND(#REF!,"AAAAAFe3/+I=")</f>
        <v>#REF!</v>
      </c>
      <c r="HT305" t="e">
        <f>AND(#REF!,"AAAAAFe3/+M=")</f>
        <v>#REF!</v>
      </c>
      <c r="HU305" t="e">
        <f>AND(#REF!,"AAAAAFe3/+Q=")</f>
        <v>#REF!</v>
      </c>
      <c r="HV305" t="e">
        <f>AND(#REF!,"AAAAAFe3/+U=")</f>
        <v>#REF!</v>
      </c>
      <c r="HW305" t="e">
        <f>AND(#REF!,"AAAAAFe3/+Y=")</f>
        <v>#REF!</v>
      </c>
      <c r="HX305" t="e">
        <f>AND(#REF!,"AAAAAFe3/+c=")</f>
        <v>#REF!</v>
      </c>
      <c r="HY305" t="e">
        <f>AND(#REF!,"AAAAAFe3/+g=")</f>
        <v>#REF!</v>
      </c>
      <c r="HZ305" t="e">
        <f>AND(#REF!,"AAAAAFe3/+k=")</f>
        <v>#REF!</v>
      </c>
      <c r="IA305" t="e">
        <f>AND(#REF!,"AAAAAFe3/+o=")</f>
        <v>#REF!</v>
      </c>
      <c r="IB305" t="e">
        <f>AND(#REF!,"AAAAAFe3/+s=")</f>
        <v>#REF!</v>
      </c>
      <c r="IC305" t="e">
        <f>AND(#REF!,"AAAAAFe3/+w=")</f>
        <v>#REF!</v>
      </c>
      <c r="ID305" t="e">
        <f>AND(#REF!,"AAAAAFe3/+0=")</f>
        <v>#REF!</v>
      </c>
      <c r="IE305" t="e">
        <f>AND(#REF!,"AAAAAFe3/+4=")</f>
        <v>#REF!</v>
      </c>
      <c r="IF305" t="e">
        <f>AND(#REF!,"AAAAAFe3/+8=")</f>
        <v>#REF!</v>
      </c>
      <c r="IG305" t="e">
        <f>AND(#REF!,"AAAAAFe3//A=")</f>
        <v>#REF!</v>
      </c>
      <c r="IH305" t="e">
        <f>AND(#REF!,"AAAAAFe3//E=")</f>
        <v>#REF!</v>
      </c>
      <c r="II305" t="e">
        <f>AND(#REF!,"AAAAAFe3//I=")</f>
        <v>#REF!</v>
      </c>
      <c r="IJ305" t="e">
        <f>AND(#REF!,"AAAAAFe3//M=")</f>
        <v>#REF!</v>
      </c>
      <c r="IK305" t="e">
        <f>AND(#REF!,"AAAAAFe3//Q=")</f>
        <v>#REF!</v>
      </c>
      <c r="IL305" t="e">
        <f>AND(#REF!,"AAAAAFe3//U=")</f>
        <v>#REF!</v>
      </c>
      <c r="IM305" t="e">
        <f>AND(#REF!,"AAAAAFe3//Y=")</f>
        <v>#REF!</v>
      </c>
      <c r="IN305" t="e">
        <f>AND(#REF!,"AAAAAFe3//c=")</f>
        <v>#REF!</v>
      </c>
      <c r="IO305" t="e">
        <f>AND(#REF!,"AAAAAFe3//g=")</f>
        <v>#REF!</v>
      </c>
      <c r="IP305" t="e">
        <f>AND(#REF!,"AAAAAFe3//k=")</f>
        <v>#REF!</v>
      </c>
      <c r="IQ305" t="e">
        <f>AND(#REF!,"AAAAAFe3//o=")</f>
        <v>#REF!</v>
      </c>
      <c r="IR305" t="e">
        <f>AND(#REF!,"AAAAAFe3//s=")</f>
        <v>#REF!</v>
      </c>
      <c r="IS305" t="e">
        <f>AND(#REF!,"AAAAAFe3//w=")</f>
        <v>#REF!</v>
      </c>
      <c r="IT305" t="e">
        <f>AND(#REF!,"AAAAAFe3//0=")</f>
        <v>#REF!</v>
      </c>
      <c r="IU305" t="e">
        <f>AND(#REF!,"AAAAAFe3//4=")</f>
        <v>#REF!</v>
      </c>
      <c r="IV305" t="e">
        <f>IF(#REF!,"AAAAAFe3//8=",0)</f>
        <v>#REF!</v>
      </c>
    </row>
    <row r="306" spans="1:256">
      <c r="A306" t="e">
        <f>AND(#REF!,"AAAAAEfsvwA=")</f>
        <v>#REF!</v>
      </c>
      <c r="B306" t="e">
        <f>AND(#REF!,"AAAAAEfsvwE=")</f>
        <v>#REF!</v>
      </c>
      <c r="C306" t="e">
        <f>AND(#REF!,"AAAAAEfsvwI=")</f>
        <v>#REF!</v>
      </c>
      <c r="D306" t="e">
        <f>AND(#REF!,"AAAAAEfsvwM=")</f>
        <v>#REF!</v>
      </c>
      <c r="E306" t="e">
        <f>AND(#REF!,"AAAAAEfsvwQ=")</f>
        <v>#REF!</v>
      </c>
      <c r="F306" t="e">
        <f>AND(#REF!,"AAAAAEfsvwU=")</f>
        <v>#REF!</v>
      </c>
      <c r="G306" t="e">
        <f>AND(#REF!,"AAAAAEfsvwY=")</f>
        <v>#REF!</v>
      </c>
      <c r="H306" t="e">
        <f>AND(#REF!,"AAAAAEfsvwc=")</f>
        <v>#REF!</v>
      </c>
      <c r="I306" t="e">
        <f>AND(#REF!,"AAAAAEfsvwg=")</f>
        <v>#REF!</v>
      </c>
      <c r="J306" t="e">
        <f>AND(#REF!,"AAAAAEfsvwk=")</f>
        <v>#REF!</v>
      </c>
      <c r="K306" t="e">
        <f>AND(#REF!,"AAAAAEfsvwo=")</f>
        <v>#REF!</v>
      </c>
      <c r="L306" t="e">
        <f>AND(#REF!,"AAAAAEfsvws=")</f>
        <v>#REF!</v>
      </c>
      <c r="M306" t="e">
        <f>AND(#REF!,"AAAAAEfsvww=")</f>
        <v>#REF!</v>
      </c>
      <c r="N306" t="e">
        <f>AND(#REF!,"AAAAAEfsvw0=")</f>
        <v>#REF!</v>
      </c>
      <c r="O306" t="e">
        <f>AND(#REF!,"AAAAAEfsvw4=")</f>
        <v>#REF!</v>
      </c>
      <c r="P306" t="e">
        <f>AND(#REF!,"AAAAAEfsvw8=")</f>
        <v>#REF!</v>
      </c>
      <c r="Q306" t="e">
        <f>AND(#REF!,"AAAAAEfsvxA=")</f>
        <v>#REF!</v>
      </c>
      <c r="R306" t="e">
        <f>AND(#REF!,"AAAAAEfsvxE=")</f>
        <v>#REF!</v>
      </c>
      <c r="S306" t="e">
        <f>AND(#REF!,"AAAAAEfsvxI=")</f>
        <v>#REF!</v>
      </c>
      <c r="T306" t="e">
        <f>AND(#REF!,"AAAAAEfsvxM=")</f>
        <v>#REF!</v>
      </c>
      <c r="U306" t="e">
        <f>AND(#REF!,"AAAAAEfsvxQ=")</f>
        <v>#REF!</v>
      </c>
      <c r="V306" t="e">
        <f>AND(#REF!,"AAAAAEfsvxU=")</f>
        <v>#REF!</v>
      </c>
      <c r="W306" t="e">
        <f>AND(#REF!,"AAAAAEfsvxY=")</f>
        <v>#REF!</v>
      </c>
      <c r="X306" t="e">
        <f>AND(#REF!,"AAAAAEfsvxc=")</f>
        <v>#REF!</v>
      </c>
      <c r="Y306" t="e">
        <f>AND(#REF!,"AAAAAEfsvxg=")</f>
        <v>#REF!</v>
      </c>
      <c r="Z306" t="e">
        <f>AND(#REF!,"AAAAAEfsvxk=")</f>
        <v>#REF!</v>
      </c>
      <c r="AA306" t="e">
        <f>AND(#REF!,"AAAAAEfsvxo=")</f>
        <v>#REF!</v>
      </c>
      <c r="AB306" t="e">
        <f>AND(#REF!,"AAAAAEfsvxs=")</f>
        <v>#REF!</v>
      </c>
      <c r="AC306" t="e">
        <f>AND(#REF!,"AAAAAEfsvxw=")</f>
        <v>#REF!</v>
      </c>
      <c r="AD306" t="e">
        <f>AND(#REF!,"AAAAAEfsvx0=")</f>
        <v>#REF!</v>
      </c>
      <c r="AE306" t="e">
        <f>AND(#REF!,"AAAAAEfsvx4=")</f>
        <v>#REF!</v>
      </c>
      <c r="AF306" t="e">
        <f>AND(#REF!,"AAAAAEfsvx8=")</f>
        <v>#REF!</v>
      </c>
      <c r="AG306" t="e">
        <f>AND(#REF!,"AAAAAEfsvyA=")</f>
        <v>#REF!</v>
      </c>
      <c r="AH306" t="e">
        <f>AND(#REF!,"AAAAAEfsvyE=")</f>
        <v>#REF!</v>
      </c>
      <c r="AI306" t="e">
        <f>AND(#REF!,"AAAAAEfsvyI=")</f>
        <v>#REF!</v>
      </c>
      <c r="AJ306" t="e">
        <f>AND(#REF!,"AAAAAEfsvyM=")</f>
        <v>#REF!</v>
      </c>
      <c r="AK306" t="e">
        <f>AND(#REF!,"AAAAAEfsvyQ=")</f>
        <v>#REF!</v>
      </c>
      <c r="AL306" t="e">
        <f>AND(#REF!,"AAAAAEfsvyU=")</f>
        <v>#REF!</v>
      </c>
      <c r="AM306" t="e">
        <f>AND(#REF!,"AAAAAEfsvyY=")</f>
        <v>#REF!</v>
      </c>
      <c r="AN306" t="e">
        <f>AND(#REF!,"AAAAAEfsvyc=")</f>
        <v>#REF!</v>
      </c>
      <c r="AO306" t="e">
        <f>AND(#REF!,"AAAAAEfsvyg=")</f>
        <v>#REF!</v>
      </c>
      <c r="AP306" t="e">
        <f>AND(#REF!,"AAAAAEfsvyk=")</f>
        <v>#REF!</v>
      </c>
      <c r="AQ306" t="e">
        <f>AND(#REF!,"AAAAAEfsvyo=")</f>
        <v>#REF!</v>
      </c>
      <c r="AR306" t="e">
        <f>AND(#REF!,"AAAAAEfsvys=")</f>
        <v>#REF!</v>
      </c>
      <c r="AS306" t="e">
        <f>AND(#REF!,"AAAAAEfsvyw=")</f>
        <v>#REF!</v>
      </c>
      <c r="AT306" t="e">
        <f>AND(#REF!,"AAAAAEfsvy0=")</f>
        <v>#REF!</v>
      </c>
      <c r="AU306" t="e">
        <f>AND(#REF!,"AAAAAEfsvy4=")</f>
        <v>#REF!</v>
      </c>
      <c r="AV306" t="e">
        <f>AND(#REF!,"AAAAAEfsvy8=")</f>
        <v>#REF!</v>
      </c>
      <c r="AW306" t="e">
        <f>AND(#REF!,"AAAAAEfsvzA=")</f>
        <v>#REF!</v>
      </c>
      <c r="AX306" t="e">
        <f>AND(#REF!,"AAAAAEfsvzE=")</f>
        <v>#REF!</v>
      </c>
      <c r="AY306" t="e">
        <f>AND(#REF!,"AAAAAEfsvzI=")</f>
        <v>#REF!</v>
      </c>
      <c r="AZ306" t="e">
        <f>IF(#REF!,"AAAAAEfsvzM=",0)</f>
        <v>#REF!</v>
      </c>
      <c r="BA306" t="e">
        <f>AND(#REF!,"AAAAAEfsvzQ=")</f>
        <v>#REF!</v>
      </c>
      <c r="BB306" t="e">
        <f>AND(#REF!,"AAAAAEfsvzU=")</f>
        <v>#REF!</v>
      </c>
      <c r="BC306" t="e">
        <f>AND(#REF!,"AAAAAEfsvzY=")</f>
        <v>#REF!</v>
      </c>
      <c r="BD306" t="e">
        <f>AND(#REF!,"AAAAAEfsvzc=")</f>
        <v>#REF!</v>
      </c>
      <c r="BE306" t="e">
        <f>AND(#REF!,"AAAAAEfsvzg=")</f>
        <v>#REF!</v>
      </c>
      <c r="BF306" t="e">
        <f>AND(#REF!,"AAAAAEfsvzk=")</f>
        <v>#REF!</v>
      </c>
      <c r="BG306" t="e">
        <f>AND(#REF!,"AAAAAEfsvzo=")</f>
        <v>#REF!</v>
      </c>
      <c r="BH306" t="e">
        <f>AND(#REF!,"AAAAAEfsvzs=")</f>
        <v>#REF!</v>
      </c>
      <c r="BI306" t="e">
        <f>AND(#REF!,"AAAAAEfsvzw=")</f>
        <v>#REF!</v>
      </c>
      <c r="BJ306" t="e">
        <f>AND(#REF!,"AAAAAEfsvz0=")</f>
        <v>#REF!</v>
      </c>
      <c r="BK306" t="e">
        <f>AND(#REF!,"AAAAAEfsvz4=")</f>
        <v>#REF!</v>
      </c>
      <c r="BL306" t="e">
        <f>AND(#REF!,"AAAAAEfsvz8=")</f>
        <v>#REF!</v>
      </c>
      <c r="BM306" t="e">
        <f>AND(#REF!,"AAAAAEfsv0A=")</f>
        <v>#REF!</v>
      </c>
      <c r="BN306" t="e">
        <f>AND(#REF!,"AAAAAEfsv0E=")</f>
        <v>#REF!</v>
      </c>
      <c r="BO306" t="e">
        <f>AND(#REF!,"AAAAAEfsv0I=")</f>
        <v>#REF!</v>
      </c>
      <c r="BP306" t="e">
        <f>AND(#REF!,"AAAAAEfsv0M=")</f>
        <v>#REF!</v>
      </c>
      <c r="BQ306" t="e">
        <f>AND(#REF!,"AAAAAEfsv0Q=")</f>
        <v>#REF!</v>
      </c>
      <c r="BR306" t="e">
        <f>AND(#REF!,"AAAAAEfsv0U=")</f>
        <v>#REF!</v>
      </c>
      <c r="BS306" t="e">
        <f>AND(#REF!,"AAAAAEfsv0Y=")</f>
        <v>#REF!</v>
      </c>
      <c r="BT306" t="e">
        <f>AND(#REF!,"AAAAAEfsv0c=")</f>
        <v>#REF!</v>
      </c>
      <c r="BU306" t="e">
        <f>AND(#REF!,"AAAAAEfsv0g=")</f>
        <v>#REF!</v>
      </c>
      <c r="BV306" t="e">
        <f>AND(#REF!,"AAAAAEfsv0k=")</f>
        <v>#REF!</v>
      </c>
      <c r="BW306" t="e">
        <f>AND(#REF!,"AAAAAEfsv0o=")</f>
        <v>#REF!</v>
      </c>
      <c r="BX306" t="e">
        <f>AND(#REF!,"AAAAAEfsv0s=")</f>
        <v>#REF!</v>
      </c>
      <c r="BY306" t="e">
        <f>AND(#REF!,"AAAAAEfsv0w=")</f>
        <v>#REF!</v>
      </c>
      <c r="BZ306" t="e">
        <f>AND(#REF!,"AAAAAEfsv00=")</f>
        <v>#REF!</v>
      </c>
      <c r="CA306" t="e">
        <f>AND(#REF!,"AAAAAEfsv04=")</f>
        <v>#REF!</v>
      </c>
      <c r="CB306" t="e">
        <f>AND(#REF!,"AAAAAEfsv08=")</f>
        <v>#REF!</v>
      </c>
      <c r="CC306" t="e">
        <f>AND(#REF!,"AAAAAEfsv1A=")</f>
        <v>#REF!</v>
      </c>
      <c r="CD306" t="e">
        <f>AND(#REF!,"AAAAAEfsv1E=")</f>
        <v>#REF!</v>
      </c>
      <c r="CE306" t="e">
        <f>AND(#REF!,"AAAAAEfsv1I=")</f>
        <v>#REF!</v>
      </c>
      <c r="CF306" t="e">
        <f>AND(#REF!,"AAAAAEfsv1M=")</f>
        <v>#REF!</v>
      </c>
      <c r="CG306" t="e">
        <f>AND(#REF!,"AAAAAEfsv1Q=")</f>
        <v>#REF!</v>
      </c>
      <c r="CH306" t="e">
        <f>AND(#REF!,"AAAAAEfsv1U=")</f>
        <v>#REF!</v>
      </c>
      <c r="CI306" t="e">
        <f>AND(#REF!,"AAAAAEfsv1Y=")</f>
        <v>#REF!</v>
      </c>
      <c r="CJ306" t="e">
        <f>AND(#REF!,"AAAAAEfsv1c=")</f>
        <v>#REF!</v>
      </c>
      <c r="CK306" t="e">
        <f>AND(#REF!,"AAAAAEfsv1g=")</f>
        <v>#REF!</v>
      </c>
      <c r="CL306" t="e">
        <f>AND(#REF!,"AAAAAEfsv1k=")</f>
        <v>#REF!</v>
      </c>
      <c r="CM306" t="e">
        <f>AND(#REF!,"AAAAAEfsv1o=")</f>
        <v>#REF!</v>
      </c>
      <c r="CN306" t="e">
        <f>AND(#REF!,"AAAAAEfsv1s=")</f>
        <v>#REF!</v>
      </c>
      <c r="CO306" t="e">
        <f>AND(#REF!,"AAAAAEfsv1w=")</f>
        <v>#REF!</v>
      </c>
      <c r="CP306" t="e">
        <f>AND(#REF!,"AAAAAEfsv10=")</f>
        <v>#REF!</v>
      </c>
      <c r="CQ306" t="e">
        <f>AND(#REF!,"AAAAAEfsv14=")</f>
        <v>#REF!</v>
      </c>
      <c r="CR306" t="e">
        <f>AND(#REF!,"AAAAAEfsv18=")</f>
        <v>#REF!</v>
      </c>
      <c r="CS306" t="e">
        <f>AND(#REF!,"AAAAAEfsv2A=")</f>
        <v>#REF!</v>
      </c>
      <c r="CT306" t="e">
        <f>AND(#REF!,"AAAAAEfsv2E=")</f>
        <v>#REF!</v>
      </c>
      <c r="CU306" t="e">
        <f>AND(#REF!,"AAAAAEfsv2I=")</f>
        <v>#REF!</v>
      </c>
      <c r="CV306" t="e">
        <f>AND(#REF!,"AAAAAEfsv2M=")</f>
        <v>#REF!</v>
      </c>
      <c r="CW306" t="e">
        <f>AND(#REF!,"AAAAAEfsv2Q=")</f>
        <v>#REF!</v>
      </c>
      <c r="CX306" t="e">
        <f>AND(#REF!,"AAAAAEfsv2U=")</f>
        <v>#REF!</v>
      </c>
      <c r="CY306" t="e">
        <f>AND(#REF!,"AAAAAEfsv2Y=")</f>
        <v>#REF!</v>
      </c>
      <c r="CZ306" t="e">
        <f>IF(#REF!,"AAAAAEfsv2c=",0)</f>
        <v>#REF!</v>
      </c>
      <c r="DA306" t="e">
        <f>AND(#REF!,"AAAAAEfsv2g=")</f>
        <v>#REF!</v>
      </c>
      <c r="DB306" t="e">
        <f>AND(#REF!,"AAAAAEfsv2k=")</f>
        <v>#REF!</v>
      </c>
      <c r="DC306" t="e">
        <f>AND(#REF!,"AAAAAEfsv2o=")</f>
        <v>#REF!</v>
      </c>
      <c r="DD306" t="e">
        <f>AND(#REF!,"AAAAAEfsv2s=")</f>
        <v>#REF!</v>
      </c>
      <c r="DE306" t="e">
        <f>AND(#REF!,"AAAAAEfsv2w=")</f>
        <v>#REF!</v>
      </c>
      <c r="DF306" t="e">
        <f>AND(#REF!,"AAAAAEfsv20=")</f>
        <v>#REF!</v>
      </c>
      <c r="DG306" t="e">
        <f>AND(#REF!,"AAAAAEfsv24=")</f>
        <v>#REF!</v>
      </c>
      <c r="DH306" t="e">
        <f>AND(#REF!,"AAAAAEfsv28=")</f>
        <v>#REF!</v>
      </c>
      <c r="DI306" t="e">
        <f>AND(#REF!,"AAAAAEfsv3A=")</f>
        <v>#REF!</v>
      </c>
      <c r="DJ306" t="e">
        <f>AND(#REF!,"AAAAAEfsv3E=")</f>
        <v>#REF!</v>
      </c>
      <c r="DK306" t="e">
        <f>AND(#REF!,"AAAAAEfsv3I=")</f>
        <v>#REF!</v>
      </c>
      <c r="DL306" t="e">
        <f>AND(#REF!,"AAAAAEfsv3M=")</f>
        <v>#REF!</v>
      </c>
      <c r="DM306" t="e">
        <f>AND(#REF!,"AAAAAEfsv3Q=")</f>
        <v>#REF!</v>
      </c>
      <c r="DN306" t="e">
        <f>AND(#REF!,"AAAAAEfsv3U=")</f>
        <v>#REF!</v>
      </c>
      <c r="DO306" t="e">
        <f>AND(#REF!,"AAAAAEfsv3Y=")</f>
        <v>#REF!</v>
      </c>
      <c r="DP306" t="e">
        <f>AND(#REF!,"AAAAAEfsv3c=")</f>
        <v>#REF!</v>
      </c>
      <c r="DQ306" t="e">
        <f>AND(#REF!,"AAAAAEfsv3g=")</f>
        <v>#REF!</v>
      </c>
      <c r="DR306" t="e">
        <f>AND(#REF!,"AAAAAEfsv3k=")</f>
        <v>#REF!</v>
      </c>
      <c r="DS306" t="e">
        <f>AND(#REF!,"AAAAAEfsv3o=")</f>
        <v>#REF!</v>
      </c>
      <c r="DT306" t="e">
        <f>AND(#REF!,"AAAAAEfsv3s=")</f>
        <v>#REF!</v>
      </c>
      <c r="DU306" t="e">
        <f>AND(#REF!,"AAAAAEfsv3w=")</f>
        <v>#REF!</v>
      </c>
      <c r="DV306" t="e">
        <f>AND(#REF!,"AAAAAEfsv30=")</f>
        <v>#REF!</v>
      </c>
      <c r="DW306" t="e">
        <f>AND(#REF!,"AAAAAEfsv34=")</f>
        <v>#REF!</v>
      </c>
      <c r="DX306" t="e">
        <f>AND(#REF!,"AAAAAEfsv38=")</f>
        <v>#REF!</v>
      </c>
      <c r="DY306" t="e">
        <f>AND(#REF!,"AAAAAEfsv4A=")</f>
        <v>#REF!</v>
      </c>
      <c r="DZ306" t="e">
        <f>AND(#REF!,"AAAAAEfsv4E=")</f>
        <v>#REF!</v>
      </c>
      <c r="EA306" t="e">
        <f>AND(#REF!,"AAAAAEfsv4I=")</f>
        <v>#REF!</v>
      </c>
      <c r="EB306" t="e">
        <f>AND(#REF!,"AAAAAEfsv4M=")</f>
        <v>#REF!</v>
      </c>
      <c r="EC306" t="e">
        <f>AND(#REF!,"AAAAAEfsv4Q=")</f>
        <v>#REF!</v>
      </c>
      <c r="ED306" t="e">
        <f>AND(#REF!,"AAAAAEfsv4U=")</f>
        <v>#REF!</v>
      </c>
      <c r="EE306" t="e">
        <f>AND(#REF!,"AAAAAEfsv4Y=")</f>
        <v>#REF!</v>
      </c>
      <c r="EF306" t="e">
        <f>AND(#REF!,"AAAAAEfsv4c=")</f>
        <v>#REF!</v>
      </c>
      <c r="EG306" t="e">
        <f>AND(#REF!,"AAAAAEfsv4g=")</f>
        <v>#REF!</v>
      </c>
      <c r="EH306" t="e">
        <f>AND(#REF!,"AAAAAEfsv4k=")</f>
        <v>#REF!</v>
      </c>
      <c r="EI306" t="e">
        <f>AND(#REF!,"AAAAAEfsv4o=")</f>
        <v>#REF!</v>
      </c>
      <c r="EJ306" t="e">
        <f>AND(#REF!,"AAAAAEfsv4s=")</f>
        <v>#REF!</v>
      </c>
      <c r="EK306" t="e">
        <f>AND(#REF!,"AAAAAEfsv4w=")</f>
        <v>#REF!</v>
      </c>
      <c r="EL306" t="e">
        <f>AND(#REF!,"AAAAAEfsv40=")</f>
        <v>#REF!</v>
      </c>
      <c r="EM306" t="e">
        <f>AND(#REF!,"AAAAAEfsv44=")</f>
        <v>#REF!</v>
      </c>
      <c r="EN306" t="e">
        <f>AND(#REF!,"AAAAAEfsv48=")</f>
        <v>#REF!</v>
      </c>
      <c r="EO306" t="e">
        <f>AND(#REF!,"AAAAAEfsv5A=")</f>
        <v>#REF!</v>
      </c>
      <c r="EP306" t="e">
        <f>AND(#REF!,"AAAAAEfsv5E=")</f>
        <v>#REF!</v>
      </c>
      <c r="EQ306" t="e">
        <f>AND(#REF!,"AAAAAEfsv5I=")</f>
        <v>#REF!</v>
      </c>
      <c r="ER306" t="e">
        <f>AND(#REF!,"AAAAAEfsv5M=")</f>
        <v>#REF!</v>
      </c>
      <c r="ES306" t="e">
        <f>AND(#REF!,"AAAAAEfsv5Q=")</f>
        <v>#REF!</v>
      </c>
      <c r="ET306" t="e">
        <f>AND(#REF!,"AAAAAEfsv5U=")</f>
        <v>#REF!</v>
      </c>
      <c r="EU306" t="e">
        <f>AND(#REF!,"AAAAAEfsv5Y=")</f>
        <v>#REF!</v>
      </c>
      <c r="EV306" t="e">
        <f>AND(#REF!,"AAAAAEfsv5c=")</f>
        <v>#REF!</v>
      </c>
      <c r="EW306" t="e">
        <f>AND(#REF!,"AAAAAEfsv5g=")</f>
        <v>#REF!</v>
      </c>
      <c r="EX306" t="e">
        <f>AND(#REF!,"AAAAAEfsv5k=")</f>
        <v>#REF!</v>
      </c>
      <c r="EY306" t="e">
        <f>AND(#REF!,"AAAAAEfsv5o=")</f>
        <v>#REF!</v>
      </c>
      <c r="EZ306" t="e">
        <f>IF(#REF!,"AAAAAEfsv5s=",0)</f>
        <v>#REF!</v>
      </c>
      <c r="FA306" t="e">
        <f>AND(#REF!,"AAAAAEfsv5w=")</f>
        <v>#REF!</v>
      </c>
      <c r="FB306" t="e">
        <f>AND(#REF!,"AAAAAEfsv50=")</f>
        <v>#REF!</v>
      </c>
      <c r="FC306" t="e">
        <f>AND(#REF!,"AAAAAEfsv54=")</f>
        <v>#REF!</v>
      </c>
      <c r="FD306" t="e">
        <f>AND(#REF!,"AAAAAEfsv58=")</f>
        <v>#REF!</v>
      </c>
      <c r="FE306" t="e">
        <f>AND(#REF!,"AAAAAEfsv6A=")</f>
        <v>#REF!</v>
      </c>
      <c r="FF306" t="e">
        <f>AND(#REF!,"AAAAAEfsv6E=")</f>
        <v>#REF!</v>
      </c>
      <c r="FG306" t="e">
        <f>AND(#REF!,"AAAAAEfsv6I=")</f>
        <v>#REF!</v>
      </c>
      <c r="FH306" t="e">
        <f>AND(#REF!,"AAAAAEfsv6M=")</f>
        <v>#REF!</v>
      </c>
      <c r="FI306" t="e">
        <f>AND(#REF!,"AAAAAEfsv6Q=")</f>
        <v>#REF!</v>
      </c>
      <c r="FJ306" t="e">
        <f>AND(#REF!,"AAAAAEfsv6U=")</f>
        <v>#REF!</v>
      </c>
      <c r="FK306" t="e">
        <f>AND(#REF!,"AAAAAEfsv6Y=")</f>
        <v>#REF!</v>
      </c>
      <c r="FL306" t="e">
        <f>AND(#REF!,"AAAAAEfsv6c=")</f>
        <v>#REF!</v>
      </c>
      <c r="FM306" t="e">
        <f>AND(#REF!,"AAAAAEfsv6g=")</f>
        <v>#REF!</v>
      </c>
      <c r="FN306" t="e">
        <f>AND(#REF!,"AAAAAEfsv6k=")</f>
        <v>#REF!</v>
      </c>
      <c r="FO306" t="e">
        <f>AND(#REF!,"AAAAAEfsv6o=")</f>
        <v>#REF!</v>
      </c>
      <c r="FP306" t="e">
        <f>AND(#REF!,"AAAAAEfsv6s=")</f>
        <v>#REF!</v>
      </c>
      <c r="FQ306" t="e">
        <f>AND(#REF!,"AAAAAEfsv6w=")</f>
        <v>#REF!</v>
      </c>
      <c r="FR306" t="e">
        <f>AND(#REF!,"AAAAAEfsv60=")</f>
        <v>#REF!</v>
      </c>
      <c r="FS306" t="e">
        <f>AND(#REF!,"AAAAAEfsv64=")</f>
        <v>#REF!</v>
      </c>
      <c r="FT306" t="e">
        <f>AND(#REF!,"AAAAAEfsv68=")</f>
        <v>#REF!</v>
      </c>
      <c r="FU306" t="e">
        <f>AND(#REF!,"AAAAAEfsv7A=")</f>
        <v>#REF!</v>
      </c>
      <c r="FV306" t="e">
        <f>AND(#REF!,"AAAAAEfsv7E=")</f>
        <v>#REF!</v>
      </c>
      <c r="FW306" t="e">
        <f>AND(#REF!,"AAAAAEfsv7I=")</f>
        <v>#REF!</v>
      </c>
      <c r="FX306" t="e">
        <f>AND(#REF!,"AAAAAEfsv7M=")</f>
        <v>#REF!</v>
      </c>
      <c r="FY306" t="e">
        <f>AND(#REF!,"AAAAAEfsv7Q=")</f>
        <v>#REF!</v>
      </c>
      <c r="FZ306" t="e">
        <f>AND(#REF!,"AAAAAEfsv7U=")</f>
        <v>#REF!</v>
      </c>
      <c r="GA306" t="e">
        <f>AND(#REF!,"AAAAAEfsv7Y=")</f>
        <v>#REF!</v>
      </c>
      <c r="GB306" t="e">
        <f>AND(#REF!,"AAAAAEfsv7c=")</f>
        <v>#REF!</v>
      </c>
      <c r="GC306" t="e">
        <f>AND(#REF!,"AAAAAEfsv7g=")</f>
        <v>#REF!</v>
      </c>
      <c r="GD306" t="e">
        <f>AND(#REF!,"AAAAAEfsv7k=")</f>
        <v>#REF!</v>
      </c>
      <c r="GE306" t="e">
        <f>AND(#REF!,"AAAAAEfsv7o=")</f>
        <v>#REF!</v>
      </c>
      <c r="GF306" t="e">
        <f>AND(#REF!,"AAAAAEfsv7s=")</f>
        <v>#REF!</v>
      </c>
      <c r="GG306" t="e">
        <f>AND(#REF!,"AAAAAEfsv7w=")</f>
        <v>#REF!</v>
      </c>
      <c r="GH306" t="e">
        <f>AND(#REF!,"AAAAAEfsv70=")</f>
        <v>#REF!</v>
      </c>
      <c r="GI306" t="e">
        <f>AND(#REF!,"AAAAAEfsv74=")</f>
        <v>#REF!</v>
      </c>
      <c r="GJ306" t="e">
        <f>AND(#REF!,"AAAAAEfsv78=")</f>
        <v>#REF!</v>
      </c>
      <c r="GK306" t="e">
        <f>AND(#REF!,"AAAAAEfsv8A=")</f>
        <v>#REF!</v>
      </c>
      <c r="GL306" t="e">
        <f>AND(#REF!,"AAAAAEfsv8E=")</f>
        <v>#REF!</v>
      </c>
      <c r="GM306" t="e">
        <f>AND(#REF!,"AAAAAEfsv8I=")</f>
        <v>#REF!</v>
      </c>
      <c r="GN306" t="e">
        <f>AND(#REF!,"AAAAAEfsv8M=")</f>
        <v>#REF!</v>
      </c>
      <c r="GO306" t="e">
        <f>AND(#REF!,"AAAAAEfsv8Q=")</f>
        <v>#REF!</v>
      </c>
      <c r="GP306" t="e">
        <f>AND(#REF!,"AAAAAEfsv8U=")</f>
        <v>#REF!</v>
      </c>
      <c r="GQ306" t="e">
        <f>AND(#REF!,"AAAAAEfsv8Y=")</f>
        <v>#REF!</v>
      </c>
      <c r="GR306" t="e">
        <f>AND(#REF!,"AAAAAEfsv8c=")</f>
        <v>#REF!</v>
      </c>
      <c r="GS306" t="e">
        <f>AND(#REF!,"AAAAAEfsv8g=")</f>
        <v>#REF!</v>
      </c>
      <c r="GT306" t="e">
        <f>AND(#REF!,"AAAAAEfsv8k=")</f>
        <v>#REF!</v>
      </c>
      <c r="GU306" t="e">
        <f>AND(#REF!,"AAAAAEfsv8o=")</f>
        <v>#REF!</v>
      </c>
      <c r="GV306" t="e">
        <f>AND(#REF!,"AAAAAEfsv8s=")</f>
        <v>#REF!</v>
      </c>
      <c r="GW306" t="e">
        <f>AND(#REF!,"AAAAAEfsv8w=")</f>
        <v>#REF!</v>
      </c>
      <c r="GX306" t="e">
        <f>AND(#REF!,"AAAAAEfsv80=")</f>
        <v>#REF!</v>
      </c>
      <c r="GY306" t="e">
        <f>AND(#REF!,"AAAAAEfsv84=")</f>
        <v>#REF!</v>
      </c>
      <c r="GZ306" t="e">
        <f>IF(#REF!,"AAAAAEfsv88=",0)</f>
        <v>#REF!</v>
      </c>
      <c r="HA306" t="e">
        <f>AND(#REF!,"AAAAAEfsv9A=")</f>
        <v>#REF!</v>
      </c>
      <c r="HB306" t="e">
        <f>AND(#REF!,"AAAAAEfsv9E=")</f>
        <v>#REF!</v>
      </c>
      <c r="HC306" t="e">
        <f>AND(#REF!,"AAAAAEfsv9I=")</f>
        <v>#REF!</v>
      </c>
      <c r="HD306" t="e">
        <f>AND(#REF!,"AAAAAEfsv9M=")</f>
        <v>#REF!</v>
      </c>
      <c r="HE306" t="e">
        <f>AND(#REF!,"AAAAAEfsv9Q=")</f>
        <v>#REF!</v>
      </c>
      <c r="HF306" t="e">
        <f>AND(#REF!,"AAAAAEfsv9U=")</f>
        <v>#REF!</v>
      </c>
      <c r="HG306" t="e">
        <f>AND(#REF!,"AAAAAEfsv9Y=")</f>
        <v>#REF!</v>
      </c>
      <c r="HH306" t="e">
        <f>AND(#REF!,"AAAAAEfsv9c=")</f>
        <v>#REF!</v>
      </c>
      <c r="HI306" t="e">
        <f>AND(#REF!,"AAAAAEfsv9g=")</f>
        <v>#REF!</v>
      </c>
      <c r="HJ306" t="e">
        <f>AND(#REF!,"AAAAAEfsv9k=")</f>
        <v>#REF!</v>
      </c>
      <c r="HK306" t="e">
        <f>AND(#REF!,"AAAAAEfsv9o=")</f>
        <v>#REF!</v>
      </c>
      <c r="HL306" t="e">
        <f>AND(#REF!,"AAAAAEfsv9s=")</f>
        <v>#REF!</v>
      </c>
      <c r="HM306" t="e">
        <f>AND(#REF!,"AAAAAEfsv9w=")</f>
        <v>#REF!</v>
      </c>
      <c r="HN306" t="e">
        <f>AND(#REF!,"AAAAAEfsv90=")</f>
        <v>#REF!</v>
      </c>
      <c r="HO306" t="e">
        <f>AND(#REF!,"AAAAAEfsv94=")</f>
        <v>#REF!</v>
      </c>
      <c r="HP306" t="e">
        <f>AND(#REF!,"AAAAAEfsv98=")</f>
        <v>#REF!</v>
      </c>
      <c r="HQ306" t="e">
        <f>AND(#REF!,"AAAAAEfsv+A=")</f>
        <v>#REF!</v>
      </c>
      <c r="HR306" t="e">
        <f>AND(#REF!,"AAAAAEfsv+E=")</f>
        <v>#REF!</v>
      </c>
      <c r="HS306" t="e">
        <f>AND(#REF!,"AAAAAEfsv+I=")</f>
        <v>#REF!</v>
      </c>
      <c r="HT306" t="e">
        <f>AND(#REF!,"AAAAAEfsv+M=")</f>
        <v>#REF!</v>
      </c>
      <c r="HU306" t="e">
        <f>AND(#REF!,"AAAAAEfsv+Q=")</f>
        <v>#REF!</v>
      </c>
      <c r="HV306" t="e">
        <f>AND(#REF!,"AAAAAEfsv+U=")</f>
        <v>#REF!</v>
      </c>
      <c r="HW306" t="e">
        <f>AND(#REF!,"AAAAAEfsv+Y=")</f>
        <v>#REF!</v>
      </c>
      <c r="HX306" t="e">
        <f>AND(#REF!,"AAAAAEfsv+c=")</f>
        <v>#REF!</v>
      </c>
      <c r="HY306" t="e">
        <f>AND(#REF!,"AAAAAEfsv+g=")</f>
        <v>#REF!</v>
      </c>
      <c r="HZ306" t="e">
        <f>AND(#REF!,"AAAAAEfsv+k=")</f>
        <v>#REF!</v>
      </c>
      <c r="IA306" t="e">
        <f>AND(#REF!,"AAAAAEfsv+o=")</f>
        <v>#REF!</v>
      </c>
      <c r="IB306" t="e">
        <f>AND(#REF!,"AAAAAEfsv+s=")</f>
        <v>#REF!</v>
      </c>
      <c r="IC306" t="e">
        <f>AND(#REF!,"AAAAAEfsv+w=")</f>
        <v>#REF!</v>
      </c>
      <c r="ID306" t="e">
        <f>AND(#REF!,"AAAAAEfsv+0=")</f>
        <v>#REF!</v>
      </c>
      <c r="IE306" t="e">
        <f>AND(#REF!,"AAAAAEfsv+4=")</f>
        <v>#REF!</v>
      </c>
      <c r="IF306" t="e">
        <f>AND(#REF!,"AAAAAEfsv+8=")</f>
        <v>#REF!</v>
      </c>
      <c r="IG306" t="e">
        <f>AND(#REF!,"AAAAAEfsv/A=")</f>
        <v>#REF!</v>
      </c>
      <c r="IH306" t="e">
        <f>AND(#REF!,"AAAAAEfsv/E=")</f>
        <v>#REF!</v>
      </c>
      <c r="II306" t="e">
        <f>AND(#REF!,"AAAAAEfsv/I=")</f>
        <v>#REF!</v>
      </c>
      <c r="IJ306" t="e">
        <f>AND(#REF!,"AAAAAEfsv/M=")</f>
        <v>#REF!</v>
      </c>
      <c r="IK306" t="e">
        <f>AND(#REF!,"AAAAAEfsv/Q=")</f>
        <v>#REF!</v>
      </c>
      <c r="IL306" t="e">
        <f>AND(#REF!,"AAAAAEfsv/U=")</f>
        <v>#REF!</v>
      </c>
      <c r="IM306" t="e">
        <f>AND(#REF!,"AAAAAEfsv/Y=")</f>
        <v>#REF!</v>
      </c>
      <c r="IN306" t="e">
        <f>AND(#REF!,"AAAAAEfsv/c=")</f>
        <v>#REF!</v>
      </c>
      <c r="IO306" t="e">
        <f>AND(#REF!,"AAAAAEfsv/g=")</f>
        <v>#REF!</v>
      </c>
      <c r="IP306" t="e">
        <f>AND(#REF!,"AAAAAEfsv/k=")</f>
        <v>#REF!</v>
      </c>
      <c r="IQ306" t="e">
        <f>AND(#REF!,"AAAAAEfsv/o=")</f>
        <v>#REF!</v>
      </c>
      <c r="IR306" t="e">
        <f>AND(#REF!,"AAAAAEfsv/s=")</f>
        <v>#REF!</v>
      </c>
      <c r="IS306" t="e">
        <f>AND(#REF!,"AAAAAEfsv/w=")</f>
        <v>#REF!</v>
      </c>
      <c r="IT306" t="e">
        <f>AND(#REF!,"AAAAAEfsv/0=")</f>
        <v>#REF!</v>
      </c>
      <c r="IU306" t="e">
        <f>AND(#REF!,"AAAAAEfsv/4=")</f>
        <v>#REF!</v>
      </c>
      <c r="IV306" t="e">
        <f>AND(#REF!,"AAAAAEfsv/8=")</f>
        <v>#REF!</v>
      </c>
    </row>
    <row r="307" spans="1:256">
      <c r="A307" t="e">
        <f>AND(#REF!,"AAAAAFb/xwA=")</f>
        <v>#REF!</v>
      </c>
      <c r="B307" t="e">
        <f>AND(#REF!,"AAAAAFb/xwE=")</f>
        <v>#REF!</v>
      </c>
      <c r="C307" t="e">
        <f>AND(#REF!,"AAAAAFb/xwI=")</f>
        <v>#REF!</v>
      </c>
      <c r="D307" t="e">
        <f>IF(#REF!,"AAAAAFb/xwM=",0)</f>
        <v>#REF!</v>
      </c>
      <c r="E307" t="e">
        <f>AND(#REF!,"AAAAAFb/xwQ=")</f>
        <v>#REF!</v>
      </c>
      <c r="F307" t="e">
        <f>AND(#REF!,"AAAAAFb/xwU=")</f>
        <v>#REF!</v>
      </c>
      <c r="G307" t="e">
        <f>AND(#REF!,"AAAAAFb/xwY=")</f>
        <v>#REF!</v>
      </c>
      <c r="H307" t="e">
        <f>AND(#REF!,"AAAAAFb/xwc=")</f>
        <v>#REF!</v>
      </c>
      <c r="I307" t="e">
        <f>AND(#REF!,"AAAAAFb/xwg=")</f>
        <v>#REF!</v>
      </c>
      <c r="J307" t="e">
        <f>AND(#REF!,"AAAAAFb/xwk=")</f>
        <v>#REF!</v>
      </c>
      <c r="K307" t="e">
        <f>AND(#REF!,"AAAAAFb/xwo=")</f>
        <v>#REF!</v>
      </c>
      <c r="L307" t="e">
        <f>AND(#REF!,"AAAAAFb/xws=")</f>
        <v>#REF!</v>
      </c>
      <c r="M307" t="e">
        <f>AND(#REF!,"AAAAAFb/xww=")</f>
        <v>#REF!</v>
      </c>
      <c r="N307" t="e">
        <f>AND(#REF!,"AAAAAFb/xw0=")</f>
        <v>#REF!</v>
      </c>
      <c r="O307" t="e">
        <f>AND(#REF!,"AAAAAFb/xw4=")</f>
        <v>#REF!</v>
      </c>
      <c r="P307" t="e">
        <f>AND(#REF!,"AAAAAFb/xw8=")</f>
        <v>#REF!</v>
      </c>
      <c r="Q307" t="e">
        <f>AND(#REF!,"AAAAAFb/xxA=")</f>
        <v>#REF!</v>
      </c>
      <c r="R307" t="e">
        <f>AND(#REF!,"AAAAAFb/xxE=")</f>
        <v>#REF!</v>
      </c>
      <c r="S307" t="e">
        <f>AND(#REF!,"AAAAAFb/xxI=")</f>
        <v>#REF!</v>
      </c>
      <c r="T307" t="e">
        <f>AND(#REF!,"AAAAAFb/xxM=")</f>
        <v>#REF!</v>
      </c>
      <c r="U307" t="e">
        <f>AND(#REF!,"AAAAAFb/xxQ=")</f>
        <v>#REF!</v>
      </c>
      <c r="V307" t="e">
        <f>AND(#REF!,"AAAAAFb/xxU=")</f>
        <v>#REF!</v>
      </c>
      <c r="W307" t="e">
        <f>AND(#REF!,"AAAAAFb/xxY=")</f>
        <v>#REF!</v>
      </c>
      <c r="X307" t="e">
        <f>AND(#REF!,"AAAAAFb/xxc=")</f>
        <v>#REF!</v>
      </c>
      <c r="Y307" t="e">
        <f>AND(#REF!,"AAAAAFb/xxg=")</f>
        <v>#REF!</v>
      </c>
      <c r="Z307" t="e">
        <f>AND(#REF!,"AAAAAFb/xxk=")</f>
        <v>#REF!</v>
      </c>
      <c r="AA307" t="e">
        <f>AND(#REF!,"AAAAAFb/xxo=")</f>
        <v>#REF!</v>
      </c>
      <c r="AB307" t="e">
        <f>AND(#REF!,"AAAAAFb/xxs=")</f>
        <v>#REF!</v>
      </c>
      <c r="AC307" t="e">
        <f>AND(#REF!,"AAAAAFb/xxw=")</f>
        <v>#REF!</v>
      </c>
      <c r="AD307" t="e">
        <f>AND(#REF!,"AAAAAFb/xx0=")</f>
        <v>#REF!</v>
      </c>
      <c r="AE307" t="e">
        <f>AND(#REF!,"AAAAAFb/xx4=")</f>
        <v>#REF!</v>
      </c>
      <c r="AF307" t="e">
        <f>AND(#REF!,"AAAAAFb/xx8=")</f>
        <v>#REF!</v>
      </c>
      <c r="AG307" t="e">
        <f>AND(#REF!,"AAAAAFb/xyA=")</f>
        <v>#REF!</v>
      </c>
      <c r="AH307" t="e">
        <f>AND(#REF!,"AAAAAFb/xyE=")</f>
        <v>#REF!</v>
      </c>
      <c r="AI307" t="e">
        <f>AND(#REF!,"AAAAAFb/xyI=")</f>
        <v>#REF!</v>
      </c>
      <c r="AJ307" t="e">
        <f>AND(#REF!,"AAAAAFb/xyM=")</f>
        <v>#REF!</v>
      </c>
      <c r="AK307" t="e">
        <f>AND(#REF!,"AAAAAFb/xyQ=")</f>
        <v>#REF!</v>
      </c>
      <c r="AL307" t="e">
        <f>AND(#REF!,"AAAAAFb/xyU=")</f>
        <v>#REF!</v>
      </c>
      <c r="AM307" t="e">
        <f>AND(#REF!,"AAAAAFb/xyY=")</f>
        <v>#REF!</v>
      </c>
      <c r="AN307" t="e">
        <f>AND(#REF!,"AAAAAFb/xyc=")</f>
        <v>#REF!</v>
      </c>
      <c r="AO307" t="e">
        <f>AND(#REF!,"AAAAAFb/xyg=")</f>
        <v>#REF!</v>
      </c>
      <c r="AP307" t="e">
        <f>AND(#REF!,"AAAAAFb/xyk=")</f>
        <v>#REF!</v>
      </c>
      <c r="AQ307" t="e">
        <f>AND(#REF!,"AAAAAFb/xyo=")</f>
        <v>#REF!</v>
      </c>
      <c r="AR307" t="e">
        <f>AND(#REF!,"AAAAAFb/xys=")</f>
        <v>#REF!</v>
      </c>
      <c r="AS307" t="e">
        <f>AND(#REF!,"AAAAAFb/xyw=")</f>
        <v>#REF!</v>
      </c>
      <c r="AT307" t="e">
        <f>AND(#REF!,"AAAAAFb/xy0=")</f>
        <v>#REF!</v>
      </c>
      <c r="AU307" t="e">
        <f>AND(#REF!,"AAAAAFb/xy4=")</f>
        <v>#REF!</v>
      </c>
      <c r="AV307" t="e">
        <f>AND(#REF!,"AAAAAFb/xy8=")</f>
        <v>#REF!</v>
      </c>
      <c r="AW307" t="e">
        <f>AND(#REF!,"AAAAAFb/xzA=")</f>
        <v>#REF!</v>
      </c>
      <c r="AX307" t="e">
        <f>AND(#REF!,"AAAAAFb/xzE=")</f>
        <v>#REF!</v>
      </c>
      <c r="AY307" t="e">
        <f>AND(#REF!,"AAAAAFb/xzI=")</f>
        <v>#REF!</v>
      </c>
      <c r="AZ307" t="e">
        <f>AND(#REF!,"AAAAAFb/xzM=")</f>
        <v>#REF!</v>
      </c>
      <c r="BA307" t="e">
        <f>AND(#REF!,"AAAAAFb/xzQ=")</f>
        <v>#REF!</v>
      </c>
      <c r="BB307" t="e">
        <f>AND(#REF!,"AAAAAFb/xzU=")</f>
        <v>#REF!</v>
      </c>
      <c r="BC307" t="e">
        <f>AND(#REF!,"AAAAAFb/xzY=")</f>
        <v>#REF!</v>
      </c>
      <c r="BD307" t="e">
        <f>IF(#REF!,"AAAAAFb/xzc=",0)</f>
        <v>#REF!</v>
      </c>
      <c r="BE307" t="e">
        <f>AND(#REF!,"AAAAAFb/xzg=")</f>
        <v>#REF!</v>
      </c>
      <c r="BF307" t="e">
        <f>AND(#REF!,"AAAAAFb/xzk=")</f>
        <v>#REF!</v>
      </c>
      <c r="BG307" t="e">
        <f>AND(#REF!,"AAAAAFb/xzo=")</f>
        <v>#REF!</v>
      </c>
      <c r="BH307" t="e">
        <f>AND(#REF!,"AAAAAFb/xzs=")</f>
        <v>#REF!</v>
      </c>
      <c r="BI307" t="e">
        <f>AND(#REF!,"AAAAAFb/xzw=")</f>
        <v>#REF!</v>
      </c>
      <c r="BJ307" t="e">
        <f>AND(#REF!,"AAAAAFb/xz0=")</f>
        <v>#REF!</v>
      </c>
      <c r="BK307" t="e">
        <f>AND(#REF!,"AAAAAFb/xz4=")</f>
        <v>#REF!</v>
      </c>
      <c r="BL307" t="e">
        <f>AND(#REF!,"AAAAAFb/xz8=")</f>
        <v>#REF!</v>
      </c>
      <c r="BM307" t="e">
        <f>AND(#REF!,"AAAAAFb/x0A=")</f>
        <v>#REF!</v>
      </c>
      <c r="BN307" t="e">
        <f>AND(#REF!,"AAAAAFb/x0E=")</f>
        <v>#REF!</v>
      </c>
      <c r="BO307" t="e">
        <f>AND(#REF!,"AAAAAFb/x0I=")</f>
        <v>#REF!</v>
      </c>
      <c r="BP307" t="e">
        <f>AND(#REF!,"AAAAAFb/x0M=")</f>
        <v>#REF!</v>
      </c>
      <c r="BQ307" t="e">
        <f>AND(#REF!,"AAAAAFb/x0Q=")</f>
        <v>#REF!</v>
      </c>
      <c r="BR307" t="e">
        <f>AND(#REF!,"AAAAAFb/x0U=")</f>
        <v>#REF!</v>
      </c>
      <c r="BS307" t="e">
        <f>AND(#REF!,"AAAAAFb/x0Y=")</f>
        <v>#REF!</v>
      </c>
      <c r="BT307" t="e">
        <f>AND(#REF!,"AAAAAFb/x0c=")</f>
        <v>#REF!</v>
      </c>
      <c r="BU307" t="e">
        <f>AND(#REF!,"AAAAAFb/x0g=")</f>
        <v>#REF!</v>
      </c>
      <c r="BV307" t="e">
        <f>AND(#REF!,"AAAAAFb/x0k=")</f>
        <v>#REF!</v>
      </c>
      <c r="BW307" t="e">
        <f>AND(#REF!,"AAAAAFb/x0o=")</f>
        <v>#REF!</v>
      </c>
      <c r="BX307" t="e">
        <f>AND(#REF!,"AAAAAFb/x0s=")</f>
        <v>#REF!</v>
      </c>
      <c r="BY307" t="e">
        <f>AND(#REF!,"AAAAAFb/x0w=")</f>
        <v>#REF!</v>
      </c>
      <c r="BZ307" t="e">
        <f>AND(#REF!,"AAAAAFb/x00=")</f>
        <v>#REF!</v>
      </c>
      <c r="CA307" t="e">
        <f>AND(#REF!,"AAAAAFb/x04=")</f>
        <v>#REF!</v>
      </c>
      <c r="CB307" t="e">
        <f>AND(#REF!,"AAAAAFb/x08=")</f>
        <v>#REF!</v>
      </c>
      <c r="CC307" t="e">
        <f>AND(#REF!,"AAAAAFb/x1A=")</f>
        <v>#REF!</v>
      </c>
      <c r="CD307" t="e">
        <f>AND(#REF!,"AAAAAFb/x1E=")</f>
        <v>#REF!</v>
      </c>
      <c r="CE307" t="e">
        <f>AND(#REF!,"AAAAAFb/x1I=")</f>
        <v>#REF!</v>
      </c>
      <c r="CF307" t="e">
        <f>AND(#REF!,"AAAAAFb/x1M=")</f>
        <v>#REF!</v>
      </c>
      <c r="CG307" t="e">
        <f>AND(#REF!,"AAAAAFb/x1Q=")</f>
        <v>#REF!</v>
      </c>
      <c r="CH307" t="e">
        <f>AND(#REF!,"AAAAAFb/x1U=")</f>
        <v>#REF!</v>
      </c>
      <c r="CI307" t="e">
        <f>AND(#REF!,"AAAAAFb/x1Y=")</f>
        <v>#REF!</v>
      </c>
      <c r="CJ307" t="e">
        <f>AND(#REF!,"AAAAAFb/x1c=")</f>
        <v>#REF!</v>
      </c>
      <c r="CK307" t="e">
        <f>AND(#REF!,"AAAAAFb/x1g=")</f>
        <v>#REF!</v>
      </c>
      <c r="CL307" t="e">
        <f>AND(#REF!,"AAAAAFb/x1k=")</f>
        <v>#REF!</v>
      </c>
      <c r="CM307" t="e">
        <f>AND(#REF!,"AAAAAFb/x1o=")</f>
        <v>#REF!</v>
      </c>
      <c r="CN307" t="e">
        <f>AND(#REF!,"AAAAAFb/x1s=")</f>
        <v>#REF!</v>
      </c>
      <c r="CO307" t="e">
        <f>AND(#REF!,"AAAAAFb/x1w=")</f>
        <v>#REF!</v>
      </c>
      <c r="CP307" t="e">
        <f>AND(#REF!,"AAAAAFb/x10=")</f>
        <v>#REF!</v>
      </c>
      <c r="CQ307" t="e">
        <f>AND(#REF!,"AAAAAFb/x14=")</f>
        <v>#REF!</v>
      </c>
      <c r="CR307" t="e">
        <f>AND(#REF!,"AAAAAFb/x18=")</f>
        <v>#REF!</v>
      </c>
      <c r="CS307" t="e">
        <f>AND(#REF!,"AAAAAFb/x2A=")</f>
        <v>#REF!</v>
      </c>
      <c r="CT307" t="e">
        <f>AND(#REF!,"AAAAAFb/x2E=")</f>
        <v>#REF!</v>
      </c>
      <c r="CU307" t="e">
        <f>AND(#REF!,"AAAAAFb/x2I=")</f>
        <v>#REF!</v>
      </c>
      <c r="CV307" t="e">
        <f>AND(#REF!,"AAAAAFb/x2M=")</f>
        <v>#REF!</v>
      </c>
      <c r="CW307" t="e">
        <f>AND(#REF!,"AAAAAFb/x2Q=")</f>
        <v>#REF!</v>
      </c>
      <c r="CX307" t="e">
        <f>AND(#REF!,"AAAAAFb/x2U=")</f>
        <v>#REF!</v>
      </c>
      <c r="CY307" t="e">
        <f>AND(#REF!,"AAAAAFb/x2Y=")</f>
        <v>#REF!</v>
      </c>
      <c r="CZ307" t="e">
        <f>AND(#REF!,"AAAAAFb/x2c=")</f>
        <v>#REF!</v>
      </c>
      <c r="DA307" t="e">
        <f>AND(#REF!,"AAAAAFb/x2g=")</f>
        <v>#REF!</v>
      </c>
      <c r="DB307" t="e">
        <f>AND(#REF!,"AAAAAFb/x2k=")</f>
        <v>#REF!</v>
      </c>
      <c r="DC307" t="e">
        <f>AND(#REF!,"AAAAAFb/x2o=")</f>
        <v>#REF!</v>
      </c>
      <c r="DD307" t="e">
        <f>IF(#REF!,"AAAAAFb/x2s=",0)</f>
        <v>#REF!</v>
      </c>
      <c r="DE307" t="e">
        <f>AND(#REF!,"AAAAAFb/x2w=")</f>
        <v>#REF!</v>
      </c>
      <c r="DF307" t="e">
        <f>AND(#REF!,"AAAAAFb/x20=")</f>
        <v>#REF!</v>
      </c>
      <c r="DG307" t="e">
        <f>AND(#REF!,"AAAAAFb/x24=")</f>
        <v>#REF!</v>
      </c>
      <c r="DH307" t="e">
        <f>AND(#REF!,"AAAAAFb/x28=")</f>
        <v>#REF!</v>
      </c>
      <c r="DI307" t="e">
        <f>AND(#REF!,"AAAAAFb/x3A=")</f>
        <v>#REF!</v>
      </c>
      <c r="DJ307" t="e">
        <f>AND(#REF!,"AAAAAFb/x3E=")</f>
        <v>#REF!</v>
      </c>
      <c r="DK307" t="e">
        <f>AND(#REF!,"AAAAAFb/x3I=")</f>
        <v>#REF!</v>
      </c>
      <c r="DL307" t="e">
        <f>AND(#REF!,"AAAAAFb/x3M=")</f>
        <v>#REF!</v>
      </c>
      <c r="DM307" t="e">
        <f>AND(#REF!,"AAAAAFb/x3Q=")</f>
        <v>#REF!</v>
      </c>
      <c r="DN307" t="e">
        <f>AND(#REF!,"AAAAAFb/x3U=")</f>
        <v>#REF!</v>
      </c>
      <c r="DO307" t="e">
        <f>AND(#REF!,"AAAAAFb/x3Y=")</f>
        <v>#REF!</v>
      </c>
      <c r="DP307" t="e">
        <f>AND(#REF!,"AAAAAFb/x3c=")</f>
        <v>#REF!</v>
      </c>
      <c r="DQ307" t="e">
        <f>AND(#REF!,"AAAAAFb/x3g=")</f>
        <v>#REF!</v>
      </c>
      <c r="DR307" t="e">
        <f>AND(#REF!,"AAAAAFb/x3k=")</f>
        <v>#REF!</v>
      </c>
      <c r="DS307" t="e">
        <f>AND(#REF!,"AAAAAFb/x3o=")</f>
        <v>#REF!</v>
      </c>
      <c r="DT307" t="e">
        <f>AND(#REF!,"AAAAAFb/x3s=")</f>
        <v>#REF!</v>
      </c>
      <c r="DU307" t="e">
        <f>AND(#REF!,"AAAAAFb/x3w=")</f>
        <v>#REF!</v>
      </c>
      <c r="DV307" t="e">
        <f>AND(#REF!,"AAAAAFb/x30=")</f>
        <v>#REF!</v>
      </c>
      <c r="DW307" t="e">
        <f>AND(#REF!,"AAAAAFb/x34=")</f>
        <v>#REF!</v>
      </c>
      <c r="DX307" t="e">
        <f>AND(#REF!,"AAAAAFb/x38=")</f>
        <v>#REF!</v>
      </c>
      <c r="DY307" t="e">
        <f>AND(#REF!,"AAAAAFb/x4A=")</f>
        <v>#REF!</v>
      </c>
      <c r="DZ307" t="e">
        <f>AND(#REF!,"AAAAAFb/x4E=")</f>
        <v>#REF!</v>
      </c>
      <c r="EA307" t="e">
        <f>AND(#REF!,"AAAAAFb/x4I=")</f>
        <v>#REF!</v>
      </c>
      <c r="EB307" t="e">
        <f>AND(#REF!,"AAAAAFb/x4M=")</f>
        <v>#REF!</v>
      </c>
      <c r="EC307" t="e">
        <f>AND(#REF!,"AAAAAFb/x4Q=")</f>
        <v>#REF!</v>
      </c>
      <c r="ED307" t="e">
        <f>AND(#REF!,"AAAAAFb/x4U=")</f>
        <v>#REF!</v>
      </c>
      <c r="EE307" t="e">
        <f>AND(#REF!,"AAAAAFb/x4Y=")</f>
        <v>#REF!</v>
      </c>
      <c r="EF307" t="e">
        <f>AND(#REF!,"AAAAAFb/x4c=")</f>
        <v>#REF!</v>
      </c>
      <c r="EG307" t="e">
        <f>AND(#REF!,"AAAAAFb/x4g=")</f>
        <v>#REF!</v>
      </c>
      <c r="EH307" t="e">
        <f>AND(#REF!,"AAAAAFb/x4k=")</f>
        <v>#REF!</v>
      </c>
      <c r="EI307" t="e">
        <f>AND(#REF!,"AAAAAFb/x4o=")</f>
        <v>#REF!</v>
      </c>
      <c r="EJ307" t="e">
        <f>AND(#REF!,"AAAAAFb/x4s=")</f>
        <v>#REF!</v>
      </c>
      <c r="EK307" t="e">
        <f>AND(#REF!,"AAAAAFb/x4w=")</f>
        <v>#REF!</v>
      </c>
      <c r="EL307" t="e">
        <f>AND(#REF!,"AAAAAFb/x40=")</f>
        <v>#REF!</v>
      </c>
      <c r="EM307" t="e">
        <f>AND(#REF!,"AAAAAFb/x44=")</f>
        <v>#REF!</v>
      </c>
      <c r="EN307" t="e">
        <f>AND(#REF!,"AAAAAFb/x48=")</f>
        <v>#REF!</v>
      </c>
      <c r="EO307" t="e">
        <f>AND(#REF!,"AAAAAFb/x5A=")</f>
        <v>#REF!</v>
      </c>
      <c r="EP307" t="e">
        <f>AND(#REF!,"AAAAAFb/x5E=")</f>
        <v>#REF!</v>
      </c>
      <c r="EQ307" t="e">
        <f>AND(#REF!,"AAAAAFb/x5I=")</f>
        <v>#REF!</v>
      </c>
      <c r="ER307" t="e">
        <f>AND(#REF!,"AAAAAFb/x5M=")</f>
        <v>#REF!</v>
      </c>
      <c r="ES307" t="e">
        <f>AND(#REF!,"AAAAAFb/x5Q=")</f>
        <v>#REF!</v>
      </c>
      <c r="ET307" t="e">
        <f>AND(#REF!,"AAAAAFb/x5U=")</f>
        <v>#REF!</v>
      </c>
      <c r="EU307" t="e">
        <f>AND(#REF!,"AAAAAFb/x5Y=")</f>
        <v>#REF!</v>
      </c>
      <c r="EV307" t="e">
        <f>AND(#REF!,"AAAAAFb/x5c=")</f>
        <v>#REF!</v>
      </c>
      <c r="EW307" t="e">
        <f>AND(#REF!,"AAAAAFb/x5g=")</f>
        <v>#REF!</v>
      </c>
      <c r="EX307" t="e">
        <f>AND(#REF!,"AAAAAFb/x5k=")</f>
        <v>#REF!</v>
      </c>
      <c r="EY307" t="e">
        <f>AND(#REF!,"AAAAAFb/x5o=")</f>
        <v>#REF!</v>
      </c>
      <c r="EZ307" t="e">
        <f>AND(#REF!,"AAAAAFb/x5s=")</f>
        <v>#REF!</v>
      </c>
      <c r="FA307" t="e">
        <f>AND(#REF!,"AAAAAFb/x5w=")</f>
        <v>#REF!</v>
      </c>
      <c r="FB307" t="e">
        <f>AND(#REF!,"AAAAAFb/x50=")</f>
        <v>#REF!</v>
      </c>
      <c r="FC307" t="e">
        <f>AND(#REF!,"AAAAAFb/x54=")</f>
        <v>#REF!</v>
      </c>
      <c r="FD307" t="e">
        <f>IF(#REF!,"AAAAAFb/x58=",0)</f>
        <v>#REF!</v>
      </c>
      <c r="FE307" t="e">
        <f>AND(#REF!,"AAAAAFb/x6A=")</f>
        <v>#REF!</v>
      </c>
      <c r="FF307" t="e">
        <f>AND(#REF!,"AAAAAFb/x6E=")</f>
        <v>#REF!</v>
      </c>
      <c r="FG307" t="e">
        <f>AND(#REF!,"AAAAAFb/x6I=")</f>
        <v>#REF!</v>
      </c>
      <c r="FH307" t="e">
        <f>AND(#REF!,"AAAAAFb/x6M=")</f>
        <v>#REF!</v>
      </c>
      <c r="FI307" t="e">
        <f>AND(#REF!,"AAAAAFb/x6Q=")</f>
        <v>#REF!</v>
      </c>
      <c r="FJ307" t="e">
        <f>AND(#REF!,"AAAAAFb/x6U=")</f>
        <v>#REF!</v>
      </c>
      <c r="FK307" t="e">
        <f>AND(#REF!,"AAAAAFb/x6Y=")</f>
        <v>#REF!</v>
      </c>
      <c r="FL307" t="e">
        <f>AND(#REF!,"AAAAAFb/x6c=")</f>
        <v>#REF!</v>
      </c>
      <c r="FM307" t="e">
        <f>AND(#REF!,"AAAAAFb/x6g=")</f>
        <v>#REF!</v>
      </c>
      <c r="FN307" t="e">
        <f>AND(#REF!,"AAAAAFb/x6k=")</f>
        <v>#REF!</v>
      </c>
      <c r="FO307" t="e">
        <f>AND(#REF!,"AAAAAFb/x6o=")</f>
        <v>#REF!</v>
      </c>
      <c r="FP307" t="e">
        <f>AND(#REF!,"AAAAAFb/x6s=")</f>
        <v>#REF!</v>
      </c>
      <c r="FQ307" t="e">
        <f>AND(#REF!,"AAAAAFb/x6w=")</f>
        <v>#REF!</v>
      </c>
      <c r="FR307" t="e">
        <f>AND(#REF!,"AAAAAFb/x60=")</f>
        <v>#REF!</v>
      </c>
      <c r="FS307" t="e">
        <f>AND(#REF!,"AAAAAFb/x64=")</f>
        <v>#REF!</v>
      </c>
      <c r="FT307" t="e">
        <f>AND(#REF!,"AAAAAFb/x68=")</f>
        <v>#REF!</v>
      </c>
      <c r="FU307" t="e">
        <f>AND(#REF!,"AAAAAFb/x7A=")</f>
        <v>#REF!</v>
      </c>
      <c r="FV307" t="e">
        <f>AND(#REF!,"AAAAAFb/x7E=")</f>
        <v>#REF!</v>
      </c>
      <c r="FW307" t="e">
        <f>AND(#REF!,"AAAAAFb/x7I=")</f>
        <v>#REF!</v>
      </c>
      <c r="FX307" t="e">
        <f>AND(#REF!,"AAAAAFb/x7M=")</f>
        <v>#REF!</v>
      </c>
      <c r="FY307" t="e">
        <f>AND(#REF!,"AAAAAFb/x7Q=")</f>
        <v>#REF!</v>
      </c>
      <c r="FZ307" t="e">
        <f>AND(#REF!,"AAAAAFb/x7U=")</f>
        <v>#REF!</v>
      </c>
      <c r="GA307" t="e">
        <f>AND(#REF!,"AAAAAFb/x7Y=")</f>
        <v>#REF!</v>
      </c>
      <c r="GB307" t="e">
        <f>AND(#REF!,"AAAAAFb/x7c=")</f>
        <v>#REF!</v>
      </c>
      <c r="GC307" t="e">
        <f>AND(#REF!,"AAAAAFb/x7g=")</f>
        <v>#REF!</v>
      </c>
      <c r="GD307" t="e">
        <f>AND(#REF!,"AAAAAFb/x7k=")</f>
        <v>#REF!</v>
      </c>
      <c r="GE307" t="e">
        <f>AND(#REF!,"AAAAAFb/x7o=")</f>
        <v>#REF!</v>
      </c>
      <c r="GF307" t="e">
        <f>AND(#REF!,"AAAAAFb/x7s=")</f>
        <v>#REF!</v>
      </c>
      <c r="GG307" t="e">
        <f>AND(#REF!,"AAAAAFb/x7w=")</f>
        <v>#REF!</v>
      </c>
      <c r="GH307" t="e">
        <f>AND(#REF!,"AAAAAFb/x70=")</f>
        <v>#REF!</v>
      </c>
      <c r="GI307" t="e">
        <f>AND(#REF!,"AAAAAFb/x74=")</f>
        <v>#REF!</v>
      </c>
      <c r="GJ307" t="e">
        <f>AND(#REF!,"AAAAAFb/x78=")</f>
        <v>#REF!</v>
      </c>
      <c r="GK307" t="e">
        <f>AND(#REF!,"AAAAAFb/x8A=")</f>
        <v>#REF!</v>
      </c>
      <c r="GL307" t="e">
        <f>AND(#REF!,"AAAAAFb/x8E=")</f>
        <v>#REF!</v>
      </c>
      <c r="GM307" t="e">
        <f>AND(#REF!,"AAAAAFb/x8I=")</f>
        <v>#REF!</v>
      </c>
      <c r="GN307" t="e">
        <f>AND(#REF!,"AAAAAFb/x8M=")</f>
        <v>#REF!</v>
      </c>
      <c r="GO307" t="e">
        <f>AND(#REF!,"AAAAAFb/x8Q=")</f>
        <v>#REF!</v>
      </c>
      <c r="GP307" t="e">
        <f>AND(#REF!,"AAAAAFb/x8U=")</f>
        <v>#REF!</v>
      </c>
      <c r="GQ307" t="e">
        <f>AND(#REF!,"AAAAAFb/x8Y=")</f>
        <v>#REF!</v>
      </c>
      <c r="GR307" t="e">
        <f>AND(#REF!,"AAAAAFb/x8c=")</f>
        <v>#REF!</v>
      </c>
      <c r="GS307" t="e">
        <f>AND(#REF!,"AAAAAFb/x8g=")</f>
        <v>#REF!</v>
      </c>
      <c r="GT307" t="e">
        <f>AND(#REF!,"AAAAAFb/x8k=")</f>
        <v>#REF!</v>
      </c>
      <c r="GU307" t="e">
        <f>AND(#REF!,"AAAAAFb/x8o=")</f>
        <v>#REF!</v>
      </c>
      <c r="GV307" t="e">
        <f>AND(#REF!,"AAAAAFb/x8s=")</f>
        <v>#REF!</v>
      </c>
      <c r="GW307" t="e">
        <f>AND(#REF!,"AAAAAFb/x8w=")</f>
        <v>#REF!</v>
      </c>
      <c r="GX307" t="e">
        <f>AND(#REF!,"AAAAAFb/x80=")</f>
        <v>#REF!</v>
      </c>
      <c r="GY307" t="e">
        <f>AND(#REF!,"AAAAAFb/x84=")</f>
        <v>#REF!</v>
      </c>
      <c r="GZ307" t="e">
        <f>AND(#REF!,"AAAAAFb/x88=")</f>
        <v>#REF!</v>
      </c>
      <c r="HA307" t="e">
        <f>AND(#REF!,"AAAAAFb/x9A=")</f>
        <v>#REF!</v>
      </c>
      <c r="HB307" t="e">
        <f>AND(#REF!,"AAAAAFb/x9E=")</f>
        <v>#REF!</v>
      </c>
      <c r="HC307" t="e">
        <f>AND(#REF!,"AAAAAFb/x9I=")</f>
        <v>#REF!</v>
      </c>
      <c r="HD307" t="e">
        <f>IF(#REF!,"AAAAAFb/x9M=",0)</f>
        <v>#REF!</v>
      </c>
      <c r="HE307" t="e">
        <f>AND(#REF!,"AAAAAFb/x9Q=")</f>
        <v>#REF!</v>
      </c>
      <c r="HF307" t="e">
        <f>AND(#REF!,"AAAAAFb/x9U=")</f>
        <v>#REF!</v>
      </c>
      <c r="HG307" t="e">
        <f>AND(#REF!,"AAAAAFb/x9Y=")</f>
        <v>#REF!</v>
      </c>
      <c r="HH307" t="e">
        <f>AND(#REF!,"AAAAAFb/x9c=")</f>
        <v>#REF!</v>
      </c>
      <c r="HI307" t="e">
        <f>AND(#REF!,"AAAAAFb/x9g=")</f>
        <v>#REF!</v>
      </c>
      <c r="HJ307" t="e">
        <f>AND(#REF!,"AAAAAFb/x9k=")</f>
        <v>#REF!</v>
      </c>
      <c r="HK307" t="e">
        <f>AND(#REF!,"AAAAAFb/x9o=")</f>
        <v>#REF!</v>
      </c>
      <c r="HL307" t="e">
        <f>AND(#REF!,"AAAAAFb/x9s=")</f>
        <v>#REF!</v>
      </c>
      <c r="HM307" t="e">
        <f>AND(#REF!,"AAAAAFb/x9w=")</f>
        <v>#REF!</v>
      </c>
      <c r="HN307" t="e">
        <f>AND(#REF!,"AAAAAFb/x90=")</f>
        <v>#REF!</v>
      </c>
      <c r="HO307" t="e">
        <f>AND(#REF!,"AAAAAFb/x94=")</f>
        <v>#REF!</v>
      </c>
      <c r="HP307" t="e">
        <f>AND(#REF!,"AAAAAFb/x98=")</f>
        <v>#REF!</v>
      </c>
      <c r="HQ307" t="e">
        <f>AND(#REF!,"AAAAAFb/x+A=")</f>
        <v>#REF!</v>
      </c>
      <c r="HR307" t="e">
        <f>AND(#REF!,"AAAAAFb/x+E=")</f>
        <v>#REF!</v>
      </c>
      <c r="HS307" t="e">
        <f>AND(#REF!,"AAAAAFb/x+I=")</f>
        <v>#REF!</v>
      </c>
      <c r="HT307" t="e">
        <f>AND(#REF!,"AAAAAFb/x+M=")</f>
        <v>#REF!</v>
      </c>
      <c r="HU307" t="e">
        <f>AND(#REF!,"AAAAAFb/x+Q=")</f>
        <v>#REF!</v>
      </c>
      <c r="HV307" t="e">
        <f>AND(#REF!,"AAAAAFb/x+U=")</f>
        <v>#REF!</v>
      </c>
      <c r="HW307" t="e">
        <f>AND(#REF!,"AAAAAFb/x+Y=")</f>
        <v>#REF!</v>
      </c>
      <c r="HX307" t="e">
        <f>AND(#REF!,"AAAAAFb/x+c=")</f>
        <v>#REF!</v>
      </c>
      <c r="HY307" t="e">
        <f>AND(#REF!,"AAAAAFb/x+g=")</f>
        <v>#REF!</v>
      </c>
      <c r="HZ307" t="e">
        <f>AND(#REF!,"AAAAAFb/x+k=")</f>
        <v>#REF!</v>
      </c>
      <c r="IA307" t="e">
        <f>AND(#REF!,"AAAAAFb/x+o=")</f>
        <v>#REF!</v>
      </c>
      <c r="IB307" t="e">
        <f>AND(#REF!,"AAAAAFb/x+s=")</f>
        <v>#REF!</v>
      </c>
      <c r="IC307" t="e">
        <f>AND(#REF!,"AAAAAFb/x+w=")</f>
        <v>#REF!</v>
      </c>
      <c r="ID307" t="e">
        <f>AND(#REF!,"AAAAAFb/x+0=")</f>
        <v>#REF!</v>
      </c>
      <c r="IE307" t="e">
        <f>AND(#REF!,"AAAAAFb/x+4=")</f>
        <v>#REF!</v>
      </c>
      <c r="IF307" t="e">
        <f>AND(#REF!,"AAAAAFb/x+8=")</f>
        <v>#REF!</v>
      </c>
      <c r="IG307" t="e">
        <f>AND(#REF!,"AAAAAFb/x/A=")</f>
        <v>#REF!</v>
      </c>
      <c r="IH307" t="e">
        <f>AND(#REF!,"AAAAAFb/x/E=")</f>
        <v>#REF!</v>
      </c>
      <c r="II307" t="e">
        <f>AND(#REF!,"AAAAAFb/x/I=")</f>
        <v>#REF!</v>
      </c>
      <c r="IJ307" t="e">
        <f>AND(#REF!,"AAAAAFb/x/M=")</f>
        <v>#REF!</v>
      </c>
      <c r="IK307" t="e">
        <f>AND(#REF!,"AAAAAFb/x/Q=")</f>
        <v>#REF!</v>
      </c>
      <c r="IL307" t="e">
        <f>AND(#REF!,"AAAAAFb/x/U=")</f>
        <v>#REF!</v>
      </c>
      <c r="IM307" t="e">
        <f>AND(#REF!,"AAAAAFb/x/Y=")</f>
        <v>#REF!</v>
      </c>
      <c r="IN307" t="e">
        <f>AND(#REF!,"AAAAAFb/x/c=")</f>
        <v>#REF!</v>
      </c>
      <c r="IO307" t="e">
        <f>AND(#REF!,"AAAAAFb/x/g=")</f>
        <v>#REF!</v>
      </c>
      <c r="IP307" t="e">
        <f>AND(#REF!,"AAAAAFb/x/k=")</f>
        <v>#REF!</v>
      </c>
      <c r="IQ307" t="e">
        <f>AND(#REF!,"AAAAAFb/x/o=")</f>
        <v>#REF!</v>
      </c>
      <c r="IR307" t="e">
        <f>AND(#REF!,"AAAAAFb/x/s=")</f>
        <v>#REF!</v>
      </c>
      <c r="IS307" t="e">
        <f>AND(#REF!,"AAAAAFb/x/w=")</f>
        <v>#REF!</v>
      </c>
      <c r="IT307" t="e">
        <f>AND(#REF!,"AAAAAFb/x/0=")</f>
        <v>#REF!</v>
      </c>
      <c r="IU307" t="e">
        <f>AND(#REF!,"AAAAAFb/x/4=")</f>
        <v>#REF!</v>
      </c>
      <c r="IV307" t="e">
        <f>AND(#REF!,"AAAAAFb/x/8=")</f>
        <v>#REF!</v>
      </c>
    </row>
    <row r="308" spans="1:256">
      <c r="A308" t="e">
        <f>AND(#REF!,"AAAAAD973wA=")</f>
        <v>#REF!</v>
      </c>
      <c r="B308" t="e">
        <f>AND(#REF!,"AAAAAD973wE=")</f>
        <v>#REF!</v>
      </c>
      <c r="C308" t="e">
        <f>AND(#REF!,"AAAAAD973wI=")</f>
        <v>#REF!</v>
      </c>
      <c r="D308" t="e">
        <f>AND(#REF!,"AAAAAD973wM=")</f>
        <v>#REF!</v>
      </c>
      <c r="E308" t="e">
        <f>AND(#REF!,"AAAAAD973wQ=")</f>
        <v>#REF!</v>
      </c>
      <c r="F308" t="e">
        <f>AND(#REF!,"AAAAAD973wU=")</f>
        <v>#REF!</v>
      </c>
      <c r="G308" t="e">
        <f>AND(#REF!,"AAAAAD973wY=")</f>
        <v>#REF!</v>
      </c>
      <c r="H308" t="e">
        <f>IF(#REF!,"AAAAAD973wc=",0)</f>
        <v>#REF!</v>
      </c>
      <c r="I308" t="e">
        <f>AND(#REF!,"AAAAAD973wg=")</f>
        <v>#REF!</v>
      </c>
      <c r="J308" t="e">
        <f>AND(#REF!,"AAAAAD973wk=")</f>
        <v>#REF!</v>
      </c>
      <c r="K308" t="e">
        <f>AND(#REF!,"AAAAAD973wo=")</f>
        <v>#REF!</v>
      </c>
      <c r="L308" t="e">
        <f>AND(#REF!,"AAAAAD973ws=")</f>
        <v>#REF!</v>
      </c>
      <c r="M308" t="e">
        <f>AND(#REF!,"AAAAAD973ww=")</f>
        <v>#REF!</v>
      </c>
      <c r="N308" t="e">
        <f>AND(#REF!,"AAAAAD973w0=")</f>
        <v>#REF!</v>
      </c>
      <c r="O308" t="e">
        <f>AND(#REF!,"AAAAAD973w4=")</f>
        <v>#REF!</v>
      </c>
      <c r="P308" t="e">
        <f>AND(#REF!,"AAAAAD973w8=")</f>
        <v>#REF!</v>
      </c>
      <c r="Q308" t="e">
        <f>AND(#REF!,"AAAAAD973xA=")</f>
        <v>#REF!</v>
      </c>
      <c r="R308" t="e">
        <f>AND(#REF!,"AAAAAD973xE=")</f>
        <v>#REF!</v>
      </c>
      <c r="S308" t="e">
        <f>AND(#REF!,"AAAAAD973xI=")</f>
        <v>#REF!</v>
      </c>
      <c r="T308" t="e">
        <f>AND(#REF!,"AAAAAD973xM=")</f>
        <v>#REF!</v>
      </c>
      <c r="U308" t="e">
        <f>AND(#REF!,"AAAAAD973xQ=")</f>
        <v>#REF!</v>
      </c>
      <c r="V308" t="e">
        <f>AND(#REF!,"AAAAAD973xU=")</f>
        <v>#REF!</v>
      </c>
      <c r="W308" t="e">
        <f>AND(#REF!,"AAAAAD973xY=")</f>
        <v>#REF!</v>
      </c>
      <c r="X308" t="e">
        <f>AND(#REF!,"AAAAAD973xc=")</f>
        <v>#REF!</v>
      </c>
      <c r="Y308" t="e">
        <f>AND(#REF!,"AAAAAD973xg=")</f>
        <v>#REF!</v>
      </c>
      <c r="Z308" t="e">
        <f>AND(#REF!,"AAAAAD973xk=")</f>
        <v>#REF!</v>
      </c>
      <c r="AA308" t="e">
        <f>AND(#REF!,"AAAAAD973xo=")</f>
        <v>#REF!</v>
      </c>
      <c r="AB308" t="e">
        <f>AND(#REF!,"AAAAAD973xs=")</f>
        <v>#REF!</v>
      </c>
      <c r="AC308" t="e">
        <f>AND(#REF!,"AAAAAD973xw=")</f>
        <v>#REF!</v>
      </c>
      <c r="AD308" t="e">
        <f>AND(#REF!,"AAAAAD973x0=")</f>
        <v>#REF!</v>
      </c>
      <c r="AE308" t="e">
        <f>AND(#REF!,"AAAAAD973x4=")</f>
        <v>#REF!</v>
      </c>
      <c r="AF308" t="e">
        <f>AND(#REF!,"AAAAAD973x8=")</f>
        <v>#REF!</v>
      </c>
      <c r="AG308" t="e">
        <f>AND(#REF!,"AAAAAD973yA=")</f>
        <v>#REF!</v>
      </c>
      <c r="AH308" t="e">
        <f>AND(#REF!,"AAAAAD973yE=")</f>
        <v>#REF!</v>
      </c>
      <c r="AI308" t="e">
        <f>AND(#REF!,"AAAAAD973yI=")</f>
        <v>#REF!</v>
      </c>
      <c r="AJ308" t="e">
        <f>AND(#REF!,"AAAAAD973yM=")</f>
        <v>#REF!</v>
      </c>
      <c r="AK308" t="e">
        <f>AND(#REF!,"AAAAAD973yQ=")</f>
        <v>#REF!</v>
      </c>
      <c r="AL308" t="e">
        <f>AND(#REF!,"AAAAAD973yU=")</f>
        <v>#REF!</v>
      </c>
      <c r="AM308" t="e">
        <f>AND(#REF!,"AAAAAD973yY=")</f>
        <v>#REF!</v>
      </c>
      <c r="AN308" t="e">
        <f>AND(#REF!,"AAAAAD973yc=")</f>
        <v>#REF!</v>
      </c>
      <c r="AO308" t="e">
        <f>AND(#REF!,"AAAAAD973yg=")</f>
        <v>#REF!</v>
      </c>
      <c r="AP308" t="e">
        <f>AND(#REF!,"AAAAAD973yk=")</f>
        <v>#REF!</v>
      </c>
      <c r="AQ308" t="e">
        <f>AND(#REF!,"AAAAAD973yo=")</f>
        <v>#REF!</v>
      </c>
      <c r="AR308" t="e">
        <f>AND(#REF!,"AAAAAD973ys=")</f>
        <v>#REF!</v>
      </c>
      <c r="AS308" t="e">
        <f>AND(#REF!,"AAAAAD973yw=")</f>
        <v>#REF!</v>
      </c>
      <c r="AT308" t="e">
        <f>AND(#REF!,"AAAAAD973y0=")</f>
        <v>#REF!</v>
      </c>
      <c r="AU308" t="e">
        <f>AND(#REF!,"AAAAAD973y4=")</f>
        <v>#REF!</v>
      </c>
      <c r="AV308" t="e">
        <f>AND(#REF!,"AAAAAD973y8=")</f>
        <v>#REF!</v>
      </c>
      <c r="AW308" t="e">
        <f>AND(#REF!,"AAAAAD973zA=")</f>
        <v>#REF!</v>
      </c>
      <c r="AX308" t="e">
        <f>AND(#REF!,"AAAAAD973zE=")</f>
        <v>#REF!</v>
      </c>
      <c r="AY308" t="e">
        <f>AND(#REF!,"AAAAAD973zI=")</f>
        <v>#REF!</v>
      </c>
      <c r="AZ308" t="e">
        <f>AND(#REF!,"AAAAAD973zM=")</f>
        <v>#REF!</v>
      </c>
      <c r="BA308" t="e">
        <f>AND(#REF!,"AAAAAD973zQ=")</f>
        <v>#REF!</v>
      </c>
      <c r="BB308" t="e">
        <f>AND(#REF!,"AAAAAD973zU=")</f>
        <v>#REF!</v>
      </c>
      <c r="BC308" t="e">
        <f>AND(#REF!,"AAAAAD973zY=")</f>
        <v>#REF!</v>
      </c>
      <c r="BD308" t="e">
        <f>AND(#REF!,"AAAAAD973zc=")</f>
        <v>#REF!</v>
      </c>
      <c r="BE308" t="e">
        <f>AND(#REF!,"AAAAAD973zg=")</f>
        <v>#REF!</v>
      </c>
      <c r="BF308" t="e">
        <f>AND(#REF!,"AAAAAD973zk=")</f>
        <v>#REF!</v>
      </c>
      <c r="BG308" t="e">
        <f>AND(#REF!,"AAAAAD973zo=")</f>
        <v>#REF!</v>
      </c>
      <c r="BH308" t="e">
        <f>IF(#REF!,"AAAAAD973zs=",0)</f>
        <v>#REF!</v>
      </c>
      <c r="BI308" t="e">
        <f>AND(#REF!,"AAAAAD973zw=")</f>
        <v>#REF!</v>
      </c>
      <c r="BJ308" t="e">
        <f>AND(#REF!,"AAAAAD973z0=")</f>
        <v>#REF!</v>
      </c>
      <c r="BK308" t="e">
        <f>AND(#REF!,"AAAAAD973z4=")</f>
        <v>#REF!</v>
      </c>
      <c r="BL308" t="e">
        <f>AND(#REF!,"AAAAAD973z8=")</f>
        <v>#REF!</v>
      </c>
      <c r="BM308" t="e">
        <f>AND(#REF!,"AAAAAD9730A=")</f>
        <v>#REF!</v>
      </c>
      <c r="BN308" t="e">
        <f>AND(#REF!,"AAAAAD9730E=")</f>
        <v>#REF!</v>
      </c>
      <c r="BO308" t="e">
        <f>AND(#REF!,"AAAAAD9730I=")</f>
        <v>#REF!</v>
      </c>
      <c r="BP308" t="e">
        <f>AND(#REF!,"AAAAAD9730M=")</f>
        <v>#REF!</v>
      </c>
      <c r="BQ308" t="e">
        <f>AND(#REF!,"AAAAAD9730Q=")</f>
        <v>#REF!</v>
      </c>
      <c r="BR308" t="e">
        <f>AND(#REF!,"AAAAAD9730U=")</f>
        <v>#REF!</v>
      </c>
      <c r="BS308" t="e">
        <f>AND(#REF!,"AAAAAD9730Y=")</f>
        <v>#REF!</v>
      </c>
      <c r="BT308" t="e">
        <f>AND(#REF!,"AAAAAD9730c=")</f>
        <v>#REF!</v>
      </c>
      <c r="BU308" t="e">
        <f>AND(#REF!,"AAAAAD9730g=")</f>
        <v>#REF!</v>
      </c>
      <c r="BV308" t="e">
        <f>AND(#REF!,"AAAAAD9730k=")</f>
        <v>#REF!</v>
      </c>
      <c r="BW308" t="e">
        <f>AND(#REF!,"AAAAAD9730o=")</f>
        <v>#REF!</v>
      </c>
      <c r="BX308" t="e">
        <f>AND(#REF!,"AAAAAD9730s=")</f>
        <v>#REF!</v>
      </c>
      <c r="BY308" t="e">
        <f>AND(#REF!,"AAAAAD9730w=")</f>
        <v>#REF!</v>
      </c>
      <c r="BZ308" t="e">
        <f>AND(#REF!,"AAAAAD97300=")</f>
        <v>#REF!</v>
      </c>
      <c r="CA308" t="e">
        <f>AND(#REF!,"AAAAAD97304=")</f>
        <v>#REF!</v>
      </c>
      <c r="CB308" t="e">
        <f>AND(#REF!,"AAAAAD97308=")</f>
        <v>#REF!</v>
      </c>
      <c r="CC308" t="e">
        <f>AND(#REF!,"AAAAAD9731A=")</f>
        <v>#REF!</v>
      </c>
      <c r="CD308" t="e">
        <f>AND(#REF!,"AAAAAD9731E=")</f>
        <v>#REF!</v>
      </c>
      <c r="CE308" t="e">
        <f>AND(#REF!,"AAAAAD9731I=")</f>
        <v>#REF!</v>
      </c>
      <c r="CF308" t="e">
        <f>AND(#REF!,"AAAAAD9731M=")</f>
        <v>#REF!</v>
      </c>
      <c r="CG308" t="e">
        <f>AND(#REF!,"AAAAAD9731Q=")</f>
        <v>#REF!</v>
      </c>
      <c r="CH308" t="e">
        <f>AND(#REF!,"AAAAAD9731U=")</f>
        <v>#REF!</v>
      </c>
      <c r="CI308" t="e">
        <f>AND(#REF!,"AAAAAD9731Y=")</f>
        <v>#REF!</v>
      </c>
      <c r="CJ308" t="e">
        <f>AND(#REF!,"AAAAAD9731c=")</f>
        <v>#REF!</v>
      </c>
      <c r="CK308" t="e">
        <f>AND(#REF!,"AAAAAD9731g=")</f>
        <v>#REF!</v>
      </c>
      <c r="CL308" t="e">
        <f>AND(#REF!,"AAAAAD9731k=")</f>
        <v>#REF!</v>
      </c>
      <c r="CM308" t="e">
        <f>AND(#REF!,"AAAAAD9731o=")</f>
        <v>#REF!</v>
      </c>
      <c r="CN308" t="e">
        <f>AND(#REF!,"AAAAAD9731s=")</f>
        <v>#REF!</v>
      </c>
      <c r="CO308" t="e">
        <f>AND(#REF!,"AAAAAD9731w=")</f>
        <v>#REF!</v>
      </c>
      <c r="CP308" t="e">
        <f>AND(#REF!,"AAAAAD97310=")</f>
        <v>#REF!</v>
      </c>
      <c r="CQ308" t="e">
        <f>AND(#REF!,"AAAAAD97314=")</f>
        <v>#REF!</v>
      </c>
      <c r="CR308" t="e">
        <f>AND(#REF!,"AAAAAD97318=")</f>
        <v>#REF!</v>
      </c>
      <c r="CS308" t="e">
        <f>AND(#REF!,"AAAAAD9732A=")</f>
        <v>#REF!</v>
      </c>
      <c r="CT308" t="e">
        <f>AND(#REF!,"AAAAAD9732E=")</f>
        <v>#REF!</v>
      </c>
      <c r="CU308" t="e">
        <f>AND(#REF!,"AAAAAD9732I=")</f>
        <v>#REF!</v>
      </c>
      <c r="CV308" t="e">
        <f>AND(#REF!,"AAAAAD9732M=")</f>
        <v>#REF!</v>
      </c>
      <c r="CW308" t="e">
        <f>AND(#REF!,"AAAAAD9732Q=")</f>
        <v>#REF!</v>
      </c>
      <c r="CX308" t="e">
        <f>AND(#REF!,"AAAAAD9732U=")</f>
        <v>#REF!</v>
      </c>
      <c r="CY308" t="e">
        <f>AND(#REF!,"AAAAAD9732Y=")</f>
        <v>#REF!</v>
      </c>
      <c r="CZ308" t="e">
        <f>AND(#REF!,"AAAAAD9732c=")</f>
        <v>#REF!</v>
      </c>
      <c r="DA308" t="e">
        <f>AND(#REF!,"AAAAAD9732g=")</f>
        <v>#REF!</v>
      </c>
      <c r="DB308" t="e">
        <f>AND(#REF!,"AAAAAD9732k=")</f>
        <v>#REF!</v>
      </c>
      <c r="DC308" t="e">
        <f>AND(#REF!,"AAAAAD9732o=")</f>
        <v>#REF!</v>
      </c>
      <c r="DD308" t="e">
        <f>AND(#REF!,"AAAAAD9732s=")</f>
        <v>#REF!</v>
      </c>
      <c r="DE308" t="e">
        <f>AND(#REF!,"AAAAAD9732w=")</f>
        <v>#REF!</v>
      </c>
      <c r="DF308" t="e">
        <f>AND(#REF!,"AAAAAD97320=")</f>
        <v>#REF!</v>
      </c>
      <c r="DG308" t="e">
        <f>AND(#REF!,"AAAAAD97324=")</f>
        <v>#REF!</v>
      </c>
      <c r="DH308" t="e">
        <f>IF(#REF!,"AAAAAD97328=",0)</f>
        <v>#REF!</v>
      </c>
      <c r="DI308" t="e">
        <f>AND(#REF!,"AAAAAD9733A=")</f>
        <v>#REF!</v>
      </c>
      <c r="DJ308" t="e">
        <f>AND(#REF!,"AAAAAD9733E=")</f>
        <v>#REF!</v>
      </c>
      <c r="DK308" t="e">
        <f>AND(#REF!,"AAAAAD9733I=")</f>
        <v>#REF!</v>
      </c>
      <c r="DL308" t="e">
        <f>AND(#REF!,"AAAAAD9733M=")</f>
        <v>#REF!</v>
      </c>
      <c r="DM308" t="e">
        <f>AND(#REF!,"AAAAAD9733Q=")</f>
        <v>#REF!</v>
      </c>
      <c r="DN308" t="e">
        <f>AND(#REF!,"AAAAAD9733U=")</f>
        <v>#REF!</v>
      </c>
      <c r="DO308" t="e">
        <f>AND(#REF!,"AAAAAD9733Y=")</f>
        <v>#REF!</v>
      </c>
      <c r="DP308" t="e">
        <f>AND(#REF!,"AAAAAD9733c=")</f>
        <v>#REF!</v>
      </c>
      <c r="DQ308" t="e">
        <f>AND(#REF!,"AAAAAD9733g=")</f>
        <v>#REF!</v>
      </c>
      <c r="DR308" t="e">
        <f>AND(#REF!,"AAAAAD9733k=")</f>
        <v>#REF!</v>
      </c>
      <c r="DS308" t="e">
        <f>AND(#REF!,"AAAAAD9733o=")</f>
        <v>#REF!</v>
      </c>
      <c r="DT308" t="e">
        <f>AND(#REF!,"AAAAAD9733s=")</f>
        <v>#REF!</v>
      </c>
      <c r="DU308" t="e">
        <f>AND(#REF!,"AAAAAD9733w=")</f>
        <v>#REF!</v>
      </c>
      <c r="DV308" t="e">
        <f>AND(#REF!,"AAAAAD97330=")</f>
        <v>#REF!</v>
      </c>
      <c r="DW308" t="e">
        <f>AND(#REF!,"AAAAAD97334=")</f>
        <v>#REF!</v>
      </c>
      <c r="DX308" t="e">
        <f>AND(#REF!,"AAAAAD97338=")</f>
        <v>#REF!</v>
      </c>
      <c r="DY308" t="e">
        <f>AND(#REF!,"AAAAAD9734A=")</f>
        <v>#REF!</v>
      </c>
      <c r="DZ308" t="e">
        <f>AND(#REF!,"AAAAAD9734E=")</f>
        <v>#REF!</v>
      </c>
      <c r="EA308" t="e">
        <f>AND(#REF!,"AAAAAD9734I=")</f>
        <v>#REF!</v>
      </c>
      <c r="EB308" t="e">
        <f>AND(#REF!,"AAAAAD9734M=")</f>
        <v>#REF!</v>
      </c>
      <c r="EC308" t="e">
        <f>AND(#REF!,"AAAAAD9734Q=")</f>
        <v>#REF!</v>
      </c>
      <c r="ED308" t="e">
        <f>AND(#REF!,"AAAAAD9734U=")</f>
        <v>#REF!</v>
      </c>
      <c r="EE308" t="e">
        <f>AND(#REF!,"AAAAAD9734Y=")</f>
        <v>#REF!</v>
      </c>
      <c r="EF308" t="e">
        <f>AND(#REF!,"AAAAAD9734c=")</f>
        <v>#REF!</v>
      </c>
      <c r="EG308" t="e">
        <f>AND(#REF!,"AAAAAD9734g=")</f>
        <v>#REF!</v>
      </c>
      <c r="EH308" t="e">
        <f>AND(#REF!,"AAAAAD9734k=")</f>
        <v>#REF!</v>
      </c>
      <c r="EI308" t="e">
        <f>AND(#REF!,"AAAAAD9734o=")</f>
        <v>#REF!</v>
      </c>
      <c r="EJ308" t="e">
        <f>AND(#REF!,"AAAAAD9734s=")</f>
        <v>#REF!</v>
      </c>
      <c r="EK308" t="e">
        <f>AND(#REF!,"AAAAAD9734w=")</f>
        <v>#REF!</v>
      </c>
      <c r="EL308" t="e">
        <f>AND(#REF!,"AAAAAD97340=")</f>
        <v>#REF!</v>
      </c>
      <c r="EM308" t="e">
        <f>AND(#REF!,"AAAAAD97344=")</f>
        <v>#REF!</v>
      </c>
      <c r="EN308" t="e">
        <f>AND(#REF!,"AAAAAD97348=")</f>
        <v>#REF!</v>
      </c>
      <c r="EO308" t="e">
        <f>AND(#REF!,"AAAAAD9735A=")</f>
        <v>#REF!</v>
      </c>
      <c r="EP308" t="e">
        <f>AND(#REF!,"AAAAAD9735E=")</f>
        <v>#REF!</v>
      </c>
      <c r="EQ308" t="e">
        <f>AND(#REF!,"AAAAAD9735I=")</f>
        <v>#REF!</v>
      </c>
      <c r="ER308" t="e">
        <f>AND(#REF!,"AAAAAD9735M=")</f>
        <v>#REF!</v>
      </c>
      <c r="ES308" t="e">
        <f>AND(#REF!,"AAAAAD9735Q=")</f>
        <v>#REF!</v>
      </c>
      <c r="ET308" t="e">
        <f>AND(#REF!,"AAAAAD9735U=")</f>
        <v>#REF!</v>
      </c>
      <c r="EU308" t="e">
        <f>AND(#REF!,"AAAAAD9735Y=")</f>
        <v>#REF!</v>
      </c>
      <c r="EV308" t="e">
        <f>AND(#REF!,"AAAAAD9735c=")</f>
        <v>#REF!</v>
      </c>
      <c r="EW308" t="e">
        <f>AND(#REF!,"AAAAAD9735g=")</f>
        <v>#REF!</v>
      </c>
      <c r="EX308" t="e">
        <f>AND(#REF!,"AAAAAD9735k=")</f>
        <v>#REF!</v>
      </c>
      <c r="EY308" t="e">
        <f>AND(#REF!,"AAAAAD9735o=")</f>
        <v>#REF!</v>
      </c>
      <c r="EZ308" t="e">
        <f>AND(#REF!,"AAAAAD9735s=")</f>
        <v>#REF!</v>
      </c>
      <c r="FA308" t="e">
        <f>AND(#REF!,"AAAAAD9735w=")</f>
        <v>#REF!</v>
      </c>
      <c r="FB308" t="e">
        <f>AND(#REF!,"AAAAAD97350=")</f>
        <v>#REF!</v>
      </c>
      <c r="FC308" t="e">
        <f>AND(#REF!,"AAAAAD97354=")</f>
        <v>#REF!</v>
      </c>
      <c r="FD308" t="e">
        <f>AND(#REF!,"AAAAAD97358=")</f>
        <v>#REF!</v>
      </c>
      <c r="FE308" t="e">
        <f>AND(#REF!,"AAAAAD9736A=")</f>
        <v>#REF!</v>
      </c>
      <c r="FF308" t="e">
        <f>AND(#REF!,"AAAAAD9736E=")</f>
        <v>#REF!</v>
      </c>
      <c r="FG308" t="e">
        <f>AND(#REF!,"AAAAAD9736I=")</f>
        <v>#REF!</v>
      </c>
      <c r="FH308" t="e">
        <f>IF(#REF!,"AAAAAD9736M=",0)</f>
        <v>#REF!</v>
      </c>
      <c r="FI308" t="e">
        <f>AND(#REF!,"AAAAAD9736Q=")</f>
        <v>#REF!</v>
      </c>
      <c r="FJ308" t="e">
        <f>AND(#REF!,"AAAAAD9736U=")</f>
        <v>#REF!</v>
      </c>
      <c r="FK308" t="e">
        <f>AND(#REF!,"AAAAAD9736Y=")</f>
        <v>#REF!</v>
      </c>
      <c r="FL308" t="e">
        <f>AND(#REF!,"AAAAAD9736c=")</f>
        <v>#REF!</v>
      </c>
      <c r="FM308" t="e">
        <f>AND(#REF!,"AAAAAD9736g=")</f>
        <v>#REF!</v>
      </c>
      <c r="FN308" t="e">
        <f>AND(#REF!,"AAAAAD9736k=")</f>
        <v>#REF!</v>
      </c>
      <c r="FO308" t="e">
        <f>AND(#REF!,"AAAAAD9736o=")</f>
        <v>#REF!</v>
      </c>
      <c r="FP308" t="e">
        <f>AND(#REF!,"AAAAAD9736s=")</f>
        <v>#REF!</v>
      </c>
      <c r="FQ308" t="e">
        <f>AND(#REF!,"AAAAAD9736w=")</f>
        <v>#REF!</v>
      </c>
      <c r="FR308" t="e">
        <f>AND(#REF!,"AAAAAD97360=")</f>
        <v>#REF!</v>
      </c>
      <c r="FS308" t="e">
        <f>AND(#REF!,"AAAAAD97364=")</f>
        <v>#REF!</v>
      </c>
      <c r="FT308" t="e">
        <f>AND(#REF!,"AAAAAD97368=")</f>
        <v>#REF!</v>
      </c>
      <c r="FU308" t="e">
        <f>AND(#REF!,"AAAAAD9737A=")</f>
        <v>#REF!</v>
      </c>
      <c r="FV308" t="e">
        <f>AND(#REF!,"AAAAAD9737E=")</f>
        <v>#REF!</v>
      </c>
      <c r="FW308" t="e">
        <f>AND(#REF!,"AAAAAD9737I=")</f>
        <v>#REF!</v>
      </c>
      <c r="FX308" t="e">
        <f>AND(#REF!,"AAAAAD9737M=")</f>
        <v>#REF!</v>
      </c>
      <c r="FY308" t="e">
        <f>AND(#REF!,"AAAAAD9737Q=")</f>
        <v>#REF!</v>
      </c>
      <c r="FZ308" t="e">
        <f>AND(#REF!,"AAAAAD9737U=")</f>
        <v>#REF!</v>
      </c>
      <c r="GA308" t="e">
        <f>AND(#REF!,"AAAAAD9737Y=")</f>
        <v>#REF!</v>
      </c>
      <c r="GB308" t="e">
        <f>AND(#REF!,"AAAAAD9737c=")</f>
        <v>#REF!</v>
      </c>
      <c r="GC308" t="e">
        <f>AND(#REF!,"AAAAAD9737g=")</f>
        <v>#REF!</v>
      </c>
      <c r="GD308" t="e">
        <f>AND(#REF!,"AAAAAD9737k=")</f>
        <v>#REF!</v>
      </c>
      <c r="GE308" t="e">
        <f>AND(#REF!,"AAAAAD9737o=")</f>
        <v>#REF!</v>
      </c>
      <c r="GF308" t="e">
        <f>AND(#REF!,"AAAAAD9737s=")</f>
        <v>#REF!</v>
      </c>
      <c r="GG308" t="e">
        <f>AND(#REF!,"AAAAAD9737w=")</f>
        <v>#REF!</v>
      </c>
      <c r="GH308" t="e">
        <f>AND(#REF!,"AAAAAD97370=")</f>
        <v>#REF!</v>
      </c>
      <c r="GI308" t="e">
        <f>AND(#REF!,"AAAAAD97374=")</f>
        <v>#REF!</v>
      </c>
      <c r="GJ308" t="e">
        <f>AND(#REF!,"AAAAAD97378=")</f>
        <v>#REF!</v>
      </c>
      <c r="GK308" t="e">
        <f>AND(#REF!,"AAAAAD9738A=")</f>
        <v>#REF!</v>
      </c>
      <c r="GL308" t="e">
        <f>AND(#REF!,"AAAAAD9738E=")</f>
        <v>#REF!</v>
      </c>
      <c r="GM308" t="e">
        <f>AND(#REF!,"AAAAAD9738I=")</f>
        <v>#REF!</v>
      </c>
      <c r="GN308" t="e">
        <f>AND(#REF!,"AAAAAD9738M=")</f>
        <v>#REF!</v>
      </c>
      <c r="GO308" t="e">
        <f>AND(#REF!,"AAAAAD9738Q=")</f>
        <v>#REF!</v>
      </c>
      <c r="GP308" t="e">
        <f>AND(#REF!,"AAAAAD9738U=")</f>
        <v>#REF!</v>
      </c>
      <c r="GQ308" t="e">
        <f>AND(#REF!,"AAAAAD9738Y=")</f>
        <v>#REF!</v>
      </c>
      <c r="GR308" t="e">
        <f>AND(#REF!,"AAAAAD9738c=")</f>
        <v>#REF!</v>
      </c>
      <c r="GS308" t="e">
        <f>AND(#REF!,"AAAAAD9738g=")</f>
        <v>#REF!</v>
      </c>
      <c r="GT308" t="e">
        <f>AND(#REF!,"AAAAAD9738k=")</f>
        <v>#REF!</v>
      </c>
      <c r="GU308" t="e">
        <f>AND(#REF!,"AAAAAD9738o=")</f>
        <v>#REF!</v>
      </c>
      <c r="GV308" t="e">
        <f>AND(#REF!,"AAAAAD9738s=")</f>
        <v>#REF!</v>
      </c>
      <c r="GW308" t="e">
        <f>AND(#REF!,"AAAAAD9738w=")</f>
        <v>#REF!</v>
      </c>
      <c r="GX308" t="e">
        <f>AND(#REF!,"AAAAAD97380=")</f>
        <v>#REF!</v>
      </c>
      <c r="GY308" t="e">
        <f>AND(#REF!,"AAAAAD97384=")</f>
        <v>#REF!</v>
      </c>
      <c r="GZ308" t="e">
        <f>AND(#REF!,"AAAAAD97388=")</f>
        <v>#REF!</v>
      </c>
      <c r="HA308" t="e">
        <f>AND(#REF!,"AAAAAD9739A=")</f>
        <v>#REF!</v>
      </c>
      <c r="HB308" t="e">
        <f>AND(#REF!,"AAAAAD9739E=")</f>
        <v>#REF!</v>
      </c>
      <c r="HC308" t="e">
        <f>AND(#REF!,"AAAAAD9739I=")</f>
        <v>#REF!</v>
      </c>
      <c r="HD308" t="e">
        <f>AND(#REF!,"AAAAAD9739M=")</f>
        <v>#REF!</v>
      </c>
      <c r="HE308" t="e">
        <f>AND(#REF!,"AAAAAD9739Q=")</f>
        <v>#REF!</v>
      </c>
      <c r="HF308" t="e">
        <f>AND(#REF!,"AAAAAD9739U=")</f>
        <v>#REF!</v>
      </c>
      <c r="HG308" t="e">
        <f>AND(#REF!,"AAAAAD9739Y=")</f>
        <v>#REF!</v>
      </c>
      <c r="HH308" t="e">
        <f>IF(#REF!,"AAAAAD9739c=",0)</f>
        <v>#REF!</v>
      </c>
      <c r="HI308" t="e">
        <f>AND(#REF!,"AAAAAD9739g=")</f>
        <v>#REF!</v>
      </c>
      <c r="HJ308" t="e">
        <f>AND(#REF!,"AAAAAD9739k=")</f>
        <v>#REF!</v>
      </c>
      <c r="HK308" t="e">
        <f>AND(#REF!,"AAAAAD9739o=")</f>
        <v>#REF!</v>
      </c>
      <c r="HL308" t="e">
        <f>AND(#REF!,"AAAAAD9739s=")</f>
        <v>#REF!</v>
      </c>
      <c r="HM308" t="e">
        <f>AND(#REF!,"AAAAAD9739w=")</f>
        <v>#REF!</v>
      </c>
      <c r="HN308" t="e">
        <f>AND(#REF!,"AAAAAD97390=")</f>
        <v>#REF!</v>
      </c>
      <c r="HO308" t="e">
        <f>AND(#REF!,"AAAAAD97394=")</f>
        <v>#REF!</v>
      </c>
      <c r="HP308" t="e">
        <f>AND(#REF!,"AAAAAD97398=")</f>
        <v>#REF!</v>
      </c>
      <c r="HQ308" t="e">
        <f>AND(#REF!,"AAAAAD973+A=")</f>
        <v>#REF!</v>
      </c>
      <c r="HR308" t="e">
        <f>AND(#REF!,"AAAAAD973+E=")</f>
        <v>#REF!</v>
      </c>
      <c r="HS308" t="e">
        <f>AND(#REF!,"AAAAAD973+I=")</f>
        <v>#REF!</v>
      </c>
      <c r="HT308" t="e">
        <f>AND(#REF!,"AAAAAD973+M=")</f>
        <v>#REF!</v>
      </c>
      <c r="HU308" t="e">
        <f>AND(#REF!,"AAAAAD973+Q=")</f>
        <v>#REF!</v>
      </c>
      <c r="HV308" t="e">
        <f>AND(#REF!,"AAAAAD973+U=")</f>
        <v>#REF!</v>
      </c>
      <c r="HW308" t="e">
        <f>AND(#REF!,"AAAAAD973+Y=")</f>
        <v>#REF!</v>
      </c>
      <c r="HX308" t="e">
        <f>AND(#REF!,"AAAAAD973+c=")</f>
        <v>#REF!</v>
      </c>
      <c r="HY308" t="e">
        <f>AND(#REF!,"AAAAAD973+g=")</f>
        <v>#REF!</v>
      </c>
      <c r="HZ308" t="e">
        <f>AND(#REF!,"AAAAAD973+k=")</f>
        <v>#REF!</v>
      </c>
      <c r="IA308" t="e">
        <f>AND(#REF!,"AAAAAD973+o=")</f>
        <v>#REF!</v>
      </c>
      <c r="IB308" t="e">
        <f>AND(#REF!,"AAAAAD973+s=")</f>
        <v>#REF!</v>
      </c>
      <c r="IC308" t="e">
        <f>AND(#REF!,"AAAAAD973+w=")</f>
        <v>#REF!</v>
      </c>
      <c r="ID308" t="e">
        <f>AND(#REF!,"AAAAAD973+0=")</f>
        <v>#REF!</v>
      </c>
      <c r="IE308" t="e">
        <f>AND(#REF!,"AAAAAD973+4=")</f>
        <v>#REF!</v>
      </c>
      <c r="IF308" t="e">
        <f>AND(#REF!,"AAAAAD973+8=")</f>
        <v>#REF!</v>
      </c>
      <c r="IG308" t="e">
        <f>AND(#REF!,"AAAAAD973/A=")</f>
        <v>#REF!</v>
      </c>
      <c r="IH308" t="e">
        <f>AND(#REF!,"AAAAAD973/E=")</f>
        <v>#REF!</v>
      </c>
      <c r="II308" t="e">
        <f>AND(#REF!,"AAAAAD973/I=")</f>
        <v>#REF!</v>
      </c>
      <c r="IJ308" t="e">
        <f>AND(#REF!,"AAAAAD973/M=")</f>
        <v>#REF!</v>
      </c>
      <c r="IK308" t="e">
        <f>AND(#REF!,"AAAAAD973/Q=")</f>
        <v>#REF!</v>
      </c>
      <c r="IL308" t="e">
        <f>AND(#REF!,"AAAAAD973/U=")</f>
        <v>#REF!</v>
      </c>
      <c r="IM308" t="e">
        <f>AND(#REF!,"AAAAAD973/Y=")</f>
        <v>#REF!</v>
      </c>
      <c r="IN308" t="e">
        <f>AND(#REF!,"AAAAAD973/c=")</f>
        <v>#REF!</v>
      </c>
      <c r="IO308" t="e">
        <f>AND(#REF!,"AAAAAD973/g=")</f>
        <v>#REF!</v>
      </c>
      <c r="IP308" t="e">
        <f>AND(#REF!,"AAAAAD973/k=")</f>
        <v>#REF!</v>
      </c>
      <c r="IQ308" t="e">
        <f>AND(#REF!,"AAAAAD973/o=")</f>
        <v>#REF!</v>
      </c>
      <c r="IR308" t="e">
        <f>AND(#REF!,"AAAAAD973/s=")</f>
        <v>#REF!</v>
      </c>
      <c r="IS308" t="e">
        <f>AND(#REF!,"AAAAAD973/w=")</f>
        <v>#REF!</v>
      </c>
      <c r="IT308" t="e">
        <f>AND(#REF!,"AAAAAD973/0=")</f>
        <v>#REF!</v>
      </c>
      <c r="IU308" t="e">
        <f>AND(#REF!,"AAAAAD973/4=")</f>
        <v>#REF!</v>
      </c>
      <c r="IV308" t="e">
        <f>AND(#REF!,"AAAAAD973/8=")</f>
        <v>#REF!</v>
      </c>
    </row>
    <row r="309" spans="1:256">
      <c r="A309" t="e">
        <f>AND(#REF!,"AAAAAH37/QA=")</f>
        <v>#REF!</v>
      </c>
      <c r="B309" t="e">
        <f>AND(#REF!,"AAAAAH37/QE=")</f>
        <v>#REF!</v>
      </c>
      <c r="C309" t="e">
        <f>AND(#REF!,"AAAAAH37/QI=")</f>
        <v>#REF!</v>
      </c>
      <c r="D309" t="e">
        <f>AND(#REF!,"AAAAAH37/QM=")</f>
        <v>#REF!</v>
      </c>
      <c r="E309" t="e">
        <f>AND(#REF!,"AAAAAH37/QQ=")</f>
        <v>#REF!</v>
      </c>
      <c r="F309" t="e">
        <f>AND(#REF!,"AAAAAH37/QU=")</f>
        <v>#REF!</v>
      </c>
      <c r="G309" t="e">
        <f>AND(#REF!,"AAAAAH37/QY=")</f>
        <v>#REF!</v>
      </c>
      <c r="H309" t="e">
        <f>AND(#REF!,"AAAAAH37/Qc=")</f>
        <v>#REF!</v>
      </c>
      <c r="I309" t="e">
        <f>AND(#REF!,"AAAAAH37/Qg=")</f>
        <v>#REF!</v>
      </c>
      <c r="J309" t="e">
        <f>AND(#REF!,"AAAAAH37/Qk=")</f>
        <v>#REF!</v>
      </c>
      <c r="K309" t="e">
        <f>AND(#REF!,"AAAAAH37/Qo=")</f>
        <v>#REF!</v>
      </c>
      <c r="L309" t="e">
        <f>IF(#REF!,"AAAAAH37/Qs=",0)</f>
        <v>#REF!</v>
      </c>
      <c r="M309" t="e">
        <f>AND(#REF!,"AAAAAH37/Qw=")</f>
        <v>#REF!</v>
      </c>
      <c r="N309" t="e">
        <f>AND(#REF!,"AAAAAH37/Q0=")</f>
        <v>#REF!</v>
      </c>
      <c r="O309" t="e">
        <f>AND(#REF!,"AAAAAH37/Q4=")</f>
        <v>#REF!</v>
      </c>
      <c r="P309" t="e">
        <f>AND(#REF!,"AAAAAH37/Q8=")</f>
        <v>#REF!</v>
      </c>
      <c r="Q309" t="e">
        <f>AND(#REF!,"AAAAAH37/RA=")</f>
        <v>#REF!</v>
      </c>
      <c r="R309" t="e">
        <f>AND(#REF!,"AAAAAH37/RE=")</f>
        <v>#REF!</v>
      </c>
      <c r="S309" t="e">
        <f>AND(#REF!,"AAAAAH37/RI=")</f>
        <v>#REF!</v>
      </c>
      <c r="T309" t="e">
        <f>AND(#REF!,"AAAAAH37/RM=")</f>
        <v>#REF!</v>
      </c>
      <c r="U309" t="e">
        <f>AND(#REF!,"AAAAAH37/RQ=")</f>
        <v>#REF!</v>
      </c>
      <c r="V309" t="e">
        <f>AND(#REF!,"AAAAAH37/RU=")</f>
        <v>#REF!</v>
      </c>
      <c r="W309" t="e">
        <f>AND(#REF!,"AAAAAH37/RY=")</f>
        <v>#REF!</v>
      </c>
      <c r="X309" t="e">
        <f>AND(#REF!,"AAAAAH37/Rc=")</f>
        <v>#REF!</v>
      </c>
      <c r="Y309" t="e">
        <f>AND(#REF!,"AAAAAH37/Rg=")</f>
        <v>#REF!</v>
      </c>
      <c r="Z309" t="e">
        <f>AND(#REF!,"AAAAAH37/Rk=")</f>
        <v>#REF!</v>
      </c>
      <c r="AA309" t="e">
        <f>AND(#REF!,"AAAAAH37/Ro=")</f>
        <v>#REF!</v>
      </c>
      <c r="AB309" t="e">
        <f>AND(#REF!,"AAAAAH37/Rs=")</f>
        <v>#REF!</v>
      </c>
      <c r="AC309" t="e">
        <f>AND(#REF!,"AAAAAH37/Rw=")</f>
        <v>#REF!</v>
      </c>
      <c r="AD309" t="e">
        <f>AND(#REF!,"AAAAAH37/R0=")</f>
        <v>#REF!</v>
      </c>
      <c r="AE309" t="e">
        <f>AND(#REF!,"AAAAAH37/R4=")</f>
        <v>#REF!</v>
      </c>
      <c r="AF309" t="e">
        <f>AND(#REF!,"AAAAAH37/R8=")</f>
        <v>#REF!</v>
      </c>
      <c r="AG309" t="e">
        <f>AND(#REF!,"AAAAAH37/SA=")</f>
        <v>#REF!</v>
      </c>
      <c r="AH309" t="e">
        <f>AND(#REF!,"AAAAAH37/SE=")</f>
        <v>#REF!</v>
      </c>
      <c r="AI309" t="e">
        <f>AND(#REF!,"AAAAAH37/SI=")</f>
        <v>#REF!</v>
      </c>
      <c r="AJ309" t="e">
        <f>AND(#REF!,"AAAAAH37/SM=")</f>
        <v>#REF!</v>
      </c>
      <c r="AK309" t="e">
        <f>AND(#REF!,"AAAAAH37/SQ=")</f>
        <v>#REF!</v>
      </c>
      <c r="AL309" t="e">
        <f>AND(#REF!,"AAAAAH37/SU=")</f>
        <v>#REF!</v>
      </c>
      <c r="AM309" t="e">
        <f>AND(#REF!,"AAAAAH37/SY=")</f>
        <v>#REF!</v>
      </c>
      <c r="AN309" t="e">
        <f>AND(#REF!,"AAAAAH37/Sc=")</f>
        <v>#REF!</v>
      </c>
      <c r="AO309" t="e">
        <f>AND(#REF!,"AAAAAH37/Sg=")</f>
        <v>#REF!</v>
      </c>
      <c r="AP309" t="e">
        <f>AND(#REF!,"AAAAAH37/Sk=")</f>
        <v>#REF!</v>
      </c>
      <c r="AQ309" t="e">
        <f>AND(#REF!,"AAAAAH37/So=")</f>
        <v>#REF!</v>
      </c>
      <c r="AR309" t="e">
        <f>AND(#REF!,"AAAAAH37/Ss=")</f>
        <v>#REF!</v>
      </c>
      <c r="AS309" t="e">
        <f>AND(#REF!,"AAAAAH37/Sw=")</f>
        <v>#REF!</v>
      </c>
      <c r="AT309" t="e">
        <f>AND(#REF!,"AAAAAH37/S0=")</f>
        <v>#REF!</v>
      </c>
      <c r="AU309" t="e">
        <f>AND(#REF!,"AAAAAH37/S4=")</f>
        <v>#REF!</v>
      </c>
      <c r="AV309" t="e">
        <f>AND(#REF!,"AAAAAH37/S8=")</f>
        <v>#REF!</v>
      </c>
      <c r="AW309" t="e">
        <f>AND(#REF!,"AAAAAH37/TA=")</f>
        <v>#REF!</v>
      </c>
      <c r="AX309" t="e">
        <f>AND(#REF!,"AAAAAH37/TE=")</f>
        <v>#REF!</v>
      </c>
      <c r="AY309" t="e">
        <f>AND(#REF!,"AAAAAH37/TI=")</f>
        <v>#REF!</v>
      </c>
      <c r="AZ309" t="e">
        <f>AND(#REF!,"AAAAAH37/TM=")</f>
        <v>#REF!</v>
      </c>
      <c r="BA309" t="e">
        <f>AND(#REF!,"AAAAAH37/TQ=")</f>
        <v>#REF!</v>
      </c>
      <c r="BB309" t="e">
        <f>AND(#REF!,"AAAAAH37/TU=")</f>
        <v>#REF!</v>
      </c>
      <c r="BC309" t="e">
        <f>AND(#REF!,"AAAAAH37/TY=")</f>
        <v>#REF!</v>
      </c>
      <c r="BD309" t="e">
        <f>AND(#REF!,"AAAAAH37/Tc=")</f>
        <v>#REF!</v>
      </c>
      <c r="BE309" t="e">
        <f>AND(#REF!,"AAAAAH37/Tg=")</f>
        <v>#REF!</v>
      </c>
      <c r="BF309" t="e">
        <f>AND(#REF!,"AAAAAH37/Tk=")</f>
        <v>#REF!</v>
      </c>
      <c r="BG309" t="e">
        <f>AND(#REF!,"AAAAAH37/To=")</f>
        <v>#REF!</v>
      </c>
      <c r="BH309" t="e">
        <f>AND(#REF!,"AAAAAH37/Ts=")</f>
        <v>#REF!</v>
      </c>
      <c r="BI309" t="e">
        <f>AND(#REF!,"AAAAAH37/Tw=")</f>
        <v>#REF!</v>
      </c>
      <c r="BJ309" t="e">
        <f>AND(#REF!,"AAAAAH37/T0=")</f>
        <v>#REF!</v>
      </c>
      <c r="BK309" t="e">
        <f>AND(#REF!,"AAAAAH37/T4=")</f>
        <v>#REF!</v>
      </c>
      <c r="BL309" t="e">
        <f>IF(#REF!,"AAAAAH37/T8=",0)</f>
        <v>#REF!</v>
      </c>
      <c r="BM309" t="e">
        <f>AND(#REF!,"AAAAAH37/UA=")</f>
        <v>#REF!</v>
      </c>
      <c r="BN309" t="e">
        <f>AND(#REF!,"AAAAAH37/UE=")</f>
        <v>#REF!</v>
      </c>
      <c r="BO309" t="e">
        <f>AND(#REF!,"AAAAAH37/UI=")</f>
        <v>#REF!</v>
      </c>
      <c r="BP309" t="e">
        <f>AND(#REF!,"AAAAAH37/UM=")</f>
        <v>#REF!</v>
      </c>
      <c r="BQ309" t="e">
        <f>AND(#REF!,"AAAAAH37/UQ=")</f>
        <v>#REF!</v>
      </c>
      <c r="BR309" t="e">
        <f>AND(#REF!,"AAAAAH37/UU=")</f>
        <v>#REF!</v>
      </c>
      <c r="BS309" t="e">
        <f>AND(#REF!,"AAAAAH37/UY=")</f>
        <v>#REF!</v>
      </c>
      <c r="BT309" t="e">
        <f>AND(#REF!,"AAAAAH37/Uc=")</f>
        <v>#REF!</v>
      </c>
      <c r="BU309" t="e">
        <f>AND(#REF!,"AAAAAH37/Ug=")</f>
        <v>#REF!</v>
      </c>
      <c r="BV309" t="e">
        <f>AND(#REF!,"AAAAAH37/Uk=")</f>
        <v>#REF!</v>
      </c>
      <c r="BW309" t="e">
        <f>AND(#REF!,"AAAAAH37/Uo=")</f>
        <v>#REF!</v>
      </c>
      <c r="BX309" t="e">
        <f>AND(#REF!,"AAAAAH37/Us=")</f>
        <v>#REF!</v>
      </c>
      <c r="BY309" t="e">
        <f>AND(#REF!,"AAAAAH37/Uw=")</f>
        <v>#REF!</v>
      </c>
      <c r="BZ309" t="e">
        <f>AND(#REF!,"AAAAAH37/U0=")</f>
        <v>#REF!</v>
      </c>
      <c r="CA309" t="e">
        <f>AND(#REF!,"AAAAAH37/U4=")</f>
        <v>#REF!</v>
      </c>
      <c r="CB309" t="e">
        <f>AND(#REF!,"AAAAAH37/U8=")</f>
        <v>#REF!</v>
      </c>
      <c r="CC309" t="e">
        <f>AND(#REF!,"AAAAAH37/VA=")</f>
        <v>#REF!</v>
      </c>
      <c r="CD309" t="e">
        <f>AND(#REF!,"AAAAAH37/VE=")</f>
        <v>#REF!</v>
      </c>
      <c r="CE309" t="e">
        <f>AND(#REF!,"AAAAAH37/VI=")</f>
        <v>#REF!</v>
      </c>
      <c r="CF309" t="e">
        <f>AND(#REF!,"AAAAAH37/VM=")</f>
        <v>#REF!</v>
      </c>
      <c r="CG309" t="e">
        <f>AND(#REF!,"AAAAAH37/VQ=")</f>
        <v>#REF!</v>
      </c>
      <c r="CH309" t="e">
        <f>AND(#REF!,"AAAAAH37/VU=")</f>
        <v>#REF!</v>
      </c>
      <c r="CI309" t="e">
        <f>AND(#REF!,"AAAAAH37/VY=")</f>
        <v>#REF!</v>
      </c>
      <c r="CJ309" t="e">
        <f>AND(#REF!,"AAAAAH37/Vc=")</f>
        <v>#REF!</v>
      </c>
      <c r="CK309" t="e">
        <f>AND(#REF!,"AAAAAH37/Vg=")</f>
        <v>#REF!</v>
      </c>
      <c r="CL309" t="e">
        <f>AND(#REF!,"AAAAAH37/Vk=")</f>
        <v>#REF!</v>
      </c>
      <c r="CM309" t="e">
        <f>AND(#REF!,"AAAAAH37/Vo=")</f>
        <v>#REF!</v>
      </c>
      <c r="CN309" t="e">
        <f>AND(#REF!,"AAAAAH37/Vs=")</f>
        <v>#REF!</v>
      </c>
      <c r="CO309" t="e">
        <f>AND(#REF!,"AAAAAH37/Vw=")</f>
        <v>#REF!</v>
      </c>
      <c r="CP309" t="e">
        <f>AND(#REF!,"AAAAAH37/V0=")</f>
        <v>#REF!</v>
      </c>
      <c r="CQ309" t="e">
        <f>AND(#REF!,"AAAAAH37/V4=")</f>
        <v>#REF!</v>
      </c>
      <c r="CR309" t="e">
        <f>AND(#REF!,"AAAAAH37/V8=")</f>
        <v>#REF!</v>
      </c>
      <c r="CS309" t="e">
        <f>AND(#REF!,"AAAAAH37/WA=")</f>
        <v>#REF!</v>
      </c>
      <c r="CT309" t="e">
        <f>AND(#REF!,"AAAAAH37/WE=")</f>
        <v>#REF!</v>
      </c>
      <c r="CU309" t="e">
        <f>AND(#REF!,"AAAAAH37/WI=")</f>
        <v>#REF!</v>
      </c>
      <c r="CV309" t="e">
        <f>AND(#REF!,"AAAAAH37/WM=")</f>
        <v>#REF!</v>
      </c>
      <c r="CW309" t="e">
        <f>AND(#REF!,"AAAAAH37/WQ=")</f>
        <v>#REF!</v>
      </c>
      <c r="CX309" t="e">
        <f>AND(#REF!,"AAAAAH37/WU=")</f>
        <v>#REF!</v>
      </c>
      <c r="CY309" t="e">
        <f>AND(#REF!,"AAAAAH37/WY=")</f>
        <v>#REF!</v>
      </c>
      <c r="CZ309" t="e">
        <f>AND(#REF!,"AAAAAH37/Wc=")</f>
        <v>#REF!</v>
      </c>
      <c r="DA309" t="e">
        <f>AND(#REF!,"AAAAAH37/Wg=")</f>
        <v>#REF!</v>
      </c>
      <c r="DB309" t="e">
        <f>AND(#REF!,"AAAAAH37/Wk=")</f>
        <v>#REF!</v>
      </c>
      <c r="DC309" t="e">
        <f>AND(#REF!,"AAAAAH37/Wo=")</f>
        <v>#REF!</v>
      </c>
      <c r="DD309" t="e">
        <f>AND(#REF!,"AAAAAH37/Ws=")</f>
        <v>#REF!</v>
      </c>
      <c r="DE309" t="e">
        <f>AND(#REF!,"AAAAAH37/Ww=")</f>
        <v>#REF!</v>
      </c>
      <c r="DF309" t="e">
        <f>AND(#REF!,"AAAAAH37/W0=")</f>
        <v>#REF!</v>
      </c>
      <c r="DG309" t="e">
        <f>AND(#REF!,"AAAAAH37/W4=")</f>
        <v>#REF!</v>
      </c>
      <c r="DH309" t="e">
        <f>AND(#REF!,"AAAAAH37/W8=")</f>
        <v>#REF!</v>
      </c>
      <c r="DI309" t="e">
        <f>AND(#REF!,"AAAAAH37/XA=")</f>
        <v>#REF!</v>
      </c>
      <c r="DJ309" t="e">
        <f>AND(#REF!,"AAAAAH37/XE=")</f>
        <v>#REF!</v>
      </c>
      <c r="DK309" t="e">
        <f>AND(#REF!,"AAAAAH37/XI=")</f>
        <v>#REF!</v>
      </c>
      <c r="DL309" t="e">
        <f>IF(#REF!,"AAAAAH37/XM=",0)</f>
        <v>#REF!</v>
      </c>
      <c r="DM309" t="e">
        <f>AND(#REF!,"AAAAAH37/XQ=")</f>
        <v>#REF!</v>
      </c>
      <c r="DN309" t="e">
        <f>AND(#REF!,"AAAAAH37/XU=")</f>
        <v>#REF!</v>
      </c>
      <c r="DO309" t="e">
        <f>AND(#REF!,"AAAAAH37/XY=")</f>
        <v>#REF!</v>
      </c>
      <c r="DP309" t="e">
        <f>AND(#REF!,"AAAAAH37/Xc=")</f>
        <v>#REF!</v>
      </c>
      <c r="DQ309" t="e">
        <f>AND(#REF!,"AAAAAH37/Xg=")</f>
        <v>#REF!</v>
      </c>
      <c r="DR309" t="e">
        <f>AND(#REF!,"AAAAAH37/Xk=")</f>
        <v>#REF!</v>
      </c>
      <c r="DS309" t="e">
        <f>AND(#REF!,"AAAAAH37/Xo=")</f>
        <v>#REF!</v>
      </c>
      <c r="DT309" t="e">
        <f>AND(#REF!,"AAAAAH37/Xs=")</f>
        <v>#REF!</v>
      </c>
      <c r="DU309" t="e">
        <f>AND(#REF!,"AAAAAH37/Xw=")</f>
        <v>#REF!</v>
      </c>
      <c r="DV309" t="e">
        <f>AND(#REF!,"AAAAAH37/X0=")</f>
        <v>#REF!</v>
      </c>
      <c r="DW309" t="e">
        <f>AND(#REF!,"AAAAAH37/X4=")</f>
        <v>#REF!</v>
      </c>
      <c r="DX309" t="e">
        <f>AND(#REF!,"AAAAAH37/X8=")</f>
        <v>#REF!</v>
      </c>
      <c r="DY309" t="e">
        <f>AND(#REF!,"AAAAAH37/YA=")</f>
        <v>#REF!</v>
      </c>
      <c r="DZ309" t="e">
        <f>AND(#REF!,"AAAAAH37/YE=")</f>
        <v>#REF!</v>
      </c>
      <c r="EA309" t="e">
        <f>AND(#REF!,"AAAAAH37/YI=")</f>
        <v>#REF!</v>
      </c>
      <c r="EB309" t="e">
        <f>AND(#REF!,"AAAAAH37/YM=")</f>
        <v>#REF!</v>
      </c>
      <c r="EC309" t="e">
        <f>AND(#REF!,"AAAAAH37/YQ=")</f>
        <v>#REF!</v>
      </c>
      <c r="ED309" t="e">
        <f>AND(#REF!,"AAAAAH37/YU=")</f>
        <v>#REF!</v>
      </c>
      <c r="EE309" t="e">
        <f>AND(#REF!,"AAAAAH37/YY=")</f>
        <v>#REF!</v>
      </c>
      <c r="EF309" t="e">
        <f>AND(#REF!,"AAAAAH37/Yc=")</f>
        <v>#REF!</v>
      </c>
      <c r="EG309" t="e">
        <f>AND(#REF!,"AAAAAH37/Yg=")</f>
        <v>#REF!</v>
      </c>
      <c r="EH309" t="e">
        <f>AND(#REF!,"AAAAAH37/Yk=")</f>
        <v>#REF!</v>
      </c>
      <c r="EI309" t="e">
        <f>AND(#REF!,"AAAAAH37/Yo=")</f>
        <v>#REF!</v>
      </c>
      <c r="EJ309" t="e">
        <f>AND(#REF!,"AAAAAH37/Ys=")</f>
        <v>#REF!</v>
      </c>
      <c r="EK309" t="e">
        <f>AND(#REF!,"AAAAAH37/Yw=")</f>
        <v>#REF!</v>
      </c>
      <c r="EL309" t="e">
        <f>AND(#REF!,"AAAAAH37/Y0=")</f>
        <v>#REF!</v>
      </c>
      <c r="EM309" t="e">
        <f>AND(#REF!,"AAAAAH37/Y4=")</f>
        <v>#REF!</v>
      </c>
      <c r="EN309" t="e">
        <f>AND(#REF!,"AAAAAH37/Y8=")</f>
        <v>#REF!</v>
      </c>
      <c r="EO309" t="e">
        <f>AND(#REF!,"AAAAAH37/ZA=")</f>
        <v>#REF!</v>
      </c>
      <c r="EP309" t="e">
        <f>AND(#REF!,"AAAAAH37/ZE=")</f>
        <v>#REF!</v>
      </c>
      <c r="EQ309" t="e">
        <f>AND(#REF!,"AAAAAH37/ZI=")</f>
        <v>#REF!</v>
      </c>
      <c r="ER309" t="e">
        <f>AND(#REF!,"AAAAAH37/ZM=")</f>
        <v>#REF!</v>
      </c>
      <c r="ES309" t="e">
        <f>AND(#REF!,"AAAAAH37/ZQ=")</f>
        <v>#REF!</v>
      </c>
      <c r="ET309" t="e">
        <f>AND(#REF!,"AAAAAH37/ZU=")</f>
        <v>#REF!</v>
      </c>
      <c r="EU309" t="e">
        <f>AND(#REF!,"AAAAAH37/ZY=")</f>
        <v>#REF!</v>
      </c>
      <c r="EV309" t="e">
        <f>AND(#REF!,"AAAAAH37/Zc=")</f>
        <v>#REF!</v>
      </c>
      <c r="EW309" t="e">
        <f>AND(#REF!,"AAAAAH37/Zg=")</f>
        <v>#REF!</v>
      </c>
      <c r="EX309" t="e">
        <f>AND(#REF!,"AAAAAH37/Zk=")</f>
        <v>#REF!</v>
      </c>
      <c r="EY309" t="e">
        <f>AND(#REF!,"AAAAAH37/Zo=")</f>
        <v>#REF!</v>
      </c>
      <c r="EZ309" t="e">
        <f>AND(#REF!,"AAAAAH37/Zs=")</f>
        <v>#REF!</v>
      </c>
      <c r="FA309" t="e">
        <f>AND(#REF!,"AAAAAH37/Zw=")</f>
        <v>#REF!</v>
      </c>
      <c r="FB309" t="e">
        <f>AND(#REF!,"AAAAAH37/Z0=")</f>
        <v>#REF!</v>
      </c>
      <c r="FC309" t="e">
        <f>AND(#REF!,"AAAAAH37/Z4=")</f>
        <v>#REF!</v>
      </c>
      <c r="FD309" t="e">
        <f>AND(#REF!,"AAAAAH37/Z8=")</f>
        <v>#REF!</v>
      </c>
      <c r="FE309" t="e">
        <f>AND(#REF!,"AAAAAH37/aA=")</f>
        <v>#REF!</v>
      </c>
      <c r="FF309" t="e">
        <f>AND(#REF!,"AAAAAH37/aE=")</f>
        <v>#REF!</v>
      </c>
      <c r="FG309" t="e">
        <f>AND(#REF!,"AAAAAH37/aI=")</f>
        <v>#REF!</v>
      </c>
      <c r="FH309" t="e">
        <f>AND(#REF!,"AAAAAH37/aM=")</f>
        <v>#REF!</v>
      </c>
      <c r="FI309" t="e">
        <f>AND(#REF!,"AAAAAH37/aQ=")</f>
        <v>#REF!</v>
      </c>
      <c r="FJ309" t="e">
        <f>AND(#REF!,"AAAAAH37/aU=")</f>
        <v>#REF!</v>
      </c>
      <c r="FK309" t="e">
        <f>AND(#REF!,"AAAAAH37/aY=")</f>
        <v>#REF!</v>
      </c>
      <c r="FL309" t="e">
        <f>IF(#REF!,"AAAAAH37/ac=",0)</f>
        <v>#REF!</v>
      </c>
      <c r="FM309" t="e">
        <f>AND(#REF!,"AAAAAH37/ag=")</f>
        <v>#REF!</v>
      </c>
      <c r="FN309" t="e">
        <f>AND(#REF!,"AAAAAH37/ak=")</f>
        <v>#REF!</v>
      </c>
      <c r="FO309" t="e">
        <f>AND(#REF!,"AAAAAH37/ao=")</f>
        <v>#REF!</v>
      </c>
      <c r="FP309" t="e">
        <f>AND(#REF!,"AAAAAH37/as=")</f>
        <v>#REF!</v>
      </c>
      <c r="FQ309" t="e">
        <f>AND(#REF!,"AAAAAH37/aw=")</f>
        <v>#REF!</v>
      </c>
      <c r="FR309" t="e">
        <f>AND(#REF!,"AAAAAH37/a0=")</f>
        <v>#REF!</v>
      </c>
      <c r="FS309" t="e">
        <f>AND(#REF!,"AAAAAH37/a4=")</f>
        <v>#REF!</v>
      </c>
      <c r="FT309" t="e">
        <f>AND(#REF!,"AAAAAH37/a8=")</f>
        <v>#REF!</v>
      </c>
      <c r="FU309" t="e">
        <f>AND(#REF!,"AAAAAH37/bA=")</f>
        <v>#REF!</v>
      </c>
      <c r="FV309" t="e">
        <f>AND(#REF!,"AAAAAH37/bE=")</f>
        <v>#REF!</v>
      </c>
      <c r="FW309" t="e">
        <f>AND(#REF!,"AAAAAH37/bI=")</f>
        <v>#REF!</v>
      </c>
      <c r="FX309" t="e">
        <f>AND(#REF!,"AAAAAH37/bM=")</f>
        <v>#REF!</v>
      </c>
      <c r="FY309" t="e">
        <f>AND(#REF!,"AAAAAH37/bQ=")</f>
        <v>#REF!</v>
      </c>
      <c r="FZ309" t="e">
        <f>AND(#REF!,"AAAAAH37/bU=")</f>
        <v>#REF!</v>
      </c>
      <c r="GA309" t="e">
        <f>AND(#REF!,"AAAAAH37/bY=")</f>
        <v>#REF!</v>
      </c>
      <c r="GB309" t="e">
        <f>AND(#REF!,"AAAAAH37/bc=")</f>
        <v>#REF!</v>
      </c>
      <c r="GC309" t="e">
        <f>AND(#REF!,"AAAAAH37/bg=")</f>
        <v>#REF!</v>
      </c>
      <c r="GD309" t="e">
        <f>AND(#REF!,"AAAAAH37/bk=")</f>
        <v>#REF!</v>
      </c>
      <c r="GE309" t="e">
        <f>AND(#REF!,"AAAAAH37/bo=")</f>
        <v>#REF!</v>
      </c>
      <c r="GF309" t="e">
        <f>AND(#REF!,"AAAAAH37/bs=")</f>
        <v>#REF!</v>
      </c>
      <c r="GG309" t="e">
        <f>AND(#REF!,"AAAAAH37/bw=")</f>
        <v>#REF!</v>
      </c>
      <c r="GH309" t="e">
        <f>AND(#REF!,"AAAAAH37/b0=")</f>
        <v>#REF!</v>
      </c>
      <c r="GI309" t="e">
        <f>AND(#REF!,"AAAAAH37/b4=")</f>
        <v>#REF!</v>
      </c>
      <c r="GJ309" t="e">
        <f>AND(#REF!,"AAAAAH37/b8=")</f>
        <v>#REF!</v>
      </c>
      <c r="GK309" t="e">
        <f>AND(#REF!,"AAAAAH37/cA=")</f>
        <v>#REF!</v>
      </c>
      <c r="GL309" t="e">
        <f>AND(#REF!,"AAAAAH37/cE=")</f>
        <v>#REF!</v>
      </c>
      <c r="GM309" t="e">
        <f>AND(#REF!,"AAAAAH37/cI=")</f>
        <v>#REF!</v>
      </c>
      <c r="GN309" t="e">
        <f>AND(#REF!,"AAAAAH37/cM=")</f>
        <v>#REF!</v>
      </c>
      <c r="GO309" t="e">
        <f>AND(#REF!,"AAAAAH37/cQ=")</f>
        <v>#REF!</v>
      </c>
      <c r="GP309" t="e">
        <f>AND(#REF!,"AAAAAH37/cU=")</f>
        <v>#REF!</v>
      </c>
      <c r="GQ309" t="e">
        <f>AND(#REF!,"AAAAAH37/cY=")</f>
        <v>#REF!</v>
      </c>
      <c r="GR309" t="e">
        <f>AND(#REF!,"AAAAAH37/cc=")</f>
        <v>#REF!</v>
      </c>
      <c r="GS309" t="e">
        <f>AND(#REF!,"AAAAAH37/cg=")</f>
        <v>#REF!</v>
      </c>
      <c r="GT309" t="e">
        <f>AND(#REF!,"AAAAAH37/ck=")</f>
        <v>#REF!</v>
      </c>
      <c r="GU309" t="e">
        <f>AND(#REF!,"AAAAAH37/co=")</f>
        <v>#REF!</v>
      </c>
      <c r="GV309" t="e">
        <f>AND(#REF!,"AAAAAH37/cs=")</f>
        <v>#REF!</v>
      </c>
      <c r="GW309" t="e">
        <f>AND(#REF!,"AAAAAH37/cw=")</f>
        <v>#REF!</v>
      </c>
      <c r="GX309" t="e">
        <f>AND(#REF!,"AAAAAH37/c0=")</f>
        <v>#REF!</v>
      </c>
      <c r="GY309" t="e">
        <f>AND(#REF!,"AAAAAH37/c4=")</f>
        <v>#REF!</v>
      </c>
      <c r="GZ309" t="e">
        <f>AND(#REF!,"AAAAAH37/c8=")</f>
        <v>#REF!</v>
      </c>
      <c r="HA309" t="e">
        <f>AND(#REF!,"AAAAAH37/dA=")</f>
        <v>#REF!</v>
      </c>
      <c r="HB309" t="e">
        <f>AND(#REF!,"AAAAAH37/dE=")</f>
        <v>#REF!</v>
      </c>
      <c r="HC309" t="e">
        <f>AND(#REF!,"AAAAAH37/dI=")</f>
        <v>#REF!</v>
      </c>
      <c r="HD309" t="e">
        <f>AND(#REF!,"AAAAAH37/dM=")</f>
        <v>#REF!</v>
      </c>
      <c r="HE309" t="e">
        <f>AND(#REF!,"AAAAAH37/dQ=")</f>
        <v>#REF!</v>
      </c>
      <c r="HF309" t="e">
        <f>AND(#REF!,"AAAAAH37/dU=")</f>
        <v>#REF!</v>
      </c>
      <c r="HG309" t="e">
        <f>AND(#REF!,"AAAAAH37/dY=")</f>
        <v>#REF!</v>
      </c>
      <c r="HH309" t="e">
        <f>AND(#REF!,"AAAAAH37/dc=")</f>
        <v>#REF!</v>
      </c>
      <c r="HI309" t="e">
        <f>AND(#REF!,"AAAAAH37/dg=")</f>
        <v>#REF!</v>
      </c>
      <c r="HJ309" t="e">
        <f>AND(#REF!,"AAAAAH37/dk=")</f>
        <v>#REF!</v>
      </c>
      <c r="HK309" t="e">
        <f>AND(#REF!,"AAAAAH37/do=")</f>
        <v>#REF!</v>
      </c>
      <c r="HL309" t="e">
        <f>IF(#REF!,"AAAAAH37/ds=",0)</f>
        <v>#REF!</v>
      </c>
      <c r="HM309" t="e">
        <f>AND(#REF!,"AAAAAH37/dw=")</f>
        <v>#REF!</v>
      </c>
      <c r="HN309" t="e">
        <f>AND(#REF!,"AAAAAH37/d0=")</f>
        <v>#REF!</v>
      </c>
      <c r="HO309" t="e">
        <f>AND(#REF!,"AAAAAH37/d4=")</f>
        <v>#REF!</v>
      </c>
      <c r="HP309" t="e">
        <f>AND(#REF!,"AAAAAH37/d8=")</f>
        <v>#REF!</v>
      </c>
      <c r="HQ309" t="e">
        <f>AND(#REF!,"AAAAAH37/eA=")</f>
        <v>#REF!</v>
      </c>
      <c r="HR309" t="e">
        <f>AND(#REF!,"AAAAAH37/eE=")</f>
        <v>#REF!</v>
      </c>
      <c r="HS309" t="e">
        <f>AND(#REF!,"AAAAAH37/eI=")</f>
        <v>#REF!</v>
      </c>
      <c r="HT309" t="e">
        <f>AND(#REF!,"AAAAAH37/eM=")</f>
        <v>#REF!</v>
      </c>
      <c r="HU309" t="e">
        <f>AND(#REF!,"AAAAAH37/eQ=")</f>
        <v>#REF!</v>
      </c>
      <c r="HV309" t="e">
        <f>AND(#REF!,"AAAAAH37/eU=")</f>
        <v>#REF!</v>
      </c>
      <c r="HW309" t="e">
        <f>AND(#REF!,"AAAAAH37/eY=")</f>
        <v>#REF!</v>
      </c>
      <c r="HX309" t="e">
        <f>AND(#REF!,"AAAAAH37/ec=")</f>
        <v>#REF!</v>
      </c>
      <c r="HY309" t="e">
        <f>AND(#REF!,"AAAAAH37/eg=")</f>
        <v>#REF!</v>
      </c>
      <c r="HZ309" t="e">
        <f>AND(#REF!,"AAAAAH37/ek=")</f>
        <v>#REF!</v>
      </c>
      <c r="IA309" t="e">
        <f>AND(#REF!,"AAAAAH37/eo=")</f>
        <v>#REF!</v>
      </c>
      <c r="IB309" t="e">
        <f>AND(#REF!,"AAAAAH37/es=")</f>
        <v>#REF!</v>
      </c>
      <c r="IC309" t="e">
        <f>AND(#REF!,"AAAAAH37/ew=")</f>
        <v>#REF!</v>
      </c>
      <c r="ID309" t="e">
        <f>AND(#REF!,"AAAAAH37/e0=")</f>
        <v>#REF!</v>
      </c>
      <c r="IE309" t="e">
        <f>AND(#REF!,"AAAAAH37/e4=")</f>
        <v>#REF!</v>
      </c>
      <c r="IF309" t="e">
        <f>AND(#REF!,"AAAAAH37/e8=")</f>
        <v>#REF!</v>
      </c>
      <c r="IG309" t="e">
        <f>AND(#REF!,"AAAAAH37/fA=")</f>
        <v>#REF!</v>
      </c>
      <c r="IH309" t="e">
        <f>AND(#REF!,"AAAAAH37/fE=")</f>
        <v>#REF!</v>
      </c>
      <c r="II309" t="e">
        <f>AND(#REF!,"AAAAAH37/fI=")</f>
        <v>#REF!</v>
      </c>
      <c r="IJ309" t="e">
        <f>AND(#REF!,"AAAAAH37/fM=")</f>
        <v>#REF!</v>
      </c>
      <c r="IK309" t="e">
        <f>AND(#REF!,"AAAAAH37/fQ=")</f>
        <v>#REF!</v>
      </c>
      <c r="IL309" t="e">
        <f>AND(#REF!,"AAAAAH37/fU=")</f>
        <v>#REF!</v>
      </c>
      <c r="IM309" t="e">
        <f>AND(#REF!,"AAAAAH37/fY=")</f>
        <v>#REF!</v>
      </c>
      <c r="IN309" t="e">
        <f>AND(#REF!,"AAAAAH37/fc=")</f>
        <v>#REF!</v>
      </c>
      <c r="IO309" t="e">
        <f>AND(#REF!,"AAAAAH37/fg=")</f>
        <v>#REF!</v>
      </c>
      <c r="IP309" t="e">
        <f>AND(#REF!,"AAAAAH37/fk=")</f>
        <v>#REF!</v>
      </c>
      <c r="IQ309" t="e">
        <f>AND(#REF!,"AAAAAH37/fo=")</f>
        <v>#REF!</v>
      </c>
      <c r="IR309" t="e">
        <f>AND(#REF!,"AAAAAH37/fs=")</f>
        <v>#REF!</v>
      </c>
      <c r="IS309" t="e">
        <f>AND(#REF!,"AAAAAH37/fw=")</f>
        <v>#REF!</v>
      </c>
      <c r="IT309" t="e">
        <f>AND(#REF!,"AAAAAH37/f0=")</f>
        <v>#REF!</v>
      </c>
      <c r="IU309" t="e">
        <f>AND(#REF!,"AAAAAH37/f4=")</f>
        <v>#REF!</v>
      </c>
      <c r="IV309" t="e">
        <f>AND(#REF!,"AAAAAH37/f8=")</f>
        <v>#REF!</v>
      </c>
    </row>
    <row r="310" spans="1:256">
      <c r="A310" t="e">
        <f>AND(#REF!,"AAAAAHd3yQA=")</f>
        <v>#REF!</v>
      </c>
      <c r="B310" t="e">
        <f>AND(#REF!,"AAAAAHd3yQE=")</f>
        <v>#REF!</v>
      </c>
      <c r="C310" t="e">
        <f>AND(#REF!,"AAAAAHd3yQI=")</f>
        <v>#REF!</v>
      </c>
      <c r="D310" t="e">
        <f>AND(#REF!,"AAAAAHd3yQM=")</f>
        <v>#REF!</v>
      </c>
      <c r="E310" t="e">
        <f>AND(#REF!,"AAAAAHd3yQQ=")</f>
        <v>#REF!</v>
      </c>
      <c r="F310" t="e">
        <f>AND(#REF!,"AAAAAHd3yQU=")</f>
        <v>#REF!</v>
      </c>
      <c r="G310" t="e">
        <f>AND(#REF!,"AAAAAHd3yQY=")</f>
        <v>#REF!</v>
      </c>
      <c r="H310" t="e">
        <f>AND(#REF!,"AAAAAHd3yQc=")</f>
        <v>#REF!</v>
      </c>
      <c r="I310" t="e">
        <f>AND(#REF!,"AAAAAHd3yQg=")</f>
        <v>#REF!</v>
      </c>
      <c r="J310" t="e">
        <f>AND(#REF!,"AAAAAHd3yQk=")</f>
        <v>#REF!</v>
      </c>
      <c r="K310" t="e">
        <f>AND(#REF!,"AAAAAHd3yQo=")</f>
        <v>#REF!</v>
      </c>
      <c r="L310" t="e">
        <f>AND(#REF!,"AAAAAHd3yQs=")</f>
        <v>#REF!</v>
      </c>
      <c r="M310" t="e">
        <f>AND(#REF!,"AAAAAHd3yQw=")</f>
        <v>#REF!</v>
      </c>
      <c r="N310" t="e">
        <f>AND(#REF!,"AAAAAHd3yQ0=")</f>
        <v>#REF!</v>
      </c>
      <c r="O310" t="e">
        <f>AND(#REF!,"AAAAAHd3yQ4=")</f>
        <v>#REF!</v>
      </c>
      <c r="P310" t="e">
        <f>IF(#REF!,"AAAAAHd3yQ8=",0)</f>
        <v>#REF!</v>
      </c>
      <c r="Q310" t="e">
        <f>AND(#REF!,"AAAAAHd3yRA=")</f>
        <v>#REF!</v>
      </c>
      <c r="R310" t="e">
        <f>AND(#REF!,"AAAAAHd3yRE=")</f>
        <v>#REF!</v>
      </c>
      <c r="S310" t="e">
        <f>AND(#REF!,"AAAAAHd3yRI=")</f>
        <v>#REF!</v>
      </c>
      <c r="T310" t="e">
        <f>AND(#REF!,"AAAAAHd3yRM=")</f>
        <v>#REF!</v>
      </c>
      <c r="U310" t="e">
        <f>AND(#REF!,"AAAAAHd3yRQ=")</f>
        <v>#REF!</v>
      </c>
      <c r="V310" t="e">
        <f>AND(#REF!,"AAAAAHd3yRU=")</f>
        <v>#REF!</v>
      </c>
      <c r="W310" t="e">
        <f>AND(#REF!,"AAAAAHd3yRY=")</f>
        <v>#REF!</v>
      </c>
      <c r="X310" t="e">
        <f>AND(#REF!,"AAAAAHd3yRc=")</f>
        <v>#REF!</v>
      </c>
      <c r="Y310" t="e">
        <f>AND(#REF!,"AAAAAHd3yRg=")</f>
        <v>#REF!</v>
      </c>
      <c r="Z310" t="e">
        <f>AND(#REF!,"AAAAAHd3yRk=")</f>
        <v>#REF!</v>
      </c>
      <c r="AA310" t="e">
        <f>AND(#REF!,"AAAAAHd3yRo=")</f>
        <v>#REF!</v>
      </c>
      <c r="AB310" t="e">
        <f>AND(#REF!,"AAAAAHd3yRs=")</f>
        <v>#REF!</v>
      </c>
      <c r="AC310" t="e">
        <f>AND(#REF!,"AAAAAHd3yRw=")</f>
        <v>#REF!</v>
      </c>
      <c r="AD310" t="e">
        <f>AND(#REF!,"AAAAAHd3yR0=")</f>
        <v>#REF!</v>
      </c>
      <c r="AE310" t="e">
        <f>AND(#REF!,"AAAAAHd3yR4=")</f>
        <v>#REF!</v>
      </c>
      <c r="AF310" t="e">
        <f>AND(#REF!,"AAAAAHd3yR8=")</f>
        <v>#REF!</v>
      </c>
      <c r="AG310" t="e">
        <f>AND(#REF!,"AAAAAHd3ySA=")</f>
        <v>#REF!</v>
      </c>
      <c r="AH310" t="e">
        <f>AND(#REF!,"AAAAAHd3ySE=")</f>
        <v>#REF!</v>
      </c>
      <c r="AI310" t="e">
        <f>AND(#REF!,"AAAAAHd3ySI=")</f>
        <v>#REF!</v>
      </c>
      <c r="AJ310" t="e">
        <f>AND(#REF!,"AAAAAHd3ySM=")</f>
        <v>#REF!</v>
      </c>
      <c r="AK310" t="e">
        <f>AND(#REF!,"AAAAAHd3ySQ=")</f>
        <v>#REF!</v>
      </c>
      <c r="AL310" t="e">
        <f>AND(#REF!,"AAAAAHd3ySU=")</f>
        <v>#REF!</v>
      </c>
      <c r="AM310" t="e">
        <f>AND(#REF!,"AAAAAHd3ySY=")</f>
        <v>#REF!</v>
      </c>
      <c r="AN310" t="e">
        <f>AND(#REF!,"AAAAAHd3ySc=")</f>
        <v>#REF!</v>
      </c>
      <c r="AO310" t="e">
        <f>AND(#REF!,"AAAAAHd3ySg=")</f>
        <v>#REF!</v>
      </c>
      <c r="AP310" t="e">
        <f>AND(#REF!,"AAAAAHd3ySk=")</f>
        <v>#REF!</v>
      </c>
      <c r="AQ310" t="e">
        <f>AND(#REF!,"AAAAAHd3ySo=")</f>
        <v>#REF!</v>
      </c>
      <c r="AR310" t="e">
        <f>AND(#REF!,"AAAAAHd3ySs=")</f>
        <v>#REF!</v>
      </c>
      <c r="AS310" t="e">
        <f>AND(#REF!,"AAAAAHd3ySw=")</f>
        <v>#REF!</v>
      </c>
      <c r="AT310" t="e">
        <f>AND(#REF!,"AAAAAHd3yS0=")</f>
        <v>#REF!</v>
      </c>
      <c r="AU310" t="e">
        <f>AND(#REF!,"AAAAAHd3yS4=")</f>
        <v>#REF!</v>
      </c>
      <c r="AV310" t="e">
        <f>AND(#REF!,"AAAAAHd3yS8=")</f>
        <v>#REF!</v>
      </c>
      <c r="AW310" t="e">
        <f>AND(#REF!,"AAAAAHd3yTA=")</f>
        <v>#REF!</v>
      </c>
      <c r="AX310" t="e">
        <f>AND(#REF!,"AAAAAHd3yTE=")</f>
        <v>#REF!</v>
      </c>
      <c r="AY310" t="e">
        <f>AND(#REF!,"AAAAAHd3yTI=")</f>
        <v>#REF!</v>
      </c>
      <c r="AZ310" t="e">
        <f>AND(#REF!,"AAAAAHd3yTM=")</f>
        <v>#REF!</v>
      </c>
      <c r="BA310" t="e">
        <f>AND(#REF!,"AAAAAHd3yTQ=")</f>
        <v>#REF!</v>
      </c>
      <c r="BB310" t="e">
        <f>AND(#REF!,"AAAAAHd3yTU=")</f>
        <v>#REF!</v>
      </c>
      <c r="BC310" t="e">
        <f>AND(#REF!,"AAAAAHd3yTY=")</f>
        <v>#REF!</v>
      </c>
      <c r="BD310" t="e">
        <f>AND(#REF!,"AAAAAHd3yTc=")</f>
        <v>#REF!</v>
      </c>
      <c r="BE310" t="e">
        <f>AND(#REF!,"AAAAAHd3yTg=")</f>
        <v>#REF!</v>
      </c>
      <c r="BF310" t="e">
        <f>AND(#REF!,"AAAAAHd3yTk=")</f>
        <v>#REF!</v>
      </c>
      <c r="BG310" t="e">
        <f>AND(#REF!,"AAAAAHd3yTo=")</f>
        <v>#REF!</v>
      </c>
      <c r="BH310" t="e">
        <f>AND(#REF!,"AAAAAHd3yTs=")</f>
        <v>#REF!</v>
      </c>
      <c r="BI310" t="e">
        <f>AND(#REF!,"AAAAAHd3yTw=")</f>
        <v>#REF!</v>
      </c>
      <c r="BJ310" t="e">
        <f>AND(#REF!,"AAAAAHd3yT0=")</f>
        <v>#REF!</v>
      </c>
      <c r="BK310" t="e">
        <f>AND(#REF!,"AAAAAHd3yT4=")</f>
        <v>#REF!</v>
      </c>
      <c r="BL310" t="e">
        <f>AND(#REF!,"AAAAAHd3yT8=")</f>
        <v>#REF!</v>
      </c>
      <c r="BM310" t="e">
        <f>AND(#REF!,"AAAAAHd3yUA=")</f>
        <v>#REF!</v>
      </c>
      <c r="BN310" t="e">
        <f>AND(#REF!,"AAAAAHd3yUE=")</f>
        <v>#REF!</v>
      </c>
      <c r="BO310" t="e">
        <f>AND(#REF!,"AAAAAHd3yUI=")</f>
        <v>#REF!</v>
      </c>
      <c r="BP310" t="e">
        <f>IF(#REF!,"AAAAAHd3yUM=",0)</f>
        <v>#REF!</v>
      </c>
      <c r="BQ310" t="e">
        <f>AND(#REF!,"AAAAAHd3yUQ=")</f>
        <v>#REF!</v>
      </c>
      <c r="BR310" t="e">
        <f>AND(#REF!,"AAAAAHd3yUU=")</f>
        <v>#REF!</v>
      </c>
      <c r="BS310" t="e">
        <f>AND(#REF!,"AAAAAHd3yUY=")</f>
        <v>#REF!</v>
      </c>
      <c r="BT310" t="e">
        <f>AND(#REF!,"AAAAAHd3yUc=")</f>
        <v>#REF!</v>
      </c>
      <c r="BU310" t="e">
        <f>AND(#REF!,"AAAAAHd3yUg=")</f>
        <v>#REF!</v>
      </c>
      <c r="BV310" t="e">
        <f>AND(#REF!,"AAAAAHd3yUk=")</f>
        <v>#REF!</v>
      </c>
      <c r="BW310" t="e">
        <f>AND(#REF!,"AAAAAHd3yUo=")</f>
        <v>#REF!</v>
      </c>
      <c r="BX310" t="e">
        <f>AND(#REF!,"AAAAAHd3yUs=")</f>
        <v>#REF!</v>
      </c>
      <c r="BY310" t="e">
        <f>AND(#REF!,"AAAAAHd3yUw=")</f>
        <v>#REF!</v>
      </c>
      <c r="BZ310" t="e">
        <f>AND(#REF!,"AAAAAHd3yU0=")</f>
        <v>#REF!</v>
      </c>
      <c r="CA310" t="e">
        <f>AND(#REF!,"AAAAAHd3yU4=")</f>
        <v>#REF!</v>
      </c>
      <c r="CB310" t="e">
        <f>AND(#REF!,"AAAAAHd3yU8=")</f>
        <v>#REF!</v>
      </c>
      <c r="CC310" t="e">
        <f>AND(#REF!,"AAAAAHd3yVA=")</f>
        <v>#REF!</v>
      </c>
      <c r="CD310" t="e">
        <f>AND(#REF!,"AAAAAHd3yVE=")</f>
        <v>#REF!</v>
      </c>
      <c r="CE310" t="e">
        <f>AND(#REF!,"AAAAAHd3yVI=")</f>
        <v>#REF!</v>
      </c>
      <c r="CF310" t="e">
        <f>AND(#REF!,"AAAAAHd3yVM=")</f>
        <v>#REF!</v>
      </c>
      <c r="CG310" t="e">
        <f>AND(#REF!,"AAAAAHd3yVQ=")</f>
        <v>#REF!</v>
      </c>
      <c r="CH310" t="e">
        <f>AND(#REF!,"AAAAAHd3yVU=")</f>
        <v>#REF!</v>
      </c>
      <c r="CI310" t="e">
        <f>AND(#REF!,"AAAAAHd3yVY=")</f>
        <v>#REF!</v>
      </c>
      <c r="CJ310" t="e">
        <f>AND(#REF!,"AAAAAHd3yVc=")</f>
        <v>#REF!</v>
      </c>
      <c r="CK310" t="e">
        <f>AND(#REF!,"AAAAAHd3yVg=")</f>
        <v>#REF!</v>
      </c>
      <c r="CL310" t="e">
        <f>AND(#REF!,"AAAAAHd3yVk=")</f>
        <v>#REF!</v>
      </c>
      <c r="CM310" t="e">
        <f>AND(#REF!,"AAAAAHd3yVo=")</f>
        <v>#REF!</v>
      </c>
      <c r="CN310" t="e">
        <f>AND(#REF!,"AAAAAHd3yVs=")</f>
        <v>#REF!</v>
      </c>
      <c r="CO310" t="e">
        <f>AND(#REF!,"AAAAAHd3yVw=")</f>
        <v>#REF!</v>
      </c>
      <c r="CP310" t="e">
        <f>AND(#REF!,"AAAAAHd3yV0=")</f>
        <v>#REF!</v>
      </c>
      <c r="CQ310" t="e">
        <f>AND(#REF!,"AAAAAHd3yV4=")</f>
        <v>#REF!</v>
      </c>
      <c r="CR310" t="e">
        <f>AND(#REF!,"AAAAAHd3yV8=")</f>
        <v>#REF!</v>
      </c>
      <c r="CS310" t="e">
        <f>AND(#REF!,"AAAAAHd3yWA=")</f>
        <v>#REF!</v>
      </c>
      <c r="CT310" t="e">
        <f>AND(#REF!,"AAAAAHd3yWE=")</f>
        <v>#REF!</v>
      </c>
      <c r="CU310" t="e">
        <f>AND(#REF!,"AAAAAHd3yWI=")</f>
        <v>#REF!</v>
      </c>
      <c r="CV310" t="e">
        <f>AND(#REF!,"AAAAAHd3yWM=")</f>
        <v>#REF!</v>
      </c>
      <c r="CW310" t="e">
        <f>AND(#REF!,"AAAAAHd3yWQ=")</f>
        <v>#REF!</v>
      </c>
      <c r="CX310" t="e">
        <f>AND(#REF!,"AAAAAHd3yWU=")</f>
        <v>#REF!</v>
      </c>
      <c r="CY310" t="e">
        <f>AND(#REF!,"AAAAAHd3yWY=")</f>
        <v>#REF!</v>
      </c>
      <c r="CZ310" t="e">
        <f>AND(#REF!,"AAAAAHd3yWc=")</f>
        <v>#REF!</v>
      </c>
      <c r="DA310" t="e">
        <f>AND(#REF!,"AAAAAHd3yWg=")</f>
        <v>#REF!</v>
      </c>
      <c r="DB310" t="e">
        <f>AND(#REF!,"AAAAAHd3yWk=")</f>
        <v>#REF!</v>
      </c>
      <c r="DC310" t="e">
        <f>AND(#REF!,"AAAAAHd3yWo=")</f>
        <v>#REF!</v>
      </c>
      <c r="DD310" t="e">
        <f>AND(#REF!,"AAAAAHd3yWs=")</f>
        <v>#REF!</v>
      </c>
      <c r="DE310" t="e">
        <f>AND(#REF!,"AAAAAHd3yWw=")</f>
        <v>#REF!</v>
      </c>
      <c r="DF310" t="e">
        <f>AND(#REF!,"AAAAAHd3yW0=")</f>
        <v>#REF!</v>
      </c>
      <c r="DG310" t="e">
        <f>AND(#REF!,"AAAAAHd3yW4=")</f>
        <v>#REF!</v>
      </c>
      <c r="DH310" t="e">
        <f>AND(#REF!,"AAAAAHd3yW8=")</f>
        <v>#REF!</v>
      </c>
      <c r="DI310" t="e">
        <f>AND(#REF!,"AAAAAHd3yXA=")</f>
        <v>#REF!</v>
      </c>
      <c r="DJ310" t="e">
        <f>AND(#REF!,"AAAAAHd3yXE=")</f>
        <v>#REF!</v>
      </c>
      <c r="DK310" t="e">
        <f>AND(#REF!,"AAAAAHd3yXI=")</f>
        <v>#REF!</v>
      </c>
      <c r="DL310" t="e">
        <f>AND(#REF!,"AAAAAHd3yXM=")</f>
        <v>#REF!</v>
      </c>
      <c r="DM310" t="e">
        <f>AND(#REF!,"AAAAAHd3yXQ=")</f>
        <v>#REF!</v>
      </c>
      <c r="DN310" t="e">
        <f>AND(#REF!,"AAAAAHd3yXU=")</f>
        <v>#REF!</v>
      </c>
      <c r="DO310" t="e">
        <f>AND(#REF!,"AAAAAHd3yXY=")</f>
        <v>#REF!</v>
      </c>
      <c r="DP310" t="e">
        <f>IF(#REF!,"AAAAAHd3yXc=",0)</f>
        <v>#REF!</v>
      </c>
      <c r="DQ310" t="e">
        <f>AND(#REF!,"AAAAAHd3yXg=")</f>
        <v>#REF!</v>
      </c>
      <c r="DR310" t="e">
        <f>AND(#REF!,"AAAAAHd3yXk=")</f>
        <v>#REF!</v>
      </c>
      <c r="DS310" t="e">
        <f>AND(#REF!,"AAAAAHd3yXo=")</f>
        <v>#REF!</v>
      </c>
      <c r="DT310" t="e">
        <f>AND(#REF!,"AAAAAHd3yXs=")</f>
        <v>#REF!</v>
      </c>
      <c r="DU310" t="e">
        <f>AND(#REF!,"AAAAAHd3yXw=")</f>
        <v>#REF!</v>
      </c>
      <c r="DV310" t="e">
        <f>AND(#REF!,"AAAAAHd3yX0=")</f>
        <v>#REF!</v>
      </c>
      <c r="DW310" t="e">
        <f>AND(#REF!,"AAAAAHd3yX4=")</f>
        <v>#REF!</v>
      </c>
      <c r="DX310" t="e">
        <f>AND(#REF!,"AAAAAHd3yX8=")</f>
        <v>#REF!</v>
      </c>
      <c r="DY310" t="e">
        <f>AND(#REF!,"AAAAAHd3yYA=")</f>
        <v>#REF!</v>
      </c>
      <c r="DZ310" t="e">
        <f>AND(#REF!,"AAAAAHd3yYE=")</f>
        <v>#REF!</v>
      </c>
      <c r="EA310" t="e">
        <f>AND(#REF!,"AAAAAHd3yYI=")</f>
        <v>#REF!</v>
      </c>
      <c r="EB310" t="e">
        <f>AND(#REF!,"AAAAAHd3yYM=")</f>
        <v>#REF!</v>
      </c>
      <c r="EC310" t="e">
        <f>AND(#REF!,"AAAAAHd3yYQ=")</f>
        <v>#REF!</v>
      </c>
      <c r="ED310" t="e">
        <f>AND(#REF!,"AAAAAHd3yYU=")</f>
        <v>#REF!</v>
      </c>
      <c r="EE310" t="e">
        <f>AND(#REF!,"AAAAAHd3yYY=")</f>
        <v>#REF!</v>
      </c>
      <c r="EF310" t="e">
        <f>AND(#REF!,"AAAAAHd3yYc=")</f>
        <v>#REF!</v>
      </c>
      <c r="EG310" t="e">
        <f>AND(#REF!,"AAAAAHd3yYg=")</f>
        <v>#REF!</v>
      </c>
      <c r="EH310" t="e">
        <f>AND(#REF!,"AAAAAHd3yYk=")</f>
        <v>#REF!</v>
      </c>
      <c r="EI310" t="e">
        <f>AND(#REF!,"AAAAAHd3yYo=")</f>
        <v>#REF!</v>
      </c>
      <c r="EJ310" t="e">
        <f>AND(#REF!,"AAAAAHd3yYs=")</f>
        <v>#REF!</v>
      </c>
      <c r="EK310" t="e">
        <f>AND(#REF!,"AAAAAHd3yYw=")</f>
        <v>#REF!</v>
      </c>
      <c r="EL310" t="e">
        <f>AND(#REF!,"AAAAAHd3yY0=")</f>
        <v>#REF!</v>
      </c>
      <c r="EM310" t="e">
        <f>AND(#REF!,"AAAAAHd3yY4=")</f>
        <v>#REF!</v>
      </c>
      <c r="EN310" t="e">
        <f>AND(#REF!,"AAAAAHd3yY8=")</f>
        <v>#REF!</v>
      </c>
      <c r="EO310" t="e">
        <f>AND(#REF!,"AAAAAHd3yZA=")</f>
        <v>#REF!</v>
      </c>
      <c r="EP310" t="e">
        <f>AND(#REF!,"AAAAAHd3yZE=")</f>
        <v>#REF!</v>
      </c>
      <c r="EQ310" t="e">
        <f>AND(#REF!,"AAAAAHd3yZI=")</f>
        <v>#REF!</v>
      </c>
      <c r="ER310" t="e">
        <f>AND(#REF!,"AAAAAHd3yZM=")</f>
        <v>#REF!</v>
      </c>
      <c r="ES310" t="e">
        <f>AND(#REF!,"AAAAAHd3yZQ=")</f>
        <v>#REF!</v>
      </c>
      <c r="ET310" t="e">
        <f>AND(#REF!,"AAAAAHd3yZU=")</f>
        <v>#REF!</v>
      </c>
      <c r="EU310" t="e">
        <f>AND(#REF!,"AAAAAHd3yZY=")</f>
        <v>#REF!</v>
      </c>
      <c r="EV310" t="e">
        <f>AND(#REF!,"AAAAAHd3yZc=")</f>
        <v>#REF!</v>
      </c>
      <c r="EW310" t="e">
        <f>AND(#REF!,"AAAAAHd3yZg=")</f>
        <v>#REF!</v>
      </c>
      <c r="EX310" t="e">
        <f>AND(#REF!,"AAAAAHd3yZk=")</f>
        <v>#REF!</v>
      </c>
      <c r="EY310" t="e">
        <f>AND(#REF!,"AAAAAHd3yZo=")</f>
        <v>#REF!</v>
      </c>
      <c r="EZ310" t="e">
        <f>AND(#REF!,"AAAAAHd3yZs=")</f>
        <v>#REF!</v>
      </c>
      <c r="FA310" t="e">
        <f>AND(#REF!,"AAAAAHd3yZw=")</f>
        <v>#REF!</v>
      </c>
      <c r="FB310" t="e">
        <f>AND(#REF!,"AAAAAHd3yZ0=")</f>
        <v>#REF!</v>
      </c>
      <c r="FC310" t="e">
        <f>AND(#REF!,"AAAAAHd3yZ4=")</f>
        <v>#REF!</v>
      </c>
      <c r="FD310" t="e">
        <f>AND(#REF!,"AAAAAHd3yZ8=")</f>
        <v>#REF!</v>
      </c>
      <c r="FE310" t="e">
        <f>AND(#REF!,"AAAAAHd3yaA=")</f>
        <v>#REF!</v>
      </c>
      <c r="FF310" t="e">
        <f>AND(#REF!,"AAAAAHd3yaE=")</f>
        <v>#REF!</v>
      </c>
      <c r="FG310" t="e">
        <f>AND(#REF!,"AAAAAHd3yaI=")</f>
        <v>#REF!</v>
      </c>
      <c r="FH310" t="e">
        <f>AND(#REF!,"AAAAAHd3yaM=")</f>
        <v>#REF!</v>
      </c>
      <c r="FI310" t="e">
        <f>AND(#REF!,"AAAAAHd3yaQ=")</f>
        <v>#REF!</v>
      </c>
      <c r="FJ310" t="e">
        <f>AND(#REF!,"AAAAAHd3yaU=")</f>
        <v>#REF!</v>
      </c>
      <c r="FK310" t="e">
        <f>AND(#REF!,"AAAAAHd3yaY=")</f>
        <v>#REF!</v>
      </c>
      <c r="FL310" t="e">
        <f>AND(#REF!,"AAAAAHd3yac=")</f>
        <v>#REF!</v>
      </c>
      <c r="FM310" t="e">
        <f>AND(#REF!,"AAAAAHd3yag=")</f>
        <v>#REF!</v>
      </c>
      <c r="FN310" t="e">
        <f>AND(#REF!,"AAAAAHd3yak=")</f>
        <v>#REF!</v>
      </c>
      <c r="FO310" t="e">
        <f>AND(#REF!,"AAAAAHd3yao=")</f>
        <v>#REF!</v>
      </c>
      <c r="FP310" t="e">
        <f>IF(#REF!,"AAAAAHd3yas=",0)</f>
        <v>#REF!</v>
      </c>
      <c r="FQ310" t="e">
        <f>AND(#REF!,"AAAAAHd3yaw=")</f>
        <v>#REF!</v>
      </c>
      <c r="FR310" t="e">
        <f>AND(#REF!,"AAAAAHd3ya0=")</f>
        <v>#REF!</v>
      </c>
      <c r="FS310" t="e">
        <f>AND(#REF!,"AAAAAHd3ya4=")</f>
        <v>#REF!</v>
      </c>
      <c r="FT310" t="e">
        <f>AND(#REF!,"AAAAAHd3ya8=")</f>
        <v>#REF!</v>
      </c>
      <c r="FU310" t="e">
        <f>AND(#REF!,"AAAAAHd3ybA=")</f>
        <v>#REF!</v>
      </c>
      <c r="FV310" t="e">
        <f>AND(#REF!,"AAAAAHd3ybE=")</f>
        <v>#REF!</v>
      </c>
      <c r="FW310" t="e">
        <f>AND(#REF!,"AAAAAHd3ybI=")</f>
        <v>#REF!</v>
      </c>
      <c r="FX310" t="e">
        <f>AND(#REF!,"AAAAAHd3ybM=")</f>
        <v>#REF!</v>
      </c>
      <c r="FY310" t="e">
        <f>AND(#REF!,"AAAAAHd3ybQ=")</f>
        <v>#REF!</v>
      </c>
      <c r="FZ310" t="e">
        <f>AND(#REF!,"AAAAAHd3ybU=")</f>
        <v>#REF!</v>
      </c>
      <c r="GA310" t="e">
        <f>AND(#REF!,"AAAAAHd3ybY=")</f>
        <v>#REF!</v>
      </c>
      <c r="GB310" t="e">
        <f>AND(#REF!,"AAAAAHd3ybc=")</f>
        <v>#REF!</v>
      </c>
      <c r="GC310" t="e">
        <f>AND(#REF!,"AAAAAHd3ybg=")</f>
        <v>#REF!</v>
      </c>
      <c r="GD310" t="e">
        <f>AND(#REF!,"AAAAAHd3ybk=")</f>
        <v>#REF!</v>
      </c>
      <c r="GE310" t="e">
        <f>AND(#REF!,"AAAAAHd3ybo=")</f>
        <v>#REF!</v>
      </c>
      <c r="GF310" t="e">
        <f>AND(#REF!,"AAAAAHd3ybs=")</f>
        <v>#REF!</v>
      </c>
      <c r="GG310" t="e">
        <f>AND(#REF!,"AAAAAHd3ybw=")</f>
        <v>#REF!</v>
      </c>
      <c r="GH310" t="e">
        <f>AND(#REF!,"AAAAAHd3yb0=")</f>
        <v>#REF!</v>
      </c>
      <c r="GI310" t="e">
        <f>AND(#REF!,"AAAAAHd3yb4=")</f>
        <v>#REF!</v>
      </c>
      <c r="GJ310" t="e">
        <f>AND(#REF!,"AAAAAHd3yb8=")</f>
        <v>#REF!</v>
      </c>
      <c r="GK310" t="e">
        <f>AND(#REF!,"AAAAAHd3ycA=")</f>
        <v>#REF!</v>
      </c>
      <c r="GL310" t="e">
        <f>AND(#REF!,"AAAAAHd3ycE=")</f>
        <v>#REF!</v>
      </c>
      <c r="GM310" t="e">
        <f>AND(#REF!,"AAAAAHd3ycI=")</f>
        <v>#REF!</v>
      </c>
      <c r="GN310" t="e">
        <f>AND(#REF!,"AAAAAHd3ycM=")</f>
        <v>#REF!</v>
      </c>
      <c r="GO310" t="e">
        <f>AND(#REF!,"AAAAAHd3ycQ=")</f>
        <v>#REF!</v>
      </c>
      <c r="GP310" t="e">
        <f>AND(#REF!,"AAAAAHd3ycU=")</f>
        <v>#REF!</v>
      </c>
      <c r="GQ310" t="e">
        <f>AND(#REF!,"AAAAAHd3ycY=")</f>
        <v>#REF!</v>
      </c>
      <c r="GR310" t="e">
        <f>AND(#REF!,"AAAAAHd3ycc=")</f>
        <v>#REF!</v>
      </c>
      <c r="GS310" t="e">
        <f>AND(#REF!,"AAAAAHd3ycg=")</f>
        <v>#REF!</v>
      </c>
      <c r="GT310" t="e">
        <f>AND(#REF!,"AAAAAHd3yck=")</f>
        <v>#REF!</v>
      </c>
      <c r="GU310" t="e">
        <f>AND(#REF!,"AAAAAHd3yco=")</f>
        <v>#REF!</v>
      </c>
      <c r="GV310" t="e">
        <f>AND(#REF!,"AAAAAHd3ycs=")</f>
        <v>#REF!</v>
      </c>
      <c r="GW310" t="e">
        <f>AND(#REF!,"AAAAAHd3ycw=")</f>
        <v>#REF!</v>
      </c>
      <c r="GX310" t="e">
        <f>AND(#REF!,"AAAAAHd3yc0=")</f>
        <v>#REF!</v>
      </c>
      <c r="GY310" t="e">
        <f>AND(#REF!,"AAAAAHd3yc4=")</f>
        <v>#REF!</v>
      </c>
      <c r="GZ310" t="e">
        <f>AND(#REF!,"AAAAAHd3yc8=")</f>
        <v>#REF!</v>
      </c>
      <c r="HA310" t="e">
        <f>AND(#REF!,"AAAAAHd3ydA=")</f>
        <v>#REF!</v>
      </c>
      <c r="HB310" t="e">
        <f>AND(#REF!,"AAAAAHd3ydE=")</f>
        <v>#REF!</v>
      </c>
      <c r="HC310" t="e">
        <f>AND(#REF!,"AAAAAHd3ydI=")</f>
        <v>#REF!</v>
      </c>
      <c r="HD310" t="e">
        <f>AND(#REF!,"AAAAAHd3ydM=")</f>
        <v>#REF!</v>
      </c>
      <c r="HE310" t="e">
        <f>AND(#REF!,"AAAAAHd3ydQ=")</f>
        <v>#REF!</v>
      </c>
      <c r="HF310" t="e">
        <f>AND(#REF!,"AAAAAHd3ydU=")</f>
        <v>#REF!</v>
      </c>
      <c r="HG310" t="e">
        <f>AND(#REF!,"AAAAAHd3ydY=")</f>
        <v>#REF!</v>
      </c>
      <c r="HH310" t="e">
        <f>AND(#REF!,"AAAAAHd3ydc=")</f>
        <v>#REF!</v>
      </c>
      <c r="HI310" t="e">
        <f>AND(#REF!,"AAAAAHd3ydg=")</f>
        <v>#REF!</v>
      </c>
      <c r="HJ310" t="e">
        <f>AND(#REF!,"AAAAAHd3ydk=")</f>
        <v>#REF!</v>
      </c>
      <c r="HK310" t="e">
        <f>AND(#REF!,"AAAAAHd3ydo=")</f>
        <v>#REF!</v>
      </c>
      <c r="HL310" t="e">
        <f>AND(#REF!,"AAAAAHd3yds=")</f>
        <v>#REF!</v>
      </c>
      <c r="HM310" t="e">
        <f>AND(#REF!,"AAAAAHd3ydw=")</f>
        <v>#REF!</v>
      </c>
      <c r="HN310" t="e">
        <f>AND(#REF!,"AAAAAHd3yd0=")</f>
        <v>#REF!</v>
      </c>
      <c r="HO310" t="e">
        <f>AND(#REF!,"AAAAAHd3yd4=")</f>
        <v>#REF!</v>
      </c>
      <c r="HP310" t="e">
        <f>IF(#REF!,"AAAAAHd3yd8=",0)</f>
        <v>#REF!</v>
      </c>
      <c r="HQ310" t="e">
        <f>AND(#REF!,"AAAAAHd3yeA=")</f>
        <v>#REF!</v>
      </c>
      <c r="HR310" t="e">
        <f>AND(#REF!,"AAAAAHd3yeE=")</f>
        <v>#REF!</v>
      </c>
      <c r="HS310" t="e">
        <f>AND(#REF!,"AAAAAHd3yeI=")</f>
        <v>#REF!</v>
      </c>
      <c r="HT310" t="e">
        <f>AND(#REF!,"AAAAAHd3yeM=")</f>
        <v>#REF!</v>
      </c>
      <c r="HU310" t="e">
        <f>AND(#REF!,"AAAAAHd3yeQ=")</f>
        <v>#REF!</v>
      </c>
      <c r="HV310" t="e">
        <f>AND(#REF!,"AAAAAHd3yeU=")</f>
        <v>#REF!</v>
      </c>
      <c r="HW310" t="e">
        <f>AND(#REF!,"AAAAAHd3yeY=")</f>
        <v>#REF!</v>
      </c>
      <c r="HX310" t="e">
        <f>AND(#REF!,"AAAAAHd3yec=")</f>
        <v>#REF!</v>
      </c>
      <c r="HY310" t="e">
        <f>AND(#REF!,"AAAAAHd3yeg=")</f>
        <v>#REF!</v>
      </c>
      <c r="HZ310" t="e">
        <f>AND(#REF!,"AAAAAHd3yek=")</f>
        <v>#REF!</v>
      </c>
      <c r="IA310" t="e">
        <f>AND(#REF!,"AAAAAHd3yeo=")</f>
        <v>#REF!</v>
      </c>
      <c r="IB310" t="e">
        <f>AND(#REF!,"AAAAAHd3yes=")</f>
        <v>#REF!</v>
      </c>
      <c r="IC310" t="e">
        <f>AND(#REF!,"AAAAAHd3yew=")</f>
        <v>#REF!</v>
      </c>
      <c r="ID310" t="e">
        <f>AND(#REF!,"AAAAAHd3ye0=")</f>
        <v>#REF!</v>
      </c>
      <c r="IE310" t="e">
        <f>AND(#REF!,"AAAAAHd3ye4=")</f>
        <v>#REF!</v>
      </c>
      <c r="IF310" t="e">
        <f>AND(#REF!,"AAAAAHd3ye8=")</f>
        <v>#REF!</v>
      </c>
      <c r="IG310" t="e">
        <f>AND(#REF!,"AAAAAHd3yfA=")</f>
        <v>#REF!</v>
      </c>
      <c r="IH310" t="e">
        <f>AND(#REF!,"AAAAAHd3yfE=")</f>
        <v>#REF!</v>
      </c>
      <c r="II310" t="e">
        <f>AND(#REF!,"AAAAAHd3yfI=")</f>
        <v>#REF!</v>
      </c>
      <c r="IJ310" t="e">
        <f>AND(#REF!,"AAAAAHd3yfM=")</f>
        <v>#REF!</v>
      </c>
      <c r="IK310" t="e">
        <f>AND(#REF!,"AAAAAHd3yfQ=")</f>
        <v>#REF!</v>
      </c>
      <c r="IL310" t="e">
        <f>AND(#REF!,"AAAAAHd3yfU=")</f>
        <v>#REF!</v>
      </c>
      <c r="IM310" t="e">
        <f>AND(#REF!,"AAAAAHd3yfY=")</f>
        <v>#REF!</v>
      </c>
      <c r="IN310" t="e">
        <f>AND(#REF!,"AAAAAHd3yfc=")</f>
        <v>#REF!</v>
      </c>
      <c r="IO310" t="e">
        <f>AND(#REF!,"AAAAAHd3yfg=")</f>
        <v>#REF!</v>
      </c>
      <c r="IP310" t="e">
        <f>AND(#REF!,"AAAAAHd3yfk=")</f>
        <v>#REF!</v>
      </c>
      <c r="IQ310" t="e">
        <f>AND(#REF!,"AAAAAHd3yfo=")</f>
        <v>#REF!</v>
      </c>
      <c r="IR310" t="e">
        <f>AND(#REF!,"AAAAAHd3yfs=")</f>
        <v>#REF!</v>
      </c>
      <c r="IS310" t="e">
        <f>AND(#REF!,"AAAAAHd3yfw=")</f>
        <v>#REF!</v>
      </c>
      <c r="IT310" t="e">
        <f>AND(#REF!,"AAAAAHd3yf0=")</f>
        <v>#REF!</v>
      </c>
      <c r="IU310" t="e">
        <f>AND(#REF!,"AAAAAHd3yf4=")</f>
        <v>#REF!</v>
      </c>
      <c r="IV310" t="e">
        <f>AND(#REF!,"AAAAAHd3yf8=")</f>
        <v>#REF!</v>
      </c>
    </row>
    <row r="311" spans="1:256">
      <c r="A311" t="e">
        <f>AND(#REF!,"AAAAAHzL/AA=")</f>
        <v>#REF!</v>
      </c>
      <c r="B311" t="e">
        <f>AND(#REF!,"AAAAAHzL/AE=")</f>
        <v>#REF!</v>
      </c>
      <c r="C311" t="e">
        <f>AND(#REF!,"AAAAAHzL/AI=")</f>
        <v>#REF!</v>
      </c>
      <c r="D311" t="e">
        <f>AND(#REF!,"AAAAAHzL/AM=")</f>
        <v>#REF!</v>
      </c>
      <c r="E311" t="e">
        <f>AND(#REF!,"AAAAAHzL/AQ=")</f>
        <v>#REF!</v>
      </c>
      <c r="F311" t="e">
        <f>AND(#REF!,"AAAAAHzL/AU=")</f>
        <v>#REF!</v>
      </c>
      <c r="G311" t="e">
        <f>AND(#REF!,"AAAAAHzL/AY=")</f>
        <v>#REF!</v>
      </c>
      <c r="H311" t="e">
        <f>AND(#REF!,"AAAAAHzL/Ac=")</f>
        <v>#REF!</v>
      </c>
      <c r="I311" t="e">
        <f>AND(#REF!,"AAAAAHzL/Ag=")</f>
        <v>#REF!</v>
      </c>
      <c r="J311" t="e">
        <f>AND(#REF!,"AAAAAHzL/Ak=")</f>
        <v>#REF!</v>
      </c>
      <c r="K311" t="e">
        <f>AND(#REF!,"AAAAAHzL/Ao=")</f>
        <v>#REF!</v>
      </c>
      <c r="L311" t="e">
        <f>AND(#REF!,"AAAAAHzL/As=")</f>
        <v>#REF!</v>
      </c>
      <c r="M311" t="e">
        <f>AND(#REF!,"AAAAAHzL/Aw=")</f>
        <v>#REF!</v>
      </c>
      <c r="N311" t="e">
        <f>AND(#REF!,"AAAAAHzL/A0=")</f>
        <v>#REF!</v>
      </c>
      <c r="O311" t="e">
        <f>AND(#REF!,"AAAAAHzL/A4=")</f>
        <v>#REF!</v>
      </c>
      <c r="P311" t="e">
        <f>AND(#REF!,"AAAAAHzL/A8=")</f>
        <v>#REF!</v>
      </c>
      <c r="Q311" t="e">
        <f>AND(#REF!,"AAAAAHzL/BA=")</f>
        <v>#REF!</v>
      </c>
      <c r="R311" t="e">
        <f>AND(#REF!,"AAAAAHzL/BE=")</f>
        <v>#REF!</v>
      </c>
      <c r="S311" t="e">
        <f>AND(#REF!,"AAAAAHzL/BI=")</f>
        <v>#REF!</v>
      </c>
      <c r="T311" t="e">
        <f>IF(#REF!,"AAAAAHzL/BM=",0)</f>
        <v>#REF!</v>
      </c>
      <c r="U311" t="e">
        <f>AND(#REF!,"AAAAAHzL/BQ=")</f>
        <v>#REF!</v>
      </c>
      <c r="V311" t="e">
        <f>AND(#REF!,"AAAAAHzL/BU=")</f>
        <v>#REF!</v>
      </c>
      <c r="W311" t="e">
        <f>AND(#REF!,"AAAAAHzL/BY=")</f>
        <v>#REF!</v>
      </c>
      <c r="X311" t="e">
        <f>AND(#REF!,"AAAAAHzL/Bc=")</f>
        <v>#REF!</v>
      </c>
      <c r="Y311" t="e">
        <f>AND(#REF!,"AAAAAHzL/Bg=")</f>
        <v>#REF!</v>
      </c>
      <c r="Z311" t="e">
        <f>AND(#REF!,"AAAAAHzL/Bk=")</f>
        <v>#REF!</v>
      </c>
      <c r="AA311" t="e">
        <f>AND(#REF!,"AAAAAHzL/Bo=")</f>
        <v>#REF!</v>
      </c>
      <c r="AB311" t="e">
        <f>AND(#REF!,"AAAAAHzL/Bs=")</f>
        <v>#REF!</v>
      </c>
      <c r="AC311" t="e">
        <f>AND(#REF!,"AAAAAHzL/Bw=")</f>
        <v>#REF!</v>
      </c>
      <c r="AD311" t="e">
        <f>AND(#REF!,"AAAAAHzL/B0=")</f>
        <v>#REF!</v>
      </c>
      <c r="AE311" t="e">
        <f>AND(#REF!,"AAAAAHzL/B4=")</f>
        <v>#REF!</v>
      </c>
      <c r="AF311" t="e">
        <f>AND(#REF!,"AAAAAHzL/B8=")</f>
        <v>#REF!</v>
      </c>
      <c r="AG311" t="e">
        <f>AND(#REF!,"AAAAAHzL/CA=")</f>
        <v>#REF!</v>
      </c>
      <c r="AH311" t="e">
        <f>AND(#REF!,"AAAAAHzL/CE=")</f>
        <v>#REF!</v>
      </c>
      <c r="AI311" t="e">
        <f>AND(#REF!,"AAAAAHzL/CI=")</f>
        <v>#REF!</v>
      </c>
      <c r="AJ311" t="e">
        <f>AND(#REF!,"AAAAAHzL/CM=")</f>
        <v>#REF!</v>
      </c>
      <c r="AK311" t="e">
        <f>AND(#REF!,"AAAAAHzL/CQ=")</f>
        <v>#REF!</v>
      </c>
      <c r="AL311" t="e">
        <f>AND(#REF!,"AAAAAHzL/CU=")</f>
        <v>#REF!</v>
      </c>
      <c r="AM311" t="e">
        <f>AND(#REF!,"AAAAAHzL/CY=")</f>
        <v>#REF!</v>
      </c>
      <c r="AN311" t="e">
        <f>AND(#REF!,"AAAAAHzL/Cc=")</f>
        <v>#REF!</v>
      </c>
      <c r="AO311" t="e">
        <f>AND(#REF!,"AAAAAHzL/Cg=")</f>
        <v>#REF!</v>
      </c>
      <c r="AP311" t="e">
        <f>AND(#REF!,"AAAAAHzL/Ck=")</f>
        <v>#REF!</v>
      </c>
      <c r="AQ311" t="e">
        <f>AND(#REF!,"AAAAAHzL/Co=")</f>
        <v>#REF!</v>
      </c>
      <c r="AR311" t="e">
        <f>AND(#REF!,"AAAAAHzL/Cs=")</f>
        <v>#REF!</v>
      </c>
      <c r="AS311" t="e">
        <f>AND(#REF!,"AAAAAHzL/Cw=")</f>
        <v>#REF!</v>
      </c>
      <c r="AT311" t="e">
        <f>AND(#REF!,"AAAAAHzL/C0=")</f>
        <v>#REF!</v>
      </c>
      <c r="AU311" t="e">
        <f>AND(#REF!,"AAAAAHzL/C4=")</f>
        <v>#REF!</v>
      </c>
      <c r="AV311" t="e">
        <f>AND(#REF!,"AAAAAHzL/C8=")</f>
        <v>#REF!</v>
      </c>
      <c r="AW311" t="e">
        <f>AND(#REF!,"AAAAAHzL/DA=")</f>
        <v>#REF!</v>
      </c>
      <c r="AX311" t="e">
        <f>AND(#REF!,"AAAAAHzL/DE=")</f>
        <v>#REF!</v>
      </c>
      <c r="AY311" t="e">
        <f>AND(#REF!,"AAAAAHzL/DI=")</f>
        <v>#REF!</v>
      </c>
      <c r="AZ311" t="e">
        <f>AND(#REF!,"AAAAAHzL/DM=")</f>
        <v>#REF!</v>
      </c>
      <c r="BA311" t="e">
        <f>AND(#REF!,"AAAAAHzL/DQ=")</f>
        <v>#REF!</v>
      </c>
      <c r="BB311" t="e">
        <f>AND(#REF!,"AAAAAHzL/DU=")</f>
        <v>#REF!</v>
      </c>
      <c r="BC311" t="e">
        <f>AND(#REF!,"AAAAAHzL/DY=")</f>
        <v>#REF!</v>
      </c>
      <c r="BD311" t="e">
        <f>AND(#REF!,"AAAAAHzL/Dc=")</f>
        <v>#REF!</v>
      </c>
      <c r="BE311" t="e">
        <f>AND(#REF!,"AAAAAHzL/Dg=")</f>
        <v>#REF!</v>
      </c>
      <c r="BF311" t="e">
        <f>AND(#REF!,"AAAAAHzL/Dk=")</f>
        <v>#REF!</v>
      </c>
      <c r="BG311" t="e">
        <f>AND(#REF!,"AAAAAHzL/Do=")</f>
        <v>#REF!</v>
      </c>
      <c r="BH311" t="e">
        <f>AND(#REF!,"AAAAAHzL/Ds=")</f>
        <v>#REF!</v>
      </c>
      <c r="BI311" t="e">
        <f>AND(#REF!,"AAAAAHzL/Dw=")</f>
        <v>#REF!</v>
      </c>
      <c r="BJ311" t="e">
        <f>AND(#REF!,"AAAAAHzL/D0=")</f>
        <v>#REF!</v>
      </c>
      <c r="BK311" t="e">
        <f>AND(#REF!,"AAAAAHzL/D4=")</f>
        <v>#REF!</v>
      </c>
      <c r="BL311" t="e">
        <f>AND(#REF!,"AAAAAHzL/D8=")</f>
        <v>#REF!</v>
      </c>
      <c r="BM311" t="e">
        <f>AND(#REF!,"AAAAAHzL/EA=")</f>
        <v>#REF!</v>
      </c>
      <c r="BN311" t="e">
        <f>AND(#REF!,"AAAAAHzL/EE=")</f>
        <v>#REF!</v>
      </c>
      <c r="BO311" t="e">
        <f>AND(#REF!,"AAAAAHzL/EI=")</f>
        <v>#REF!</v>
      </c>
      <c r="BP311" t="e">
        <f>AND(#REF!,"AAAAAHzL/EM=")</f>
        <v>#REF!</v>
      </c>
      <c r="BQ311" t="e">
        <f>AND(#REF!,"AAAAAHzL/EQ=")</f>
        <v>#REF!</v>
      </c>
      <c r="BR311" t="e">
        <f>AND(#REF!,"AAAAAHzL/EU=")</f>
        <v>#REF!</v>
      </c>
      <c r="BS311" t="e">
        <f>AND(#REF!,"AAAAAHzL/EY=")</f>
        <v>#REF!</v>
      </c>
      <c r="BT311" t="e">
        <f>IF(#REF!,"AAAAAHzL/Ec=",0)</f>
        <v>#REF!</v>
      </c>
      <c r="BU311" t="e">
        <f>AND(#REF!,"AAAAAHzL/Eg=")</f>
        <v>#REF!</v>
      </c>
      <c r="BV311" t="e">
        <f>AND(#REF!,"AAAAAHzL/Ek=")</f>
        <v>#REF!</v>
      </c>
      <c r="BW311" t="e">
        <f>AND(#REF!,"AAAAAHzL/Eo=")</f>
        <v>#REF!</v>
      </c>
      <c r="BX311" t="e">
        <f>AND(#REF!,"AAAAAHzL/Es=")</f>
        <v>#REF!</v>
      </c>
      <c r="BY311" t="e">
        <f>AND(#REF!,"AAAAAHzL/Ew=")</f>
        <v>#REF!</v>
      </c>
      <c r="BZ311" t="e">
        <f>AND(#REF!,"AAAAAHzL/E0=")</f>
        <v>#REF!</v>
      </c>
      <c r="CA311" t="e">
        <f>AND(#REF!,"AAAAAHzL/E4=")</f>
        <v>#REF!</v>
      </c>
      <c r="CB311" t="e">
        <f>AND(#REF!,"AAAAAHzL/E8=")</f>
        <v>#REF!</v>
      </c>
      <c r="CC311" t="e">
        <f>AND(#REF!,"AAAAAHzL/FA=")</f>
        <v>#REF!</v>
      </c>
      <c r="CD311" t="e">
        <f>AND(#REF!,"AAAAAHzL/FE=")</f>
        <v>#REF!</v>
      </c>
      <c r="CE311" t="e">
        <f>AND(#REF!,"AAAAAHzL/FI=")</f>
        <v>#REF!</v>
      </c>
      <c r="CF311" t="e">
        <f>AND(#REF!,"AAAAAHzL/FM=")</f>
        <v>#REF!</v>
      </c>
      <c r="CG311" t="e">
        <f>AND(#REF!,"AAAAAHzL/FQ=")</f>
        <v>#REF!</v>
      </c>
      <c r="CH311" t="e">
        <f>AND(#REF!,"AAAAAHzL/FU=")</f>
        <v>#REF!</v>
      </c>
      <c r="CI311" t="e">
        <f>AND(#REF!,"AAAAAHzL/FY=")</f>
        <v>#REF!</v>
      </c>
      <c r="CJ311" t="e">
        <f>AND(#REF!,"AAAAAHzL/Fc=")</f>
        <v>#REF!</v>
      </c>
      <c r="CK311" t="e">
        <f>AND(#REF!,"AAAAAHzL/Fg=")</f>
        <v>#REF!</v>
      </c>
      <c r="CL311" t="e">
        <f>AND(#REF!,"AAAAAHzL/Fk=")</f>
        <v>#REF!</v>
      </c>
      <c r="CM311" t="e">
        <f>AND(#REF!,"AAAAAHzL/Fo=")</f>
        <v>#REF!</v>
      </c>
      <c r="CN311" t="e">
        <f>AND(#REF!,"AAAAAHzL/Fs=")</f>
        <v>#REF!</v>
      </c>
      <c r="CO311" t="e">
        <f>AND(#REF!,"AAAAAHzL/Fw=")</f>
        <v>#REF!</v>
      </c>
      <c r="CP311" t="e">
        <f>AND(#REF!,"AAAAAHzL/F0=")</f>
        <v>#REF!</v>
      </c>
      <c r="CQ311" t="e">
        <f>AND(#REF!,"AAAAAHzL/F4=")</f>
        <v>#REF!</v>
      </c>
      <c r="CR311" t="e">
        <f>AND(#REF!,"AAAAAHzL/F8=")</f>
        <v>#REF!</v>
      </c>
      <c r="CS311" t="e">
        <f>AND(#REF!,"AAAAAHzL/GA=")</f>
        <v>#REF!</v>
      </c>
      <c r="CT311" t="e">
        <f>AND(#REF!,"AAAAAHzL/GE=")</f>
        <v>#REF!</v>
      </c>
      <c r="CU311" t="e">
        <f>AND(#REF!,"AAAAAHzL/GI=")</f>
        <v>#REF!</v>
      </c>
      <c r="CV311" t="e">
        <f>AND(#REF!,"AAAAAHzL/GM=")</f>
        <v>#REF!</v>
      </c>
      <c r="CW311" t="e">
        <f>AND(#REF!,"AAAAAHzL/GQ=")</f>
        <v>#REF!</v>
      </c>
      <c r="CX311" t="e">
        <f>AND(#REF!,"AAAAAHzL/GU=")</f>
        <v>#REF!</v>
      </c>
      <c r="CY311" t="e">
        <f>AND(#REF!,"AAAAAHzL/GY=")</f>
        <v>#REF!</v>
      </c>
      <c r="CZ311" t="e">
        <f>AND(#REF!,"AAAAAHzL/Gc=")</f>
        <v>#REF!</v>
      </c>
      <c r="DA311" t="e">
        <f>AND(#REF!,"AAAAAHzL/Gg=")</f>
        <v>#REF!</v>
      </c>
      <c r="DB311" t="e">
        <f>AND(#REF!,"AAAAAHzL/Gk=")</f>
        <v>#REF!</v>
      </c>
      <c r="DC311" t="e">
        <f>AND(#REF!,"AAAAAHzL/Go=")</f>
        <v>#REF!</v>
      </c>
      <c r="DD311" t="e">
        <f>AND(#REF!,"AAAAAHzL/Gs=")</f>
        <v>#REF!</v>
      </c>
      <c r="DE311" t="e">
        <f>AND(#REF!,"AAAAAHzL/Gw=")</f>
        <v>#REF!</v>
      </c>
      <c r="DF311" t="e">
        <f>AND(#REF!,"AAAAAHzL/G0=")</f>
        <v>#REF!</v>
      </c>
      <c r="DG311" t="e">
        <f>AND(#REF!,"AAAAAHzL/G4=")</f>
        <v>#REF!</v>
      </c>
      <c r="DH311" t="e">
        <f>AND(#REF!,"AAAAAHzL/G8=")</f>
        <v>#REF!</v>
      </c>
      <c r="DI311" t="e">
        <f>AND(#REF!,"AAAAAHzL/HA=")</f>
        <v>#REF!</v>
      </c>
      <c r="DJ311" t="e">
        <f>AND(#REF!,"AAAAAHzL/HE=")</f>
        <v>#REF!</v>
      </c>
      <c r="DK311" t="e">
        <f>AND(#REF!,"AAAAAHzL/HI=")</f>
        <v>#REF!</v>
      </c>
      <c r="DL311" t="e">
        <f>AND(#REF!,"AAAAAHzL/HM=")</f>
        <v>#REF!</v>
      </c>
      <c r="DM311" t="e">
        <f>AND(#REF!,"AAAAAHzL/HQ=")</f>
        <v>#REF!</v>
      </c>
      <c r="DN311" t="e">
        <f>AND(#REF!,"AAAAAHzL/HU=")</f>
        <v>#REF!</v>
      </c>
      <c r="DO311" t="e">
        <f>AND(#REF!,"AAAAAHzL/HY=")</f>
        <v>#REF!</v>
      </c>
      <c r="DP311" t="e">
        <f>AND(#REF!,"AAAAAHzL/Hc=")</f>
        <v>#REF!</v>
      </c>
      <c r="DQ311" t="e">
        <f>AND(#REF!,"AAAAAHzL/Hg=")</f>
        <v>#REF!</v>
      </c>
      <c r="DR311" t="e">
        <f>AND(#REF!,"AAAAAHzL/Hk=")</f>
        <v>#REF!</v>
      </c>
      <c r="DS311" t="e">
        <f>AND(#REF!,"AAAAAHzL/Ho=")</f>
        <v>#REF!</v>
      </c>
      <c r="DT311" t="e">
        <f>IF(#REF!,"AAAAAHzL/Hs=",0)</f>
        <v>#REF!</v>
      </c>
      <c r="DU311" t="e">
        <f>AND(#REF!,"AAAAAHzL/Hw=")</f>
        <v>#REF!</v>
      </c>
      <c r="DV311" t="e">
        <f>AND(#REF!,"AAAAAHzL/H0=")</f>
        <v>#REF!</v>
      </c>
      <c r="DW311" t="e">
        <f>AND(#REF!,"AAAAAHzL/H4=")</f>
        <v>#REF!</v>
      </c>
      <c r="DX311" t="e">
        <f>AND(#REF!,"AAAAAHzL/H8=")</f>
        <v>#REF!</v>
      </c>
      <c r="DY311" t="e">
        <f>AND(#REF!,"AAAAAHzL/IA=")</f>
        <v>#REF!</v>
      </c>
      <c r="DZ311" t="e">
        <f>AND(#REF!,"AAAAAHzL/IE=")</f>
        <v>#REF!</v>
      </c>
      <c r="EA311" t="e">
        <f>AND(#REF!,"AAAAAHzL/II=")</f>
        <v>#REF!</v>
      </c>
      <c r="EB311" t="e">
        <f>AND(#REF!,"AAAAAHzL/IM=")</f>
        <v>#REF!</v>
      </c>
      <c r="EC311" t="e">
        <f>AND(#REF!,"AAAAAHzL/IQ=")</f>
        <v>#REF!</v>
      </c>
      <c r="ED311" t="e">
        <f>AND(#REF!,"AAAAAHzL/IU=")</f>
        <v>#REF!</v>
      </c>
      <c r="EE311" t="e">
        <f>AND(#REF!,"AAAAAHzL/IY=")</f>
        <v>#REF!</v>
      </c>
      <c r="EF311" t="e">
        <f>AND(#REF!,"AAAAAHzL/Ic=")</f>
        <v>#REF!</v>
      </c>
      <c r="EG311" t="e">
        <f>AND(#REF!,"AAAAAHzL/Ig=")</f>
        <v>#REF!</v>
      </c>
      <c r="EH311" t="e">
        <f>AND(#REF!,"AAAAAHzL/Ik=")</f>
        <v>#REF!</v>
      </c>
      <c r="EI311" t="e">
        <f>AND(#REF!,"AAAAAHzL/Io=")</f>
        <v>#REF!</v>
      </c>
      <c r="EJ311" t="e">
        <f>AND(#REF!,"AAAAAHzL/Is=")</f>
        <v>#REF!</v>
      </c>
      <c r="EK311" t="e">
        <f>AND(#REF!,"AAAAAHzL/Iw=")</f>
        <v>#REF!</v>
      </c>
      <c r="EL311" t="e">
        <f>AND(#REF!,"AAAAAHzL/I0=")</f>
        <v>#REF!</v>
      </c>
      <c r="EM311" t="e">
        <f>AND(#REF!,"AAAAAHzL/I4=")</f>
        <v>#REF!</v>
      </c>
      <c r="EN311" t="e">
        <f>AND(#REF!,"AAAAAHzL/I8=")</f>
        <v>#REF!</v>
      </c>
      <c r="EO311" t="e">
        <f>AND(#REF!,"AAAAAHzL/JA=")</f>
        <v>#REF!</v>
      </c>
      <c r="EP311" t="e">
        <f>AND(#REF!,"AAAAAHzL/JE=")</f>
        <v>#REF!</v>
      </c>
      <c r="EQ311" t="e">
        <f>AND(#REF!,"AAAAAHzL/JI=")</f>
        <v>#REF!</v>
      </c>
      <c r="ER311" t="e">
        <f>AND(#REF!,"AAAAAHzL/JM=")</f>
        <v>#REF!</v>
      </c>
      <c r="ES311" t="e">
        <f>AND(#REF!,"AAAAAHzL/JQ=")</f>
        <v>#REF!</v>
      </c>
      <c r="ET311" t="e">
        <f>AND(#REF!,"AAAAAHzL/JU=")</f>
        <v>#REF!</v>
      </c>
      <c r="EU311" t="e">
        <f>AND(#REF!,"AAAAAHzL/JY=")</f>
        <v>#REF!</v>
      </c>
      <c r="EV311" t="e">
        <f>AND(#REF!,"AAAAAHzL/Jc=")</f>
        <v>#REF!</v>
      </c>
      <c r="EW311" t="e">
        <f>AND(#REF!,"AAAAAHzL/Jg=")</f>
        <v>#REF!</v>
      </c>
      <c r="EX311" t="e">
        <f>AND(#REF!,"AAAAAHzL/Jk=")</f>
        <v>#REF!</v>
      </c>
      <c r="EY311" t="e">
        <f>AND(#REF!,"AAAAAHzL/Jo=")</f>
        <v>#REF!</v>
      </c>
      <c r="EZ311" t="e">
        <f>AND(#REF!,"AAAAAHzL/Js=")</f>
        <v>#REF!</v>
      </c>
      <c r="FA311" t="e">
        <f>AND(#REF!,"AAAAAHzL/Jw=")</f>
        <v>#REF!</v>
      </c>
      <c r="FB311" t="e">
        <f>AND(#REF!,"AAAAAHzL/J0=")</f>
        <v>#REF!</v>
      </c>
      <c r="FC311" t="e">
        <f>AND(#REF!,"AAAAAHzL/J4=")</f>
        <v>#REF!</v>
      </c>
      <c r="FD311" t="e">
        <f>AND(#REF!,"AAAAAHzL/J8=")</f>
        <v>#REF!</v>
      </c>
      <c r="FE311" t="e">
        <f>AND(#REF!,"AAAAAHzL/KA=")</f>
        <v>#REF!</v>
      </c>
      <c r="FF311" t="e">
        <f>AND(#REF!,"AAAAAHzL/KE=")</f>
        <v>#REF!</v>
      </c>
      <c r="FG311" t="e">
        <f>AND(#REF!,"AAAAAHzL/KI=")</f>
        <v>#REF!</v>
      </c>
      <c r="FH311" t="e">
        <f>AND(#REF!,"AAAAAHzL/KM=")</f>
        <v>#REF!</v>
      </c>
      <c r="FI311" t="e">
        <f>AND(#REF!,"AAAAAHzL/KQ=")</f>
        <v>#REF!</v>
      </c>
      <c r="FJ311" t="e">
        <f>AND(#REF!,"AAAAAHzL/KU=")</f>
        <v>#REF!</v>
      </c>
      <c r="FK311" t="e">
        <f>AND(#REF!,"AAAAAHzL/KY=")</f>
        <v>#REF!</v>
      </c>
      <c r="FL311" t="e">
        <f>AND(#REF!,"AAAAAHzL/Kc=")</f>
        <v>#REF!</v>
      </c>
      <c r="FM311" t="e">
        <f>AND(#REF!,"AAAAAHzL/Kg=")</f>
        <v>#REF!</v>
      </c>
      <c r="FN311" t="e">
        <f>AND(#REF!,"AAAAAHzL/Kk=")</f>
        <v>#REF!</v>
      </c>
      <c r="FO311" t="e">
        <f>AND(#REF!,"AAAAAHzL/Ko=")</f>
        <v>#REF!</v>
      </c>
      <c r="FP311" t="e">
        <f>AND(#REF!,"AAAAAHzL/Ks=")</f>
        <v>#REF!</v>
      </c>
      <c r="FQ311" t="e">
        <f>AND(#REF!,"AAAAAHzL/Kw=")</f>
        <v>#REF!</v>
      </c>
      <c r="FR311" t="e">
        <f>AND(#REF!,"AAAAAHzL/K0=")</f>
        <v>#REF!</v>
      </c>
      <c r="FS311" t="e">
        <f>AND(#REF!,"AAAAAHzL/K4=")</f>
        <v>#REF!</v>
      </c>
      <c r="FT311" t="e">
        <f>IF(#REF!,"AAAAAHzL/K8=",0)</f>
        <v>#REF!</v>
      </c>
      <c r="FU311" t="e">
        <f>AND(#REF!,"AAAAAHzL/LA=")</f>
        <v>#REF!</v>
      </c>
      <c r="FV311" t="e">
        <f>AND(#REF!,"AAAAAHzL/LE=")</f>
        <v>#REF!</v>
      </c>
      <c r="FW311" t="e">
        <f>AND(#REF!,"AAAAAHzL/LI=")</f>
        <v>#REF!</v>
      </c>
      <c r="FX311" t="e">
        <f>AND(#REF!,"AAAAAHzL/LM=")</f>
        <v>#REF!</v>
      </c>
      <c r="FY311" t="e">
        <f>AND(#REF!,"AAAAAHzL/LQ=")</f>
        <v>#REF!</v>
      </c>
      <c r="FZ311" t="e">
        <f>AND(#REF!,"AAAAAHzL/LU=")</f>
        <v>#REF!</v>
      </c>
      <c r="GA311" t="e">
        <f>AND(#REF!,"AAAAAHzL/LY=")</f>
        <v>#REF!</v>
      </c>
      <c r="GB311" t="e">
        <f>AND(#REF!,"AAAAAHzL/Lc=")</f>
        <v>#REF!</v>
      </c>
      <c r="GC311" t="e">
        <f>AND(#REF!,"AAAAAHzL/Lg=")</f>
        <v>#REF!</v>
      </c>
      <c r="GD311" t="e">
        <f>AND(#REF!,"AAAAAHzL/Lk=")</f>
        <v>#REF!</v>
      </c>
      <c r="GE311" t="e">
        <f>AND(#REF!,"AAAAAHzL/Lo=")</f>
        <v>#REF!</v>
      </c>
      <c r="GF311" t="e">
        <f>AND(#REF!,"AAAAAHzL/Ls=")</f>
        <v>#REF!</v>
      </c>
      <c r="GG311" t="e">
        <f>AND(#REF!,"AAAAAHzL/Lw=")</f>
        <v>#REF!</v>
      </c>
      <c r="GH311" t="e">
        <f>AND(#REF!,"AAAAAHzL/L0=")</f>
        <v>#REF!</v>
      </c>
      <c r="GI311" t="e">
        <f>AND(#REF!,"AAAAAHzL/L4=")</f>
        <v>#REF!</v>
      </c>
      <c r="GJ311" t="e">
        <f>AND(#REF!,"AAAAAHzL/L8=")</f>
        <v>#REF!</v>
      </c>
      <c r="GK311" t="e">
        <f>AND(#REF!,"AAAAAHzL/MA=")</f>
        <v>#REF!</v>
      </c>
      <c r="GL311" t="e">
        <f>AND(#REF!,"AAAAAHzL/ME=")</f>
        <v>#REF!</v>
      </c>
      <c r="GM311" t="e">
        <f>AND(#REF!,"AAAAAHzL/MI=")</f>
        <v>#REF!</v>
      </c>
      <c r="GN311" t="e">
        <f>AND(#REF!,"AAAAAHzL/MM=")</f>
        <v>#REF!</v>
      </c>
      <c r="GO311" t="e">
        <f>AND(#REF!,"AAAAAHzL/MQ=")</f>
        <v>#REF!</v>
      </c>
      <c r="GP311" t="e">
        <f>AND(#REF!,"AAAAAHzL/MU=")</f>
        <v>#REF!</v>
      </c>
      <c r="GQ311" t="e">
        <f>AND(#REF!,"AAAAAHzL/MY=")</f>
        <v>#REF!</v>
      </c>
      <c r="GR311" t="e">
        <f>AND(#REF!,"AAAAAHzL/Mc=")</f>
        <v>#REF!</v>
      </c>
      <c r="GS311" t="e">
        <f>AND(#REF!,"AAAAAHzL/Mg=")</f>
        <v>#REF!</v>
      </c>
      <c r="GT311" t="e">
        <f>AND(#REF!,"AAAAAHzL/Mk=")</f>
        <v>#REF!</v>
      </c>
      <c r="GU311" t="e">
        <f>AND(#REF!,"AAAAAHzL/Mo=")</f>
        <v>#REF!</v>
      </c>
      <c r="GV311" t="e">
        <f>AND(#REF!,"AAAAAHzL/Ms=")</f>
        <v>#REF!</v>
      </c>
      <c r="GW311" t="e">
        <f>AND(#REF!,"AAAAAHzL/Mw=")</f>
        <v>#REF!</v>
      </c>
      <c r="GX311" t="e">
        <f>AND(#REF!,"AAAAAHzL/M0=")</f>
        <v>#REF!</v>
      </c>
      <c r="GY311" t="e">
        <f>AND(#REF!,"AAAAAHzL/M4=")</f>
        <v>#REF!</v>
      </c>
      <c r="GZ311" t="e">
        <f>AND(#REF!,"AAAAAHzL/M8=")</f>
        <v>#REF!</v>
      </c>
      <c r="HA311" t="e">
        <f>AND(#REF!,"AAAAAHzL/NA=")</f>
        <v>#REF!</v>
      </c>
      <c r="HB311" t="e">
        <f>AND(#REF!,"AAAAAHzL/NE=")</f>
        <v>#REF!</v>
      </c>
      <c r="HC311" t="e">
        <f>AND(#REF!,"AAAAAHzL/NI=")</f>
        <v>#REF!</v>
      </c>
      <c r="HD311" t="e">
        <f>AND(#REF!,"AAAAAHzL/NM=")</f>
        <v>#REF!</v>
      </c>
      <c r="HE311" t="e">
        <f>AND(#REF!,"AAAAAHzL/NQ=")</f>
        <v>#REF!</v>
      </c>
      <c r="HF311" t="e">
        <f>AND(#REF!,"AAAAAHzL/NU=")</f>
        <v>#REF!</v>
      </c>
      <c r="HG311" t="e">
        <f>AND(#REF!,"AAAAAHzL/NY=")</f>
        <v>#REF!</v>
      </c>
      <c r="HH311" t="e">
        <f>AND(#REF!,"AAAAAHzL/Nc=")</f>
        <v>#REF!</v>
      </c>
      <c r="HI311" t="e">
        <f>AND(#REF!,"AAAAAHzL/Ng=")</f>
        <v>#REF!</v>
      </c>
      <c r="HJ311" t="e">
        <f>AND(#REF!,"AAAAAHzL/Nk=")</f>
        <v>#REF!</v>
      </c>
      <c r="HK311" t="e">
        <f>AND(#REF!,"AAAAAHzL/No=")</f>
        <v>#REF!</v>
      </c>
      <c r="HL311" t="e">
        <f>AND(#REF!,"AAAAAHzL/Ns=")</f>
        <v>#REF!</v>
      </c>
      <c r="HM311" t="e">
        <f>AND(#REF!,"AAAAAHzL/Nw=")</f>
        <v>#REF!</v>
      </c>
      <c r="HN311" t="e">
        <f>AND(#REF!,"AAAAAHzL/N0=")</f>
        <v>#REF!</v>
      </c>
      <c r="HO311" t="e">
        <f>AND(#REF!,"AAAAAHzL/N4=")</f>
        <v>#REF!</v>
      </c>
      <c r="HP311" t="e">
        <f>AND(#REF!,"AAAAAHzL/N8=")</f>
        <v>#REF!</v>
      </c>
      <c r="HQ311" t="e">
        <f>AND(#REF!,"AAAAAHzL/OA=")</f>
        <v>#REF!</v>
      </c>
      <c r="HR311" t="e">
        <f>AND(#REF!,"AAAAAHzL/OE=")</f>
        <v>#REF!</v>
      </c>
      <c r="HS311" t="e">
        <f>AND(#REF!,"AAAAAHzL/OI=")</f>
        <v>#REF!</v>
      </c>
      <c r="HT311" t="e">
        <f>IF(#REF!,"AAAAAHzL/OM=",0)</f>
        <v>#REF!</v>
      </c>
      <c r="HU311" t="e">
        <f>AND(#REF!,"AAAAAHzL/OQ=")</f>
        <v>#REF!</v>
      </c>
      <c r="HV311" t="e">
        <f>AND(#REF!,"AAAAAHzL/OU=")</f>
        <v>#REF!</v>
      </c>
      <c r="HW311" t="e">
        <f>AND(#REF!,"AAAAAHzL/OY=")</f>
        <v>#REF!</v>
      </c>
      <c r="HX311" t="e">
        <f>AND(#REF!,"AAAAAHzL/Oc=")</f>
        <v>#REF!</v>
      </c>
      <c r="HY311" t="e">
        <f>AND(#REF!,"AAAAAHzL/Og=")</f>
        <v>#REF!</v>
      </c>
      <c r="HZ311" t="e">
        <f>AND(#REF!,"AAAAAHzL/Ok=")</f>
        <v>#REF!</v>
      </c>
      <c r="IA311" t="e">
        <f>AND(#REF!,"AAAAAHzL/Oo=")</f>
        <v>#REF!</v>
      </c>
      <c r="IB311" t="e">
        <f>AND(#REF!,"AAAAAHzL/Os=")</f>
        <v>#REF!</v>
      </c>
      <c r="IC311" t="e">
        <f>AND(#REF!,"AAAAAHzL/Ow=")</f>
        <v>#REF!</v>
      </c>
      <c r="ID311" t="e">
        <f>AND(#REF!,"AAAAAHzL/O0=")</f>
        <v>#REF!</v>
      </c>
      <c r="IE311" t="e">
        <f>AND(#REF!,"AAAAAHzL/O4=")</f>
        <v>#REF!</v>
      </c>
      <c r="IF311" t="e">
        <f>AND(#REF!,"AAAAAHzL/O8=")</f>
        <v>#REF!</v>
      </c>
      <c r="IG311" t="e">
        <f>AND(#REF!,"AAAAAHzL/PA=")</f>
        <v>#REF!</v>
      </c>
      <c r="IH311" t="e">
        <f>AND(#REF!,"AAAAAHzL/PE=")</f>
        <v>#REF!</v>
      </c>
      <c r="II311" t="e">
        <f>AND(#REF!,"AAAAAHzL/PI=")</f>
        <v>#REF!</v>
      </c>
      <c r="IJ311" t="e">
        <f>AND(#REF!,"AAAAAHzL/PM=")</f>
        <v>#REF!</v>
      </c>
      <c r="IK311" t="e">
        <f>AND(#REF!,"AAAAAHzL/PQ=")</f>
        <v>#REF!</v>
      </c>
      <c r="IL311" t="e">
        <f>AND(#REF!,"AAAAAHzL/PU=")</f>
        <v>#REF!</v>
      </c>
      <c r="IM311" t="e">
        <f>AND(#REF!,"AAAAAHzL/PY=")</f>
        <v>#REF!</v>
      </c>
      <c r="IN311" t="e">
        <f>AND(#REF!,"AAAAAHzL/Pc=")</f>
        <v>#REF!</v>
      </c>
      <c r="IO311" t="e">
        <f>AND(#REF!,"AAAAAHzL/Pg=")</f>
        <v>#REF!</v>
      </c>
      <c r="IP311" t="e">
        <f>AND(#REF!,"AAAAAHzL/Pk=")</f>
        <v>#REF!</v>
      </c>
      <c r="IQ311" t="e">
        <f>AND(#REF!,"AAAAAHzL/Po=")</f>
        <v>#REF!</v>
      </c>
      <c r="IR311" t="e">
        <f>AND(#REF!,"AAAAAHzL/Ps=")</f>
        <v>#REF!</v>
      </c>
      <c r="IS311" t="e">
        <f>AND(#REF!,"AAAAAHzL/Pw=")</f>
        <v>#REF!</v>
      </c>
      <c r="IT311" t="e">
        <f>AND(#REF!,"AAAAAHzL/P0=")</f>
        <v>#REF!</v>
      </c>
      <c r="IU311" t="e">
        <f>AND(#REF!,"AAAAAHzL/P4=")</f>
        <v>#REF!</v>
      </c>
      <c r="IV311" t="e">
        <f>AND(#REF!,"AAAAAHzL/P8=")</f>
        <v>#REF!</v>
      </c>
    </row>
    <row r="312" spans="1:256">
      <c r="A312" t="e">
        <f>AND(#REF!,"AAAAAHudmwA=")</f>
        <v>#REF!</v>
      </c>
      <c r="B312" t="e">
        <f>AND(#REF!,"AAAAAHudmwE=")</f>
        <v>#REF!</v>
      </c>
      <c r="C312" t="e">
        <f>AND(#REF!,"AAAAAHudmwI=")</f>
        <v>#REF!</v>
      </c>
      <c r="D312" t="e">
        <f>AND(#REF!,"AAAAAHudmwM=")</f>
        <v>#REF!</v>
      </c>
      <c r="E312" t="e">
        <f>AND(#REF!,"AAAAAHudmwQ=")</f>
        <v>#REF!</v>
      </c>
      <c r="F312" t="e">
        <f>AND(#REF!,"AAAAAHudmwU=")</f>
        <v>#REF!</v>
      </c>
      <c r="G312" t="e">
        <f>AND(#REF!,"AAAAAHudmwY=")</f>
        <v>#REF!</v>
      </c>
      <c r="H312" t="e">
        <f>AND(#REF!,"AAAAAHudmwc=")</f>
        <v>#REF!</v>
      </c>
      <c r="I312" t="e">
        <f>AND(#REF!,"AAAAAHudmwg=")</f>
        <v>#REF!</v>
      </c>
      <c r="J312" t="e">
        <f>AND(#REF!,"AAAAAHudmwk=")</f>
        <v>#REF!</v>
      </c>
      <c r="K312" t="e">
        <f>AND(#REF!,"AAAAAHudmwo=")</f>
        <v>#REF!</v>
      </c>
      <c r="L312" t="e">
        <f>AND(#REF!,"AAAAAHudmws=")</f>
        <v>#REF!</v>
      </c>
      <c r="M312" t="e">
        <f>AND(#REF!,"AAAAAHudmww=")</f>
        <v>#REF!</v>
      </c>
      <c r="N312" t="e">
        <f>AND(#REF!,"AAAAAHudmw0=")</f>
        <v>#REF!</v>
      </c>
      <c r="O312" t="e">
        <f>AND(#REF!,"AAAAAHudmw4=")</f>
        <v>#REF!</v>
      </c>
      <c r="P312" t="e">
        <f>AND(#REF!,"AAAAAHudmw8=")</f>
        <v>#REF!</v>
      </c>
      <c r="Q312" t="e">
        <f>AND(#REF!,"AAAAAHudmxA=")</f>
        <v>#REF!</v>
      </c>
      <c r="R312" t="e">
        <f>AND(#REF!,"AAAAAHudmxE=")</f>
        <v>#REF!</v>
      </c>
      <c r="S312" t="e">
        <f>AND(#REF!,"AAAAAHudmxI=")</f>
        <v>#REF!</v>
      </c>
      <c r="T312" t="e">
        <f>AND(#REF!,"AAAAAHudmxM=")</f>
        <v>#REF!</v>
      </c>
      <c r="U312" t="e">
        <f>AND(#REF!,"AAAAAHudmxQ=")</f>
        <v>#REF!</v>
      </c>
      <c r="V312" t="e">
        <f>AND(#REF!,"AAAAAHudmxU=")</f>
        <v>#REF!</v>
      </c>
      <c r="W312" t="e">
        <f>AND(#REF!,"AAAAAHudmxY=")</f>
        <v>#REF!</v>
      </c>
      <c r="X312" t="e">
        <f>IF(#REF!,"AAAAAHudmxc=",0)</f>
        <v>#REF!</v>
      </c>
      <c r="Y312" t="e">
        <f>AND(#REF!,"AAAAAHudmxg=")</f>
        <v>#REF!</v>
      </c>
      <c r="Z312" t="e">
        <f>AND(#REF!,"AAAAAHudmxk=")</f>
        <v>#REF!</v>
      </c>
      <c r="AA312" t="e">
        <f>AND(#REF!,"AAAAAHudmxo=")</f>
        <v>#REF!</v>
      </c>
      <c r="AB312" t="e">
        <f>AND(#REF!,"AAAAAHudmxs=")</f>
        <v>#REF!</v>
      </c>
      <c r="AC312" t="e">
        <f>AND(#REF!,"AAAAAHudmxw=")</f>
        <v>#REF!</v>
      </c>
      <c r="AD312" t="e">
        <f>AND(#REF!,"AAAAAHudmx0=")</f>
        <v>#REF!</v>
      </c>
      <c r="AE312" t="e">
        <f>AND(#REF!,"AAAAAHudmx4=")</f>
        <v>#REF!</v>
      </c>
      <c r="AF312" t="e">
        <f>AND(#REF!,"AAAAAHudmx8=")</f>
        <v>#REF!</v>
      </c>
      <c r="AG312" t="e">
        <f>AND(#REF!,"AAAAAHudmyA=")</f>
        <v>#REF!</v>
      </c>
      <c r="AH312" t="e">
        <f>AND(#REF!,"AAAAAHudmyE=")</f>
        <v>#REF!</v>
      </c>
      <c r="AI312" t="e">
        <f>AND(#REF!,"AAAAAHudmyI=")</f>
        <v>#REF!</v>
      </c>
      <c r="AJ312" t="e">
        <f>AND(#REF!,"AAAAAHudmyM=")</f>
        <v>#REF!</v>
      </c>
      <c r="AK312" t="e">
        <f>AND(#REF!,"AAAAAHudmyQ=")</f>
        <v>#REF!</v>
      </c>
      <c r="AL312" t="e">
        <f>AND(#REF!,"AAAAAHudmyU=")</f>
        <v>#REF!</v>
      </c>
      <c r="AM312" t="e">
        <f>AND(#REF!,"AAAAAHudmyY=")</f>
        <v>#REF!</v>
      </c>
      <c r="AN312" t="e">
        <f>AND(#REF!,"AAAAAHudmyc=")</f>
        <v>#REF!</v>
      </c>
      <c r="AO312" t="e">
        <f>AND(#REF!,"AAAAAHudmyg=")</f>
        <v>#REF!</v>
      </c>
      <c r="AP312" t="e">
        <f>AND(#REF!,"AAAAAHudmyk=")</f>
        <v>#REF!</v>
      </c>
      <c r="AQ312" t="e">
        <f>AND(#REF!,"AAAAAHudmyo=")</f>
        <v>#REF!</v>
      </c>
      <c r="AR312" t="e">
        <f>AND(#REF!,"AAAAAHudmys=")</f>
        <v>#REF!</v>
      </c>
      <c r="AS312" t="e">
        <f>AND(#REF!,"AAAAAHudmyw=")</f>
        <v>#REF!</v>
      </c>
      <c r="AT312" t="e">
        <f>AND(#REF!,"AAAAAHudmy0=")</f>
        <v>#REF!</v>
      </c>
      <c r="AU312" t="e">
        <f>AND(#REF!,"AAAAAHudmy4=")</f>
        <v>#REF!</v>
      </c>
      <c r="AV312" t="e">
        <f>AND(#REF!,"AAAAAHudmy8=")</f>
        <v>#REF!</v>
      </c>
      <c r="AW312" t="e">
        <f>AND(#REF!,"AAAAAHudmzA=")</f>
        <v>#REF!</v>
      </c>
      <c r="AX312" t="e">
        <f>AND(#REF!,"AAAAAHudmzE=")</f>
        <v>#REF!</v>
      </c>
      <c r="AY312" t="e">
        <f>AND(#REF!,"AAAAAHudmzI=")</f>
        <v>#REF!</v>
      </c>
      <c r="AZ312" t="e">
        <f>AND(#REF!,"AAAAAHudmzM=")</f>
        <v>#REF!</v>
      </c>
      <c r="BA312" t="e">
        <f>AND(#REF!,"AAAAAHudmzQ=")</f>
        <v>#REF!</v>
      </c>
      <c r="BB312" t="e">
        <f>AND(#REF!,"AAAAAHudmzU=")</f>
        <v>#REF!</v>
      </c>
      <c r="BC312" t="e">
        <f>AND(#REF!,"AAAAAHudmzY=")</f>
        <v>#REF!</v>
      </c>
      <c r="BD312" t="e">
        <f>AND(#REF!,"AAAAAHudmzc=")</f>
        <v>#REF!</v>
      </c>
      <c r="BE312" t="e">
        <f>AND(#REF!,"AAAAAHudmzg=")</f>
        <v>#REF!</v>
      </c>
      <c r="BF312" t="e">
        <f>AND(#REF!,"AAAAAHudmzk=")</f>
        <v>#REF!</v>
      </c>
      <c r="BG312" t="e">
        <f>AND(#REF!,"AAAAAHudmzo=")</f>
        <v>#REF!</v>
      </c>
      <c r="BH312" t="e">
        <f>AND(#REF!,"AAAAAHudmzs=")</f>
        <v>#REF!</v>
      </c>
      <c r="BI312" t="e">
        <f>AND(#REF!,"AAAAAHudmzw=")</f>
        <v>#REF!</v>
      </c>
      <c r="BJ312" t="e">
        <f>AND(#REF!,"AAAAAHudmz0=")</f>
        <v>#REF!</v>
      </c>
      <c r="BK312" t="e">
        <f>AND(#REF!,"AAAAAHudmz4=")</f>
        <v>#REF!</v>
      </c>
      <c r="BL312" t="e">
        <f>AND(#REF!,"AAAAAHudmz8=")</f>
        <v>#REF!</v>
      </c>
      <c r="BM312" t="e">
        <f>AND(#REF!,"AAAAAHudm0A=")</f>
        <v>#REF!</v>
      </c>
      <c r="BN312" t="e">
        <f>AND(#REF!,"AAAAAHudm0E=")</f>
        <v>#REF!</v>
      </c>
      <c r="BO312" t="e">
        <f>AND(#REF!,"AAAAAHudm0I=")</f>
        <v>#REF!</v>
      </c>
      <c r="BP312" t="e">
        <f>AND(#REF!,"AAAAAHudm0M=")</f>
        <v>#REF!</v>
      </c>
      <c r="BQ312" t="e">
        <f>AND(#REF!,"AAAAAHudm0Q=")</f>
        <v>#REF!</v>
      </c>
      <c r="BR312" t="e">
        <f>AND(#REF!,"AAAAAHudm0U=")</f>
        <v>#REF!</v>
      </c>
      <c r="BS312" t="e">
        <f>AND(#REF!,"AAAAAHudm0Y=")</f>
        <v>#REF!</v>
      </c>
      <c r="BT312" t="e">
        <f>AND(#REF!,"AAAAAHudm0c=")</f>
        <v>#REF!</v>
      </c>
      <c r="BU312" t="e">
        <f>AND(#REF!,"AAAAAHudm0g=")</f>
        <v>#REF!</v>
      </c>
      <c r="BV312" t="e">
        <f>AND(#REF!,"AAAAAHudm0k=")</f>
        <v>#REF!</v>
      </c>
      <c r="BW312" t="e">
        <f>AND(#REF!,"AAAAAHudm0o=")</f>
        <v>#REF!</v>
      </c>
      <c r="BX312" t="e">
        <f>IF(#REF!,"AAAAAHudm0s=",0)</f>
        <v>#REF!</v>
      </c>
      <c r="BY312" t="e">
        <f>AND(#REF!,"AAAAAHudm0w=")</f>
        <v>#REF!</v>
      </c>
      <c r="BZ312" t="e">
        <f>AND(#REF!,"AAAAAHudm00=")</f>
        <v>#REF!</v>
      </c>
      <c r="CA312" t="e">
        <f>AND(#REF!,"AAAAAHudm04=")</f>
        <v>#REF!</v>
      </c>
      <c r="CB312" t="e">
        <f>AND(#REF!,"AAAAAHudm08=")</f>
        <v>#REF!</v>
      </c>
      <c r="CC312" t="e">
        <f>AND(#REF!,"AAAAAHudm1A=")</f>
        <v>#REF!</v>
      </c>
      <c r="CD312" t="e">
        <f>AND(#REF!,"AAAAAHudm1E=")</f>
        <v>#REF!</v>
      </c>
      <c r="CE312" t="e">
        <f>AND(#REF!,"AAAAAHudm1I=")</f>
        <v>#REF!</v>
      </c>
      <c r="CF312" t="e">
        <f>AND(#REF!,"AAAAAHudm1M=")</f>
        <v>#REF!</v>
      </c>
      <c r="CG312" t="e">
        <f>AND(#REF!,"AAAAAHudm1Q=")</f>
        <v>#REF!</v>
      </c>
      <c r="CH312" t="e">
        <f>AND(#REF!,"AAAAAHudm1U=")</f>
        <v>#REF!</v>
      </c>
      <c r="CI312" t="e">
        <f>AND(#REF!,"AAAAAHudm1Y=")</f>
        <v>#REF!</v>
      </c>
      <c r="CJ312" t="e">
        <f>AND(#REF!,"AAAAAHudm1c=")</f>
        <v>#REF!</v>
      </c>
      <c r="CK312" t="e">
        <f>AND(#REF!,"AAAAAHudm1g=")</f>
        <v>#REF!</v>
      </c>
      <c r="CL312" t="e">
        <f>AND(#REF!,"AAAAAHudm1k=")</f>
        <v>#REF!</v>
      </c>
      <c r="CM312" t="e">
        <f>AND(#REF!,"AAAAAHudm1o=")</f>
        <v>#REF!</v>
      </c>
      <c r="CN312" t="e">
        <f>AND(#REF!,"AAAAAHudm1s=")</f>
        <v>#REF!</v>
      </c>
      <c r="CO312" t="e">
        <f>AND(#REF!,"AAAAAHudm1w=")</f>
        <v>#REF!</v>
      </c>
      <c r="CP312" t="e">
        <f>AND(#REF!,"AAAAAHudm10=")</f>
        <v>#REF!</v>
      </c>
      <c r="CQ312" t="e">
        <f>AND(#REF!,"AAAAAHudm14=")</f>
        <v>#REF!</v>
      </c>
      <c r="CR312" t="e">
        <f>AND(#REF!,"AAAAAHudm18=")</f>
        <v>#REF!</v>
      </c>
      <c r="CS312" t="e">
        <f>AND(#REF!,"AAAAAHudm2A=")</f>
        <v>#REF!</v>
      </c>
      <c r="CT312" t="e">
        <f>AND(#REF!,"AAAAAHudm2E=")</f>
        <v>#REF!</v>
      </c>
      <c r="CU312" t="e">
        <f>AND(#REF!,"AAAAAHudm2I=")</f>
        <v>#REF!</v>
      </c>
      <c r="CV312" t="e">
        <f>AND(#REF!,"AAAAAHudm2M=")</f>
        <v>#REF!</v>
      </c>
      <c r="CW312" t="e">
        <f>AND(#REF!,"AAAAAHudm2Q=")</f>
        <v>#REF!</v>
      </c>
      <c r="CX312" t="e">
        <f>AND(#REF!,"AAAAAHudm2U=")</f>
        <v>#REF!</v>
      </c>
      <c r="CY312" t="e">
        <f>AND(#REF!,"AAAAAHudm2Y=")</f>
        <v>#REF!</v>
      </c>
      <c r="CZ312" t="e">
        <f>AND(#REF!,"AAAAAHudm2c=")</f>
        <v>#REF!</v>
      </c>
      <c r="DA312" t="e">
        <f>AND(#REF!,"AAAAAHudm2g=")</f>
        <v>#REF!</v>
      </c>
      <c r="DB312" t="e">
        <f>AND(#REF!,"AAAAAHudm2k=")</f>
        <v>#REF!</v>
      </c>
      <c r="DC312" t="e">
        <f>AND(#REF!,"AAAAAHudm2o=")</f>
        <v>#REF!</v>
      </c>
      <c r="DD312" t="e">
        <f>AND(#REF!,"AAAAAHudm2s=")</f>
        <v>#REF!</v>
      </c>
      <c r="DE312" t="e">
        <f>AND(#REF!,"AAAAAHudm2w=")</f>
        <v>#REF!</v>
      </c>
      <c r="DF312" t="e">
        <f>AND(#REF!,"AAAAAHudm20=")</f>
        <v>#REF!</v>
      </c>
      <c r="DG312" t="e">
        <f>AND(#REF!,"AAAAAHudm24=")</f>
        <v>#REF!</v>
      </c>
      <c r="DH312" t="e">
        <f>AND(#REF!,"AAAAAHudm28=")</f>
        <v>#REF!</v>
      </c>
      <c r="DI312" t="e">
        <f>AND(#REF!,"AAAAAHudm3A=")</f>
        <v>#REF!</v>
      </c>
      <c r="DJ312" t="e">
        <f>AND(#REF!,"AAAAAHudm3E=")</f>
        <v>#REF!</v>
      </c>
      <c r="DK312" t="e">
        <f>AND(#REF!,"AAAAAHudm3I=")</f>
        <v>#REF!</v>
      </c>
      <c r="DL312" t="e">
        <f>AND(#REF!,"AAAAAHudm3M=")</f>
        <v>#REF!</v>
      </c>
      <c r="DM312" t="e">
        <f>AND(#REF!,"AAAAAHudm3Q=")</f>
        <v>#REF!</v>
      </c>
      <c r="DN312" t="e">
        <f>AND(#REF!,"AAAAAHudm3U=")</f>
        <v>#REF!</v>
      </c>
      <c r="DO312" t="e">
        <f>AND(#REF!,"AAAAAHudm3Y=")</f>
        <v>#REF!</v>
      </c>
      <c r="DP312" t="e">
        <f>AND(#REF!,"AAAAAHudm3c=")</f>
        <v>#REF!</v>
      </c>
      <c r="DQ312" t="e">
        <f>AND(#REF!,"AAAAAHudm3g=")</f>
        <v>#REF!</v>
      </c>
      <c r="DR312" t="e">
        <f>AND(#REF!,"AAAAAHudm3k=")</f>
        <v>#REF!</v>
      </c>
      <c r="DS312" t="e">
        <f>AND(#REF!,"AAAAAHudm3o=")</f>
        <v>#REF!</v>
      </c>
      <c r="DT312" t="e">
        <f>AND(#REF!,"AAAAAHudm3s=")</f>
        <v>#REF!</v>
      </c>
      <c r="DU312" t="e">
        <f>AND(#REF!,"AAAAAHudm3w=")</f>
        <v>#REF!</v>
      </c>
      <c r="DV312" t="e">
        <f>AND(#REF!,"AAAAAHudm30=")</f>
        <v>#REF!</v>
      </c>
      <c r="DW312" t="e">
        <f>AND(#REF!,"AAAAAHudm34=")</f>
        <v>#REF!</v>
      </c>
      <c r="DX312" t="e">
        <f>IF(#REF!,"AAAAAHudm38=",0)</f>
        <v>#REF!</v>
      </c>
      <c r="DY312" t="e">
        <f>AND(#REF!,"AAAAAHudm4A=")</f>
        <v>#REF!</v>
      </c>
      <c r="DZ312" t="e">
        <f>AND(#REF!,"AAAAAHudm4E=")</f>
        <v>#REF!</v>
      </c>
      <c r="EA312" t="e">
        <f>AND(#REF!,"AAAAAHudm4I=")</f>
        <v>#REF!</v>
      </c>
      <c r="EB312" t="e">
        <f>AND(#REF!,"AAAAAHudm4M=")</f>
        <v>#REF!</v>
      </c>
      <c r="EC312" t="e">
        <f>AND(#REF!,"AAAAAHudm4Q=")</f>
        <v>#REF!</v>
      </c>
      <c r="ED312" t="e">
        <f>AND(#REF!,"AAAAAHudm4U=")</f>
        <v>#REF!</v>
      </c>
      <c r="EE312" t="e">
        <f>AND(#REF!,"AAAAAHudm4Y=")</f>
        <v>#REF!</v>
      </c>
      <c r="EF312" t="e">
        <f>AND(#REF!,"AAAAAHudm4c=")</f>
        <v>#REF!</v>
      </c>
      <c r="EG312" t="e">
        <f>AND(#REF!,"AAAAAHudm4g=")</f>
        <v>#REF!</v>
      </c>
      <c r="EH312" t="e">
        <f>AND(#REF!,"AAAAAHudm4k=")</f>
        <v>#REF!</v>
      </c>
      <c r="EI312" t="e">
        <f>AND(#REF!,"AAAAAHudm4o=")</f>
        <v>#REF!</v>
      </c>
      <c r="EJ312" t="e">
        <f>AND(#REF!,"AAAAAHudm4s=")</f>
        <v>#REF!</v>
      </c>
      <c r="EK312" t="e">
        <f>AND(#REF!,"AAAAAHudm4w=")</f>
        <v>#REF!</v>
      </c>
      <c r="EL312" t="e">
        <f>AND(#REF!,"AAAAAHudm40=")</f>
        <v>#REF!</v>
      </c>
      <c r="EM312" t="e">
        <f>AND(#REF!,"AAAAAHudm44=")</f>
        <v>#REF!</v>
      </c>
      <c r="EN312" t="e">
        <f>AND(#REF!,"AAAAAHudm48=")</f>
        <v>#REF!</v>
      </c>
      <c r="EO312" t="e">
        <f>AND(#REF!,"AAAAAHudm5A=")</f>
        <v>#REF!</v>
      </c>
      <c r="EP312" t="e">
        <f>AND(#REF!,"AAAAAHudm5E=")</f>
        <v>#REF!</v>
      </c>
      <c r="EQ312" t="e">
        <f>AND(#REF!,"AAAAAHudm5I=")</f>
        <v>#REF!</v>
      </c>
      <c r="ER312" t="e">
        <f>AND(#REF!,"AAAAAHudm5M=")</f>
        <v>#REF!</v>
      </c>
      <c r="ES312" t="e">
        <f>AND(#REF!,"AAAAAHudm5Q=")</f>
        <v>#REF!</v>
      </c>
      <c r="ET312" t="e">
        <f>AND(#REF!,"AAAAAHudm5U=")</f>
        <v>#REF!</v>
      </c>
      <c r="EU312" t="e">
        <f>AND(#REF!,"AAAAAHudm5Y=")</f>
        <v>#REF!</v>
      </c>
      <c r="EV312" t="e">
        <f>AND(#REF!,"AAAAAHudm5c=")</f>
        <v>#REF!</v>
      </c>
      <c r="EW312" t="e">
        <f>AND(#REF!,"AAAAAHudm5g=")</f>
        <v>#REF!</v>
      </c>
      <c r="EX312" t="e">
        <f>AND(#REF!,"AAAAAHudm5k=")</f>
        <v>#REF!</v>
      </c>
      <c r="EY312" t="e">
        <f>AND(#REF!,"AAAAAHudm5o=")</f>
        <v>#REF!</v>
      </c>
      <c r="EZ312" t="e">
        <f>AND(#REF!,"AAAAAHudm5s=")</f>
        <v>#REF!</v>
      </c>
      <c r="FA312" t="e">
        <f>AND(#REF!,"AAAAAHudm5w=")</f>
        <v>#REF!</v>
      </c>
      <c r="FB312" t="e">
        <f>AND(#REF!,"AAAAAHudm50=")</f>
        <v>#REF!</v>
      </c>
      <c r="FC312" t="e">
        <f>AND(#REF!,"AAAAAHudm54=")</f>
        <v>#REF!</v>
      </c>
      <c r="FD312" t="e">
        <f>AND(#REF!,"AAAAAHudm58=")</f>
        <v>#REF!</v>
      </c>
      <c r="FE312" t="e">
        <f>AND(#REF!,"AAAAAHudm6A=")</f>
        <v>#REF!</v>
      </c>
      <c r="FF312" t="e">
        <f>AND(#REF!,"AAAAAHudm6E=")</f>
        <v>#REF!</v>
      </c>
      <c r="FG312" t="e">
        <f>AND(#REF!,"AAAAAHudm6I=")</f>
        <v>#REF!</v>
      </c>
      <c r="FH312" t="e">
        <f>AND(#REF!,"AAAAAHudm6M=")</f>
        <v>#REF!</v>
      </c>
      <c r="FI312" t="e">
        <f>AND(#REF!,"AAAAAHudm6Q=")</f>
        <v>#REF!</v>
      </c>
      <c r="FJ312" t="e">
        <f>AND(#REF!,"AAAAAHudm6U=")</f>
        <v>#REF!</v>
      </c>
      <c r="FK312" t="e">
        <f>AND(#REF!,"AAAAAHudm6Y=")</f>
        <v>#REF!</v>
      </c>
      <c r="FL312" t="e">
        <f>AND(#REF!,"AAAAAHudm6c=")</f>
        <v>#REF!</v>
      </c>
      <c r="FM312" t="e">
        <f>AND(#REF!,"AAAAAHudm6g=")</f>
        <v>#REF!</v>
      </c>
      <c r="FN312" t="e">
        <f>AND(#REF!,"AAAAAHudm6k=")</f>
        <v>#REF!</v>
      </c>
      <c r="FO312" t="e">
        <f>AND(#REF!,"AAAAAHudm6o=")</f>
        <v>#REF!</v>
      </c>
      <c r="FP312" t="e">
        <f>AND(#REF!,"AAAAAHudm6s=")</f>
        <v>#REF!</v>
      </c>
      <c r="FQ312" t="e">
        <f>AND(#REF!,"AAAAAHudm6w=")</f>
        <v>#REF!</v>
      </c>
      <c r="FR312" t="e">
        <f>AND(#REF!,"AAAAAHudm60=")</f>
        <v>#REF!</v>
      </c>
      <c r="FS312" t="e">
        <f>AND(#REF!,"AAAAAHudm64=")</f>
        <v>#REF!</v>
      </c>
      <c r="FT312" t="e">
        <f>AND(#REF!,"AAAAAHudm68=")</f>
        <v>#REF!</v>
      </c>
      <c r="FU312" t="e">
        <f>AND(#REF!,"AAAAAHudm7A=")</f>
        <v>#REF!</v>
      </c>
      <c r="FV312" t="e">
        <f>AND(#REF!,"AAAAAHudm7E=")</f>
        <v>#REF!</v>
      </c>
      <c r="FW312" t="e">
        <f>AND(#REF!,"AAAAAHudm7I=")</f>
        <v>#REF!</v>
      </c>
      <c r="FX312" t="e">
        <f>IF(#REF!,"AAAAAHudm7M=",0)</f>
        <v>#REF!</v>
      </c>
      <c r="FY312" t="e">
        <f>AND(#REF!,"AAAAAHudm7Q=")</f>
        <v>#REF!</v>
      </c>
      <c r="FZ312" t="e">
        <f>AND(#REF!,"AAAAAHudm7U=")</f>
        <v>#REF!</v>
      </c>
      <c r="GA312" t="e">
        <f>AND(#REF!,"AAAAAHudm7Y=")</f>
        <v>#REF!</v>
      </c>
      <c r="GB312" t="e">
        <f>AND(#REF!,"AAAAAHudm7c=")</f>
        <v>#REF!</v>
      </c>
      <c r="GC312" t="e">
        <f>AND(#REF!,"AAAAAHudm7g=")</f>
        <v>#REF!</v>
      </c>
      <c r="GD312" t="e">
        <f>AND(#REF!,"AAAAAHudm7k=")</f>
        <v>#REF!</v>
      </c>
      <c r="GE312" t="e">
        <f>AND(#REF!,"AAAAAHudm7o=")</f>
        <v>#REF!</v>
      </c>
      <c r="GF312" t="e">
        <f>AND(#REF!,"AAAAAHudm7s=")</f>
        <v>#REF!</v>
      </c>
      <c r="GG312" t="e">
        <f>AND(#REF!,"AAAAAHudm7w=")</f>
        <v>#REF!</v>
      </c>
      <c r="GH312" t="e">
        <f>AND(#REF!,"AAAAAHudm70=")</f>
        <v>#REF!</v>
      </c>
      <c r="GI312" t="e">
        <f>AND(#REF!,"AAAAAHudm74=")</f>
        <v>#REF!</v>
      </c>
      <c r="GJ312" t="e">
        <f>AND(#REF!,"AAAAAHudm78=")</f>
        <v>#REF!</v>
      </c>
      <c r="GK312" t="e">
        <f>AND(#REF!,"AAAAAHudm8A=")</f>
        <v>#REF!</v>
      </c>
      <c r="GL312" t="e">
        <f>AND(#REF!,"AAAAAHudm8E=")</f>
        <v>#REF!</v>
      </c>
      <c r="GM312" t="e">
        <f>AND(#REF!,"AAAAAHudm8I=")</f>
        <v>#REF!</v>
      </c>
      <c r="GN312" t="e">
        <f>AND(#REF!,"AAAAAHudm8M=")</f>
        <v>#REF!</v>
      </c>
      <c r="GO312" t="e">
        <f>AND(#REF!,"AAAAAHudm8Q=")</f>
        <v>#REF!</v>
      </c>
      <c r="GP312" t="e">
        <f>AND(#REF!,"AAAAAHudm8U=")</f>
        <v>#REF!</v>
      </c>
      <c r="GQ312" t="e">
        <f>AND(#REF!,"AAAAAHudm8Y=")</f>
        <v>#REF!</v>
      </c>
      <c r="GR312" t="e">
        <f>AND(#REF!,"AAAAAHudm8c=")</f>
        <v>#REF!</v>
      </c>
      <c r="GS312" t="e">
        <f>AND(#REF!,"AAAAAHudm8g=")</f>
        <v>#REF!</v>
      </c>
      <c r="GT312" t="e">
        <f>AND(#REF!,"AAAAAHudm8k=")</f>
        <v>#REF!</v>
      </c>
      <c r="GU312" t="e">
        <f>AND(#REF!,"AAAAAHudm8o=")</f>
        <v>#REF!</v>
      </c>
      <c r="GV312" t="e">
        <f>AND(#REF!,"AAAAAHudm8s=")</f>
        <v>#REF!</v>
      </c>
      <c r="GW312" t="e">
        <f>AND(#REF!,"AAAAAHudm8w=")</f>
        <v>#REF!</v>
      </c>
      <c r="GX312" t="e">
        <f>AND(#REF!,"AAAAAHudm80=")</f>
        <v>#REF!</v>
      </c>
      <c r="GY312" t="e">
        <f>AND(#REF!,"AAAAAHudm84=")</f>
        <v>#REF!</v>
      </c>
      <c r="GZ312" t="e">
        <f>AND(#REF!,"AAAAAHudm88=")</f>
        <v>#REF!</v>
      </c>
      <c r="HA312" t="e">
        <f>AND(#REF!,"AAAAAHudm9A=")</f>
        <v>#REF!</v>
      </c>
      <c r="HB312" t="e">
        <f>AND(#REF!,"AAAAAHudm9E=")</f>
        <v>#REF!</v>
      </c>
      <c r="HC312" t="e">
        <f>AND(#REF!,"AAAAAHudm9I=")</f>
        <v>#REF!</v>
      </c>
      <c r="HD312" t="e">
        <f>AND(#REF!,"AAAAAHudm9M=")</f>
        <v>#REF!</v>
      </c>
      <c r="HE312" t="e">
        <f>AND(#REF!,"AAAAAHudm9Q=")</f>
        <v>#REF!</v>
      </c>
      <c r="HF312" t="e">
        <f>AND(#REF!,"AAAAAHudm9U=")</f>
        <v>#REF!</v>
      </c>
      <c r="HG312" t="e">
        <f>AND(#REF!,"AAAAAHudm9Y=")</f>
        <v>#REF!</v>
      </c>
      <c r="HH312" t="e">
        <f>AND(#REF!,"AAAAAHudm9c=")</f>
        <v>#REF!</v>
      </c>
      <c r="HI312" t="e">
        <f>AND(#REF!,"AAAAAHudm9g=")</f>
        <v>#REF!</v>
      </c>
      <c r="HJ312" t="e">
        <f>AND(#REF!,"AAAAAHudm9k=")</f>
        <v>#REF!</v>
      </c>
      <c r="HK312" t="e">
        <f>AND(#REF!,"AAAAAHudm9o=")</f>
        <v>#REF!</v>
      </c>
      <c r="HL312" t="e">
        <f>AND(#REF!,"AAAAAHudm9s=")</f>
        <v>#REF!</v>
      </c>
      <c r="HM312" t="e">
        <f>AND(#REF!,"AAAAAHudm9w=")</f>
        <v>#REF!</v>
      </c>
      <c r="HN312" t="e">
        <f>AND(#REF!,"AAAAAHudm90=")</f>
        <v>#REF!</v>
      </c>
      <c r="HO312" t="e">
        <f>AND(#REF!,"AAAAAHudm94=")</f>
        <v>#REF!</v>
      </c>
      <c r="HP312" t="e">
        <f>AND(#REF!,"AAAAAHudm98=")</f>
        <v>#REF!</v>
      </c>
      <c r="HQ312" t="e">
        <f>AND(#REF!,"AAAAAHudm+A=")</f>
        <v>#REF!</v>
      </c>
      <c r="HR312" t="e">
        <f>AND(#REF!,"AAAAAHudm+E=")</f>
        <v>#REF!</v>
      </c>
      <c r="HS312" t="e">
        <f>AND(#REF!,"AAAAAHudm+I=")</f>
        <v>#REF!</v>
      </c>
      <c r="HT312" t="e">
        <f>AND(#REF!,"AAAAAHudm+M=")</f>
        <v>#REF!</v>
      </c>
      <c r="HU312" t="e">
        <f>AND(#REF!,"AAAAAHudm+Q=")</f>
        <v>#REF!</v>
      </c>
      <c r="HV312" t="e">
        <f>AND(#REF!,"AAAAAHudm+U=")</f>
        <v>#REF!</v>
      </c>
      <c r="HW312" t="e">
        <f>AND(#REF!,"AAAAAHudm+Y=")</f>
        <v>#REF!</v>
      </c>
      <c r="HX312" t="e">
        <f>IF(#REF!,"AAAAAHudm+c=",0)</f>
        <v>#REF!</v>
      </c>
      <c r="HY312" t="e">
        <f>AND(#REF!,"AAAAAHudm+g=")</f>
        <v>#REF!</v>
      </c>
      <c r="HZ312" t="e">
        <f>AND(#REF!,"AAAAAHudm+k=")</f>
        <v>#REF!</v>
      </c>
      <c r="IA312" t="e">
        <f>AND(#REF!,"AAAAAHudm+o=")</f>
        <v>#REF!</v>
      </c>
      <c r="IB312" t="e">
        <f>AND(#REF!,"AAAAAHudm+s=")</f>
        <v>#REF!</v>
      </c>
      <c r="IC312" t="e">
        <f>AND(#REF!,"AAAAAHudm+w=")</f>
        <v>#REF!</v>
      </c>
      <c r="ID312" t="e">
        <f>AND(#REF!,"AAAAAHudm+0=")</f>
        <v>#REF!</v>
      </c>
      <c r="IE312" t="e">
        <f>AND(#REF!,"AAAAAHudm+4=")</f>
        <v>#REF!</v>
      </c>
      <c r="IF312" t="e">
        <f>AND(#REF!,"AAAAAHudm+8=")</f>
        <v>#REF!</v>
      </c>
      <c r="IG312" t="e">
        <f>AND(#REF!,"AAAAAHudm/A=")</f>
        <v>#REF!</v>
      </c>
      <c r="IH312" t="e">
        <f>AND(#REF!,"AAAAAHudm/E=")</f>
        <v>#REF!</v>
      </c>
      <c r="II312" t="e">
        <f>AND(#REF!,"AAAAAHudm/I=")</f>
        <v>#REF!</v>
      </c>
      <c r="IJ312" t="e">
        <f>AND(#REF!,"AAAAAHudm/M=")</f>
        <v>#REF!</v>
      </c>
      <c r="IK312" t="e">
        <f>AND(#REF!,"AAAAAHudm/Q=")</f>
        <v>#REF!</v>
      </c>
      <c r="IL312" t="e">
        <f>AND(#REF!,"AAAAAHudm/U=")</f>
        <v>#REF!</v>
      </c>
      <c r="IM312" t="e">
        <f>AND(#REF!,"AAAAAHudm/Y=")</f>
        <v>#REF!</v>
      </c>
      <c r="IN312" t="e">
        <f>AND(#REF!,"AAAAAHudm/c=")</f>
        <v>#REF!</v>
      </c>
      <c r="IO312" t="e">
        <f>AND(#REF!,"AAAAAHudm/g=")</f>
        <v>#REF!</v>
      </c>
      <c r="IP312" t="e">
        <f>AND(#REF!,"AAAAAHudm/k=")</f>
        <v>#REF!</v>
      </c>
      <c r="IQ312" t="e">
        <f>AND(#REF!,"AAAAAHudm/o=")</f>
        <v>#REF!</v>
      </c>
      <c r="IR312" t="e">
        <f>AND(#REF!,"AAAAAHudm/s=")</f>
        <v>#REF!</v>
      </c>
      <c r="IS312" t="e">
        <f>AND(#REF!,"AAAAAHudm/w=")</f>
        <v>#REF!</v>
      </c>
      <c r="IT312" t="e">
        <f>AND(#REF!,"AAAAAHudm/0=")</f>
        <v>#REF!</v>
      </c>
      <c r="IU312" t="e">
        <f>AND(#REF!,"AAAAAHudm/4=")</f>
        <v>#REF!</v>
      </c>
      <c r="IV312" t="e">
        <f>AND(#REF!,"AAAAAHudm/8=")</f>
        <v>#REF!</v>
      </c>
    </row>
    <row r="313" spans="1:256">
      <c r="A313" t="e">
        <f>AND(#REF!,"AAAAAH4/fQA=")</f>
        <v>#REF!</v>
      </c>
      <c r="B313" t="e">
        <f>AND(#REF!,"AAAAAH4/fQE=")</f>
        <v>#REF!</v>
      </c>
      <c r="C313" t="e">
        <f>AND(#REF!,"AAAAAH4/fQI=")</f>
        <v>#REF!</v>
      </c>
      <c r="D313" t="e">
        <f>AND(#REF!,"AAAAAH4/fQM=")</f>
        <v>#REF!</v>
      </c>
      <c r="E313" t="e">
        <f>AND(#REF!,"AAAAAH4/fQQ=")</f>
        <v>#REF!</v>
      </c>
      <c r="F313" t="e">
        <f>AND(#REF!,"AAAAAH4/fQU=")</f>
        <v>#REF!</v>
      </c>
      <c r="G313" t="e">
        <f>AND(#REF!,"AAAAAH4/fQY=")</f>
        <v>#REF!</v>
      </c>
      <c r="H313" t="e">
        <f>AND(#REF!,"AAAAAH4/fQc=")</f>
        <v>#REF!</v>
      </c>
      <c r="I313" t="e">
        <f>AND(#REF!,"AAAAAH4/fQg=")</f>
        <v>#REF!</v>
      </c>
      <c r="J313" t="e">
        <f>AND(#REF!,"AAAAAH4/fQk=")</f>
        <v>#REF!</v>
      </c>
      <c r="K313" t="e">
        <f>AND(#REF!,"AAAAAH4/fQo=")</f>
        <v>#REF!</v>
      </c>
      <c r="L313" t="e">
        <f>AND(#REF!,"AAAAAH4/fQs=")</f>
        <v>#REF!</v>
      </c>
      <c r="M313" t="e">
        <f>AND(#REF!,"AAAAAH4/fQw=")</f>
        <v>#REF!</v>
      </c>
      <c r="N313" t="e">
        <f>AND(#REF!,"AAAAAH4/fQ0=")</f>
        <v>#REF!</v>
      </c>
      <c r="O313" t="e">
        <f>AND(#REF!,"AAAAAH4/fQ4=")</f>
        <v>#REF!</v>
      </c>
      <c r="P313" t="e">
        <f>AND(#REF!,"AAAAAH4/fQ8=")</f>
        <v>#REF!</v>
      </c>
      <c r="Q313" t="e">
        <f>AND(#REF!,"AAAAAH4/fRA=")</f>
        <v>#REF!</v>
      </c>
      <c r="R313" t="e">
        <f>AND(#REF!,"AAAAAH4/fRE=")</f>
        <v>#REF!</v>
      </c>
      <c r="S313" t="e">
        <f>AND(#REF!,"AAAAAH4/fRI=")</f>
        <v>#REF!</v>
      </c>
      <c r="T313" t="e">
        <f>AND(#REF!,"AAAAAH4/fRM=")</f>
        <v>#REF!</v>
      </c>
      <c r="U313" t="e">
        <f>AND(#REF!,"AAAAAH4/fRQ=")</f>
        <v>#REF!</v>
      </c>
      <c r="V313" t="e">
        <f>AND(#REF!,"AAAAAH4/fRU=")</f>
        <v>#REF!</v>
      </c>
      <c r="W313" t="e">
        <f>AND(#REF!,"AAAAAH4/fRY=")</f>
        <v>#REF!</v>
      </c>
      <c r="X313" t="e">
        <f>AND(#REF!,"AAAAAH4/fRc=")</f>
        <v>#REF!</v>
      </c>
      <c r="Y313" t="e">
        <f>AND(#REF!,"AAAAAH4/fRg=")</f>
        <v>#REF!</v>
      </c>
      <c r="Z313" t="e">
        <f>AND(#REF!,"AAAAAH4/fRk=")</f>
        <v>#REF!</v>
      </c>
      <c r="AA313" t="e">
        <f>AND(#REF!,"AAAAAH4/fRo=")</f>
        <v>#REF!</v>
      </c>
      <c r="AB313" t="e">
        <f>IF(#REF!,"AAAAAH4/fRs=",0)</f>
        <v>#REF!</v>
      </c>
      <c r="AC313" t="e">
        <f>AND(#REF!,"AAAAAH4/fRw=")</f>
        <v>#REF!</v>
      </c>
      <c r="AD313" t="e">
        <f>AND(#REF!,"AAAAAH4/fR0=")</f>
        <v>#REF!</v>
      </c>
      <c r="AE313" t="e">
        <f>AND(#REF!,"AAAAAH4/fR4=")</f>
        <v>#REF!</v>
      </c>
      <c r="AF313" t="e">
        <f>AND(#REF!,"AAAAAH4/fR8=")</f>
        <v>#REF!</v>
      </c>
      <c r="AG313" t="e">
        <f>AND(#REF!,"AAAAAH4/fSA=")</f>
        <v>#REF!</v>
      </c>
      <c r="AH313" t="e">
        <f>AND(#REF!,"AAAAAH4/fSE=")</f>
        <v>#REF!</v>
      </c>
      <c r="AI313" t="e">
        <f>AND(#REF!,"AAAAAH4/fSI=")</f>
        <v>#REF!</v>
      </c>
      <c r="AJ313" t="e">
        <f>AND(#REF!,"AAAAAH4/fSM=")</f>
        <v>#REF!</v>
      </c>
      <c r="AK313" t="e">
        <f>AND(#REF!,"AAAAAH4/fSQ=")</f>
        <v>#REF!</v>
      </c>
      <c r="AL313" t="e">
        <f>AND(#REF!,"AAAAAH4/fSU=")</f>
        <v>#REF!</v>
      </c>
      <c r="AM313" t="e">
        <f>AND(#REF!,"AAAAAH4/fSY=")</f>
        <v>#REF!</v>
      </c>
      <c r="AN313" t="e">
        <f>AND(#REF!,"AAAAAH4/fSc=")</f>
        <v>#REF!</v>
      </c>
      <c r="AO313" t="e">
        <f>AND(#REF!,"AAAAAH4/fSg=")</f>
        <v>#REF!</v>
      </c>
      <c r="AP313" t="e">
        <f>AND(#REF!,"AAAAAH4/fSk=")</f>
        <v>#REF!</v>
      </c>
      <c r="AQ313" t="e">
        <f>AND(#REF!,"AAAAAH4/fSo=")</f>
        <v>#REF!</v>
      </c>
      <c r="AR313" t="e">
        <f>AND(#REF!,"AAAAAH4/fSs=")</f>
        <v>#REF!</v>
      </c>
      <c r="AS313" t="e">
        <f>AND(#REF!,"AAAAAH4/fSw=")</f>
        <v>#REF!</v>
      </c>
      <c r="AT313" t="e">
        <f>AND(#REF!,"AAAAAH4/fS0=")</f>
        <v>#REF!</v>
      </c>
      <c r="AU313" t="e">
        <f>AND(#REF!,"AAAAAH4/fS4=")</f>
        <v>#REF!</v>
      </c>
      <c r="AV313" t="e">
        <f>AND(#REF!,"AAAAAH4/fS8=")</f>
        <v>#REF!</v>
      </c>
      <c r="AW313" t="e">
        <f>AND(#REF!,"AAAAAH4/fTA=")</f>
        <v>#REF!</v>
      </c>
      <c r="AX313" t="e">
        <f>AND(#REF!,"AAAAAH4/fTE=")</f>
        <v>#REF!</v>
      </c>
      <c r="AY313" t="e">
        <f>AND(#REF!,"AAAAAH4/fTI=")</f>
        <v>#REF!</v>
      </c>
      <c r="AZ313" t="e">
        <f>AND(#REF!,"AAAAAH4/fTM=")</f>
        <v>#REF!</v>
      </c>
      <c r="BA313" t="e">
        <f>AND(#REF!,"AAAAAH4/fTQ=")</f>
        <v>#REF!</v>
      </c>
      <c r="BB313" t="e">
        <f>AND(#REF!,"AAAAAH4/fTU=")</f>
        <v>#REF!</v>
      </c>
      <c r="BC313" t="e">
        <f>AND(#REF!,"AAAAAH4/fTY=")</f>
        <v>#REF!</v>
      </c>
      <c r="BD313" t="e">
        <f>AND(#REF!,"AAAAAH4/fTc=")</f>
        <v>#REF!</v>
      </c>
      <c r="BE313" t="e">
        <f>AND(#REF!,"AAAAAH4/fTg=")</f>
        <v>#REF!</v>
      </c>
      <c r="BF313" t="e">
        <f>AND(#REF!,"AAAAAH4/fTk=")</f>
        <v>#REF!</v>
      </c>
      <c r="BG313" t="e">
        <f>AND(#REF!,"AAAAAH4/fTo=")</f>
        <v>#REF!</v>
      </c>
      <c r="BH313" t="e">
        <f>AND(#REF!,"AAAAAH4/fTs=")</f>
        <v>#REF!</v>
      </c>
      <c r="BI313" t="e">
        <f>AND(#REF!,"AAAAAH4/fTw=")</f>
        <v>#REF!</v>
      </c>
      <c r="BJ313" t="e">
        <f>AND(#REF!,"AAAAAH4/fT0=")</f>
        <v>#REF!</v>
      </c>
      <c r="BK313" t="e">
        <f>AND(#REF!,"AAAAAH4/fT4=")</f>
        <v>#REF!</v>
      </c>
      <c r="BL313" t="e">
        <f>AND(#REF!,"AAAAAH4/fT8=")</f>
        <v>#REF!</v>
      </c>
      <c r="BM313" t="e">
        <f>AND(#REF!,"AAAAAH4/fUA=")</f>
        <v>#REF!</v>
      </c>
      <c r="BN313" t="e">
        <f>AND(#REF!,"AAAAAH4/fUE=")</f>
        <v>#REF!</v>
      </c>
      <c r="BO313" t="e">
        <f>AND(#REF!,"AAAAAH4/fUI=")</f>
        <v>#REF!</v>
      </c>
      <c r="BP313" t="e">
        <f>AND(#REF!,"AAAAAH4/fUM=")</f>
        <v>#REF!</v>
      </c>
      <c r="BQ313" t="e">
        <f>AND(#REF!,"AAAAAH4/fUQ=")</f>
        <v>#REF!</v>
      </c>
      <c r="BR313" t="e">
        <f>AND(#REF!,"AAAAAH4/fUU=")</f>
        <v>#REF!</v>
      </c>
      <c r="BS313" t="e">
        <f>AND(#REF!,"AAAAAH4/fUY=")</f>
        <v>#REF!</v>
      </c>
      <c r="BT313" t="e">
        <f>AND(#REF!,"AAAAAH4/fUc=")</f>
        <v>#REF!</v>
      </c>
      <c r="BU313" t="e">
        <f>AND(#REF!,"AAAAAH4/fUg=")</f>
        <v>#REF!</v>
      </c>
      <c r="BV313" t="e">
        <f>AND(#REF!,"AAAAAH4/fUk=")</f>
        <v>#REF!</v>
      </c>
      <c r="BW313" t="e">
        <f>AND(#REF!,"AAAAAH4/fUo=")</f>
        <v>#REF!</v>
      </c>
      <c r="BX313" t="e">
        <f>AND(#REF!,"AAAAAH4/fUs=")</f>
        <v>#REF!</v>
      </c>
      <c r="BY313" t="e">
        <f>AND(#REF!,"AAAAAH4/fUw=")</f>
        <v>#REF!</v>
      </c>
      <c r="BZ313" t="e">
        <f>AND(#REF!,"AAAAAH4/fU0=")</f>
        <v>#REF!</v>
      </c>
      <c r="CA313" t="e">
        <f>AND(#REF!,"AAAAAH4/fU4=")</f>
        <v>#REF!</v>
      </c>
      <c r="CB313" t="e">
        <f>IF(#REF!,"AAAAAH4/fU8=",0)</f>
        <v>#REF!</v>
      </c>
      <c r="CC313" t="e">
        <f>AND(#REF!,"AAAAAH4/fVA=")</f>
        <v>#REF!</v>
      </c>
      <c r="CD313" t="e">
        <f>AND(#REF!,"AAAAAH4/fVE=")</f>
        <v>#REF!</v>
      </c>
      <c r="CE313" t="e">
        <f>AND(#REF!,"AAAAAH4/fVI=")</f>
        <v>#REF!</v>
      </c>
      <c r="CF313" t="e">
        <f>AND(#REF!,"AAAAAH4/fVM=")</f>
        <v>#REF!</v>
      </c>
      <c r="CG313" t="e">
        <f>AND(#REF!,"AAAAAH4/fVQ=")</f>
        <v>#REF!</v>
      </c>
      <c r="CH313" t="e">
        <f>AND(#REF!,"AAAAAH4/fVU=")</f>
        <v>#REF!</v>
      </c>
      <c r="CI313" t="e">
        <f>AND(#REF!,"AAAAAH4/fVY=")</f>
        <v>#REF!</v>
      </c>
      <c r="CJ313" t="e">
        <f>AND(#REF!,"AAAAAH4/fVc=")</f>
        <v>#REF!</v>
      </c>
      <c r="CK313" t="e">
        <f>AND(#REF!,"AAAAAH4/fVg=")</f>
        <v>#REF!</v>
      </c>
      <c r="CL313" t="e">
        <f>AND(#REF!,"AAAAAH4/fVk=")</f>
        <v>#REF!</v>
      </c>
      <c r="CM313" t="e">
        <f>AND(#REF!,"AAAAAH4/fVo=")</f>
        <v>#REF!</v>
      </c>
      <c r="CN313" t="e">
        <f>AND(#REF!,"AAAAAH4/fVs=")</f>
        <v>#REF!</v>
      </c>
      <c r="CO313" t="e">
        <f>AND(#REF!,"AAAAAH4/fVw=")</f>
        <v>#REF!</v>
      </c>
      <c r="CP313" t="e">
        <f>AND(#REF!,"AAAAAH4/fV0=")</f>
        <v>#REF!</v>
      </c>
      <c r="CQ313" t="e">
        <f>AND(#REF!,"AAAAAH4/fV4=")</f>
        <v>#REF!</v>
      </c>
      <c r="CR313" t="e">
        <f>AND(#REF!,"AAAAAH4/fV8=")</f>
        <v>#REF!</v>
      </c>
      <c r="CS313" t="e">
        <f>AND(#REF!,"AAAAAH4/fWA=")</f>
        <v>#REF!</v>
      </c>
      <c r="CT313" t="e">
        <f>AND(#REF!,"AAAAAH4/fWE=")</f>
        <v>#REF!</v>
      </c>
      <c r="CU313" t="e">
        <f>AND(#REF!,"AAAAAH4/fWI=")</f>
        <v>#REF!</v>
      </c>
      <c r="CV313" t="e">
        <f>AND(#REF!,"AAAAAH4/fWM=")</f>
        <v>#REF!</v>
      </c>
      <c r="CW313" t="e">
        <f>AND(#REF!,"AAAAAH4/fWQ=")</f>
        <v>#REF!</v>
      </c>
      <c r="CX313" t="e">
        <f>AND(#REF!,"AAAAAH4/fWU=")</f>
        <v>#REF!</v>
      </c>
      <c r="CY313" t="e">
        <f>AND(#REF!,"AAAAAH4/fWY=")</f>
        <v>#REF!</v>
      </c>
      <c r="CZ313" t="e">
        <f>AND(#REF!,"AAAAAH4/fWc=")</f>
        <v>#REF!</v>
      </c>
      <c r="DA313" t="e">
        <f>AND(#REF!,"AAAAAH4/fWg=")</f>
        <v>#REF!</v>
      </c>
      <c r="DB313" t="e">
        <f>AND(#REF!,"AAAAAH4/fWk=")</f>
        <v>#REF!</v>
      </c>
      <c r="DC313" t="e">
        <f>AND(#REF!,"AAAAAH4/fWo=")</f>
        <v>#REF!</v>
      </c>
      <c r="DD313" t="e">
        <f>AND(#REF!,"AAAAAH4/fWs=")</f>
        <v>#REF!</v>
      </c>
      <c r="DE313" t="e">
        <f>AND(#REF!,"AAAAAH4/fWw=")</f>
        <v>#REF!</v>
      </c>
      <c r="DF313" t="e">
        <f>AND(#REF!,"AAAAAH4/fW0=")</f>
        <v>#REF!</v>
      </c>
      <c r="DG313" t="e">
        <f>AND(#REF!,"AAAAAH4/fW4=")</f>
        <v>#REF!</v>
      </c>
      <c r="DH313" t="e">
        <f>AND(#REF!,"AAAAAH4/fW8=")</f>
        <v>#REF!</v>
      </c>
      <c r="DI313" t="e">
        <f>AND(#REF!,"AAAAAH4/fXA=")</f>
        <v>#REF!</v>
      </c>
      <c r="DJ313" t="e">
        <f>AND(#REF!,"AAAAAH4/fXE=")</f>
        <v>#REF!</v>
      </c>
      <c r="DK313" t="e">
        <f>AND(#REF!,"AAAAAH4/fXI=")</f>
        <v>#REF!</v>
      </c>
      <c r="DL313" t="e">
        <f>AND(#REF!,"AAAAAH4/fXM=")</f>
        <v>#REF!</v>
      </c>
      <c r="DM313" t="e">
        <f>AND(#REF!,"AAAAAH4/fXQ=")</f>
        <v>#REF!</v>
      </c>
      <c r="DN313" t="e">
        <f>AND(#REF!,"AAAAAH4/fXU=")</f>
        <v>#REF!</v>
      </c>
      <c r="DO313" t="e">
        <f>AND(#REF!,"AAAAAH4/fXY=")</f>
        <v>#REF!</v>
      </c>
      <c r="DP313" t="e">
        <f>AND(#REF!,"AAAAAH4/fXc=")</f>
        <v>#REF!</v>
      </c>
      <c r="DQ313" t="e">
        <f>AND(#REF!,"AAAAAH4/fXg=")</f>
        <v>#REF!</v>
      </c>
      <c r="DR313" t="e">
        <f>AND(#REF!,"AAAAAH4/fXk=")</f>
        <v>#REF!</v>
      </c>
      <c r="DS313" t="e">
        <f>AND(#REF!,"AAAAAH4/fXo=")</f>
        <v>#REF!</v>
      </c>
      <c r="DT313" t="e">
        <f>AND(#REF!,"AAAAAH4/fXs=")</f>
        <v>#REF!</v>
      </c>
      <c r="DU313" t="e">
        <f>AND(#REF!,"AAAAAH4/fXw=")</f>
        <v>#REF!</v>
      </c>
      <c r="DV313" t="e">
        <f>AND(#REF!,"AAAAAH4/fX0=")</f>
        <v>#REF!</v>
      </c>
      <c r="DW313" t="e">
        <f>AND(#REF!,"AAAAAH4/fX4=")</f>
        <v>#REF!</v>
      </c>
      <c r="DX313" t="e">
        <f>AND(#REF!,"AAAAAH4/fX8=")</f>
        <v>#REF!</v>
      </c>
      <c r="DY313" t="e">
        <f>AND(#REF!,"AAAAAH4/fYA=")</f>
        <v>#REF!</v>
      </c>
      <c r="DZ313" t="e">
        <f>AND(#REF!,"AAAAAH4/fYE=")</f>
        <v>#REF!</v>
      </c>
      <c r="EA313" t="e">
        <f>AND(#REF!,"AAAAAH4/fYI=")</f>
        <v>#REF!</v>
      </c>
      <c r="EB313" t="e">
        <f>IF(#REF!,"AAAAAH4/fYM=",0)</f>
        <v>#REF!</v>
      </c>
      <c r="EC313" t="e">
        <f>AND(#REF!,"AAAAAH4/fYQ=")</f>
        <v>#REF!</v>
      </c>
      <c r="ED313" t="e">
        <f>AND(#REF!,"AAAAAH4/fYU=")</f>
        <v>#REF!</v>
      </c>
      <c r="EE313" t="e">
        <f>AND(#REF!,"AAAAAH4/fYY=")</f>
        <v>#REF!</v>
      </c>
      <c r="EF313" t="e">
        <f>AND(#REF!,"AAAAAH4/fYc=")</f>
        <v>#REF!</v>
      </c>
      <c r="EG313" t="e">
        <f>AND(#REF!,"AAAAAH4/fYg=")</f>
        <v>#REF!</v>
      </c>
      <c r="EH313" t="e">
        <f>AND(#REF!,"AAAAAH4/fYk=")</f>
        <v>#REF!</v>
      </c>
      <c r="EI313" t="e">
        <f>AND(#REF!,"AAAAAH4/fYo=")</f>
        <v>#REF!</v>
      </c>
      <c r="EJ313" t="e">
        <f>AND(#REF!,"AAAAAH4/fYs=")</f>
        <v>#REF!</v>
      </c>
      <c r="EK313" t="e">
        <f>AND(#REF!,"AAAAAH4/fYw=")</f>
        <v>#REF!</v>
      </c>
      <c r="EL313" t="e">
        <f>AND(#REF!,"AAAAAH4/fY0=")</f>
        <v>#REF!</v>
      </c>
      <c r="EM313" t="e">
        <f>AND(#REF!,"AAAAAH4/fY4=")</f>
        <v>#REF!</v>
      </c>
      <c r="EN313" t="e">
        <f>AND(#REF!,"AAAAAH4/fY8=")</f>
        <v>#REF!</v>
      </c>
      <c r="EO313" t="e">
        <f>AND(#REF!,"AAAAAH4/fZA=")</f>
        <v>#REF!</v>
      </c>
      <c r="EP313" t="e">
        <f>AND(#REF!,"AAAAAH4/fZE=")</f>
        <v>#REF!</v>
      </c>
      <c r="EQ313" t="e">
        <f>AND(#REF!,"AAAAAH4/fZI=")</f>
        <v>#REF!</v>
      </c>
      <c r="ER313" t="e">
        <f>AND(#REF!,"AAAAAH4/fZM=")</f>
        <v>#REF!</v>
      </c>
      <c r="ES313" t="e">
        <f>AND(#REF!,"AAAAAH4/fZQ=")</f>
        <v>#REF!</v>
      </c>
      <c r="ET313" t="e">
        <f>AND(#REF!,"AAAAAH4/fZU=")</f>
        <v>#REF!</v>
      </c>
      <c r="EU313" t="e">
        <f>AND(#REF!,"AAAAAH4/fZY=")</f>
        <v>#REF!</v>
      </c>
      <c r="EV313" t="e">
        <f>AND(#REF!,"AAAAAH4/fZc=")</f>
        <v>#REF!</v>
      </c>
      <c r="EW313" t="e">
        <f>AND(#REF!,"AAAAAH4/fZg=")</f>
        <v>#REF!</v>
      </c>
      <c r="EX313" t="e">
        <f>AND(#REF!,"AAAAAH4/fZk=")</f>
        <v>#REF!</v>
      </c>
      <c r="EY313" t="e">
        <f>AND(#REF!,"AAAAAH4/fZo=")</f>
        <v>#REF!</v>
      </c>
      <c r="EZ313" t="e">
        <f>AND(#REF!,"AAAAAH4/fZs=")</f>
        <v>#REF!</v>
      </c>
      <c r="FA313" t="e">
        <f>AND(#REF!,"AAAAAH4/fZw=")</f>
        <v>#REF!</v>
      </c>
      <c r="FB313" t="e">
        <f>AND(#REF!,"AAAAAH4/fZ0=")</f>
        <v>#REF!</v>
      </c>
      <c r="FC313" t="e">
        <f>AND(#REF!,"AAAAAH4/fZ4=")</f>
        <v>#REF!</v>
      </c>
      <c r="FD313" t="e">
        <f>AND(#REF!,"AAAAAH4/fZ8=")</f>
        <v>#REF!</v>
      </c>
      <c r="FE313" t="e">
        <f>AND(#REF!,"AAAAAH4/faA=")</f>
        <v>#REF!</v>
      </c>
      <c r="FF313" t="e">
        <f>AND(#REF!,"AAAAAH4/faE=")</f>
        <v>#REF!</v>
      </c>
      <c r="FG313" t="e">
        <f>AND(#REF!,"AAAAAH4/faI=")</f>
        <v>#REF!</v>
      </c>
      <c r="FH313" t="e">
        <f>AND(#REF!,"AAAAAH4/faM=")</f>
        <v>#REF!</v>
      </c>
      <c r="FI313" t="e">
        <f>AND(#REF!,"AAAAAH4/faQ=")</f>
        <v>#REF!</v>
      </c>
      <c r="FJ313" t="e">
        <f>AND(#REF!,"AAAAAH4/faU=")</f>
        <v>#REF!</v>
      </c>
      <c r="FK313" t="e">
        <f>AND(#REF!,"AAAAAH4/faY=")</f>
        <v>#REF!</v>
      </c>
      <c r="FL313" t="e">
        <f>AND(#REF!,"AAAAAH4/fac=")</f>
        <v>#REF!</v>
      </c>
      <c r="FM313" t="e">
        <f>AND(#REF!,"AAAAAH4/fag=")</f>
        <v>#REF!</v>
      </c>
      <c r="FN313" t="e">
        <f>AND(#REF!,"AAAAAH4/fak=")</f>
        <v>#REF!</v>
      </c>
      <c r="FO313" t="e">
        <f>AND(#REF!,"AAAAAH4/fao=")</f>
        <v>#REF!</v>
      </c>
      <c r="FP313" t="e">
        <f>AND(#REF!,"AAAAAH4/fas=")</f>
        <v>#REF!</v>
      </c>
      <c r="FQ313" t="e">
        <f>AND(#REF!,"AAAAAH4/faw=")</f>
        <v>#REF!</v>
      </c>
      <c r="FR313" t="e">
        <f>AND(#REF!,"AAAAAH4/fa0=")</f>
        <v>#REF!</v>
      </c>
      <c r="FS313" t="e">
        <f>AND(#REF!,"AAAAAH4/fa4=")</f>
        <v>#REF!</v>
      </c>
      <c r="FT313" t="e">
        <f>AND(#REF!,"AAAAAH4/fa8=")</f>
        <v>#REF!</v>
      </c>
      <c r="FU313" t="e">
        <f>AND(#REF!,"AAAAAH4/fbA=")</f>
        <v>#REF!</v>
      </c>
      <c r="FV313" t="e">
        <f>AND(#REF!,"AAAAAH4/fbE=")</f>
        <v>#REF!</v>
      </c>
      <c r="FW313" t="e">
        <f>AND(#REF!,"AAAAAH4/fbI=")</f>
        <v>#REF!</v>
      </c>
      <c r="FX313" t="e">
        <f>AND(#REF!,"AAAAAH4/fbM=")</f>
        <v>#REF!</v>
      </c>
      <c r="FY313" t="e">
        <f>AND(#REF!,"AAAAAH4/fbQ=")</f>
        <v>#REF!</v>
      </c>
      <c r="FZ313" t="e">
        <f>AND(#REF!,"AAAAAH4/fbU=")</f>
        <v>#REF!</v>
      </c>
      <c r="GA313" t="e">
        <f>AND(#REF!,"AAAAAH4/fbY=")</f>
        <v>#REF!</v>
      </c>
      <c r="GB313" t="e">
        <f>IF(#REF!,"AAAAAH4/fbc=",0)</f>
        <v>#REF!</v>
      </c>
      <c r="GC313" t="e">
        <f>AND(#REF!,"AAAAAH4/fbg=")</f>
        <v>#REF!</v>
      </c>
      <c r="GD313" t="e">
        <f>AND(#REF!,"AAAAAH4/fbk=")</f>
        <v>#REF!</v>
      </c>
      <c r="GE313" t="e">
        <f>AND(#REF!,"AAAAAH4/fbo=")</f>
        <v>#REF!</v>
      </c>
      <c r="GF313" t="e">
        <f>AND(#REF!,"AAAAAH4/fbs=")</f>
        <v>#REF!</v>
      </c>
      <c r="GG313" t="e">
        <f>AND(#REF!,"AAAAAH4/fbw=")</f>
        <v>#REF!</v>
      </c>
      <c r="GH313" t="e">
        <f>AND(#REF!,"AAAAAH4/fb0=")</f>
        <v>#REF!</v>
      </c>
      <c r="GI313" t="e">
        <f>AND(#REF!,"AAAAAH4/fb4=")</f>
        <v>#REF!</v>
      </c>
      <c r="GJ313" t="e">
        <f>AND(#REF!,"AAAAAH4/fb8=")</f>
        <v>#REF!</v>
      </c>
      <c r="GK313" t="e">
        <f>AND(#REF!,"AAAAAH4/fcA=")</f>
        <v>#REF!</v>
      </c>
      <c r="GL313" t="e">
        <f>AND(#REF!,"AAAAAH4/fcE=")</f>
        <v>#REF!</v>
      </c>
      <c r="GM313" t="e">
        <f>AND(#REF!,"AAAAAH4/fcI=")</f>
        <v>#REF!</v>
      </c>
      <c r="GN313" t="e">
        <f>AND(#REF!,"AAAAAH4/fcM=")</f>
        <v>#REF!</v>
      </c>
      <c r="GO313" t="e">
        <f>AND(#REF!,"AAAAAH4/fcQ=")</f>
        <v>#REF!</v>
      </c>
      <c r="GP313" t="e">
        <f>AND(#REF!,"AAAAAH4/fcU=")</f>
        <v>#REF!</v>
      </c>
      <c r="GQ313" t="e">
        <f>AND(#REF!,"AAAAAH4/fcY=")</f>
        <v>#REF!</v>
      </c>
      <c r="GR313" t="e">
        <f>AND(#REF!,"AAAAAH4/fcc=")</f>
        <v>#REF!</v>
      </c>
      <c r="GS313" t="e">
        <f>AND(#REF!,"AAAAAH4/fcg=")</f>
        <v>#REF!</v>
      </c>
      <c r="GT313" t="e">
        <f>AND(#REF!,"AAAAAH4/fck=")</f>
        <v>#REF!</v>
      </c>
      <c r="GU313" t="e">
        <f>AND(#REF!,"AAAAAH4/fco=")</f>
        <v>#REF!</v>
      </c>
      <c r="GV313" t="e">
        <f>AND(#REF!,"AAAAAH4/fcs=")</f>
        <v>#REF!</v>
      </c>
      <c r="GW313" t="e">
        <f>AND(#REF!,"AAAAAH4/fcw=")</f>
        <v>#REF!</v>
      </c>
      <c r="GX313" t="e">
        <f>AND(#REF!,"AAAAAH4/fc0=")</f>
        <v>#REF!</v>
      </c>
      <c r="GY313" t="e">
        <f>AND(#REF!,"AAAAAH4/fc4=")</f>
        <v>#REF!</v>
      </c>
      <c r="GZ313" t="e">
        <f>AND(#REF!,"AAAAAH4/fc8=")</f>
        <v>#REF!</v>
      </c>
      <c r="HA313" t="e">
        <f>AND(#REF!,"AAAAAH4/fdA=")</f>
        <v>#REF!</v>
      </c>
      <c r="HB313" t="e">
        <f>AND(#REF!,"AAAAAH4/fdE=")</f>
        <v>#REF!</v>
      </c>
      <c r="HC313" t="e">
        <f>AND(#REF!,"AAAAAH4/fdI=")</f>
        <v>#REF!</v>
      </c>
      <c r="HD313" t="e">
        <f>AND(#REF!,"AAAAAH4/fdM=")</f>
        <v>#REF!</v>
      </c>
      <c r="HE313" t="e">
        <f>AND(#REF!,"AAAAAH4/fdQ=")</f>
        <v>#REF!</v>
      </c>
      <c r="HF313" t="e">
        <f>AND(#REF!,"AAAAAH4/fdU=")</f>
        <v>#REF!</v>
      </c>
      <c r="HG313" t="e">
        <f>AND(#REF!,"AAAAAH4/fdY=")</f>
        <v>#REF!</v>
      </c>
      <c r="HH313" t="e">
        <f>AND(#REF!,"AAAAAH4/fdc=")</f>
        <v>#REF!</v>
      </c>
      <c r="HI313" t="e">
        <f>AND(#REF!,"AAAAAH4/fdg=")</f>
        <v>#REF!</v>
      </c>
      <c r="HJ313" t="e">
        <f>AND(#REF!,"AAAAAH4/fdk=")</f>
        <v>#REF!</v>
      </c>
      <c r="HK313" t="e">
        <f>AND(#REF!,"AAAAAH4/fdo=")</f>
        <v>#REF!</v>
      </c>
      <c r="HL313" t="e">
        <f>AND(#REF!,"AAAAAH4/fds=")</f>
        <v>#REF!</v>
      </c>
      <c r="HM313" t="e">
        <f>AND(#REF!,"AAAAAH4/fdw=")</f>
        <v>#REF!</v>
      </c>
      <c r="HN313" t="e">
        <f>AND(#REF!,"AAAAAH4/fd0=")</f>
        <v>#REF!</v>
      </c>
      <c r="HO313" t="e">
        <f>AND(#REF!,"AAAAAH4/fd4=")</f>
        <v>#REF!</v>
      </c>
      <c r="HP313" t="e">
        <f>AND(#REF!,"AAAAAH4/fd8=")</f>
        <v>#REF!</v>
      </c>
      <c r="HQ313" t="e">
        <f>AND(#REF!,"AAAAAH4/feA=")</f>
        <v>#REF!</v>
      </c>
      <c r="HR313" t="e">
        <f>AND(#REF!,"AAAAAH4/feE=")</f>
        <v>#REF!</v>
      </c>
      <c r="HS313" t="e">
        <f>AND(#REF!,"AAAAAH4/feI=")</f>
        <v>#REF!</v>
      </c>
      <c r="HT313" t="e">
        <f>AND(#REF!,"AAAAAH4/feM=")</f>
        <v>#REF!</v>
      </c>
      <c r="HU313" t="e">
        <f>AND(#REF!,"AAAAAH4/feQ=")</f>
        <v>#REF!</v>
      </c>
      <c r="HV313" t="e">
        <f>AND(#REF!,"AAAAAH4/feU=")</f>
        <v>#REF!</v>
      </c>
      <c r="HW313" t="e">
        <f>AND(#REF!,"AAAAAH4/feY=")</f>
        <v>#REF!</v>
      </c>
      <c r="HX313" t="e">
        <f>AND(#REF!,"AAAAAH4/fec=")</f>
        <v>#REF!</v>
      </c>
      <c r="HY313" t="e">
        <f>AND(#REF!,"AAAAAH4/feg=")</f>
        <v>#REF!</v>
      </c>
      <c r="HZ313" t="e">
        <f>AND(#REF!,"AAAAAH4/fek=")</f>
        <v>#REF!</v>
      </c>
      <c r="IA313" t="e">
        <f>AND(#REF!,"AAAAAH4/feo=")</f>
        <v>#REF!</v>
      </c>
      <c r="IB313" t="e">
        <f>IF(#REF!,"AAAAAH4/fes=",0)</f>
        <v>#REF!</v>
      </c>
      <c r="IC313" t="e">
        <f>AND(#REF!,"AAAAAH4/few=")</f>
        <v>#REF!</v>
      </c>
      <c r="ID313" t="e">
        <f>AND(#REF!,"AAAAAH4/fe0=")</f>
        <v>#REF!</v>
      </c>
      <c r="IE313" t="e">
        <f>AND(#REF!,"AAAAAH4/fe4=")</f>
        <v>#REF!</v>
      </c>
      <c r="IF313" t="e">
        <f>AND(#REF!,"AAAAAH4/fe8=")</f>
        <v>#REF!</v>
      </c>
      <c r="IG313" t="e">
        <f>AND(#REF!,"AAAAAH4/ffA=")</f>
        <v>#REF!</v>
      </c>
      <c r="IH313" t="e">
        <f>AND(#REF!,"AAAAAH4/ffE=")</f>
        <v>#REF!</v>
      </c>
      <c r="II313" t="e">
        <f>AND(#REF!,"AAAAAH4/ffI=")</f>
        <v>#REF!</v>
      </c>
      <c r="IJ313" t="e">
        <f>AND(#REF!,"AAAAAH4/ffM=")</f>
        <v>#REF!</v>
      </c>
      <c r="IK313" t="e">
        <f>AND(#REF!,"AAAAAH4/ffQ=")</f>
        <v>#REF!</v>
      </c>
      <c r="IL313" t="e">
        <f>AND(#REF!,"AAAAAH4/ffU=")</f>
        <v>#REF!</v>
      </c>
      <c r="IM313" t="e">
        <f>AND(#REF!,"AAAAAH4/ffY=")</f>
        <v>#REF!</v>
      </c>
      <c r="IN313" t="e">
        <f>AND(#REF!,"AAAAAH4/ffc=")</f>
        <v>#REF!</v>
      </c>
      <c r="IO313" t="e">
        <f>AND(#REF!,"AAAAAH4/ffg=")</f>
        <v>#REF!</v>
      </c>
      <c r="IP313" t="e">
        <f>AND(#REF!,"AAAAAH4/ffk=")</f>
        <v>#REF!</v>
      </c>
      <c r="IQ313" t="e">
        <f>AND(#REF!,"AAAAAH4/ffo=")</f>
        <v>#REF!</v>
      </c>
      <c r="IR313" t="e">
        <f>AND(#REF!,"AAAAAH4/ffs=")</f>
        <v>#REF!</v>
      </c>
      <c r="IS313" t="e">
        <f>AND(#REF!,"AAAAAH4/ffw=")</f>
        <v>#REF!</v>
      </c>
      <c r="IT313" t="e">
        <f>AND(#REF!,"AAAAAH4/ff0=")</f>
        <v>#REF!</v>
      </c>
      <c r="IU313" t="e">
        <f>AND(#REF!,"AAAAAH4/ff4=")</f>
        <v>#REF!</v>
      </c>
      <c r="IV313" t="e">
        <f>AND(#REF!,"AAAAAH4/ff8=")</f>
        <v>#REF!</v>
      </c>
    </row>
    <row r="314" spans="1:256">
      <c r="A314" t="e">
        <f>AND(#REF!,"AAAAAGv8/wA=")</f>
        <v>#REF!</v>
      </c>
      <c r="B314" t="e">
        <f>AND(#REF!,"AAAAAGv8/wE=")</f>
        <v>#REF!</v>
      </c>
      <c r="C314" t="e">
        <f>AND(#REF!,"AAAAAGv8/wI=")</f>
        <v>#REF!</v>
      </c>
      <c r="D314" t="e">
        <f>AND(#REF!,"AAAAAGv8/wM=")</f>
        <v>#REF!</v>
      </c>
      <c r="E314" t="e">
        <f>AND(#REF!,"AAAAAGv8/wQ=")</f>
        <v>#REF!</v>
      </c>
      <c r="F314" t="e">
        <f>AND(#REF!,"AAAAAGv8/wU=")</f>
        <v>#REF!</v>
      </c>
      <c r="G314" t="e">
        <f>AND(#REF!,"AAAAAGv8/wY=")</f>
        <v>#REF!</v>
      </c>
      <c r="H314" t="e">
        <f>AND(#REF!,"AAAAAGv8/wc=")</f>
        <v>#REF!</v>
      </c>
      <c r="I314" t="e">
        <f>AND(#REF!,"AAAAAGv8/wg=")</f>
        <v>#REF!</v>
      </c>
      <c r="J314" t="e">
        <f>AND(#REF!,"AAAAAGv8/wk=")</f>
        <v>#REF!</v>
      </c>
      <c r="K314" t="e">
        <f>AND(#REF!,"AAAAAGv8/wo=")</f>
        <v>#REF!</v>
      </c>
      <c r="L314" t="e">
        <f>AND(#REF!,"AAAAAGv8/ws=")</f>
        <v>#REF!</v>
      </c>
      <c r="M314" t="e">
        <f>AND(#REF!,"AAAAAGv8/ww=")</f>
        <v>#REF!</v>
      </c>
      <c r="N314" t="e">
        <f>AND(#REF!,"AAAAAGv8/w0=")</f>
        <v>#REF!</v>
      </c>
      <c r="O314" t="e">
        <f>AND(#REF!,"AAAAAGv8/w4=")</f>
        <v>#REF!</v>
      </c>
      <c r="P314" t="e">
        <f>AND(#REF!,"AAAAAGv8/w8=")</f>
        <v>#REF!</v>
      </c>
      <c r="Q314" t="e">
        <f>AND(#REF!,"AAAAAGv8/xA=")</f>
        <v>#REF!</v>
      </c>
      <c r="R314" t="e">
        <f>AND(#REF!,"AAAAAGv8/xE=")</f>
        <v>#REF!</v>
      </c>
      <c r="S314" t="e">
        <f>AND(#REF!,"AAAAAGv8/xI=")</f>
        <v>#REF!</v>
      </c>
      <c r="T314" t="e">
        <f>AND(#REF!,"AAAAAGv8/xM=")</f>
        <v>#REF!</v>
      </c>
      <c r="U314" t="e">
        <f>AND(#REF!,"AAAAAGv8/xQ=")</f>
        <v>#REF!</v>
      </c>
      <c r="V314" t="e">
        <f>AND(#REF!,"AAAAAGv8/xU=")</f>
        <v>#REF!</v>
      </c>
      <c r="W314" t="e">
        <f>AND(#REF!,"AAAAAGv8/xY=")</f>
        <v>#REF!</v>
      </c>
      <c r="X314" t="e">
        <f>AND(#REF!,"AAAAAGv8/xc=")</f>
        <v>#REF!</v>
      </c>
      <c r="Y314" t="e">
        <f>AND(#REF!,"AAAAAGv8/xg=")</f>
        <v>#REF!</v>
      </c>
      <c r="Z314" t="e">
        <f>AND(#REF!,"AAAAAGv8/xk=")</f>
        <v>#REF!</v>
      </c>
      <c r="AA314" t="e">
        <f>AND(#REF!,"AAAAAGv8/xo=")</f>
        <v>#REF!</v>
      </c>
      <c r="AB314" t="e">
        <f>AND(#REF!,"AAAAAGv8/xs=")</f>
        <v>#REF!</v>
      </c>
      <c r="AC314" t="e">
        <f>AND(#REF!,"AAAAAGv8/xw=")</f>
        <v>#REF!</v>
      </c>
      <c r="AD314" t="e">
        <f>AND(#REF!,"AAAAAGv8/x0=")</f>
        <v>#REF!</v>
      </c>
      <c r="AE314" t="e">
        <f>AND(#REF!,"AAAAAGv8/x4=")</f>
        <v>#REF!</v>
      </c>
      <c r="AF314" t="e">
        <f>IF(#REF!,"AAAAAGv8/x8=",0)</f>
        <v>#REF!</v>
      </c>
      <c r="AG314" t="e">
        <f>AND(#REF!,"AAAAAGv8/yA=")</f>
        <v>#REF!</v>
      </c>
      <c r="AH314" t="e">
        <f>AND(#REF!,"AAAAAGv8/yE=")</f>
        <v>#REF!</v>
      </c>
      <c r="AI314" t="e">
        <f>AND(#REF!,"AAAAAGv8/yI=")</f>
        <v>#REF!</v>
      </c>
      <c r="AJ314" t="e">
        <f>AND(#REF!,"AAAAAGv8/yM=")</f>
        <v>#REF!</v>
      </c>
      <c r="AK314" t="e">
        <f>AND(#REF!,"AAAAAGv8/yQ=")</f>
        <v>#REF!</v>
      </c>
      <c r="AL314" t="e">
        <f>AND(#REF!,"AAAAAGv8/yU=")</f>
        <v>#REF!</v>
      </c>
      <c r="AM314" t="e">
        <f>AND(#REF!,"AAAAAGv8/yY=")</f>
        <v>#REF!</v>
      </c>
      <c r="AN314" t="e">
        <f>AND(#REF!,"AAAAAGv8/yc=")</f>
        <v>#REF!</v>
      </c>
      <c r="AO314" t="e">
        <f>AND(#REF!,"AAAAAGv8/yg=")</f>
        <v>#REF!</v>
      </c>
      <c r="AP314" t="e">
        <f>AND(#REF!,"AAAAAGv8/yk=")</f>
        <v>#REF!</v>
      </c>
      <c r="AQ314" t="e">
        <f>AND(#REF!,"AAAAAGv8/yo=")</f>
        <v>#REF!</v>
      </c>
      <c r="AR314" t="e">
        <f>AND(#REF!,"AAAAAGv8/ys=")</f>
        <v>#REF!</v>
      </c>
      <c r="AS314" t="e">
        <f>AND(#REF!,"AAAAAGv8/yw=")</f>
        <v>#REF!</v>
      </c>
      <c r="AT314" t="e">
        <f>AND(#REF!,"AAAAAGv8/y0=")</f>
        <v>#REF!</v>
      </c>
      <c r="AU314" t="e">
        <f>AND(#REF!,"AAAAAGv8/y4=")</f>
        <v>#REF!</v>
      </c>
      <c r="AV314" t="e">
        <f>AND(#REF!,"AAAAAGv8/y8=")</f>
        <v>#REF!</v>
      </c>
      <c r="AW314" t="e">
        <f>AND(#REF!,"AAAAAGv8/zA=")</f>
        <v>#REF!</v>
      </c>
      <c r="AX314" t="e">
        <f>AND(#REF!,"AAAAAGv8/zE=")</f>
        <v>#REF!</v>
      </c>
      <c r="AY314" t="e">
        <f>AND(#REF!,"AAAAAGv8/zI=")</f>
        <v>#REF!</v>
      </c>
      <c r="AZ314" t="e">
        <f>AND(#REF!,"AAAAAGv8/zM=")</f>
        <v>#REF!</v>
      </c>
      <c r="BA314" t="e">
        <f>AND(#REF!,"AAAAAGv8/zQ=")</f>
        <v>#REF!</v>
      </c>
      <c r="BB314" t="e">
        <f>AND(#REF!,"AAAAAGv8/zU=")</f>
        <v>#REF!</v>
      </c>
      <c r="BC314" t="e">
        <f>AND(#REF!,"AAAAAGv8/zY=")</f>
        <v>#REF!</v>
      </c>
      <c r="BD314" t="e">
        <f>AND(#REF!,"AAAAAGv8/zc=")</f>
        <v>#REF!</v>
      </c>
      <c r="BE314" t="e">
        <f>AND(#REF!,"AAAAAGv8/zg=")</f>
        <v>#REF!</v>
      </c>
      <c r="BF314" t="e">
        <f>AND(#REF!,"AAAAAGv8/zk=")</f>
        <v>#REF!</v>
      </c>
      <c r="BG314" t="e">
        <f>AND(#REF!,"AAAAAGv8/zo=")</f>
        <v>#REF!</v>
      </c>
      <c r="BH314" t="e">
        <f>AND(#REF!,"AAAAAGv8/zs=")</f>
        <v>#REF!</v>
      </c>
      <c r="BI314" t="e">
        <f>AND(#REF!,"AAAAAGv8/zw=")</f>
        <v>#REF!</v>
      </c>
      <c r="BJ314" t="e">
        <f>AND(#REF!,"AAAAAGv8/z0=")</f>
        <v>#REF!</v>
      </c>
      <c r="BK314" t="e">
        <f>AND(#REF!,"AAAAAGv8/z4=")</f>
        <v>#REF!</v>
      </c>
      <c r="BL314" t="e">
        <f>AND(#REF!,"AAAAAGv8/z8=")</f>
        <v>#REF!</v>
      </c>
      <c r="BM314" t="e">
        <f>AND(#REF!,"AAAAAGv8/0A=")</f>
        <v>#REF!</v>
      </c>
      <c r="BN314" t="e">
        <f>AND(#REF!,"AAAAAGv8/0E=")</f>
        <v>#REF!</v>
      </c>
      <c r="BO314" t="e">
        <f>AND(#REF!,"AAAAAGv8/0I=")</f>
        <v>#REF!</v>
      </c>
      <c r="BP314" t="e">
        <f>AND(#REF!,"AAAAAGv8/0M=")</f>
        <v>#REF!</v>
      </c>
      <c r="BQ314" t="e">
        <f>AND(#REF!,"AAAAAGv8/0Q=")</f>
        <v>#REF!</v>
      </c>
      <c r="BR314" t="e">
        <f>AND(#REF!,"AAAAAGv8/0U=")</f>
        <v>#REF!</v>
      </c>
      <c r="BS314" t="e">
        <f>AND(#REF!,"AAAAAGv8/0Y=")</f>
        <v>#REF!</v>
      </c>
      <c r="BT314" t="e">
        <f>AND(#REF!,"AAAAAGv8/0c=")</f>
        <v>#REF!</v>
      </c>
      <c r="BU314" t="e">
        <f>AND(#REF!,"AAAAAGv8/0g=")</f>
        <v>#REF!</v>
      </c>
      <c r="BV314" t="e">
        <f>AND(#REF!,"AAAAAGv8/0k=")</f>
        <v>#REF!</v>
      </c>
      <c r="BW314" t="e">
        <f>AND(#REF!,"AAAAAGv8/0o=")</f>
        <v>#REF!</v>
      </c>
      <c r="BX314" t="e">
        <f>AND(#REF!,"AAAAAGv8/0s=")</f>
        <v>#REF!</v>
      </c>
      <c r="BY314" t="e">
        <f>AND(#REF!,"AAAAAGv8/0w=")</f>
        <v>#REF!</v>
      </c>
      <c r="BZ314" t="e">
        <f>AND(#REF!,"AAAAAGv8/00=")</f>
        <v>#REF!</v>
      </c>
      <c r="CA314" t="e">
        <f>AND(#REF!,"AAAAAGv8/04=")</f>
        <v>#REF!</v>
      </c>
      <c r="CB314" t="e">
        <f>AND(#REF!,"AAAAAGv8/08=")</f>
        <v>#REF!</v>
      </c>
      <c r="CC314" t="e">
        <f>AND(#REF!,"AAAAAGv8/1A=")</f>
        <v>#REF!</v>
      </c>
      <c r="CD314" t="e">
        <f>AND(#REF!,"AAAAAGv8/1E=")</f>
        <v>#REF!</v>
      </c>
      <c r="CE314" t="e">
        <f>AND(#REF!,"AAAAAGv8/1I=")</f>
        <v>#REF!</v>
      </c>
      <c r="CF314" t="e">
        <f>IF(#REF!,"AAAAAGv8/1M=",0)</f>
        <v>#REF!</v>
      </c>
      <c r="CG314" t="e">
        <f>AND(#REF!,"AAAAAGv8/1Q=")</f>
        <v>#REF!</v>
      </c>
      <c r="CH314" t="e">
        <f>AND(#REF!,"AAAAAGv8/1U=")</f>
        <v>#REF!</v>
      </c>
      <c r="CI314" t="e">
        <f>AND(#REF!,"AAAAAGv8/1Y=")</f>
        <v>#REF!</v>
      </c>
      <c r="CJ314" t="e">
        <f>AND(#REF!,"AAAAAGv8/1c=")</f>
        <v>#REF!</v>
      </c>
      <c r="CK314" t="e">
        <f>AND(#REF!,"AAAAAGv8/1g=")</f>
        <v>#REF!</v>
      </c>
      <c r="CL314" t="e">
        <f>AND(#REF!,"AAAAAGv8/1k=")</f>
        <v>#REF!</v>
      </c>
      <c r="CM314" t="e">
        <f>AND(#REF!,"AAAAAGv8/1o=")</f>
        <v>#REF!</v>
      </c>
      <c r="CN314" t="e">
        <f>AND(#REF!,"AAAAAGv8/1s=")</f>
        <v>#REF!</v>
      </c>
      <c r="CO314" t="e">
        <f>AND(#REF!,"AAAAAGv8/1w=")</f>
        <v>#REF!</v>
      </c>
      <c r="CP314" t="e">
        <f>AND(#REF!,"AAAAAGv8/10=")</f>
        <v>#REF!</v>
      </c>
      <c r="CQ314" t="e">
        <f>AND(#REF!,"AAAAAGv8/14=")</f>
        <v>#REF!</v>
      </c>
      <c r="CR314" t="e">
        <f>AND(#REF!,"AAAAAGv8/18=")</f>
        <v>#REF!</v>
      </c>
      <c r="CS314" t="e">
        <f>AND(#REF!,"AAAAAGv8/2A=")</f>
        <v>#REF!</v>
      </c>
      <c r="CT314" t="e">
        <f>AND(#REF!,"AAAAAGv8/2E=")</f>
        <v>#REF!</v>
      </c>
      <c r="CU314" t="e">
        <f>AND(#REF!,"AAAAAGv8/2I=")</f>
        <v>#REF!</v>
      </c>
      <c r="CV314" t="e">
        <f>AND(#REF!,"AAAAAGv8/2M=")</f>
        <v>#REF!</v>
      </c>
      <c r="CW314" t="e">
        <f>AND(#REF!,"AAAAAGv8/2Q=")</f>
        <v>#REF!</v>
      </c>
      <c r="CX314" t="e">
        <f>AND(#REF!,"AAAAAGv8/2U=")</f>
        <v>#REF!</v>
      </c>
      <c r="CY314" t="e">
        <f>AND(#REF!,"AAAAAGv8/2Y=")</f>
        <v>#REF!</v>
      </c>
      <c r="CZ314" t="e">
        <f>AND(#REF!,"AAAAAGv8/2c=")</f>
        <v>#REF!</v>
      </c>
      <c r="DA314" t="e">
        <f>AND(#REF!,"AAAAAGv8/2g=")</f>
        <v>#REF!</v>
      </c>
      <c r="DB314" t="e">
        <f>AND(#REF!,"AAAAAGv8/2k=")</f>
        <v>#REF!</v>
      </c>
      <c r="DC314" t="e">
        <f>AND(#REF!,"AAAAAGv8/2o=")</f>
        <v>#REF!</v>
      </c>
      <c r="DD314" t="e">
        <f>AND(#REF!,"AAAAAGv8/2s=")</f>
        <v>#REF!</v>
      </c>
      <c r="DE314" t="e">
        <f>AND(#REF!,"AAAAAGv8/2w=")</f>
        <v>#REF!</v>
      </c>
      <c r="DF314" t="e">
        <f>AND(#REF!,"AAAAAGv8/20=")</f>
        <v>#REF!</v>
      </c>
      <c r="DG314" t="e">
        <f>AND(#REF!,"AAAAAGv8/24=")</f>
        <v>#REF!</v>
      </c>
      <c r="DH314" t="e">
        <f>AND(#REF!,"AAAAAGv8/28=")</f>
        <v>#REF!</v>
      </c>
      <c r="DI314" t="e">
        <f>AND(#REF!,"AAAAAGv8/3A=")</f>
        <v>#REF!</v>
      </c>
      <c r="DJ314" t="e">
        <f>AND(#REF!,"AAAAAGv8/3E=")</f>
        <v>#REF!</v>
      </c>
      <c r="DK314" t="e">
        <f>AND(#REF!,"AAAAAGv8/3I=")</f>
        <v>#REF!</v>
      </c>
      <c r="DL314" t="e">
        <f>AND(#REF!,"AAAAAGv8/3M=")</f>
        <v>#REF!</v>
      </c>
      <c r="DM314" t="e">
        <f>AND(#REF!,"AAAAAGv8/3Q=")</f>
        <v>#REF!</v>
      </c>
      <c r="DN314" t="e">
        <f>AND(#REF!,"AAAAAGv8/3U=")</f>
        <v>#REF!</v>
      </c>
      <c r="DO314" t="e">
        <f>AND(#REF!,"AAAAAGv8/3Y=")</f>
        <v>#REF!</v>
      </c>
      <c r="DP314" t="e">
        <f>AND(#REF!,"AAAAAGv8/3c=")</f>
        <v>#REF!</v>
      </c>
      <c r="DQ314" t="e">
        <f>AND(#REF!,"AAAAAGv8/3g=")</f>
        <v>#REF!</v>
      </c>
      <c r="DR314" t="e">
        <f>AND(#REF!,"AAAAAGv8/3k=")</f>
        <v>#REF!</v>
      </c>
      <c r="DS314" t="e">
        <f>AND(#REF!,"AAAAAGv8/3o=")</f>
        <v>#REF!</v>
      </c>
      <c r="DT314" t="e">
        <f>AND(#REF!,"AAAAAGv8/3s=")</f>
        <v>#REF!</v>
      </c>
      <c r="DU314" t="e">
        <f>AND(#REF!,"AAAAAGv8/3w=")</f>
        <v>#REF!</v>
      </c>
      <c r="DV314" t="e">
        <f>AND(#REF!,"AAAAAGv8/30=")</f>
        <v>#REF!</v>
      </c>
      <c r="DW314" t="e">
        <f>AND(#REF!,"AAAAAGv8/34=")</f>
        <v>#REF!</v>
      </c>
      <c r="DX314" t="e">
        <f>AND(#REF!,"AAAAAGv8/38=")</f>
        <v>#REF!</v>
      </c>
      <c r="DY314" t="e">
        <f>AND(#REF!,"AAAAAGv8/4A=")</f>
        <v>#REF!</v>
      </c>
      <c r="DZ314" t="e">
        <f>AND(#REF!,"AAAAAGv8/4E=")</f>
        <v>#REF!</v>
      </c>
      <c r="EA314" t="e">
        <f>AND(#REF!,"AAAAAGv8/4I=")</f>
        <v>#REF!</v>
      </c>
      <c r="EB314" t="e">
        <f>AND(#REF!,"AAAAAGv8/4M=")</f>
        <v>#REF!</v>
      </c>
      <c r="EC314" t="e">
        <f>AND(#REF!,"AAAAAGv8/4Q=")</f>
        <v>#REF!</v>
      </c>
      <c r="ED314" t="e">
        <f>AND(#REF!,"AAAAAGv8/4U=")</f>
        <v>#REF!</v>
      </c>
      <c r="EE314" t="e">
        <f>AND(#REF!,"AAAAAGv8/4Y=")</f>
        <v>#REF!</v>
      </c>
      <c r="EF314" t="e">
        <f>IF(#REF!,"AAAAAGv8/4c=",0)</f>
        <v>#REF!</v>
      </c>
      <c r="EG314" t="e">
        <f>AND(#REF!,"AAAAAGv8/4g=")</f>
        <v>#REF!</v>
      </c>
      <c r="EH314" t="e">
        <f>AND(#REF!,"AAAAAGv8/4k=")</f>
        <v>#REF!</v>
      </c>
      <c r="EI314" t="e">
        <f>AND(#REF!,"AAAAAGv8/4o=")</f>
        <v>#REF!</v>
      </c>
      <c r="EJ314" t="e">
        <f>AND(#REF!,"AAAAAGv8/4s=")</f>
        <v>#REF!</v>
      </c>
      <c r="EK314" t="e">
        <f>AND(#REF!,"AAAAAGv8/4w=")</f>
        <v>#REF!</v>
      </c>
      <c r="EL314" t="e">
        <f>AND(#REF!,"AAAAAGv8/40=")</f>
        <v>#REF!</v>
      </c>
      <c r="EM314" t="e">
        <f>AND(#REF!,"AAAAAGv8/44=")</f>
        <v>#REF!</v>
      </c>
      <c r="EN314" t="e">
        <f>AND(#REF!,"AAAAAGv8/48=")</f>
        <v>#REF!</v>
      </c>
      <c r="EO314" t="e">
        <f>AND(#REF!,"AAAAAGv8/5A=")</f>
        <v>#REF!</v>
      </c>
      <c r="EP314" t="e">
        <f>AND(#REF!,"AAAAAGv8/5E=")</f>
        <v>#REF!</v>
      </c>
      <c r="EQ314" t="e">
        <f>AND(#REF!,"AAAAAGv8/5I=")</f>
        <v>#REF!</v>
      </c>
      <c r="ER314" t="e">
        <f>AND(#REF!,"AAAAAGv8/5M=")</f>
        <v>#REF!</v>
      </c>
      <c r="ES314" t="e">
        <f>AND(#REF!,"AAAAAGv8/5Q=")</f>
        <v>#REF!</v>
      </c>
      <c r="ET314" t="e">
        <f>AND(#REF!,"AAAAAGv8/5U=")</f>
        <v>#REF!</v>
      </c>
      <c r="EU314" t="e">
        <f>AND(#REF!,"AAAAAGv8/5Y=")</f>
        <v>#REF!</v>
      </c>
      <c r="EV314" t="e">
        <f>AND(#REF!,"AAAAAGv8/5c=")</f>
        <v>#REF!</v>
      </c>
      <c r="EW314" t="e">
        <f>AND(#REF!,"AAAAAGv8/5g=")</f>
        <v>#REF!</v>
      </c>
      <c r="EX314" t="e">
        <f>AND(#REF!,"AAAAAGv8/5k=")</f>
        <v>#REF!</v>
      </c>
      <c r="EY314" t="e">
        <f>AND(#REF!,"AAAAAGv8/5o=")</f>
        <v>#REF!</v>
      </c>
      <c r="EZ314" t="e">
        <f>AND(#REF!,"AAAAAGv8/5s=")</f>
        <v>#REF!</v>
      </c>
      <c r="FA314" t="e">
        <f>AND(#REF!,"AAAAAGv8/5w=")</f>
        <v>#REF!</v>
      </c>
      <c r="FB314" t="e">
        <f>AND(#REF!,"AAAAAGv8/50=")</f>
        <v>#REF!</v>
      </c>
      <c r="FC314" t="e">
        <f>AND(#REF!,"AAAAAGv8/54=")</f>
        <v>#REF!</v>
      </c>
      <c r="FD314" t="e">
        <f>AND(#REF!,"AAAAAGv8/58=")</f>
        <v>#REF!</v>
      </c>
      <c r="FE314" t="e">
        <f>AND(#REF!,"AAAAAGv8/6A=")</f>
        <v>#REF!</v>
      </c>
      <c r="FF314" t="e">
        <f>AND(#REF!,"AAAAAGv8/6E=")</f>
        <v>#REF!</v>
      </c>
      <c r="FG314" t="e">
        <f>AND(#REF!,"AAAAAGv8/6I=")</f>
        <v>#REF!</v>
      </c>
      <c r="FH314" t="e">
        <f>AND(#REF!,"AAAAAGv8/6M=")</f>
        <v>#REF!</v>
      </c>
      <c r="FI314" t="e">
        <f>AND(#REF!,"AAAAAGv8/6Q=")</f>
        <v>#REF!</v>
      </c>
      <c r="FJ314" t="e">
        <f>AND(#REF!,"AAAAAGv8/6U=")</f>
        <v>#REF!</v>
      </c>
      <c r="FK314" t="e">
        <f>AND(#REF!,"AAAAAGv8/6Y=")</f>
        <v>#REF!</v>
      </c>
      <c r="FL314" t="e">
        <f>AND(#REF!,"AAAAAGv8/6c=")</f>
        <v>#REF!</v>
      </c>
      <c r="FM314" t="e">
        <f>AND(#REF!,"AAAAAGv8/6g=")</f>
        <v>#REF!</v>
      </c>
      <c r="FN314" t="e">
        <f>AND(#REF!,"AAAAAGv8/6k=")</f>
        <v>#REF!</v>
      </c>
      <c r="FO314" t="e">
        <f>AND(#REF!,"AAAAAGv8/6o=")</f>
        <v>#REF!</v>
      </c>
      <c r="FP314" t="e">
        <f>AND(#REF!,"AAAAAGv8/6s=")</f>
        <v>#REF!</v>
      </c>
      <c r="FQ314" t="e">
        <f>AND(#REF!,"AAAAAGv8/6w=")</f>
        <v>#REF!</v>
      </c>
      <c r="FR314" t="e">
        <f>AND(#REF!,"AAAAAGv8/60=")</f>
        <v>#REF!</v>
      </c>
      <c r="FS314" t="e">
        <f>AND(#REF!,"AAAAAGv8/64=")</f>
        <v>#REF!</v>
      </c>
      <c r="FT314" t="e">
        <f>AND(#REF!,"AAAAAGv8/68=")</f>
        <v>#REF!</v>
      </c>
      <c r="FU314" t="e">
        <f>AND(#REF!,"AAAAAGv8/7A=")</f>
        <v>#REF!</v>
      </c>
      <c r="FV314" t="e">
        <f>AND(#REF!,"AAAAAGv8/7E=")</f>
        <v>#REF!</v>
      </c>
      <c r="FW314" t="e">
        <f>AND(#REF!,"AAAAAGv8/7I=")</f>
        <v>#REF!</v>
      </c>
      <c r="FX314" t="e">
        <f>AND(#REF!,"AAAAAGv8/7M=")</f>
        <v>#REF!</v>
      </c>
      <c r="FY314" t="e">
        <f>AND(#REF!,"AAAAAGv8/7Q=")</f>
        <v>#REF!</v>
      </c>
      <c r="FZ314" t="e">
        <f>AND(#REF!,"AAAAAGv8/7U=")</f>
        <v>#REF!</v>
      </c>
      <c r="GA314" t="e">
        <f>AND(#REF!,"AAAAAGv8/7Y=")</f>
        <v>#REF!</v>
      </c>
      <c r="GB314" t="e">
        <f>AND(#REF!,"AAAAAGv8/7c=")</f>
        <v>#REF!</v>
      </c>
      <c r="GC314" t="e">
        <f>AND(#REF!,"AAAAAGv8/7g=")</f>
        <v>#REF!</v>
      </c>
      <c r="GD314" t="e">
        <f>AND(#REF!,"AAAAAGv8/7k=")</f>
        <v>#REF!</v>
      </c>
      <c r="GE314" t="e">
        <f>AND(#REF!,"AAAAAGv8/7o=")</f>
        <v>#REF!</v>
      </c>
      <c r="GF314" t="e">
        <f>IF(#REF!,"AAAAAGv8/7s=",0)</f>
        <v>#REF!</v>
      </c>
      <c r="GG314" t="e">
        <f>AND(#REF!,"AAAAAGv8/7w=")</f>
        <v>#REF!</v>
      </c>
      <c r="GH314" t="e">
        <f>AND(#REF!,"AAAAAGv8/70=")</f>
        <v>#REF!</v>
      </c>
      <c r="GI314" t="e">
        <f>AND(#REF!,"AAAAAGv8/74=")</f>
        <v>#REF!</v>
      </c>
      <c r="GJ314" t="e">
        <f>AND(#REF!,"AAAAAGv8/78=")</f>
        <v>#REF!</v>
      </c>
      <c r="GK314" t="e">
        <f>AND(#REF!,"AAAAAGv8/8A=")</f>
        <v>#REF!</v>
      </c>
      <c r="GL314" t="e">
        <f>AND(#REF!,"AAAAAGv8/8E=")</f>
        <v>#REF!</v>
      </c>
      <c r="GM314" t="e">
        <f>AND(#REF!,"AAAAAGv8/8I=")</f>
        <v>#REF!</v>
      </c>
      <c r="GN314" t="e">
        <f>AND(#REF!,"AAAAAGv8/8M=")</f>
        <v>#REF!</v>
      </c>
      <c r="GO314" t="e">
        <f>AND(#REF!,"AAAAAGv8/8Q=")</f>
        <v>#REF!</v>
      </c>
      <c r="GP314" t="e">
        <f>AND(#REF!,"AAAAAGv8/8U=")</f>
        <v>#REF!</v>
      </c>
      <c r="GQ314" t="e">
        <f>AND(#REF!,"AAAAAGv8/8Y=")</f>
        <v>#REF!</v>
      </c>
      <c r="GR314" t="e">
        <f>AND(#REF!,"AAAAAGv8/8c=")</f>
        <v>#REF!</v>
      </c>
      <c r="GS314" t="e">
        <f>AND(#REF!,"AAAAAGv8/8g=")</f>
        <v>#REF!</v>
      </c>
      <c r="GT314" t="e">
        <f>AND(#REF!,"AAAAAGv8/8k=")</f>
        <v>#REF!</v>
      </c>
      <c r="GU314" t="e">
        <f>AND(#REF!,"AAAAAGv8/8o=")</f>
        <v>#REF!</v>
      </c>
      <c r="GV314" t="e">
        <f>AND(#REF!,"AAAAAGv8/8s=")</f>
        <v>#REF!</v>
      </c>
      <c r="GW314" t="e">
        <f>AND(#REF!,"AAAAAGv8/8w=")</f>
        <v>#REF!</v>
      </c>
      <c r="GX314" t="e">
        <f>AND(#REF!,"AAAAAGv8/80=")</f>
        <v>#REF!</v>
      </c>
      <c r="GY314" t="e">
        <f>AND(#REF!,"AAAAAGv8/84=")</f>
        <v>#REF!</v>
      </c>
      <c r="GZ314" t="e">
        <f>AND(#REF!,"AAAAAGv8/88=")</f>
        <v>#REF!</v>
      </c>
      <c r="HA314" t="e">
        <f>AND(#REF!,"AAAAAGv8/9A=")</f>
        <v>#REF!</v>
      </c>
      <c r="HB314" t="e">
        <f>AND(#REF!,"AAAAAGv8/9E=")</f>
        <v>#REF!</v>
      </c>
      <c r="HC314" t="e">
        <f>AND(#REF!,"AAAAAGv8/9I=")</f>
        <v>#REF!</v>
      </c>
      <c r="HD314" t="e">
        <f>AND(#REF!,"AAAAAGv8/9M=")</f>
        <v>#REF!</v>
      </c>
      <c r="HE314" t="e">
        <f>AND(#REF!,"AAAAAGv8/9Q=")</f>
        <v>#REF!</v>
      </c>
      <c r="HF314" t="e">
        <f>AND(#REF!,"AAAAAGv8/9U=")</f>
        <v>#REF!</v>
      </c>
      <c r="HG314" t="e">
        <f>AND(#REF!,"AAAAAGv8/9Y=")</f>
        <v>#REF!</v>
      </c>
      <c r="HH314" t="e">
        <f>AND(#REF!,"AAAAAGv8/9c=")</f>
        <v>#REF!</v>
      </c>
      <c r="HI314" t="e">
        <f>AND(#REF!,"AAAAAGv8/9g=")</f>
        <v>#REF!</v>
      </c>
      <c r="HJ314" t="e">
        <f>AND(#REF!,"AAAAAGv8/9k=")</f>
        <v>#REF!</v>
      </c>
      <c r="HK314" t="e">
        <f>AND(#REF!,"AAAAAGv8/9o=")</f>
        <v>#REF!</v>
      </c>
      <c r="HL314" t="e">
        <f>AND(#REF!,"AAAAAGv8/9s=")</f>
        <v>#REF!</v>
      </c>
      <c r="HM314" t="e">
        <f>AND(#REF!,"AAAAAGv8/9w=")</f>
        <v>#REF!</v>
      </c>
      <c r="HN314" t="e">
        <f>AND(#REF!,"AAAAAGv8/90=")</f>
        <v>#REF!</v>
      </c>
      <c r="HO314" t="e">
        <f>AND(#REF!,"AAAAAGv8/94=")</f>
        <v>#REF!</v>
      </c>
      <c r="HP314" t="e">
        <f>AND(#REF!,"AAAAAGv8/98=")</f>
        <v>#REF!</v>
      </c>
      <c r="HQ314" t="e">
        <f>AND(#REF!,"AAAAAGv8/+A=")</f>
        <v>#REF!</v>
      </c>
      <c r="HR314" t="e">
        <f>AND(#REF!,"AAAAAGv8/+E=")</f>
        <v>#REF!</v>
      </c>
      <c r="HS314" t="e">
        <f>AND(#REF!,"AAAAAGv8/+I=")</f>
        <v>#REF!</v>
      </c>
      <c r="HT314" t="e">
        <f>AND(#REF!,"AAAAAGv8/+M=")</f>
        <v>#REF!</v>
      </c>
      <c r="HU314" t="e">
        <f>AND(#REF!,"AAAAAGv8/+Q=")</f>
        <v>#REF!</v>
      </c>
      <c r="HV314" t="e">
        <f>AND(#REF!,"AAAAAGv8/+U=")</f>
        <v>#REF!</v>
      </c>
      <c r="HW314" t="e">
        <f>AND(#REF!,"AAAAAGv8/+Y=")</f>
        <v>#REF!</v>
      </c>
      <c r="HX314" t="e">
        <f>AND(#REF!,"AAAAAGv8/+c=")</f>
        <v>#REF!</v>
      </c>
      <c r="HY314" t="e">
        <f>AND(#REF!,"AAAAAGv8/+g=")</f>
        <v>#REF!</v>
      </c>
      <c r="HZ314" t="e">
        <f>AND(#REF!,"AAAAAGv8/+k=")</f>
        <v>#REF!</v>
      </c>
      <c r="IA314" t="e">
        <f>AND(#REF!,"AAAAAGv8/+o=")</f>
        <v>#REF!</v>
      </c>
      <c r="IB314" t="e">
        <f>AND(#REF!,"AAAAAGv8/+s=")</f>
        <v>#REF!</v>
      </c>
      <c r="IC314" t="e">
        <f>AND(#REF!,"AAAAAGv8/+w=")</f>
        <v>#REF!</v>
      </c>
      <c r="ID314" t="e">
        <f>AND(#REF!,"AAAAAGv8/+0=")</f>
        <v>#REF!</v>
      </c>
      <c r="IE314" t="e">
        <f>AND(#REF!,"AAAAAGv8/+4=")</f>
        <v>#REF!</v>
      </c>
      <c r="IF314" t="e">
        <f>IF(#REF!,"AAAAAGv8/+8=",0)</f>
        <v>#REF!</v>
      </c>
      <c r="IG314" t="e">
        <f>AND(#REF!,"AAAAAGv8//A=")</f>
        <v>#REF!</v>
      </c>
      <c r="IH314" t="e">
        <f>AND(#REF!,"AAAAAGv8//E=")</f>
        <v>#REF!</v>
      </c>
      <c r="II314" t="e">
        <f>AND(#REF!,"AAAAAGv8//I=")</f>
        <v>#REF!</v>
      </c>
      <c r="IJ314" t="e">
        <f>AND(#REF!,"AAAAAGv8//M=")</f>
        <v>#REF!</v>
      </c>
      <c r="IK314" t="e">
        <f>AND(#REF!,"AAAAAGv8//Q=")</f>
        <v>#REF!</v>
      </c>
      <c r="IL314" t="e">
        <f>AND(#REF!,"AAAAAGv8//U=")</f>
        <v>#REF!</v>
      </c>
      <c r="IM314" t="e">
        <f>AND(#REF!,"AAAAAGv8//Y=")</f>
        <v>#REF!</v>
      </c>
      <c r="IN314" t="e">
        <f>AND(#REF!,"AAAAAGv8//c=")</f>
        <v>#REF!</v>
      </c>
      <c r="IO314" t="e">
        <f>AND(#REF!,"AAAAAGv8//g=")</f>
        <v>#REF!</v>
      </c>
      <c r="IP314" t="e">
        <f>AND(#REF!,"AAAAAGv8//k=")</f>
        <v>#REF!</v>
      </c>
      <c r="IQ314" t="e">
        <f>AND(#REF!,"AAAAAGv8//o=")</f>
        <v>#REF!</v>
      </c>
      <c r="IR314" t="e">
        <f>AND(#REF!,"AAAAAGv8//s=")</f>
        <v>#REF!</v>
      </c>
      <c r="IS314" t="e">
        <f>AND(#REF!,"AAAAAGv8//w=")</f>
        <v>#REF!</v>
      </c>
      <c r="IT314" t="e">
        <f>AND(#REF!,"AAAAAGv8//0=")</f>
        <v>#REF!</v>
      </c>
      <c r="IU314" t="e">
        <f>AND(#REF!,"AAAAAGv8//4=")</f>
        <v>#REF!</v>
      </c>
      <c r="IV314" t="e">
        <f>AND(#REF!,"AAAAAGv8//8=")</f>
        <v>#REF!</v>
      </c>
    </row>
    <row r="315" spans="1:256">
      <c r="A315" t="e">
        <f>AND(#REF!,"AAAAAG6yiAA=")</f>
        <v>#REF!</v>
      </c>
      <c r="B315" t="e">
        <f>AND(#REF!,"AAAAAG6yiAE=")</f>
        <v>#REF!</v>
      </c>
      <c r="C315" t="e">
        <f>AND(#REF!,"AAAAAG6yiAI=")</f>
        <v>#REF!</v>
      </c>
      <c r="D315" t="e">
        <f>AND(#REF!,"AAAAAG6yiAM=")</f>
        <v>#REF!</v>
      </c>
      <c r="E315" t="e">
        <f>AND(#REF!,"AAAAAG6yiAQ=")</f>
        <v>#REF!</v>
      </c>
      <c r="F315" t="e">
        <f>AND(#REF!,"AAAAAG6yiAU=")</f>
        <v>#REF!</v>
      </c>
      <c r="G315" t="e">
        <f>AND(#REF!,"AAAAAG6yiAY=")</f>
        <v>#REF!</v>
      </c>
      <c r="H315" t="e">
        <f>AND(#REF!,"AAAAAG6yiAc=")</f>
        <v>#REF!</v>
      </c>
      <c r="I315" t="e">
        <f>AND(#REF!,"AAAAAG6yiAg=")</f>
        <v>#REF!</v>
      </c>
      <c r="J315" t="e">
        <f>AND(#REF!,"AAAAAG6yiAk=")</f>
        <v>#REF!</v>
      </c>
      <c r="K315" t="e">
        <f>AND(#REF!,"AAAAAG6yiAo=")</f>
        <v>#REF!</v>
      </c>
      <c r="L315" t="e">
        <f>AND(#REF!,"AAAAAG6yiAs=")</f>
        <v>#REF!</v>
      </c>
      <c r="M315" t="e">
        <f>AND(#REF!,"AAAAAG6yiAw=")</f>
        <v>#REF!</v>
      </c>
      <c r="N315" t="e">
        <f>AND(#REF!,"AAAAAG6yiA0=")</f>
        <v>#REF!</v>
      </c>
      <c r="O315" t="e">
        <f>AND(#REF!,"AAAAAG6yiA4=")</f>
        <v>#REF!</v>
      </c>
      <c r="P315" t="e">
        <f>AND(#REF!,"AAAAAG6yiA8=")</f>
        <v>#REF!</v>
      </c>
      <c r="Q315" t="e">
        <f>AND(#REF!,"AAAAAG6yiBA=")</f>
        <v>#REF!</v>
      </c>
      <c r="R315" t="e">
        <f>AND(#REF!,"AAAAAG6yiBE=")</f>
        <v>#REF!</v>
      </c>
      <c r="S315" t="e">
        <f>AND(#REF!,"AAAAAG6yiBI=")</f>
        <v>#REF!</v>
      </c>
      <c r="T315" t="e">
        <f>AND(#REF!,"AAAAAG6yiBM=")</f>
        <v>#REF!</v>
      </c>
      <c r="U315" t="e">
        <f>AND(#REF!,"AAAAAG6yiBQ=")</f>
        <v>#REF!</v>
      </c>
      <c r="V315" t="e">
        <f>AND(#REF!,"AAAAAG6yiBU=")</f>
        <v>#REF!</v>
      </c>
      <c r="W315" t="e">
        <f>AND(#REF!,"AAAAAG6yiBY=")</f>
        <v>#REF!</v>
      </c>
      <c r="X315" t="e">
        <f>AND(#REF!,"AAAAAG6yiBc=")</f>
        <v>#REF!</v>
      </c>
      <c r="Y315" t="e">
        <f>AND(#REF!,"AAAAAG6yiBg=")</f>
        <v>#REF!</v>
      </c>
      <c r="Z315" t="e">
        <f>AND(#REF!,"AAAAAG6yiBk=")</f>
        <v>#REF!</v>
      </c>
      <c r="AA315" t="e">
        <f>AND(#REF!,"AAAAAG6yiBo=")</f>
        <v>#REF!</v>
      </c>
      <c r="AB315" t="e">
        <f>AND(#REF!,"AAAAAG6yiBs=")</f>
        <v>#REF!</v>
      </c>
      <c r="AC315" t="e">
        <f>AND(#REF!,"AAAAAG6yiBw=")</f>
        <v>#REF!</v>
      </c>
      <c r="AD315" t="e">
        <f>AND(#REF!,"AAAAAG6yiB0=")</f>
        <v>#REF!</v>
      </c>
      <c r="AE315" t="e">
        <f>AND(#REF!,"AAAAAG6yiB4=")</f>
        <v>#REF!</v>
      </c>
      <c r="AF315" t="e">
        <f>AND(#REF!,"AAAAAG6yiB8=")</f>
        <v>#REF!</v>
      </c>
      <c r="AG315" t="e">
        <f>AND(#REF!,"AAAAAG6yiCA=")</f>
        <v>#REF!</v>
      </c>
      <c r="AH315" t="e">
        <f>AND(#REF!,"AAAAAG6yiCE=")</f>
        <v>#REF!</v>
      </c>
      <c r="AI315" t="e">
        <f>AND(#REF!,"AAAAAG6yiCI=")</f>
        <v>#REF!</v>
      </c>
      <c r="AJ315" t="e">
        <f>IF(#REF!,"AAAAAG6yiCM=",0)</f>
        <v>#REF!</v>
      </c>
      <c r="AK315" t="e">
        <f>IF(#REF!,"AAAAAG6yiCQ=",0)</f>
        <v>#REF!</v>
      </c>
      <c r="AL315" t="e">
        <f>IF(#REF!,"AAAAAG6yiCU=",0)</f>
        <v>#REF!</v>
      </c>
      <c r="AM315" t="e">
        <f>IF(#REF!,"AAAAAG6yiCY=",0)</f>
        <v>#REF!</v>
      </c>
      <c r="AN315" t="e">
        <f>IF(#REF!,"AAAAAG6yiCc=",0)</f>
        <v>#REF!</v>
      </c>
      <c r="AO315" t="e">
        <f>IF(#REF!,"AAAAAG6yiCg=",0)</f>
        <v>#REF!</v>
      </c>
      <c r="AP315" t="e">
        <f>IF(#REF!,"AAAAAG6yiCk=",0)</f>
        <v>#REF!</v>
      </c>
      <c r="AQ315" t="e">
        <f>IF(#REF!,"AAAAAG6yiCo=",0)</f>
        <v>#REF!</v>
      </c>
      <c r="AR315" t="e">
        <f>IF(#REF!,"AAAAAG6yiCs=",0)</f>
        <v>#REF!</v>
      </c>
      <c r="AS315" t="e">
        <f>IF(#REF!,"AAAAAG6yiCw=",0)</f>
        <v>#REF!</v>
      </c>
      <c r="AT315" t="e">
        <f>IF(#REF!,"AAAAAG6yiC0=",0)</f>
        <v>#REF!</v>
      </c>
      <c r="AU315" t="e">
        <f>IF(#REF!,"AAAAAG6yiC4=",0)</f>
        <v>#REF!</v>
      </c>
      <c r="AV315" t="e">
        <f>IF(#REF!,"AAAAAG6yiC8=",0)</f>
        <v>#REF!</v>
      </c>
      <c r="AW315" t="e">
        <f>IF(#REF!,"AAAAAG6yiDA=",0)</f>
        <v>#REF!</v>
      </c>
      <c r="AX315" t="e">
        <f>IF(#REF!,"AAAAAG6yiDE=",0)</f>
        <v>#REF!</v>
      </c>
      <c r="AY315" t="e">
        <f>IF(#REF!,"AAAAAG6yiDI=",0)</f>
        <v>#REF!</v>
      </c>
      <c r="AZ315" t="e">
        <f>IF(#REF!,"AAAAAG6yiDM=",0)</f>
        <v>#REF!</v>
      </c>
      <c r="BA315" t="e">
        <f>IF(#REF!,"AAAAAG6yiDQ=",0)</f>
        <v>#REF!</v>
      </c>
      <c r="BB315" t="e">
        <f>IF(#REF!,"AAAAAG6yiDU=",0)</f>
        <v>#REF!</v>
      </c>
      <c r="BC315" t="e">
        <f>IF(#REF!,"AAAAAG6yiDY=",0)</f>
        <v>#REF!</v>
      </c>
      <c r="BD315" t="e">
        <f>IF(#REF!,"AAAAAG6yiDc=",0)</f>
        <v>#REF!</v>
      </c>
      <c r="BE315" t="e">
        <f>IF(#REF!,"AAAAAG6yiDg=",0)</f>
        <v>#REF!</v>
      </c>
      <c r="BF315" t="e">
        <f>IF(#REF!,"AAAAAG6yiDk=",0)</f>
        <v>#REF!</v>
      </c>
      <c r="BG315" t="e">
        <f>IF(#REF!,"AAAAAG6yiDo=",0)</f>
        <v>#REF!</v>
      </c>
      <c r="BH315" t="e">
        <f>IF(#REF!,"AAAAAG6yiDs=",0)</f>
        <v>#REF!</v>
      </c>
      <c r="BI315" t="e">
        <f>IF(#REF!,"AAAAAG6yiDw=",0)</f>
        <v>#REF!</v>
      </c>
      <c r="BJ315" t="e">
        <f>IF(#REF!,"AAAAAG6yiD0=",0)</f>
        <v>#REF!</v>
      </c>
      <c r="BK315" t="e">
        <f>IF(#REF!,"AAAAAG6yiD4=",0)</f>
        <v>#REF!</v>
      </c>
      <c r="BL315" t="e">
        <f>IF(#REF!,"AAAAAG6yiD8=",0)</f>
        <v>#REF!</v>
      </c>
      <c r="BM315" t="e">
        <f>IF(#REF!,"AAAAAG6yiEA=",0)</f>
        <v>#REF!</v>
      </c>
      <c r="BN315" t="e">
        <f>IF(#REF!,"AAAAAG6yiEE=",0)</f>
        <v>#REF!</v>
      </c>
      <c r="BO315" t="e">
        <f>IF(#REF!,"AAAAAG6yiEI=",0)</f>
        <v>#REF!</v>
      </c>
      <c r="BP315" t="e">
        <f>IF(#REF!,"AAAAAG6yiEM=",0)</f>
        <v>#REF!</v>
      </c>
      <c r="BQ315" t="e">
        <f>IF(#REF!,"AAAAAG6yiEQ=",0)</f>
        <v>#REF!</v>
      </c>
      <c r="BR315" t="e">
        <f>IF(#REF!,"AAAAAG6yiEU=",0)</f>
        <v>#REF!</v>
      </c>
      <c r="BS315" t="e">
        <f>IF(#REF!,"AAAAAG6yiEY=",0)</f>
        <v>#REF!</v>
      </c>
      <c r="BT315" t="e">
        <f>IF(#REF!,"AAAAAG6yiEc=",0)</f>
        <v>#REF!</v>
      </c>
      <c r="BU315" t="e">
        <f>IF(#REF!,"AAAAAG6yiEg=",0)</f>
        <v>#REF!</v>
      </c>
      <c r="BV315" t="e">
        <f>IF(#REF!,"AAAAAG6yiEk=",0)</f>
        <v>#REF!</v>
      </c>
      <c r="BW315" t="e">
        <f>IF(#REF!,"AAAAAG6yiEo=",0)</f>
        <v>#REF!</v>
      </c>
      <c r="BX315" t="e">
        <f>IF(#REF!,"AAAAAG6yiEs=",0)</f>
        <v>#REF!</v>
      </c>
      <c r="BY315" t="e">
        <f>IF(#REF!,"AAAAAG6yiEw=",0)</f>
        <v>#REF!</v>
      </c>
      <c r="BZ315" t="e">
        <f>IF(#REF!,"AAAAAG6yiE0=",0)</f>
        <v>#REF!</v>
      </c>
      <c r="CA315" t="e">
        <f>IF(#REF!,"AAAAAG6yiE4=",0)</f>
        <v>#REF!</v>
      </c>
      <c r="CB315" t="e">
        <f>IF(#REF!,"AAAAAG6yiE8=",0)</f>
        <v>#REF!</v>
      </c>
      <c r="CC315" t="e">
        <f>IF(#REF!,"AAAAAG6yiFA=",0)</f>
        <v>#REF!</v>
      </c>
      <c r="CD315" t="e">
        <f>IF(#REF!,"AAAAAG6yiFE=",0)</f>
        <v>#REF!</v>
      </c>
      <c r="CE315" t="e">
        <f>IF(#REF!,"AAAAAG6yiFI=",0)</f>
        <v>#REF!</v>
      </c>
      <c r="CF315" t="e">
        <f>IF(#REF!,"AAAAAG6yiFM=",0)</f>
        <v>#REF!</v>
      </c>
      <c r="CG315" t="e">
        <f>IF(#REF!,"AAAAAG6yiFQ=",0)</f>
        <v>#REF!</v>
      </c>
      <c r="CH315" t="e">
        <f>IF(#REF!,"AAAAAG6yiFU=",0)</f>
        <v>#REF!</v>
      </c>
      <c r="CI315" t="e">
        <f>IF(#REF!,"AAAAAG6yiFY=",0)</f>
        <v>#REF!</v>
      </c>
      <c r="CJ315" t="e">
        <f>IF(#REF!,"AAAAAG6yiFc=",0)</f>
        <v>#REF!</v>
      </c>
      <c r="CK315" t="e">
        <f>IF(#REF!,"AAAAAG6yiFg=",0)</f>
        <v>#REF!</v>
      </c>
      <c r="CL315" t="e">
        <f>IF(#REF!,"AAAAAG6yiFk=",0)</f>
        <v>#REF!</v>
      </c>
      <c r="CM315" t="e">
        <f>IF(#REF!,"AAAAAG6yiFo=",0)</f>
        <v>#REF!</v>
      </c>
      <c r="CN315" t="e">
        <f>IF(#REF!,"AAAAAG6yiFs=",0)</f>
        <v>#REF!</v>
      </c>
      <c r="CO315" t="e">
        <f>IF(#REF!,"AAAAAG6yiFw=",0)</f>
        <v>#REF!</v>
      </c>
      <c r="CP315" t="e">
        <f>IF(#REF!,"AAAAAG6yiF0=",0)</f>
        <v>#REF!</v>
      </c>
      <c r="CQ315" t="e">
        <f>IF(#REF!,"AAAAAG6yiF4=",0)</f>
        <v>#REF!</v>
      </c>
      <c r="CR315" t="e">
        <f>IF(#REF!,"AAAAAG6yiF8=",0)</f>
        <v>#REF!</v>
      </c>
      <c r="CS315" t="e">
        <f>IF(#REF!,"AAAAAG6yiGA=",0)</f>
        <v>#REF!</v>
      </c>
      <c r="CT315" t="e">
        <f>IF(#REF!,"AAAAAG6yiGE=",0)</f>
        <v>#REF!</v>
      </c>
      <c r="CU315" t="e">
        <f>IF(#REF!,"AAAAAG6yiGI=",0)</f>
        <v>#REF!</v>
      </c>
      <c r="CV315" t="e">
        <f>IF(#REF!,"AAAAAG6yiGM=",0)</f>
        <v>#REF!</v>
      </c>
      <c r="CW315" t="e">
        <f>IF(#REF!,"AAAAAG6yiGQ=",0)</f>
        <v>#REF!</v>
      </c>
      <c r="CX315" t="e">
        <f>IF(#REF!,"AAAAAG6yiGU=",0)</f>
        <v>#REF!</v>
      </c>
      <c r="CY315" t="e">
        <f>IF(#REF!,"AAAAAG6yiGY=",0)</f>
        <v>#REF!</v>
      </c>
      <c r="CZ315" t="e">
        <f>IF(#REF!,"AAAAAG6yiGc=",0)</f>
        <v>#REF!</v>
      </c>
      <c r="DA315" t="e">
        <f>IF(#REF!,"AAAAAG6yiGg=",0)</f>
        <v>#REF!</v>
      </c>
      <c r="DB315" t="e">
        <f>IF(#REF!,"AAAAAG6yiGk=",0)</f>
        <v>#REF!</v>
      </c>
      <c r="DC315" t="e">
        <f>IF(#REF!,"AAAAAG6yiGo=",0)</f>
        <v>#REF!</v>
      </c>
      <c r="DD315" t="e">
        <f>IF(#REF!,"AAAAAG6yiGs=",0)</f>
        <v>#REF!</v>
      </c>
      <c r="DE315" t="e">
        <f>IF(#REF!,"AAAAAG6yiGw=",0)</f>
        <v>#REF!</v>
      </c>
      <c r="DF315" t="e">
        <f>IF(#REF!,"AAAAAG6yiG0=",0)</f>
        <v>#REF!</v>
      </c>
      <c r="DG315" t="e">
        <f>IF(#REF!,"AAAAAG6yiG4=",0)</f>
        <v>#REF!</v>
      </c>
      <c r="DH315" t="e">
        <f>IF(#REF!,"AAAAAG6yiG8=",0)</f>
        <v>#REF!</v>
      </c>
      <c r="DI315" t="e">
        <f>IF(#REF!,"AAAAAG6yiHA=",0)</f>
        <v>#REF!</v>
      </c>
      <c r="DJ315" t="e">
        <f>IF(#REF!,"AAAAAG6yiHE=",0)</f>
        <v>#REF!</v>
      </c>
      <c r="DK315" t="e">
        <f>IF(#REF!,"AAAAAG6yiHI=",0)</f>
        <v>#REF!</v>
      </c>
      <c r="DL315" t="e">
        <f>IF(#REF!,"AAAAAG6yiHM=",0)</f>
        <v>#REF!</v>
      </c>
      <c r="DM315" t="e">
        <f>IF(#REF!,"AAAAAG6yiHQ=",0)</f>
        <v>#REF!</v>
      </c>
      <c r="DN315" t="e">
        <f>IF(#REF!,"AAAAAG6yiHU=",0)</f>
        <v>#REF!</v>
      </c>
      <c r="DO315" t="e">
        <f>IF(#REF!,"AAAAAG6yiHY=",0)</f>
        <v>#REF!</v>
      </c>
      <c r="DP315" t="e">
        <f>IF(#REF!,"AAAAAG6yiHc=",0)</f>
        <v>#REF!</v>
      </c>
      <c r="DQ315" t="e">
        <f>IF(#REF!,"AAAAAG6yiHg=",0)</f>
        <v>#REF!</v>
      </c>
      <c r="DR315" t="e">
        <f>IF(#REF!,"AAAAAG6yiHk=",0)</f>
        <v>#REF!</v>
      </c>
      <c r="DS315" t="e">
        <f>IF(#REF!,"AAAAAG6yiHo=",0)</f>
        <v>#REF!</v>
      </c>
      <c r="DT315" t="e">
        <f>IF(#REF!,"AAAAAG6yiHs=",0)</f>
        <v>#REF!</v>
      </c>
      <c r="DU315" t="e">
        <f>IF(#REF!,"AAAAAG6yiHw=",0)</f>
        <v>#REF!</v>
      </c>
      <c r="DV315" t="e">
        <f>IF(#REF!,"AAAAAG6yiH0=",0)</f>
        <v>#REF!</v>
      </c>
      <c r="DW315" t="e">
        <f>IF(#REF!,"AAAAAG6yiH4=",0)</f>
        <v>#REF!</v>
      </c>
      <c r="DX315" t="e">
        <f>IF(#REF!,"AAAAAG6yiH8=",0)</f>
        <v>#REF!</v>
      </c>
      <c r="DY315" t="e">
        <f>IF(#REF!,"AAAAAG6yiIA=",0)</f>
        <v>#REF!</v>
      </c>
      <c r="DZ315" t="e">
        <f>IF(#REF!,"AAAAAG6yiIE=",0)</f>
        <v>#REF!</v>
      </c>
      <c r="EA315" t="e">
        <f>IF(#REF!,"AAAAAG6yiII=",0)</f>
        <v>#REF!</v>
      </c>
      <c r="EB315" t="e">
        <f>IF(#REF!,"AAAAAG6yiIM=",0)</f>
        <v>#REF!</v>
      </c>
      <c r="EC315" t="e">
        <f>IF(#REF!,"AAAAAG6yiIQ=",0)</f>
        <v>#REF!</v>
      </c>
      <c r="ED315" t="e">
        <f>IF(#REF!,"AAAAAG6yiIU=",0)</f>
        <v>#REF!</v>
      </c>
      <c r="EE315" t="e">
        <f>IF(#REF!,"AAAAAG6yiIY=",0)</f>
        <v>#REF!</v>
      </c>
      <c r="EF315" t="e">
        <f>IF(#REF!,"AAAAAG6yiIc=",0)</f>
        <v>#REF!</v>
      </c>
      <c r="EG315" t="e">
        <f>IF(#REF!,"AAAAAG6yiIg=",0)</f>
        <v>#REF!</v>
      </c>
      <c r="EH315" t="e">
        <f>IF(#REF!,"AAAAAG6yiIk=",0)</f>
        <v>#REF!</v>
      </c>
      <c r="EI315" t="e">
        <f>IF(#REF!,"AAAAAG6yiIo=",0)</f>
        <v>#REF!</v>
      </c>
      <c r="EJ315" t="e">
        <f>IF(#REF!,"AAAAAG6yiIs=",0)</f>
        <v>#REF!</v>
      </c>
      <c r="EK315" t="e">
        <f>IF(#REF!,"AAAAAG6yiIw=",0)</f>
        <v>#REF!</v>
      </c>
      <c r="EL315" t="e">
        <f>IF(#REF!,"AAAAAG6yiI0=",0)</f>
        <v>#REF!</v>
      </c>
      <c r="EM315" t="e">
        <f>IF(#REF!,"AAAAAG6yiI4=",0)</f>
        <v>#REF!</v>
      </c>
      <c r="EN315" t="e">
        <f>IF(#REF!,"AAAAAG6yiI8=",0)</f>
        <v>#REF!</v>
      </c>
      <c r="EO315" t="e">
        <f>IF(#REF!,"AAAAAG6yiJA=",0)</f>
        <v>#REF!</v>
      </c>
      <c r="EP315" t="e">
        <f>IF(#REF!,"AAAAAG6yiJE=",0)</f>
        <v>#REF!</v>
      </c>
      <c r="EQ315" t="e">
        <f>IF(#REF!,"AAAAAG6yiJI=",0)</f>
        <v>#REF!</v>
      </c>
      <c r="ER315" t="e">
        <f>IF(#REF!,"AAAAAG6yiJM=",0)</f>
        <v>#REF!</v>
      </c>
      <c r="ES315" t="e">
        <f>IF(#REF!,"AAAAAG6yiJQ=",0)</f>
        <v>#REF!</v>
      </c>
      <c r="ET315" t="e">
        <f>IF(#REF!,"AAAAAG6yiJU=",0)</f>
        <v>#REF!</v>
      </c>
      <c r="EU315" t="e">
        <f>IF(#REF!,"AAAAAG6yiJY=",0)</f>
        <v>#REF!</v>
      </c>
      <c r="EV315" t="e">
        <f>IF(#REF!,"AAAAAG6yiJc=",0)</f>
        <v>#REF!</v>
      </c>
      <c r="EW315" t="e">
        <f>IF(#REF!,"AAAAAG6yiJg=",0)</f>
        <v>#REF!</v>
      </c>
      <c r="EX315" t="e">
        <f>IF(#REF!,"AAAAAG6yiJk=",0)</f>
        <v>#REF!</v>
      </c>
      <c r="EY315" t="e">
        <f>IF(#REF!,"AAAAAG6yiJo=",0)</f>
        <v>#REF!</v>
      </c>
      <c r="EZ315" t="e">
        <f>IF(#REF!,"AAAAAG6yiJs=",0)</f>
        <v>#REF!</v>
      </c>
      <c r="FA315" t="e">
        <f>IF(#REF!,"AAAAAG6yiJw=",0)</f>
        <v>#REF!</v>
      </c>
      <c r="FB315" t="e">
        <f>IF(#REF!,"AAAAAG6yiJ0=",0)</f>
        <v>#REF!</v>
      </c>
      <c r="FC315" t="e">
        <f>IF(#REF!,"AAAAAG6yiJ4=",0)</f>
        <v>#REF!</v>
      </c>
      <c r="FD315" t="e">
        <f>IF(#REF!,"AAAAAG6yiJ8=",0)</f>
        <v>#REF!</v>
      </c>
      <c r="FE315" t="e">
        <f>IF(#REF!,"AAAAAG6yiKA=",0)</f>
        <v>#REF!</v>
      </c>
      <c r="FF315" t="e">
        <f>IF(#REF!,"AAAAAG6yiKE=",0)</f>
        <v>#REF!</v>
      </c>
      <c r="FG315" t="e">
        <f>IF(#REF!,"AAAAAG6yiKI=",0)</f>
        <v>#REF!</v>
      </c>
      <c r="FH315" t="e">
        <f>IF(#REF!,"AAAAAG6yiKM=",0)</f>
        <v>#REF!</v>
      </c>
      <c r="FI315" t="e">
        <f>IF(#REF!,"AAAAAG6yiKQ=",0)</f>
        <v>#REF!</v>
      </c>
      <c r="FJ315" t="e">
        <f>IF(#REF!,"AAAAAG6yiKU=",0)</f>
        <v>#REF!</v>
      </c>
      <c r="FK315" t="e">
        <f>IF(#REF!,"AAAAAG6yiKY=",0)</f>
        <v>#REF!</v>
      </c>
      <c r="FL315" t="e">
        <f>IF(#REF!,"AAAAAG6yiKc=",0)</f>
        <v>#REF!</v>
      </c>
      <c r="FM315" t="e">
        <f>IF(#REF!,"AAAAAG6yiKg=",0)</f>
        <v>#REF!</v>
      </c>
      <c r="FN315" t="e">
        <f>IF(#REF!,"AAAAAG6yiKk=",0)</f>
        <v>#REF!</v>
      </c>
      <c r="FO315" t="e">
        <f>IF(#REF!,"AAAAAG6yiKo=",0)</f>
        <v>#REF!</v>
      </c>
      <c r="FP315" t="e">
        <f>IF(#REF!,"AAAAAG6yiKs=",0)</f>
        <v>#REF!</v>
      </c>
      <c r="FQ315" t="e">
        <f>IF(#REF!,"AAAAAG6yiKw=",0)</f>
        <v>#REF!</v>
      </c>
      <c r="FR315" t="e">
        <f>IF(#REF!,"AAAAAG6yiK0=",0)</f>
        <v>#REF!</v>
      </c>
      <c r="FS315" t="e">
        <f>IF(#REF!,"AAAAAG6yiK4=",0)</f>
        <v>#REF!</v>
      </c>
      <c r="FT315" t="e">
        <f>IF(#REF!,"AAAAAG6yiK8=",0)</f>
        <v>#REF!</v>
      </c>
      <c r="FU315" t="e">
        <f>IF(#REF!,"AAAAAG6yiLA=",0)</f>
        <v>#REF!</v>
      </c>
      <c r="FV315" t="e">
        <f>IF(#REF!,"AAAAAG6yiLE=",0)</f>
        <v>#REF!</v>
      </c>
      <c r="FW315" t="e">
        <f>IF(#REF!,"AAAAAG6yiLI=",0)</f>
        <v>#REF!</v>
      </c>
      <c r="FX315" t="e">
        <f>IF(#REF!,"AAAAAG6yiLM=",0)</f>
        <v>#REF!</v>
      </c>
      <c r="FY315" t="e">
        <f>IF(#REF!,"AAAAAG6yiLQ=",0)</f>
        <v>#REF!</v>
      </c>
      <c r="FZ315" t="e">
        <f>IF(#REF!,"AAAAAG6yiLU=",0)</f>
        <v>#REF!</v>
      </c>
      <c r="GA315" t="e">
        <f>IF(#REF!,"AAAAAG6yiLY=",0)</f>
        <v>#REF!</v>
      </c>
      <c r="GB315" t="e">
        <f>IF(#REF!,"AAAAAG6yiLc=",0)</f>
        <v>#REF!</v>
      </c>
      <c r="GC315" t="e">
        <f>IF(#REF!,"AAAAAG6yiLg=",0)</f>
        <v>#REF!</v>
      </c>
      <c r="GD315" t="e">
        <f>IF(#REF!,"AAAAAG6yiLk=",0)</f>
        <v>#REF!</v>
      </c>
      <c r="GE315" t="e">
        <f>IF(#REF!,"AAAAAG6yiLo=",0)</f>
        <v>#REF!</v>
      </c>
      <c r="GF315" t="e">
        <f>IF(#REF!,"AAAAAG6yiLs=",0)</f>
        <v>#REF!</v>
      </c>
      <c r="GG315" t="e">
        <f>IF(#REF!,"AAAAAG6yiLw=",0)</f>
        <v>#REF!</v>
      </c>
      <c r="GH315" t="e">
        <f>IF(#REF!,"AAAAAG6yiL0=",0)</f>
        <v>#REF!</v>
      </c>
      <c r="GI315" t="e">
        <f>IF(#REF!,"AAAAAG6yiL4=",0)</f>
        <v>#REF!</v>
      </c>
      <c r="GJ315" t="e">
        <f>IF(#REF!,"AAAAAG6yiL8=",0)</f>
        <v>#REF!</v>
      </c>
      <c r="GK315" t="e">
        <f>IF(#REF!,"AAAAAG6yiMA=",0)</f>
        <v>#REF!</v>
      </c>
      <c r="GL315" t="e">
        <f>IF(#REF!,"AAAAAG6yiME=",0)</f>
        <v>#REF!</v>
      </c>
      <c r="GM315" t="e">
        <f>IF(#REF!,"AAAAAG6yiMI=",0)</f>
        <v>#REF!</v>
      </c>
      <c r="GN315" t="e">
        <f>IF(#REF!,"AAAAAG6yiMM=",0)</f>
        <v>#REF!</v>
      </c>
      <c r="GO315" t="e">
        <f>IF(#REF!,"AAAAAG6yiMQ=",0)</f>
        <v>#REF!</v>
      </c>
      <c r="GP315" t="e">
        <f>IF(#REF!,"AAAAAG6yiMU=",0)</f>
        <v>#REF!</v>
      </c>
      <c r="GQ315" t="e">
        <f>IF(#REF!,"AAAAAG6yiMY=",0)</f>
        <v>#REF!</v>
      </c>
      <c r="GR315" t="e">
        <f>IF(#REF!,"AAAAAG6yiMc=",0)</f>
        <v>#REF!</v>
      </c>
      <c r="GS315" t="e">
        <f>IF(#REF!,"AAAAAG6yiMg=",0)</f>
        <v>#REF!</v>
      </c>
      <c r="GT315" t="e">
        <f>IF(#REF!,"AAAAAG6yiMk=",0)</f>
        <v>#REF!</v>
      </c>
      <c r="GU315" t="e">
        <f>IF(#REF!,"AAAAAG6yiMo=",0)</f>
        <v>#REF!</v>
      </c>
      <c r="GV315" t="e">
        <f>IF(#REF!,"AAAAAG6yiMs=",0)</f>
        <v>#REF!</v>
      </c>
      <c r="GW315" t="e">
        <f>IF(#REF!,"AAAAAG6yiMw=",0)</f>
        <v>#REF!</v>
      </c>
      <c r="GX315" t="e">
        <f>IF(#REF!,"AAAAAG6yiM0=",0)</f>
        <v>#REF!</v>
      </c>
      <c r="GY315" t="e">
        <f>IF(#REF!,"AAAAAG6yiM4=",0)</f>
        <v>#REF!</v>
      </c>
      <c r="GZ315" t="e">
        <f>IF(#REF!,"AAAAAG6yiM8=",0)</f>
        <v>#REF!</v>
      </c>
      <c r="HA315" t="e">
        <f>IF(#REF!,"AAAAAG6yiNA=",0)</f>
        <v>#REF!</v>
      </c>
      <c r="HB315" t="e">
        <f>IF(#REF!,"AAAAAG6yiNE=",0)</f>
        <v>#REF!</v>
      </c>
      <c r="HC315" t="e">
        <f>IF(#REF!,"AAAAAG6yiNI=",0)</f>
        <v>#REF!</v>
      </c>
      <c r="HD315" t="e">
        <f>IF(#REF!,"AAAAAG6yiNM=",0)</f>
        <v>#REF!</v>
      </c>
      <c r="HE315" t="e">
        <f>IF(#REF!,"AAAAAG6yiNQ=",0)</f>
        <v>#REF!</v>
      </c>
      <c r="HF315" t="e">
        <f>IF(#REF!,"AAAAAG6yiNU=",0)</f>
        <v>#REF!</v>
      </c>
      <c r="HG315" t="e">
        <f>IF(#REF!,"AAAAAG6yiNY=",0)</f>
        <v>#REF!</v>
      </c>
      <c r="HH315" t="e">
        <f>IF(#REF!,"AAAAAG6yiNc=",0)</f>
        <v>#REF!</v>
      </c>
      <c r="HI315" t="e">
        <f>IF(#REF!,"AAAAAG6yiNg=",0)</f>
        <v>#REF!</v>
      </c>
      <c r="HJ315" t="e">
        <f>IF(#REF!,"AAAAAG6yiNk=",0)</f>
        <v>#REF!</v>
      </c>
      <c r="HK315" t="e">
        <f>IF(#REF!,"AAAAAG6yiNo=",0)</f>
        <v>#REF!</v>
      </c>
      <c r="HL315" t="e">
        <f>IF(#REF!,"AAAAAG6yiNs=",0)</f>
        <v>#REF!</v>
      </c>
      <c r="HM315" t="e">
        <f>IF(#REF!,"AAAAAG6yiNw=",0)</f>
        <v>#REF!</v>
      </c>
      <c r="HN315" t="e">
        <f>IF(#REF!,"AAAAAG6yiN0=",0)</f>
        <v>#REF!</v>
      </c>
      <c r="HO315" t="e">
        <f>IF(#REF!,"AAAAAG6yiN4=",0)</f>
        <v>#REF!</v>
      </c>
      <c r="HP315" t="e">
        <f>IF(#REF!,"AAAAAG6yiN8=",0)</f>
        <v>#REF!</v>
      </c>
      <c r="HQ315" t="e">
        <f>IF(#REF!,"AAAAAG6yiOA=",0)</f>
        <v>#REF!</v>
      </c>
      <c r="HR315" t="e">
        <f>IF(#REF!,"AAAAAG6yiOE=",0)</f>
        <v>#REF!</v>
      </c>
      <c r="HS315" t="e">
        <f>IF(#REF!,"AAAAAG6yiOI=",0)</f>
        <v>#REF!</v>
      </c>
      <c r="HT315" t="e">
        <f>IF(#REF!,"AAAAAG6yiOM=",0)</f>
        <v>#REF!</v>
      </c>
      <c r="HU315" t="e">
        <f>IF(#REF!,"AAAAAG6yiOQ=",0)</f>
        <v>#REF!</v>
      </c>
      <c r="HV315" t="e">
        <f>IF(#REF!,"AAAAAG6yiOU=",0)</f>
        <v>#REF!</v>
      </c>
      <c r="HW315" t="e">
        <f>IF(#REF!,"AAAAAG6yiOY=",0)</f>
        <v>#REF!</v>
      </c>
      <c r="HX315" t="e">
        <f>IF(#REF!,"AAAAAG6yiOc=",0)</f>
        <v>#REF!</v>
      </c>
      <c r="HY315" t="e">
        <f>IF(#REF!,"AAAAAG6yiOg=",0)</f>
        <v>#REF!</v>
      </c>
      <c r="HZ315" t="e">
        <f>IF(#REF!,"AAAAAG6yiOk=",0)</f>
        <v>#REF!</v>
      </c>
      <c r="IA315" t="e">
        <f>IF(#REF!,"AAAAAG6yiOo=",0)</f>
        <v>#REF!</v>
      </c>
      <c r="IB315" t="e">
        <f>IF(#REF!,"AAAAAG6yiOs=",0)</f>
        <v>#REF!</v>
      </c>
      <c r="IC315" t="e">
        <f>IF(#REF!,"AAAAAG6yiOw=",0)</f>
        <v>#REF!</v>
      </c>
      <c r="ID315" t="e">
        <f>IF(#REF!,"AAAAAG6yiO0=",0)</f>
        <v>#REF!</v>
      </c>
      <c r="IE315" t="e">
        <f>IF(#REF!,"AAAAAG6yiO4=",0)</f>
        <v>#REF!</v>
      </c>
      <c r="IF315" t="e">
        <f>IF(#REF!,"AAAAAG6yiO8=",0)</f>
        <v>#REF!</v>
      </c>
      <c r="IG315" t="e">
        <f>IF(#REF!,"AAAAAG6yiPA=",0)</f>
        <v>#REF!</v>
      </c>
      <c r="IH315" t="e">
        <f>IF(#REF!,"AAAAAG6yiPE=",0)</f>
        <v>#REF!</v>
      </c>
      <c r="II315" t="e">
        <f>IF(#REF!,"AAAAAG6yiPI=",0)</f>
        <v>#REF!</v>
      </c>
      <c r="IJ315" t="e">
        <f>IF(#REF!,"AAAAAG6yiPM=",0)</f>
        <v>#REF!</v>
      </c>
      <c r="IK315" t="e">
        <f>IF(#REF!,"AAAAAG6yiPQ=",0)</f>
        <v>#REF!</v>
      </c>
      <c r="IL315" t="e">
        <f>IF(#REF!,"AAAAAG6yiPU=",0)</f>
        <v>#REF!</v>
      </c>
      <c r="IM315" t="e">
        <f>IF(#REF!,"AAAAAG6yiPY=",0)</f>
        <v>#REF!</v>
      </c>
      <c r="IN315" t="e">
        <f>IF(#REF!,"AAAAAG6yiPc=",0)</f>
        <v>#REF!</v>
      </c>
      <c r="IO315" t="e">
        <f>IF(#REF!,"AAAAAG6yiPg=",0)</f>
        <v>#REF!</v>
      </c>
      <c r="IP315" t="e">
        <f>IF(#REF!,"AAAAAG6yiPk=",0)</f>
        <v>#REF!</v>
      </c>
      <c r="IQ315" t="e">
        <f>IF(#REF!,"AAAAAG6yiPo=",0)</f>
        <v>#REF!</v>
      </c>
      <c r="IR315" t="e">
        <f>IF(#REF!,"AAAAAG6yiPs=",0)</f>
        <v>#REF!</v>
      </c>
      <c r="IS315" t="e">
        <f>IF(#REF!,"AAAAAG6yiPw=",0)</f>
        <v>#REF!</v>
      </c>
      <c r="IT315" t="e">
        <f>IF(#REF!,"AAAAAG6yiP0=",0)</f>
        <v>#REF!</v>
      </c>
      <c r="IU315" t="e">
        <f>IF(#REF!,"AAAAAG6yiP4=",0)</f>
        <v>#REF!</v>
      </c>
      <c r="IV315" t="e">
        <f>IF(#REF!,"AAAAAG6yiP8=",0)</f>
        <v>#REF!</v>
      </c>
    </row>
    <row r="316" spans="1:256">
      <c r="A316" t="e">
        <f>IF(#REF!,"AAAAAFj//wA=",0)</f>
        <v>#REF!</v>
      </c>
      <c r="B316" t="e">
        <f>IF(#REF!,"AAAAAFj//wE=",0)</f>
        <v>#REF!</v>
      </c>
      <c r="C316" t="e">
        <f>IF(#REF!,"AAAAAFj//wI=",0)</f>
        <v>#REF!</v>
      </c>
      <c r="D316" t="e">
        <f>IF(#REF!,"AAAAAFj//wM=",0)</f>
        <v>#REF!</v>
      </c>
      <c r="E316" t="e">
        <f>IF(#REF!,"AAAAAFj//wQ=",0)</f>
        <v>#REF!</v>
      </c>
      <c r="F316" t="e">
        <f>IF(#REF!,"AAAAAFj//wU=",0)</f>
        <v>#REF!</v>
      </c>
      <c r="G316" t="e">
        <f>IF(#REF!,"AAAAAFj//wY=",0)</f>
        <v>#REF!</v>
      </c>
      <c r="H316" t="e">
        <f>IF(#REF!,"AAAAAFj//wc=",0)</f>
        <v>#REF!</v>
      </c>
      <c r="I316" t="e">
        <f>IF(#REF!,"AAAAAFj//wg=",0)</f>
        <v>#REF!</v>
      </c>
      <c r="J316" t="e">
        <f>IF(#REF!,"AAAAAFj//wk=",0)</f>
        <v>#REF!</v>
      </c>
      <c r="K316" t="e">
        <f>IF(#REF!,"AAAAAFj//wo=",0)</f>
        <v>#REF!</v>
      </c>
      <c r="L316" t="e">
        <f>IF(#REF!,"AAAAAFj//ws=",0)</f>
        <v>#REF!</v>
      </c>
      <c r="M316" t="e">
        <f>IF(#REF!,"AAAAAFj//ww=",0)</f>
        <v>#REF!</v>
      </c>
      <c r="N316" t="e">
        <f>IF(#REF!,"AAAAAFj//w0=",0)</f>
        <v>#REF!</v>
      </c>
      <c r="O316" t="e">
        <f>IF(#REF!,"AAAAAFj//w4=",0)</f>
        <v>#REF!</v>
      </c>
      <c r="P316" t="e">
        <f>IF(#REF!,"AAAAAFj//w8=",0)</f>
        <v>#REF!</v>
      </c>
      <c r="Q316" t="e">
        <f>IF(#REF!,"AAAAAFj//xA=",0)</f>
        <v>#REF!</v>
      </c>
      <c r="R316" t="e">
        <f>IF(#REF!,"AAAAAFj//xE=",0)</f>
        <v>#REF!</v>
      </c>
      <c r="S316" t="e">
        <f>IF(#REF!,"AAAAAFj//xI=",0)</f>
        <v>#REF!</v>
      </c>
      <c r="T316" t="e">
        <f>IF(#REF!,"AAAAAFj//xM=",0)</f>
        <v>#REF!</v>
      </c>
      <c r="U316" t="e">
        <f>IF(#REF!,"AAAAAFj//xQ=",0)</f>
        <v>#REF!</v>
      </c>
      <c r="V316" t="e">
        <f>IF(#REF!,"AAAAAFj//xU=",0)</f>
        <v>#REF!</v>
      </c>
      <c r="W316" t="e">
        <f>IF(#REF!,"AAAAAFj//xY=",0)</f>
        <v>#REF!</v>
      </c>
      <c r="X316" t="e">
        <f>IF(#REF!,"AAAAAFj//xc=",0)</f>
        <v>#REF!</v>
      </c>
      <c r="Y316" t="e">
        <f>IF(#REF!,"AAAAAFj//xg=",0)</f>
        <v>#REF!</v>
      </c>
      <c r="Z316" t="e">
        <f>IF(#REF!,"AAAAAFj//xk=",0)</f>
        <v>#REF!</v>
      </c>
      <c r="AA316" t="e">
        <f>IF(#REF!,"AAAAAFj//xo=",0)</f>
        <v>#REF!</v>
      </c>
      <c r="AB316" t="e">
        <f>IF(#REF!,"AAAAAFj//xs=",0)</f>
        <v>#REF!</v>
      </c>
      <c r="AC316" t="e">
        <f>IF(#REF!,"AAAAAFj//xw=",0)</f>
        <v>#REF!</v>
      </c>
      <c r="AD316" t="e">
        <f>IF(#REF!,"AAAAAFj//x0=",0)</f>
        <v>#REF!</v>
      </c>
      <c r="AE316" t="e">
        <f>IF(#REF!,"AAAAAFj//x4=",0)</f>
        <v>#REF!</v>
      </c>
      <c r="AF316" t="e">
        <f>IF(#REF!,"AAAAAFj//x8=",0)</f>
        <v>#REF!</v>
      </c>
      <c r="AG316" t="e">
        <f>IF(#REF!,"AAAAAFj//yA=",0)</f>
        <v>#REF!</v>
      </c>
      <c r="AH316" t="e">
        <f>IF(#REF!,"AAAAAFj//yE=",0)</f>
        <v>#REF!</v>
      </c>
      <c r="AI316" t="e">
        <f>IF(#REF!,"AAAAAFj//yI=",0)</f>
        <v>#REF!</v>
      </c>
      <c r="AJ316" t="e">
        <f>IF(#REF!,"AAAAAFj//yM=",0)</f>
        <v>#REF!</v>
      </c>
      <c r="AK316" t="e">
        <f>IF(#REF!,"AAAAAFj//yQ=",0)</f>
        <v>#REF!</v>
      </c>
      <c r="AL316" t="e">
        <f>IF(#REF!,"AAAAAFj//yU=",0)</f>
        <v>#REF!</v>
      </c>
      <c r="AM316" t="e">
        <f>IF(#REF!,"AAAAAFj//yY=",0)</f>
        <v>#REF!</v>
      </c>
      <c r="AN316" t="e">
        <f>IF(#REF!,"AAAAAFj//yc=",0)</f>
        <v>#REF!</v>
      </c>
      <c r="AO316" t="e">
        <f>IF(#REF!,"AAAAAFj//yg=",0)</f>
        <v>#REF!</v>
      </c>
      <c r="AP316" t="e">
        <f>IF(#REF!,"AAAAAFj//yk=",0)</f>
        <v>#REF!</v>
      </c>
      <c r="AQ316" t="e">
        <f>IF(#REF!,"AAAAAFj//yo=",0)</f>
        <v>#REF!</v>
      </c>
      <c r="AR316" t="e">
        <f>IF(#REF!,"AAAAAFj//ys=",0)</f>
        <v>#REF!</v>
      </c>
      <c r="AS316" t="e">
        <f>IF(#REF!,"AAAAAFj//yw=",0)</f>
        <v>#REF!</v>
      </c>
      <c r="AT316" t="e">
        <f>IF(#REF!,"AAAAAFj//y0=",0)</f>
        <v>#REF!</v>
      </c>
      <c r="AU316" t="e">
        <f>IF(#REF!,"AAAAAFj//y4=",0)</f>
        <v>#REF!</v>
      </c>
      <c r="AV316" t="e">
        <f>IF(#REF!,"AAAAAFj//y8=",0)</f>
        <v>#REF!</v>
      </c>
      <c r="AW316" t="e">
        <f>IF(#REF!,"AAAAAFj//zA=",0)</f>
        <v>#REF!</v>
      </c>
      <c r="AX316" t="e">
        <f>IF(#REF!,"AAAAAFj//zE=",0)</f>
        <v>#REF!</v>
      </c>
      <c r="AY316" t="e">
        <f>IF(#REF!,"AAAAAFj//zI=",0)</f>
        <v>#REF!</v>
      </c>
      <c r="AZ316" t="e">
        <f>IF(#REF!,"AAAAAFj//zM=",0)</f>
        <v>#REF!</v>
      </c>
      <c r="BA316" t="e">
        <f>IF(#REF!,"AAAAAFj//zQ=",0)</f>
        <v>#REF!</v>
      </c>
      <c r="BB316" t="e">
        <f>IF(#REF!,"AAAAAFj//zU=",0)</f>
        <v>#REF!</v>
      </c>
      <c r="BC316" t="e">
        <f>IF(#REF!,"AAAAAFj//zY=",0)</f>
        <v>#REF!</v>
      </c>
      <c r="BD316" t="e">
        <f>IF(#REF!,"AAAAAFj//zc=",0)</f>
        <v>#REF!</v>
      </c>
      <c r="BE316" t="e">
        <f>IF(#REF!,"AAAAAFj//zg=",0)</f>
        <v>#REF!</v>
      </c>
      <c r="BF316" t="e">
        <f>IF(#REF!,"AAAAAFj//zk=",0)</f>
        <v>#REF!</v>
      </c>
      <c r="BG316" t="e">
        <f>IF(#REF!,"AAAAAFj//zo=",0)</f>
        <v>#REF!</v>
      </c>
      <c r="BH316" t="e">
        <f>IF(#REF!,"AAAAAFj//zs=",0)</f>
        <v>#REF!</v>
      </c>
      <c r="BI316" t="e">
        <f>IF(#REF!,"AAAAAFj//zw=",0)</f>
        <v>#REF!</v>
      </c>
      <c r="BJ316" t="e">
        <f>IF(#REF!,"AAAAAFj//z0=",0)</f>
        <v>#REF!</v>
      </c>
      <c r="BK316" t="e">
        <f>IF(#REF!,"AAAAAFj//z4=",0)</f>
        <v>#REF!</v>
      </c>
      <c r="BL316" t="e">
        <f>IF(#REF!,"AAAAAFj//z8=",0)</f>
        <v>#REF!</v>
      </c>
      <c r="BM316" t="e">
        <f>IF(#REF!,"AAAAAFj//0A=",0)</f>
        <v>#REF!</v>
      </c>
      <c r="BN316" t="e">
        <f>IF(#REF!,"AAAAAFj//0E=",0)</f>
        <v>#REF!</v>
      </c>
      <c r="BO316" t="e">
        <f>IF(#REF!,"AAAAAFj//0I=",0)</f>
        <v>#REF!</v>
      </c>
      <c r="BP316" t="e">
        <f>IF(#REF!,"AAAAAFj//0M=",0)</f>
        <v>#REF!</v>
      </c>
      <c r="BQ316" t="e">
        <f>IF(#REF!,"AAAAAFj//0Q=",0)</f>
        <v>#REF!</v>
      </c>
      <c r="BR316" t="e">
        <f>IF(#REF!,"AAAAAFj//0U=",0)</f>
        <v>#REF!</v>
      </c>
      <c r="BS316" t="e">
        <f>IF(#REF!,"AAAAAFj//0Y=",0)</f>
        <v>#REF!</v>
      </c>
      <c r="BT316" t="e">
        <f>IF(#REF!,"AAAAAFj//0c=",0)</f>
        <v>#REF!</v>
      </c>
      <c r="BU316" t="e">
        <f>IF(#REF!,"AAAAAFj//0g=",0)</f>
        <v>#REF!</v>
      </c>
      <c r="BV316" t="e">
        <f>IF(#REF!,"AAAAAFj//0k=",0)</f>
        <v>#REF!</v>
      </c>
      <c r="BW316" t="e">
        <f>IF(#REF!,"AAAAAFj//0o=",0)</f>
        <v>#REF!</v>
      </c>
      <c r="BX316" t="e">
        <f>IF(#REF!,"AAAAAFj//0s=",0)</f>
        <v>#REF!</v>
      </c>
      <c r="BY316" t="e">
        <f>IF(#REF!,"AAAAAFj//0w=",0)</f>
        <v>#REF!</v>
      </c>
      <c r="BZ316" t="e">
        <f>IF(#REF!,"AAAAAFj//00=",0)</f>
        <v>#REF!</v>
      </c>
      <c r="CA316" t="e">
        <f>IF(#REF!,"AAAAAFj//04=",0)</f>
        <v>#REF!</v>
      </c>
      <c r="CB316" t="e">
        <f>IF(#REF!,"AAAAAFj//08=",0)</f>
        <v>#REF!</v>
      </c>
      <c r="CC316" t="e">
        <f>IF(#REF!,"AAAAAFj//1A=",0)</f>
        <v>#REF!</v>
      </c>
      <c r="CD316" t="e">
        <f>IF(#REF!,"AAAAAFj//1E=",0)</f>
        <v>#REF!</v>
      </c>
      <c r="CE316" t="e">
        <f>IF(#REF!,"AAAAAFj//1I=",0)</f>
        <v>#REF!</v>
      </c>
      <c r="CF316" t="e">
        <f>IF(#REF!,"AAAAAFj//1M=",0)</f>
        <v>#REF!</v>
      </c>
      <c r="CG316" t="e">
        <f>IF(#REF!,"AAAAAFj//1Q=",0)</f>
        <v>#REF!</v>
      </c>
      <c r="CH316" t="e">
        <f>IF(#REF!,"AAAAAFj//1U=",0)</f>
        <v>#REF!</v>
      </c>
      <c r="CI316" t="e">
        <f>IF(#REF!,"AAAAAFj//1Y=",0)</f>
        <v>#REF!</v>
      </c>
      <c r="CJ316" t="e">
        <f>IF(#REF!,"AAAAAFj//1c=",0)</f>
        <v>#REF!</v>
      </c>
      <c r="CK316" t="e">
        <f>IF(#REF!,"AAAAAFj//1g=",0)</f>
        <v>#REF!</v>
      </c>
      <c r="CL316" t="e">
        <f>IF(#REF!,"AAAAAFj//1k=",0)</f>
        <v>#REF!</v>
      </c>
      <c r="CM316" t="e">
        <f>IF(#REF!,"AAAAAFj//1o=",0)</f>
        <v>#REF!</v>
      </c>
      <c r="CN316" t="e">
        <f>IF(#REF!,"AAAAAFj//1s=",0)</f>
        <v>#REF!</v>
      </c>
      <c r="CO316" t="e">
        <f>IF(#REF!,"AAAAAFj//1w=",0)</f>
        <v>#REF!</v>
      </c>
      <c r="CP316" t="e">
        <f>IF(#REF!,"AAAAAFj//10=",0)</f>
        <v>#REF!</v>
      </c>
      <c r="CQ316" t="e">
        <f>IF(#REF!,"AAAAAFj//14=",0)</f>
        <v>#REF!</v>
      </c>
      <c r="CR316" t="e">
        <f>IF(#REF!,"AAAAAFj//18=",0)</f>
        <v>#REF!</v>
      </c>
      <c r="CS316" t="e">
        <f>IF(#REF!,"AAAAAFj//2A=",0)</f>
        <v>#REF!</v>
      </c>
      <c r="CT316" t="e">
        <f>IF(#REF!,"AAAAAFj//2E=",0)</f>
        <v>#REF!</v>
      </c>
      <c r="CU316" t="e">
        <f>IF(#REF!,"AAAAAFj//2I=",0)</f>
        <v>#REF!</v>
      </c>
      <c r="CV316" t="e">
        <f>IF(#REF!,"AAAAAFj//2M=",0)</f>
        <v>#REF!</v>
      </c>
      <c r="CW316" t="e">
        <f>IF(#REF!,"AAAAAFj//2Q=",0)</f>
        <v>#REF!</v>
      </c>
      <c r="CX316" t="e">
        <f>IF(#REF!,"AAAAAFj//2U=",0)</f>
        <v>#REF!</v>
      </c>
      <c r="CY316" t="e">
        <f>IF(#REF!,"AAAAAFj//2Y=",0)</f>
        <v>#REF!</v>
      </c>
      <c r="CZ316" t="e">
        <f>IF(#REF!,"AAAAAFj//2c=",0)</f>
        <v>#REF!</v>
      </c>
      <c r="DA316" t="e">
        <f>IF(#REF!,"AAAAAFj//2g=",0)</f>
        <v>#REF!</v>
      </c>
      <c r="DB316" t="e">
        <f>IF(#REF!,"AAAAAFj//2k=",0)</f>
        <v>#REF!</v>
      </c>
      <c r="DC316" t="e">
        <f>IF(#REF!,"AAAAAFj//2o=",0)</f>
        <v>#REF!</v>
      </c>
      <c r="DD316" t="e">
        <f>IF(#REF!,"AAAAAFj//2s=",0)</f>
        <v>#REF!</v>
      </c>
      <c r="DE316" t="e">
        <f>IF(#REF!,"AAAAAFj//2w=",0)</f>
        <v>#REF!</v>
      </c>
      <c r="DF316" t="e">
        <f>IF(#REF!,"AAAAAFj//20=",0)</f>
        <v>#REF!</v>
      </c>
      <c r="DG316" t="e">
        <f>IF(#REF!,"AAAAAFj//24=",0)</f>
        <v>#REF!</v>
      </c>
      <c r="DH316" t="e">
        <f>IF(#REF!,"AAAAAFj//28=",0)</f>
        <v>#REF!</v>
      </c>
      <c r="DI316" t="e">
        <f>IF(#REF!,"AAAAAFj//3A=",0)</f>
        <v>#REF!</v>
      </c>
      <c r="DJ316" t="e">
        <f>IF(#REF!,"AAAAAFj//3E=",0)</f>
        <v>#REF!</v>
      </c>
      <c r="DK316" t="e">
        <f>IF(#REF!,"AAAAAFj//3I=",0)</f>
        <v>#REF!</v>
      </c>
      <c r="DL316" t="e">
        <f>IF(#REF!,"AAAAAFj//3M=",0)</f>
        <v>#REF!</v>
      </c>
      <c r="DM316" t="e">
        <f>IF(#REF!,"AAAAAFj//3Q=",0)</f>
        <v>#REF!</v>
      </c>
      <c r="DN316" t="e">
        <f>IF(#REF!,"AAAAAFj//3U=",0)</f>
        <v>#REF!</v>
      </c>
      <c r="DO316" t="e">
        <f>IF(#REF!,"AAAAAFj//3Y=",0)</f>
        <v>#REF!</v>
      </c>
      <c r="DP316" t="e">
        <f>IF(#REF!,"AAAAAFj//3c=",0)</f>
        <v>#REF!</v>
      </c>
      <c r="DQ316" t="e">
        <f>IF(#REF!,"AAAAAFj//3g=",0)</f>
        <v>#REF!</v>
      </c>
      <c r="DR316" t="e">
        <f>IF(#REF!,"AAAAAFj//3k=",0)</f>
        <v>#REF!</v>
      </c>
      <c r="DS316" t="e">
        <f>IF(#REF!,"AAAAAFj//3o=",0)</f>
        <v>#REF!</v>
      </c>
      <c r="DT316" t="e">
        <f>IF(#REF!,"AAAAAFj//3s=",0)</f>
        <v>#REF!</v>
      </c>
      <c r="DU316" t="e">
        <f>IF(#REF!,"AAAAAFj//3w=",0)</f>
        <v>#REF!</v>
      </c>
      <c r="DV316" t="e">
        <f>IF(#REF!,"AAAAAFj//30=",0)</f>
        <v>#REF!</v>
      </c>
      <c r="DW316" t="e">
        <f>IF(#REF!,"AAAAAFj//34=",0)</f>
        <v>#REF!</v>
      </c>
      <c r="DX316" t="e">
        <f>IF(#REF!,"AAAAAFj//38=",0)</f>
        <v>#REF!</v>
      </c>
      <c r="DY316" t="e">
        <f>IF(#REF!,"AAAAAFj//4A=",0)</f>
        <v>#REF!</v>
      </c>
      <c r="DZ316" t="e">
        <f>IF(#REF!,"AAAAAFj//4E=",0)</f>
        <v>#REF!</v>
      </c>
      <c r="EA316" t="e">
        <f>IF(#REF!,"AAAAAFj//4I=",0)</f>
        <v>#REF!</v>
      </c>
      <c r="EB316" t="e">
        <f>IF(#REF!,"AAAAAFj//4M=",0)</f>
        <v>#REF!</v>
      </c>
      <c r="EC316" t="e">
        <f>IF(#REF!,"AAAAAFj//4Q=",0)</f>
        <v>#REF!</v>
      </c>
      <c r="ED316" t="e">
        <f>IF(#REF!,"AAAAAFj//4U=",0)</f>
        <v>#REF!</v>
      </c>
      <c r="EE316" t="e">
        <f>IF(#REF!,"AAAAAFj//4Y=",0)</f>
        <v>#REF!</v>
      </c>
      <c r="EF316" t="e">
        <f>IF(#REF!,"AAAAAFj//4c=",0)</f>
        <v>#REF!</v>
      </c>
      <c r="EG316" t="e">
        <f>IF(#REF!,"AAAAAFj//4g=",0)</f>
        <v>#REF!</v>
      </c>
      <c r="EH316" t="e">
        <f>IF(#REF!,"AAAAAFj//4k=",0)</f>
        <v>#REF!</v>
      </c>
      <c r="EI316" t="e">
        <f>IF(#REF!,"AAAAAFj//4o=",0)</f>
        <v>#REF!</v>
      </c>
      <c r="EJ316" t="e">
        <f>IF(#REF!,"AAAAAFj//4s=",0)</f>
        <v>#REF!</v>
      </c>
      <c r="EK316" t="e">
        <f>IF(#REF!,"AAAAAFj//4w=",0)</f>
        <v>#REF!</v>
      </c>
      <c r="EL316" t="e">
        <f>IF(#REF!,"AAAAAFj//40=",0)</f>
        <v>#REF!</v>
      </c>
      <c r="EM316" t="e">
        <f>IF(#REF!,"AAAAAFj//44=",0)</f>
        <v>#REF!</v>
      </c>
      <c r="EN316" t="e">
        <f>IF(#REF!,"AAAAAFj//48=",0)</f>
        <v>#REF!</v>
      </c>
      <c r="EO316" t="e">
        <f>IF(#REF!,"AAAAAFj//5A=",0)</f>
        <v>#REF!</v>
      </c>
      <c r="EP316" t="e">
        <f>IF(#REF!,"AAAAAFj//5E=",0)</f>
        <v>#REF!</v>
      </c>
      <c r="EQ316" t="e">
        <f>IF(#REF!,"AAAAAFj//5I=",0)</f>
        <v>#REF!</v>
      </c>
      <c r="ER316" t="e">
        <f>IF(#REF!,"AAAAAFj//5M=",0)</f>
        <v>#REF!</v>
      </c>
      <c r="ES316" t="e">
        <f>IF(#REF!,"AAAAAFj//5Q=",0)</f>
        <v>#REF!</v>
      </c>
      <c r="ET316" t="e">
        <f>IF(#REF!,"AAAAAFj//5U=",0)</f>
        <v>#REF!</v>
      </c>
      <c r="EU316" t="e">
        <f>IF(#REF!,"AAAAAFj//5Y=",0)</f>
        <v>#REF!</v>
      </c>
      <c r="EV316" t="e">
        <f>IF(#REF!,"AAAAAFj//5c=",0)</f>
        <v>#REF!</v>
      </c>
      <c r="EW316" t="e">
        <f>IF(#REF!,"AAAAAFj//5g=",0)</f>
        <v>#REF!</v>
      </c>
      <c r="EX316" t="e">
        <f>IF(#REF!,"AAAAAFj//5k=",0)</f>
        <v>#REF!</v>
      </c>
      <c r="EY316" t="e">
        <f>IF(#REF!,"AAAAAFj//5o=",0)</f>
        <v>#REF!</v>
      </c>
      <c r="EZ316" t="e">
        <f>IF(#REF!,"AAAAAFj//5s=",0)</f>
        <v>#REF!</v>
      </c>
      <c r="FA316" t="e">
        <f>IF(#REF!,"AAAAAFj//5w=",0)</f>
        <v>#REF!</v>
      </c>
      <c r="FB316" t="e">
        <f>IF(#REF!,"AAAAAFj//50=",0)</f>
        <v>#REF!</v>
      </c>
      <c r="FC316" t="e">
        <f>IF(#REF!,"AAAAAFj//54=",0)</f>
        <v>#REF!</v>
      </c>
      <c r="FD316" t="e">
        <f>IF(#REF!,"AAAAAFj//58=",0)</f>
        <v>#REF!</v>
      </c>
      <c r="FE316" t="e">
        <f>IF(#REF!,"AAAAAFj//6A=",0)</f>
        <v>#REF!</v>
      </c>
      <c r="FF316" t="e">
        <f>IF(#REF!,"AAAAAFj//6E=",0)</f>
        <v>#REF!</v>
      </c>
      <c r="FG316" t="e">
        <f>IF(#REF!,"AAAAAFj//6I=",0)</f>
        <v>#REF!</v>
      </c>
      <c r="FH316" t="e">
        <f>IF(#REF!,"AAAAAFj//6M=",0)</f>
        <v>#REF!</v>
      </c>
      <c r="FI316" t="e">
        <f>IF(#REF!,"AAAAAFj//6Q=",0)</f>
        <v>#REF!</v>
      </c>
      <c r="FJ316" t="e">
        <f>IF(#REF!,"AAAAAFj//6U=",0)</f>
        <v>#REF!</v>
      </c>
      <c r="FK316" t="e">
        <f>IF(#REF!,"AAAAAFj//6Y=",0)</f>
        <v>#REF!</v>
      </c>
      <c r="FL316" t="e">
        <f>IF(#REF!,"AAAAAFj//6c=",0)</f>
        <v>#REF!</v>
      </c>
      <c r="FM316" t="e">
        <f>IF(#REF!,"AAAAAFj//6g=",0)</f>
        <v>#REF!</v>
      </c>
      <c r="FN316" t="e">
        <f>IF(#REF!,"AAAAAFj//6k=",0)</f>
        <v>#REF!</v>
      </c>
      <c r="FO316" t="e">
        <f>IF(#REF!,"AAAAAFj//6o=",0)</f>
        <v>#REF!</v>
      </c>
      <c r="FP316" t="e">
        <f>IF(#REF!,"AAAAAFj//6s=",0)</f>
        <v>#REF!</v>
      </c>
      <c r="FQ316" t="e">
        <f>IF(#REF!,"AAAAAFj//6w=",0)</f>
        <v>#REF!</v>
      </c>
      <c r="FR316" t="e">
        <f>IF(#REF!,"AAAAAFj//60=",0)</f>
        <v>#REF!</v>
      </c>
      <c r="FS316" t="e">
        <f>IF(#REF!,"AAAAAFj//64=",0)</f>
        <v>#REF!</v>
      </c>
      <c r="FT316" t="e">
        <f>IF(#REF!,"AAAAAFj//68=",0)</f>
        <v>#REF!</v>
      </c>
      <c r="FU316" t="e">
        <f>IF(#REF!,"AAAAAFj//7A=",0)</f>
        <v>#REF!</v>
      </c>
      <c r="FV316" t="e">
        <f>IF(#REF!,"AAAAAFj//7E=",0)</f>
        <v>#REF!</v>
      </c>
      <c r="FW316" t="e">
        <f>IF(#REF!,"AAAAAFj//7I=",0)</f>
        <v>#REF!</v>
      </c>
      <c r="FX316" t="e">
        <f>IF(#REF!,"AAAAAFj//7M=",0)</f>
        <v>#REF!</v>
      </c>
      <c r="FY316" t="e">
        <f>IF(#REF!,"AAAAAFj//7Q=",0)</f>
        <v>#REF!</v>
      </c>
      <c r="FZ316" t="e">
        <f>IF(#REF!,"AAAAAFj//7U=",0)</f>
        <v>#REF!</v>
      </c>
      <c r="GA316" t="e">
        <f>IF(#REF!,"AAAAAFj//7Y=",0)</f>
        <v>#REF!</v>
      </c>
      <c r="GB316" t="e">
        <f>IF(#REF!,"AAAAAFj//7c=",0)</f>
        <v>#REF!</v>
      </c>
      <c r="GC316" t="e">
        <f>IF(#REF!,"AAAAAFj//7g=",0)</f>
        <v>#REF!</v>
      </c>
      <c r="GD316" t="e">
        <f>IF(#REF!,"AAAAAFj//7k=",0)</f>
        <v>#REF!</v>
      </c>
      <c r="GE316" t="e">
        <f>IF(#REF!,"AAAAAFj//7o=",0)</f>
        <v>#REF!</v>
      </c>
      <c r="GF316" t="e">
        <f>IF(#REF!,"AAAAAFj//7s=",0)</f>
        <v>#REF!</v>
      </c>
      <c r="GG316" t="e">
        <f>IF(#REF!,"AAAAAFj//7w=",0)</f>
        <v>#REF!</v>
      </c>
      <c r="GH316" t="e">
        <f>IF(#REF!,"AAAAAFj//70=",0)</f>
        <v>#REF!</v>
      </c>
      <c r="GI316" t="e">
        <f>IF(#REF!,"AAAAAFj//74=",0)</f>
        <v>#REF!</v>
      </c>
      <c r="GJ316" t="e">
        <f>IF(#REF!,"AAAAAFj//78=",0)</f>
        <v>#REF!</v>
      </c>
      <c r="GK316" t="e">
        <f>IF(#REF!,"AAAAAFj//8A=",0)</f>
        <v>#REF!</v>
      </c>
      <c r="GL316" t="e">
        <f>IF(#REF!,"AAAAAFj//8E=",0)</f>
        <v>#REF!</v>
      </c>
      <c r="GM316" t="e">
        <f>IF(#REF!,"AAAAAFj//8I=",0)</f>
        <v>#REF!</v>
      </c>
      <c r="GN316" t="e">
        <f>IF(#REF!,"AAAAAFj//8M=",0)</f>
        <v>#REF!</v>
      </c>
      <c r="GO316" t="e">
        <f>IF(#REF!,"AAAAAFj//8Q=",0)</f>
        <v>#REF!</v>
      </c>
      <c r="GP316" t="e">
        <f>IF(#REF!,"AAAAAFj//8U=",0)</f>
        <v>#REF!</v>
      </c>
      <c r="GQ316" t="e">
        <f>IF(#REF!,"AAAAAFj//8Y=",0)</f>
        <v>#REF!</v>
      </c>
      <c r="GR316" t="e">
        <f>IF(#REF!,"AAAAAFj//8c=",0)</f>
        <v>#REF!</v>
      </c>
      <c r="GS316" t="e">
        <f>IF(#REF!,"AAAAAFj//8g=",0)</f>
        <v>#REF!</v>
      </c>
      <c r="GT316" t="e">
        <f>IF(#REF!,"AAAAAFj//8k=",0)</f>
        <v>#REF!</v>
      </c>
      <c r="GU316" t="e">
        <f>IF(#REF!,"AAAAAFj//8o=",0)</f>
        <v>#REF!</v>
      </c>
      <c r="GV316" t="e">
        <f>IF(#REF!,"AAAAAFj//8s=",0)</f>
        <v>#REF!</v>
      </c>
      <c r="GW316" t="e">
        <f>IF(#REF!,"AAAAAFj//8w=",0)</f>
        <v>#REF!</v>
      </c>
      <c r="GX316" t="e">
        <f>IF(#REF!,"AAAAAFj//80=",0)</f>
        <v>#REF!</v>
      </c>
      <c r="GY316" t="e">
        <f>IF(#REF!,"AAAAAFj//84=",0)</f>
        <v>#REF!</v>
      </c>
      <c r="GZ316" t="e">
        <f>IF(#REF!,"AAAAAFj//88=",0)</f>
        <v>#REF!</v>
      </c>
      <c r="HA316" t="e">
        <f>IF(#REF!,"AAAAAFj//9A=",0)</f>
        <v>#REF!</v>
      </c>
      <c r="HB316" t="e">
        <f>IF(#REF!,"AAAAAFj//9E=",0)</f>
        <v>#REF!</v>
      </c>
      <c r="HC316" t="e">
        <f>IF(#REF!,"AAAAAFj//9I=",0)</f>
        <v>#REF!</v>
      </c>
      <c r="HD316" t="e">
        <f>IF(#REF!,"AAAAAFj//9M=",0)</f>
        <v>#REF!</v>
      </c>
      <c r="HE316" t="e">
        <f>IF(#REF!,"AAAAAFj//9Q=",0)</f>
        <v>#REF!</v>
      </c>
      <c r="HF316" t="e">
        <f>IF(#REF!,"AAAAAFj//9U=",0)</f>
        <v>#REF!</v>
      </c>
      <c r="HG316" t="e">
        <f>IF(#REF!,"AAAAAFj//9Y=",0)</f>
        <v>#REF!</v>
      </c>
      <c r="HH316" t="e">
        <f>IF(#REF!,"AAAAAFj//9c=",0)</f>
        <v>#REF!</v>
      </c>
      <c r="HI316" t="e">
        <f>IF(#REF!,"AAAAAFj//9g=",0)</f>
        <v>#REF!</v>
      </c>
      <c r="HJ316" t="e">
        <f>IF(#REF!,"AAAAAFj//9k=",0)</f>
        <v>#REF!</v>
      </c>
      <c r="HK316" t="e">
        <f>IF(#REF!,"AAAAAFj//9o=",0)</f>
        <v>#REF!</v>
      </c>
      <c r="HL316" t="e">
        <f>IF(#REF!,"AAAAAFj//9s=",0)</f>
        <v>#REF!</v>
      </c>
      <c r="HM316" t="e">
        <f>IF(#REF!,"AAAAAFj//9w=",0)</f>
        <v>#REF!</v>
      </c>
      <c r="HN316" t="e">
        <f>IF(#REF!,"AAAAAFj//90=",0)</f>
        <v>#REF!</v>
      </c>
      <c r="HO316" t="e">
        <f>IF(#REF!,"AAAAAFj//94=",0)</f>
        <v>#REF!</v>
      </c>
      <c r="HP316" t="e">
        <f>IF(#REF!,"AAAAAFj//98=",0)</f>
        <v>#REF!</v>
      </c>
      <c r="HQ316" t="e">
        <f>IF(#REF!,"AAAAAFj//+A=",0)</f>
        <v>#REF!</v>
      </c>
      <c r="HR316" t="e">
        <f>IF(#REF!,"AAAAAFj//+E=",0)</f>
        <v>#REF!</v>
      </c>
      <c r="HS316" t="e">
        <f>IF(#REF!,"AAAAAFj//+I=",0)</f>
        <v>#REF!</v>
      </c>
      <c r="HT316" t="e">
        <f>IF(#REF!,"AAAAAFj//+M=",0)</f>
        <v>#REF!</v>
      </c>
      <c r="HU316" t="e">
        <f>IF(#REF!,"AAAAAFj//+Q=",0)</f>
        <v>#REF!</v>
      </c>
      <c r="HV316" t="e">
        <f>IF(#REF!,"AAAAAFj//+U=",0)</f>
        <v>#REF!</v>
      </c>
      <c r="HW316" t="e">
        <f>IF(#REF!,"AAAAAFj//+Y=",0)</f>
        <v>#REF!</v>
      </c>
      <c r="HX316" t="e">
        <f>IF(#REF!,"AAAAAFj//+c=",0)</f>
        <v>#REF!</v>
      </c>
      <c r="HY316" t="e">
        <f>IF(#REF!,"AAAAAFj//+g=",0)</f>
        <v>#REF!</v>
      </c>
      <c r="HZ316" t="e">
        <f>IF(#REF!,"AAAAAFj//+k=",0)</f>
        <v>#REF!</v>
      </c>
      <c r="IA316" t="e">
        <f>IF(#REF!,"AAAAAFj//+o=",0)</f>
        <v>#REF!</v>
      </c>
      <c r="IB316" t="e">
        <f>IF(#REF!,"AAAAAFj//+s=",0)</f>
        <v>#REF!</v>
      </c>
      <c r="IC316" t="e">
        <f>IF(#REF!,"AAAAAFj//+w=",0)</f>
        <v>#REF!</v>
      </c>
      <c r="ID316" t="e">
        <f>IF(#REF!,"AAAAAFj//+0=",0)</f>
        <v>#REF!</v>
      </c>
      <c r="IE316" t="e">
        <f>IF(#REF!,"AAAAAFj//+4=",0)</f>
        <v>#REF!</v>
      </c>
      <c r="IF316" t="e">
        <f>IF(#REF!,"AAAAAFj//+8=",0)</f>
        <v>#REF!</v>
      </c>
      <c r="IG316" t="e">
        <f>IF(#REF!,"AAAAAFj///A=",0)</f>
        <v>#REF!</v>
      </c>
      <c r="IH316" t="e">
        <f>IF(#REF!,"AAAAAFj///E=",0)</f>
        <v>#REF!</v>
      </c>
      <c r="II316" t="e">
        <f>IF(#REF!,"AAAAAFj///I=",0)</f>
        <v>#REF!</v>
      </c>
      <c r="IJ316" t="e">
        <f>IF(#REF!,"AAAAAFj///M=",0)</f>
        <v>#REF!</v>
      </c>
      <c r="IK316" t="e">
        <f>IF(#REF!,"AAAAAFj///Q=",0)</f>
        <v>#REF!</v>
      </c>
      <c r="IL316" t="e">
        <f>IF(#REF!,"AAAAAFj///U=",0)</f>
        <v>#REF!</v>
      </c>
      <c r="IM316" t="e">
        <f>IF(#REF!,"AAAAAFj///Y=",0)</f>
        <v>#REF!</v>
      </c>
      <c r="IN316" t="e">
        <f>IF(#REF!,"AAAAAFj///c=",0)</f>
        <v>#REF!</v>
      </c>
      <c r="IO316" t="e">
        <f>IF(#REF!,"AAAAAFj///g=",0)</f>
        <v>#REF!</v>
      </c>
      <c r="IP316" t="e">
        <f>IF(#REF!,"AAAAAFj///k=",0)</f>
        <v>#REF!</v>
      </c>
      <c r="IQ316" t="e">
        <f>IF(#REF!,"AAAAAFj///o=",0)</f>
        <v>#REF!</v>
      </c>
      <c r="IR316" t="e">
        <f>IF(#REF!,"AAAAAFj///s=",0)</f>
        <v>#REF!</v>
      </c>
      <c r="IS316" t="e">
        <f>IF(#REF!,"AAAAAFj///w=",0)</f>
        <v>#REF!</v>
      </c>
      <c r="IT316" t="e">
        <f>IF(#REF!,"AAAAAFj///0=",0)</f>
        <v>#REF!</v>
      </c>
      <c r="IU316" t="e">
        <f>IF(#REF!,"AAAAAFj///4=",0)</f>
        <v>#REF!</v>
      </c>
      <c r="IV316" t="e">
        <f>IF(#REF!,"AAAAAFj///8=",0)</f>
        <v>#REF!</v>
      </c>
    </row>
    <row r="317" spans="1:256">
      <c r="A317" t="e">
        <f>IF(#REF!,"AAAAAH+6dwA=",0)</f>
        <v>#REF!</v>
      </c>
      <c r="B317" t="e">
        <f>IF(#REF!,"AAAAAH+6dwE=",0)</f>
        <v>#REF!</v>
      </c>
      <c r="C317" t="e">
        <f>IF(#REF!,"AAAAAH+6dwI=",0)</f>
        <v>#REF!</v>
      </c>
      <c r="D317" t="e">
        <f>IF(#REF!,"AAAAAH+6dwM=",0)</f>
        <v>#REF!</v>
      </c>
      <c r="E317" t="e">
        <f>IF(#REF!,"AAAAAH+6dwQ=",0)</f>
        <v>#REF!</v>
      </c>
      <c r="F317" t="e">
        <f>IF(#REF!,"AAAAAH+6dwU=",0)</f>
        <v>#REF!</v>
      </c>
      <c r="G317" t="e">
        <f>IF(#REF!,"AAAAAH+6dwY=",0)</f>
        <v>#REF!</v>
      </c>
      <c r="H317" t="e">
        <f>IF(#REF!,"AAAAAH+6dwc=",0)</f>
        <v>#REF!</v>
      </c>
      <c r="I317" t="e">
        <f>IF(#REF!,"AAAAAH+6dwg=",0)</f>
        <v>#REF!</v>
      </c>
      <c r="J317" t="e">
        <f>IF(#REF!,"AAAAAH+6dwk=",0)</f>
        <v>#REF!</v>
      </c>
      <c r="K317" t="e">
        <f>IF(#REF!,"AAAAAH+6dwo=",0)</f>
        <v>#REF!</v>
      </c>
      <c r="L317" t="e">
        <f>IF(#REF!,"AAAAAH+6dws=",0)</f>
        <v>#REF!</v>
      </c>
      <c r="M317" t="e">
        <f>IF(#REF!,"AAAAAH+6dww=",0)</f>
        <v>#REF!</v>
      </c>
      <c r="N317" t="e">
        <f>IF(#REF!,"AAAAAH+6dw0=",0)</f>
        <v>#REF!</v>
      </c>
      <c r="O317" t="e">
        <f>IF(#REF!,"AAAAAH+6dw4=",0)</f>
        <v>#REF!</v>
      </c>
      <c r="P317" t="e">
        <f>IF(#REF!,"AAAAAH+6dw8=",0)</f>
        <v>#REF!</v>
      </c>
      <c r="Q317" t="e">
        <f>IF(#REF!,"AAAAAH+6dxA=",0)</f>
        <v>#REF!</v>
      </c>
      <c r="R317" t="e">
        <f>IF(#REF!,"AAAAAH+6dxE=",0)</f>
        <v>#REF!</v>
      </c>
      <c r="S317" t="e">
        <f>IF(#REF!,"AAAAAH+6dxI=",0)</f>
        <v>#REF!</v>
      </c>
      <c r="T317" t="e">
        <f>IF(#REF!,"AAAAAH+6dxM=",0)</f>
        <v>#REF!</v>
      </c>
      <c r="U317" t="e">
        <f>IF(#REF!,"AAAAAH+6dxQ=",0)</f>
        <v>#REF!</v>
      </c>
      <c r="V317" t="e">
        <f>IF(#REF!,"AAAAAH+6dxU=",0)</f>
        <v>#REF!</v>
      </c>
      <c r="W317" t="e">
        <f>IF(#REF!,"AAAAAH+6dxY=",0)</f>
        <v>#REF!</v>
      </c>
      <c r="X317" t="e">
        <f>IF(#REF!,"AAAAAH+6dxc=",0)</f>
        <v>#REF!</v>
      </c>
      <c r="Y317" t="e">
        <f>IF(#REF!,"AAAAAH+6dxg=",0)</f>
        <v>#REF!</v>
      </c>
      <c r="Z317" t="e">
        <f>IF(#REF!,"AAAAAH+6dxk=",0)</f>
        <v>#REF!</v>
      </c>
      <c r="AA317" t="e">
        <f>IF(#REF!,"AAAAAH+6dxo=",0)</f>
        <v>#REF!</v>
      </c>
      <c r="AB317" t="e">
        <f>IF(#REF!,"AAAAAH+6dxs=",0)</f>
        <v>#REF!</v>
      </c>
      <c r="AC317" t="e">
        <f>IF(#REF!,"AAAAAH+6dxw=",0)</f>
        <v>#REF!</v>
      </c>
      <c r="AD317" t="e">
        <f>IF(#REF!,"AAAAAH+6dx0=",0)</f>
        <v>#REF!</v>
      </c>
      <c r="AE317" t="e">
        <f>IF(#REF!,"AAAAAH+6dx4=",0)</f>
        <v>#REF!</v>
      </c>
      <c r="AF317" t="e">
        <f>IF(#REF!,"AAAAAH+6dx8=",0)</f>
        <v>#REF!</v>
      </c>
      <c r="AG317" t="e">
        <f>IF(#REF!,"AAAAAH+6dyA=",0)</f>
        <v>#REF!</v>
      </c>
      <c r="AH317" t="e">
        <f>IF(#REF!,"AAAAAH+6dyE=",0)</f>
        <v>#REF!</v>
      </c>
      <c r="AI317" t="e">
        <f>IF(#REF!,"AAAAAH+6dyI=",0)</f>
        <v>#REF!</v>
      </c>
      <c r="AJ317" t="e">
        <f>IF(#REF!,"AAAAAH+6dyM=",0)</f>
        <v>#REF!</v>
      </c>
      <c r="AK317" t="e">
        <f>IF(#REF!,"AAAAAH+6dyQ=",0)</f>
        <v>#REF!</v>
      </c>
      <c r="AL317" t="e">
        <f>IF(#REF!,"AAAAAH+6dyU=",0)</f>
        <v>#REF!</v>
      </c>
      <c r="AM317" t="e">
        <f>IF(#REF!,"AAAAAH+6dyY=",0)</f>
        <v>#REF!</v>
      </c>
      <c r="AN317" t="e">
        <f>IF(#REF!,"AAAAAH+6dyc=",0)</f>
        <v>#REF!</v>
      </c>
      <c r="AO317" t="e">
        <f>IF(#REF!,"AAAAAH+6dyg=",0)</f>
        <v>#REF!</v>
      </c>
      <c r="AP317" t="e">
        <f>IF(#REF!,"AAAAAH+6dyk=",0)</f>
        <v>#REF!</v>
      </c>
      <c r="AQ317" t="e">
        <f>IF(#REF!,"AAAAAH+6dyo=",0)</f>
        <v>#REF!</v>
      </c>
      <c r="AR317" t="e">
        <f>IF(#REF!,"AAAAAH+6dys=",0)</f>
        <v>#REF!</v>
      </c>
      <c r="AS317" t="e">
        <f>IF(#REF!,"AAAAAH+6dyw=",0)</f>
        <v>#REF!</v>
      </c>
      <c r="AT317" t="e">
        <f>IF(#REF!,"AAAAAH+6dy0=",0)</f>
        <v>#REF!</v>
      </c>
      <c r="AU317" t="e">
        <f>IF(#REF!,"AAAAAH+6dy4=",0)</f>
        <v>#REF!</v>
      </c>
      <c r="AV317" t="e">
        <f>IF(#REF!,"AAAAAH+6dy8=",0)</f>
        <v>#REF!</v>
      </c>
      <c r="AW317" t="e">
        <f>IF(#REF!,"AAAAAH+6dzA=",0)</f>
        <v>#REF!</v>
      </c>
      <c r="AX317" t="e">
        <f>IF(#REF!,"AAAAAH+6dzE=",0)</f>
        <v>#REF!</v>
      </c>
      <c r="AY317" t="e">
        <f>IF(#REF!,"AAAAAH+6dzI=",0)</f>
        <v>#REF!</v>
      </c>
      <c r="AZ317" t="e">
        <f>IF(#REF!,"AAAAAH+6dzM=",0)</f>
        <v>#REF!</v>
      </c>
      <c r="BA317" t="e">
        <f>IF(#REF!,"AAAAAH+6dzQ=",0)</f>
        <v>#REF!</v>
      </c>
      <c r="BB317" t="e">
        <f>IF(#REF!,"AAAAAH+6dzU=",0)</f>
        <v>#REF!</v>
      </c>
      <c r="BC317" t="e">
        <f>IF(#REF!,"AAAAAH+6dzY=",0)</f>
        <v>#REF!</v>
      </c>
      <c r="BD317" t="e">
        <f>IF(#REF!,"AAAAAH+6dzc=",0)</f>
        <v>#REF!</v>
      </c>
      <c r="BE317" t="e">
        <f>IF(#REF!,"AAAAAH+6dzg=",0)</f>
        <v>#REF!</v>
      </c>
      <c r="BF317" t="e">
        <f>IF(#REF!,"AAAAAH+6dzk=",0)</f>
        <v>#REF!</v>
      </c>
      <c r="BG317" t="e">
        <f>IF(#REF!,"AAAAAH+6dzo=",0)</f>
        <v>#REF!</v>
      </c>
      <c r="BH317" t="e">
        <f>IF(#REF!,"AAAAAH+6dzs=",0)</f>
        <v>#REF!</v>
      </c>
      <c r="BI317" t="e">
        <f>IF(#REF!,"AAAAAH+6dzw=",0)</f>
        <v>#REF!</v>
      </c>
      <c r="BJ317" t="e">
        <f>IF(#REF!,"AAAAAH+6dz0=",0)</f>
        <v>#REF!</v>
      </c>
      <c r="BK317" t="e">
        <f>IF(#REF!,"AAAAAH+6dz4=",0)</f>
        <v>#REF!</v>
      </c>
      <c r="BL317" t="e">
        <f>IF(#REF!,"AAAAAH+6dz8=",0)</f>
        <v>#REF!</v>
      </c>
      <c r="BM317" t="e">
        <f>IF(#REF!,"AAAAAH+6d0A=",0)</f>
        <v>#REF!</v>
      </c>
      <c r="BN317" t="e">
        <f>IF(#REF!,"AAAAAH+6d0E=",0)</f>
        <v>#REF!</v>
      </c>
      <c r="BO317" t="e">
        <f>IF(#REF!,"AAAAAH+6d0I=",0)</f>
        <v>#REF!</v>
      </c>
      <c r="BP317" t="e">
        <f>IF(#REF!,"AAAAAH+6d0M=",0)</f>
        <v>#REF!</v>
      </c>
      <c r="BQ317" t="e">
        <f>IF(#REF!,"AAAAAH+6d0Q=",0)</f>
        <v>#REF!</v>
      </c>
      <c r="BR317" t="e">
        <f>IF(#REF!,"AAAAAH+6d0U=",0)</f>
        <v>#REF!</v>
      </c>
      <c r="BS317" t="e">
        <f>IF(#REF!,"AAAAAH+6d0Y=",0)</f>
        <v>#REF!</v>
      </c>
      <c r="BT317" t="e">
        <f>IF(#REF!,"AAAAAH+6d0c=",0)</f>
        <v>#REF!</v>
      </c>
      <c r="BU317" t="e">
        <f>IF(#REF!,"AAAAAH+6d0g=",0)</f>
        <v>#REF!</v>
      </c>
      <c r="BV317" t="e">
        <f>IF(#REF!,"AAAAAH+6d0k=",0)</f>
        <v>#REF!</v>
      </c>
      <c r="BW317" t="e">
        <f>IF(#REF!,"AAAAAH+6d0o=",0)</f>
        <v>#REF!</v>
      </c>
      <c r="BX317" t="e">
        <f>IF(#REF!,"AAAAAH+6d0s=",0)</f>
        <v>#REF!</v>
      </c>
      <c r="BY317" t="e">
        <f>IF(#REF!,"AAAAAH+6d0w=",0)</f>
        <v>#REF!</v>
      </c>
      <c r="BZ317" t="e">
        <f>IF(#REF!,"AAAAAH+6d00=",0)</f>
        <v>#REF!</v>
      </c>
      <c r="CA317" t="e">
        <f>IF(#REF!,"AAAAAH+6d04=",0)</f>
        <v>#REF!</v>
      </c>
      <c r="CB317" t="e">
        <f>IF(#REF!,"AAAAAH+6d08=",0)</f>
        <v>#REF!</v>
      </c>
      <c r="CC317" t="e">
        <f>IF(#REF!,"AAAAAH+6d1A=",0)</f>
        <v>#REF!</v>
      </c>
      <c r="CD317" t="e">
        <f>IF(#REF!,"AAAAAH+6d1E=",0)</f>
        <v>#REF!</v>
      </c>
      <c r="CE317" t="e">
        <f>IF(#REF!,"AAAAAH+6d1I=",0)</f>
        <v>#REF!</v>
      </c>
      <c r="CF317" t="e">
        <f>IF(#REF!,"AAAAAH+6d1M=",0)</f>
        <v>#REF!</v>
      </c>
      <c r="CG317" t="e">
        <f>IF(#REF!,"AAAAAH+6d1Q=",0)</f>
        <v>#REF!</v>
      </c>
      <c r="CH317" t="e">
        <f>IF(#REF!,"AAAAAH+6d1U=",0)</f>
        <v>#REF!</v>
      </c>
      <c r="CI317" t="e">
        <f>IF(#REF!,"AAAAAH+6d1Y=",0)</f>
        <v>#REF!</v>
      </c>
      <c r="CJ317" t="e">
        <f>IF(#REF!,"AAAAAH+6d1c=",0)</f>
        <v>#REF!</v>
      </c>
      <c r="CK317" t="e">
        <f>IF(#REF!,"AAAAAH+6d1g=",0)</f>
        <v>#REF!</v>
      </c>
      <c r="CL317" t="e">
        <f>IF(#REF!,"AAAAAH+6d1k=",0)</f>
        <v>#REF!</v>
      </c>
      <c r="CM317" t="e">
        <f>IF(#REF!,"AAAAAH+6d1o=",0)</f>
        <v>#REF!</v>
      </c>
      <c r="CN317" t="e">
        <f>IF(#REF!,"AAAAAH+6d1s=",0)</f>
        <v>#REF!</v>
      </c>
      <c r="CO317" t="e">
        <f>IF(#REF!,"AAAAAH+6d1w=",0)</f>
        <v>#REF!</v>
      </c>
      <c r="CP317" t="e">
        <f>IF(#REF!,"AAAAAH+6d10=",0)</f>
        <v>#REF!</v>
      </c>
      <c r="CQ317" t="e">
        <f>IF(#REF!,"AAAAAH+6d14=",0)</f>
        <v>#REF!</v>
      </c>
      <c r="CR317" t="e">
        <f>IF(#REF!,"AAAAAH+6d18=",0)</f>
        <v>#REF!</v>
      </c>
      <c r="CS317" t="e">
        <f>IF(#REF!,"AAAAAH+6d2A=",0)</f>
        <v>#REF!</v>
      </c>
      <c r="CT317" t="e">
        <f>IF(#REF!,"AAAAAH+6d2E=",0)</f>
        <v>#REF!</v>
      </c>
      <c r="CU317" t="e">
        <f>IF(#REF!,"AAAAAH+6d2I=",0)</f>
        <v>#REF!</v>
      </c>
      <c r="CV317" t="e">
        <f>IF(#REF!,"AAAAAH+6d2M=",0)</f>
        <v>#REF!</v>
      </c>
      <c r="CW317" t="e">
        <f>IF(#REF!,"AAAAAH+6d2Q=",0)</f>
        <v>#REF!</v>
      </c>
      <c r="CX317" t="e">
        <f>IF(#REF!,"AAAAAH+6d2U=",0)</f>
        <v>#REF!</v>
      </c>
      <c r="CY317" t="e">
        <f>IF(#REF!,"AAAAAH+6d2Y=",0)</f>
        <v>#REF!</v>
      </c>
      <c r="CZ317" t="e">
        <f>IF(#REF!,"AAAAAH+6d2c=",0)</f>
        <v>#REF!</v>
      </c>
      <c r="DA317" t="e">
        <f>IF(#REF!,"AAAAAH+6d2g=",0)</f>
        <v>#REF!</v>
      </c>
      <c r="DB317" t="e">
        <f>IF(#REF!,"AAAAAH+6d2k=",0)</f>
        <v>#REF!</v>
      </c>
      <c r="DC317" t="e">
        <f>IF(#REF!,"AAAAAH+6d2o=",0)</f>
        <v>#REF!</v>
      </c>
      <c r="DD317" t="e">
        <f>IF(#REF!,"AAAAAH+6d2s=",0)</f>
        <v>#REF!</v>
      </c>
      <c r="DE317" t="e">
        <f>IF(#REF!,"AAAAAH+6d2w=",0)</f>
        <v>#REF!</v>
      </c>
      <c r="DF317" t="e">
        <f>IF(#REF!,"AAAAAH+6d20=",0)</f>
        <v>#REF!</v>
      </c>
      <c r="DG317" t="e">
        <f>IF(#REF!,"AAAAAH+6d24=",0)</f>
        <v>#REF!</v>
      </c>
      <c r="DH317" t="e">
        <f>IF(#REF!,"AAAAAH+6d28=",0)</f>
        <v>#REF!</v>
      </c>
      <c r="DI317" t="e">
        <f>IF(#REF!,"AAAAAH+6d3A=",0)</f>
        <v>#REF!</v>
      </c>
      <c r="DJ317" t="e">
        <f>IF(#REF!,"AAAAAH+6d3E=",0)</f>
        <v>#REF!</v>
      </c>
      <c r="DK317" t="e">
        <f>IF(#REF!,"AAAAAH+6d3I=",0)</f>
        <v>#REF!</v>
      </c>
      <c r="DL317" t="e">
        <f>IF(#REF!,"AAAAAH+6d3M=",0)</f>
        <v>#REF!</v>
      </c>
      <c r="DM317" t="e">
        <f>IF(#REF!,"AAAAAH+6d3Q=",0)</f>
        <v>#REF!</v>
      </c>
      <c r="DN317" t="e">
        <f>IF(#REF!,"AAAAAH+6d3U=",0)</f>
        <v>#REF!</v>
      </c>
      <c r="DO317" t="e">
        <f>IF(#REF!,"AAAAAH+6d3Y=",0)</f>
        <v>#REF!</v>
      </c>
      <c r="DP317" t="e">
        <f>IF(#REF!,"AAAAAH+6d3c=",0)</f>
        <v>#REF!</v>
      </c>
      <c r="DQ317" t="e">
        <f>IF(#REF!,"AAAAAH+6d3g=",0)</f>
        <v>#REF!</v>
      </c>
      <c r="DR317" t="e">
        <f>IF(#REF!,"AAAAAH+6d3k=",0)</f>
        <v>#REF!</v>
      </c>
      <c r="DS317" t="e">
        <f>IF(#REF!,"AAAAAH+6d3o=",0)</f>
        <v>#REF!</v>
      </c>
      <c r="DT317" t="e">
        <f>IF(#REF!,"AAAAAH+6d3s=",0)</f>
        <v>#REF!</v>
      </c>
      <c r="DU317" t="e">
        <f>IF(#REF!,"AAAAAH+6d3w=",0)</f>
        <v>#REF!</v>
      </c>
      <c r="DV317" t="e">
        <f>IF(#REF!,"AAAAAH+6d30=",0)</f>
        <v>#REF!</v>
      </c>
      <c r="DW317" t="e">
        <f>IF(#REF!,"AAAAAH+6d34=",0)</f>
        <v>#REF!</v>
      </c>
      <c r="DX317" t="e">
        <f>IF(#REF!,"AAAAAH+6d38=",0)</f>
        <v>#REF!</v>
      </c>
      <c r="DY317" t="e">
        <f>IF(#REF!,"AAAAAH+6d4A=",0)</f>
        <v>#REF!</v>
      </c>
      <c r="DZ317" t="e">
        <f>IF(#REF!,"AAAAAH+6d4E=",0)</f>
        <v>#REF!</v>
      </c>
      <c r="EA317" t="e">
        <f>IF(#REF!,"AAAAAH+6d4I=",0)</f>
        <v>#REF!</v>
      </c>
      <c r="EB317" t="e">
        <f>IF(#REF!,"AAAAAH+6d4M=",0)</f>
        <v>#REF!</v>
      </c>
      <c r="EC317" t="e">
        <f>IF(#REF!,"AAAAAH+6d4Q=",0)</f>
        <v>#REF!</v>
      </c>
      <c r="ED317" t="e">
        <f>IF(#REF!,"AAAAAH+6d4U=",0)</f>
        <v>#REF!</v>
      </c>
      <c r="EE317" t="e">
        <f>IF(#REF!,"AAAAAH+6d4Y=",0)</f>
        <v>#REF!</v>
      </c>
      <c r="EF317" t="e">
        <f>IF(#REF!,"AAAAAH+6d4c=",0)</f>
        <v>#REF!</v>
      </c>
      <c r="EG317" t="e">
        <f>IF(#REF!,"AAAAAH+6d4g=",0)</f>
        <v>#REF!</v>
      </c>
      <c r="EH317" t="e">
        <f>IF(#REF!,"AAAAAH+6d4k=",0)</f>
        <v>#REF!</v>
      </c>
      <c r="EI317" t="e">
        <f>IF(#REF!,"AAAAAH+6d4o=",0)</f>
        <v>#REF!</v>
      </c>
      <c r="EJ317" t="e">
        <f>IF(#REF!,"AAAAAH+6d4s=",0)</f>
        <v>#REF!</v>
      </c>
      <c r="EK317" t="e">
        <f>IF(#REF!,"AAAAAH+6d4w=",0)</f>
        <v>#REF!</v>
      </c>
      <c r="EL317" t="e">
        <f>IF(#REF!,"AAAAAH+6d40=",0)</f>
        <v>#REF!</v>
      </c>
      <c r="EM317" t="e">
        <f>IF(#REF!,"AAAAAH+6d44=",0)</f>
        <v>#REF!</v>
      </c>
      <c r="EN317" t="e">
        <f>IF(#REF!,"AAAAAH+6d48=",0)</f>
        <v>#REF!</v>
      </c>
      <c r="EO317" t="e">
        <f>IF(#REF!,"AAAAAH+6d5A=",0)</f>
        <v>#REF!</v>
      </c>
      <c r="EP317" t="e">
        <f>IF(#REF!,"AAAAAH+6d5E=",0)</f>
        <v>#REF!</v>
      </c>
      <c r="EQ317" t="e">
        <f>IF(#REF!,"AAAAAH+6d5I=",0)</f>
        <v>#REF!</v>
      </c>
      <c r="ER317" t="e">
        <f>IF(#REF!,"AAAAAH+6d5M=",0)</f>
        <v>#REF!</v>
      </c>
      <c r="ES317" t="e">
        <f>IF(#REF!,"AAAAAH+6d5Q=",0)</f>
        <v>#REF!</v>
      </c>
      <c r="ET317" t="e">
        <f>IF(#REF!,"AAAAAH+6d5U=",0)</f>
        <v>#REF!</v>
      </c>
      <c r="EU317" t="e">
        <f>IF(#REF!,"AAAAAH+6d5Y=",0)</f>
        <v>#REF!</v>
      </c>
      <c r="EV317" t="e">
        <f>IF(#REF!,"AAAAAH+6d5c=",0)</f>
        <v>#REF!</v>
      </c>
      <c r="EW317" t="e">
        <f>IF(#REF!,"AAAAAH+6d5g=",0)</f>
        <v>#REF!</v>
      </c>
      <c r="EX317" t="e">
        <f>IF(#REF!,"AAAAAH+6d5k=",0)</f>
        <v>#REF!</v>
      </c>
      <c r="EY317" t="e">
        <f>IF(#REF!,"AAAAAH+6d5o=",0)</f>
        <v>#REF!</v>
      </c>
      <c r="EZ317" t="e">
        <f>IF(#REF!,"AAAAAH+6d5s=",0)</f>
        <v>#REF!</v>
      </c>
      <c r="FA317" t="e">
        <f>IF(#REF!,"AAAAAH+6d5w=",0)</f>
        <v>#REF!</v>
      </c>
      <c r="FB317" t="e">
        <f>IF(#REF!,"AAAAAH+6d50=",0)</f>
        <v>#REF!</v>
      </c>
      <c r="FC317" t="e">
        <f>IF(#REF!,"AAAAAH+6d54=",0)</f>
        <v>#REF!</v>
      </c>
      <c r="FD317" t="e">
        <f>IF(#REF!,"AAAAAH+6d58=",0)</f>
        <v>#REF!</v>
      </c>
      <c r="FE317" t="e">
        <f>IF(#REF!,"AAAAAH+6d6A=",0)</f>
        <v>#REF!</v>
      </c>
      <c r="FF317" t="e">
        <f>IF(#REF!,"AAAAAH+6d6E=",0)</f>
        <v>#REF!</v>
      </c>
      <c r="FG317" t="e">
        <f>IF(#REF!,"AAAAAH+6d6I=",0)</f>
        <v>#REF!</v>
      </c>
      <c r="FH317" t="e">
        <f>IF(#REF!,"AAAAAH+6d6M=",0)</f>
        <v>#REF!</v>
      </c>
      <c r="FI317" t="e">
        <f>IF(#REF!,"AAAAAH+6d6Q=",0)</f>
        <v>#REF!</v>
      </c>
      <c r="FJ317" t="e">
        <f>IF(#REF!,"AAAAAH+6d6U=",0)</f>
        <v>#REF!</v>
      </c>
      <c r="FK317" t="e">
        <f>IF(#REF!,"AAAAAH+6d6Y=",0)</f>
        <v>#REF!</v>
      </c>
      <c r="FL317" t="e">
        <f>IF(#REF!,"AAAAAH+6d6c=",0)</f>
        <v>#REF!</v>
      </c>
      <c r="FM317" t="e">
        <f>IF(#REF!,"AAAAAH+6d6g=",0)</f>
        <v>#REF!</v>
      </c>
      <c r="FN317" t="e">
        <f>IF(#REF!,"AAAAAH+6d6k=",0)</f>
        <v>#REF!</v>
      </c>
      <c r="FO317" t="e">
        <f>IF(#REF!,"AAAAAH+6d6o=",0)</f>
        <v>#REF!</v>
      </c>
      <c r="FP317" t="e">
        <f>IF(#REF!,"AAAAAH+6d6s=",0)</f>
        <v>#REF!</v>
      </c>
      <c r="FQ317" t="e">
        <f>IF(#REF!,"AAAAAH+6d6w=",0)</f>
        <v>#REF!</v>
      </c>
      <c r="FR317" t="e">
        <f>IF(#REF!,"AAAAAH+6d60=",0)</f>
        <v>#REF!</v>
      </c>
      <c r="FS317" t="e">
        <f>IF(#REF!,"AAAAAH+6d64=",0)</f>
        <v>#REF!</v>
      </c>
      <c r="FT317" t="e">
        <f>IF(#REF!,"AAAAAH+6d68=",0)</f>
        <v>#REF!</v>
      </c>
      <c r="FU317" t="e">
        <f>IF(#REF!,"AAAAAH+6d7A=",0)</f>
        <v>#REF!</v>
      </c>
      <c r="FV317" t="e">
        <f>IF(#REF!,"AAAAAH+6d7E=",0)</f>
        <v>#REF!</v>
      </c>
      <c r="FW317" t="e">
        <f>IF(#REF!,"AAAAAH+6d7I=",0)</f>
        <v>#REF!</v>
      </c>
      <c r="FX317" t="e">
        <f>IF(#REF!,"AAAAAH+6d7M=",0)</f>
        <v>#REF!</v>
      </c>
      <c r="FY317" t="e">
        <f>IF(#REF!,"AAAAAH+6d7Q=",0)</f>
        <v>#REF!</v>
      </c>
      <c r="FZ317" t="e">
        <f>IF(#REF!,"AAAAAH+6d7U=",0)</f>
        <v>#REF!</v>
      </c>
      <c r="GA317" t="e">
        <f>IF(#REF!,"AAAAAH+6d7Y=",0)</f>
        <v>#REF!</v>
      </c>
      <c r="GB317" t="e">
        <f>IF(#REF!,"AAAAAH+6d7c=",0)</f>
        <v>#REF!</v>
      </c>
      <c r="GC317" t="e">
        <f>IF(#REF!,"AAAAAH+6d7g=",0)</f>
        <v>#REF!</v>
      </c>
      <c r="GD317" t="e">
        <f>IF(#REF!,"AAAAAH+6d7k=",0)</f>
        <v>#REF!</v>
      </c>
      <c r="GE317" t="e">
        <f>IF(#REF!,"AAAAAH+6d7o=",0)</f>
        <v>#REF!</v>
      </c>
      <c r="GF317" t="e">
        <f>IF(#REF!,"AAAAAH+6d7s=",0)</f>
        <v>#REF!</v>
      </c>
      <c r="GG317" t="e">
        <f>IF(#REF!,"AAAAAH+6d7w=",0)</f>
        <v>#REF!</v>
      </c>
      <c r="GH317" t="e">
        <f>IF(#REF!,"AAAAAH+6d70=",0)</f>
        <v>#REF!</v>
      </c>
      <c r="GI317" t="e">
        <f>IF(#REF!,"AAAAAH+6d74=",0)</f>
        <v>#REF!</v>
      </c>
      <c r="GJ317" t="e">
        <f>IF(#REF!,"AAAAAH+6d78=",0)</f>
        <v>#REF!</v>
      </c>
      <c r="GK317" t="e">
        <f>IF(#REF!,"AAAAAH+6d8A=",0)</f>
        <v>#REF!</v>
      </c>
      <c r="GL317" t="e">
        <f>IF(#REF!,"AAAAAH+6d8E=",0)</f>
        <v>#REF!</v>
      </c>
      <c r="GM317" t="e">
        <f>IF(#REF!,"AAAAAH+6d8I=",0)</f>
        <v>#REF!</v>
      </c>
      <c r="GN317" t="e">
        <f>IF(#REF!,"AAAAAH+6d8M=",0)</f>
        <v>#REF!</v>
      </c>
      <c r="GO317" t="e">
        <f>IF(#REF!,"AAAAAH+6d8Q=",0)</f>
        <v>#REF!</v>
      </c>
      <c r="GP317" t="e">
        <f>IF(#REF!,"AAAAAH+6d8U=",0)</f>
        <v>#REF!</v>
      </c>
      <c r="GQ317" t="e">
        <f>IF(#REF!,"AAAAAH+6d8Y=",0)</f>
        <v>#REF!</v>
      </c>
      <c r="GR317" t="e">
        <f>IF(#REF!,"AAAAAH+6d8c=",0)</f>
        <v>#REF!</v>
      </c>
      <c r="GS317" t="e">
        <f>IF(#REF!,"AAAAAH+6d8g=",0)</f>
        <v>#REF!</v>
      </c>
      <c r="GT317" t="e">
        <f>IF(#REF!,"AAAAAH+6d8k=",0)</f>
        <v>#REF!</v>
      </c>
      <c r="GU317" t="e">
        <f>IF(#REF!,"AAAAAH+6d8o=",0)</f>
        <v>#REF!</v>
      </c>
      <c r="GV317" t="e">
        <f>IF(#REF!,"AAAAAH+6d8s=",0)</f>
        <v>#REF!</v>
      </c>
      <c r="GW317" t="e">
        <f>IF(#REF!,"AAAAAH+6d8w=",0)</f>
        <v>#REF!</v>
      </c>
      <c r="GX317" t="e">
        <f>IF(#REF!,"AAAAAH+6d80=",0)</f>
        <v>#REF!</v>
      </c>
      <c r="GY317" t="e">
        <f>IF(#REF!,"AAAAAH+6d84=",0)</f>
        <v>#REF!</v>
      </c>
      <c r="GZ317" t="e">
        <f>IF(#REF!,"AAAAAH+6d88=",0)</f>
        <v>#REF!</v>
      </c>
      <c r="HA317" t="e">
        <f>IF(#REF!,"AAAAAH+6d9A=",0)</f>
        <v>#REF!</v>
      </c>
      <c r="HB317" t="e">
        <f>IF(#REF!,"AAAAAH+6d9E=",0)</f>
        <v>#REF!</v>
      </c>
      <c r="HC317" t="e">
        <f>IF(#REF!,"AAAAAH+6d9I=",0)</f>
        <v>#REF!</v>
      </c>
      <c r="HD317" t="e">
        <f>IF(#REF!,"AAAAAH+6d9M=",0)</f>
        <v>#REF!</v>
      </c>
      <c r="HE317" t="e">
        <f>IF(#REF!,"AAAAAH+6d9Q=",0)</f>
        <v>#REF!</v>
      </c>
      <c r="HF317" t="e">
        <f>IF(#REF!,"AAAAAH+6d9U=",0)</f>
        <v>#REF!</v>
      </c>
      <c r="HG317" t="e">
        <f>IF(#REF!,"AAAAAH+6d9Y=",0)</f>
        <v>#REF!</v>
      </c>
      <c r="HH317" t="e">
        <f>IF(#REF!,"AAAAAH+6d9c=",0)</f>
        <v>#REF!</v>
      </c>
      <c r="HI317" t="e">
        <f>IF(#REF!,"AAAAAH+6d9g=",0)</f>
        <v>#REF!</v>
      </c>
      <c r="HJ317" t="e">
        <f>IF(#REF!,"AAAAAH+6d9k=",0)</f>
        <v>#REF!</v>
      </c>
      <c r="HK317" t="e">
        <f>IF(#REF!,"AAAAAH+6d9o=",0)</f>
        <v>#REF!</v>
      </c>
      <c r="HL317" t="e">
        <f>IF(#REF!,"AAAAAH+6d9s=",0)</f>
        <v>#REF!</v>
      </c>
      <c r="HM317" t="e">
        <f>IF(#REF!,"AAAAAH+6d9w=",0)</f>
        <v>#REF!</v>
      </c>
      <c r="HN317" t="e">
        <f>IF(#REF!,"AAAAAH+6d90=",0)</f>
        <v>#REF!</v>
      </c>
      <c r="HO317" t="e">
        <f>IF(#REF!,"AAAAAH+6d94=",0)</f>
        <v>#REF!</v>
      </c>
      <c r="HP317" t="e">
        <f>IF(#REF!,"AAAAAH+6d98=",0)</f>
        <v>#REF!</v>
      </c>
      <c r="HQ317" t="e">
        <f>IF(#REF!,"AAAAAH+6d+A=",0)</f>
        <v>#REF!</v>
      </c>
      <c r="HR317" t="e">
        <f>IF(#REF!,"AAAAAH+6d+E=",0)</f>
        <v>#REF!</v>
      </c>
      <c r="HS317" t="e">
        <f>IF(#REF!,"AAAAAH+6d+I=",0)</f>
        <v>#REF!</v>
      </c>
      <c r="HT317" t="e">
        <f>IF(#REF!,"AAAAAH+6d+M=",0)</f>
        <v>#REF!</v>
      </c>
      <c r="HU317" t="e">
        <f>IF(#REF!,"AAAAAH+6d+Q=",0)</f>
        <v>#REF!</v>
      </c>
      <c r="HV317" t="e">
        <f>IF(#REF!,"AAAAAH+6d+U=",0)</f>
        <v>#REF!</v>
      </c>
      <c r="HW317" t="e">
        <f>IF(#REF!,"AAAAAH+6d+Y=",0)</f>
        <v>#REF!</v>
      </c>
      <c r="HX317" t="e">
        <f>IF(#REF!,"AAAAAH+6d+c=",0)</f>
        <v>#REF!</v>
      </c>
      <c r="HY317" t="e">
        <f>IF(#REF!,"AAAAAH+6d+g=",0)</f>
        <v>#REF!</v>
      </c>
      <c r="HZ317" t="e">
        <f>IF(#REF!,"AAAAAH+6d+k=",0)</f>
        <v>#REF!</v>
      </c>
      <c r="IA317" t="e">
        <f>IF(#REF!,"AAAAAH+6d+o=",0)</f>
        <v>#REF!</v>
      </c>
      <c r="IB317" t="e">
        <f>IF(#REF!,"AAAAAH+6d+s=",0)</f>
        <v>#REF!</v>
      </c>
      <c r="IC317" t="e">
        <f>IF(#REF!,"AAAAAH+6d+w=",0)</f>
        <v>#REF!</v>
      </c>
      <c r="ID317" t="e">
        <f>IF(#REF!,"AAAAAH+6d+0=",0)</f>
        <v>#REF!</v>
      </c>
      <c r="IE317" t="e">
        <f>IF(#REF!,"AAAAAH+6d+4=",0)</f>
        <v>#REF!</v>
      </c>
      <c r="IF317" t="e">
        <f>IF(#REF!,"AAAAAH+6d+8=",0)</f>
        <v>#REF!</v>
      </c>
      <c r="IG317" t="e">
        <f>IF(#REF!,"AAAAAH+6d/A=",0)</f>
        <v>#REF!</v>
      </c>
      <c r="IH317" t="e">
        <f>IF(#REF!,"AAAAAH+6d/E=",0)</f>
        <v>#REF!</v>
      </c>
      <c r="II317" t="e">
        <f>IF(#REF!,"AAAAAH+6d/I=",0)</f>
        <v>#REF!</v>
      </c>
      <c r="IJ317" t="e">
        <f>IF(#REF!,"AAAAAH+6d/M=",0)</f>
        <v>#REF!</v>
      </c>
      <c r="IK317" t="e">
        <f>IF(#REF!,"AAAAAH+6d/Q=",0)</f>
        <v>#REF!</v>
      </c>
      <c r="IL317" t="e">
        <f>IF(#REF!,"AAAAAH+6d/U=",0)</f>
        <v>#REF!</v>
      </c>
      <c r="IM317" t="e">
        <f>IF(#REF!,"AAAAAH+6d/Y=",0)</f>
        <v>#REF!</v>
      </c>
      <c r="IN317" t="e">
        <f>IF(#REF!,"AAAAAH+6d/c=",0)</f>
        <v>#REF!</v>
      </c>
      <c r="IO317" t="e">
        <f>IF(#REF!,"AAAAAH+6d/g=",0)</f>
        <v>#REF!</v>
      </c>
      <c r="IP317" t="e">
        <f>IF(#REF!,"AAAAAH+6d/k=",0)</f>
        <v>#REF!</v>
      </c>
      <c r="IQ317" t="e">
        <f>IF(#REF!,"AAAAAH+6d/o=",0)</f>
        <v>#REF!</v>
      </c>
      <c r="IR317" t="e">
        <f>IF(#REF!,"AAAAAH+6d/s=",0)</f>
        <v>#REF!</v>
      </c>
      <c r="IS317" t="e">
        <f>IF(#REF!,"AAAAAH+6d/w=",0)</f>
        <v>#REF!</v>
      </c>
      <c r="IT317" t="e">
        <f>IF(#REF!,"AAAAAH+6d/0=",0)</f>
        <v>#REF!</v>
      </c>
      <c r="IU317" t="e">
        <f>IF(#REF!,"AAAAAH+6d/4=",0)</f>
        <v>#REF!</v>
      </c>
      <c r="IV317" t="e">
        <f>IF(#REF!,"AAAAAH+6d/8=",0)</f>
        <v>#REF!</v>
      </c>
    </row>
    <row r="318" spans="1:256">
      <c r="A318" t="e">
        <f>IF(#REF!,"AAAAAG/33gA=",0)</f>
        <v>#REF!</v>
      </c>
      <c r="B318" t="e">
        <f>IF(#REF!,"AAAAAG/33gE=",0)</f>
        <v>#REF!</v>
      </c>
      <c r="C318" t="e">
        <f>IF(#REF!,"AAAAAG/33gI=",0)</f>
        <v>#REF!</v>
      </c>
      <c r="D318" t="e">
        <f>IF(#REF!,"AAAAAG/33gM=",0)</f>
        <v>#REF!</v>
      </c>
      <c r="E318" t="e">
        <f>IF(#REF!,"AAAAAG/33gQ=",0)</f>
        <v>#REF!</v>
      </c>
      <c r="F318" t="e">
        <f>IF(#REF!,"AAAAAG/33gU=",0)</f>
        <v>#REF!</v>
      </c>
      <c r="G318" t="e">
        <f>IF(#REF!,"AAAAAG/33gY=",0)</f>
        <v>#REF!</v>
      </c>
      <c r="H318" t="e">
        <f>IF(#REF!,"AAAAAG/33gc=",0)</f>
        <v>#REF!</v>
      </c>
      <c r="I318" t="e">
        <f>IF(#REF!,"AAAAAG/33gg=",0)</f>
        <v>#REF!</v>
      </c>
      <c r="J318" t="e">
        <f>IF(#REF!,"AAAAAG/33gk=",0)</f>
        <v>#REF!</v>
      </c>
      <c r="K318" t="e">
        <f>IF(#REF!,"AAAAAG/33go=",0)</f>
        <v>#REF!</v>
      </c>
      <c r="L318" t="e">
        <f>IF(#REF!,"AAAAAG/33gs=",0)</f>
        <v>#REF!</v>
      </c>
      <c r="M318" t="e">
        <f>IF(#REF!,"AAAAAG/33gw=",0)</f>
        <v>#REF!</v>
      </c>
      <c r="N318" t="e">
        <f>IF(#REF!,"AAAAAG/33g0=",0)</f>
        <v>#REF!</v>
      </c>
      <c r="O318" t="e">
        <f>IF(#REF!,"AAAAAG/33g4=",0)</f>
        <v>#REF!</v>
      </c>
      <c r="P318" t="e">
        <f>IF(#REF!,"AAAAAG/33g8=",0)</f>
        <v>#REF!</v>
      </c>
      <c r="Q318" t="e">
        <f>IF(#REF!,"AAAAAG/33hA=",0)</f>
        <v>#REF!</v>
      </c>
      <c r="R318" t="e">
        <f>IF(#REF!,"AAAAAG/33hE=",0)</f>
        <v>#REF!</v>
      </c>
      <c r="S318" t="e">
        <f>IF(#REF!,"AAAAAG/33hI=",0)</f>
        <v>#REF!</v>
      </c>
      <c r="T318" t="e">
        <f>IF(#REF!,"AAAAAG/33hM=",0)</f>
        <v>#REF!</v>
      </c>
      <c r="U318" t="e">
        <f>IF(#REF!,"AAAAAG/33hQ=",0)</f>
        <v>#REF!</v>
      </c>
      <c r="V318" t="e">
        <f>IF(#REF!,"AAAAAG/33hU=",0)</f>
        <v>#REF!</v>
      </c>
      <c r="W318" t="e">
        <f>IF(#REF!,"AAAAAG/33hY=",0)</f>
        <v>#REF!</v>
      </c>
      <c r="X318" t="e">
        <f>IF(#REF!,"AAAAAG/33hc=",0)</f>
        <v>#REF!</v>
      </c>
      <c r="Y318" t="e">
        <f>IF(#REF!,"AAAAAG/33hg=",0)</f>
        <v>#REF!</v>
      </c>
      <c r="Z318" t="e">
        <f>IF(#REF!,"AAAAAG/33hk=",0)</f>
        <v>#REF!</v>
      </c>
      <c r="AA318" t="e">
        <f>IF(#REF!,"AAAAAG/33ho=",0)</f>
        <v>#REF!</v>
      </c>
      <c r="AB318" t="e">
        <f>IF(#REF!,"AAAAAG/33hs=",0)</f>
        <v>#REF!</v>
      </c>
      <c r="AC318" t="e">
        <f>IF(#REF!,"AAAAAG/33hw=",0)</f>
        <v>#REF!</v>
      </c>
      <c r="AD318" t="e">
        <f>IF(#REF!,"AAAAAG/33h0=",0)</f>
        <v>#REF!</v>
      </c>
      <c r="AE318" t="e">
        <f>IF(#REF!,"AAAAAG/33h4=",0)</f>
        <v>#REF!</v>
      </c>
      <c r="AF318" t="e">
        <f>IF(#REF!,"AAAAAG/33h8=",0)</f>
        <v>#REF!</v>
      </c>
      <c r="AG318" t="e">
        <f>IF(#REF!,"AAAAAG/33iA=",0)</f>
        <v>#REF!</v>
      </c>
      <c r="AH318" t="e">
        <f>IF(#REF!,"AAAAAG/33iE=",0)</f>
        <v>#REF!</v>
      </c>
      <c r="AI318" t="e">
        <f>IF(#REF!,"AAAAAG/33iI=",0)</f>
        <v>#REF!</v>
      </c>
      <c r="AJ318" t="e">
        <f>IF(#REF!,"AAAAAG/33iM=",0)</f>
        <v>#REF!</v>
      </c>
      <c r="AK318" t="e">
        <f>IF(#REF!,"AAAAAG/33iQ=",0)</f>
        <v>#REF!</v>
      </c>
      <c r="AL318" t="e">
        <f>IF(#REF!,"AAAAAG/33iU=",0)</f>
        <v>#REF!</v>
      </c>
      <c r="AM318" t="e">
        <f>IF(#REF!,"AAAAAG/33iY=",0)</f>
        <v>#REF!</v>
      </c>
      <c r="AN318" t="e">
        <f>IF(#REF!,"AAAAAG/33ic=",0)</f>
        <v>#REF!</v>
      </c>
      <c r="AO318" t="e">
        <f>IF(#REF!,"AAAAAG/33ig=",0)</f>
        <v>#REF!</v>
      </c>
      <c r="AP318" t="e">
        <f>IF(#REF!,"AAAAAG/33ik=",0)</f>
        <v>#REF!</v>
      </c>
      <c r="AQ318" t="e">
        <f>IF(#REF!,"AAAAAG/33io=",0)</f>
        <v>#REF!</v>
      </c>
      <c r="AR318" t="e">
        <f>IF(#REF!,"AAAAAG/33is=",0)</f>
        <v>#REF!</v>
      </c>
      <c r="AS318" t="e">
        <f>IF(#REF!,"AAAAAG/33iw=",0)</f>
        <v>#REF!</v>
      </c>
      <c r="AT318" t="e">
        <f>IF(#REF!,"AAAAAG/33i0=",0)</f>
        <v>#REF!</v>
      </c>
      <c r="AU318" t="e">
        <f>IF(#REF!,"AAAAAG/33i4=",0)</f>
        <v>#REF!</v>
      </c>
      <c r="AV318" t="e">
        <f>IF(#REF!,"AAAAAG/33i8=",0)</f>
        <v>#REF!</v>
      </c>
      <c r="AW318" t="e">
        <f>IF(#REF!,"AAAAAG/33jA=",0)</f>
        <v>#REF!</v>
      </c>
      <c r="AX318" t="e">
        <f>IF(#REF!,"AAAAAG/33jE=",0)</f>
        <v>#REF!</v>
      </c>
      <c r="AY318" t="e">
        <f>IF(#REF!,"AAAAAG/33jI=",0)</f>
        <v>#REF!</v>
      </c>
      <c r="AZ318" t="e">
        <f>IF(#REF!,"AAAAAG/33jM=",0)</f>
        <v>#REF!</v>
      </c>
      <c r="BA318" t="e">
        <f>IF(#REF!,"AAAAAG/33jQ=",0)</f>
        <v>#REF!</v>
      </c>
      <c r="BB318" t="e">
        <f>IF(#REF!,"AAAAAG/33jU=",0)</f>
        <v>#REF!</v>
      </c>
      <c r="BC318" t="e">
        <f>IF(#REF!,"AAAAAG/33jY=",0)</f>
        <v>#REF!</v>
      </c>
      <c r="BD318" t="e">
        <f>IF(#REF!,"AAAAAG/33jc=",0)</f>
        <v>#REF!</v>
      </c>
      <c r="BE318" t="e">
        <f>IF(#REF!,"AAAAAG/33jg=",0)</f>
        <v>#REF!</v>
      </c>
      <c r="BF318" t="e">
        <f>IF(#REF!,"AAAAAG/33jk=",0)</f>
        <v>#REF!</v>
      </c>
      <c r="BG318" t="e">
        <f>IF(#REF!,"AAAAAG/33jo=",0)</f>
        <v>#REF!</v>
      </c>
      <c r="BH318" t="e">
        <f>IF(#REF!,"AAAAAG/33js=",0)</f>
        <v>#REF!</v>
      </c>
      <c r="BI318" t="e">
        <f>IF(#REF!,"AAAAAG/33jw=",0)</f>
        <v>#REF!</v>
      </c>
      <c r="BJ318" t="e">
        <f>IF(#REF!,"AAAAAG/33j0=",0)</f>
        <v>#REF!</v>
      </c>
      <c r="BK318" t="e">
        <f>IF(#REF!,"AAAAAG/33j4=",0)</f>
        <v>#REF!</v>
      </c>
      <c r="BL318" t="e">
        <f>IF(#REF!,"AAAAAG/33j8=",0)</f>
        <v>#REF!</v>
      </c>
      <c r="BM318" t="e">
        <f>IF(#REF!,"AAAAAG/33kA=",0)</f>
        <v>#REF!</v>
      </c>
      <c r="BN318" t="e">
        <f>IF(#REF!,"AAAAAG/33kE=",0)</f>
        <v>#REF!</v>
      </c>
      <c r="BO318" t="e">
        <f>IF(#REF!,"AAAAAG/33kI=",0)</f>
        <v>#REF!</v>
      </c>
      <c r="BP318" t="e">
        <f>IF(#REF!,"AAAAAG/33kM=",0)</f>
        <v>#REF!</v>
      </c>
      <c r="BQ318" t="e">
        <f>IF(#REF!,"AAAAAG/33kQ=",0)</f>
        <v>#REF!</v>
      </c>
      <c r="BR318" t="e">
        <f>IF(#REF!,"AAAAAG/33kU=",0)</f>
        <v>#REF!</v>
      </c>
      <c r="BS318" t="e">
        <f>IF(#REF!,"AAAAAG/33kY=",0)</f>
        <v>#REF!</v>
      </c>
      <c r="BT318" t="e">
        <f>IF(#REF!,"AAAAAG/33kc=",0)</f>
        <v>#REF!</v>
      </c>
      <c r="BU318" t="e">
        <f>IF(#REF!,"AAAAAG/33kg=",0)</f>
        <v>#REF!</v>
      </c>
      <c r="BV318" t="e">
        <f>IF(#REF!,"AAAAAG/33kk=",0)</f>
        <v>#REF!</v>
      </c>
      <c r="BW318" t="e">
        <f>IF(#REF!,"AAAAAG/33ko=",0)</f>
        <v>#REF!</v>
      </c>
      <c r="BX318" t="e">
        <f>IF(#REF!,"AAAAAG/33ks=",0)</f>
        <v>#REF!</v>
      </c>
      <c r="BY318" t="e">
        <f>IF(#REF!,"AAAAAG/33kw=",0)</f>
        <v>#REF!</v>
      </c>
      <c r="BZ318" t="e">
        <f>IF(#REF!,"AAAAAG/33k0=",0)</f>
        <v>#REF!</v>
      </c>
      <c r="CA318" t="e">
        <f>IF(#REF!,"AAAAAG/33k4=",0)</f>
        <v>#REF!</v>
      </c>
      <c r="CB318" t="e">
        <f>IF(#REF!,"AAAAAG/33k8=",0)</f>
        <v>#REF!</v>
      </c>
      <c r="CC318" t="e">
        <f>IF(#REF!,"AAAAAG/33lA=",0)</f>
        <v>#REF!</v>
      </c>
      <c r="CD318" t="e">
        <f>IF(#REF!,"AAAAAG/33lE=",0)</f>
        <v>#REF!</v>
      </c>
      <c r="CE318" t="e">
        <f>IF(#REF!,"AAAAAG/33lI=",0)</f>
        <v>#REF!</v>
      </c>
      <c r="CF318" t="e">
        <f>IF(#REF!,"AAAAAG/33lM=",0)</f>
        <v>#REF!</v>
      </c>
      <c r="CG318" t="e">
        <f>IF(#REF!,"AAAAAG/33lQ=",0)</f>
        <v>#REF!</v>
      </c>
      <c r="CH318" t="e">
        <f>IF(#REF!,"AAAAAG/33lU=",0)</f>
        <v>#REF!</v>
      </c>
      <c r="CI318" t="e">
        <f>IF(#REF!,"AAAAAG/33lY=",0)</f>
        <v>#REF!</v>
      </c>
      <c r="CJ318" t="e">
        <f>IF(#REF!,"AAAAAG/33lc=",0)</f>
        <v>#REF!</v>
      </c>
      <c r="CK318" t="e">
        <f>IF(#REF!,"AAAAAG/33lg=",0)</f>
        <v>#REF!</v>
      </c>
      <c r="CL318" t="e">
        <f>IF(#REF!,"AAAAAG/33lk=",0)</f>
        <v>#REF!</v>
      </c>
      <c r="CM318" t="e">
        <f>IF(#REF!,"AAAAAG/33lo=",0)</f>
        <v>#REF!</v>
      </c>
      <c r="CN318" t="e">
        <f>IF(#REF!,"AAAAAG/33ls=",0)</f>
        <v>#REF!</v>
      </c>
      <c r="CO318" t="e">
        <f>IF(#REF!,"AAAAAG/33lw=",0)</f>
        <v>#REF!</v>
      </c>
      <c r="CP318" t="e">
        <f>IF(#REF!,"AAAAAG/33l0=",0)</f>
        <v>#REF!</v>
      </c>
      <c r="CQ318" t="e">
        <f>IF(#REF!,"AAAAAG/33l4=",0)</f>
        <v>#REF!</v>
      </c>
      <c r="CR318" t="e">
        <f>IF(#REF!,"AAAAAG/33l8=",0)</f>
        <v>#REF!</v>
      </c>
      <c r="CS318" t="e">
        <f>IF(#REF!,"AAAAAG/33mA=",0)</f>
        <v>#REF!</v>
      </c>
      <c r="CT318" t="e">
        <f>IF(#REF!,"AAAAAG/33mE=",0)</f>
        <v>#REF!</v>
      </c>
      <c r="CU318" t="e">
        <f>IF(#REF!,"AAAAAG/33mI=",0)</f>
        <v>#REF!</v>
      </c>
      <c r="CV318" t="e">
        <f>IF(#REF!,"AAAAAG/33mM=",0)</f>
        <v>#REF!</v>
      </c>
      <c r="CW318" t="e">
        <f>IF(#REF!,"AAAAAG/33mQ=",0)</f>
        <v>#REF!</v>
      </c>
      <c r="CX318" t="e">
        <f>IF(#REF!,"AAAAAG/33mU=",0)</f>
        <v>#REF!</v>
      </c>
      <c r="CY318" t="e">
        <f>IF(#REF!,"AAAAAG/33mY=",0)</f>
        <v>#REF!</v>
      </c>
      <c r="CZ318" t="e">
        <f>IF(#REF!,"AAAAAG/33mc=",0)</f>
        <v>#REF!</v>
      </c>
      <c r="DA318" t="e">
        <f>IF(#REF!,"AAAAAG/33mg=",0)</f>
        <v>#REF!</v>
      </c>
      <c r="DB318" t="e">
        <f>IF(#REF!,"AAAAAG/33mk=",0)</f>
        <v>#REF!</v>
      </c>
      <c r="DC318" t="e">
        <f>IF(#REF!,"AAAAAG/33mo=",0)</f>
        <v>#REF!</v>
      </c>
      <c r="DD318" t="e">
        <f>IF(#REF!,"AAAAAG/33ms=",0)</f>
        <v>#REF!</v>
      </c>
      <c r="DE318" t="e">
        <f>IF(#REF!,"AAAAAG/33mw=",0)</f>
        <v>#REF!</v>
      </c>
      <c r="DF318" t="e">
        <f>IF(#REF!,"AAAAAG/33m0=",0)</f>
        <v>#REF!</v>
      </c>
      <c r="DG318" t="e">
        <f>IF(#REF!,"AAAAAG/33m4=",0)</f>
        <v>#REF!</v>
      </c>
      <c r="DH318" t="e">
        <f>IF(#REF!,"AAAAAG/33m8=",0)</f>
        <v>#REF!</v>
      </c>
      <c r="DI318" t="e">
        <f>IF(#REF!,"AAAAAG/33nA=",0)</f>
        <v>#REF!</v>
      </c>
      <c r="DJ318" t="e">
        <f>IF(#REF!,"AAAAAG/33nE=",0)</f>
        <v>#REF!</v>
      </c>
      <c r="DK318" t="e">
        <f>IF(#REF!,"AAAAAG/33nI=",0)</f>
        <v>#REF!</v>
      </c>
      <c r="DL318" t="e">
        <f>IF(#REF!,"AAAAAG/33nM=",0)</f>
        <v>#REF!</v>
      </c>
      <c r="DM318" t="e">
        <f>IF(#REF!,"AAAAAG/33nQ=",0)</f>
        <v>#REF!</v>
      </c>
      <c r="DN318" t="e">
        <f>IF(#REF!,"AAAAAG/33nU=",0)</f>
        <v>#REF!</v>
      </c>
      <c r="DO318" t="e">
        <f>IF(#REF!,"AAAAAG/33nY=",0)</f>
        <v>#REF!</v>
      </c>
      <c r="DP318" t="e">
        <f>IF(#REF!,"AAAAAG/33nc=",0)</f>
        <v>#REF!</v>
      </c>
      <c r="DQ318" t="e">
        <f>IF(#REF!,"AAAAAG/33ng=",0)</f>
        <v>#REF!</v>
      </c>
      <c r="DR318" t="e">
        <f>IF(#REF!,"AAAAAG/33nk=",0)</f>
        <v>#REF!</v>
      </c>
      <c r="DS318" t="e">
        <f>IF(#REF!,"AAAAAG/33no=",0)</f>
        <v>#REF!</v>
      </c>
      <c r="DT318" t="e">
        <f>IF(#REF!,"AAAAAG/33ns=",0)</f>
        <v>#REF!</v>
      </c>
      <c r="DU318" t="e">
        <f>IF(#REF!,"AAAAAG/33nw=",0)</f>
        <v>#REF!</v>
      </c>
      <c r="DV318" t="e">
        <f>IF(#REF!,"AAAAAG/33n0=",0)</f>
        <v>#REF!</v>
      </c>
      <c r="DW318" t="e">
        <f>IF(#REF!,"AAAAAG/33n4=",0)</f>
        <v>#REF!</v>
      </c>
      <c r="DX318" t="e">
        <f>IF(#REF!,"AAAAAG/33n8=",0)</f>
        <v>#REF!</v>
      </c>
      <c r="DY318" t="e">
        <f>IF(#REF!,"AAAAAG/33oA=",0)</f>
        <v>#REF!</v>
      </c>
      <c r="DZ318" t="e">
        <f>IF(#REF!,"AAAAAG/33oE=",0)</f>
        <v>#REF!</v>
      </c>
      <c r="EA318" t="e">
        <f>IF(#REF!,"AAAAAG/33oI=",0)</f>
        <v>#REF!</v>
      </c>
      <c r="EB318" t="e">
        <f>IF(#REF!,"AAAAAG/33oM=",0)</f>
        <v>#REF!</v>
      </c>
      <c r="EC318" t="e">
        <f>IF(#REF!,"AAAAAG/33oQ=",0)</f>
        <v>#REF!</v>
      </c>
      <c r="ED318" t="e">
        <f>IF(#REF!,"AAAAAG/33oU=",0)</f>
        <v>#REF!</v>
      </c>
      <c r="EE318" t="e">
        <f>IF(#REF!,"AAAAAG/33oY=",0)</f>
        <v>#REF!</v>
      </c>
      <c r="EF318" t="e">
        <f>IF(#REF!,"AAAAAG/33oc=",0)</f>
        <v>#REF!</v>
      </c>
      <c r="EG318" t="e">
        <f>IF(#REF!,"AAAAAG/33og=",0)</f>
        <v>#REF!</v>
      </c>
      <c r="EH318" t="e">
        <f>IF(#REF!,"AAAAAG/33ok=",0)</f>
        <v>#REF!</v>
      </c>
      <c r="EI318" t="e">
        <f>IF(#REF!,"AAAAAG/33oo=",0)</f>
        <v>#REF!</v>
      </c>
      <c r="EJ318" t="e">
        <f>IF(#REF!,"AAAAAG/33os=",0)</f>
        <v>#REF!</v>
      </c>
      <c r="EK318" t="e">
        <f>IF(#REF!,"AAAAAG/33ow=",0)</f>
        <v>#REF!</v>
      </c>
      <c r="EL318" t="e">
        <f>IF(#REF!,"AAAAAG/33o0=",0)</f>
        <v>#REF!</v>
      </c>
      <c r="EM318" t="e">
        <f>IF(#REF!,"AAAAAG/33o4=",0)</f>
        <v>#REF!</v>
      </c>
      <c r="EN318" t="e">
        <f>IF(#REF!,"AAAAAG/33o8=",0)</f>
        <v>#REF!</v>
      </c>
      <c r="EO318" t="e">
        <f>IF(#REF!,"AAAAAG/33pA=",0)</f>
        <v>#REF!</v>
      </c>
      <c r="EP318" t="e">
        <f>IF(#REF!,"AAAAAG/33pE=",0)</f>
        <v>#REF!</v>
      </c>
      <c r="EQ318" t="e">
        <f>IF(#REF!,"AAAAAG/33pI=",0)</f>
        <v>#REF!</v>
      </c>
      <c r="ER318" t="e">
        <f>IF(#REF!,"AAAAAG/33pM=",0)</f>
        <v>#REF!</v>
      </c>
      <c r="ES318" t="e">
        <f>IF(#REF!,"AAAAAG/33pQ=",0)</f>
        <v>#REF!</v>
      </c>
      <c r="ET318" t="e">
        <f>IF(#REF!,"AAAAAG/33pU=",0)</f>
        <v>#REF!</v>
      </c>
      <c r="EU318" t="e">
        <f>IF(#REF!,"AAAAAG/33pY=",0)</f>
        <v>#REF!</v>
      </c>
      <c r="EV318" t="e">
        <f>IF(#REF!,"AAAAAG/33pc=",0)</f>
        <v>#REF!</v>
      </c>
      <c r="EW318" t="e">
        <f>IF(#REF!,"AAAAAG/33pg=",0)</f>
        <v>#REF!</v>
      </c>
      <c r="EX318" t="e">
        <f>IF(#REF!,"AAAAAG/33pk=",0)</f>
        <v>#REF!</v>
      </c>
      <c r="EY318" t="e">
        <f>IF(#REF!,"AAAAAG/33po=",0)</f>
        <v>#REF!</v>
      </c>
      <c r="EZ318" t="e">
        <f>IF(#REF!,"AAAAAG/33ps=",0)</f>
        <v>#REF!</v>
      </c>
      <c r="FA318" t="e">
        <f>IF(#REF!,"AAAAAG/33pw=",0)</f>
        <v>#REF!</v>
      </c>
      <c r="FB318" t="e">
        <f>IF(#REF!,"AAAAAG/33p0=",0)</f>
        <v>#REF!</v>
      </c>
      <c r="FC318" t="e">
        <f>IF(#REF!,"AAAAAG/33p4=",0)</f>
        <v>#REF!</v>
      </c>
      <c r="FD318" t="e">
        <f>IF(#REF!,"AAAAAG/33p8=",0)</f>
        <v>#REF!</v>
      </c>
      <c r="FE318" t="e">
        <f>IF(#REF!,"AAAAAG/33qA=",0)</f>
        <v>#REF!</v>
      </c>
      <c r="FF318" t="e">
        <f>IF(#REF!,"AAAAAG/33qE=",0)</f>
        <v>#REF!</v>
      </c>
      <c r="FG318" t="e">
        <f>IF(#REF!,"AAAAAG/33qI=",0)</f>
        <v>#REF!</v>
      </c>
      <c r="FH318" t="e">
        <f>IF(#REF!,"AAAAAG/33qM=",0)</f>
        <v>#REF!</v>
      </c>
      <c r="FI318" t="e">
        <f>IF(#REF!,"AAAAAG/33qQ=",0)</f>
        <v>#REF!</v>
      </c>
      <c r="FJ318" t="e">
        <f>IF(#REF!,"AAAAAG/33qU=",0)</f>
        <v>#REF!</v>
      </c>
      <c r="FK318" t="e">
        <f>IF(#REF!,"AAAAAG/33qY=",0)</f>
        <v>#REF!</v>
      </c>
      <c r="FL318" t="e">
        <f>IF(#REF!,"AAAAAG/33qc=",0)</f>
        <v>#REF!</v>
      </c>
      <c r="FM318" t="e">
        <f>IF(#REF!,"AAAAAG/33qg=",0)</f>
        <v>#REF!</v>
      </c>
      <c r="FN318" t="e">
        <f>IF(#REF!,"AAAAAG/33qk=",0)</f>
        <v>#REF!</v>
      </c>
      <c r="FO318" t="e">
        <f>IF(#REF!,"AAAAAG/33qo=",0)</f>
        <v>#REF!</v>
      </c>
      <c r="FP318" t="e">
        <f>IF(#REF!,"AAAAAG/33qs=",0)</f>
        <v>#REF!</v>
      </c>
      <c r="FQ318" t="e">
        <f>IF(#REF!,"AAAAAG/33qw=",0)</f>
        <v>#REF!</v>
      </c>
      <c r="FR318" t="e">
        <f>IF(#REF!,"AAAAAG/33q0=",0)</f>
        <v>#REF!</v>
      </c>
      <c r="FS318" t="e">
        <f>IF(#REF!,"AAAAAG/33q4=",0)</f>
        <v>#REF!</v>
      </c>
      <c r="FT318" t="e">
        <f>IF(#REF!,"AAAAAG/33q8=",0)</f>
        <v>#REF!</v>
      </c>
      <c r="FU318" t="e">
        <f>IF(#REF!,"AAAAAG/33rA=",0)</f>
        <v>#REF!</v>
      </c>
      <c r="FV318" t="e">
        <f>IF(#REF!,"AAAAAG/33rE=",0)</f>
        <v>#REF!</v>
      </c>
      <c r="FW318" t="e">
        <f>IF(#REF!,"AAAAAG/33rI=",0)</f>
        <v>#REF!</v>
      </c>
      <c r="FX318" t="e">
        <f>IF(#REF!,"AAAAAG/33rM=",0)</f>
        <v>#REF!</v>
      </c>
      <c r="FY318" t="e">
        <f>IF(#REF!,"AAAAAG/33rQ=",0)</f>
        <v>#REF!</v>
      </c>
      <c r="FZ318" t="e">
        <f>IF(#REF!,"AAAAAG/33rU=",0)</f>
        <v>#REF!</v>
      </c>
      <c r="GA318" t="e">
        <f>IF(#REF!,"AAAAAG/33rY=",0)</f>
        <v>#REF!</v>
      </c>
      <c r="GB318" t="e">
        <f>IF(#REF!,"AAAAAG/33rc=",0)</f>
        <v>#REF!</v>
      </c>
      <c r="GC318" t="e">
        <f>IF(#REF!,"AAAAAG/33rg=",0)</f>
        <v>#REF!</v>
      </c>
      <c r="GD318" t="e">
        <f>IF(#REF!,"AAAAAG/33rk=",0)</f>
        <v>#REF!</v>
      </c>
      <c r="GE318" t="e">
        <f>IF(#REF!,"AAAAAG/33ro=",0)</f>
        <v>#REF!</v>
      </c>
      <c r="GF318" t="e">
        <f>IF(#REF!,"AAAAAG/33rs=",0)</f>
        <v>#REF!</v>
      </c>
      <c r="GG318" t="e">
        <f>IF(#REF!,"AAAAAG/33rw=",0)</f>
        <v>#REF!</v>
      </c>
      <c r="GH318" t="e">
        <f>IF(#REF!,"AAAAAG/33r0=",0)</f>
        <v>#REF!</v>
      </c>
      <c r="GI318" t="e">
        <f>IF(#REF!,"AAAAAG/33r4=",0)</f>
        <v>#REF!</v>
      </c>
      <c r="GJ318" t="e">
        <f>IF(#REF!,"AAAAAG/33r8=",0)</f>
        <v>#REF!</v>
      </c>
      <c r="GK318" t="e">
        <f>IF(#REF!,"AAAAAG/33sA=",0)</f>
        <v>#REF!</v>
      </c>
      <c r="GL318" t="e">
        <f>IF(#REF!,"AAAAAG/33sE=",0)</f>
        <v>#REF!</v>
      </c>
      <c r="GM318" t="e">
        <f>IF(#REF!,"AAAAAG/33sI=",0)</f>
        <v>#REF!</v>
      </c>
      <c r="GN318" t="e">
        <f>IF(#REF!,"AAAAAG/33sM=",0)</f>
        <v>#REF!</v>
      </c>
      <c r="GO318" t="e">
        <f>IF(#REF!,"AAAAAG/33sQ=",0)</f>
        <v>#REF!</v>
      </c>
      <c r="GP318" t="e">
        <f>IF(#REF!,"AAAAAG/33sU=",0)</f>
        <v>#REF!</v>
      </c>
      <c r="GQ318" t="e">
        <f>IF(#REF!,"AAAAAG/33sY=",0)</f>
        <v>#REF!</v>
      </c>
      <c r="GR318" t="e">
        <f>IF(#REF!,"AAAAAG/33sc=",0)</f>
        <v>#REF!</v>
      </c>
      <c r="GS318" t="e">
        <f>IF(#REF!,"AAAAAG/33sg=",0)</f>
        <v>#REF!</v>
      </c>
      <c r="GT318" t="e">
        <f>IF(#REF!,"AAAAAG/33sk=",0)</f>
        <v>#REF!</v>
      </c>
      <c r="GU318" t="e">
        <f>IF(#REF!,"AAAAAG/33so=",0)</f>
        <v>#REF!</v>
      </c>
      <c r="GV318" t="e">
        <f>IF(#REF!,"AAAAAG/33ss=",0)</f>
        <v>#REF!</v>
      </c>
      <c r="GW318" t="e">
        <f>IF(#REF!,"AAAAAG/33sw=",0)</f>
        <v>#REF!</v>
      </c>
      <c r="GX318" t="e">
        <f>IF(#REF!,"AAAAAG/33s0=",0)</f>
        <v>#REF!</v>
      </c>
      <c r="GY318" t="e">
        <f>IF(#REF!,"AAAAAG/33s4=",0)</f>
        <v>#REF!</v>
      </c>
      <c r="GZ318" t="e">
        <f>IF(#REF!,"AAAAAG/33s8=",0)</f>
        <v>#REF!</v>
      </c>
      <c r="HA318" t="e">
        <f>IF(#REF!,"AAAAAG/33tA=",0)</f>
        <v>#REF!</v>
      </c>
      <c r="HB318" t="e">
        <f>IF(#REF!,"AAAAAG/33tE=",0)</f>
        <v>#REF!</v>
      </c>
      <c r="HC318" t="e">
        <f>IF(#REF!,"AAAAAG/33tI=",0)</f>
        <v>#REF!</v>
      </c>
      <c r="HD318" t="e">
        <f>IF(#REF!,"AAAAAG/33tM=",0)</f>
        <v>#REF!</v>
      </c>
      <c r="HE318" t="e">
        <f>IF(#REF!,"AAAAAG/33tQ=",0)</f>
        <v>#REF!</v>
      </c>
      <c r="HF318" t="e">
        <f>IF(#REF!,"AAAAAG/33tU=",0)</f>
        <v>#REF!</v>
      </c>
      <c r="HG318" t="e">
        <f>IF(#REF!,"AAAAAG/33tY=",0)</f>
        <v>#REF!</v>
      </c>
      <c r="HH318" t="e">
        <f>IF(#REF!,"AAAAAG/33tc=",0)</f>
        <v>#REF!</v>
      </c>
      <c r="HI318" t="e">
        <f>IF(#REF!,"AAAAAG/33tg=",0)</f>
        <v>#REF!</v>
      </c>
      <c r="HJ318" t="e">
        <f>IF(#REF!,"AAAAAG/33tk=",0)</f>
        <v>#REF!</v>
      </c>
      <c r="HK318" t="e">
        <f>IF(#REF!,"AAAAAG/33to=",0)</f>
        <v>#REF!</v>
      </c>
      <c r="HL318" t="e">
        <f>IF(#REF!,"AAAAAG/33ts=",0)</f>
        <v>#REF!</v>
      </c>
      <c r="HM318" t="e">
        <f>IF(#REF!,"AAAAAG/33tw=",0)</f>
        <v>#REF!</v>
      </c>
      <c r="HN318" t="e">
        <f>IF(#REF!,"AAAAAG/33t0=",0)</f>
        <v>#REF!</v>
      </c>
      <c r="HO318" t="e">
        <f>IF(#REF!,"AAAAAG/33t4=",0)</f>
        <v>#REF!</v>
      </c>
      <c r="HP318" t="e">
        <f>IF(#REF!,"AAAAAG/33t8=",0)</f>
        <v>#REF!</v>
      </c>
      <c r="HQ318" t="e">
        <f>IF(#REF!,"AAAAAG/33uA=",0)</f>
        <v>#REF!</v>
      </c>
      <c r="HR318" t="e">
        <f>IF(#REF!,"AAAAAG/33uE=",0)</f>
        <v>#REF!</v>
      </c>
      <c r="HS318" t="e">
        <f>IF(#REF!,"AAAAAG/33uI=",0)</f>
        <v>#REF!</v>
      </c>
      <c r="HT318" t="e">
        <f>IF(#REF!,"AAAAAG/33uM=",0)</f>
        <v>#REF!</v>
      </c>
      <c r="HU318" t="e">
        <f>IF(#REF!,"AAAAAG/33uQ=",0)</f>
        <v>#REF!</v>
      </c>
      <c r="HV318" t="e">
        <f>IF(#REF!,"AAAAAG/33uU=",0)</f>
        <v>#REF!</v>
      </c>
      <c r="HW318" t="e">
        <f>IF(#REF!,"AAAAAG/33uY=",0)</f>
        <v>#REF!</v>
      </c>
      <c r="HX318" t="e">
        <f>IF(#REF!,"AAAAAG/33uc=",0)</f>
        <v>#REF!</v>
      </c>
      <c r="HY318" t="e">
        <f>IF(#REF!,"AAAAAG/33ug=",0)</f>
        <v>#REF!</v>
      </c>
      <c r="HZ318" t="e">
        <f>IF(#REF!,"AAAAAG/33uk=",0)</f>
        <v>#REF!</v>
      </c>
      <c r="IA318" t="e">
        <f>IF(#REF!,"AAAAAG/33uo=",0)</f>
        <v>#REF!</v>
      </c>
      <c r="IB318" t="e">
        <f>IF(#REF!,"AAAAAG/33us=",0)</f>
        <v>#REF!</v>
      </c>
      <c r="IC318" t="e">
        <f>IF(#REF!,"AAAAAG/33uw=",0)</f>
        <v>#REF!</v>
      </c>
      <c r="ID318" t="e">
        <f>IF(#REF!,"AAAAAG/33u0=",0)</f>
        <v>#REF!</v>
      </c>
      <c r="IE318" t="e">
        <f>IF(#REF!,"AAAAAG/33u4=",0)</f>
        <v>#REF!</v>
      </c>
      <c r="IF318" t="e">
        <f>IF(#REF!,"AAAAAG/33u8=",0)</f>
        <v>#REF!</v>
      </c>
      <c r="IG318" t="e">
        <f>IF(#REF!,"AAAAAG/33vA=",0)</f>
        <v>#REF!</v>
      </c>
      <c r="IH318" t="e">
        <f>IF(#REF!,"AAAAAG/33vE=",0)</f>
        <v>#REF!</v>
      </c>
      <c r="II318" t="e">
        <f>IF(#REF!,"AAAAAG/33vI=",0)</f>
        <v>#REF!</v>
      </c>
      <c r="IJ318" t="e">
        <f>IF(#REF!,"AAAAAG/33vM=",0)</f>
        <v>#REF!</v>
      </c>
      <c r="IK318" t="e">
        <f>IF(#REF!,"AAAAAG/33vQ=",0)</f>
        <v>#REF!</v>
      </c>
      <c r="IL318" t="e">
        <f>IF(#REF!,"AAAAAG/33vU=",0)</f>
        <v>#REF!</v>
      </c>
      <c r="IM318" t="e">
        <f>IF(#REF!,"AAAAAG/33vY=",0)</f>
        <v>#REF!</v>
      </c>
      <c r="IN318" t="e">
        <f>IF(#REF!,"AAAAAG/33vc=",0)</f>
        <v>#REF!</v>
      </c>
      <c r="IO318" t="e">
        <f>IF(#REF!,"AAAAAG/33vg=",0)</f>
        <v>#REF!</v>
      </c>
      <c r="IP318" t="e">
        <f>IF(#REF!,"AAAAAG/33vk=",0)</f>
        <v>#REF!</v>
      </c>
      <c r="IQ318" t="e">
        <f>IF(#REF!,"AAAAAG/33vo=",0)</f>
        <v>#REF!</v>
      </c>
      <c r="IR318" t="e">
        <f>IF(#REF!,"AAAAAG/33vs=",0)</f>
        <v>#REF!</v>
      </c>
      <c r="IS318" t="e">
        <f>IF(#REF!,"AAAAAG/33vw=",0)</f>
        <v>#REF!</v>
      </c>
      <c r="IT318" t="e">
        <f>IF(#REF!,"AAAAAG/33v0=",0)</f>
        <v>#REF!</v>
      </c>
      <c r="IU318" t="e">
        <f>IF(#REF!,"AAAAAG/33v4=",0)</f>
        <v>#REF!</v>
      </c>
      <c r="IV318" t="e">
        <f>IF(#REF!,"AAAAAG/33v8=",0)</f>
        <v>#REF!</v>
      </c>
    </row>
    <row r="319" spans="1:256">
      <c r="A319" t="e">
        <f>IF(#REF!,"AAAAAHfXfwA=",0)</f>
        <v>#REF!</v>
      </c>
      <c r="B319" t="e">
        <f>IF(#REF!,"AAAAAHfXfwE=",0)</f>
        <v>#REF!</v>
      </c>
      <c r="C319" t="e">
        <f>IF(#REF!,"AAAAAHfXfwI=",0)</f>
        <v>#REF!</v>
      </c>
      <c r="D319" t="e">
        <f>IF(#REF!,"AAAAAHfXfwM=",0)</f>
        <v>#REF!</v>
      </c>
      <c r="E319" t="e">
        <f>IF(#REF!,"AAAAAHfXfwQ=",0)</f>
        <v>#REF!</v>
      </c>
      <c r="F319" t="e">
        <f>IF(#REF!,"AAAAAHfXfwU=",0)</f>
        <v>#REF!</v>
      </c>
      <c r="G319" t="e">
        <f>IF(#REF!,"AAAAAHfXfwY=",0)</f>
        <v>#REF!</v>
      </c>
      <c r="H319" t="e">
        <f>IF(#REF!,"AAAAAHfXfwc=",0)</f>
        <v>#REF!</v>
      </c>
      <c r="I319" t="e">
        <f>IF(#REF!,"AAAAAHfXfwg=",0)</f>
        <v>#REF!</v>
      </c>
      <c r="J319" t="e">
        <f>IF(#REF!,"AAAAAHfXfwk=",0)</f>
        <v>#REF!</v>
      </c>
      <c r="K319" t="e">
        <f>IF(#REF!,"AAAAAHfXfwo=",0)</f>
        <v>#REF!</v>
      </c>
      <c r="L319" t="e">
        <f>IF(#REF!,"AAAAAHfXfws=",0)</f>
        <v>#REF!</v>
      </c>
      <c r="M319" t="e">
        <f>IF(#REF!,"AAAAAHfXfww=",0)</f>
        <v>#REF!</v>
      </c>
      <c r="N319" t="e">
        <f>IF(#REF!,"AAAAAHfXfw0=",0)</f>
        <v>#REF!</v>
      </c>
      <c r="O319" t="e">
        <f>IF(#REF!,"AAAAAHfXfw4=",0)</f>
        <v>#REF!</v>
      </c>
      <c r="P319" t="e">
        <f>IF(#REF!,"AAAAAHfXfw8=",0)</f>
        <v>#REF!</v>
      </c>
      <c r="Q319" t="e">
        <f>IF(#REF!,"AAAAAHfXfxA=",0)</f>
        <v>#REF!</v>
      </c>
      <c r="R319" t="e">
        <f>IF(#REF!,"AAAAAHfXfxE=",0)</f>
        <v>#REF!</v>
      </c>
      <c r="S319" t="e">
        <f>IF(#REF!,"AAAAAHfXfxI=",0)</f>
        <v>#REF!</v>
      </c>
      <c r="T319" t="e">
        <f>IF(#REF!,"AAAAAHfXfxM=",0)</f>
        <v>#REF!</v>
      </c>
      <c r="U319" t="e">
        <f>IF(#REF!,"AAAAAHfXfxQ=",0)</f>
        <v>#REF!</v>
      </c>
      <c r="V319" t="e">
        <f>IF(#REF!,"AAAAAHfXfxU=",0)</f>
        <v>#REF!</v>
      </c>
      <c r="W319" t="e">
        <f>IF(#REF!,"AAAAAHfXfxY=",0)</f>
        <v>#REF!</v>
      </c>
      <c r="X319" t="e">
        <f>IF(#REF!,"AAAAAHfXfxc=",0)</f>
        <v>#REF!</v>
      </c>
      <c r="Y319" t="e">
        <f>IF(#REF!,"AAAAAHfXfxg=",0)</f>
        <v>#REF!</v>
      </c>
      <c r="Z319" t="e">
        <f>IF(#REF!,"AAAAAHfXfxk=",0)</f>
        <v>#REF!</v>
      </c>
      <c r="AA319" t="e">
        <f>IF(#REF!,"AAAAAHfXfxo=",0)</f>
        <v>#REF!</v>
      </c>
      <c r="AB319" t="e">
        <f>IF(#REF!,"AAAAAHfXfxs=",0)</f>
        <v>#REF!</v>
      </c>
      <c r="AC319" t="e">
        <f>IF(#REF!,"AAAAAHfXfxw=",0)</f>
        <v>#REF!</v>
      </c>
      <c r="AD319" t="e">
        <f>IF(#REF!,"AAAAAHfXfx0=",0)</f>
        <v>#REF!</v>
      </c>
      <c r="AE319" t="e">
        <f>IF(#REF!,"AAAAAHfXfx4=",0)</f>
        <v>#REF!</v>
      </c>
      <c r="AF319" t="e">
        <f>IF(#REF!,"AAAAAHfXfx8=",0)</f>
        <v>#REF!</v>
      </c>
      <c r="AG319" t="e">
        <f>IF(#REF!,"AAAAAHfXfyA=",0)</f>
        <v>#REF!</v>
      </c>
      <c r="AH319" t="e">
        <f>IF(#REF!,"AAAAAHfXfyE=",0)</f>
        <v>#REF!</v>
      </c>
      <c r="AI319" t="e">
        <f>IF(#REF!,"AAAAAHfXfyI=",0)</f>
        <v>#REF!</v>
      </c>
      <c r="AJ319" t="e">
        <f>IF(#REF!,"AAAAAHfXfyM=",0)</f>
        <v>#REF!</v>
      </c>
      <c r="AK319" t="e">
        <f>IF(#REF!,"AAAAAHfXfyQ=",0)</f>
        <v>#REF!</v>
      </c>
      <c r="AL319" t="e">
        <f>IF(#REF!,"AAAAAHfXfyU=",0)</f>
        <v>#REF!</v>
      </c>
      <c r="AM319" t="e">
        <f>IF(#REF!,"AAAAAHfXfyY=",0)</f>
        <v>#REF!</v>
      </c>
      <c r="AN319" t="e">
        <f>IF(#REF!,"AAAAAHfXfyc=",0)</f>
        <v>#REF!</v>
      </c>
      <c r="AO319" t="e">
        <f>IF(#REF!,"AAAAAHfXfyg=",0)</f>
        <v>#REF!</v>
      </c>
      <c r="AP319" t="e">
        <f>IF(#REF!,"AAAAAHfXfyk=",0)</f>
        <v>#REF!</v>
      </c>
      <c r="AQ319" t="e">
        <f>IF(#REF!,"AAAAAHfXfyo=",0)</f>
        <v>#REF!</v>
      </c>
      <c r="AR319" t="e">
        <f>IF(#REF!,"AAAAAHfXfys=",0)</f>
        <v>#REF!</v>
      </c>
      <c r="AS319" t="e">
        <f>IF(#REF!,"AAAAAHfXfyw=",0)</f>
        <v>#REF!</v>
      </c>
      <c r="AT319" t="e">
        <f>IF(#REF!,"AAAAAHfXfy0=",0)</f>
        <v>#REF!</v>
      </c>
      <c r="AU319" t="e">
        <f>IF(#REF!,"AAAAAHfXfy4=",0)</f>
        <v>#REF!</v>
      </c>
      <c r="AV319" t="e">
        <f>IF(#REF!,"AAAAAHfXfy8=",0)</f>
        <v>#REF!</v>
      </c>
      <c r="AW319" t="e">
        <f>IF(#REF!,"AAAAAHfXfzA=",0)</f>
        <v>#REF!</v>
      </c>
      <c r="AX319" t="e">
        <f>IF(#REF!,"AAAAAHfXfzE=",0)</f>
        <v>#REF!</v>
      </c>
      <c r="AY319" t="e">
        <f>IF(#REF!,"AAAAAHfXfzI=",0)</f>
        <v>#REF!</v>
      </c>
      <c r="AZ319" t="e">
        <f>IF(#REF!,"AAAAAHfXfzM=",0)</f>
        <v>#REF!</v>
      </c>
      <c r="BA319" t="e">
        <f>IF(#REF!,"AAAAAHfXfzQ=",0)</f>
        <v>#REF!</v>
      </c>
      <c r="BB319" t="e">
        <f>IF(#REF!,"AAAAAHfXfzU=",0)</f>
        <v>#REF!</v>
      </c>
      <c r="BC319" t="e">
        <f>IF(#REF!,"AAAAAHfXfzY=",0)</f>
        <v>#REF!</v>
      </c>
      <c r="BD319" t="e">
        <f>IF(#REF!,"AAAAAHfXfzc=",0)</f>
        <v>#REF!</v>
      </c>
      <c r="BE319" t="e">
        <f>IF(#REF!,"AAAAAHfXfzg=",0)</f>
        <v>#REF!</v>
      </c>
      <c r="BF319" t="e">
        <f>IF(#REF!,"AAAAAHfXfzk=",0)</f>
        <v>#REF!</v>
      </c>
      <c r="BG319" t="e">
        <f>IF(#REF!,"AAAAAHfXfzo=",0)</f>
        <v>#REF!</v>
      </c>
      <c r="BH319" t="e">
        <f>IF(#REF!,"AAAAAHfXfzs=",0)</f>
        <v>#REF!</v>
      </c>
      <c r="BI319" t="e">
        <f>IF(#REF!,"AAAAAHfXfzw=",0)</f>
        <v>#REF!</v>
      </c>
      <c r="BJ319" t="e">
        <f>IF(#REF!,"AAAAAHfXfz0=",0)</f>
        <v>#REF!</v>
      </c>
      <c r="BK319" t="e">
        <f>IF(#REF!,"AAAAAHfXfz4=",0)</f>
        <v>#REF!</v>
      </c>
      <c r="BL319" t="e">
        <f>IF(#REF!,"AAAAAHfXfz8=",0)</f>
        <v>#REF!</v>
      </c>
      <c r="BM319" t="e">
        <f>IF(#REF!,"AAAAAHfXf0A=",0)</f>
        <v>#REF!</v>
      </c>
      <c r="BN319" t="e">
        <f>IF(#REF!,"AAAAAHfXf0E=",0)</f>
        <v>#REF!</v>
      </c>
      <c r="BO319" t="e">
        <f>IF(#REF!,"AAAAAHfXf0I=",0)</f>
        <v>#REF!</v>
      </c>
      <c r="BP319" t="e">
        <f>IF(#REF!,"AAAAAHfXf0M=",0)</f>
        <v>#REF!</v>
      </c>
      <c r="BQ319" t="e">
        <f>IF(#REF!,"AAAAAHfXf0Q=",0)</f>
        <v>#REF!</v>
      </c>
      <c r="BR319" t="e">
        <f>IF(#REF!,"AAAAAHfXf0U=",0)</f>
        <v>#REF!</v>
      </c>
      <c r="BS319" t="e">
        <f>IF(#REF!,"AAAAAHfXf0Y=",0)</f>
        <v>#REF!</v>
      </c>
      <c r="BT319" t="e">
        <f>IF(#REF!,"AAAAAHfXf0c=",0)</f>
        <v>#REF!</v>
      </c>
      <c r="BU319" t="e">
        <f>IF(#REF!,"AAAAAHfXf0g=",0)</f>
        <v>#REF!</v>
      </c>
      <c r="BV319" t="e">
        <f>IF(#REF!,"AAAAAHfXf0k=",0)</f>
        <v>#REF!</v>
      </c>
      <c r="BW319" t="e">
        <f>IF(#REF!,"AAAAAHfXf0o=",0)</f>
        <v>#REF!</v>
      </c>
      <c r="BX319" t="e">
        <f>IF(#REF!,"AAAAAHfXf0s=",0)</f>
        <v>#REF!</v>
      </c>
      <c r="BY319" t="e">
        <f>IF(#REF!,"AAAAAHfXf0w=",0)</f>
        <v>#REF!</v>
      </c>
      <c r="BZ319" t="e">
        <f>IF(#REF!,"AAAAAHfXf00=",0)</f>
        <v>#REF!</v>
      </c>
      <c r="CA319" t="e">
        <f>IF(#REF!,"AAAAAHfXf04=",0)</f>
        <v>#REF!</v>
      </c>
      <c r="CB319" t="e">
        <f>IF(#REF!,"AAAAAHfXf08=",0)</f>
        <v>#REF!</v>
      </c>
      <c r="CC319" t="e">
        <f>IF(#REF!,"AAAAAHfXf1A=",0)</f>
        <v>#REF!</v>
      </c>
      <c r="CD319" t="e">
        <f>IF(#REF!,"AAAAAHfXf1E=",0)</f>
        <v>#REF!</v>
      </c>
      <c r="CE319" t="e">
        <f>IF(#REF!,"AAAAAHfXf1I=",0)</f>
        <v>#REF!</v>
      </c>
      <c r="CF319" t="e">
        <f>IF(#REF!,"AAAAAHfXf1M=",0)</f>
        <v>#REF!</v>
      </c>
      <c r="CG319" t="e">
        <f>IF(#REF!,"AAAAAHfXf1Q=",0)</f>
        <v>#REF!</v>
      </c>
      <c r="CH319" t="e">
        <f>IF(#REF!,"AAAAAHfXf1U=",0)</f>
        <v>#REF!</v>
      </c>
      <c r="CI319" t="e">
        <f>IF(#REF!,"AAAAAHfXf1Y=",0)</f>
        <v>#REF!</v>
      </c>
      <c r="CJ319" t="e">
        <f>IF(#REF!,"AAAAAHfXf1c=",0)</f>
        <v>#REF!</v>
      </c>
      <c r="CK319" t="e">
        <f>IF(#REF!,"AAAAAHfXf1g=",0)</f>
        <v>#REF!</v>
      </c>
      <c r="CL319" t="e">
        <f>IF(#REF!,"AAAAAHfXf1k=",0)</f>
        <v>#REF!</v>
      </c>
      <c r="CM319" t="e">
        <f>IF(#REF!,"AAAAAHfXf1o=",0)</f>
        <v>#REF!</v>
      </c>
      <c r="CN319" t="e">
        <f>IF(#REF!,"AAAAAHfXf1s=",0)</f>
        <v>#REF!</v>
      </c>
      <c r="CO319" t="e">
        <f>IF(#REF!,"AAAAAHfXf1w=",0)</f>
        <v>#REF!</v>
      </c>
      <c r="CP319" t="e">
        <f>IF(#REF!,"AAAAAHfXf10=",0)</f>
        <v>#REF!</v>
      </c>
      <c r="CQ319" t="e">
        <f>IF(#REF!,"AAAAAHfXf14=",0)</f>
        <v>#REF!</v>
      </c>
      <c r="CR319" t="e">
        <f>IF(#REF!,"AAAAAHfXf18=",0)</f>
        <v>#REF!</v>
      </c>
      <c r="CS319" t="e">
        <f>IF(#REF!,"AAAAAHfXf2A=",0)</f>
        <v>#REF!</v>
      </c>
      <c r="CT319" t="e">
        <f>IF(#REF!,"AAAAAHfXf2E=",0)</f>
        <v>#REF!</v>
      </c>
      <c r="CU319" t="e">
        <f>IF(#REF!,"AAAAAHfXf2I=",0)</f>
        <v>#REF!</v>
      </c>
      <c r="CV319" t="e">
        <f>IF(#REF!,"AAAAAHfXf2M=",0)</f>
        <v>#REF!</v>
      </c>
      <c r="CW319" t="e">
        <f>IF(#REF!,"AAAAAHfXf2Q=",0)</f>
        <v>#REF!</v>
      </c>
      <c r="CX319" t="e">
        <f>IF(#REF!,"AAAAAHfXf2U=",0)</f>
        <v>#REF!</v>
      </c>
      <c r="CY319" t="e">
        <f>IF(#REF!,"AAAAAHfXf2Y=",0)</f>
        <v>#REF!</v>
      </c>
      <c r="CZ319" t="e">
        <f>IF(#REF!,"AAAAAHfXf2c=",0)</f>
        <v>#REF!</v>
      </c>
      <c r="DA319" t="e">
        <f>IF(#REF!,"AAAAAHfXf2g=",0)</f>
        <v>#REF!</v>
      </c>
      <c r="DB319" t="e">
        <f>IF(#REF!,"AAAAAHfXf2k=",0)</f>
        <v>#REF!</v>
      </c>
      <c r="DC319" t="e">
        <f>IF(#REF!,"AAAAAHfXf2o=",0)</f>
        <v>#REF!</v>
      </c>
      <c r="DD319" t="e">
        <f>IF(#REF!,"AAAAAHfXf2s=",0)</f>
        <v>#REF!</v>
      </c>
      <c r="DE319" t="e">
        <f>IF(#REF!,"AAAAAHfXf2w=",0)</f>
        <v>#REF!</v>
      </c>
      <c r="DF319" t="e">
        <f>IF(#REF!,"AAAAAHfXf20=",0)</f>
        <v>#REF!</v>
      </c>
      <c r="DG319" t="e">
        <f>IF(#REF!,"AAAAAHfXf24=",0)</f>
        <v>#REF!</v>
      </c>
      <c r="DH319" t="e">
        <f>IF(#REF!,"AAAAAHfXf28=",0)</f>
        <v>#REF!</v>
      </c>
      <c r="DI319" t="e">
        <f>IF(#REF!,"AAAAAHfXf3A=",0)</f>
        <v>#REF!</v>
      </c>
      <c r="DJ319" t="e">
        <f>IF(#REF!,"AAAAAHfXf3E=",0)</f>
        <v>#REF!</v>
      </c>
      <c r="DK319" t="e">
        <f>IF(#REF!,"AAAAAHfXf3I=",0)</f>
        <v>#REF!</v>
      </c>
      <c r="DL319" t="e">
        <f>IF(#REF!,"AAAAAHfXf3M=",0)</f>
        <v>#REF!</v>
      </c>
      <c r="DM319" t="e">
        <f>IF(#REF!,"AAAAAHfXf3Q=",0)</f>
        <v>#REF!</v>
      </c>
      <c r="DN319" t="e">
        <f>IF(#REF!,"AAAAAHfXf3U=",0)</f>
        <v>#REF!</v>
      </c>
      <c r="DO319" t="e">
        <f>IF(#REF!,"AAAAAHfXf3Y=",0)</f>
        <v>#REF!</v>
      </c>
      <c r="DP319" t="e">
        <f>IF(#REF!,"AAAAAHfXf3c=",0)</f>
        <v>#REF!</v>
      </c>
      <c r="DQ319" t="e">
        <f>IF(#REF!,"AAAAAHfXf3g=",0)</f>
        <v>#REF!</v>
      </c>
      <c r="DR319" t="e">
        <f>IF(#REF!,"AAAAAHfXf3k=",0)</f>
        <v>#REF!</v>
      </c>
      <c r="DS319" t="e">
        <f>IF(#REF!,"AAAAAHfXf3o=",0)</f>
        <v>#REF!</v>
      </c>
      <c r="DT319" t="e">
        <f>IF(#REF!,"AAAAAHfXf3s=",0)</f>
        <v>#REF!</v>
      </c>
      <c r="DU319" t="e">
        <f>IF(#REF!,"AAAAAHfXf3w=",0)</f>
        <v>#REF!</v>
      </c>
      <c r="DV319" t="e">
        <f>IF(#REF!,"AAAAAHfXf30=",0)</f>
        <v>#REF!</v>
      </c>
      <c r="DW319" t="e">
        <f>IF(#REF!,"AAAAAHfXf34=",0)</f>
        <v>#REF!</v>
      </c>
      <c r="DX319" t="e">
        <f>IF(#REF!,"AAAAAHfXf38=",0)</f>
        <v>#REF!</v>
      </c>
      <c r="DY319" t="e">
        <f>IF(#REF!,"AAAAAHfXf4A=",0)</f>
        <v>#REF!</v>
      </c>
      <c r="DZ319" t="e">
        <f>IF(#REF!,"AAAAAHfXf4E=",0)</f>
        <v>#REF!</v>
      </c>
      <c r="EA319" t="e">
        <f>IF(#REF!,"AAAAAHfXf4I=",0)</f>
        <v>#REF!</v>
      </c>
      <c r="EB319" t="e">
        <f>IF(#REF!,"AAAAAHfXf4M=",0)</f>
        <v>#REF!</v>
      </c>
      <c r="EC319" t="e">
        <f>IF(#REF!,"AAAAAHfXf4Q=",0)</f>
        <v>#REF!</v>
      </c>
      <c r="ED319" t="e">
        <f>IF(#REF!,"AAAAAHfXf4U=",0)</f>
        <v>#REF!</v>
      </c>
      <c r="EE319" t="e">
        <f>IF(#REF!,"AAAAAHfXf4Y=",0)</f>
        <v>#REF!</v>
      </c>
      <c r="EF319" t="e">
        <f>IF(#REF!,"AAAAAHfXf4c=",0)</f>
        <v>#REF!</v>
      </c>
      <c r="EG319" t="e">
        <f>IF(#REF!,"AAAAAHfXf4g=",0)</f>
        <v>#REF!</v>
      </c>
      <c r="EH319" t="e">
        <f>IF(#REF!,"AAAAAHfXf4k=",0)</f>
        <v>#REF!</v>
      </c>
      <c r="EI319" t="e">
        <f>IF(#REF!,"AAAAAHfXf4o=",0)</f>
        <v>#REF!</v>
      </c>
      <c r="EJ319" t="e">
        <f>IF(#REF!,"AAAAAHfXf4s=",0)</f>
        <v>#REF!</v>
      </c>
      <c r="EK319" t="e">
        <f>IF(#REF!,"AAAAAHfXf4w=",0)</f>
        <v>#REF!</v>
      </c>
      <c r="EL319" t="e">
        <f>IF(#REF!,"AAAAAHfXf40=",0)</f>
        <v>#REF!</v>
      </c>
      <c r="EM319" t="e">
        <f>IF(#REF!,"AAAAAHfXf44=",0)</f>
        <v>#REF!</v>
      </c>
      <c r="EN319" t="e">
        <f>IF(#REF!,"AAAAAHfXf48=",0)</f>
        <v>#REF!</v>
      </c>
      <c r="EO319" t="e">
        <f>IF(#REF!,"AAAAAHfXf5A=",0)</f>
        <v>#REF!</v>
      </c>
      <c r="EP319" t="e">
        <f>IF(#REF!,"AAAAAHfXf5E=",0)</f>
        <v>#REF!</v>
      </c>
      <c r="EQ319" t="e">
        <f>IF(#REF!,"AAAAAHfXf5I=",0)</f>
        <v>#REF!</v>
      </c>
      <c r="ER319" t="e">
        <f>IF(#REF!,"AAAAAHfXf5M=",0)</f>
        <v>#REF!</v>
      </c>
      <c r="ES319" t="e">
        <f>IF(#REF!,"AAAAAHfXf5Q=",0)</f>
        <v>#REF!</v>
      </c>
      <c r="ET319" t="e">
        <f>IF(#REF!,"AAAAAHfXf5U=",0)</f>
        <v>#REF!</v>
      </c>
      <c r="EU319" t="e">
        <f>IF(#REF!,"AAAAAHfXf5Y=",0)</f>
        <v>#REF!</v>
      </c>
      <c r="EV319" t="e">
        <f>IF(#REF!,"AAAAAHfXf5c=",0)</f>
        <v>#REF!</v>
      </c>
      <c r="EW319" t="e">
        <f>IF(#REF!,"AAAAAHfXf5g=",0)</f>
        <v>#REF!</v>
      </c>
      <c r="EX319" t="e">
        <f>IF(#REF!,"AAAAAHfXf5k=",0)</f>
        <v>#REF!</v>
      </c>
      <c r="EY319" t="e">
        <f>IF(#REF!,"AAAAAHfXf5o=",0)</f>
        <v>#REF!</v>
      </c>
      <c r="EZ319" t="e">
        <f>IF(#REF!,"AAAAAHfXf5s=",0)</f>
        <v>#REF!</v>
      </c>
      <c r="FA319" t="e">
        <f>IF(#REF!,"AAAAAHfXf5w=",0)</f>
        <v>#REF!</v>
      </c>
      <c r="FB319" t="e">
        <f>IF(#REF!,"AAAAAHfXf50=",0)</f>
        <v>#REF!</v>
      </c>
      <c r="FC319" t="e">
        <f>IF(#REF!,"AAAAAHfXf54=",0)</f>
        <v>#REF!</v>
      </c>
      <c r="FD319" t="e">
        <f>IF(#REF!,"AAAAAHfXf58=",0)</f>
        <v>#REF!</v>
      </c>
      <c r="FE319" t="e">
        <f>IF(#REF!,"AAAAAHfXf6A=",0)</f>
        <v>#REF!</v>
      </c>
      <c r="FF319" t="e">
        <f>IF(#REF!,"AAAAAHfXf6E=",0)</f>
        <v>#REF!</v>
      </c>
      <c r="FG319" t="e">
        <f>IF(#REF!,"AAAAAHfXf6I=",0)</f>
        <v>#REF!</v>
      </c>
      <c r="FH319" t="e">
        <f>IF(#REF!,"AAAAAHfXf6M=",0)</f>
        <v>#REF!</v>
      </c>
      <c r="FI319" t="e">
        <f>IF(#REF!,"AAAAAHfXf6Q=",0)</f>
        <v>#REF!</v>
      </c>
      <c r="FJ319" t="e">
        <f>IF(#REF!,"AAAAAHfXf6U=",0)</f>
        <v>#REF!</v>
      </c>
      <c r="FK319" t="e">
        <f>IF(#REF!,"AAAAAHfXf6Y=",0)</f>
        <v>#REF!</v>
      </c>
      <c r="FL319" t="e">
        <f>IF(#REF!,"AAAAAHfXf6c=",0)</f>
        <v>#REF!</v>
      </c>
      <c r="FM319" t="e">
        <f>IF(#REF!,"AAAAAHfXf6g=",0)</f>
        <v>#REF!</v>
      </c>
      <c r="FN319" t="e">
        <f>IF(#REF!,"AAAAAHfXf6k=",0)</f>
        <v>#REF!</v>
      </c>
      <c r="FO319" t="e">
        <f>IF(#REF!,"AAAAAHfXf6o=",0)</f>
        <v>#REF!</v>
      </c>
      <c r="FP319" t="e">
        <f>IF(#REF!,"AAAAAHfXf6s=",0)</f>
        <v>#REF!</v>
      </c>
      <c r="FQ319" t="e">
        <f>IF(#REF!,"AAAAAHfXf6w=",0)</f>
        <v>#REF!</v>
      </c>
      <c r="FR319" t="e">
        <f>IF(#REF!,"AAAAAHfXf60=",0)</f>
        <v>#REF!</v>
      </c>
      <c r="FS319" t="e">
        <f>IF(#REF!,"AAAAAHfXf64=",0)</f>
        <v>#REF!</v>
      </c>
      <c r="FT319" t="e">
        <f>IF(#REF!,"AAAAAHfXf68=",0)</f>
        <v>#REF!</v>
      </c>
      <c r="FU319" t="e">
        <f>IF(#REF!,"AAAAAHfXf7A=",0)</f>
        <v>#REF!</v>
      </c>
      <c r="FV319" t="e">
        <f>IF(#REF!,"AAAAAHfXf7E=",0)</f>
        <v>#REF!</v>
      </c>
      <c r="FW319" t="e">
        <f>IF(#REF!,"AAAAAHfXf7I=",0)</f>
        <v>#REF!</v>
      </c>
      <c r="FX319" t="e">
        <f>IF(#REF!,"AAAAAHfXf7M=",0)</f>
        <v>#REF!</v>
      </c>
      <c r="FY319" t="e">
        <f>IF(#REF!,"AAAAAHfXf7Q=",0)</f>
        <v>#REF!</v>
      </c>
      <c r="FZ319" t="e">
        <f>IF(#REF!,"AAAAAHfXf7U=",0)</f>
        <v>#REF!</v>
      </c>
      <c r="GA319" t="e">
        <f>IF(#REF!,"AAAAAHfXf7Y=",0)</f>
        <v>#REF!</v>
      </c>
      <c r="GB319" t="e">
        <f>IF(#REF!,"AAAAAHfXf7c=",0)</f>
        <v>#REF!</v>
      </c>
      <c r="GC319" t="e">
        <f>IF(#REF!,"AAAAAHfXf7g=",0)</f>
        <v>#REF!</v>
      </c>
      <c r="GD319" t="e">
        <f>IF(#REF!,"AAAAAHfXf7k=",0)</f>
        <v>#REF!</v>
      </c>
      <c r="GE319" t="e">
        <f>IF(#REF!,"AAAAAHfXf7o=",0)</f>
        <v>#REF!</v>
      </c>
      <c r="GF319" t="e">
        <f>IF(#REF!,"AAAAAHfXf7s=",0)</f>
        <v>#REF!</v>
      </c>
      <c r="GG319" t="e">
        <f>IF(#REF!,"AAAAAHfXf7w=",0)</f>
        <v>#REF!</v>
      </c>
      <c r="GH319" t="e">
        <f>IF(#REF!,"AAAAAHfXf70=",0)</f>
        <v>#REF!</v>
      </c>
      <c r="GI319" t="e">
        <f>IF(#REF!,"AAAAAHfXf74=",0)</f>
        <v>#REF!</v>
      </c>
      <c r="GJ319" t="e">
        <f>IF(#REF!,"AAAAAHfXf78=",0)</f>
        <v>#REF!</v>
      </c>
      <c r="GK319" t="e">
        <f>IF(#REF!,"AAAAAHfXf8A=",0)</f>
        <v>#REF!</v>
      </c>
      <c r="GL319" t="e">
        <f>IF(#REF!,"AAAAAHfXf8E=",0)</f>
        <v>#REF!</v>
      </c>
      <c r="GM319" t="e">
        <f>IF(#REF!,"AAAAAHfXf8I=",0)</f>
        <v>#REF!</v>
      </c>
      <c r="GN319" t="e">
        <f>IF(#REF!,"AAAAAHfXf8M=",0)</f>
        <v>#REF!</v>
      </c>
      <c r="GO319" t="e">
        <f>IF(#REF!,"AAAAAHfXf8Q=",0)</f>
        <v>#REF!</v>
      </c>
      <c r="GP319" t="e">
        <f>IF(#REF!,"AAAAAHfXf8U=",0)</f>
        <v>#REF!</v>
      </c>
      <c r="GQ319" t="e">
        <f>IF(#REF!,"AAAAAHfXf8Y=",0)</f>
        <v>#REF!</v>
      </c>
      <c r="GR319" t="e">
        <f>IF(#REF!,"AAAAAHfXf8c=",0)</f>
        <v>#REF!</v>
      </c>
      <c r="GS319" t="e">
        <f>IF(#REF!,"AAAAAHfXf8g=",0)</f>
        <v>#REF!</v>
      </c>
      <c r="GT319" t="e">
        <f>IF(#REF!,"AAAAAHfXf8k=",0)</f>
        <v>#REF!</v>
      </c>
      <c r="GU319" t="e">
        <f>IF(#REF!,"AAAAAHfXf8o=",0)</f>
        <v>#REF!</v>
      </c>
      <c r="GV319" t="e">
        <f>IF(#REF!,"AAAAAHfXf8s=",0)</f>
        <v>#REF!</v>
      </c>
      <c r="GW319" t="e">
        <f>IF(#REF!,"AAAAAHfXf8w=",0)</f>
        <v>#REF!</v>
      </c>
      <c r="GX319" t="e">
        <f>IF(#REF!,"AAAAAHfXf80=",0)</f>
        <v>#REF!</v>
      </c>
      <c r="GY319" t="e">
        <f>IF(#REF!,"AAAAAHfXf84=",0)</f>
        <v>#REF!</v>
      </c>
      <c r="GZ319" t="e">
        <f>IF(#REF!,"AAAAAHfXf88=",0)</f>
        <v>#REF!</v>
      </c>
      <c r="HA319" t="e">
        <f>IF(#REF!,"AAAAAHfXf9A=",0)</f>
        <v>#REF!</v>
      </c>
      <c r="HB319" t="e">
        <f>IF(#REF!,"AAAAAHfXf9E=",0)</f>
        <v>#REF!</v>
      </c>
      <c r="HC319" t="e">
        <f>IF(#REF!,"AAAAAHfXf9I=",0)</f>
        <v>#REF!</v>
      </c>
      <c r="HD319" t="e">
        <f>IF(#REF!,"AAAAAHfXf9M=",0)</f>
        <v>#REF!</v>
      </c>
      <c r="HE319" t="e">
        <f>IF(#REF!,"AAAAAHfXf9Q=",0)</f>
        <v>#REF!</v>
      </c>
      <c r="HF319" t="e">
        <f>IF(#REF!,"AAAAAHfXf9U=",0)</f>
        <v>#REF!</v>
      </c>
      <c r="HG319" t="e">
        <f>IF(#REF!,"AAAAAHfXf9Y=",0)</f>
        <v>#REF!</v>
      </c>
      <c r="HH319" t="e">
        <f>IF(#REF!,"AAAAAHfXf9c=",0)</f>
        <v>#REF!</v>
      </c>
      <c r="HI319" t="e">
        <f>IF(#REF!,"AAAAAHfXf9g=",0)</f>
        <v>#REF!</v>
      </c>
      <c r="HJ319" t="e">
        <f>IF(#REF!,"AAAAAHfXf9k=",0)</f>
        <v>#REF!</v>
      </c>
      <c r="HK319" t="e">
        <f>IF(#REF!,"AAAAAHfXf9o=",0)</f>
        <v>#REF!</v>
      </c>
      <c r="HL319" t="e">
        <f>IF(#REF!,"AAAAAHfXf9s=",0)</f>
        <v>#REF!</v>
      </c>
      <c r="HM319" t="e">
        <f>IF(#REF!,"AAAAAHfXf9w=",0)</f>
        <v>#REF!</v>
      </c>
      <c r="HN319" t="e">
        <f>IF(#REF!,"AAAAAHfXf90=",0)</f>
        <v>#REF!</v>
      </c>
      <c r="HO319" t="e">
        <f>IF(#REF!,"AAAAAHfXf94=",0)</f>
        <v>#REF!</v>
      </c>
      <c r="HP319" t="e">
        <f>IF(#REF!,"AAAAAHfXf98=",0)</f>
        <v>#REF!</v>
      </c>
      <c r="HQ319" t="e">
        <f>IF(#REF!,"AAAAAHfXf+A=",0)</f>
        <v>#REF!</v>
      </c>
      <c r="HR319" t="e">
        <f>IF(#REF!,"AAAAAHfXf+E=",0)</f>
        <v>#REF!</v>
      </c>
      <c r="HS319" t="e">
        <f>IF(#REF!,"AAAAAHfXf+I=",0)</f>
        <v>#REF!</v>
      </c>
      <c r="HT319" t="e">
        <f>IF(#REF!,"AAAAAHfXf+M=",0)</f>
        <v>#REF!</v>
      </c>
      <c r="HU319" t="e">
        <f>IF(#REF!,"AAAAAHfXf+Q=",0)</f>
        <v>#REF!</v>
      </c>
      <c r="HV319" t="e">
        <f>IF(#REF!,"AAAAAHfXf+U=",0)</f>
        <v>#REF!</v>
      </c>
      <c r="HW319" t="e">
        <f>IF(#REF!,"AAAAAHfXf+Y=",0)</f>
        <v>#REF!</v>
      </c>
      <c r="HX319" t="e">
        <f>IF(#REF!,"AAAAAHfXf+c=",0)</f>
        <v>#REF!</v>
      </c>
      <c r="HY319" t="e">
        <f>IF(#REF!,"AAAAAHfXf+g=",0)</f>
        <v>#REF!</v>
      </c>
      <c r="HZ319" t="e">
        <f>IF(#REF!,"AAAAAHfXf+k=",0)</f>
        <v>#REF!</v>
      </c>
      <c r="IA319" t="e">
        <f>IF(#REF!,"AAAAAHfXf+o=",0)</f>
        <v>#REF!</v>
      </c>
      <c r="IB319" t="e">
        <f>IF(#REF!,"AAAAAHfXf+s=",0)</f>
        <v>#REF!</v>
      </c>
      <c r="IC319" t="e">
        <f>IF(#REF!,"AAAAAHfXf+w=",0)</f>
        <v>#REF!</v>
      </c>
      <c r="ID319" t="e">
        <f>IF(#REF!,"AAAAAHfXf+0=",0)</f>
        <v>#REF!</v>
      </c>
      <c r="IE319" t="e">
        <f>IF(#REF!,"AAAAAHfXf+4=",0)</f>
        <v>#REF!</v>
      </c>
      <c r="IF319" t="e">
        <f>IF(#REF!,"AAAAAHfXf+8=",0)</f>
        <v>#REF!</v>
      </c>
      <c r="IG319" t="e">
        <f>IF(#REF!,"AAAAAHfXf/A=",0)</f>
        <v>#REF!</v>
      </c>
      <c r="IH319" t="e">
        <f>IF(#REF!,"AAAAAHfXf/E=",0)</f>
        <v>#REF!</v>
      </c>
      <c r="II319" t="e">
        <f>IF(#REF!,"AAAAAHfXf/I=",0)</f>
        <v>#REF!</v>
      </c>
      <c r="IJ319" t="e">
        <f>IF(#REF!,"AAAAAHfXf/M=",0)</f>
        <v>#REF!</v>
      </c>
      <c r="IK319" t="e">
        <f>IF(#REF!,"AAAAAHfXf/Q=",0)</f>
        <v>#REF!</v>
      </c>
      <c r="IL319" t="e">
        <f>IF(#REF!,"AAAAAHfXf/U=",0)</f>
        <v>#REF!</v>
      </c>
      <c r="IM319" t="e">
        <f>IF(#REF!,"AAAAAHfXf/Y=",0)</f>
        <v>#REF!</v>
      </c>
      <c r="IN319" t="e">
        <f>IF(#REF!,"AAAAAHfXf/c=",0)</f>
        <v>#REF!</v>
      </c>
      <c r="IO319" t="e">
        <f>IF(#REF!,"AAAAAHfXf/g=",0)</f>
        <v>#REF!</v>
      </c>
      <c r="IP319" t="e">
        <f>IF(#REF!,"AAAAAHfXf/k=",0)</f>
        <v>#REF!</v>
      </c>
      <c r="IQ319" t="e">
        <f>IF(#REF!,"AAAAAHfXf/o=",0)</f>
        <v>#REF!</v>
      </c>
      <c r="IR319" t="e">
        <f>IF(#REF!,"AAAAAHfXf/s=",0)</f>
        <v>#REF!</v>
      </c>
      <c r="IS319" t="e">
        <f>IF(#REF!,"AAAAAHfXf/w=",0)</f>
        <v>#REF!</v>
      </c>
      <c r="IT319" t="e">
        <f>IF(#REF!,"AAAAAHfXf/0=",0)</f>
        <v>#REF!</v>
      </c>
      <c r="IU319" t="e">
        <f>IF(#REF!,"AAAAAHfXf/4=",0)</f>
        <v>#REF!</v>
      </c>
      <c r="IV319" t="e">
        <f>IF(#REF!,"AAAAAHfXf/8=",0)</f>
        <v>#REF!</v>
      </c>
    </row>
    <row r="320" spans="1:256">
      <c r="A320" t="e">
        <f>IF(#REF!,"AAAAAD/e9wA=",0)</f>
        <v>#REF!</v>
      </c>
      <c r="B320" t="e">
        <f>IF(#REF!,"AAAAAD/e9wE=",0)</f>
        <v>#REF!</v>
      </c>
      <c r="C320" t="e">
        <f>IF(#REF!,"AAAAAD/e9wI=",0)</f>
        <v>#REF!</v>
      </c>
      <c r="D320" t="e">
        <f>IF(#REF!,"AAAAAD/e9wM=",0)</f>
        <v>#REF!</v>
      </c>
      <c r="E320" t="e">
        <f>IF(#REF!,"AAAAAD/e9wQ=",0)</f>
        <v>#REF!</v>
      </c>
      <c r="F320" t="e">
        <f>IF(#REF!,"AAAAAD/e9wU=",0)</f>
        <v>#REF!</v>
      </c>
      <c r="G320" t="e">
        <f>IF(#REF!,"AAAAAD/e9wY=",0)</f>
        <v>#REF!</v>
      </c>
      <c r="H320" t="e">
        <f>IF(#REF!,"AAAAAD/e9wc=",0)</f>
        <v>#REF!</v>
      </c>
      <c r="I320" t="e">
        <f>IF(#REF!,"AAAAAD/e9wg=",0)</f>
        <v>#REF!</v>
      </c>
      <c r="J320" t="e">
        <f>IF(#REF!,"AAAAAD/e9wk=",0)</f>
        <v>#REF!</v>
      </c>
      <c r="K320" t="e">
        <f>IF(#REF!,"AAAAAD/e9wo=",0)</f>
        <v>#REF!</v>
      </c>
      <c r="L320" t="e">
        <f>IF(#REF!,"AAAAAD/e9ws=",0)</f>
        <v>#REF!</v>
      </c>
      <c r="M320" t="e">
        <f>IF(#REF!,"AAAAAD/e9ww=",0)</f>
        <v>#REF!</v>
      </c>
      <c r="N320" t="e">
        <f>IF(#REF!,"AAAAAD/e9w0=",0)</f>
        <v>#REF!</v>
      </c>
      <c r="O320" t="e">
        <f>IF(#REF!,"AAAAAD/e9w4=",0)</f>
        <v>#REF!</v>
      </c>
      <c r="P320" t="e">
        <f>IF(#REF!,"AAAAAD/e9w8=",0)</f>
        <v>#REF!</v>
      </c>
      <c r="Q320" t="e">
        <f>IF(#REF!,"AAAAAD/e9xA=",0)</f>
        <v>#REF!</v>
      </c>
      <c r="R320" t="e">
        <f>IF(#REF!,"AAAAAD/e9xE=",0)</f>
        <v>#REF!</v>
      </c>
      <c r="S320" t="e">
        <f>IF(#REF!,"AAAAAD/e9xI=",0)</f>
        <v>#REF!</v>
      </c>
      <c r="T320" t="e">
        <f>IF(#REF!,"AAAAAD/e9xM=",0)</f>
        <v>#REF!</v>
      </c>
      <c r="U320" t="e">
        <f>IF(#REF!,"AAAAAD/e9xQ=",0)</f>
        <v>#REF!</v>
      </c>
      <c r="V320" t="e">
        <f>IF(#REF!,"AAAAAD/e9xU=",0)</f>
        <v>#REF!</v>
      </c>
      <c r="W320" t="e">
        <f>IF(#REF!,"AAAAAD/e9xY=",0)</f>
        <v>#REF!</v>
      </c>
      <c r="X320" t="e">
        <f>IF(#REF!,"AAAAAD/e9xc=",0)</f>
        <v>#REF!</v>
      </c>
      <c r="Y320" t="e">
        <f>IF(#REF!,"AAAAAD/e9xg=",0)</f>
        <v>#REF!</v>
      </c>
      <c r="Z320" t="e">
        <f>IF(#REF!,"AAAAAD/e9xk=",0)</f>
        <v>#REF!</v>
      </c>
      <c r="AA320" t="e">
        <f>IF(#REF!,"AAAAAD/e9xo=",0)</f>
        <v>#REF!</v>
      </c>
      <c r="AB320" t="e">
        <f>IF(#REF!,"AAAAAD/e9xs=",0)</f>
        <v>#REF!</v>
      </c>
      <c r="AC320" t="e">
        <f>IF(#REF!,"AAAAAD/e9xw=",0)</f>
        <v>#REF!</v>
      </c>
      <c r="AD320" t="e">
        <f>IF(#REF!,"AAAAAD/e9x0=",0)</f>
        <v>#REF!</v>
      </c>
      <c r="AE320" t="e">
        <f>IF(#REF!,"AAAAAD/e9x4=",0)</f>
        <v>#REF!</v>
      </c>
      <c r="AF320" t="e">
        <f>IF(#REF!,"AAAAAD/e9x8=",0)</f>
        <v>#REF!</v>
      </c>
      <c r="AG320" t="e">
        <f>IF(#REF!,"AAAAAD/e9yA=",0)</f>
        <v>#REF!</v>
      </c>
      <c r="AH320" t="e">
        <f>IF(#REF!,"AAAAAD/e9yE=",0)</f>
        <v>#REF!</v>
      </c>
      <c r="AI320" t="e">
        <f>IF(#REF!,"AAAAAD/e9yI=",0)</f>
        <v>#REF!</v>
      </c>
      <c r="AJ320" t="e">
        <f>IF(#REF!,"AAAAAD/e9yM=",0)</f>
        <v>#REF!</v>
      </c>
      <c r="AK320" t="e">
        <f>IF(#REF!,"AAAAAD/e9yQ=",0)</f>
        <v>#REF!</v>
      </c>
      <c r="AL320" t="e">
        <f>IF(#REF!,"AAAAAD/e9yU=",0)</f>
        <v>#REF!</v>
      </c>
      <c r="AM320" t="e">
        <f>IF(#REF!,"AAAAAD/e9yY=",0)</f>
        <v>#REF!</v>
      </c>
      <c r="AN320" t="e">
        <f>IF(#REF!,"AAAAAD/e9yc=",0)</f>
        <v>#REF!</v>
      </c>
      <c r="AO320" t="e">
        <f>IF(#REF!,"AAAAAD/e9yg=",0)</f>
        <v>#REF!</v>
      </c>
      <c r="AP320" t="e">
        <f>IF(#REF!,"AAAAAD/e9yk=",0)</f>
        <v>#REF!</v>
      </c>
      <c r="AQ320" t="e">
        <f>IF(#REF!,"AAAAAD/e9yo=",0)</f>
        <v>#REF!</v>
      </c>
      <c r="AR320" t="e">
        <f>IF(#REF!,"AAAAAD/e9ys=",0)</f>
        <v>#REF!</v>
      </c>
      <c r="AS320" t="e">
        <f>IF(#REF!,"AAAAAD/e9yw=",0)</f>
        <v>#REF!</v>
      </c>
      <c r="AT320" t="e">
        <f>IF(#REF!,"AAAAAD/e9y0=",0)</f>
        <v>#REF!</v>
      </c>
      <c r="AU320" t="e">
        <f>IF(#REF!,"AAAAAD/e9y4=",0)</f>
        <v>#REF!</v>
      </c>
      <c r="AV320" t="e">
        <f>IF(#REF!,"AAAAAD/e9y8=",0)</f>
        <v>#REF!</v>
      </c>
      <c r="AW320" t="e">
        <f>IF(#REF!,"AAAAAD/e9zA=",0)</f>
        <v>#REF!</v>
      </c>
      <c r="AX320" t="e">
        <f>IF(#REF!,"AAAAAD/e9zE=",0)</f>
        <v>#REF!</v>
      </c>
      <c r="AY320" t="e">
        <f>IF(#REF!,"AAAAAD/e9zI=",0)</f>
        <v>#REF!</v>
      </c>
      <c r="AZ320" t="e">
        <f>IF(#REF!,"AAAAAD/e9zM=",0)</f>
        <v>#REF!</v>
      </c>
      <c r="BA320" t="e">
        <f>IF(#REF!,"AAAAAD/e9zQ=",0)</f>
        <v>#REF!</v>
      </c>
      <c r="BB320" t="e">
        <f>IF(#REF!,"AAAAAD/e9zU=",0)</f>
        <v>#REF!</v>
      </c>
      <c r="BC320" t="e">
        <f>IF(#REF!,"AAAAAD/e9zY=",0)</f>
        <v>#REF!</v>
      </c>
      <c r="BD320" t="e">
        <f>IF(#REF!,"AAAAAD/e9zc=",0)</f>
        <v>#REF!</v>
      </c>
      <c r="BE320" t="e">
        <f>IF(#REF!,"AAAAAD/e9zg=",0)</f>
        <v>#REF!</v>
      </c>
      <c r="BF320" t="e">
        <f>IF(#REF!,"AAAAAD/e9zk=",0)</f>
        <v>#REF!</v>
      </c>
      <c r="BG320" t="e">
        <f>IF(#REF!,"AAAAAD/e9zo=",0)</f>
        <v>#REF!</v>
      </c>
      <c r="BH320" t="e">
        <f>IF(#REF!,"AAAAAD/e9zs=",0)</f>
        <v>#REF!</v>
      </c>
      <c r="BI320" t="e">
        <f>IF(#REF!,"AAAAAD/e9zw=",0)</f>
        <v>#REF!</v>
      </c>
      <c r="BJ320" t="e">
        <f>IF(#REF!,"AAAAAD/e9z0=",0)</f>
        <v>#REF!</v>
      </c>
      <c r="BK320" t="e">
        <f>IF(#REF!,"AAAAAD/e9z4=",0)</f>
        <v>#REF!</v>
      </c>
      <c r="BL320" t="e">
        <f>IF(#REF!,"AAAAAD/e9z8=",0)</f>
        <v>#REF!</v>
      </c>
      <c r="BM320" t="e">
        <f>IF(#REF!,"AAAAAD/e90A=",0)</f>
        <v>#REF!</v>
      </c>
      <c r="BN320" t="e">
        <f>IF(#REF!,"AAAAAD/e90E=",0)</f>
        <v>#REF!</v>
      </c>
      <c r="BO320" t="e">
        <f>IF(#REF!,"AAAAAD/e90I=",0)</f>
        <v>#REF!</v>
      </c>
      <c r="BP320" t="e">
        <f>IF(#REF!,"AAAAAD/e90M=",0)</f>
        <v>#REF!</v>
      </c>
      <c r="BQ320" t="e">
        <f>IF(#REF!,"AAAAAD/e90Q=",0)</f>
        <v>#REF!</v>
      </c>
      <c r="BR320" t="e">
        <f>IF(#REF!,"AAAAAD/e90U=",0)</f>
        <v>#REF!</v>
      </c>
      <c r="BS320" t="e">
        <f>IF(#REF!,"AAAAAD/e90Y=",0)</f>
        <v>#REF!</v>
      </c>
      <c r="BT320" t="e">
        <f>IF(#REF!,"AAAAAD/e90c=",0)</f>
        <v>#REF!</v>
      </c>
      <c r="BU320" t="e">
        <f>IF(#REF!,"AAAAAD/e90g=",0)</f>
        <v>#REF!</v>
      </c>
      <c r="BV320" t="e">
        <f>IF(#REF!,"AAAAAD/e90k=",0)</f>
        <v>#REF!</v>
      </c>
      <c r="BW320" t="e">
        <f>IF(#REF!,"AAAAAD/e90o=",0)</f>
        <v>#REF!</v>
      </c>
      <c r="BX320" t="e">
        <f>IF(#REF!,"AAAAAD/e90s=",0)</f>
        <v>#REF!</v>
      </c>
      <c r="BY320" t="e">
        <f>IF(#REF!,"AAAAAD/e90w=",0)</f>
        <v>#REF!</v>
      </c>
      <c r="BZ320" t="e">
        <f>IF(#REF!,"AAAAAD/e900=",0)</f>
        <v>#REF!</v>
      </c>
      <c r="CA320" t="e">
        <f>IF(#REF!,"AAAAAD/e904=",0)</f>
        <v>#REF!</v>
      </c>
      <c r="CB320" t="e">
        <f>IF(#REF!,"AAAAAD/e908=",0)</f>
        <v>#REF!</v>
      </c>
      <c r="CC320" t="e">
        <f>IF(#REF!,"AAAAAD/e91A=",0)</f>
        <v>#REF!</v>
      </c>
      <c r="CD320" t="e">
        <f>IF(#REF!,"AAAAAD/e91E=",0)</f>
        <v>#REF!</v>
      </c>
      <c r="CE320" t="e">
        <f>IF(#REF!,"AAAAAD/e91I=",0)</f>
        <v>#REF!</v>
      </c>
      <c r="CF320" t="e">
        <f>IF(#REF!,"AAAAAD/e91M=",0)</f>
        <v>#REF!</v>
      </c>
      <c r="CG320" t="e">
        <f>IF(#REF!,"AAAAAD/e91Q=",0)</f>
        <v>#REF!</v>
      </c>
      <c r="CH320" t="e">
        <f>IF(#REF!,"AAAAAD/e91U=",0)</f>
        <v>#REF!</v>
      </c>
      <c r="CI320" t="e">
        <f>IF(#REF!,"AAAAAD/e91Y=",0)</f>
        <v>#REF!</v>
      </c>
      <c r="CJ320" t="e">
        <f>IF(#REF!,"AAAAAD/e91c=",0)</f>
        <v>#REF!</v>
      </c>
      <c r="CK320" t="e">
        <f>IF(#REF!,"AAAAAD/e91g=",0)</f>
        <v>#REF!</v>
      </c>
      <c r="CL320" t="e">
        <f>IF(#REF!,"AAAAAD/e91k=",0)</f>
        <v>#REF!</v>
      </c>
      <c r="CM320" t="e">
        <f>IF(#REF!,"AAAAAD/e91o=",0)</f>
        <v>#REF!</v>
      </c>
      <c r="CN320" t="e">
        <f>IF(#REF!,"AAAAAD/e91s=",0)</f>
        <v>#REF!</v>
      </c>
      <c r="CO320" t="e">
        <f>IF(#REF!,"AAAAAD/e91w=",0)</f>
        <v>#REF!</v>
      </c>
      <c r="CP320" t="e">
        <f>IF(#REF!,"AAAAAD/e910=",0)</f>
        <v>#REF!</v>
      </c>
      <c r="CQ320" t="e">
        <f>IF(#REF!,"AAAAAD/e914=",0)</f>
        <v>#REF!</v>
      </c>
      <c r="CR320" t="e">
        <f>IF(#REF!,"AAAAAD/e918=",0)</f>
        <v>#REF!</v>
      </c>
      <c r="CS320" t="e">
        <f>IF(#REF!,"AAAAAD/e92A=",0)</f>
        <v>#REF!</v>
      </c>
      <c r="CT320" t="e">
        <f>IF(#REF!,"AAAAAD/e92E=",0)</f>
        <v>#REF!</v>
      </c>
      <c r="CU320" t="e">
        <f>IF(#REF!,"AAAAAD/e92I=",0)</f>
        <v>#REF!</v>
      </c>
      <c r="CV320" t="e">
        <f>IF(#REF!,"AAAAAD/e92M=",0)</f>
        <v>#REF!</v>
      </c>
      <c r="CW320" t="e">
        <f>IF(#REF!,"AAAAAD/e92Q=",0)</f>
        <v>#REF!</v>
      </c>
      <c r="CX320" t="e">
        <f>IF(#REF!,"AAAAAD/e92U=",0)</f>
        <v>#REF!</v>
      </c>
      <c r="CY320" t="e">
        <f>IF(#REF!,"AAAAAD/e92Y=",0)</f>
        <v>#REF!</v>
      </c>
      <c r="CZ320" t="e">
        <f>IF(#REF!,"AAAAAD/e92c=",0)</f>
        <v>#REF!</v>
      </c>
      <c r="DA320" t="e">
        <f>IF(#REF!,"AAAAAD/e92g=",0)</f>
        <v>#REF!</v>
      </c>
      <c r="DB320" t="e">
        <f>IF(#REF!,"AAAAAD/e92k=",0)</f>
        <v>#REF!</v>
      </c>
      <c r="DC320" t="e">
        <f>IF(#REF!,"AAAAAD/e92o=",0)</f>
        <v>#REF!</v>
      </c>
      <c r="DD320" t="e">
        <f>IF(#REF!,"AAAAAD/e92s=",0)</f>
        <v>#REF!</v>
      </c>
      <c r="DE320" t="e">
        <f>IF(#REF!,"AAAAAD/e92w=",0)</f>
        <v>#REF!</v>
      </c>
      <c r="DF320" t="e">
        <f>IF(#REF!,"AAAAAD/e920=",0)</f>
        <v>#REF!</v>
      </c>
      <c r="DG320" t="e">
        <f>IF(#REF!,"AAAAAD/e924=",0)</f>
        <v>#REF!</v>
      </c>
      <c r="DH320" t="e">
        <f>IF(#REF!,"AAAAAD/e928=",0)</f>
        <v>#REF!</v>
      </c>
      <c r="DI320" t="e">
        <f>IF(#REF!,"AAAAAD/e93A=",0)</f>
        <v>#REF!</v>
      </c>
      <c r="DJ320" t="e">
        <f>IF(#REF!,"AAAAAD/e93E=",0)</f>
        <v>#REF!</v>
      </c>
      <c r="DK320" t="e">
        <f>IF(#REF!,"AAAAAD/e93I=",0)</f>
        <v>#REF!</v>
      </c>
      <c r="DL320" t="e">
        <f>IF(#REF!,"AAAAAD/e93M=",0)</f>
        <v>#REF!</v>
      </c>
      <c r="DM320" t="e">
        <f>IF(#REF!,"AAAAAD/e93Q=",0)</f>
        <v>#REF!</v>
      </c>
      <c r="DN320" t="e">
        <f>IF(#REF!,"AAAAAD/e93U=",0)</f>
        <v>#REF!</v>
      </c>
      <c r="DO320" t="e">
        <f>IF(#REF!,"AAAAAD/e93Y=",0)</f>
        <v>#REF!</v>
      </c>
      <c r="DP320" t="e">
        <f>IF(#REF!,"AAAAAD/e93c=",0)</f>
        <v>#REF!</v>
      </c>
      <c r="DQ320" t="e">
        <f>IF(#REF!,"AAAAAD/e93g=",0)</f>
        <v>#REF!</v>
      </c>
      <c r="DR320" t="e">
        <f>IF(#REF!,"AAAAAD/e93k=",0)</f>
        <v>#REF!</v>
      </c>
      <c r="DS320" t="e">
        <f>IF(#REF!,"AAAAAD/e93o=",0)</f>
        <v>#REF!</v>
      </c>
      <c r="DT320" t="e">
        <f>IF(#REF!,"AAAAAD/e93s=",0)</f>
        <v>#REF!</v>
      </c>
      <c r="DU320" t="e">
        <f>IF(#REF!,"AAAAAD/e93w=",0)</f>
        <v>#REF!</v>
      </c>
      <c r="DV320" t="e">
        <f>IF(#REF!,"AAAAAD/e930=",0)</f>
        <v>#REF!</v>
      </c>
      <c r="DW320" t="e">
        <f>IF(#REF!,"AAAAAD/e934=",0)</f>
        <v>#REF!</v>
      </c>
      <c r="DX320" t="e">
        <f>IF(#REF!,"AAAAAD/e938=",0)</f>
        <v>#REF!</v>
      </c>
      <c r="DY320" t="e">
        <f>IF(#REF!,"AAAAAD/e94A=",0)</f>
        <v>#REF!</v>
      </c>
      <c r="DZ320" t="e">
        <f>IF(#REF!,"AAAAAD/e94E=",0)</f>
        <v>#REF!</v>
      </c>
      <c r="EA320" t="e">
        <f>IF(#REF!,"AAAAAD/e94I=",0)</f>
        <v>#REF!</v>
      </c>
      <c r="EB320" t="e">
        <f>IF(#REF!,"AAAAAD/e94M=",0)</f>
        <v>#REF!</v>
      </c>
      <c r="EC320" t="e">
        <f>IF(#REF!,"AAAAAD/e94Q=",0)</f>
        <v>#REF!</v>
      </c>
      <c r="ED320" t="e">
        <f>IF(#REF!,"AAAAAD/e94U=",0)</f>
        <v>#REF!</v>
      </c>
      <c r="EE320" t="e">
        <f>IF(#REF!,"AAAAAD/e94Y=",0)</f>
        <v>#REF!</v>
      </c>
      <c r="EF320" t="e">
        <f>IF(#REF!,"AAAAAD/e94c=",0)</f>
        <v>#REF!</v>
      </c>
      <c r="EG320" t="e">
        <f>IF(#REF!,"AAAAAD/e94g=",0)</f>
        <v>#REF!</v>
      </c>
      <c r="EH320" t="e">
        <f>IF(#REF!,"AAAAAD/e94k=",0)</f>
        <v>#REF!</v>
      </c>
      <c r="EI320" t="e">
        <f>IF(#REF!,"AAAAAD/e94o=",0)</f>
        <v>#REF!</v>
      </c>
      <c r="EJ320" t="e">
        <f>IF(#REF!,"AAAAAD/e94s=",0)</f>
        <v>#REF!</v>
      </c>
      <c r="EK320" t="e">
        <f>IF(#REF!,"AAAAAD/e94w=",0)</f>
        <v>#REF!</v>
      </c>
      <c r="EL320" t="e">
        <f>IF(#REF!,"AAAAAD/e940=",0)</f>
        <v>#REF!</v>
      </c>
      <c r="EM320" t="e">
        <f>IF(#REF!,"AAAAAD/e944=",0)</f>
        <v>#REF!</v>
      </c>
      <c r="EN320" t="e">
        <f>IF(#REF!,"AAAAAD/e948=",0)</f>
        <v>#REF!</v>
      </c>
      <c r="EO320" t="e">
        <f>IF(#REF!,"AAAAAD/e95A=",0)</f>
        <v>#REF!</v>
      </c>
      <c r="EP320" t="e">
        <f>IF(#REF!,"AAAAAD/e95E=",0)</f>
        <v>#REF!</v>
      </c>
      <c r="EQ320" t="e">
        <f>IF(#REF!,"AAAAAD/e95I=",0)</f>
        <v>#REF!</v>
      </c>
      <c r="ER320" t="e">
        <f>IF(#REF!,"AAAAAD/e95M=",0)</f>
        <v>#REF!</v>
      </c>
      <c r="ES320" t="e">
        <f>IF(#REF!,"AAAAAD/e95Q=",0)</f>
        <v>#REF!</v>
      </c>
      <c r="ET320" t="e">
        <f>IF(#REF!,"AAAAAD/e95U=",0)</f>
        <v>#REF!</v>
      </c>
      <c r="EU320" t="e">
        <f>IF(#REF!,"AAAAAD/e95Y=",0)</f>
        <v>#REF!</v>
      </c>
      <c r="EV320" t="e">
        <f>IF(#REF!,"AAAAAD/e95c=",0)</f>
        <v>#REF!</v>
      </c>
      <c r="EW320" t="e">
        <f>IF(#REF!,"AAAAAD/e95g=",0)</f>
        <v>#REF!</v>
      </c>
      <c r="EX320" t="e">
        <f>IF(#REF!,"AAAAAD/e95k=",0)</f>
        <v>#REF!</v>
      </c>
      <c r="EY320" t="e">
        <f>IF(#REF!,"AAAAAD/e95o=",0)</f>
        <v>#REF!</v>
      </c>
      <c r="EZ320" t="e">
        <f>IF(#REF!,"AAAAAD/e95s=",0)</f>
        <v>#REF!</v>
      </c>
      <c r="FA320" t="e">
        <f>IF(#REF!,"AAAAAD/e95w=",0)</f>
        <v>#REF!</v>
      </c>
      <c r="FB320" t="e">
        <f>IF(#REF!,"AAAAAD/e950=",0)</f>
        <v>#REF!</v>
      </c>
      <c r="FC320" t="e">
        <f>IF(#REF!,"AAAAAD/e954=",0)</f>
        <v>#REF!</v>
      </c>
      <c r="FD320" t="e">
        <f>IF(#REF!,"AAAAAD/e958=",0)</f>
        <v>#REF!</v>
      </c>
      <c r="FE320" t="e">
        <f>IF(#REF!,"AAAAAD/e96A=",0)</f>
        <v>#REF!</v>
      </c>
      <c r="FF320" t="e">
        <f>IF(#REF!,"AAAAAD/e96E=",0)</f>
        <v>#REF!</v>
      </c>
      <c r="FG320" t="e">
        <f>IF(#REF!,"AAAAAD/e96I=",0)</f>
        <v>#REF!</v>
      </c>
      <c r="FH320" t="e">
        <f>IF(#REF!,"AAAAAD/e96M=",0)</f>
        <v>#REF!</v>
      </c>
      <c r="FI320" t="e">
        <f>IF(#REF!,"AAAAAD/e96Q=",0)</f>
        <v>#REF!</v>
      </c>
      <c r="FJ320" t="e">
        <f>IF(#REF!,"AAAAAD/e96U=",0)</f>
        <v>#REF!</v>
      </c>
      <c r="FK320" t="e">
        <f>IF(#REF!,"AAAAAD/e96Y=",0)</f>
        <v>#REF!</v>
      </c>
      <c r="FL320" t="e">
        <f>IF(#REF!,"AAAAAD/e96c=",0)</f>
        <v>#REF!</v>
      </c>
      <c r="FM320" t="e">
        <f>IF(#REF!,"AAAAAD/e96g=",0)</f>
        <v>#REF!</v>
      </c>
      <c r="FN320" t="e">
        <f>IF(#REF!,"AAAAAD/e96k=",0)</f>
        <v>#REF!</v>
      </c>
      <c r="FO320" t="e">
        <f>IF(#REF!,"AAAAAD/e96o=",0)</f>
        <v>#REF!</v>
      </c>
      <c r="FP320" t="e">
        <f>IF(#REF!,"AAAAAD/e96s=",0)</f>
        <v>#REF!</v>
      </c>
      <c r="FQ320" t="e">
        <f>IF(#REF!,"AAAAAD/e96w=",0)</f>
        <v>#REF!</v>
      </c>
      <c r="FR320" t="e">
        <f>IF(#REF!,"AAAAAD/e960=",0)</f>
        <v>#REF!</v>
      </c>
      <c r="FS320" t="e">
        <f>IF(#REF!,"AAAAAD/e964=",0)</f>
        <v>#REF!</v>
      </c>
      <c r="FT320" t="e">
        <f>IF(#REF!,"AAAAAD/e968=",0)</f>
        <v>#REF!</v>
      </c>
      <c r="FU320" t="e">
        <f>IF(#REF!,"AAAAAD/e97A=",0)</f>
        <v>#REF!</v>
      </c>
      <c r="FV320" t="e">
        <f>IF(#REF!,"AAAAAD/e97E=",0)</f>
        <v>#REF!</v>
      </c>
      <c r="FW320" t="e">
        <f>IF(#REF!,"AAAAAD/e97I=",0)</f>
        <v>#REF!</v>
      </c>
      <c r="FX320" t="e">
        <f>IF(#REF!,"AAAAAD/e97M=",0)</f>
        <v>#REF!</v>
      </c>
      <c r="FY320" t="e">
        <f>IF(#REF!,"AAAAAD/e97Q=",0)</f>
        <v>#REF!</v>
      </c>
      <c r="FZ320" t="e">
        <f>IF(#REF!,"AAAAAD/e97U=",0)</f>
        <v>#REF!</v>
      </c>
      <c r="GA320" t="e">
        <f>IF(#REF!,"AAAAAD/e97Y=",0)</f>
        <v>#REF!</v>
      </c>
      <c r="GB320" t="e">
        <f>IF(#REF!,"AAAAAD/e97c=",0)</f>
        <v>#REF!</v>
      </c>
      <c r="GC320" t="e">
        <f>IF(#REF!,"AAAAAD/e97g=",0)</f>
        <v>#REF!</v>
      </c>
      <c r="GD320" t="e">
        <f>IF(#REF!,"AAAAAD/e97k=",0)</f>
        <v>#REF!</v>
      </c>
      <c r="GE320" t="e">
        <f>IF(#REF!,"AAAAAD/e97o=",0)</f>
        <v>#REF!</v>
      </c>
      <c r="GF320" t="e">
        <f>IF(#REF!,"AAAAAD/e97s=",0)</f>
        <v>#REF!</v>
      </c>
      <c r="GG320" t="e">
        <f>IF(#REF!,"AAAAAD/e97w=",0)</f>
        <v>#REF!</v>
      </c>
      <c r="GH320" t="e">
        <f>IF(#REF!,"AAAAAD/e970=",0)</f>
        <v>#REF!</v>
      </c>
      <c r="GI320" t="e">
        <f>IF(#REF!,"AAAAAD/e974=",0)</f>
        <v>#REF!</v>
      </c>
      <c r="GJ320" t="e">
        <f>IF(#REF!,"AAAAAD/e978=",0)</f>
        <v>#REF!</v>
      </c>
      <c r="GK320" t="e">
        <f>IF(#REF!,"AAAAAD/e98A=",0)</f>
        <v>#REF!</v>
      </c>
      <c r="GL320" t="e">
        <f>IF(#REF!,"AAAAAD/e98E=",0)</f>
        <v>#REF!</v>
      </c>
      <c r="GM320" t="e">
        <f>IF(#REF!,"AAAAAD/e98I=",0)</f>
        <v>#REF!</v>
      </c>
      <c r="GN320" t="e">
        <f>IF(#REF!,"AAAAAD/e98M=",0)</f>
        <v>#REF!</v>
      </c>
      <c r="GO320" t="e">
        <f>IF(#REF!,"AAAAAD/e98Q=",0)</f>
        <v>#REF!</v>
      </c>
      <c r="GP320" t="e">
        <f>IF(#REF!,"AAAAAD/e98U=",0)</f>
        <v>#REF!</v>
      </c>
      <c r="GQ320" t="e">
        <f>IF(#REF!,"AAAAAD/e98Y=",0)</f>
        <v>#REF!</v>
      </c>
      <c r="GR320" t="e">
        <f>IF(#REF!,"AAAAAD/e98c=",0)</f>
        <v>#REF!</v>
      </c>
      <c r="GS320" t="e">
        <f>IF(#REF!,"AAAAAD/e98g=",0)</f>
        <v>#REF!</v>
      </c>
      <c r="GT320" t="e">
        <f>IF(#REF!,"AAAAAD/e98k=",0)</f>
        <v>#REF!</v>
      </c>
      <c r="GU320" t="e">
        <f>IF(#REF!,"AAAAAD/e98o=",0)</f>
        <v>#REF!</v>
      </c>
      <c r="GV320" t="e">
        <f>IF(#REF!,"AAAAAD/e98s=",0)</f>
        <v>#REF!</v>
      </c>
      <c r="GW320" t="e">
        <f>IF(#REF!,"AAAAAD/e98w=",0)</f>
        <v>#REF!</v>
      </c>
      <c r="GX320" t="e">
        <f>IF(#REF!,"AAAAAD/e980=",0)</f>
        <v>#REF!</v>
      </c>
      <c r="GY320" t="e">
        <f>IF(#REF!,"AAAAAD/e984=",0)</f>
        <v>#REF!</v>
      </c>
      <c r="GZ320" t="e">
        <f>IF(#REF!,"AAAAAD/e988=",0)</f>
        <v>#REF!</v>
      </c>
      <c r="HA320" t="e">
        <f>IF(#REF!,"AAAAAD/e99A=",0)</f>
        <v>#REF!</v>
      </c>
      <c r="HB320" t="e">
        <f>IF(#REF!,"AAAAAD/e99E=",0)</f>
        <v>#REF!</v>
      </c>
      <c r="HC320" t="e">
        <f>IF(#REF!,"AAAAAD/e99I=",0)</f>
        <v>#REF!</v>
      </c>
      <c r="HD320" t="e">
        <f>IF(#REF!,"AAAAAD/e99M=",0)</f>
        <v>#REF!</v>
      </c>
      <c r="HE320" t="e">
        <f>IF(#REF!,"AAAAAD/e99Q=",0)</f>
        <v>#REF!</v>
      </c>
      <c r="HF320" t="e">
        <f>IF(#REF!,"AAAAAD/e99U=",0)</f>
        <v>#REF!</v>
      </c>
      <c r="HG320" t="e">
        <f>IF(#REF!,"AAAAAD/e99Y=",0)</f>
        <v>#REF!</v>
      </c>
      <c r="HH320" t="e">
        <f>IF(#REF!,"AAAAAD/e99c=",0)</f>
        <v>#REF!</v>
      </c>
      <c r="HI320" t="e">
        <f>IF(#REF!,"AAAAAD/e99g=",0)</f>
        <v>#REF!</v>
      </c>
      <c r="HJ320" t="e">
        <f>IF(#REF!,"AAAAAD/e99k=",0)</f>
        <v>#REF!</v>
      </c>
      <c r="HK320" t="e">
        <f>IF(#REF!,"AAAAAD/e99o=",0)</f>
        <v>#REF!</v>
      </c>
      <c r="HL320" t="e">
        <f>IF(#REF!,"AAAAAD/e99s=",0)</f>
        <v>#REF!</v>
      </c>
      <c r="HM320" t="e">
        <f>IF(#REF!,"AAAAAD/e99w=",0)</f>
        <v>#REF!</v>
      </c>
      <c r="HN320" t="e">
        <f>IF(#REF!,"AAAAAD/e990=",0)</f>
        <v>#REF!</v>
      </c>
      <c r="HO320" t="e">
        <f>IF(#REF!,"AAAAAD/e994=",0)</f>
        <v>#REF!</v>
      </c>
      <c r="HP320" t="e">
        <f>IF(#REF!,"AAAAAD/e998=",0)</f>
        <v>#REF!</v>
      </c>
      <c r="HQ320" t="e">
        <f>IF(#REF!,"AAAAAD/e9+A=",0)</f>
        <v>#REF!</v>
      </c>
      <c r="HR320" t="e">
        <f>IF(#REF!,"AAAAAD/e9+E=",0)</f>
        <v>#REF!</v>
      </c>
      <c r="HS320" t="e">
        <f>IF(#REF!,"AAAAAD/e9+I=",0)</f>
        <v>#REF!</v>
      </c>
      <c r="HT320" t="e">
        <f>IF(#REF!,"AAAAAD/e9+M=",0)</f>
        <v>#REF!</v>
      </c>
      <c r="HU320" t="e">
        <f>IF(#REF!,"AAAAAD/e9+Q=",0)</f>
        <v>#REF!</v>
      </c>
      <c r="HV320" t="e">
        <f>IF(#REF!,"AAAAAD/e9+U=",0)</f>
        <v>#REF!</v>
      </c>
      <c r="HW320" t="e">
        <f>IF(#REF!,"AAAAAD/e9+Y=",0)</f>
        <v>#REF!</v>
      </c>
      <c r="HX320" t="e">
        <f>IF(#REF!,"AAAAAD/e9+c=",0)</f>
        <v>#REF!</v>
      </c>
      <c r="HY320" t="e">
        <f>IF(#REF!,"AAAAAD/e9+g=",0)</f>
        <v>#REF!</v>
      </c>
      <c r="HZ320" t="e">
        <f>IF(#REF!,"AAAAAD/e9+k=",0)</f>
        <v>#REF!</v>
      </c>
      <c r="IA320" t="e">
        <f>IF(#REF!,"AAAAAD/e9+o=",0)</f>
        <v>#REF!</v>
      </c>
      <c r="IB320" t="e">
        <f>IF(#REF!,"AAAAAD/e9+s=",0)</f>
        <v>#REF!</v>
      </c>
      <c r="IC320" t="e">
        <f>IF(#REF!,"AAAAAD/e9+w=",0)</f>
        <v>#REF!</v>
      </c>
      <c r="ID320" t="e">
        <f>IF(#REF!,"AAAAAD/e9+0=",0)</f>
        <v>#REF!</v>
      </c>
      <c r="IE320" t="e">
        <f>IF(#REF!,"AAAAAD/e9+4=",0)</f>
        <v>#REF!</v>
      </c>
      <c r="IF320" t="e">
        <f>IF(#REF!,"AAAAAD/e9+8=",0)</f>
        <v>#REF!</v>
      </c>
      <c r="IG320" t="e">
        <f>IF(#REF!,"AAAAAD/e9/A=",0)</f>
        <v>#REF!</v>
      </c>
      <c r="IH320" t="e">
        <f>IF(#REF!,"AAAAAD/e9/E=",0)</f>
        <v>#REF!</v>
      </c>
      <c r="II320" t="e">
        <f>IF(#REF!,"AAAAAD/e9/I=",0)</f>
        <v>#REF!</v>
      </c>
      <c r="IJ320" t="e">
        <f>IF(#REF!,"AAAAAD/e9/M=",0)</f>
        <v>#REF!</v>
      </c>
      <c r="IK320" t="e">
        <f>IF(#REF!,"AAAAAD/e9/Q=",0)</f>
        <v>#REF!</v>
      </c>
      <c r="IL320" t="e">
        <f>IF(#REF!,"AAAAAD/e9/U=",0)</f>
        <v>#REF!</v>
      </c>
      <c r="IM320" t="e">
        <f>IF(#REF!,"AAAAAD/e9/Y=",0)</f>
        <v>#REF!</v>
      </c>
      <c r="IN320" t="e">
        <f>IF(#REF!,"AAAAAD/e9/c=",0)</f>
        <v>#REF!</v>
      </c>
      <c r="IO320" t="e">
        <f>IF(#REF!,"AAAAAD/e9/g=",0)</f>
        <v>#REF!</v>
      </c>
      <c r="IP320" t="e">
        <f>IF(#REF!,"AAAAAD/e9/k=",0)</f>
        <v>#REF!</v>
      </c>
      <c r="IQ320" t="e">
        <f>IF(#REF!,"AAAAAD/e9/o=",0)</f>
        <v>#REF!</v>
      </c>
      <c r="IR320" t="e">
        <f>IF(#REF!,"AAAAAD/e9/s=",0)</f>
        <v>#REF!</v>
      </c>
      <c r="IS320" t="e">
        <f>IF(#REF!,"AAAAAD/e9/w=",0)</f>
        <v>#REF!</v>
      </c>
      <c r="IT320" t="e">
        <f>IF(#REF!,"AAAAAD/e9/0=",0)</f>
        <v>#REF!</v>
      </c>
      <c r="IU320" t="e">
        <f>IF(#REF!,"AAAAAD/e9/4=",0)</f>
        <v>#REF!</v>
      </c>
      <c r="IV320" t="e">
        <f>IF(#REF!,"AAAAAD/e9/8=",0)</f>
        <v>#REF!</v>
      </c>
    </row>
    <row r="321" spans="1:256">
      <c r="A321" t="e">
        <f>IF(#REF!,"AAAAACde9gA=",0)</f>
        <v>#REF!</v>
      </c>
      <c r="B321" t="e">
        <f>IF(#REF!,"AAAAACde9gE=",0)</f>
        <v>#REF!</v>
      </c>
      <c r="C321" t="e">
        <f>IF(#REF!,"AAAAACde9gI=",0)</f>
        <v>#REF!</v>
      </c>
      <c r="D321" t="e">
        <f>IF(#REF!,"AAAAACde9gM=",0)</f>
        <v>#REF!</v>
      </c>
      <c r="E321" t="e">
        <f>IF(#REF!,"AAAAACde9gQ=",0)</f>
        <v>#REF!</v>
      </c>
      <c r="F321" t="e">
        <f>IF(#REF!,"AAAAACde9gU=",0)</f>
        <v>#REF!</v>
      </c>
      <c r="G321" t="e">
        <f>IF(#REF!,"AAAAACde9gY=",0)</f>
        <v>#REF!</v>
      </c>
      <c r="H321" t="e">
        <f>IF(#REF!,"AAAAACde9gc=",0)</f>
        <v>#REF!</v>
      </c>
      <c r="I321" t="e">
        <f>IF(#REF!,"AAAAACde9gg=",0)</f>
        <v>#REF!</v>
      </c>
      <c r="J321" t="e">
        <f>IF(#REF!,"AAAAACde9gk=",0)</f>
        <v>#REF!</v>
      </c>
      <c r="K321" t="e">
        <f>IF(#REF!,"AAAAACde9go=",0)</f>
        <v>#REF!</v>
      </c>
      <c r="L321" t="e">
        <f>IF(#REF!,"AAAAACde9gs=",0)</f>
        <v>#REF!</v>
      </c>
      <c r="M321" t="e">
        <f>IF(#REF!,"AAAAACde9gw=",0)</f>
        <v>#REF!</v>
      </c>
      <c r="N321" t="e">
        <f>IF(#REF!,"AAAAACde9g0=",0)</f>
        <v>#REF!</v>
      </c>
      <c r="O321" t="e">
        <f>IF(#REF!,"AAAAACde9g4=",0)</f>
        <v>#REF!</v>
      </c>
      <c r="P321" t="e">
        <f>IF(#REF!,"AAAAACde9g8=",0)</f>
        <v>#REF!</v>
      </c>
      <c r="Q321" t="e">
        <f>IF(#REF!,"AAAAACde9hA=",0)</f>
        <v>#REF!</v>
      </c>
      <c r="R321" t="e">
        <f>IF(#REF!,"AAAAACde9hE=",0)</f>
        <v>#REF!</v>
      </c>
      <c r="S321" t="e">
        <f>IF(#REF!,"AAAAACde9hI=",0)</f>
        <v>#REF!</v>
      </c>
      <c r="T321" t="e">
        <f>IF(#REF!,"AAAAACde9hM=",0)</f>
        <v>#REF!</v>
      </c>
      <c r="U321" t="e">
        <f>IF(#REF!,"AAAAACde9hQ=",0)</f>
        <v>#REF!</v>
      </c>
      <c r="V321" t="e">
        <f>IF(#REF!,"AAAAACde9hU=",0)</f>
        <v>#REF!</v>
      </c>
      <c r="W321" t="e">
        <f>IF(#REF!,"AAAAACde9hY=",0)</f>
        <v>#REF!</v>
      </c>
      <c r="X321" t="e">
        <f>IF(#REF!,"AAAAACde9hc=",0)</f>
        <v>#REF!</v>
      </c>
      <c r="Y321" t="e">
        <f>IF(#REF!,"AAAAACde9hg=",0)</f>
        <v>#REF!</v>
      </c>
      <c r="Z321" t="e">
        <f>IF(#REF!,"AAAAACde9hk=",0)</f>
        <v>#REF!</v>
      </c>
      <c r="AA321" t="e">
        <f>IF(#REF!,"AAAAACde9ho=",0)</f>
        <v>#REF!</v>
      </c>
      <c r="AB321" t="e">
        <f>IF(#REF!,"AAAAACde9hs=",0)</f>
        <v>#REF!</v>
      </c>
      <c r="AC321" t="e">
        <f>IF(#REF!,"AAAAACde9hw=",0)</f>
        <v>#REF!</v>
      </c>
      <c r="AD321" t="e">
        <f>IF(#REF!,"AAAAACde9h0=",0)</f>
        <v>#REF!</v>
      </c>
      <c r="AE321" t="e">
        <f>IF(#REF!,"AAAAACde9h4=",0)</f>
        <v>#REF!</v>
      </c>
      <c r="AF321" t="e">
        <f>IF(#REF!,"AAAAACde9h8=",0)</f>
        <v>#REF!</v>
      </c>
      <c r="AG321" t="e">
        <f>IF(#REF!,"AAAAACde9iA=",0)</f>
        <v>#REF!</v>
      </c>
      <c r="AH321" t="e">
        <f>IF(#REF!,"AAAAACde9iE=",0)</f>
        <v>#REF!</v>
      </c>
      <c r="AI321" t="e">
        <f>IF(#REF!,"AAAAACde9iI=",0)</f>
        <v>#REF!</v>
      </c>
      <c r="AJ321" t="e">
        <f>IF(#REF!,"AAAAACde9iM=",0)</f>
        <v>#REF!</v>
      </c>
      <c r="AK321" t="e">
        <f>IF(#REF!,"AAAAACde9iQ=",0)</f>
        <v>#REF!</v>
      </c>
      <c r="AL321" t="e">
        <f>IF(#REF!,"AAAAACde9iU=",0)</f>
        <v>#REF!</v>
      </c>
      <c r="AM321" t="e">
        <f>IF(#REF!,"AAAAACde9iY=",0)</f>
        <v>#REF!</v>
      </c>
      <c r="AN321" t="e">
        <f>IF(#REF!,"AAAAACde9ic=",0)</f>
        <v>#REF!</v>
      </c>
      <c r="AO321" t="e">
        <f>IF(#REF!,"AAAAACde9ig=",0)</f>
        <v>#REF!</v>
      </c>
      <c r="AP321" t="e">
        <f>IF(#REF!,"AAAAACde9ik=",0)</f>
        <v>#REF!</v>
      </c>
      <c r="AQ321" t="e">
        <f>IF(#REF!,"AAAAACde9io=",0)</f>
        <v>#REF!</v>
      </c>
      <c r="AR321" t="e">
        <f>IF(#REF!,"AAAAACde9is=",0)</f>
        <v>#REF!</v>
      </c>
      <c r="AS321" t="e">
        <f>IF(#REF!,"AAAAACde9iw=",0)</f>
        <v>#REF!</v>
      </c>
      <c r="AT321" t="e">
        <f>IF(#REF!,"AAAAACde9i0=",0)</f>
        <v>#REF!</v>
      </c>
      <c r="AU321" t="e">
        <f>IF(#REF!,"AAAAACde9i4=",0)</f>
        <v>#REF!</v>
      </c>
      <c r="AV321" t="e">
        <f>IF(#REF!,"AAAAACde9i8=",0)</f>
        <v>#REF!</v>
      </c>
      <c r="AW321" t="e">
        <f>IF(#REF!,"AAAAACde9jA=",0)</f>
        <v>#REF!</v>
      </c>
      <c r="AX321" t="e">
        <f>IF(#REF!,"AAAAACde9jE=",0)</f>
        <v>#REF!</v>
      </c>
      <c r="AY321" t="e">
        <f>IF(#REF!,"AAAAACde9jI=",0)</f>
        <v>#REF!</v>
      </c>
      <c r="AZ321" t="e">
        <f>IF(#REF!,"AAAAACde9jM=",0)</f>
        <v>#REF!</v>
      </c>
      <c r="BA321" t="e">
        <f>IF(#REF!,"AAAAACde9jQ=",0)</f>
        <v>#REF!</v>
      </c>
      <c r="BB321" t="e">
        <f>IF(#REF!,"AAAAACde9jU=",0)</f>
        <v>#REF!</v>
      </c>
      <c r="BC321" t="e">
        <f>IF(#REF!,"AAAAACde9jY=",0)</f>
        <v>#REF!</v>
      </c>
      <c r="BD321" t="e">
        <f>IF(#REF!,"AAAAACde9jc=",0)</f>
        <v>#REF!</v>
      </c>
      <c r="BE321" t="e">
        <f>IF(#REF!,"AAAAACde9jg=",0)</f>
        <v>#REF!</v>
      </c>
      <c r="BF321" t="e">
        <f>IF(#REF!,"AAAAACde9jk=",0)</f>
        <v>#REF!</v>
      </c>
      <c r="BG321" t="e">
        <f>IF(#REF!,"AAAAACde9jo=",0)</f>
        <v>#REF!</v>
      </c>
      <c r="BH321" t="e">
        <f>IF(#REF!,"AAAAACde9js=",0)</f>
        <v>#REF!</v>
      </c>
      <c r="BI321" t="e">
        <f>IF(#REF!,"AAAAACde9jw=",0)</f>
        <v>#REF!</v>
      </c>
      <c r="BJ321" t="e">
        <f>IF(#REF!,"AAAAACde9j0=",0)</f>
        <v>#REF!</v>
      </c>
      <c r="BK321" t="e">
        <f>IF(#REF!,"AAAAACde9j4=",0)</f>
        <v>#REF!</v>
      </c>
      <c r="BL321" t="e">
        <f>IF(#REF!,"AAAAACde9j8=",0)</f>
        <v>#REF!</v>
      </c>
      <c r="BM321" t="e">
        <f>IF(#REF!,"AAAAACde9kA=",0)</f>
        <v>#REF!</v>
      </c>
      <c r="BN321" t="e">
        <f>IF(#REF!,"AAAAACde9kE=",0)</f>
        <v>#REF!</v>
      </c>
      <c r="BO321" t="e">
        <f>IF(#REF!,"AAAAACde9kI=",0)</f>
        <v>#REF!</v>
      </c>
      <c r="BP321" t="e">
        <f>IF(#REF!,"AAAAACde9kM=",0)</f>
        <v>#REF!</v>
      </c>
      <c r="BQ321" t="e">
        <f>IF(#REF!,"AAAAACde9kQ=",0)</f>
        <v>#REF!</v>
      </c>
      <c r="BR321" t="e">
        <f>IF(#REF!,"AAAAACde9kU=",0)</f>
        <v>#REF!</v>
      </c>
      <c r="BS321" t="e">
        <f>IF(#REF!,"AAAAACde9kY=",0)</f>
        <v>#REF!</v>
      </c>
      <c r="BT321" t="e">
        <f>IF(#REF!,"AAAAACde9kc=",0)</f>
        <v>#REF!</v>
      </c>
      <c r="BU321" t="e">
        <f>IF(#REF!,"AAAAACde9kg=",0)</f>
        <v>#REF!</v>
      </c>
      <c r="BV321" t="e">
        <f>IF(#REF!,"AAAAACde9kk=",0)</f>
        <v>#REF!</v>
      </c>
      <c r="BW321" t="e">
        <f>IF(#REF!,"AAAAACde9ko=",0)</f>
        <v>#REF!</v>
      </c>
      <c r="BX321" t="e">
        <f>IF(#REF!,"AAAAACde9ks=",0)</f>
        <v>#REF!</v>
      </c>
      <c r="BY321" t="e">
        <f>IF(#REF!,"AAAAACde9kw=",0)</f>
        <v>#REF!</v>
      </c>
      <c r="BZ321" t="e">
        <f>IF(#REF!,"AAAAACde9k0=",0)</f>
        <v>#REF!</v>
      </c>
      <c r="CA321" t="e">
        <f>IF(#REF!,"AAAAACde9k4=",0)</f>
        <v>#REF!</v>
      </c>
      <c r="CB321" t="e">
        <f>IF(#REF!,"AAAAACde9k8=",0)</f>
        <v>#REF!</v>
      </c>
      <c r="CC321" t="e">
        <f>IF(#REF!,"AAAAACde9lA=",0)</f>
        <v>#REF!</v>
      </c>
      <c r="CD321" t="e">
        <f>IF(#REF!,"AAAAACde9lE=",0)</f>
        <v>#REF!</v>
      </c>
      <c r="CE321" t="e">
        <f>IF(#REF!,"AAAAACde9lI=",0)</f>
        <v>#REF!</v>
      </c>
      <c r="CF321" t="e">
        <f>IF(#REF!,"AAAAACde9lM=",0)</f>
        <v>#REF!</v>
      </c>
      <c r="CG321" t="e">
        <f>IF(#REF!,"AAAAACde9lQ=",0)</f>
        <v>#REF!</v>
      </c>
      <c r="CH321" t="e">
        <f>IF(#REF!,"AAAAACde9lU=",0)</f>
        <v>#REF!</v>
      </c>
      <c r="CI321" t="e">
        <f>IF(#REF!,"AAAAACde9lY=",0)</f>
        <v>#REF!</v>
      </c>
      <c r="CJ321" t="e">
        <f>IF(#REF!,"AAAAACde9lc=",0)</f>
        <v>#REF!</v>
      </c>
      <c r="CK321" t="e">
        <f>IF(#REF!,"AAAAACde9lg=",0)</f>
        <v>#REF!</v>
      </c>
      <c r="CL321" t="e">
        <f>IF(#REF!,"AAAAACde9lk=",0)</f>
        <v>#REF!</v>
      </c>
      <c r="CM321" t="e">
        <f>IF(#REF!,"AAAAACde9lo=",0)</f>
        <v>#REF!</v>
      </c>
      <c r="CN321" t="e">
        <f>IF(#REF!,"AAAAACde9ls=",0)</f>
        <v>#REF!</v>
      </c>
      <c r="CO321" t="e">
        <f>IF(#REF!,"AAAAACde9lw=",0)</f>
        <v>#REF!</v>
      </c>
      <c r="CP321" t="e">
        <f>IF(#REF!,"AAAAACde9l0=",0)</f>
        <v>#REF!</v>
      </c>
      <c r="CQ321" t="e">
        <f>IF(#REF!,"AAAAACde9l4=",0)</f>
        <v>#REF!</v>
      </c>
      <c r="CR321" t="e">
        <f>IF(#REF!,"AAAAACde9l8=",0)</f>
        <v>#REF!</v>
      </c>
      <c r="CS321" t="e">
        <f>IF(#REF!,"AAAAACde9mA=",0)</f>
        <v>#REF!</v>
      </c>
      <c r="CT321" t="e">
        <f>IF(#REF!,"AAAAACde9mE=",0)</f>
        <v>#REF!</v>
      </c>
      <c r="CU321" t="e">
        <f>IF(#REF!,"AAAAACde9mI=",0)</f>
        <v>#REF!</v>
      </c>
      <c r="CV321" t="e">
        <f>IF(#REF!,"AAAAACde9mM=",0)</f>
        <v>#REF!</v>
      </c>
      <c r="CW321" t="e">
        <f>IF(#REF!,"AAAAACde9mQ=",0)</f>
        <v>#REF!</v>
      </c>
      <c r="CX321" t="e">
        <f>IF(#REF!,"AAAAACde9mU=",0)</f>
        <v>#REF!</v>
      </c>
      <c r="CY321" t="e">
        <f>IF(#REF!,"AAAAACde9mY=",0)</f>
        <v>#REF!</v>
      </c>
      <c r="CZ321" t="e">
        <f>IF(#REF!,"AAAAACde9mc=",0)</f>
        <v>#REF!</v>
      </c>
      <c r="DA321" t="e">
        <f>IF(#REF!,"AAAAACde9mg=",0)</f>
        <v>#REF!</v>
      </c>
      <c r="DB321" t="e">
        <f>IF(#REF!,"AAAAACde9mk=",0)</f>
        <v>#REF!</v>
      </c>
      <c r="DC321" t="e">
        <f>IF(#REF!,"AAAAACde9mo=",0)</f>
        <v>#REF!</v>
      </c>
      <c r="DD321" t="e">
        <f>IF(#REF!,"AAAAACde9ms=",0)</f>
        <v>#REF!</v>
      </c>
      <c r="DE321" t="e">
        <f>IF(#REF!,"AAAAACde9mw=",0)</f>
        <v>#REF!</v>
      </c>
      <c r="DF321" t="e">
        <f>IF(#REF!,"AAAAACde9m0=",0)</f>
        <v>#REF!</v>
      </c>
      <c r="DG321" t="e">
        <f>IF(#REF!,"AAAAACde9m4=",0)</f>
        <v>#REF!</v>
      </c>
      <c r="DH321" t="e">
        <f>IF(#REF!,"AAAAACde9m8=",0)</f>
        <v>#REF!</v>
      </c>
      <c r="DI321" t="e">
        <f>IF(#REF!,"AAAAACde9nA=",0)</f>
        <v>#REF!</v>
      </c>
      <c r="DJ321" t="e">
        <f>IF(#REF!,"AAAAACde9nE=",0)</f>
        <v>#REF!</v>
      </c>
      <c r="DK321" t="e">
        <f>IF(#REF!,"AAAAACde9nI=",0)</f>
        <v>#REF!</v>
      </c>
      <c r="DL321" t="e">
        <f>IF(#REF!,"AAAAACde9nM=",0)</f>
        <v>#REF!</v>
      </c>
      <c r="DM321" t="e">
        <f>IF(#REF!,"AAAAACde9nQ=",0)</f>
        <v>#REF!</v>
      </c>
      <c r="DN321" t="e">
        <f>IF(#REF!,"AAAAACde9nU=",0)</f>
        <v>#REF!</v>
      </c>
      <c r="DO321" t="e">
        <f>IF(#REF!,"AAAAACde9nY=",0)</f>
        <v>#REF!</v>
      </c>
      <c r="DP321" t="e">
        <f>IF(#REF!,"AAAAACde9nc=",0)</f>
        <v>#REF!</v>
      </c>
      <c r="DQ321" t="e">
        <f>IF(#REF!,"AAAAACde9ng=",0)</f>
        <v>#REF!</v>
      </c>
      <c r="DR321" t="e">
        <f>IF(#REF!,"AAAAACde9nk=",0)</f>
        <v>#REF!</v>
      </c>
      <c r="DS321" t="e">
        <f>IF(#REF!,"AAAAACde9no=",0)</f>
        <v>#REF!</v>
      </c>
      <c r="DT321" t="e">
        <f>IF(#REF!,"AAAAACde9ns=",0)</f>
        <v>#REF!</v>
      </c>
      <c r="DU321" t="e">
        <f>IF(#REF!,"AAAAACde9nw=",0)</f>
        <v>#REF!</v>
      </c>
      <c r="DV321" t="e">
        <f>IF(#REF!,"AAAAACde9n0=",0)</f>
        <v>#REF!</v>
      </c>
      <c r="DW321" t="e">
        <f>IF(#REF!,"AAAAACde9n4=",0)</f>
        <v>#REF!</v>
      </c>
      <c r="DX321" t="e">
        <f>IF(#REF!,"AAAAACde9n8=",0)</f>
        <v>#REF!</v>
      </c>
      <c r="DY321" t="e">
        <f>IF(#REF!,"AAAAACde9oA=",0)</f>
        <v>#REF!</v>
      </c>
      <c r="DZ321" t="e">
        <f>IF(#REF!,"AAAAACde9oE=",0)</f>
        <v>#REF!</v>
      </c>
      <c r="EA321" t="e">
        <f>IF(#REF!,"AAAAACde9oI=",0)</f>
        <v>#REF!</v>
      </c>
      <c r="EB321" t="e">
        <f>IF(#REF!,"AAAAACde9oM=",0)</f>
        <v>#REF!</v>
      </c>
      <c r="EC321" t="e">
        <f>IF(#REF!,"AAAAACde9oQ=",0)</f>
        <v>#REF!</v>
      </c>
      <c r="ED321" t="e">
        <f>IF(#REF!,"AAAAACde9oU=",0)</f>
        <v>#REF!</v>
      </c>
      <c r="EE321" t="e">
        <f>IF(#REF!,"AAAAACde9oY=",0)</f>
        <v>#REF!</v>
      </c>
      <c r="EF321" t="e">
        <f>IF(#REF!,"AAAAACde9oc=",0)</f>
        <v>#REF!</v>
      </c>
      <c r="EG321" t="e">
        <f>IF(#REF!,"AAAAACde9og=",0)</f>
        <v>#REF!</v>
      </c>
      <c r="EH321" t="e">
        <f>IF(#REF!,"AAAAACde9ok=",0)</f>
        <v>#REF!</v>
      </c>
      <c r="EI321" t="e">
        <f>IF(#REF!,"AAAAACde9oo=",0)</f>
        <v>#REF!</v>
      </c>
      <c r="EJ321" t="e">
        <f>IF(#REF!,"AAAAACde9os=",0)</f>
        <v>#REF!</v>
      </c>
      <c r="EK321" t="e">
        <f>IF(#REF!,"AAAAACde9ow=",0)</f>
        <v>#REF!</v>
      </c>
      <c r="EL321" t="e">
        <f>IF(#REF!,"AAAAACde9o0=",0)</f>
        <v>#REF!</v>
      </c>
      <c r="EM321" t="e">
        <f>IF(#REF!,"AAAAACde9o4=",0)</f>
        <v>#REF!</v>
      </c>
      <c r="EN321" t="e">
        <f>IF(#REF!,"AAAAACde9o8=",0)</f>
        <v>#REF!</v>
      </c>
      <c r="EO321" t="e">
        <f>IF(#REF!,"AAAAACde9pA=",0)</f>
        <v>#REF!</v>
      </c>
      <c r="EP321" t="e">
        <f>IF(#REF!,"AAAAACde9pE=",0)</f>
        <v>#REF!</v>
      </c>
      <c r="EQ321" t="e">
        <f>IF(#REF!,"AAAAACde9pI=",0)</f>
        <v>#REF!</v>
      </c>
      <c r="ER321" t="e">
        <f>IF(#REF!,"AAAAACde9pM=",0)</f>
        <v>#REF!</v>
      </c>
      <c r="ES321" t="e">
        <f>IF(#REF!,"AAAAACde9pQ=",0)</f>
        <v>#REF!</v>
      </c>
      <c r="ET321" t="e">
        <f>IF(#REF!,"AAAAACde9pU=",0)</f>
        <v>#REF!</v>
      </c>
      <c r="EU321" t="e">
        <f>IF(#REF!,"AAAAACde9pY=",0)</f>
        <v>#REF!</v>
      </c>
      <c r="EV321" t="e">
        <f>IF(#REF!,"AAAAACde9pc=",0)</f>
        <v>#REF!</v>
      </c>
      <c r="EW321" t="e">
        <f>IF(#REF!,"AAAAACde9pg=",0)</f>
        <v>#REF!</v>
      </c>
      <c r="EX321" t="e">
        <f>IF(#REF!,"AAAAACde9pk=",0)</f>
        <v>#REF!</v>
      </c>
      <c r="EY321" t="e">
        <f>IF(#REF!,"AAAAACde9po=",0)</f>
        <v>#REF!</v>
      </c>
      <c r="EZ321" t="e">
        <f>IF(#REF!,"AAAAACde9ps=",0)</f>
        <v>#REF!</v>
      </c>
      <c r="FA321" t="e">
        <f>IF(#REF!,"AAAAACde9pw=",0)</f>
        <v>#REF!</v>
      </c>
      <c r="FB321" t="e">
        <f>IF(#REF!,"AAAAACde9p0=",0)</f>
        <v>#REF!</v>
      </c>
      <c r="FC321" t="e">
        <f>IF(#REF!,"AAAAACde9p4=",0)</f>
        <v>#REF!</v>
      </c>
      <c r="FD321" t="e">
        <f>IF(#REF!,"AAAAACde9p8=",0)</f>
        <v>#REF!</v>
      </c>
      <c r="FE321" t="e">
        <f>IF(#REF!,"AAAAACde9qA=",0)</f>
        <v>#REF!</v>
      </c>
      <c r="FF321" t="e">
        <f>IF(#REF!,"AAAAACde9qE=",0)</f>
        <v>#REF!</v>
      </c>
      <c r="FG321" t="e">
        <f>IF(#REF!,"AAAAACde9qI=",0)</f>
        <v>#REF!</v>
      </c>
      <c r="FH321" t="e">
        <f>IF(#REF!,"AAAAACde9qM=",0)</f>
        <v>#REF!</v>
      </c>
      <c r="FI321" t="e">
        <f>IF(#REF!,"AAAAACde9qQ=",0)</f>
        <v>#REF!</v>
      </c>
      <c r="FJ321" t="e">
        <f>IF(#REF!,"AAAAACde9qU=",0)</f>
        <v>#REF!</v>
      </c>
      <c r="FK321" t="e">
        <f>IF(#REF!,"AAAAACde9qY=",0)</f>
        <v>#REF!</v>
      </c>
      <c r="FL321" t="e">
        <f>IF(#REF!,"AAAAACde9qc=",0)</f>
        <v>#REF!</v>
      </c>
      <c r="FM321" t="e">
        <f>IF(#REF!,"AAAAACde9qg=",0)</f>
        <v>#REF!</v>
      </c>
      <c r="FN321" t="e">
        <f>IF(#REF!,"AAAAACde9qk=",0)</f>
        <v>#REF!</v>
      </c>
      <c r="FO321" t="e">
        <f>IF(#REF!,"AAAAACde9qo=",0)</f>
        <v>#REF!</v>
      </c>
      <c r="FP321" t="e">
        <f>IF(#REF!,"AAAAACde9qs=",0)</f>
        <v>#REF!</v>
      </c>
      <c r="FQ321" t="e">
        <f>IF(#REF!,"AAAAACde9qw=",0)</f>
        <v>#REF!</v>
      </c>
      <c r="FR321" t="e">
        <f>IF(#REF!,"AAAAACde9q0=",0)</f>
        <v>#REF!</v>
      </c>
      <c r="FS321" t="e">
        <f>IF(#REF!,"AAAAACde9q4=",0)</f>
        <v>#REF!</v>
      </c>
      <c r="FT321" t="e">
        <f>IF(#REF!,"AAAAACde9q8=",0)</f>
        <v>#REF!</v>
      </c>
      <c r="FU321" t="e">
        <f>IF(#REF!,"AAAAACde9rA=",0)</f>
        <v>#REF!</v>
      </c>
      <c r="FV321" t="e">
        <f>IF(#REF!,"AAAAACde9rE=",0)</f>
        <v>#REF!</v>
      </c>
      <c r="FW321" t="e">
        <f>IF(#REF!,"AAAAACde9rI=",0)</f>
        <v>#REF!</v>
      </c>
      <c r="FX321" t="e">
        <f>IF(#REF!,"AAAAACde9rM=",0)</f>
        <v>#REF!</v>
      </c>
      <c r="FY321" t="e">
        <f>IF(#REF!,"AAAAACde9rQ=",0)</f>
        <v>#REF!</v>
      </c>
      <c r="FZ321" t="e">
        <f>IF(#REF!,"AAAAACde9rU=",0)</f>
        <v>#REF!</v>
      </c>
      <c r="GA321" t="e">
        <f>IF(#REF!,"AAAAACde9rY=",0)</f>
        <v>#REF!</v>
      </c>
      <c r="GB321" t="e">
        <f>IF(#REF!,"AAAAACde9rc=",0)</f>
        <v>#REF!</v>
      </c>
      <c r="GC321" t="e">
        <f>IF(#REF!,"AAAAACde9rg=",0)</f>
        <v>#REF!</v>
      </c>
      <c r="GD321" t="e">
        <f>IF(#REF!,"AAAAACde9rk=",0)</f>
        <v>#REF!</v>
      </c>
      <c r="GE321" t="e">
        <f>IF(#REF!,"AAAAACde9ro=",0)</f>
        <v>#REF!</v>
      </c>
      <c r="GF321" t="e">
        <f>IF(#REF!,"AAAAACde9rs=",0)</f>
        <v>#REF!</v>
      </c>
      <c r="GG321" t="e">
        <f>IF(#REF!,"AAAAACde9rw=",0)</f>
        <v>#REF!</v>
      </c>
      <c r="GH321" t="e">
        <f>IF(#REF!,"AAAAACde9r0=",0)</f>
        <v>#REF!</v>
      </c>
      <c r="GI321" t="e">
        <f>IF(#REF!,"AAAAACde9r4=",0)</f>
        <v>#REF!</v>
      </c>
      <c r="GJ321" t="e">
        <f>IF(#REF!,"AAAAACde9r8=",0)</f>
        <v>#REF!</v>
      </c>
      <c r="GK321" t="e">
        <f>IF(#REF!,"AAAAACde9sA=",0)</f>
        <v>#REF!</v>
      </c>
      <c r="GL321" t="e">
        <f>IF(#REF!,"AAAAACde9sE=",0)</f>
        <v>#REF!</v>
      </c>
      <c r="GM321" t="e">
        <f>IF(#REF!,"AAAAACde9sI=",0)</f>
        <v>#REF!</v>
      </c>
      <c r="GN321" t="e">
        <f>IF(#REF!,"AAAAACde9sM=",0)</f>
        <v>#REF!</v>
      </c>
      <c r="GO321" t="e">
        <f>IF(#REF!,"AAAAACde9sQ=",0)</f>
        <v>#REF!</v>
      </c>
      <c r="GP321" t="e">
        <f>IF(#REF!,"AAAAACde9sU=",0)</f>
        <v>#REF!</v>
      </c>
      <c r="GQ321" t="e">
        <f>IF(#REF!,"AAAAACde9sY=",0)</f>
        <v>#REF!</v>
      </c>
      <c r="GR321" t="e">
        <f>IF(#REF!,"AAAAACde9sc=",0)</f>
        <v>#REF!</v>
      </c>
      <c r="GS321" t="e">
        <f>IF(#REF!,"AAAAACde9sg=",0)</f>
        <v>#REF!</v>
      </c>
      <c r="GT321" t="e">
        <f>IF(#REF!,"AAAAACde9sk=",0)</f>
        <v>#REF!</v>
      </c>
      <c r="GU321" t="e">
        <f>IF(#REF!,"AAAAACde9so=",0)</f>
        <v>#REF!</v>
      </c>
      <c r="GV321" t="e">
        <f>IF(#REF!,"AAAAACde9ss=",0)</f>
        <v>#REF!</v>
      </c>
      <c r="GW321" t="e">
        <f>IF(#REF!,"AAAAACde9sw=",0)</f>
        <v>#REF!</v>
      </c>
      <c r="GX321" t="e">
        <f>IF(#REF!,"AAAAACde9s0=",0)</f>
        <v>#REF!</v>
      </c>
      <c r="GY321" t="e">
        <f>IF(#REF!,"AAAAACde9s4=",0)</f>
        <v>#REF!</v>
      </c>
      <c r="GZ321" t="e">
        <f>IF(#REF!,"AAAAACde9s8=",0)</f>
        <v>#REF!</v>
      </c>
      <c r="HA321" t="e">
        <f>IF(#REF!,"AAAAACde9tA=",0)</f>
        <v>#REF!</v>
      </c>
      <c r="HB321" t="e">
        <f>IF(#REF!,"AAAAACde9tE=",0)</f>
        <v>#REF!</v>
      </c>
      <c r="HC321" t="e">
        <f>IF(#REF!,"AAAAACde9tI=",0)</f>
        <v>#REF!</v>
      </c>
      <c r="HD321" t="e">
        <f>IF(#REF!,"AAAAACde9tM=",0)</f>
        <v>#REF!</v>
      </c>
      <c r="HE321" t="e">
        <f>IF(#REF!,"AAAAACde9tQ=",0)</f>
        <v>#REF!</v>
      </c>
      <c r="HF321" t="e">
        <f>IF(#REF!,"AAAAACde9tU=",0)</f>
        <v>#REF!</v>
      </c>
      <c r="HG321" t="e">
        <f>IF(#REF!,"AAAAACde9tY=",0)</f>
        <v>#REF!</v>
      </c>
      <c r="HH321" t="e">
        <f>IF(#REF!,"AAAAACde9tc=",0)</f>
        <v>#REF!</v>
      </c>
      <c r="HI321" t="e">
        <f>IF(#REF!,"AAAAACde9tg=",0)</f>
        <v>#REF!</v>
      </c>
      <c r="HJ321" t="e">
        <f>IF(#REF!,"AAAAACde9tk=",0)</f>
        <v>#REF!</v>
      </c>
      <c r="HK321" t="e">
        <f>IF(#REF!,"AAAAACde9to=",0)</f>
        <v>#REF!</v>
      </c>
      <c r="HL321" t="e">
        <f>IF(#REF!,"AAAAACde9ts=",0)</f>
        <v>#REF!</v>
      </c>
      <c r="HM321" t="e">
        <f>IF(#REF!,"AAAAACde9tw=",0)</f>
        <v>#REF!</v>
      </c>
      <c r="HN321" t="e">
        <f>IF(#REF!,"AAAAACde9t0=",0)</f>
        <v>#REF!</v>
      </c>
      <c r="HO321" t="e">
        <f>IF(#REF!,"AAAAACde9t4=",0)</f>
        <v>#REF!</v>
      </c>
      <c r="HP321" t="e">
        <f>IF(#REF!,"AAAAACde9t8=",0)</f>
        <v>#REF!</v>
      </c>
      <c r="HQ321" t="e">
        <f>IF(#REF!,"AAAAACde9uA=",0)</f>
        <v>#REF!</v>
      </c>
      <c r="HR321" t="e">
        <f>IF(#REF!,"AAAAACde9uE=",0)</f>
        <v>#REF!</v>
      </c>
      <c r="HS321" t="e">
        <f>IF(#REF!,"AAAAACde9uI=",0)</f>
        <v>#REF!</v>
      </c>
      <c r="HT321" t="e">
        <f>IF(#REF!,"AAAAACde9uM=",0)</f>
        <v>#REF!</v>
      </c>
      <c r="HU321" t="e">
        <f>IF(#REF!,"AAAAACde9uQ=",0)</f>
        <v>#REF!</v>
      </c>
      <c r="HV321" t="e">
        <f>IF(#REF!,"AAAAACde9uU=",0)</f>
        <v>#REF!</v>
      </c>
      <c r="HW321" t="e">
        <f>IF(#REF!,"AAAAACde9uY=",0)</f>
        <v>#REF!</v>
      </c>
      <c r="HX321" t="e">
        <f>IF(#REF!,"AAAAACde9uc=",0)</f>
        <v>#REF!</v>
      </c>
      <c r="HY321" t="e">
        <f>IF(#REF!,"AAAAACde9ug=",0)</f>
        <v>#REF!</v>
      </c>
      <c r="HZ321" t="e">
        <f>IF(#REF!,"AAAAACde9uk=",0)</f>
        <v>#REF!</v>
      </c>
      <c r="IA321" t="e">
        <f>IF(#REF!,"AAAAACde9uo=",0)</f>
        <v>#REF!</v>
      </c>
      <c r="IB321" t="e">
        <f>IF(#REF!,"AAAAACde9us=",0)</f>
        <v>#REF!</v>
      </c>
      <c r="IC321" t="e">
        <f>IF(#REF!,"AAAAACde9uw=",0)</f>
        <v>#REF!</v>
      </c>
      <c r="ID321" t="e">
        <f>IF(#REF!,"AAAAACde9u0=",0)</f>
        <v>#REF!</v>
      </c>
      <c r="IE321" t="e">
        <f>IF(#REF!,"AAAAACde9u4=",0)</f>
        <v>#REF!</v>
      </c>
      <c r="IF321" t="e">
        <f>IF(#REF!,"AAAAACde9u8=",0)</f>
        <v>#REF!</v>
      </c>
      <c r="IG321" t="e">
        <f>IF(#REF!,"AAAAACde9vA=",0)</f>
        <v>#REF!</v>
      </c>
      <c r="IH321" t="e">
        <f>IF(#REF!,"AAAAACde9vE=",0)</f>
        <v>#REF!</v>
      </c>
      <c r="II321" t="e">
        <f>IF(#REF!,"AAAAACde9vI=",0)</f>
        <v>#REF!</v>
      </c>
      <c r="IJ321" t="e">
        <f>IF(#REF!,"AAAAACde9vM=",0)</f>
        <v>#REF!</v>
      </c>
      <c r="IK321" t="e">
        <f>IF(#REF!,"AAAAACde9vQ=",0)</f>
        <v>#REF!</v>
      </c>
      <c r="IL321" t="e">
        <f>IF(#REF!,"AAAAACde9vU=",0)</f>
        <v>#REF!</v>
      </c>
      <c r="IM321" t="e">
        <f>IF(#REF!,"AAAAACde9vY=",0)</f>
        <v>#REF!</v>
      </c>
      <c r="IN321" t="e">
        <f>IF(#REF!,"AAAAACde9vc=",0)</f>
        <v>#REF!</v>
      </c>
      <c r="IO321" t="e">
        <f>IF(#REF!,"AAAAACde9vg=",0)</f>
        <v>#REF!</v>
      </c>
      <c r="IP321" t="e">
        <f>IF(#REF!,"AAAAACde9vk=",0)</f>
        <v>#REF!</v>
      </c>
      <c r="IQ321" t="e">
        <f>IF(#REF!,"AAAAACde9vo=",0)</f>
        <v>#REF!</v>
      </c>
      <c r="IR321" t="e">
        <f>IF(#REF!,"AAAAACde9vs=",0)</f>
        <v>#REF!</v>
      </c>
      <c r="IS321" t="e">
        <f>IF(#REF!,"AAAAACde9vw=",0)</f>
        <v>#REF!</v>
      </c>
      <c r="IT321" t="e">
        <f>IF(#REF!,"AAAAACde9v0=",0)</f>
        <v>#REF!</v>
      </c>
      <c r="IU321" t="e">
        <f>IF(#REF!,"AAAAACde9v4=",0)</f>
        <v>#REF!</v>
      </c>
      <c r="IV321" t="e">
        <f>IF(#REF!,"AAAAACde9v8=",0)</f>
        <v>#REF!</v>
      </c>
    </row>
    <row r="322" spans="1:256">
      <c r="A322" t="e">
        <f>IF(#REF!,"AAAAAH/+uQA=",0)</f>
        <v>#REF!</v>
      </c>
      <c r="B322" t="e">
        <f>IF(#REF!,"AAAAAH/+uQE=",0)</f>
        <v>#REF!</v>
      </c>
      <c r="C322" t="e">
        <f>IF(#REF!,"AAAAAH/+uQI=",0)</f>
        <v>#REF!</v>
      </c>
      <c r="D322" t="e">
        <f>IF(#REF!,"AAAAAH/+uQM=",0)</f>
        <v>#REF!</v>
      </c>
      <c r="E322" t="e">
        <f>IF(#REF!,"AAAAAH/+uQQ=",0)</f>
        <v>#REF!</v>
      </c>
      <c r="F322" t="e">
        <f>IF(#REF!,"AAAAAH/+uQU=",0)</f>
        <v>#REF!</v>
      </c>
      <c r="G322" t="e">
        <f>IF(#REF!,"AAAAAH/+uQY=",0)</f>
        <v>#REF!</v>
      </c>
      <c r="H322" t="e">
        <f>IF(#REF!,"AAAAAH/+uQc=",0)</f>
        <v>#REF!</v>
      </c>
      <c r="I322" t="e">
        <f>IF(#REF!,"AAAAAH/+uQg=",0)</f>
        <v>#REF!</v>
      </c>
      <c r="J322" t="e">
        <f>IF(#REF!,"AAAAAH/+uQk=",0)</f>
        <v>#REF!</v>
      </c>
      <c r="K322" t="e">
        <f>IF(#REF!,"AAAAAH/+uQo=",0)</f>
        <v>#REF!</v>
      </c>
      <c r="L322" t="e">
        <f>IF(#REF!,"AAAAAH/+uQs=",0)</f>
        <v>#REF!</v>
      </c>
      <c r="M322" t="e">
        <f>IF(#REF!,"AAAAAH/+uQw=",0)</f>
        <v>#REF!</v>
      </c>
      <c r="N322" t="e">
        <f>IF(#REF!,"AAAAAH/+uQ0=",0)</f>
        <v>#REF!</v>
      </c>
      <c r="O322" t="e">
        <f>IF(#REF!,"AAAAAH/+uQ4=",0)</f>
        <v>#REF!</v>
      </c>
      <c r="P322" t="e">
        <f>IF(#REF!,"AAAAAH/+uQ8=",0)</f>
        <v>#REF!</v>
      </c>
      <c r="Q322" t="e">
        <f>IF(#REF!,"AAAAAH/+uRA=",0)</f>
        <v>#REF!</v>
      </c>
      <c r="R322" t="e">
        <f>IF(#REF!,"AAAAAH/+uRE=",0)</f>
        <v>#REF!</v>
      </c>
      <c r="S322" t="e">
        <f>IF(#REF!,"AAAAAH/+uRI=",0)</f>
        <v>#REF!</v>
      </c>
      <c r="T322" t="e">
        <f>IF(#REF!,"AAAAAH/+uRM=",0)</f>
        <v>#REF!</v>
      </c>
      <c r="U322" t="e">
        <f>IF(#REF!,"AAAAAH/+uRQ=",0)</f>
        <v>#REF!</v>
      </c>
      <c r="V322" t="e">
        <f>IF(#REF!,"AAAAAH/+uRU=",0)</f>
        <v>#REF!</v>
      </c>
      <c r="W322" t="e">
        <f>IF(#REF!,"AAAAAH/+uRY=",0)</f>
        <v>#REF!</v>
      </c>
      <c r="X322" t="e">
        <f>IF(#REF!,"AAAAAH/+uRc=",0)</f>
        <v>#REF!</v>
      </c>
      <c r="Y322" t="e">
        <f>IF(#REF!,"AAAAAH/+uRg=",0)</f>
        <v>#REF!</v>
      </c>
      <c r="Z322" t="e">
        <f>IF(#REF!,"AAAAAH/+uRk=",0)</f>
        <v>#REF!</v>
      </c>
      <c r="AA322" t="e">
        <f>IF(#REF!,"AAAAAH/+uRo=",0)</f>
        <v>#REF!</v>
      </c>
      <c r="AB322" t="e">
        <f>IF(#REF!,"AAAAAH/+uRs=",0)</f>
        <v>#REF!</v>
      </c>
      <c r="AC322" t="e">
        <f>IF(#REF!,"AAAAAH/+uRw=",0)</f>
        <v>#REF!</v>
      </c>
      <c r="AD322" t="e">
        <f>IF(#REF!,"AAAAAH/+uR0=",0)</f>
        <v>#REF!</v>
      </c>
      <c r="AE322" t="e">
        <f>IF(#REF!,"AAAAAH/+uR4=",0)</f>
        <v>#REF!</v>
      </c>
      <c r="AF322" t="e">
        <f>IF(#REF!,"AAAAAH/+uR8=",0)</f>
        <v>#REF!</v>
      </c>
      <c r="AG322" t="e">
        <f>IF(#REF!,"AAAAAH/+uSA=",0)</f>
        <v>#REF!</v>
      </c>
      <c r="AH322" t="e">
        <f>IF(#REF!,"AAAAAH/+uSE=",0)</f>
        <v>#REF!</v>
      </c>
      <c r="AI322" t="e">
        <f>IF(#REF!,"AAAAAH/+uSI=",0)</f>
        <v>#REF!</v>
      </c>
      <c r="AJ322" t="e">
        <f>IF(#REF!,"AAAAAH/+uSM=",0)</f>
        <v>#REF!</v>
      </c>
      <c r="AK322" t="e">
        <f>IF(#REF!,"AAAAAH/+uSQ=",0)</f>
        <v>#REF!</v>
      </c>
      <c r="AL322" t="e">
        <f>IF(#REF!,"AAAAAH/+uSU=",0)</f>
        <v>#REF!</v>
      </c>
      <c r="AM322" t="e">
        <f>IF(#REF!,"AAAAAH/+uSY=",0)</f>
        <v>#REF!</v>
      </c>
      <c r="AN322" t="e">
        <f>IF(#REF!,"AAAAAH/+uSc=",0)</f>
        <v>#REF!</v>
      </c>
      <c r="AO322" t="e">
        <f>IF(#REF!,"AAAAAH/+uSg=",0)</f>
        <v>#REF!</v>
      </c>
      <c r="AP322" t="e">
        <f>IF(#REF!,"AAAAAH/+uSk=",0)</f>
        <v>#REF!</v>
      </c>
      <c r="AQ322" t="e">
        <f>IF(#REF!,"AAAAAH/+uSo=",0)</f>
        <v>#REF!</v>
      </c>
      <c r="AR322" t="e">
        <f>IF(#REF!,"AAAAAH/+uSs=",0)</f>
        <v>#REF!</v>
      </c>
      <c r="AS322" t="e">
        <f>IF(#REF!,"AAAAAH/+uSw=",0)</f>
        <v>#REF!</v>
      </c>
      <c r="AT322" t="e">
        <f>IF(#REF!,"AAAAAH/+uS0=",0)</f>
        <v>#REF!</v>
      </c>
      <c r="AU322" t="e">
        <f>IF(#REF!,"AAAAAH/+uS4=",0)</f>
        <v>#REF!</v>
      </c>
      <c r="AV322" t="e">
        <f>IF(#REF!,"AAAAAH/+uS8=",0)</f>
        <v>#REF!</v>
      </c>
      <c r="AW322" t="e">
        <f>IF(#REF!,"AAAAAH/+uTA=",0)</f>
        <v>#REF!</v>
      </c>
      <c r="AX322" t="e">
        <f>IF(#REF!,"AAAAAH/+uTE=",0)</f>
        <v>#REF!</v>
      </c>
      <c r="AY322" t="e">
        <f>IF(#REF!,"AAAAAH/+uTI=",0)</f>
        <v>#REF!</v>
      </c>
      <c r="AZ322" t="e">
        <f>IF(#REF!,"AAAAAH/+uTM=",0)</f>
        <v>#REF!</v>
      </c>
      <c r="BA322" t="e">
        <f>IF(#REF!,"AAAAAH/+uTQ=",0)</f>
        <v>#REF!</v>
      </c>
      <c r="BB322" t="e">
        <f>IF(#REF!,"AAAAAH/+uTU=",0)</f>
        <v>#REF!</v>
      </c>
      <c r="BC322" t="e">
        <f>IF(#REF!,"AAAAAH/+uTY=",0)</f>
        <v>#REF!</v>
      </c>
      <c r="BD322" t="e">
        <f>IF(#REF!,"AAAAAH/+uTc=",0)</f>
        <v>#REF!</v>
      </c>
      <c r="BE322" t="e">
        <f>IF(#REF!,"AAAAAH/+uTg=",0)</f>
        <v>#REF!</v>
      </c>
      <c r="BF322" t="e">
        <f>IF(#REF!,"AAAAAH/+uTk=",0)</f>
        <v>#REF!</v>
      </c>
      <c r="BG322" t="e">
        <f>IF(#REF!,"AAAAAH/+uTo=",0)</f>
        <v>#REF!</v>
      </c>
      <c r="BH322" t="e">
        <f>IF(#REF!,"AAAAAH/+uTs=",0)</f>
        <v>#REF!</v>
      </c>
      <c r="BI322" t="e">
        <f>IF(#REF!,"AAAAAH/+uTw=",0)</f>
        <v>#REF!</v>
      </c>
      <c r="BJ322" t="e">
        <f>IF(#REF!,"AAAAAH/+uT0=",0)</f>
        <v>#REF!</v>
      </c>
      <c r="BK322" t="e">
        <f>IF(#REF!,"AAAAAH/+uT4=",0)</f>
        <v>#REF!</v>
      </c>
      <c r="BL322" t="e">
        <f>IF(#REF!,"AAAAAH/+uT8=",0)</f>
        <v>#REF!</v>
      </c>
      <c r="BM322" t="e">
        <f>IF(#REF!,"AAAAAH/+uUA=",0)</f>
        <v>#REF!</v>
      </c>
      <c r="BN322" t="e">
        <f>IF(#REF!,"AAAAAH/+uUE=",0)</f>
        <v>#REF!</v>
      </c>
      <c r="BO322" t="e">
        <f>IF(#REF!,"AAAAAH/+uUI=",0)</f>
        <v>#REF!</v>
      </c>
      <c r="BP322" t="e">
        <f>IF(#REF!,"AAAAAH/+uUM=",0)</f>
        <v>#REF!</v>
      </c>
      <c r="BQ322" t="e">
        <f>IF(#REF!,"AAAAAH/+uUQ=",0)</f>
        <v>#REF!</v>
      </c>
      <c r="BR322" t="e">
        <f>IF(#REF!,"AAAAAH/+uUU=",0)</f>
        <v>#REF!</v>
      </c>
      <c r="BS322" t="e">
        <f>IF(#REF!,"AAAAAH/+uUY=",0)</f>
        <v>#REF!</v>
      </c>
      <c r="BT322" t="e">
        <f>IF(#REF!,"AAAAAH/+uUc=",0)</f>
        <v>#REF!</v>
      </c>
      <c r="BU322" t="e">
        <f>IF(#REF!,"AAAAAH/+uUg=",0)</f>
        <v>#REF!</v>
      </c>
      <c r="BV322" t="e">
        <f>IF(#REF!,"AAAAAH/+uUk=",0)</f>
        <v>#REF!</v>
      </c>
      <c r="BW322" t="e">
        <f>IF(#REF!,"AAAAAH/+uUo=",0)</f>
        <v>#REF!</v>
      </c>
      <c r="BX322" t="e">
        <f>IF(#REF!,"AAAAAH/+uUs=",0)</f>
        <v>#REF!</v>
      </c>
      <c r="BY322" t="e">
        <f>IF(#REF!,"AAAAAH/+uUw=",0)</f>
        <v>#REF!</v>
      </c>
      <c r="BZ322" t="e">
        <f>IF(#REF!,"AAAAAH/+uU0=",0)</f>
        <v>#REF!</v>
      </c>
      <c r="CA322" t="e">
        <f>IF(#REF!,"AAAAAH/+uU4=",0)</f>
        <v>#REF!</v>
      </c>
      <c r="CB322" t="e">
        <f>IF(#REF!,"AAAAAH/+uU8=",0)</f>
        <v>#REF!</v>
      </c>
      <c r="CC322" t="e">
        <f>IF(#REF!,"AAAAAH/+uVA=",0)</f>
        <v>#REF!</v>
      </c>
      <c r="CD322" t="e">
        <f>IF(#REF!,"AAAAAH/+uVE=",0)</f>
        <v>#REF!</v>
      </c>
      <c r="CE322" t="e">
        <f>IF(#REF!,"AAAAAH/+uVI=",0)</f>
        <v>#REF!</v>
      </c>
      <c r="CF322" t="e">
        <f>IF(#REF!,"AAAAAH/+uVM=",0)</f>
        <v>#REF!</v>
      </c>
      <c r="CG322" t="e">
        <f>IF(#REF!,"AAAAAH/+uVQ=",0)</f>
        <v>#REF!</v>
      </c>
      <c r="CH322" t="e">
        <f>IF(#REF!,"AAAAAH/+uVU=",0)</f>
        <v>#REF!</v>
      </c>
      <c r="CI322" t="e">
        <f>IF(#REF!,"AAAAAH/+uVY=",0)</f>
        <v>#REF!</v>
      </c>
      <c r="CJ322" t="e">
        <f>IF(#REF!,"AAAAAH/+uVc=",0)</f>
        <v>#REF!</v>
      </c>
      <c r="CK322" t="e">
        <f>IF(#REF!,"AAAAAH/+uVg=",0)</f>
        <v>#REF!</v>
      </c>
      <c r="CL322" t="e">
        <f>IF(#REF!,"AAAAAH/+uVk=",0)</f>
        <v>#REF!</v>
      </c>
      <c r="CM322" t="e">
        <f>IF(#REF!,"AAAAAH/+uVo=",0)</f>
        <v>#REF!</v>
      </c>
      <c r="CN322" t="e">
        <f>IF(#REF!,"AAAAAH/+uVs=",0)</f>
        <v>#REF!</v>
      </c>
      <c r="CO322" t="e">
        <f>IF(#REF!,"AAAAAH/+uVw=",0)</f>
        <v>#REF!</v>
      </c>
      <c r="CP322" t="e">
        <f>IF(#REF!,"AAAAAH/+uV0=",0)</f>
        <v>#REF!</v>
      </c>
      <c r="CQ322" t="e">
        <f>IF(#REF!,"AAAAAH/+uV4=",0)</f>
        <v>#REF!</v>
      </c>
      <c r="CR322" t="e">
        <f>IF(#REF!,"AAAAAH/+uV8=",0)</f>
        <v>#REF!</v>
      </c>
      <c r="CS322" t="e">
        <f>IF(#REF!,"AAAAAH/+uWA=",0)</f>
        <v>#REF!</v>
      </c>
      <c r="CT322" t="e">
        <f>IF(#REF!,"AAAAAH/+uWE=",0)</f>
        <v>#REF!</v>
      </c>
      <c r="CU322" t="e">
        <f>IF(#REF!,"AAAAAH/+uWI=",0)</f>
        <v>#REF!</v>
      </c>
      <c r="CV322" t="e">
        <f>IF(#REF!,"AAAAAH/+uWM=",0)</f>
        <v>#REF!</v>
      </c>
      <c r="CW322" t="e">
        <f>IF(#REF!,"AAAAAH/+uWQ=",0)</f>
        <v>#REF!</v>
      </c>
      <c r="CX322" t="e">
        <f>IF(#REF!,"AAAAAH/+uWU=",0)</f>
        <v>#REF!</v>
      </c>
      <c r="CY322" t="e">
        <f>IF(#REF!,"AAAAAH/+uWY=",0)</f>
        <v>#REF!</v>
      </c>
      <c r="CZ322" t="e">
        <f>IF(#REF!,"AAAAAH/+uWc=",0)</f>
        <v>#REF!</v>
      </c>
      <c r="DA322" t="e">
        <f>IF(#REF!,"AAAAAH/+uWg=",0)</f>
        <v>#REF!</v>
      </c>
      <c r="DB322" t="e">
        <f>IF(#REF!,"AAAAAH/+uWk=",0)</f>
        <v>#REF!</v>
      </c>
      <c r="DC322" t="e">
        <f>IF(#REF!,"AAAAAH/+uWo=",0)</f>
        <v>#REF!</v>
      </c>
      <c r="DD322" t="e">
        <f>IF(#REF!,"AAAAAH/+uWs=",0)</f>
        <v>#REF!</v>
      </c>
      <c r="DE322" t="e">
        <f>IF(#REF!,"AAAAAH/+uWw=",0)</f>
        <v>#REF!</v>
      </c>
      <c r="DF322" t="e">
        <f>IF(#REF!,"AAAAAH/+uW0=",0)</f>
        <v>#REF!</v>
      </c>
      <c r="DG322" t="e">
        <f>IF(#REF!,"AAAAAH/+uW4=",0)</f>
        <v>#REF!</v>
      </c>
      <c r="DH322" t="e">
        <f>IF(#REF!,"AAAAAH/+uW8=",0)</f>
        <v>#REF!</v>
      </c>
      <c r="DI322" t="e">
        <f>IF(#REF!,"AAAAAH/+uXA=",0)</f>
        <v>#REF!</v>
      </c>
      <c r="DJ322" t="e">
        <f>IF(#REF!,"AAAAAH/+uXE=",0)</f>
        <v>#REF!</v>
      </c>
      <c r="DK322" t="e">
        <f>IF(#REF!,"AAAAAH/+uXI=",0)</f>
        <v>#REF!</v>
      </c>
      <c r="DL322" t="e">
        <f>IF(#REF!,"AAAAAH/+uXM=",0)</f>
        <v>#REF!</v>
      </c>
      <c r="DM322" t="e">
        <f>IF(#REF!,"AAAAAH/+uXQ=",0)</f>
        <v>#REF!</v>
      </c>
      <c r="DN322" t="e">
        <f>IF(#REF!,"AAAAAH/+uXU=",0)</f>
        <v>#REF!</v>
      </c>
      <c r="DO322" t="e">
        <f>IF(#REF!,"AAAAAH/+uXY=",0)</f>
        <v>#REF!</v>
      </c>
      <c r="DP322" t="e">
        <f>IF(#REF!,"AAAAAH/+uXc=",0)</f>
        <v>#REF!</v>
      </c>
      <c r="DQ322" t="e">
        <f>IF(#REF!,"AAAAAH/+uXg=",0)</f>
        <v>#REF!</v>
      </c>
      <c r="DR322" t="e">
        <f>IF(#REF!,"AAAAAH/+uXk=",0)</f>
        <v>#REF!</v>
      </c>
      <c r="DS322" t="e">
        <f>IF(#REF!,"AAAAAH/+uXo=",0)</f>
        <v>#REF!</v>
      </c>
      <c r="DT322" t="e">
        <f>IF(#REF!,"AAAAAH/+uXs=",0)</f>
        <v>#REF!</v>
      </c>
      <c r="DU322" t="e">
        <f>IF(#REF!,"AAAAAH/+uXw=",0)</f>
        <v>#REF!</v>
      </c>
      <c r="DV322" t="e">
        <f>IF(#REF!,"AAAAAH/+uX0=",0)</f>
        <v>#REF!</v>
      </c>
      <c r="DW322" t="e">
        <f>IF(#REF!,"AAAAAH/+uX4=",0)</f>
        <v>#REF!</v>
      </c>
      <c r="DX322" t="e">
        <f>IF(#REF!,"AAAAAH/+uX8=",0)</f>
        <v>#REF!</v>
      </c>
      <c r="DY322" t="e">
        <f>IF(#REF!,"AAAAAH/+uYA=",0)</f>
        <v>#REF!</v>
      </c>
      <c r="DZ322" t="e">
        <f>IF(#REF!,"AAAAAH/+uYE=",0)</f>
        <v>#REF!</v>
      </c>
      <c r="EA322" t="e">
        <f>IF(#REF!,"AAAAAH/+uYI=",0)</f>
        <v>#REF!</v>
      </c>
      <c r="EB322" t="e">
        <f>IF(#REF!,"AAAAAH/+uYM=",0)</f>
        <v>#REF!</v>
      </c>
      <c r="EC322" t="e">
        <f>IF(#REF!,"AAAAAH/+uYQ=",0)</f>
        <v>#REF!</v>
      </c>
      <c r="ED322" t="e">
        <f>IF(#REF!,"AAAAAH/+uYU=",0)</f>
        <v>#REF!</v>
      </c>
      <c r="EE322" t="e">
        <f>IF(#REF!,"AAAAAH/+uYY=",0)</f>
        <v>#REF!</v>
      </c>
      <c r="EF322" t="e">
        <f>IF(#REF!,"AAAAAH/+uYc=",0)</f>
        <v>#REF!</v>
      </c>
      <c r="EG322" t="e">
        <f>IF(#REF!,"AAAAAH/+uYg=",0)</f>
        <v>#REF!</v>
      </c>
      <c r="EH322" t="e">
        <f>IF(#REF!,"AAAAAH/+uYk=",0)</f>
        <v>#REF!</v>
      </c>
      <c r="EI322" t="e">
        <f>IF(#REF!,"AAAAAH/+uYo=",0)</f>
        <v>#REF!</v>
      </c>
      <c r="EJ322" t="e">
        <f>IF(#REF!,"AAAAAH/+uYs=",0)</f>
        <v>#REF!</v>
      </c>
      <c r="EK322" t="e">
        <f>IF(#REF!,"AAAAAH/+uYw=",0)</f>
        <v>#REF!</v>
      </c>
      <c r="EL322" t="e">
        <f>IF(#REF!,"AAAAAH/+uY0=",0)</f>
        <v>#REF!</v>
      </c>
      <c r="EM322" t="e">
        <f>IF(#REF!,"AAAAAH/+uY4=",0)</f>
        <v>#REF!</v>
      </c>
      <c r="EN322" t="e">
        <f>IF(#REF!,"AAAAAH/+uY8=",0)</f>
        <v>#REF!</v>
      </c>
      <c r="EO322" t="e">
        <f>IF(#REF!,"AAAAAH/+uZA=",0)</f>
        <v>#REF!</v>
      </c>
      <c r="EP322" t="e">
        <f>IF(#REF!,"AAAAAH/+uZE=",0)</f>
        <v>#REF!</v>
      </c>
      <c r="EQ322" t="e">
        <f>IF(#REF!,"AAAAAH/+uZI=",0)</f>
        <v>#REF!</v>
      </c>
      <c r="ER322" t="e">
        <f>IF(#REF!,"AAAAAH/+uZM=",0)</f>
        <v>#REF!</v>
      </c>
      <c r="ES322" t="e">
        <f>IF(#REF!,"AAAAAH/+uZQ=",0)</f>
        <v>#REF!</v>
      </c>
      <c r="ET322" t="e">
        <f>IF(#REF!,"AAAAAH/+uZU=",0)</f>
        <v>#REF!</v>
      </c>
      <c r="EU322" t="e">
        <f>IF(#REF!,"AAAAAH/+uZY=",0)</f>
        <v>#REF!</v>
      </c>
      <c r="EV322" t="e">
        <f>IF(#REF!,"AAAAAH/+uZc=",0)</f>
        <v>#REF!</v>
      </c>
      <c r="EW322" t="e">
        <f>IF(#REF!,"AAAAAH/+uZg=",0)</f>
        <v>#REF!</v>
      </c>
      <c r="EX322" t="e">
        <f>IF(#REF!,"AAAAAH/+uZk=",0)</f>
        <v>#REF!</v>
      </c>
      <c r="EY322" t="e">
        <f>IF(#REF!,"AAAAAH/+uZo=",0)</f>
        <v>#REF!</v>
      </c>
      <c r="EZ322" t="e">
        <f>IF(#REF!,"AAAAAH/+uZs=",0)</f>
        <v>#REF!</v>
      </c>
      <c r="FA322" t="e">
        <f>IF(#REF!,"AAAAAH/+uZw=",0)</f>
        <v>#REF!</v>
      </c>
      <c r="FB322" t="e">
        <f>IF(#REF!,"AAAAAH/+uZ0=",0)</f>
        <v>#REF!</v>
      </c>
      <c r="FC322" t="e">
        <f>IF(#REF!,"AAAAAH/+uZ4=",0)</f>
        <v>#REF!</v>
      </c>
      <c r="FD322" t="e">
        <f>IF(#REF!,"AAAAAH/+uZ8=",0)</f>
        <v>#REF!</v>
      </c>
      <c r="FE322" t="e">
        <f>IF(#REF!,"AAAAAH/+uaA=",0)</f>
        <v>#REF!</v>
      </c>
      <c r="FF322" t="e">
        <f>IF(#REF!,"AAAAAH/+uaE=",0)</f>
        <v>#REF!</v>
      </c>
      <c r="FG322" t="e">
        <f>IF(#REF!,"AAAAAH/+uaI=",0)</f>
        <v>#REF!</v>
      </c>
      <c r="FH322" t="e">
        <f>IF(#REF!,"AAAAAH/+uaM=",0)</f>
        <v>#REF!</v>
      </c>
      <c r="FI322" t="e">
        <f>IF(#REF!,"AAAAAH/+uaQ=",0)</f>
        <v>#REF!</v>
      </c>
      <c r="FJ322" t="e">
        <f>IF(#REF!,"AAAAAH/+uaU=",0)</f>
        <v>#REF!</v>
      </c>
      <c r="FK322" t="e">
        <f>IF(#REF!,"AAAAAH/+uaY=",0)</f>
        <v>#REF!</v>
      </c>
      <c r="FL322" t="e">
        <f>IF(#REF!,"AAAAAH/+uac=",0)</f>
        <v>#REF!</v>
      </c>
      <c r="FM322" t="e">
        <f>IF(#REF!,"AAAAAH/+uag=",0)</f>
        <v>#REF!</v>
      </c>
      <c r="FN322" t="e">
        <f>IF(#REF!,"AAAAAH/+uak=",0)</f>
        <v>#REF!</v>
      </c>
      <c r="FO322" t="e">
        <f>IF(#REF!,"AAAAAH/+uao=",0)</f>
        <v>#REF!</v>
      </c>
      <c r="FP322" t="e">
        <f>IF(#REF!,"AAAAAH/+uas=",0)</f>
        <v>#REF!</v>
      </c>
      <c r="FQ322" t="e">
        <f>IF(#REF!,"AAAAAH/+uaw=",0)</f>
        <v>#REF!</v>
      </c>
      <c r="FR322" t="e">
        <f>IF(#REF!,"AAAAAH/+ua0=",0)</f>
        <v>#REF!</v>
      </c>
      <c r="FS322" t="e">
        <f>IF(#REF!,"AAAAAH/+ua4=",0)</f>
        <v>#REF!</v>
      </c>
      <c r="FT322" t="e">
        <f>IF(#REF!,"AAAAAH/+ua8=",0)</f>
        <v>#REF!</v>
      </c>
      <c r="FU322" t="e">
        <f>IF(#REF!,"AAAAAH/+ubA=",0)</f>
        <v>#REF!</v>
      </c>
      <c r="FV322" t="e">
        <f>IF(#REF!,"AAAAAH/+ubE=",0)</f>
        <v>#REF!</v>
      </c>
      <c r="FW322" t="e">
        <f>IF(#REF!,"AAAAAH/+ubI=",0)</f>
        <v>#REF!</v>
      </c>
      <c r="FX322" t="e">
        <f>IF(#REF!,"AAAAAH/+ubM=",0)</f>
        <v>#REF!</v>
      </c>
      <c r="FY322" t="e">
        <f>IF(#REF!,"AAAAAH/+ubQ=",0)</f>
        <v>#REF!</v>
      </c>
      <c r="FZ322" t="e">
        <f>IF(#REF!,"AAAAAH/+ubU=",0)</f>
        <v>#REF!</v>
      </c>
      <c r="GA322" t="e">
        <f>IF(#REF!,"AAAAAH/+ubY=",0)</f>
        <v>#REF!</v>
      </c>
      <c r="GB322" t="e">
        <f>IF(#REF!,"AAAAAH/+ubc=",0)</f>
        <v>#REF!</v>
      </c>
      <c r="GC322" t="e">
        <f>IF(#REF!,"AAAAAH/+ubg=",0)</f>
        <v>#REF!</v>
      </c>
      <c r="GD322" t="e">
        <f>IF(#REF!,"AAAAAH/+ubk=",0)</f>
        <v>#REF!</v>
      </c>
      <c r="GE322" t="e">
        <f>IF(#REF!,"AAAAAH/+ubo=",0)</f>
        <v>#REF!</v>
      </c>
      <c r="GF322" t="e">
        <f>IF(#REF!,"AAAAAH/+ubs=",0)</f>
        <v>#REF!</v>
      </c>
      <c r="GG322" t="e">
        <f>IF(#REF!,"AAAAAH/+ubw=",0)</f>
        <v>#REF!</v>
      </c>
      <c r="GH322" t="e">
        <f>IF(#REF!,"AAAAAH/+ub0=",0)</f>
        <v>#REF!</v>
      </c>
      <c r="GI322" t="e">
        <f>IF(#REF!,"AAAAAH/+ub4=",0)</f>
        <v>#REF!</v>
      </c>
      <c r="GJ322" t="e">
        <f>IF(#REF!,"AAAAAH/+ub8=",0)</f>
        <v>#REF!</v>
      </c>
      <c r="GK322" t="e">
        <f>IF(#REF!,"AAAAAH/+ucA=",0)</f>
        <v>#REF!</v>
      </c>
      <c r="GL322" t="e">
        <f>IF(#REF!,"AAAAAH/+ucE=",0)</f>
        <v>#REF!</v>
      </c>
      <c r="GM322" t="e">
        <f>IF(#REF!,"AAAAAH/+ucI=",0)</f>
        <v>#REF!</v>
      </c>
      <c r="GN322" t="e">
        <f>IF(#REF!,"AAAAAH/+ucM=",0)</f>
        <v>#REF!</v>
      </c>
      <c r="GO322" t="e">
        <f>IF(#REF!,"AAAAAH/+ucQ=",0)</f>
        <v>#REF!</v>
      </c>
      <c r="GP322" t="e">
        <f>IF(#REF!,"AAAAAH/+ucU=",0)</f>
        <v>#REF!</v>
      </c>
      <c r="GQ322" t="e">
        <f>IF(#REF!,"AAAAAH/+ucY=",0)</f>
        <v>#REF!</v>
      </c>
      <c r="GR322" t="e">
        <f>IF(#REF!,"AAAAAH/+ucc=",0)</f>
        <v>#REF!</v>
      </c>
      <c r="GS322" t="e">
        <f>IF(#REF!,"AAAAAH/+ucg=",0)</f>
        <v>#REF!</v>
      </c>
      <c r="GT322" t="e">
        <f>IF(#REF!,"AAAAAH/+uck=",0)</f>
        <v>#REF!</v>
      </c>
      <c r="GU322" t="e">
        <f>IF(#REF!,"AAAAAH/+uco=",0)</f>
        <v>#REF!</v>
      </c>
      <c r="GV322" t="e">
        <f>IF(#REF!,"AAAAAH/+ucs=",0)</f>
        <v>#REF!</v>
      </c>
      <c r="GW322" t="e">
        <f>IF(#REF!,"AAAAAH/+ucw=",0)</f>
        <v>#REF!</v>
      </c>
      <c r="GX322" t="e">
        <f>IF(#REF!,"AAAAAH/+uc0=",0)</f>
        <v>#REF!</v>
      </c>
      <c r="GY322" t="e">
        <f>IF(#REF!,"AAAAAH/+uc4=",0)</f>
        <v>#REF!</v>
      </c>
      <c r="GZ322" t="e">
        <f>IF(#REF!,"AAAAAH/+uc8=",0)</f>
        <v>#REF!</v>
      </c>
      <c r="HA322" t="e">
        <f>IF(#REF!,"AAAAAH/+udA=",0)</f>
        <v>#REF!</v>
      </c>
      <c r="HB322" t="e">
        <f>IF(#REF!,"AAAAAH/+udE=",0)</f>
        <v>#REF!</v>
      </c>
      <c r="HC322" t="e">
        <f>IF(#REF!,"AAAAAH/+udI=",0)</f>
        <v>#REF!</v>
      </c>
      <c r="HD322" t="e">
        <f>IF(#REF!,"AAAAAH/+udM=",0)</f>
        <v>#REF!</v>
      </c>
      <c r="HE322" t="e">
        <f>IF(#REF!,"AAAAAH/+udQ=",0)</f>
        <v>#REF!</v>
      </c>
      <c r="HF322" t="e">
        <f>IF(#REF!,"AAAAAH/+udU=",0)</f>
        <v>#REF!</v>
      </c>
      <c r="HG322" t="e">
        <f>IF(#REF!,"AAAAAH/+udY=",0)</f>
        <v>#REF!</v>
      </c>
      <c r="HH322" t="e">
        <f>IF(#REF!,"AAAAAH/+udc=",0)</f>
        <v>#REF!</v>
      </c>
      <c r="HI322" t="e">
        <f>IF(#REF!,"AAAAAH/+udg=",0)</f>
        <v>#REF!</v>
      </c>
      <c r="HJ322" t="e">
        <f>IF(#REF!,"AAAAAH/+udk=",0)</f>
        <v>#REF!</v>
      </c>
      <c r="HK322" t="e">
        <f>IF(#REF!,"AAAAAH/+udo=",0)</f>
        <v>#REF!</v>
      </c>
      <c r="HL322" t="e">
        <f>IF(#REF!,"AAAAAH/+uds=",0)</f>
        <v>#REF!</v>
      </c>
      <c r="HM322" t="e">
        <f>IF(#REF!,"AAAAAH/+udw=",0)</f>
        <v>#REF!</v>
      </c>
      <c r="HN322" t="e">
        <f>IF(#REF!,"AAAAAH/+ud0=",0)</f>
        <v>#REF!</v>
      </c>
      <c r="HO322" t="e">
        <f>IF(#REF!,"AAAAAH/+ud4=",0)</f>
        <v>#REF!</v>
      </c>
      <c r="HP322" t="e">
        <f>IF(#REF!,"AAAAAH/+ud8=",0)</f>
        <v>#REF!</v>
      </c>
      <c r="HQ322" t="e">
        <f>IF(#REF!,"AAAAAH/+ueA=",0)</f>
        <v>#REF!</v>
      </c>
      <c r="HR322" t="e">
        <f>IF(#REF!,"AAAAAH/+ueE=",0)</f>
        <v>#REF!</v>
      </c>
      <c r="HS322" t="e">
        <f>IF(#REF!,"AAAAAH/+ueI=",0)</f>
        <v>#REF!</v>
      </c>
      <c r="HT322" t="e">
        <f>IF(#REF!,"AAAAAH/+ueM=",0)</f>
        <v>#REF!</v>
      </c>
      <c r="HU322" t="e">
        <f>IF(#REF!,"AAAAAH/+ueQ=",0)</f>
        <v>#REF!</v>
      </c>
      <c r="HV322" t="e">
        <f>IF(#REF!,"AAAAAH/+ueU=",0)</f>
        <v>#REF!</v>
      </c>
      <c r="HW322" t="e">
        <f>IF(#REF!,"AAAAAH/+ueY=",0)</f>
        <v>#REF!</v>
      </c>
      <c r="HX322" t="e">
        <f>IF(#REF!,"AAAAAH/+uec=",0)</f>
        <v>#REF!</v>
      </c>
      <c r="HY322" t="e">
        <f>IF(#REF!,"AAAAAH/+ueg=",0)</f>
        <v>#REF!</v>
      </c>
      <c r="HZ322" t="e">
        <f>IF(#REF!,"AAAAAH/+uek=",0)</f>
        <v>#REF!</v>
      </c>
      <c r="IA322" t="e">
        <f>IF(#REF!,"AAAAAH/+ueo=",0)</f>
        <v>#REF!</v>
      </c>
      <c r="IB322" t="e">
        <f>IF(#REF!,"AAAAAH/+ues=",0)</f>
        <v>#REF!</v>
      </c>
      <c r="IC322" t="e">
        <f>IF(#REF!,"AAAAAH/+uew=",0)</f>
        <v>#REF!</v>
      </c>
      <c r="ID322" t="e">
        <f>IF(#REF!,"AAAAAH/+ue0=",0)</f>
        <v>#REF!</v>
      </c>
      <c r="IE322" t="e">
        <f>IF(#REF!,"AAAAAH/+ue4=",0)</f>
        <v>#REF!</v>
      </c>
      <c r="IF322" t="e">
        <f>IF(#REF!,"AAAAAH/+ue8=",0)</f>
        <v>#REF!</v>
      </c>
      <c r="IG322" t="e">
        <f>IF(#REF!,"AAAAAH/+ufA=",0)</f>
        <v>#REF!</v>
      </c>
      <c r="IH322" t="e">
        <f>IF(#REF!,"AAAAAH/+ufE=",0)</f>
        <v>#REF!</v>
      </c>
      <c r="II322" t="e">
        <f>IF(#REF!,"AAAAAH/+ufI=",0)</f>
        <v>#REF!</v>
      </c>
      <c r="IJ322" t="e">
        <f>IF(#REF!,"AAAAAH/+ufM=",0)</f>
        <v>#REF!</v>
      </c>
      <c r="IK322" t="e">
        <f>IF(#REF!,"AAAAAH/+ufQ=",0)</f>
        <v>#REF!</v>
      </c>
      <c r="IL322" t="e">
        <f>IF(#REF!,"AAAAAH/+ufU=",0)</f>
        <v>#REF!</v>
      </c>
      <c r="IM322" t="e">
        <f>IF(#REF!,"AAAAAH/+ufY=",0)</f>
        <v>#REF!</v>
      </c>
      <c r="IN322" t="e">
        <f>IF(#REF!,"AAAAAH/+ufc=",0)</f>
        <v>#REF!</v>
      </c>
      <c r="IO322" t="e">
        <f>IF(#REF!,"AAAAAH/+ufg=",0)</f>
        <v>#REF!</v>
      </c>
      <c r="IP322" t="e">
        <f>IF(#REF!,"AAAAAH/+ufk=",0)</f>
        <v>#REF!</v>
      </c>
      <c r="IQ322" t="e">
        <f>IF(#REF!,"AAAAAH/+ufo=",0)</f>
        <v>#REF!</v>
      </c>
      <c r="IR322" t="e">
        <f>IF(#REF!,"AAAAAH/+ufs=",0)</f>
        <v>#REF!</v>
      </c>
      <c r="IS322" t="e">
        <f>IF(#REF!,"AAAAAH/+ufw=",0)</f>
        <v>#REF!</v>
      </c>
      <c r="IT322" t="e">
        <f>IF(#REF!,"AAAAAH/+uf0=",0)</f>
        <v>#REF!</v>
      </c>
      <c r="IU322" t="e">
        <f>IF(#REF!,"AAAAAH/+uf4=",0)</f>
        <v>#REF!</v>
      </c>
      <c r="IV322" t="e">
        <f>IF(#REF!,"AAAAAH/+uf8=",0)</f>
        <v>#REF!</v>
      </c>
    </row>
    <row r="323" spans="1:256">
      <c r="A323" t="e">
        <f>IF(#REF!,"AAAAAH/s9wA=",0)</f>
        <v>#REF!</v>
      </c>
      <c r="B323" t="e">
        <f>IF(#REF!,"AAAAAH/s9wE=",0)</f>
        <v>#REF!</v>
      </c>
      <c r="C323" t="e">
        <f>IF(#REF!,"AAAAAH/s9wI=",0)</f>
        <v>#REF!</v>
      </c>
      <c r="D323" t="e">
        <f>IF(#REF!,"AAAAAH/s9wM=",0)</f>
        <v>#REF!</v>
      </c>
      <c r="E323" t="e">
        <f>IF(#REF!,"AAAAAH/s9wQ=",0)</f>
        <v>#REF!</v>
      </c>
      <c r="F323" t="e">
        <f>IF(#REF!,"AAAAAH/s9wU=",0)</f>
        <v>#REF!</v>
      </c>
      <c r="G323" t="e">
        <f>IF(#REF!,"AAAAAH/s9wY=",0)</f>
        <v>#REF!</v>
      </c>
      <c r="H323" t="e">
        <f>IF(#REF!,"AAAAAH/s9wc=",0)</f>
        <v>#REF!</v>
      </c>
      <c r="I323" t="e">
        <f>IF(#REF!,"AAAAAH/s9wg=",0)</f>
        <v>#REF!</v>
      </c>
      <c r="J323" t="e">
        <f>IF(#REF!,"AAAAAH/s9wk=",0)</f>
        <v>#REF!</v>
      </c>
      <c r="K323" t="e">
        <f>IF(#REF!,"AAAAAH/s9wo=",0)</f>
        <v>#REF!</v>
      </c>
      <c r="L323" t="e">
        <f>IF(#REF!,"AAAAAH/s9ws=",0)</f>
        <v>#REF!</v>
      </c>
      <c r="M323" t="e">
        <f>IF(#REF!,"AAAAAH/s9ww=",0)</f>
        <v>#REF!</v>
      </c>
      <c r="N323" t="e">
        <f>IF(#REF!,"AAAAAH/s9w0=",0)</f>
        <v>#REF!</v>
      </c>
      <c r="O323" t="e">
        <f>IF(#REF!,"AAAAAH/s9w4=",0)</f>
        <v>#REF!</v>
      </c>
      <c r="P323" t="e">
        <f>IF(#REF!,"AAAAAH/s9w8=",0)</f>
        <v>#REF!</v>
      </c>
      <c r="Q323" t="e">
        <f>IF(#REF!,"AAAAAH/s9xA=",0)</f>
        <v>#REF!</v>
      </c>
      <c r="R323" t="e">
        <f>IF(#REF!,"AAAAAH/s9xE=",0)</f>
        <v>#REF!</v>
      </c>
      <c r="S323" t="e">
        <f>IF(#REF!,"AAAAAH/s9xI=",0)</f>
        <v>#REF!</v>
      </c>
      <c r="T323" t="e">
        <f>IF(#REF!,"AAAAAH/s9xM=",0)</f>
        <v>#REF!</v>
      </c>
      <c r="U323" t="e">
        <f>IF(#REF!,"AAAAAH/s9xQ=",0)</f>
        <v>#REF!</v>
      </c>
      <c r="V323" t="e">
        <f>IF(#REF!,"AAAAAH/s9xU=",0)</f>
        <v>#REF!</v>
      </c>
      <c r="W323" t="e">
        <f>IF(#REF!,"AAAAAH/s9xY=",0)</f>
        <v>#REF!</v>
      </c>
      <c r="X323" t="e">
        <f>IF(#REF!,"AAAAAH/s9xc=",0)</f>
        <v>#REF!</v>
      </c>
      <c r="Y323" t="e">
        <f>IF(#REF!,"AAAAAH/s9xg=",0)</f>
        <v>#REF!</v>
      </c>
      <c r="Z323" t="e">
        <f>IF(#REF!,"AAAAAH/s9xk=",0)</f>
        <v>#REF!</v>
      </c>
      <c r="AA323" t="e">
        <f>IF(#REF!,"AAAAAH/s9xo=",0)</f>
        <v>#REF!</v>
      </c>
      <c r="AB323" t="e">
        <f>IF(#REF!,"AAAAAH/s9xs=",0)</f>
        <v>#REF!</v>
      </c>
      <c r="AC323" t="e">
        <f>IF(#REF!,"AAAAAH/s9xw=",0)</f>
        <v>#REF!</v>
      </c>
      <c r="AD323" t="e">
        <f>IF(#REF!,"AAAAAH/s9x0=",0)</f>
        <v>#REF!</v>
      </c>
      <c r="AE323" t="e">
        <f>IF(#REF!,"AAAAAH/s9x4=",0)</f>
        <v>#REF!</v>
      </c>
      <c r="AF323" t="e">
        <f>IF(#REF!,"AAAAAH/s9x8=",0)</f>
        <v>#REF!</v>
      </c>
      <c r="AG323" t="e">
        <f>IF(#REF!,"AAAAAH/s9yA=",0)</f>
        <v>#REF!</v>
      </c>
      <c r="AH323" t="e">
        <f>IF(#REF!,"AAAAAH/s9yE=",0)</f>
        <v>#REF!</v>
      </c>
      <c r="AI323" t="e">
        <f>IF(#REF!,"AAAAAH/s9yI=",0)</f>
        <v>#REF!</v>
      </c>
      <c r="AJ323" t="e">
        <f>IF(#REF!,"AAAAAH/s9yM=",0)</f>
        <v>#REF!</v>
      </c>
      <c r="AK323" t="e">
        <f>IF(#REF!,"AAAAAH/s9yQ=",0)</f>
        <v>#REF!</v>
      </c>
      <c r="AL323" t="e">
        <f>IF(#REF!,"AAAAAH/s9yU=",0)</f>
        <v>#REF!</v>
      </c>
      <c r="AM323" t="e">
        <f>IF(#REF!,"AAAAAH/s9yY=",0)</f>
        <v>#REF!</v>
      </c>
      <c r="AN323" t="e">
        <f>IF(#REF!,"AAAAAH/s9yc=",0)</f>
        <v>#REF!</v>
      </c>
      <c r="AO323" t="e">
        <f>IF(#REF!,"AAAAAH/s9yg=",0)</f>
        <v>#REF!</v>
      </c>
      <c r="AP323" t="e">
        <f>IF(#REF!,"AAAAAH/s9yk=",0)</f>
        <v>#REF!</v>
      </c>
      <c r="AQ323" t="e">
        <f>IF(#REF!,"AAAAAH/s9yo=",0)</f>
        <v>#REF!</v>
      </c>
      <c r="AR323" t="e">
        <f>IF(#REF!,"AAAAAH/s9ys=",0)</f>
        <v>#REF!</v>
      </c>
      <c r="AS323" t="e">
        <f>IF(#REF!,"AAAAAH/s9yw=",0)</f>
        <v>#REF!</v>
      </c>
      <c r="AT323" t="e">
        <f>IF(#REF!,"AAAAAH/s9y0=",0)</f>
        <v>#REF!</v>
      </c>
      <c r="AU323" t="e">
        <f>IF(#REF!,"AAAAAH/s9y4=",0)</f>
        <v>#REF!</v>
      </c>
      <c r="AV323" t="e">
        <f>IF(#REF!,"AAAAAH/s9y8=",0)</f>
        <v>#REF!</v>
      </c>
      <c r="AW323" t="e">
        <f>IF(#REF!,"AAAAAH/s9zA=",0)</f>
        <v>#REF!</v>
      </c>
      <c r="AX323" t="e">
        <f>IF(#REF!,"AAAAAH/s9zE=",0)</f>
        <v>#REF!</v>
      </c>
      <c r="AY323" t="e">
        <f>IF(#REF!,"AAAAAH/s9zI=",0)</f>
        <v>#REF!</v>
      </c>
      <c r="AZ323" t="e">
        <f>IF(#REF!,"AAAAAH/s9zM=",0)</f>
        <v>#REF!</v>
      </c>
      <c r="BA323" t="e">
        <f>IF(#REF!,"AAAAAH/s9zQ=",0)</f>
        <v>#REF!</v>
      </c>
      <c r="BB323" t="e">
        <f>IF(#REF!,"AAAAAH/s9zU=",0)</f>
        <v>#REF!</v>
      </c>
      <c r="BC323" t="e">
        <f>IF(#REF!,"AAAAAH/s9zY=",0)</f>
        <v>#REF!</v>
      </c>
      <c r="BD323" t="e">
        <f>IF(#REF!,"AAAAAH/s9zc=",0)</f>
        <v>#REF!</v>
      </c>
      <c r="BE323" t="e">
        <f>IF(#REF!,"AAAAAH/s9zg=",0)</f>
        <v>#REF!</v>
      </c>
      <c r="BF323" t="e">
        <f>IF(#REF!,"AAAAAH/s9zk=",0)</f>
        <v>#REF!</v>
      </c>
      <c r="BG323" t="e">
        <f>IF(#REF!,"AAAAAH/s9zo=",0)</f>
        <v>#REF!</v>
      </c>
      <c r="BH323" t="e">
        <f>IF(#REF!,"AAAAAH/s9zs=",0)</f>
        <v>#REF!</v>
      </c>
      <c r="BI323" t="e">
        <f>IF(#REF!,"AAAAAH/s9zw=",0)</f>
        <v>#REF!</v>
      </c>
      <c r="BJ323" t="e">
        <f>IF(#REF!,"AAAAAH/s9z0=",0)</f>
        <v>#REF!</v>
      </c>
      <c r="BK323" t="e">
        <f>IF(#REF!,"AAAAAH/s9z4=",0)</f>
        <v>#REF!</v>
      </c>
      <c r="BL323" t="e">
        <f>IF(#REF!,"AAAAAH/s9z8=",0)</f>
        <v>#REF!</v>
      </c>
      <c r="BM323" t="e">
        <f>IF(#REF!,"AAAAAH/s90A=",0)</f>
        <v>#REF!</v>
      </c>
      <c r="BN323" t="e">
        <f>IF(#REF!,"AAAAAH/s90E=",0)</f>
        <v>#REF!</v>
      </c>
      <c r="BO323" t="e">
        <f>IF(#REF!,"AAAAAH/s90I=",0)</f>
        <v>#REF!</v>
      </c>
      <c r="BP323" t="e">
        <f>IF(#REF!,"AAAAAH/s90M=",0)</f>
        <v>#REF!</v>
      </c>
      <c r="BQ323" t="e">
        <f>IF(#REF!,"AAAAAH/s90Q=",0)</f>
        <v>#REF!</v>
      </c>
      <c r="BR323" t="e">
        <f>IF(#REF!,"AAAAAH/s90U=",0)</f>
        <v>#REF!</v>
      </c>
      <c r="BS323" t="e">
        <f>IF(#REF!,"AAAAAH/s90Y=",0)</f>
        <v>#REF!</v>
      </c>
      <c r="BT323" t="e">
        <f>IF(#REF!,"AAAAAH/s90c=",0)</f>
        <v>#REF!</v>
      </c>
      <c r="BU323" t="e">
        <f>IF(#REF!,"AAAAAH/s90g=",0)</f>
        <v>#REF!</v>
      </c>
      <c r="BV323" t="e">
        <f>IF(#REF!,"AAAAAH/s90k=",0)</f>
        <v>#REF!</v>
      </c>
      <c r="BW323" t="e">
        <f>IF(#REF!,"AAAAAH/s90o=",0)</f>
        <v>#REF!</v>
      </c>
      <c r="BX323" t="e">
        <f>IF(#REF!,"AAAAAH/s90s=",0)</f>
        <v>#REF!</v>
      </c>
      <c r="BY323" t="e">
        <f>IF(#REF!,"AAAAAH/s90w=",0)</f>
        <v>#REF!</v>
      </c>
      <c r="BZ323" t="e">
        <f>IF(#REF!,"AAAAAH/s900=",0)</f>
        <v>#REF!</v>
      </c>
      <c r="CA323" t="e">
        <f>IF(#REF!,"AAAAAH/s904=",0)</f>
        <v>#REF!</v>
      </c>
      <c r="CB323" t="e">
        <f>IF(#REF!,"AAAAAH/s908=",0)</f>
        <v>#REF!</v>
      </c>
      <c r="CC323" t="e">
        <f>IF(#REF!,"AAAAAH/s91A=",0)</f>
        <v>#REF!</v>
      </c>
      <c r="CD323" t="e">
        <f>IF(#REF!,"AAAAAH/s91E=",0)</f>
        <v>#REF!</v>
      </c>
      <c r="CE323" t="e">
        <f>IF(#REF!,"AAAAAH/s91I=",0)</f>
        <v>#REF!</v>
      </c>
      <c r="CF323" t="e">
        <f>IF(#REF!,"AAAAAH/s91M=",0)</f>
        <v>#REF!</v>
      </c>
      <c r="CG323" t="e">
        <f>IF(#REF!,"AAAAAH/s91Q=",0)</f>
        <v>#REF!</v>
      </c>
      <c r="CH323" t="e">
        <f>IF(#REF!,"AAAAAH/s91U=",0)</f>
        <v>#REF!</v>
      </c>
      <c r="CI323" t="e">
        <f>IF(#REF!,"AAAAAH/s91Y=",0)</f>
        <v>#REF!</v>
      </c>
      <c r="CJ323" t="e">
        <f>IF(#REF!,"AAAAAH/s91c=",0)</f>
        <v>#REF!</v>
      </c>
      <c r="CK323" t="e">
        <f>IF(#REF!,"AAAAAH/s91g=",0)</f>
        <v>#REF!</v>
      </c>
      <c r="CL323" t="e">
        <f>IF(#REF!,"AAAAAH/s91k=",0)</f>
        <v>#REF!</v>
      </c>
      <c r="CM323" t="e">
        <f>IF(#REF!,"AAAAAH/s91o=",0)</f>
        <v>#REF!</v>
      </c>
      <c r="CN323" t="e">
        <f>IF(#REF!,"AAAAAH/s91s=",0)</f>
        <v>#REF!</v>
      </c>
      <c r="CO323" t="e">
        <f>IF(#REF!,"AAAAAH/s91w=",0)</f>
        <v>#REF!</v>
      </c>
      <c r="CP323" t="e">
        <f>IF(#REF!,"AAAAAH/s910=",0)</f>
        <v>#REF!</v>
      </c>
      <c r="CQ323" t="e">
        <f>IF(#REF!,"AAAAAH/s914=",0)</f>
        <v>#REF!</v>
      </c>
      <c r="CR323" t="e">
        <f>IF(#REF!,"AAAAAH/s918=",0)</f>
        <v>#REF!</v>
      </c>
      <c r="CS323" t="e">
        <f>IF(#REF!,"AAAAAH/s92A=",0)</f>
        <v>#REF!</v>
      </c>
      <c r="CT323" t="e">
        <f>IF(#REF!,"AAAAAH/s92E=",0)</f>
        <v>#REF!</v>
      </c>
      <c r="CU323" t="e">
        <f>IF(#REF!,"AAAAAH/s92I=",0)</f>
        <v>#REF!</v>
      </c>
      <c r="CV323" t="e">
        <f>IF(#REF!,"AAAAAH/s92M=",0)</f>
        <v>#REF!</v>
      </c>
      <c r="CW323" t="e">
        <f>IF(#REF!,"AAAAAH/s92Q=",0)</f>
        <v>#REF!</v>
      </c>
      <c r="CX323" t="e">
        <f>IF(#REF!,"AAAAAH/s92U=",0)</f>
        <v>#REF!</v>
      </c>
      <c r="CY323" t="e">
        <f>IF(#REF!,"AAAAAH/s92Y=",0)</f>
        <v>#REF!</v>
      </c>
      <c r="CZ323" t="e">
        <f>IF(#REF!,"AAAAAH/s92c=",0)</f>
        <v>#REF!</v>
      </c>
      <c r="DA323" t="e">
        <f>IF(#REF!,"AAAAAH/s92g=",0)</f>
        <v>#REF!</v>
      </c>
      <c r="DB323" t="e">
        <f>IF(#REF!,"AAAAAH/s92k=",0)</f>
        <v>#REF!</v>
      </c>
      <c r="DC323" t="e">
        <f>IF(#REF!,"AAAAAH/s92o=",0)</f>
        <v>#REF!</v>
      </c>
      <c r="DD323" t="e">
        <f>IF(#REF!,"AAAAAH/s92s=",0)</f>
        <v>#REF!</v>
      </c>
      <c r="DE323" t="e">
        <f>IF(#REF!,"AAAAAH/s92w=",0)</f>
        <v>#REF!</v>
      </c>
      <c r="DF323" t="e">
        <f>IF(#REF!,"AAAAAH/s920=",0)</f>
        <v>#REF!</v>
      </c>
      <c r="DG323" t="e">
        <f>IF(#REF!,"AAAAAH/s924=",0)</f>
        <v>#REF!</v>
      </c>
      <c r="DH323" t="e">
        <f>IF(#REF!,"AAAAAH/s928=",0)</f>
        <v>#REF!</v>
      </c>
      <c r="DI323" t="e">
        <f>IF(#REF!,"AAAAAH/s93A=",0)</f>
        <v>#REF!</v>
      </c>
      <c r="DJ323" t="e">
        <f>IF(#REF!,"AAAAAH/s93E=",0)</f>
        <v>#REF!</v>
      </c>
      <c r="DK323" t="e">
        <f>IF(#REF!,"AAAAAH/s93I=",0)</f>
        <v>#REF!</v>
      </c>
      <c r="DL323" t="e">
        <f>IF(#REF!,"AAAAAH/s93M=",0)</f>
        <v>#REF!</v>
      </c>
      <c r="DM323" t="e">
        <f>IF(#REF!,"AAAAAH/s93Q=",0)</f>
        <v>#REF!</v>
      </c>
      <c r="DN323" t="e">
        <f>IF(#REF!,"AAAAAH/s93U=",0)</f>
        <v>#REF!</v>
      </c>
      <c r="DO323" t="e">
        <f>IF(#REF!,"AAAAAH/s93Y=",0)</f>
        <v>#REF!</v>
      </c>
      <c r="DP323" t="e">
        <f>IF(#REF!,"AAAAAH/s93c=",0)</f>
        <v>#REF!</v>
      </c>
      <c r="DQ323" t="e">
        <f>IF(#REF!,"AAAAAH/s93g=",0)</f>
        <v>#REF!</v>
      </c>
      <c r="DR323" t="e">
        <f>IF(#REF!,"AAAAAH/s93k=",0)</f>
        <v>#REF!</v>
      </c>
      <c r="DS323" t="e">
        <f>IF(#REF!,"AAAAAH/s93o=",0)</f>
        <v>#REF!</v>
      </c>
      <c r="DT323" t="e">
        <f>IF(#REF!,"AAAAAH/s93s=",0)</f>
        <v>#REF!</v>
      </c>
      <c r="DU323" t="e">
        <f>IF(#REF!,"AAAAAH/s93w=",0)</f>
        <v>#REF!</v>
      </c>
      <c r="DV323" t="e">
        <f>IF(#REF!,"AAAAAH/s930=",0)</f>
        <v>#REF!</v>
      </c>
      <c r="DW323" t="e">
        <f>IF(#REF!,"AAAAAH/s934=",0)</f>
        <v>#REF!</v>
      </c>
      <c r="DX323" t="e">
        <f>IF(#REF!,"AAAAAH/s938=",0)</f>
        <v>#REF!</v>
      </c>
      <c r="DY323" t="e">
        <f>IF(#REF!,"AAAAAH/s94A=",0)</f>
        <v>#REF!</v>
      </c>
      <c r="DZ323" t="e">
        <f>IF(#REF!,"AAAAAH/s94E=",0)</f>
        <v>#REF!</v>
      </c>
      <c r="EA323" t="e">
        <f>IF(#REF!,"AAAAAH/s94I=",0)</f>
        <v>#REF!</v>
      </c>
      <c r="EB323" t="e">
        <f>IF(#REF!,"AAAAAH/s94M=",0)</f>
        <v>#REF!</v>
      </c>
      <c r="EC323" t="e">
        <f>IF(#REF!,"AAAAAH/s94Q=",0)</f>
        <v>#REF!</v>
      </c>
      <c r="ED323" t="e">
        <f>IF(#REF!,"AAAAAH/s94U=",0)</f>
        <v>#REF!</v>
      </c>
      <c r="EE323" t="e">
        <f>IF(#REF!,"AAAAAH/s94Y=",0)</f>
        <v>#REF!</v>
      </c>
      <c r="EF323" t="e">
        <f>IF(#REF!,"AAAAAH/s94c=",0)</f>
        <v>#REF!</v>
      </c>
      <c r="EG323" t="e">
        <f>IF(#REF!,"AAAAAH/s94g=",0)</f>
        <v>#REF!</v>
      </c>
      <c r="EH323" t="e">
        <f>IF(#REF!,"AAAAAH/s94k=",0)</f>
        <v>#REF!</v>
      </c>
      <c r="EI323" t="e">
        <f>IF(#REF!,"AAAAAH/s94o=",0)</f>
        <v>#REF!</v>
      </c>
      <c r="EJ323" t="e">
        <f>IF(#REF!,"AAAAAH/s94s=",0)</f>
        <v>#REF!</v>
      </c>
      <c r="EK323" t="e">
        <f>IF(#REF!,"AAAAAH/s94w=",0)</f>
        <v>#REF!</v>
      </c>
      <c r="EL323" t="e">
        <f>IF(#REF!,"AAAAAH/s940=",0)</f>
        <v>#REF!</v>
      </c>
      <c r="EM323" t="e">
        <f>IF(#REF!,"AAAAAH/s944=",0)</f>
        <v>#REF!</v>
      </c>
      <c r="EN323" t="e">
        <f>IF(#REF!,"AAAAAH/s948=",0)</f>
        <v>#REF!</v>
      </c>
      <c r="EO323" t="e">
        <f>IF(#REF!,"AAAAAH/s95A=",0)</f>
        <v>#REF!</v>
      </c>
      <c r="EP323" t="e">
        <f>IF(#REF!,"AAAAAH/s95E=",0)</f>
        <v>#REF!</v>
      </c>
      <c r="EQ323" t="e">
        <f>IF(#REF!,"AAAAAH/s95I=",0)</f>
        <v>#REF!</v>
      </c>
      <c r="ER323" t="e">
        <f>IF(#REF!,"AAAAAH/s95M=",0)</f>
        <v>#REF!</v>
      </c>
      <c r="ES323" t="e">
        <f>IF(#REF!,"AAAAAH/s95Q=",0)</f>
        <v>#REF!</v>
      </c>
      <c r="ET323" t="e">
        <f>IF(#REF!,"AAAAAH/s95U=",0)</f>
        <v>#REF!</v>
      </c>
      <c r="EU323" t="e">
        <f>IF(#REF!,"AAAAAH/s95Y=",0)</f>
        <v>#REF!</v>
      </c>
      <c r="EV323" t="e">
        <f>IF(#REF!,"AAAAAH/s95c=",0)</f>
        <v>#REF!</v>
      </c>
      <c r="EW323" t="e">
        <f>IF(#REF!,"AAAAAH/s95g=",0)</f>
        <v>#REF!</v>
      </c>
      <c r="EX323" t="e">
        <f>IF(#REF!,"AAAAAH/s95k=",0)</f>
        <v>#REF!</v>
      </c>
      <c r="EY323" t="e">
        <f>IF(#REF!,"AAAAAH/s95o=",0)</f>
        <v>#REF!</v>
      </c>
      <c r="EZ323" t="e">
        <f>IF(#REF!,"AAAAAH/s95s=",0)</f>
        <v>#REF!</v>
      </c>
      <c r="FA323" t="e">
        <f>IF(#REF!,"AAAAAH/s95w=",0)</f>
        <v>#REF!</v>
      </c>
      <c r="FB323" t="e">
        <f>IF(#REF!,"AAAAAH/s950=",0)</f>
        <v>#REF!</v>
      </c>
      <c r="FC323" t="e">
        <f>IF(#REF!,"AAAAAH/s954=",0)</f>
        <v>#REF!</v>
      </c>
      <c r="FD323" t="e">
        <f>IF(#REF!,"AAAAAH/s958=",0)</f>
        <v>#REF!</v>
      </c>
      <c r="FE323" t="e">
        <f>IF(#REF!,"AAAAAH/s96A=",0)</f>
        <v>#REF!</v>
      </c>
      <c r="FF323" t="e">
        <f>IF(#REF!,"AAAAAH/s96E=",0)</f>
        <v>#REF!</v>
      </c>
      <c r="FG323" t="e">
        <f>IF(#REF!,"AAAAAH/s96I=",0)</f>
        <v>#REF!</v>
      </c>
      <c r="FH323" t="e">
        <f>IF(#REF!,"AAAAAH/s96M=",0)</f>
        <v>#REF!</v>
      </c>
      <c r="FI323" t="e">
        <f>IF(#REF!,"AAAAAH/s96Q=",0)</f>
        <v>#REF!</v>
      </c>
      <c r="FJ323" t="e">
        <f>IF(#REF!,"AAAAAH/s96U=",0)</f>
        <v>#REF!</v>
      </c>
      <c r="FK323" t="e">
        <f>IF(#REF!,"AAAAAH/s96Y=",0)</f>
        <v>#REF!</v>
      </c>
      <c r="FL323" t="e">
        <f>IF(#REF!,"AAAAAH/s96c=",0)</f>
        <v>#REF!</v>
      </c>
      <c r="FM323" t="e">
        <f>IF(#REF!,"AAAAAH/s96g=",0)</f>
        <v>#REF!</v>
      </c>
      <c r="FN323" t="e">
        <f>IF(#REF!,"AAAAAH/s96k=",0)</f>
        <v>#REF!</v>
      </c>
      <c r="FO323" t="e">
        <f>IF(#REF!,"AAAAAH/s96o=",0)</f>
        <v>#REF!</v>
      </c>
      <c r="FP323" t="e">
        <f>IF(#REF!,"AAAAAH/s96s=",0)</f>
        <v>#REF!</v>
      </c>
      <c r="FQ323" t="e">
        <f>IF(#REF!,"AAAAAH/s96w=",0)</f>
        <v>#REF!</v>
      </c>
      <c r="FR323" t="e">
        <f>IF(#REF!,"AAAAAH/s960=",0)</f>
        <v>#REF!</v>
      </c>
      <c r="FS323" t="e">
        <f>IF(#REF!,"AAAAAH/s964=",0)</f>
        <v>#REF!</v>
      </c>
      <c r="FT323" t="e">
        <f>IF(#REF!,"AAAAAH/s968=",0)</f>
        <v>#REF!</v>
      </c>
      <c r="FU323" t="e">
        <f>IF(#REF!,"AAAAAH/s97A=",0)</f>
        <v>#REF!</v>
      </c>
      <c r="FV323" t="e">
        <f>IF(#REF!,"AAAAAH/s97E=",0)</f>
        <v>#REF!</v>
      </c>
      <c r="FW323" t="e">
        <f>IF(#REF!,"AAAAAH/s97I=",0)</f>
        <v>#REF!</v>
      </c>
      <c r="FX323" t="e">
        <f>IF(#REF!,"AAAAAH/s97M=",0)</f>
        <v>#REF!</v>
      </c>
      <c r="FY323" t="e">
        <f>IF(#REF!,"AAAAAH/s97Q=",0)</f>
        <v>#REF!</v>
      </c>
      <c r="FZ323" t="e">
        <f>IF(#REF!,"AAAAAH/s97U=",0)</f>
        <v>#REF!</v>
      </c>
      <c r="GA323" t="e">
        <f>IF(#REF!,"AAAAAH/s97Y=",0)</f>
        <v>#REF!</v>
      </c>
      <c r="GB323" t="e">
        <f>IF(#REF!,"AAAAAH/s97c=",0)</f>
        <v>#REF!</v>
      </c>
      <c r="GC323" t="e">
        <f>IF(#REF!,"AAAAAH/s97g=",0)</f>
        <v>#REF!</v>
      </c>
      <c r="GD323" t="e">
        <f>IF(#REF!,"AAAAAH/s97k=",0)</f>
        <v>#REF!</v>
      </c>
      <c r="GE323" t="e">
        <f>IF(#REF!,"AAAAAH/s97o=",0)</f>
        <v>#REF!</v>
      </c>
      <c r="GF323" t="e">
        <f>IF(#REF!,"AAAAAH/s97s=",0)</f>
        <v>#REF!</v>
      </c>
      <c r="GG323" t="e">
        <f>IF(#REF!,"AAAAAH/s97w=",0)</f>
        <v>#REF!</v>
      </c>
      <c r="GH323" t="e">
        <f>IF(#REF!,"AAAAAH/s970=",0)</f>
        <v>#REF!</v>
      </c>
      <c r="GI323" t="e">
        <f>IF(#REF!,"AAAAAH/s974=",0)</f>
        <v>#REF!</v>
      </c>
      <c r="GJ323" t="e">
        <f>IF(#REF!,"AAAAAH/s978=",0)</f>
        <v>#REF!</v>
      </c>
      <c r="GK323" t="e">
        <f>IF(#REF!,"AAAAAH/s98A=",0)</f>
        <v>#REF!</v>
      </c>
      <c r="GL323" t="e">
        <f>IF(#REF!,"AAAAAH/s98E=",0)</f>
        <v>#REF!</v>
      </c>
      <c r="GM323" t="e">
        <f>IF(#REF!,"AAAAAH/s98I=",0)</f>
        <v>#REF!</v>
      </c>
      <c r="GN323" t="e">
        <f>IF(#REF!,"AAAAAH/s98M=",0)</f>
        <v>#REF!</v>
      </c>
      <c r="GO323" t="e">
        <f>IF(#REF!,"AAAAAH/s98Q=",0)</f>
        <v>#REF!</v>
      </c>
      <c r="GP323" t="e">
        <f>IF(#REF!,"AAAAAH/s98U=",0)</f>
        <v>#REF!</v>
      </c>
      <c r="GQ323" t="e">
        <f>IF(#REF!,"AAAAAH/s98Y=",0)</f>
        <v>#REF!</v>
      </c>
      <c r="GR323" t="e">
        <f>IF(#REF!,"AAAAAH/s98c=",0)</f>
        <v>#REF!</v>
      </c>
      <c r="GS323" t="e">
        <f>IF(#REF!,"AAAAAH/s98g=",0)</f>
        <v>#REF!</v>
      </c>
      <c r="GT323" t="e">
        <f>IF(#REF!,"AAAAAH/s98k=",0)</f>
        <v>#REF!</v>
      </c>
      <c r="GU323" t="e">
        <f>IF(#REF!,"AAAAAH/s98o=",0)</f>
        <v>#REF!</v>
      </c>
      <c r="GV323" t="e">
        <f>IF(#REF!,"AAAAAH/s98s=",0)</f>
        <v>#REF!</v>
      </c>
      <c r="GW323" t="e">
        <f>IF(#REF!,"AAAAAH/s98w=",0)</f>
        <v>#REF!</v>
      </c>
      <c r="GX323" t="e">
        <f>IF(#REF!,"AAAAAH/s980=",0)</f>
        <v>#REF!</v>
      </c>
      <c r="GY323" t="e">
        <f>IF(#REF!,"AAAAAH/s984=",0)</f>
        <v>#REF!</v>
      </c>
      <c r="GZ323" t="e">
        <f>IF(#REF!,"AAAAAH/s988=",0)</f>
        <v>#REF!</v>
      </c>
      <c r="HA323" t="e">
        <f>IF(#REF!,"AAAAAH/s99A=",0)</f>
        <v>#REF!</v>
      </c>
      <c r="HB323" t="e">
        <f>IF(#REF!,"AAAAAH/s99E=",0)</f>
        <v>#REF!</v>
      </c>
      <c r="HC323" t="e">
        <f>IF(#REF!,"AAAAAH/s99I=",0)</f>
        <v>#REF!</v>
      </c>
      <c r="HD323" t="e">
        <f>IF(#REF!,"AAAAAH/s99M=",0)</f>
        <v>#REF!</v>
      </c>
      <c r="HE323" t="e">
        <f>IF(#REF!,"AAAAAH/s99Q=",0)</f>
        <v>#REF!</v>
      </c>
      <c r="HF323" t="e">
        <f>IF(#REF!,"AAAAAH/s99U=",0)</f>
        <v>#REF!</v>
      </c>
      <c r="HG323" t="e">
        <f>IF(#REF!,"AAAAAH/s99Y=",0)</f>
        <v>#REF!</v>
      </c>
      <c r="HH323" t="e">
        <f>IF(#REF!,"AAAAAH/s99c=",0)</f>
        <v>#REF!</v>
      </c>
      <c r="HI323" t="e">
        <f>IF(#REF!,"AAAAAH/s99g=",0)</f>
        <v>#REF!</v>
      </c>
      <c r="HJ323" t="e">
        <f>IF(#REF!,"AAAAAH/s99k=",0)</f>
        <v>#REF!</v>
      </c>
      <c r="HK323" t="e">
        <f>IF(#REF!,"AAAAAH/s99o=",0)</f>
        <v>#REF!</v>
      </c>
      <c r="HL323" t="e">
        <f>IF(#REF!,"AAAAAH/s99s=",0)</f>
        <v>#REF!</v>
      </c>
      <c r="HM323" t="e">
        <f>IF(#REF!,"AAAAAH/s99w=",0)</f>
        <v>#REF!</v>
      </c>
      <c r="HN323" t="e">
        <f>IF(#REF!,"AAAAAH/s990=",0)</f>
        <v>#REF!</v>
      </c>
      <c r="HO323" t="e">
        <f>IF(#REF!,"AAAAAH/s994=",0)</f>
        <v>#REF!</v>
      </c>
      <c r="HP323" t="e">
        <f>IF(#REF!,"AAAAAH/s998=",0)</f>
        <v>#REF!</v>
      </c>
      <c r="HQ323" t="e">
        <f>IF(#REF!,"AAAAAH/s9+A=",0)</f>
        <v>#REF!</v>
      </c>
      <c r="HR323" t="e">
        <f>IF(#REF!,"AAAAAH/s9+E=",0)</f>
        <v>#REF!</v>
      </c>
      <c r="HS323" t="e">
        <f>IF(#REF!,"AAAAAH/s9+I=",0)</f>
        <v>#REF!</v>
      </c>
      <c r="HT323" t="e">
        <f>IF(#REF!,"AAAAAH/s9+M=",0)</f>
        <v>#REF!</v>
      </c>
      <c r="HU323" t="e">
        <f>IF(#REF!,"AAAAAH/s9+Q=",0)</f>
        <v>#REF!</v>
      </c>
      <c r="HV323" t="e">
        <f>IF(#REF!,"AAAAAH/s9+U=",0)</f>
        <v>#REF!</v>
      </c>
      <c r="HW323" t="e">
        <f>IF(#REF!,"AAAAAH/s9+Y=",0)</f>
        <v>#REF!</v>
      </c>
      <c r="HX323" t="e">
        <f>IF(#REF!,"AAAAAH/s9+c=",0)</f>
        <v>#REF!</v>
      </c>
      <c r="HY323" t="e">
        <f>IF(#REF!,"AAAAAH/s9+g=",0)</f>
        <v>#REF!</v>
      </c>
      <c r="HZ323" t="e">
        <f>IF(#REF!,"AAAAAH/s9+k=",0)</f>
        <v>#REF!</v>
      </c>
      <c r="IA323" t="e">
        <f>IF(#REF!,"AAAAAH/s9+o=",0)</f>
        <v>#REF!</v>
      </c>
      <c r="IB323" t="e">
        <f>IF(#REF!,"AAAAAH/s9+s=",0)</f>
        <v>#REF!</v>
      </c>
      <c r="IC323" t="e">
        <f>IF(#REF!,"AAAAAH/s9+w=",0)</f>
        <v>#REF!</v>
      </c>
      <c r="ID323" t="e">
        <f>IF(#REF!,"AAAAAH/s9+0=",0)</f>
        <v>#REF!</v>
      </c>
      <c r="IE323" t="e">
        <f>IF(#REF!,"AAAAAH/s9+4=",0)</f>
        <v>#REF!</v>
      </c>
      <c r="IF323" t="e">
        <f>IF(#REF!,"AAAAAH/s9+8=",0)</f>
        <v>#REF!</v>
      </c>
      <c r="IG323" t="e">
        <f>IF(#REF!,"AAAAAH/s9/A=",0)</f>
        <v>#REF!</v>
      </c>
      <c r="IH323" t="e">
        <f>IF(#REF!,"AAAAAH/s9/E=",0)</f>
        <v>#REF!</v>
      </c>
      <c r="II323" t="e">
        <f>IF(#REF!,"AAAAAH/s9/I=",0)</f>
        <v>#REF!</v>
      </c>
      <c r="IJ323" t="e">
        <f>IF(#REF!,"AAAAAH/s9/M=",0)</f>
        <v>#REF!</v>
      </c>
      <c r="IK323" t="e">
        <f>IF(#REF!,"AAAAAH/s9/Q=",0)</f>
        <v>#REF!</v>
      </c>
      <c r="IL323" t="e">
        <f>IF(#REF!,"AAAAAH/s9/U=",0)</f>
        <v>#REF!</v>
      </c>
      <c r="IM323" t="e">
        <f>IF(#REF!,"AAAAAH/s9/Y=",0)</f>
        <v>#REF!</v>
      </c>
      <c r="IN323" t="e">
        <f>IF(#REF!,"AAAAAH/s9/c=",0)</f>
        <v>#REF!</v>
      </c>
      <c r="IO323" t="e">
        <f>IF(#REF!,"AAAAAH/s9/g=",0)</f>
        <v>#REF!</v>
      </c>
      <c r="IP323" t="e">
        <f>IF(#REF!,"AAAAAH/s9/k=",0)</f>
        <v>#REF!</v>
      </c>
      <c r="IQ323" t="e">
        <f>IF(#REF!,"AAAAAH/s9/o=",0)</f>
        <v>#REF!</v>
      </c>
      <c r="IR323" t="e">
        <f>IF(#REF!,"AAAAAH/s9/s=",0)</f>
        <v>#REF!</v>
      </c>
      <c r="IS323" t="e">
        <f>IF(#REF!,"AAAAAH/s9/w=",0)</f>
        <v>#REF!</v>
      </c>
      <c r="IT323" t="e">
        <f>IF(#REF!,"AAAAAH/s9/0=",0)</f>
        <v>#REF!</v>
      </c>
      <c r="IU323" t="e">
        <f>IF(#REF!,"AAAAAH/s9/4=",0)</f>
        <v>#REF!</v>
      </c>
      <c r="IV323" t="e">
        <f>IF(#REF!,"AAAAAH/s9/8=",0)</f>
        <v>#REF!</v>
      </c>
    </row>
    <row r="324" spans="1:256">
      <c r="A324" t="e">
        <f>IF(#REF!,"AAAAAF7t1wA=",0)</f>
        <v>#REF!</v>
      </c>
      <c r="B324" t="e">
        <f>IF(#REF!,"AAAAAF7t1wE=",0)</f>
        <v>#REF!</v>
      </c>
      <c r="C324" t="e">
        <f>IF(#REF!,"AAAAAF7t1wI=",0)</f>
        <v>#REF!</v>
      </c>
      <c r="D324" t="e">
        <f>IF(#REF!,"AAAAAF7t1wM=",0)</f>
        <v>#REF!</v>
      </c>
      <c r="E324" t="e">
        <f>IF(#REF!,"AAAAAF7t1wQ=",0)</f>
        <v>#REF!</v>
      </c>
      <c r="F324" t="e">
        <f>IF(#REF!,"AAAAAF7t1wU=",0)</f>
        <v>#REF!</v>
      </c>
      <c r="G324" t="e">
        <f>IF(#REF!,"AAAAAF7t1wY=",0)</f>
        <v>#REF!</v>
      </c>
      <c r="H324" t="e">
        <f>IF(#REF!,"AAAAAF7t1wc=",0)</f>
        <v>#REF!</v>
      </c>
      <c r="I324" t="e">
        <f>IF(#REF!,"AAAAAF7t1wg=",0)</f>
        <v>#REF!</v>
      </c>
      <c r="J324" t="e">
        <f>IF(#REF!,"AAAAAF7t1wk=",0)</f>
        <v>#REF!</v>
      </c>
      <c r="K324" t="e">
        <f>IF(#REF!,"AAAAAF7t1wo=",0)</f>
        <v>#REF!</v>
      </c>
      <c r="L324" t="e">
        <f>IF(#REF!,"AAAAAF7t1ws=",0)</f>
        <v>#REF!</v>
      </c>
      <c r="M324" t="e">
        <f>IF(#REF!,"AAAAAF7t1ww=",0)</f>
        <v>#REF!</v>
      </c>
      <c r="N324" t="e">
        <f>IF(#REF!,"AAAAAF7t1w0=",0)</f>
        <v>#REF!</v>
      </c>
      <c r="O324" t="e">
        <f>IF(#REF!,"AAAAAF7t1w4=",0)</f>
        <v>#REF!</v>
      </c>
      <c r="P324" t="e">
        <f>IF(#REF!,"AAAAAF7t1w8=",0)</f>
        <v>#REF!</v>
      </c>
      <c r="Q324" t="e">
        <f>IF(#REF!,"AAAAAF7t1xA=",0)</f>
        <v>#REF!</v>
      </c>
      <c r="R324" t="e">
        <f>IF(#REF!,"AAAAAF7t1xE=",0)</f>
        <v>#REF!</v>
      </c>
      <c r="S324" t="e">
        <f>IF(#REF!,"AAAAAF7t1xI=",0)</f>
        <v>#REF!</v>
      </c>
      <c r="T324" t="e">
        <f>IF(#REF!,"AAAAAF7t1xM=",0)</f>
        <v>#REF!</v>
      </c>
      <c r="U324" t="e">
        <f>IF(#REF!,"AAAAAF7t1xQ=",0)</f>
        <v>#REF!</v>
      </c>
      <c r="V324" t="e">
        <f>IF(#REF!,"AAAAAF7t1xU=",0)</f>
        <v>#REF!</v>
      </c>
      <c r="W324" t="e">
        <f>IF(#REF!,"AAAAAF7t1xY=",0)</f>
        <v>#REF!</v>
      </c>
      <c r="X324" t="e">
        <f>IF(#REF!,"AAAAAF7t1xc=",0)</f>
        <v>#REF!</v>
      </c>
      <c r="Y324" t="e">
        <f>IF(#REF!,"AAAAAF7t1xg=",0)</f>
        <v>#REF!</v>
      </c>
      <c r="Z324" t="e">
        <f>IF(#REF!,"AAAAAF7t1xk=",0)</f>
        <v>#REF!</v>
      </c>
      <c r="AA324" t="e">
        <f>IF(#REF!,"AAAAAF7t1xo=",0)</f>
        <v>#REF!</v>
      </c>
      <c r="AB324" t="e">
        <f>IF(#REF!,"AAAAAF7t1xs=",0)</f>
        <v>#REF!</v>
      </c>
      <c r="AC324" t="e">
        <f>IF(#REF!,"AAAAAF7t1xw=",0)</f>
        <v>#REF!</v>
      </c>
      <c r="AD324" t="e">
        <f>IF(#REF!,"AAAAAF7t1x0=",0)</f>
        <v>#REF!</v>
      </c>
      <c r="AE324" t="e">
        <f>IF(#REF!,"AAAAAF7t1x4=",0)</f>
        <v>#REF!</v>
      </c>
      <c r="AF324" t="e">
        <f>IF(#REF!,"AAAAAF7t1x8=",0)</f>
        <v>#REF!</v>
      </c>
      <c r="AG324" t="e">
        <f>IF(#REF!,"AAAAAF7t1yA=",0)</f>
        <v>#REF!</v>
      </c>
      <c r="AH324" t="e">
        <f>IF(#REF!,"AAAAAF7t1yE=",0)</f>
        <v>#REF!</v>
      </c>
      <c r="AI324" t="e">
        <f>IF(#REF!,"AAAAAF7t1yI=",0)</f>
        <v>#REF!</v>
      </c>
      <c r="AJ324" t="e">
        <f>IF(#REF!,"AAAAAF7t1yM=",0)</f>
        <v>#REF!</v>
      </c>
      <c r="AK324" t="e">
        <f>IF(#REF!,"AAAAAF7t1yQ=",0)</f>
        <v>#REF!</v>
      </c>
      <c r="AL324" t="e">
        <f>IF(#REF!,"AAAAAF7t1yU=",0)</f>
        <v>#REF!</v>
      </c>
      <c r="AM324" t="e">
        <f>IF(#REF!,"AAAAAF7t1yY=",0)</f>
        <v>#REF!</v>
      </c>
      <c r="AN324" t="e">
        <f>IF(#REF!,"AAAAAF7t1yc=",0)</f>
        <v>#REF!</v>
      </c>
      <c r="AO324" t="e">
        <f>IF(#REF!,"AAAAAF7t1yg=",0)</f>
        <v>#REF!</v>
      </c>
      <c r="AP324" t="e">
        <f>IF(#REF!,"AAAAAF7t1yk=",0)</f>
        <v>#REF!</v>
      </c>
      <c r="AQ324" t="e">
        <f>IF(#REF!,"AAAAAF7t1yo=",0)</f>
        <v>#REF!</v>
      </c>
      <c r="AR324" t="e">
        <f>IF(#REF!,"AAAAAF7t1ys=",0)</f>
        <v>#REF!</v>
      </c>
      <c r="AS324" t="e">
        <f>IF(#REF!,"AAAAAF7t1yw=",0)</f>
        <v>#REF!</v>
      </c>
      <c r="AT324" t="e">
        <f>IF(#REF!,"AAAAAF7t1y0=",0)</f>
        <v>#REF!</v>
      </c>
      <c r="AU324" t="e">
        <f>IF(#REF!,"AAAAAF7t1y4=",0)</f>
        <v>#REF!</v>
      </c>
      <c r="AV324" t="e">
        <f>IF(#REF!,"AAAAAF7t1y8=",0)</f>
        <v>#REF!</v>
      </c>
      <c r="AW324" t="e">
        <f>IF(#REF!,"AAAAAF7t1zA=",0)</f>
        <v>#REF!</v>
      </c>
      <c r="AX324" t="e">
        <f>IF(#REF!,"AAAAAF7t1zE=",0)</f>
        <v>#REF!</v>
      </c>
      <c r="AY324" t="e">
        <f>IF(#REF!,"AAAAAF7t1zI=",0)</f>
        <v>#REF!</v>
      </c>
      <c r="AZ324" t="e">
        <f>IF(#REF!,"AAAAAF7t1zM=",0)</f>
        <v>#REF!</v>
      </c>
      <c r="BA324" t="e">
        <f>IF(#REF!,"AAAAAF7t1zQ=",0)</f>
        <v>#REF!</v>
      </c>
      <c r="BB324" t="e">
        <f>IF(#REF!,"AAAAAF7t1zU=",0)</f>
        <v>#REF!</v>
      </c>
      <c r="BC324" t="e">
        <f>IF(#REF!,"AAAAAF7t1zY=",0)</f>
        <v>#REF!</v>
      </c>
      <c r="BD324" t="e">
        <f>IF(#REF!,"AAAAAF7t1zc=",0)</f>
        <v>#REF!</v>
      </c>
      <c r="BE324" t="e">
        <f>IF(#REF!,"AAAAAF7t1zg=",0)</f>
        <v>#REF!</v>
      </c>
      <c r="BF324" t="e">
        <f>IF(#REF!,"AAAAAF7t1zk=",0)</f>
        <v>#REF!</v>
      </c>
      <c r="BG324" t="e">
        <f>IF(#REF!,"AAAAAF7t1zo=",0)</f>
        <v>#REF!</v>
      </c>
      <c r="BH324" t="e">
        <f>IF(#REF!,"AAAAAF7t1zs=",0)</f>
        <v>#REF!</v>
      </c>
      <c r="BI324" t="e">
        <f>IF(#REF!,"AAAAAF7t1zw=",0)</f>
        <v>#REF!</v>
      </c>
      <c r="BJ324" t="e">
        <f>IF(#REF!,"AAAAAF7t1z0=",0)</f>
        <v>#REF!</v>
      </c>
      <c r="BK324" t="e">
        <f>IF(#REF!,"AAAAAF7t1z4=",0)</f>
        <v>#REF!</v>
      </c>
      <c r="BL324" t="e">
        <f>IF(#REF!,"AAAAAF7t1z8=",0)</f>
        <v>#REF!</v>
      </c>
      <c r="BM324" t="e">
        <f>IF(#REF!,"AAAAAF7t10A=",0)</f>
        <v>#REF!</v>
      </c>
      <c r="BN324" t="e">
        <f>IF(#REF!,"AAAAAF7t10E=",0)</f>
        <v>#REF!</v>
      </c>
      <c r="BO324" t="e">
        <f>IF(#REF!,"AAAAAF7t10I=",0)</f>
        <v>#REF!</v>
      </c>
      <c r="BP324" t="e">
        <f>IF(#REF!,"AAAAAF7t10M=",0)</f>
        <v>#REF!</v>
      </c>
      <c r="BQ324" t="e">
        <f>IF(#REF!,"AAAAAF7t10Q=",0)</f>
        <v>#REF!</v>
      </c>
      <c r="BR324" t="e">
        <f>IF(#REF!,"AAAAAF7t10U=",0)</f>
        <v>#REF!</v>
      </c>
      <c r="BS324" t="e">
        <f>IF(#REF!,"AAAAAF7t10Y=",0)</f>
        <v>#REF!</v>
      </c>
      <c r="BT324" t="e">
        <f>IF(#REF!,"AAAAAF7t10c=",0)</f>
        <v>#REF!</v>
      </c>
      <c r="BU324" t="e">
        <f>IF(#REF!,"AAAAAF7t10g=",0)</f>
        <v>#REF!</v>
      </c>
      <c r="BV324" t="e">
        <f>IF(#REF!,"AAAAAF7t10k=",0)</f>
        <v>#REF!</v>
      </c>
      <c r="BW324" t="e">
        <f>IF(#REF!,"AAAAAF7t10o=",0)</f>
        <v>#REF!</v>
      </c>
      <c r="BX324" t="e">
        <f>IF(#REF!,"AAAAAF7t10s=",0)</f>
        <v>#REF!</v>
      </c>
      <c r="BY324" t="e">
        <f>IF(#REF!,"AAAAAF7t10w=",0)</f>
        <v>#REF!</v>
      </c>
      <c r="BZ324" t="e">
        <f>IF(#REF!,"AAAAAF7t100=",0)</f>
        <v>#REF!</v>
      </c>
      <c r="CA324" t="e">
        <f>IF(#REF!,"AAAAAF7t104=",0)</f>
        <v>#REF!</v>
      </c>
      <c r="CB324" t="e">
        <f>IF(#REF!,"AAAAAF7t108=",0)</f>
        <v>#REF!</v>
      </c>
      <c r="CC324" t="e">
        <f>IF(#REF!,"AAAAAF7t11A=",0)</f>
        <v>#REF!</v>
      </c>
      <c r="CD324" t="e">
        <f>IF(#REF!,"AAAAAF7t11E=",0)</f>
        <v>#REF!</v>
      </c>
      <c r="CE324" t="e">
        <f>IF(#REF!,"AAAAAF7t11I=",0)</f>
        <v>#REF!</v>
      </c>
      <c r="CF324" t="e">
        <f>IF(#REF!,"AAAAAF7t11M=",0)</f>
        <v>#REF!</v>
      </c>
      <c r="CG324" t="e">
        <f>IF(#REF!,"AAAAAF7t11Q=",0)</f>
        <v>#REF!</v>
      </c>
      <c r="CH324" t="e">
        <f>IF(#REF!,"AAAAAF7t11U=",0)</f>
        <v>#REF!</v>
      </c>
      <c r="CI324" t="e">
        <f>IF(#REF!,"AAAAAF7t11Y=",0)</f>
        <v>#REF!</v>
      </c>
      <c r="CJ324" t="e">
        <f>IF(#REF!,"AAAAAF7t11c=",0)</f>
        <v>#REF!</v>
      </c>
      <c r="CK324" t="e">
        <f>IF(#REF!,"AAAAAF7t11g=",0)</f>
        <v>#REF!</v>
      </c>
      <c r="CL324" t="e">
        <f>IF(#REF!,"AAAAAF7t11k=",0)</f>
        <v>#REF!</v>
      </c>
      <c r="CM324" t="e">
        <f>IF(#REF!,"AAAAAF7t11o=",0)</f>
        <v>#REF!</v>
      </c>
      <c r="CN324" t="e">
        <f>IF(#REF!,"AAAAAF7t11s=",0)</f>
        <v>#REF!</v>
      </c>
      <c r="CO324" t="e">
        <f>IF(#REF!,"AAAAAF7t11w=",0)</f>
        <v>#REF!</v>
      </c>
      <c r="CP324" t="e">
        <f>IF(#REF!,"AAAAAF7t110=",0)</f>
        <v>#REF!</v>
      </c>
      <c r="CQ324" t="e">
        <f>IF(#REF!,"AAAAAF7t114=",0)</f>
        <v>#REF!</v>
      </c>
      <c r="CR324" t="e">
        <f>IF(#REF!,"AAAAAF7t118=",0)</f>
        <v>#REF!</v>
      </c>
      <c r="CS324" t="e">
        <f>IF(#REF!,"AAAAAF7t12A=",0)</f>
        <v>#REF!</v>
      </c>
      <c r="CT324" t="e">
        <f>IF(#REF!,"AAAAAF7t12E=",0)</f>
        <v>#REF!</v>
      </c>
      <c r="CU324" t="e">
        <f>IF(#REF!,"AAAAAF7t12I=",0)</f>
        <v>#REF!</v>
      </c>
      <c r="CV324" t="e">
        <f>IF(#REF!,"AAAAAF7t12M=",0)</f>
        <v>#REF!</v>
      </c>
      <c r="CW324" t="e">
        <f>IF(#REF!,"AAAAAF7t12Q=",0)</f>
        <v>#REF!</v>
      </c>
      <c r="CX324" t="e">
        <f>IF(#REF!,"AAAAAF7t12U=",0)</f>
        <v>#REF!</v>
      </c>
      <c r="CY324" t="e">
        <f>IF(#REF!,"AAAAAF7t12Y=",0)</f>
        <v>#REF!</v>
      </c>
      <c r="CZ324" t="e">
        <f>IF(#REF!,"AAAAAF7t12c=",0)</f>
        <v>#REF!</v>
      </c>
      <c r="DA324" t="e">
        <f>IF(#REF!,"AAAAAF7t12g=",0)</f>
        <v>#REF!</v>
      </c>
      <c r="DB324" t="e">
        <f>IF(#REF!,"AAAAAF7t12k=",0)</f>
        <v>#REF!</v>
      </c>
      <c r="DC324" t="e">
        <f>IF(#REF!,"AAAAAF7t12o=",0)</f>
        <v>#REF!</v>
      </c>
      <c r="DD324" t="e">
        <f>IF(#REF!,"AAAAAF7t12s=",0)</f>
        <v>#REF!</v>
      </c>
      <c r="DE324" t="e">
        <f>IF(#REF!,"AAAAAF7t12w=",0)</f>
        <v>#REF!</v>
      </c>
      <c r="DF324" t="e">
        <f>IF(#REF!,"AAAAAF7t120=",0)</f>
        <v>#REF!</v>
      </c>
      <c r="DG324" t="e">
        <f>IF(#REF!,"AAAAAF7t124=",0)</f>
        <v>#REF!</v>
      </c>
      <c r="DH324" t="e">
        <f>IF(#REF!,"AAAAAF7t128=",0)</f>
        <v>#REF!</v>
      </c>
      <c r="DI324" t="e">
        <f>IF(#REF!,"AAAAAF7t13A=",0)</f>
        <v>#REF!</v>
      </c>
      <c r="DJ324" t="e">
        <f>IF(#REF!,"AAAAAF7t13E=",0)</f>
        <v>#REF!</v>
      </c>
      <c r="DK324" t="e">
        <f>IF(#REF!,"AAAAAF7t13I=",0)</f>
        <v>#REF!</v>
      </c>
      <c r="DL324" t="e">
        <f>IF(#REF!,"AAAAAF7t13M=",0)</f>
        <v>#REF!</v>
      </c>
      <c r="DM324" t="e">
        <f>IF(#REF!,"AAAAAF7t13Q=",0)</f>
        <v>#REF!</v>
      </c>
      <c r="DN324" t="e">
        <f>IF(#REF!,"AAAAAF7t13U=",0)</f>
        <v>#REF!</v>
      </c>
      <c r="DO324" t="e">
        <f>IF(#REF!,"AAAAAF7t13Y=",0)</f>
        <v>#REF!</v>
      </c>
      <c r="DP324" t="e">
        <f>IF(#REF!,"AAAAAF7t13c=",0)</f>
        <v>#REF!</v>
      </c>
      <c r="DQ324" t="e">
        <f>IF(#REF!,"AAAAAF7t13g=",0)</f>
        <v>#REF!</v>
      </c>
      <c r="DR324" t="e">
        <f>IF(#REF!,"AAAAAF7t13k=",0)</f>
        <v>#REF!</v>
      </c>
      <c r="DS324" t="e">
        <f>IF(#REF!,"AAAAAF7t13o=",0)</f>
        <v>#REF!</v>
      </c>
      <c r="DT324" t="e">
        <f>IF(#REF!,"AAAAAF7t13s=",0)</f>
        <v>#REF!</v>
      </c>
      <c r="DU324" t="e">
        <f>IF(#REF!,"AAAAAF7t13w=",0)</f>
        <v>#REF!</v>
      </c>
      <c r="DV324" t="e">
        <f>IF(#REF!,"AAAAAF7t130=",0)</f>
        <v>#REF!</v>
      </c>
      <c r="DW324" t="e">
        <f>IF(#REF!,"AAAAAF7t134=",0)</f>
        <v>#REF!</v>
      </c>
      <c r="DX324" t="e">
        <f>IF(#REF!,"AAAAAF7t138=",0)</f>
        <v>#REF!</v>
      </c>
      <c r="DY324" t="e">
        <f>IF(#REF!,"AAAAAF7t14A=",0)</f>
        <v>#REF!</v>
      </c>
      <c r="DZ324" t="e">
        <f>IF(#REF!,"AAAAAF7t14E=",0)</f>
        <v>#REF!</v>
      </c>
      <c r="EA324" t="e">
        <f>IF(#REF!,"AAAAAF7t14I=",0)</f>
        <v>#REF!</v>
      </c>
      <c r="EB324" t="e">
        <f>IF(#REF!,"AAAAAF7t14M=",0)</f>
        <v>#REF!</v>
      </c>
      <c r="EC324" t="e">
        <f>IF(#REF!,"AAAAAF7t14Q=",0)</f>
        <v>#REF!</v>
      </c>
      <c r="ED324" t="e">
        <f>IF(#REF!,"AAAAAF7t14U=",0)</f>
        <v>#REF!</v>
      </c>
      <c r="EE324" t="e">
        <f>IF(#REF!,"AAAAAF7t14Y=",0)</f>
        <v>#REF!</v>
      </c>
      <c r="EF324" t="e">
        <f>IF(#REF!,"AAAAAF7t14c=",0)</f>
        <v>#REF!</v>
      </c>
      <c r="EG324" t="e">
        <f>IF(#REF!,"AAAAAF7t14g=",0)</f>
        <v>#REF!</v>
      </c>
      <c r="EH324" t="e">
        <f>IF(#REF!,"AAAAAF7t14k=",0)</f>
        <v>#REF!</v>
      </c>
      <c r="EI324" t="e">
        <f>IF(#REF!,"AAAAAF7t14o=",0)</f>
        <v>#REF!</v>
      </c>
      <c r="EJ324" t="e">
        <f>IF(#REF!,"AAAAAF7t14s=",0)</f>
        <v>#REF!</v>
      </c>
      <c r="EK324" t="e">
        <f>IF(#REF!,"AAAAAF7t14w=",0)</f>
        <v>#REF!</v>
      </c>
      <c r="EL324" t="e">
        <f>IF(#REF!,"AAAAAF7t140=",0)</f>
        <v>#REF!</v>
      </c>
      <c r="EM324" t="e">
        <f>IF(#REF!,"AAAAAF7t144=",0)</f>
        <v>#REF!</v>
      </c>
      <c r="EN324" t="e">
        <f>IF(#REF!,"AAAAAF7t148=",0)</f>
        <v>#REF!</v>
      </c>
      <c r="EO324" t="e">
        <f>IF(#REF!,"AAAAAF7t15A=",0)</f>
        <v>#REF!</v>
      </c>
      <c r="EP324" t="e">
        <f>IF(#REF!,"AAAAAF7t15E=",0)</f>
        <v>#REF!</v>
      </c>
      <c r="EQ324" t="e">
        <f>IF(#REF!,"AAAAAF7t15I=",0)</f>
        <v>#REF!</v>
      </c>
      <c r="ER324" t="e">
        <f>IF(#REF!,"AAAAAF7t15M=",0)</f>
        <v>#REF!</v>
      </c>
      <c r="ES324" t="e">
        <f>IF(#REF!,"AAAAAF7t15Q=",0)</f>
        <v>#REF!</v>
      </c>
      <c r="ET324" t="e">
        <f>IF(#REF!,"AAAAAF7t15U=",0)</f>
        <v>#REF!</v>
      </c>
      <c r="EU324" t="e">
        <f>IF(#REF!,"AAAAAF7t15Y=",0)</f>
        <v>#REF!</v>
      </c>
      <c r="EV324" t="e">
        <f>IF(#REF!,"AAAAAF7t15c=",0)</f>
        <v>#REF!</v>
      </c>
      <c r="EW324" t="e">
        <f>IF(#REF!,"AAAAAF7t15g=",0)</f>
        <v>#REF!</v>
      </c>
      <c r="EX324" t="e">
        <f>IF(#REF!,"AAAAAF7t15k=",0)</f>
        <v>#REF!</v>
      </c>
      <c r="EY324" t="e">
        <f>IF(#REF!,"AAAAAF7t15o=",0)</f>
        <v>#REF!</v>
      </c>
      <c r="EZ324" t="e">
        <f>IF(#REF!,"AAAAAF7t15s=",0)</f>
        <v>#REF!</v>
      </c>
      <c r="FA324" t="e">
        <f>IF(#REF!,"AAAAAF7t15w=",0)</f>
        <v>#REF!</v>
      </c>
      <c r="FB324" t="e">
        <f>IF(#REF!,"AAAAAF7t150=",0)</f>
        <v>#REF!</v>
      </c>
      <c r="FC324" t="e">
        <f>IF(#REF!,"AAAAAF7t154=",0)</f>
        <v>#REF!</v>
      </c>
      <c r="FD324" t="e">
        <f>IF(#REF!,"AAAAAF7t158=",0)</f>
        <v>#REF!</v>
      </c>
      <c r="FE324" t="e">
        <f>IF(#REF!,"AAAAAF7t16A=",0)</f>
        <v>#REF!</v>
      </c>
      <c r="FF324" t="e">
        <f>IF(#REF!,"AAAAAF7t16E=",0)</f>
        <v>#REF!</v>
      </c>
      <c r="FG324" t="e">
        <f>IF(#REF!,"AAAAAF7t16I=",0)</f>
        <v>#REF!</v>
      </c>
      <c r="FH324" t="e">
        <f>IF(#REF!,"AAAAAF7t16M=",0)</f>
        <v>#REF!</v>
      </c>
      <c r="FI324" t="e">
        <f>IF(#REF!,"AAAAAF7t16Q=",0)</f>
        <v>#REF!</v>
      </c>
      <c r="FJ324" t="e">
        <f>IF(#REF!,"AAAAAF7t16U=",0)</f>
        <v>#REF!</v>
      </c>
      <c r="FK324" t="e">
        <f>IF(#REF!,"AAAAAF7t16Y=",0)</f>
        <v>#REF!</v>
      </c>
      <c r="FL324" t="e">
        <f>IF(#REF!,"AAAAAF7t16c=",0)</f>
        <v>#REF!</v>
      </c>
      <c r="FM324" t="e">
        <f>IF(#REF!,"AAAAAF7t16g=",0)</f>
        <v>#REF!</v>
      </c>
      <c r="FN324" t="e">
        <f>IF(#REF!,"AAAAAF7t16k=",0)</f>
        <v>#REF!</v>
      </c>
      <c r="FO324" t="e">
        <f>IF(#REF!,"AAAAAF7t16o=",0)</f>
        <v>#REF!</v>
      </c>
      <c r="FP324" t="e">
        <f>IF(#REF!,"AAAAAF7t16s=",0)</f>
        <v>#REF!</v>
      </c>
      <c r="FQ324" t="e">
        <f>IF(#REF!,"AAAAAF7t16w=",0)</f>
        <v>#REF!</v>
      </c>
      <c r="FR324" t="e">
        <f>IF(#REF!,"AAAAAF7t160=",0)</f>
        <v>#REF!</v>
      </c>
      <c r="FS324" t="e">
        <f>IF(#REF!,"AAAAAF7t164=",0)</f>
        <v>#REF!</v>
      </c>
      <c r="FT324" t="e">
        <f>IF(#REF!,"AAAAAF7t168=",0)</f>
        <v>#REF!</v>
      </c>
      <c r="FU324" t="e">
        <f>IF(#REF!,"AAAAAF7t17A=",0)</f>
        <v>#REF!</v>
      </c>
      <c r="FV324" t="e">
        <f>IF(#REF!,"AAAAAF7t17E=",0)</f>
        <v>#REF!</v>
      </c>
      <c r="FW324" t="e">
        <f>IF(#REF!,"AAAAAF7t17I=",0)</f>
        <v>#REF!</v>
      </c>
      <c r="FX324" t="e">
        <f>IF(#REF!,"AAAAAF7t17M=",0)</f>
        <v>#REF!</v>
      </c>
      <c r="FY324" t="e">
        <f>IF(#REF!,"AAAAAF7t17Q=",0)</f>
        <v>#REF!</v>
      </c>
      <c r="FZ324" t="e">
        <f>IF(#REF!,"AAAAAF7t17U=",0)</f>
        <v>#REF!</v>
      </c>
      <c r="GA324" t="e">
        <f>IF(#REF!,"AAAAAF7t17Y=",0)</f>
        <v>#REF!</v>
      </c>
      <c r="GB324" t="e">
        <f>IF(#REF!,"AAAAAF7t17c=",0)</f>
        <v>#REF!</v>
      </c>
      <c r="GC324" t="e">
        <f>IF(#REF!,"AAAAAF7t17g=",0)</f>
        <v>#REF!</v>
      </c>
      <c r="GD324" t="e">
        <f>IF(#REF!,"AAAAAF7t17k=",0)</f>
        <v>#REF!</v>
      </c>
      <c r="GE324" t="e">
        <f>IF(#REF!,"AAAAAF7t17o=",0)</f>
        <v>#REF!</v>
      </c>
      <c r="GF324" t="e">
        <f>IF(#REF!,"AAAAAF7t17s=",0)</f>
        <v>#REF!</v>
      </c>
      <c r="GG324" t="e">
        <f>IF(#REF!,"AAAAAF7t17w=",0)</f>
        <v>#REF!</v>
      </c>
      <c r="GH324" t="e">
        <f>IF(#REF!,"AAAAAF7t170=",0)</f>
        <v>#REF!</v>
      </c>
      <c r="GI324" t="e">
        <f>IF(#REF!,"AAAAAF7t174=",0)</f>
        <v>#REF!</v>
      </c>
      <c r="GJ324" t="e">
        <f>IF(#REF!,"AAAAAF7t178=",0)</f>
        <v>#REF!</v>
      </c>
      <c r="GK324" t="e">
        <f>IF(#REF!,"AAAAAF7t18A=",0)</f>
        <v>#REF!</v>
      </c>
      <c r="GL324" t="e">
        <f>IF(#REF!,"AAAAAF7t18E=",0)</f>
        <v>#REF!</v>
      </c>
      <c r="GM324" t="e">
        <f>IF(#REF!,"AAAAAF7t18I=",0)</f>
        <v>#REF!</v>
      </c>
      <c r="GN324" t="e">
        <f>IF(#REF!,"AAAAAF7t18M=",0)</f>
        <v>#REF!</v>
      </c>
      <c r="GO324" t="e">
        <f>IF(#REF!,"AAAAAF7t18Q=",0)</f>
        <v>#REF!</v>
      </c>
      <c r="GP324" t="e">
        <f>IF(#REF!,"AAAAAF7t18U=",0)</f>
        <v>#REF!</v>
      </c>
      <c r="GQ324" t="e">
        <f>IF(#REF!,"AAAAAF7t18Y=",0)</f>
        <v>#REF!</v>
      </c>
      <c r="GR324" t="e">
        <f>IF(#REF!,"AAAAAF7t18c=",0)</f>
        <v>#REF!</v>
      </c>
      <c r="GS324" t="e">
        <f>IF(#REF!,"AAAAAF7t18g=",0)</f>
        <v>#REF!</v>
      </c>
      <c r="GT324" t="e">
        <f>IF(#REF!,"AAAAAF7t18k=",0)</f>
        <v>#REF!</v>
      </c>
      <c r="GU324" t="e">
        <f>IF(#REF!,"AAAAAF7t18o=",0)</f>
        <v>#REF!</v>
      </c>
      <c r="GV324" t="e">
        <f>IF(#REF!,"AAAAAF7t18s=",0)</f>
        <v>#REF!</v>
      </c>
      <c r="GW324" t="e">
        <f>IF(#REF!,"AAAAAF7t18w=",0)</f>
        <v>#REF!</v>
      </c>
      <c r="GX324" t="e">
        <f>IF(#REF!,"AAAAAF7t180=",0)</f>
        <v>#REF!</v>
      </c>
      <c r="GY324" t="e">
        <f>IF(#REF!,"AAAAAF7t184=",0)</f>
        <v>#REF!</v>
      </c>
      <c r="GZ324" t="e">
        <f>IF(#REF!,"AAAAAF7t188=",0)</f>
        <v>#REF!</v>
      </c>
      <c r="HA324" t="e">
        <f>IF(#REF!,"AAAAAF7t19A=",0)</f>
        <v>#REF!</v>
      </c>
      <c r="HB324" t="e">
        <f>IF(#REF!,"AAAAAF7t19E=",0)</f>
        <v>#REF!</v>
      </c>
      <c r="HC324" t="e">
        <f>IF(#REF!,"AAAAAF7t19I=",0)</f>
        <v>#REF!</v>
      </c>
      <c r="HD324" t="e">
        <f>IF(#REF!,"AAAAAF7t19M=",0)</f>
        <v>#REF!</v>
      </c>
      <c r="HE324" t="e">
        <f>IF(#REF!,"AAAAAF7t19Q=",0)</f>
        <v>#REF!</v>
      </c>
      <c r="HF324" t="e">
        <f>IF(#REF!,"AAAAAF7t19U=",0)</f>
        <v>#REF!</v>
      </c>
      <c r="HG324" t="e">
        <f>IF(#REF!,"AAAAAF7t19Y=",0)</f>
        <v>#REF!</v>
      </c>
      <c r="HH324" t="e">
        <f>IF(#REF!,"AAAAAF7t19c=",0)</f>
        <v>#REF!</v>
      </c>
      <c r="HI324" t="e">
        <f>IF(#REF!,"AAAAAF7t19g=",0)</f>
        <v>#REF!</v>
      </c>
      <c r="HJ324" t="e">
        <f>IF(#REF!,"AAAAAF7t19k=",0)</f>
        <v>#REF!</v>
      </c>
      <c r="HK324" t="e">
        <f>IF(#REF!,"AAAAAF7t19o=",0)</f>
        <v>#REF!</v>
      </c>
      <c r="HL324" t="e">
        <f>IF(#REF!,"AAAAAF7t19s=",0)</f>
        <v>#REF!</v>
      </c>
      <c r="HM324" t="e">
        <f>IF(#REF!,"AAAAAF7t19w=",0)</f>
        <v>#REF!</v>
      </c>
      <c r="HN324" t="e">
        <f>IF(#REF!,"AAAAAF7t190=",0)</f>
        <v>#REF!</v>
      </c>
      <c r="HO324" t="e">
        <f>IF(#REF!,"AAAAAF7t194=",0)</f>
        <v>#REF!</v>
      </c>
      <c r="HP324" t="e">
        <f>IF(#REF!,"AAAAAF7t198=",0)</f>
        <v>#REF!</v>
      </c>
      <c r="HQ324" t="e">
        <f>IF(#REF!,"AAAAAF7t1+A=",0)</f>
        <v>#REF!</v>
      </c>
      <c r="HR324" t="e">
        <f>IF(#REF!,"AAAAAF7t1+E=",0)</f>
        <v>#REF!</v>
      </c>
      <c r="HS324" t="e">
        <f>IF(#REF!,"AAAAAF7t1+I=",0)</f>
        <v>#REF!</v>
      </c>
      <c r="HT324" t="e">
        <f>IF(#REF!,"AAAAAF7t1+M=",0)</f>
        <v>#REF!</v>
      </c>
      <c r="HU324" t="e">
        <f>IF(#REF!,"AAAAAF7t1+Q=",0)</f>
        <v>#REF!</v>
      </c>
      <c r="HV324" t="e">
        <f>IF(#REF!,"AAAAAF7t1+U=",0)</f>
        <v>#REF!</v>
      </c>
      <c r="HW324" t="e">
        <f>IF(#REF!,"AAAAAF7t1+Y=",0)</f>
        <v>#REF!</v>
      </c>
      <c r="HX324" t="e">
        <f>IF(#REF!,"AAAAAF7t1+c=",0)</f>
        <v>#REF!</v>
      </c>
      <c r="HY324" t="e">
        <f>IF(#REF!,"AAAAAF7t1+g=",0)</f>
        <v>#REF!</v>
      </c>
      <c r="HZ324" t="e">
        <f>IF(#REF!,"AAAAAF7t1+k=",0)</f>
        <v>#REF!</v>
      </c>
      <c r="IA324" t="e">
        <f>IF(#REF!,"AAAAAF7t1+o=",0)</f>
        <v>#REF!</v>
      </c>
      <c r="IB324" t="e">
        <f>IF(#REF!,"AAAAAF7t1+s=",0)</f>
        <v>#REF!</v>
      </c>
      <c r="IC324" t="e">
        <f>IF(#REF!,"AAAAAF7t1+w=",0)</f>
        <v>#REF!</v>
      </c>
      <c r="ID324" t="e">
        <f>IF(#REF!,"AAAAAF7t1+0=",0)</f>
        <v>#REF!</v>
      </c>
      <c r="IE324" t="e">
        <f>IF(#REF!,"AAAAAF7t1+4=",0)</f>
        <v>#REF!</v>
      </c>
      <c r="IF324" t="e">
        <f>IF(#REF!,"AAAAAF7t1+8=",0)</f>
        <v>#REF!</v>
      </c>
      <c r="IG324" t="e">
        <f>IF(#REF!,"AAAAAF7t1/A=",0)</f>
        <v>#REF!</v>
      </c>
      <c r="IH324" t="e">
        <f>IF(#REF!,"AAAAAF7t1/E=",0)</f>
        <v>#REF!</v>
      </c>
      <c r="II324" t="e">
        <f>IF(#REF!,"AAAAAF7t1/I=",0)</f>
        <v>#REF!</v>
      </c>
      <c r="IJ324" t="e">
        <f>IF(#REF!,"AAAAAF7t1/M=",0)</f>
        <v>#REF!</v>
      </c>
      <c r="IK324" t="e">
        <f>IF(#REF!,"AAAAAF7t1/Q=",0)</f>
        <v>#REF!</v>
      </c>
      <c r="IL324" t="e">
        <f>IF(#REF!,"AAAAAF7t1/U=",0)</f>
        <v>#REF!</v>
      </c>
      <c r="IM324" t="e">
        <f>IF(#REF!,"AAAAAF7t1/Y=",0)</f>
        <v>#REF!</v>
      </c>
      <c r="IN324" t="e">
        <f>IF(#REF!,"AAAAAF7t1/c=",0)</f>
        <v>#REF!</v>
      </c>
      <c r="IO324" t="e">
        <f>IF(#REF!,"AAAAAF7t1/g=",0)</f>
        <v>#REF!</v>
      </c>
      <c r="IP324" t="e">
        <f>IF(#REF!,"AAAAAF7t1/k=",0)</f>
        <v>#REF!</v>
      </c>
      <c r="IQ324" t="e">
        <f>IF(#REF!,"AAAAAF7t1/o=",0)</f>
        <v>#REF!</v>
      </c>
      <c r="IR324" t="e">
        <f>IF(#REF!,"AAAAAF7t1/s=",0)</f>
        <v>#REF!</v>
      </c>
      <c r="IS324" t="e">
        <f>IF(#REF!,"AAAAAF7t1/w=",0)</f>
        <v>#REF!</v>
      </c>
      <c r="IT324" t="e">
        <f>IF(#REF!,"AAAAAF7t1/0=",0)</f>
        <v>#REF!</v>
      </c>
      <c r="IU324" t="e">
        <f>IF(#REF!,"AAAAAF7t1/4=",0)</f>
        <v>#REF!</v>
      </c>
      <c r="IV324" t="e">
        <f>IF(#REF!,"AAAAAF7t1/8=",0)</f>
        <v>#REF!</v>
      </c>
    </row>
    <row r="325" spans="1:256">
      <c r="A325" t="e">
        <f>IF(#REF!,"AAAAAHL/fQA=",0)</f>
        <v>#REF!</v>
      </c>
      <c r="B325" t="e">
        <f>IF(#REF!,"AAAAAHL/fQE=",0)</f>
        <v>#REF!</v>
      </c>
      <c r="C325" t="e">
        <f>IF(#REF!,"AAAAAHL/fQI=",0)</f>
        <v>#REF!</v>
      </c>
      <c r="D325" t="e">
        <f>IF(#REF!,"AAAAAHL/fQM=",0)</f>
        <v>#REF!</v>
      </c>
      <c r="E325" t="e">
        <f>IF(#REF!,"AAAAAHL/fQQ=",0)</f>
        <v>#REF!</v>
      </c>
      <c r="F325" t="e">
        <f>IF(#REF!,"AAAAAHL/fQU=",0)</f>
        <v>#REF!</v>
      </c>
      <c r="G325" t="e">
        <f>IF(#REF!,"AAAAAHL/fQY=",0)</f>
        <v>#REF!</v>
      </c>
      <c r="H325" t="e">
        <f>IF(#REF!,"AAAAAHL/fQc=",0)</f>
        <v>#REF!</v>
      </c>
      <c r="I325" t="e">
        <f>IF(#REF!,"AAAAAHL/fQg=",0)</f>
        <v>#REF!</v>
      </c>
      <c r="J325" t="e">
        <f>IF(#REF!,"AAAAAHL/fQk=",0)</f>
        <v>#REF!</v>
      </c>
      <c r="K325" t="e">
        <f>IF(#REF!,"AAAAAHL/fQo=",0)</f>
        <v>#REF!</v>
      </c>
      <c r="L325" t="e">
        <f>IF(#REF!,"AAAAAHL/fQs=",0)</f>
        <v>#REF!</v>
      </c>
      <c r="M325" t="e">
        <f>IF(#REF!,"AAAAAHL/fQw=",0)</f>
        <v>#REF!</v>
      </c>
      <c r="N325" t="e">
        <f>IF(#REF!,"AAAAAHL/fQ0=",0)</f>
        <v>#REF!</v>
      </c>
      <c r="O325" t="e">
        <f>IF(#REF!,"AAAAAHL/fQ4=",0)</f>
        <v>#REF!</v>
      </c>
      <c r="P325" t="e">
        <f>IF(#REF!,"AAAAAHL/fQ8=",0)</f>
        <v>#REF!</v>
      </c>
      <c r="Q325" t="e">
        <f>IF(#REF!,"AAAAAHL/fRA=",0)</f>
        <v>#REF!</v>
      </c>
      <c r="R325" t="e">
        <f>IF(#REF!,"AAAAAHL/fRE=",0)</f>
        <v>#REF!</v>
      </c>
      <c r="S325" t="e">
        <f>IF(#REF!,"AAAAAHL/fRI=",0)</f>
        <v>#REF!</v>
      </c>
      <c r="T325" t="e">
        <f>IF(#REF!,"AAAAAHL/fRM=",0)</f>
        <v>#REF!</v>
      </c>
      <c r="U325" t="e">
        <f>IF(#REF!,"AAAAAHL/fRQ=",0)</f>
        <v>#REF!</v>
      </c>
      <c r="V325" t="e">
        <f>IF(#REF!,"AAAAAHL/fRU=",0)</f>
        <v>#REF!</v>
      </c>
      <c r="W325" t="e">
        <f>IF(#REF!,"AAAAAHL/fRY=",0)</f>
        <v>#REF!</v>
      </c>
      <c r="X325" t="e">
        <f>IF(#REF!,"AAAAAHL/fRc=",0)</f>
        <v>#REF!</v>
      </c>
      <c r="Y325" t="e">
        <f>IF(#REF!,"AAAAAHL/fRg=",0)</f>
        <v>#REF!</v>
      </c>
      <c r="Z325" t="e">
        <f>IF(#REF!,"AAAAAHL/fRk=",0)</f>
        <v>#REF!</v>
      </c>
      <c r="AA325" t="e">
        <f>IF(#REF!,"AAAAAHL/fRo=",0)</f>
        <v>#REF!</v>
      </c>
      <c r="AB325" t="e">
        <f>IF(#REF!,"AAAAAHL/fRs=",0)</f>
        <v>#REF!</v>
      </c>
      <c r="AC325" t="e">
        <f>IF(#REF!,"AAAAAHL/fRw=",0)</f>
        <v>#REF!</v>
      </c>
      <c r="AD325" t="e">
        <f>IF(#REF!,"AAAAAHL/fR0=",0)</f>
        <v>#REF!</v>
      </c>
      <c r="AE325" t="e">
        <f>IF(#REF!,"AAAAAHL/fR4=",0)</f>
        <v>#REF!</v>
      </c>
      <c r="AF325" t="e">
        <f>IF(#REF!,"AAAAAHL/fR8=",0)</f>
        <v>#REF!</v>
      </c>
      <c r="AG325" t="e">
        <f>IF(#REF!,"AAAAAHL/fSA=",0)</f>
        <v>#REF!</v>
      </c>
      <c r="AH325" t="e">
        <f>IF(#REF!,"AAAAAHL/fSE=",0)</f>
        <v>#REF!</v>
      </c>
      <c r="AI325" t="e">
        <f>IF(#REF!,"AAAAAHL/fSI=",0)</f>
        <v>#REF!</v>
      </c>
      <c r="AJ325" t="e">
        <f>IF(#REF!,"AAAAAHL/fSM=",0)</f>
        <v>#REF!</v>
      </c>
      <c r="AK325" t="e">
        <f>IF(#REF!,"AAAAAHL/fSQ=",0)</f>
        <v>#REF!</v>
      </c>
      <c r="AL325" t="e">
        <f>IF(#REF!,"AAAAAHL/fSU=",0)</f>
        <v>#REF!</v>
      </c>
      <c r="AM325" t="e">
        <f>IF(#REF!,"AAAAAHL/fSY=",0)</f>
        <v>#REF!</v>
      </c>
      <c r="AN325" t="e">
        <f>IF(#REF!,"AAAAAHL/fSc=",0)</f>
        <v>#REF!</v>
      </c>
      <c r="AO325" t="e">
        <f>IF(#REF!,"AAAAAHL/fSg=",0)</f>
        <v>#REF!</v>
      </c>
      <c r="AP325" t="e">
        <f>IF(#REF!,"AAAAAHL/fSk=",0)</f>
        <v>#REF!</v>
      </c>
      <c r="AQ325" t="e">
        <f>IF(#REF!,"AAAAAHL/fSo=",0)</f>
        <v>#REF!</v>
      </c>
      <c r="AR325" t="e">
        <f>IF(#REF!,"AAAAAHL/fSs=",0)</f>
        <v>#REF!</v>
      </c>
      <c r="AS325" t="e">
        <f>IF(#REF!,"AAAAAHL/fSw=",0)</f>
        <v>#REF!</v>
      </c>
      <c r="AT325" t="e">
        <f>IF(#REF!,"AAAAAHL/fS0=",0)</f>
        <v>#REF!</v>
      </c>
      <c r="AU325" t="e">
        <f>IF(#REF!,"AAAAAHL/fS4=",0)</f>
        <v>#REF!</v>
      </c>
      <c r="AV325" t="e">
        <f>IF(#REF!,"AAAAAHL/fS8=",0)</f>
        <v>#REF!</v>
      </c>
      <c r="AW325" t="e">
        <f>IF(#REF!,"AAAAAHL/fTA=",0)</f>
        <v>#REF!</v>
      </c>
      <c r="AX325" t="e">
        <f>IF(#REF!,"AAAAAHL/fTE=",0)</f>
        <v>#REF!</v>
      </c>
      <c r="AY325" t="e">
        <f>IF(#REF!,"AAAAAHL/fTI=",0)</f>
        <v>#REF!</v>
      </c>
      <c r="AZ325" t="e">
        <f>IF(#REF!,"AAAAAHL/fTM=",0)</f>
        <v>#REF!</v>
      </c>
      <c r="BA325" t="e">
        <f>IF(#REF!,"AAAAAHL/fTQ=",0)</f>
        <v>#REF!</v>
      </c>
      <c r="BB325" t="e">
        <f>IF(#REF!,"AAAAAHL/fTU=",0)</f>
        <v>#REF!</v>
      </c>
      <c r="BC325" t="e">
        <f>IF(#REF!,"AAAAAHL/fTY=",0)</f>
        <v>#REF!</v>
      </c>
      <c r="BD325" t="e">
        <f>IF(#REF!,"AAAAAHL/fTc=",0)</f>
        <v>#REF!</v>
      </c>
      <c r="BE325" t="e">
        <f>IF(#REF!,"AAAAAHL/fTg=",0)</f>
        <v>#REF!</v>
      </c>
      <c r="BF325" t="e">
        <f>IF(#REF!,"AAAAAHL/fTk=",0)</f>
        <v>#REF!</v>
      </c>
      <c r="BG325" t="e">
        <f>IF(#REF!,"AAAAAHL/fTo=",0)</f>
        <v>#REF!</v>
      </c>
      <c r="BH325" t="e">
        <f>IF(#REF!,"AAAAAHL/fTs=",0)</f>
        <v>#REF!</v>
      </c>
      <c r="BI325" t="e">
        <f>IF(#REF!,"AAAAAHL/fTw=",0)</f>
        <v>#REF!</v>
      </c>
      <c r="BJ325" t="e">
        <f>IF(#REF!,"AAAAAHL/fT0=",0)</f>
        <v>#REF!</v>
      </c>
      <c r="BK325" t="e">
        <f>IF(#REF!,"AAAAAHL/fT4=",0)</f>
        <v>#REF!</v>
      </c>
      <c r="BL325" t="e">
        <f>IF(#REF!,"AAAAAHL/fT8=",0)</f>
        <v>#REF!</v>
      </c>
      <c r="BM325" t="e">
        <f>IF(#REF!,"AAAAAHL/fUA=",0)</f>
        <v>#REF!</v>
      </c>
      <c r="BN325" t="e">
        <f>IF(#REF!,"AAAAAHL/fUE=",0)</f>
        <v>#REF!</v>
      </c>
      <c r="BO325" t="e">
        <f>IF(#REF!,"AAAAAHL/fUI=",0)</f>
        <v>#REF!</v>
      </c>
      <c r="BP325" t="e">
        <f>IF(#REF!,"AAAAAHL/fUM=",0)</f>
        <v>#REF!</v>
      </c>
      <c r="BQ325" t="e">
        <f>IF(#REF!,"AAAAAHL/fUQ=",0)</f>
        <v>#REF!</v>
      </c>
      <c r="BR325" t="e">
        <f>IF(#REF!,"AAAAAHL/fUU=",0)</f>
        <v>#REF!</v>
      </c>
      <c r="BS325" t="e">
        <f>IF(#REF!,"AAAAAHL/fUY=",0)</f>
        <v>#REF!</v>
      </c>
      <c r="BT325" t="e">
        <f>IF(#REF!,"AAAAAHL/fUc=",0)</f>
        <v>#REF!</v>
      </c>
      <c r="BU325" t="e">
        <f>IF(#REF!,"AAAAAHL/fUg=",0)</f>
        <v>#REF!</v>
      </c>
      <c r="BV325" t="e">
        <f>IF(#REF!,"AAAAAHL/fUk=",0)</f>
        <v>#REF!</v>
      </c>
      <c r="BW325" t="e">
        <f>IF(#REF!,"AAAAAHL/fUo=",0)</f>
        <v>#REF!</v>
      </c>
      <c r="BX325" t="e">
        <f>AND(#REF!,"AAAAAHL/fUs=")</f>
        <v>#REF!</v>
      </c>
      <c r="BY325" t="e">
        <f>AND(#REF!,"AAAAAHL/fUw=")</f>
        <v>#REF!</v>
      </c>
      <c r="BZ325" t="e">
        <f>AND(#REF!,"AAAAAHL/fU0=")</f>
        <v>#REF!</v>
      </c>
      <c r="CA325" t="e">
        <f>AND(#REF!,"AAAAAHL/fU4=")</f>
        <v>#REF!</v>
      </c>
      <c r="CB325" t="e">
        <f>AND(#REF!,"AAAAAHL/fU8=")</f>
        <v>#REF!</v>
      </c>
      <c r="CC325" t="e">
        <f>AND(#REF!,"AAAAAHL/fVA=")</f>
        <v>#REF!</v>
      </c>
      <c r="CD325" t="e">
        <f>IF(#REF!,"AAAAAHL/fVE=",0)</f>
        <v>#REF!</v>
      </c>
      <c r="CE325" t="e">
        <f>AND(#REF!,"AAAAAHL/fVI=")</f>
        <v>#REF!</v>
      </c>
      <c r="CF325" t="e">
        <f>AND(#REF!,"AAAAAHL/fVM=")</f>
        <v>#REF!</v>
      </c>
      <c r="CG325" t="e">
        <f>AND(#REF!,"AAAAAHL/fVQ=")</f>
        <v>#REF!</v>
      </c>
      <c r="CH325" t="e">
        <f>AND(#REF!,"AAAAAHL/fVU=")</f>
        <v>#REF!</v>
      </c>
      <c r="CI325" t="e">
        <f>AND(#REF!,"AAAAAHL/fVY=")</f>
        <v>#REF!</v>
      </c>
      <c r="CJ325" t="e">
        <f>AND(#REF!,"AAAAAHL/fVc=")</f>
        <v>#REF!</v>
      </c>
      <c r="CK325" t="e">
        <f>IF(#REF!,"AAAAAHL/fVg=",0)</f>
        <v>#REF!</v>
      </c>
      <c r="CL325" t="e">
        <f>AND(#REF!,"AAAAAHL/fVk=")</f>
        <v>#REF!</v>
      </c>
      <c r="CM325" t="e">
        <f>AND(#REF!,"AAAAAHL/fVo=")</f>
        <v>#REF!</v>
      </c>
      <c r="CN325" t="e">
        <f>AND(#REF!,"AAAAAHL/fVs=")</f>
        <v>#REF!</v>
      </c>
      <c r="CO325" t="e">
        <f>AND(#REF!,"AAAAAHL/fVw=")</f>
        <v>#REF!</v>
      </c>
      <c r="CP325" t="e">
        <f>AND(#REF!,"AAAAAHL/fV0=")</f>
        <v>#REF!</v>
      </c>
      <c r="CQ325" t="e">
        <f>AND(#REF!,"AAAAAHL/fV4=")</f>
        <v>#REF!</v>
      </c>
      <c r="CR325" t="e">
        <f>IF(#REF!,"AAAAAHL/fV8=",0)</f>
        <v>#REF!</v>
      </c>
      <c r="CS325" t="e">
        <f>AND(#REF!,"AAAAAHL/fWA=")</f>
        <v>#REF!</v>
      </c>
      <c r="CT325" t="e">
        <f>AND(#REF!,"AAAAAHL/fWE=")</f>
        <v>#REF!</v>
      </c>
      <c r="CU325" t="e">
        <f>AND(#REF!,"AAAAAHL/fWI=")</f>
        <v>#REF!</v>
      </c>
      <c r="CV325" t="e">
        <f>AND(#REF!,"AAAAAHL/fWM=")</f>
        <v>#REF!</v>
      </c>
      <c r="CW325" t="e">
        <f>AND(#REF!,"AAAAAHL/fWQ=")</f>
        <v>#REF!</v>
      </c>
      <c r="CX325" t="e">
        <f>AND(#REF!,"AAAAAHL/fWU=")</f>
        <v>#REF!</v>
      </c>
      <c r="CY325" t="e">
        <f>IF(#REF!,"AAAAAHL/fWY=",0)</f>
        <v>#REF!</v>
      </c>
      <c r="CZ325" t="e">
        <f>AND(#REF!,"AAAAAHL/fWc=")</f>
        <v>#REF!</v>
      </c>
      <c r="DA325" t="e">
        <f>AND(#REF!,"AAAAAHL/fWg=")</f>
        <v>#REF!</v>
      </c>
      <c r="DB325" t="e">
        <f>AND(#REF!,"AAAAAHL/fWk=")</f>
        <v>#REF!</v>
      </c>
      <c r="DC325" t="e">
        <f>AND(#REF!,"AAAAAHL/fWo=")</f>
        <v>#REF!</v>
      </c>
      <c r="DD325" t="e">
        <f>AND(#REF!,"AAAAAHL/fWs=")</f>
        <v>#REF!</v>
      </c>
      <c r="DE325" t="e">
        <f>AND(#REF!,"AAAAAHL/fWw=")</f>
        <v>#REF!</v>
      </c>
      <c r="DF325" t="e">
        <f>IF(#REF!,"AAAAAHL/fW0=",0)</f>
        <v>#REF!</v>
      </c>
      <c r="DG325" t="e">
        <f>AND(#REF!,"AAAAAHL/fW4=")</f>
        <v>#REF!</v>
      </c>
      <c r="DH325" t="e">
        <f>AND(#REF!,"AAAAAHL/fW8=")</f>
        <v>#REF!</v>
      </c>
      <c r="DI325" t="e">
        <f>AND(#REF!,"AAAAAHL/fXA=")</f>
        <v>#REF!</v>
      </c>
      <c r="DJ325" t="e">
        <f>AND(#REF!,"AAAAAHL/fXE=")</f>
        <v>#REF!</v>
      </c>
      <c r="DK325" t="e">
        <f>AND(#REF!,"AAAAAHL/fXI=")</f>
        <v>#REF!</v>
      </c>
      <c r="DL325" t="e">
        <f>AND(#REF!,"AAAAAHL/fXM=")</f>
        <v>#REF!</v>
      </c>
      <c r="DM325" t="e">
        <f>IF(#REF!,"AAAAAHL/fXQ=",0)</f>
        <v>#REF!</v>
      </c>
      <c r="DN325" t="e">
        <f>AND(#REF!,"AAAAAHL/fXU=")</f>
        <v>#REF!</v>
      </c>
      <c r="DO325" t="e">
        <f>AND(#REF!,"AAAAAHL/fXY=")</f>
        <v>#REF!</v>
      </c>
      <c r="DP325" t="e">
        <f>AND(#REF!,"AAAAAHL/fXc=")</f>
        <v>#REF!</v>
      </c>
      <c r="DQ325" t="e">
        <f>AND(#REF!,"AAAAAHL/fXg=")</f>
        <v>#REF!</v>
      </c>
      <c r="DR325" t="e">
        <f>AND(#REF!,"AAAAAHL/fXk=")</f>
        <v>#REF!</v>
      </c>
      <c r="DS325" t="e">
        <f>AND(#REF!,"AAAAAHL/fXo=")</f>
        <v>#REF!</v>
      </c>
      <c r="DT325" t="e">
        <f>IF(#REF!,"AAAAAHL/fXs=",0)</f>
        <v>#REF!</v>
      </c>
      <c r="DU325" t="e">
        <f>AND(#REF!,"AAAAAHL/fXw=")</f>
        <v>#REF!</v>
      </c>
      <c r="DV325" t="e">
        <f>AND(#REF!,"AAAAAHL/fX0=")</f>
        <v>#REF!</v>
      </c>
      <c r="DW325" t="e">
        <f>AND(#REF!,"AAAAAHL/fX4=")</f>
        <v>#REF!</v>
      </c>
      <c r="DX325" t="e">
        <f>AND(#REF!,"AAAAAHL/fX8=")</f>
        <v>#REF!</v>
      </c>
      <c r="DY325" t="e">
        <f>AND(#REF!,"AAAAAHL/fYA=")</f>
        <v>#REF!</v>
      </c>
      <c r="DZ325" t="e">
        <f>AND(#REF!,"AAAAAHL/fYE=")</f>
        <v>#REF!</v>
      </c>
      <c r="EA325" t="e">
        <f>IF(#REF!,"AAAAAHL/fYI=",0)</f>
        <v>#REF!</v>
      </c>
      <c r="EB325" t="e">
        <f>AND(#REF!,"AAAAAHL/fYM=")</f>
        <v>#REF!</v>
      </c>
      <c r="EC325" t="e">
        <f>AND(#REF!,"AAAAAHL/fYQ=")</f>
        <v>#REF!</v>
      </c>
      <c r="ED325" t="e">
        <f>AND(#REF!,"AAAAAHL/fYU=")</f>
        <v>#REF!</v>
      </c>
      <c r="EE325" t="e">
        <f>AND(#REF!,"AAAAAHL/fYY=")</f>
        <v>#REF!</v>
      </c>
      <c r="EF325" t="e">
        <f>AND(#REF!,"AAAAAHL/fYc=")</f>
        <v>#REF!</v>
      </c>
      <c r="EG325" t="e">
        <f>AND(#REF!,"AAAAAHL/fYg=")</f>
        <v>#REF!</v>
      </c>
      <c r="EH325" t="e">
        <f>IF(#REF!,"AAAAAHL/fYk=",0)</f>
        <v>#REF!</v>
      </c>
      <c r="EI325" t="e">
        <f>AND(#REF!,"AAAAAHL/fYo=")</f>
        <v>#REF!</v>
      </c>
      <c r="EJ325" t="e">
        <f>AND(#REF!,"AAAAAHL/fYs=")</f>
        <v>#REF!</v>
      </c>
      <c r="EK325" t="e">
        <f>AND(#REF!,"AAAAAHL/fYw=")</f>
        <v>#REF!</v>
      </c>
      <c r="EL325" t="e">
        <f>AND(#REF!,"AAAAAHL/fY0=")</f>
        <v>#REF!</v>
      </c>
      <c r="EM325" t="e">
        <f>AND(#REF!,"AAAAAHL/fY4=")</f>
        <v>#REF!</v>
      </c>
      <c r="EN325" t="e">
        <f>AND(#REF!,"AAAAAHL/fY8=")</f>
        <v>#REF!</v>
      </c>
      <c r="EO325" t="e">
        <f>IF(#REF!,"AAAAAHL/fZA=",0)</f>
        <v>#REF!</v>
      </c>
      <c r="EP325" t="e">
        <f>AND(#REF!,"AAAAAHL/fZE=")</f>
        <v>#REF!</v>
      </c>
      <c r="EQ325" t="e">
        <f>AND(#REF!,"AAAAAHL/fZI=")</f>
        <v>#REF!</v>
      </c>
      <c r="ER325" t="e">
        <f>AND(#REF!,"AAAAAHL/fZM=")</f>
        <v>#REF!</v>
      </c>
      <c r="ES325" t="e">
        <f>AND(#REF!,"AAAAAHL/fZQ=")</f>
        <v>#REF!</v>
      </c>
      <c r="ET325" t="e">
        <f>AND(#REF!,"AAAAAHL/fZU=")</f>
        <v>#REF!</v>
      </c>
      <c r="EU325" t="e">
        <f>AND(#REF!,"AAAAAHL/fZY=")</f>
        <v>#REF!</v>
      </c>
      <c r="EV325" t="e">
        <f>IF(#REF!,"AAAAAHL/fZc=",0)</f>
        <v>#REF!</v>
      </c>
      <c r="EW325" t="e">
        <f>AND(#REF!,"AAAAAHL/fZg=")</f>
        <v>#REF!</v>
      </c>
      <c r="EX325" t="e">
        <f>AND(#REF!,"AAAAAHL/fZk=")</f>
        <v>#REF!</v>
      </c>
      <c r="EY325" t="e">
        <f>AND(#REF!,"AAAAAHL/fZo=")</f>
        <v>#REF!</v>
      </c>
      <c r="EZ325" t="e">
        <f>AND(#REF!,"AAAAAHL/fZs=")</f>
        <v>#REF!</v>
      </c>
      <c r="FA325" t="e">
        <f>AND(#REF!,"AAAAAHL/fZw=")</f>
        <v>#REF!</v>
      </c>
      <c r="FB325" t="e">
        <f>AND(#REF!,"AAAAAHL/fZ0=")</f>
        <v>#REF!</v>
      </c>
      <c r="FC325" t="e">
        <f>IF(#REF!,"AAAAAHL/fZ4=",0)</f>
        <v>#REF!</v>
      </c>
      <c r="FD325" t="e">
        <f>AND(#REF!,"AAAAAHL/fZ8=")</f>
        <v>#REF!</v>
      </c>
      <c r="FE325" t="e">
        <f>AND(#REF!,"AAAAAHL/faA=")</f>
        <v>#REF!</v>
      </c>
      <c r="FF325" t="e">
        <f>AND(#REF!,"AAAAAHL/faE=")</f>
        <v>#REF!</v>
      </c>
      <c r="FG325" t="e">
        <f>AND(#REF!,"AAAAAHL/faI=")</f>
        <v>#REF!</v>
      </c>
      <c r="FH325" t="e">
        <f>AND(#REF!,"AAAAAHL/faM=")</f>
        <v>#REF!</v>
      </c>
      <c r="FI325" t="e">
        <f>AND(#REF!,"AAAAAHL/faQ=")</f>
        <v>#REF!</v>
      </c>
      <c r="FJ325" t="e">
        <f>IF(#REF!,"AAAAAHL/faU=",0)</f>
        <v>#REF!</v>
      </c>
      <c r="FK325" t="e">
        <f>AND(#REF!,"AAAAAHL/faY=")</f>
        <v>#REF!</v>
      </c>
      <c r="FL325" t="e">
        <f>AND(#REF!,"AAAAAHL/fac=")</f>
        <v>#REF!</v>
      </c>
      <c r="FM325" t="e">
        <f>AND(#REF!,"AAAAAHL/fag=")</f>
        <v>#REF!</v>
      </c>
      <c r="FN325" t="e">
        <f>AND(#REF!,"AAAAAHL/fak=")</f>
        <v>#REF!</v>
      </c>
      <c r="FO325" t="e">
        <f>AND(#REF!,"AAAAAHL/fao=")</f>
        <v>#REF!</v>
      </c>
      <c r="FP325" t="e">
        <f>AND(#REF!,"AAAAAHL/fas=")</f>
        <v>#REF!</v>
      </c>
      <c r="FQ325" t="e">
        <f>IF(#REF!,"AAAAAHL/faw=",0)</f>
        <v>#REF!</v>
      </c>
      <c r="FR325" t="e">
        <f>AND(#REF!,"AAAAAHL/fa0=")</f>
        <v>#REF!</v>
      </c>
      <c r="FS325" t="e">
        <f>AND(#REF!,"AAAAAHL/fa4=")</f>
        <v>#REF!</v>
      </c>
      <c r="FT325" t="e">
        <f>AND(#REF!,"AAAAAHL/fa8=")</f>
        <v>#REF!</v>
      </c>
      <c r="FU325" t="e">
        <f>AND(#REF!,"AAAAAHL/fbA=")</f>
        <v>#REF!</v>
      </c>
      <c r="FV325" t="e">
        <f>AND(#REF!,"AAAAAHL/fbE=")</f>
        <v>#REF!</v>
      </c>
      <c r="FW325" t="e">
        <f>AND(#REF!,"AAAAAHL/fbI=")</f>
        <v>#REF!</v>
      </c>
      <c r="FX325" t="e">
        <f>IF(#REF!,"AAAAAHL/fbM=",0)</f>
        <v>#REF!</v>
      </c>
      <c r="FY325" t="e">
        <f>AND(#REF!,"AAAAAHL/fbQ=")</f>
        <v>#REF!</v>
      </c>
      <c r="FZ325" t="e">
        <f>AND(#REF!,"AAAAAHL/fbU=")</f>
        <v>#REF!</v>
      </c>
      <c r="GA325" t="e">
        <f>AND(#REF!,"AAAAAHL/fbY=")</f>
        <v>#REF!</v>
      </c>
      <c r="GB325" t="e">
        <f>AND(#REF!,"AAAAAHL/fbc=")</f>
        <v>#REF!</v>
      </c>
      <c r="GC325" t="e">
        <f>AND(#REF!,"AAAAAHL/fbg=")</f>
        <v>#REF!</v>
      </c>
      <c r="GD325" t="e">
        <f>AND(#REF!,"AAAAAHL/fbk=")</f>
        <v>#REF!</v>
      </c>
      <c r="GE325" t="e">
        <f>IF(#REF!,"AAAAAHL/fbo=",0)</f>
        <v>#REF!</v>
      </c>
      <c r="GF325" t="e">
        <f>AND(#REF!,"AAAAAHL/fbs=")</f>
        <v>#REF!</v>
      </c>
      <c r="GG325" t="e">
        <f>AND(#REF!,"AAAAAHL/fbw=")</f>
        <v>#REF!</v>
      </c>
      <c r="GH325" t="e">
        <f>AND(#REF!,"AAAAAHL/fb0=")</f>
        <v>#REF!</v>
      </c>
      <c r="GI325" t="e">
        <f>AND(#REF!,"AAAAAHL/fb4=")</f>
        <v>#REF!</v>
      </c>
      <c r="GJ325" t="e">
        <f>AND(#REF!,"AAAAAHL/fb8=")</f>
        <v>#REF!</v>
      </c>
      <c r="GK325" t="e">
        <f>AND(#REF!,"AAAAAHL/fcA=")</f>
        <v>#REF!</v>
      </c>
      <c r="GL325" t="e">
        <f>IF(#REF!,"AAAAAHL/fcE=",0)</f>
        <v>#REF!</v>
      </c>
      <c r="GM325" t="e">
        <f>AND(#REF!,"AAAAAHL/fcI=")</f>
        <v>#REF!</v>
      </c>
      <c r="GN325" t="e">
        <f>AND(#REF!,"AAAAAHL/fcM=")</f>
        <v>#REF!</v>
      </c>
      <c r="GO325" t="e">
        <f>AND(#REF!,"AAAAAHL/fcQ=")</f>
        <v>#REF!</v>
      </c>
      <c r="GP325" t="e">
        <f>AND(#REF!,"AAAAAHL/fcU=")</f>
        <v>#REF!</v>
      </c>
      <c r="GQ325" t="e">
        <f>AND(#REF!,"AAAAAHL/fcY=")</f>
        <v>#REF!</v>
      </c>
      <c r="GR325" t="e">
        <f>AND(#REF!,"AAAAAHL/fcc=")</f>
        <v>#REF!</v>
      </c>
      <c r="GS325" t="e">
        <f>IF(#REF!,"AAAAAHL/fcg=",0)</f>
        <v>#REF!</v>
      </c>
      <c r="GT325" t="e">
        <f>AND(#REF!,"AAAAAHL/fck=")</f>
        <v>#REF!</v>
      </c>
      <c r="GU325" t="e">
        <f>AND(#REF!,"AAAAAHL/fco=")</f>
        <v>#REF!</v>
      </c>
      <c r="GV325" t="e">
        <f>AND(#REF!,"AAAAAHL/fcs=")</f>
        <v>#REF!</v>
      </c>
      <c r="GW325" t="e">
        <f>AND(#REF!,"AAAAAHL/fcw=")</f>
        <v>#REF!</v>
      </c>
      <c r="GX325" t="e">
        <f>AND(#REF!,"AAAAAHL/fc0=")</f>
        <v>#REF!</v>
      </c>
      <c r="GY325" t="e">
        <f>AND(#REF!,"AAAAAHL/fc4=")</f>
        <v>#REF!</v>
      </c>
      <c r="GZ325" t="e">
        <f>IF(#REF!,"AAAAAHL/fc8=",0)</f>
        <v>#REF!</v>
      </c>
      <c r="HA325" t="e">
        <f>AND(#REF!,"AAAAAHL/fdA=")</f>
        <v>#REF!</v>
      </c>
      <c r="HB325" t="e">
        <f>AND(#REF!,"AAAAAHL/fdE=")</f>
        <v>#REF!</v>
      </c>
      <c r="HC325" t="e">
        <f>AND(#REF!,"AAAAAHL/fdI=")</f>
        <v>#REF!</v>
      </c>
      <c r="HD325" t="e">
        <f>AND(#REF!,"AAAAAHL/fdM=")</f>
        <v>#REF!</v>
      </c>
      <c r="HE325" t="e">
        <f>AND(#REF!,"AAAAAHL/fdQ=")</f>
        <v>#REF!</v>
      </c>
      <c r="HF325" t="e">
        <f>AND(#REF!,"AAAAAHL/fdU=")</f>
        <v>#REF!</v>
      </c>
      <c r="HG325" t="e">
        <f>IF(#REF!,"AAAAAHL/fdY=",0)</f>
        <v>#REF!</v>
      </c>
      <c r="HH325" t="e">
        <f>AND(#REF!,"AAAAAHL/fdc=")</f>
        <v>#REF!</v>
      </c>
      <c r="HI325" t="e">
        <f>AND(#REF!,"AAAAAHL/fdg=")</f>
        <v>#REF!</v>
      </c>
      <c r="HJ325" t="e">
        <f>AND(#REF!,"AAAAAHL/fdk=")</f>
        <v>#REF!</v>
      </c>
      <c r="HK325" t="e">
        <f>AND(#REF!,"AAAAAHL/fdo=")</f>
        <v>#REF!</v>
      </c>
      <c r="HL325" t="e">
        <f>AND(#REF!,"AAAAAHL/fds=")</f>
        <v>#REF!</v>
      </c>
      <c r="HM325" t="e">
        <f>AND(#REF!,"AAAAAHL/fdw=")</f>
        <v>#REF!</v>
      </c>
      <c r="HN325" t="e">
        <f>IF(#REF!,"AAAAAHL/fd0=",0)</f>
        <v>#REF!</v>
      </c>
      <c r="HO325" t="e">
        <f>AND(#REF!,"AAAAAHL/fd4=")</f>
        <v>#REF!</v>
      </c>
      <c r="HP325" t="e">
        <f>AND(#REF!,"AAAAAHL/fd8=")</f>
        <v>#REF!</v>
      </c>
      <c r="HQ325" t="e">
        <f>AND(#REF!,"AAAAAHL/feA=")</f>
        <v>#REF!</v>
      </c>
      <c r="HR325" t="e">
        <f>AND(#REF!,"AAAAAHL/feE=")</f>
        <v>#REF!</v>
      </c>
      <c r="HS325" t="e">
        <f>AND(#REF!,"AAAAAHL/feI=")</f>
        <v>#REF!</v>
      </c>
      <c r="HT325" t="e">
        <f>AND(#REF!,"AAAAAHL/feM=")</f>
        <v>#REF!</v>
      </c>
      <c r="HU325" t="e">
        <f>IF(#REF!,"AAAAAHL/feQ=",0)</f>
        <v>#REF!</v>
      </c>
      <c r="HV325" t="e">
        <f>AND(#REF!,"AAAAAHL/feU=")</f>
        <v>#REF!</v>
      </c>
      <c r="HW325" t="e">
        <f>AND(#REF!,"AAAAAHL/feY=")</f>
        <v>#REF!</v>
      </c>
      <c r="HX325" t="e">
        <f>AND(#REF!,"AAAAAHL/fec=")</f>
        <v>#REF!</v>
      </c>
      <c r="HY325" t="e">
        <f>AND(#REF!,"AAAAAHL/feg=")</f>
        <v>#REF!</v>
      </c>
      <c r="HZ325" t="e">
        <f>AND(#REF!,"AAAAAHL/fek=")</f>
        <v>#REF!</v>
      </c>
      <c r="IA325" t="e">
        <f>AND(#REF!,"AAAAAHL/feo=")</f>
        <v>#REF!</v>
      </c>
      <c r="IB325" t="e">
        <f>IF(#REF!,"AAAAAHL/fes=",0)</f>
        <v>#REF!</v>
      </c>
      <c r="IC325" t="e">
        <f>AND(#REF!,"AAAAAHL/few=")</f>
        <v>#REF!</v>
      </c>
      <c r="ID325" t="e">
        <f>AND(#REF!,"AAAAAHL/fe0=")</f>
        <v>#REF!</v>
      </c>
      <c r="IE325" t="e">
        <f>AND(#REF!,"AAAAAHL/fe4=")</f>
        <v>#REF!</v>
      </c>
      <c r="IF325" t="e">
        <f>AND(#REF!,"AAAAAHL/fe8=")</f>
        <v>#REF!</v>
      </c>
      <c r="IG325" t="e">
        <f>AND(#REF!,"AAAAAHL/ffA=")</f>
        <v>#REF!</v>
      </c>
      <c r="IH325" t="e">
        <f>AND(#REF!,"AAAAAHL/ffE=")</f>
        <v>#REF!</v>
      </c>
      <c r="II325" t="e">
        <f>IF(#REF!,"AAAAAHL/ffI=",0)</f>
        <v>#REF!</v>
      </c>
      <c r="IJ325" t="e">
        <f>AND(#REF!,"AAAAAHL/ffM=")</f>
        <v>#REF!</v>
      </c>
      <c r="IK325" t="e">
        <f>AND(#REF!,"AAAAAHL/ffQ=")</f>
        <v>#REF!</v>
      </c>
      <c r="IL325" t="e">
        <f>AND(#REF!,"AAAAAHL/ffU=")</f>
        <v>#REF!</v>
      </c>
      <c r="IM325" t="e">
        <f>AND(#REF!,"AAAAAHL/ffY=")</f>
        <v>#REF!</v>
      </c>
      <c r="IN325" t="e">
        <f>AND(#REF!,"AAAAAHL/ffc=")</f>
        <v>#REF!</v>
      </c>
      <c r="IO325" t="e">
        <f>AND(#REF!,"AAAAAHL/ffg=")</f>
        <v>#REF!</v>
      </c>
      <c r="IP325" t="e">
        <f>IF(#REF!,"AAAAAHL/ffk=",0)</f>
        <v>#REF!</v>
      </c>
      <c r="IQ325" t="e">
        <f>AND(#REF!,"AAAAAHL/ffo=")</f>
        <v>#REF!</v>
      </c>
      <c r="IR325" t="e">
        <f>AND(#REF!,"AAAAAHL/ffs=")</f>
        <v>#REF!</v>
      </c>
      <c r="IS325" t="e">
        <f>AND(#REF!,"AAAAAHL/ffw=")</f>
        <v>#REF!</v>
      </c>
      <c r="IT325" t="e">
        <f>AND(#REF!,"AAAAAHL/ff0=")</f>
        <v>#REF!</v>
      </c>
      <c r="IU325" t="e">
        <f>AND(#REF!,"AAAAAHL/ff4=")</f>
        <v>#REF!</v>
      </c>
      <c r="IV325" t="e">
        <f>AND(#REF!,"AAAAAHL/ff8=")</f>
        <v>#REF!</v>
      </c>
    </row>
    <row r="326" spans="1:256">
      <c r="A326" t="e">
        <f>IF(#REF!,"AAAAAC6eZwA=",0)</f>
        <v>#REF!</v>
      </c>
      <c r="B326" t="e">
        <f>AND(#REF!,"AAAAAC6eZwE=")</f>
        <v>#REF!</v>
      </c>
      <c r="C326" t="e">
        <f>AND(#REF!,"AAAAAC6eZwI=")</f>
        <v>#REF!</v>
      </c>
      <c r="D326" t="e">
        <f>AND(#REF!,"AAAAAC6eZwM=")</f>
        <v>#REF!</v>
      </c>
      <c r="E326" t="e">
        <f>AND(#REF!,"AAAAAC6eZwQ=")</f>
        <v>#REF!</v>
      </c>
      <c r="F326" t="e">
        <f>AND(#REF!,"AAAAAC6eZwU=")</f>
        <v>#REF!</v>
      </c>
      <c r="G326" t="e">
        <f>AND(#REF!,"AAAAAC6eZwY=")</f>
        <v>#REF!</v>
      </c>
      <c r="H326" t="e">
        <f>IF(#REF!,"AAAAAC6eZwc=",0)</f>
        <v>#REF!</v>
      </c>
      <c r="I326" t="e">
        <f>AND(#REF!,"AAAAAC6eZwg=")</f>
        <v>#REF!</v>
      </c>
      <c r="J326" t="e">
        <f>AND(#REF!,"AAAAAC6eZwk=")</f>
        <v>#REF!</v>
      </c>
      <c r="K326" t="e">
        <f>AND(#REF!,"AAAAAC6eZwo=")</f>
        <v>#REF!</v>
      </c>
      <c r="L326" t="e">
        <f>AND(#REF!,"AAAAAC6eZws=")</f>
        <v>#REF!</v>
      </c>
      <c r="M326" t="e">
        <f>AND(#REF!,"AAAAAC6eZww=")</f>
        <v>#REF!</v>
      </c>
      <c r="N326" t="e">
        <f>AND(#REF!,"AAAAAC6eZw0=")</f>
        <v>#REF!</v>
      </c>
      <c r="O326" t="e">
        <f>IF(#REF!,"AAAAAC6eZw4=",0)</f>
        <v>#REF!</v>
      </c>
      <c r="P326" t="e">
        <f>AND(#REF!,"AAAAAC6eZw8=")</f>
        <v>#REF!</v>
      </c>
      <c r="Q326" t="e">
        <f>AND(#REF!,"AAAAAC6eZxA=")</f>
        <v>#REF!</v>
      </c>
      <c r="R326" t="e">
        <f>AND(#REF!,"AAAAAC6eZxE=")</f>
        <v>#REF!</v>
      </c>
      <c r="S326" t="e">
        <f>AND(#REF!,"AAAAAC6eZxI=")</f>
        <v>#REF!</v>
      </c>
      <c r="T326" t="e">
        <f>AND(#REF!,"AAAAAC6eZxM=")</f>
        <v>#REF!</v>
      </c>
      <c r="U326" t="e">
        <f>AND(#REF!,"AAAAAC6eZxQ=")</f>
        <v>#REF!</v>
      </c>
      <c r="V326" t="e">
        <f>IF(#REF!,"AAAAAC6eZxU=",0)</f>
        <v>#REF!</v>
      </c>
      <c r="W326" t="e">
        <f>AND(#REF!,"AAAAAC6eZxY=")</f>
        <v>#REF!</v>
      </c>
      <c r="X326" t="e">
        <f>AND(#REF!,"AAAAAC6eZxc=")</f>
        <v>#REF!</v>
      </c>
      <c r="Y326" t="e">
        <f>AND(#REF!,"AAAAAC6eZxg=")</f>
        <v>#REF!</v>
      </c>
      <c r="Z326" t="e">
        <f>AND(#REF!,"AAAAAC6eZxk=")</f>
        <v>#REF!</v>
      </c>
      <c r="AA326" t="e">
        <f>AND(#REF!,"AAAAAC6eZxo=")</f>
        <v>#REF!</v>
      </c>
      <c r="AB326" t="e">
        <f>AND(#REF!,"AAAAAC6eZxs=")</f>
        <v>#REF!</v>
      </c>
      <c r="AC326" t="e">
        <f>IF(#REF!,"AAAAAC6eZxw=",0)</f>
        <v>#REF!</v>
      </c>
      <c r="AD326" t="e">
        <f>AND(#REF!,"AAAAAC6eZx0=")</f>
        <v>#REF!</v>
      </c>
      <c r="AE326" t="e">
        <f>AND(#REF!,"AAAAAC6eZx4=")</f>
        <v>#REF!</v>
      </c>
      <c r="AF326" t="e">
        <f>AND(#REF!,"AAAAAC6eZx8=")</f>
        <v>#REF!</v>
      </c>
      <c r="AG326" t="e">
        <f>AND(#REF!,"AAAAAC6eZyA=")</f>
        <v>#REF!</v>
      </c>
      <c r="AH326" t="e">
        <f>AND(#REF!,"AAAAAC6eZyE=")</f>
        <v>#REF!</v>
      </c>
      <c r="AI326" t="e">
        <f>AND(#REF!,"AAAAAC6eZyI=")</f>
        <v>#REF!</v>
      </c>
      <c r="AJ326" t="e">
        <f>IF(#REF!,"AAAAAC6eZyM=",0)</f>
        <v>#REF!</v>
      </c>
      <c r="AK326" t="e">
        <f>AND(#REF!,"AAAAAC6eZyQ=")</f>
        <v>#REF!</v>
      </c>
      <c r="AL326" t="e">
        <f>AND(#REF!,"AAAAAC6eZyU=")</f>
        <v>#REF!</v>
      </c>
      <c r="AM326" t="e">
        <f>AND(#REF!,"AAAAAC6eZyY=")</f>
        <v>#REF!</v>
      </c>
      <c r="AN326" t="e">
        <f>AND(#REF!,"AAAAAC6eZyc=")</f>
        <v>#REF!</v>
      </c>
      <c r="AO326" t="e">
        <f>AND(#REF!,"AAAAAC6eZyg=")</f>
        <v>#REF!</v>
      </c>
      <c r="AP326" t="e">
        <f>AND(#REF!,"AAAAAC6eZyk=")</f>
        <v>#REF!</v>
      </c>
      <c r="AQ326" t="e">
        <f>IF(#REF!,"AAAAAC6eZyo=",0)</f>
        <v>#REF!</v>
      </c>
      <c r="AR326" t="e">
        <f>AND(#REF!,"AAAAAC6eZys=")</f>
        <v>#REF!</v>
      </c>
      <c r="AS326" t="e">
        <f>AND(#REF!,"AAAAAC6eZyw=")</f>
        <v>#REF!</v>
      </c>
      <c r="AT326" t="e">
        <f>AND(#REF!,"AAAAAC6eZy0=")</f>
        <v>#REF!</v>
      </c>
      <c r="AU326" t="e">
        <f>AND(#REF!,"AAAAAC6eZy4=")</f>
        <v>#REF!</v>
      </c>
      <c r="AV326" t="e">
        <f>AND(#REF!,"AAAAAC6eZy8=")</f>
        <v>#REF!</v>
      </c>
      <c r="AW326" t="e">
        <f>AND(#REF!,"AAAAAC6eZzA=")</f>
        <v>#REF!</v>
      </c>
      <c r="AX326" t="e">
        <f>IF(#REF!,"AAAAAC6eZzE=",0)</f>
        <v>#REF!</v>
      </c>
      <c r="AY326" t="e">
        <f>AND(#REF!,"AAAAAC6eZzI=")</f>
        <v>#REF!</v>
      </c>
      <c r="AZ326" t="e">
        <f>AND(#REF!,"AAAAAC6eZzM=")</f>
        <v>#REF!</v>
      </c>
      <c r="BA326" t="e">
        <f>AND(#REF!,"AAAAAC6eZzQ=")</f>
        <v>#REF!</v>
      </c>
      <c r="BB326" t="e">
        <f>AND(#REF!,"AAAAAC6eZzU=")</f>
        <v>#REF!</v>
      </c>
      <c r="BC326" t="e">
        <f>AND(#REF!,"AAAAAC6eZzY=")</f>
        <v>#REF!</v>
      </c>
      <c r="BD326" t="e">
        <f>AND(#REF!,"AAAAAC6eZzc=")</f>
        <v>#REF!</v>
      </c>
      <c r="BE326" t="e">
        <f>IF(#REF!,"AAAAAC6eZzg=",0)</f>
        <v>#REF!</v>
      </c>
      <c r="BF326" t="e">
        <f>AND(#REF!,"AAAAAC6eZzk=")</f>
        <v>#REF!</v>
      </c>
      <c r="BG326" t="e">
        <f>AND(#REF!,"AAAAAC6eZzo=")</f>
        <v>#REF!</v>
      </c>
      <c r="BH326" t="e">
        <f>AND(#REF!,"AAAAAC6eZzs=")</f>
        <v>#REF!</v>
      </c>
      <c r="BI326" t="e">
        <f>AND(#REF!,"AAAAAC6eZzw=")</f>
        <v>#REF!</v>
      </c>
      <c r="BJ326" t="e">
        <f>AND(#REF!,"AAAAAC6eZz0=")</f>
        <v>#REF!</v>
      </c>
      <c r="BK326" t="e">
        <f>AND(#REF!,"AAAAAC6eZz4=")</f>
        <v>#REF!</v>
      </c>
      <c r="BL326" t="e">
        <f>IF(#REF!,"AAAAAC6eZz8=",0)</f>
        <v>#REF!</v>
      </c>
      <c r="BM326" t="e">
        <f>AND(#REF!,"AAAAAC6eZ0A=")</f>
        <v>#REF!</v>
      </c>
      <c r="BN326" t="e">
        <f>AND(#REF!,"AAAAAC6eZ0E=")</f>
        <v>#REF!</v>
      </c>
      <c r="BO326" t="e">
        <f>AND(#REF!,"AAAAAC6eZ0I=")</f>
        <v>#REF!</v>
      </c>
      <c r="BP326" t="e">
        <f>AND(#REF!,"AAAAAC6eZ0M=")</f>
        <v>#REF!</v>
      </c>
      <c r="BQ326" t="e">
        <f>AND(#REF!,"AAAAAC6eZ0Q=")</f>
        <v>#REF!</v>
      </c>
      <c r="BR326" t="e">
        <f>AND(#REF!,"AAAAAC6eZ0U=")</f>
        <v>#REF!</v>
      </c>
      <c r="BS326" t="e">
        <f>IF(#REF!,"AAAAAC6eZ0Y=",0)</f>
        <v>#REF!</v>
      </c>
      <c r="BT326" t="e">
        <f>AND(#REF!,"AAAAAC6eZ0c=")</f>
        <v>#REF!</v>
      </c>
      <c r="BU326" t="e">
        <f>AND(#REF!,"AAAAAC6eZ0g=")</f>
        <v>#REF!</v>
      </c>
      <c r="BV326" t="e">
        <f>AND(#REF!,"AAAAAC6eZ0k=")</f>
        <v>#REF!</v>
      </c>
      <c r="BW326" t="e">
        <f>AND(#REF!,"AAAAAC6eZ0o=")</f>
        <v>#REF!</v>
      </c>
      <c r="BX326" t="e">
        <f>AND(#REF!,"AAAAAC6eZ0s=")</f>
        <v>#REF!</v>
      </c>
      <c r="BY326" t="e">
        <f>AND(#REF!,"AAAAAC6eZ0w=")</f>
        <v>#REF!</v>
      </c>
      <c r="BZ326" t="e">
        <f>IF(#REF!,"AAAAAC6eZ00=",0)</f>
        <v>#REF!</v>
      </c>
      <c r="CA326" t="e">
        <f>AND(#REF!,"AAAAAC6eZ04=")</f>
        <v>#REF!</v>
      </c>
      <c r="CB326" t="e">
        <f>AND(#REF!,"AAAAAC6eZ08=")</f>
        <v>#REF!</v>
      </c>
      <c r="CC326" t="e">
        <f>AND(#REF!,"AAAAAC6eZ1A=")</f>
        <v>#REF!</v>
      </c>
      <c r="CD326" t="e">
        <f>AND(#REF!,"AAAAAC6eZ1E=")</f>
        <v>#REF!</v>
      </c>
      <c r="CE326" t="e">
        <f>AND(#REF!,"AAAAAC6eZ1I=")</f>
        <v>#REF!</v>
      </c>
      <c r="CF326" t="e">
        <f>AND(#REF!,"AAAAAC6eZ1M=")</f>
        <v>#REF!</v>
      </c>
      <c r="CG326" t="e">
        <f>IF(#REF!,"AAAAAC6eZ1Q=",0)</f>
        <v>#REF!</v>
      </c>
      <c r="CH326" t="e">
        <f>AND(#REF!,"AAAAAC6eZ1U=")</f>
        <v>#REF!</v>
      </c>
      <c r="CI326" t="e">
        <f>AND(#REF!,"AAAAAC6eZ1Y=")</f>
        <v>#REF!</v>
      </c>
      <c r="CJ326" t="e">
        <f>AND(#REF!,"AAAAAC6eZ1c=")</f>
        <v>#REF!</v>
      </c>
      <c r="CK326" t="e">
        <f>AND(#REF!,"AAAAAC6eZ1g=")</f>
        <v>#REF!</v>
      </c>
      <c r="CL326" t="e">
        <f>AND(#REF!,"AAAAAC6eZ1k=")</f>
        <v>#REF!</v>
      </c>
      <c r="CM326" t="e">
        <f>AND(#REF!,"AAAAAC6eZ1o=")</f>
        <v>#REF!</v>
      </c>
      <c r="CN326" t="e">
        <f>IF(#REF!,"AAAAAC6eZ1s=",0)</f>
        <v>#REF!</v>
      </c>
      <c r="CO326" t="e">
        <f>AND(#REF!,"AAAAAC6eZ1w=")</f>
        <v>#REF!</v>
      </c>
      <c r="CP326" t="e">
        <f>AND(#REF!,"AAAAAC6eZ10=")</f>
        <v>#REF!</v>
      </c>
      <c r="CQ326" t="e">
        <f>AND(#REF!,"AAAAAC6eZ14=")</f>
        <v>#REF!</v>
      </c>
      <c r="CR326" t="e">
        <f>AND(#REF!,"AAAAAC6eZ18=")</f>
        <v>#REF!</v>
      </c>
      <c r="CS326" t="e">
        <f>AND(#REF!,"AAAAAC6eZ2A=")</f>
        <v>#REF!</v>
      </c>
      <c r="CT326" t="e">
        <f>AND(#REF!,"AAAAAC6eZ2E=")</f>
        <v>#REF!</v>
      </c>
      <c r="CU326" t="e">
        <f>IF(#REF!,"AAAAAC6eZ2I=",0)</f>
        <v>#REF!</v>
      </c>
      <c r="CV326" t="e">
        <f>AND(#REF!,"AAAAAC6eZ2M=")</f>
        <v>#REF!</v>
      </c>
      <c r="CW326" t="e">
        <f>AND(#REF!,"AAAAAC6eZ2Q=")</f>
        <v>#REF!</v>
      </c>
      <c r="CX326" t="e">
        <f>AND(#REF!,"AAAAAC6eZ2U=")</f>
        <v>#REF!</v>
      </c>
      <c r="CY326" t="e">
        <f>AND(#REF!,"AAAAAC6eZ2Y=")</f>
        <v>#REF!</v>
      </c>
      <c r="CZ326" t="e">
        <f>AND(#REF!,"AAAAAC6eZ2c=")</f>
        <v>#REF!</v>
      </c>
      <c r="DA326" t="e">
        <f>AND(#REF!,"AAAAAC6eZ2g=")</f>
        <v>#REF!</v>
      </c>
      <c r="DB326" t="e">
        <f>IF(#REF!,"AAAAAC6eZ2k=",0)</f>
        <v>#REF!</v>
      </c>
      <c r="DC326" t="e">
        <f>AND(#REF!,"AAAAAC6eZ2o=")</f>
        <v>#REF!</v>
      </c>
      <c r="DD326" t="e">
        <f>AND(#REF!,"AAAAAC6eZ2s=")</f>
        <v>#REF!</v>
      </c>
      <c r="DE326" t="e">
        <f>AND(#REF!,"AAAAAC6eZ2w=")</f>
        <v>#REF!</v>
      </c>
      <c r="DF326" t="e">
        <f>AND(#REF!,"AAAAAC6eZ20=")</f>
        <v>#REF!</v>
      </c>
      <c r="DG326" t="e">
        <f>AND(#REF!,"AAAAAC6eZ24=")</f>
        <v>#REF!</v>
      </c>
      <c r="DH326" t="e">
        <f>AND(#REF!,"AAAAAC6eZ28=")</f>
        <v>#REF!</v>
      </c>
      <c r="DI326" t="e">
        <f>IF(#REF!,"AAAAAC6eZ3A=",0)</f>
        <v>#REF!</v>
      </c>
      <c r="DJ326" t="e">
        <f>AND(#REF!,"AAAAAC6eZ3E=")</f>
        <v>#REF!</v>
      </c>
      <c r="DK326" t="e">
        <f>AND(#REF!,"AAAAAC6eZ3I=")</f>
        <v>#REF!</v>
      </c>
      <c r="DL326" t="e">
        <f>AND(#REF!,"AAAAAC6eZ3M=")</f>
        <v>#REF!</v>
      </c>
      <c r="DM326" t="e">
        <f>AND(#REF!,"AAAAAC6eZ3Q=")</f>
        <v>#REF!</v>
      </c>
      <c r="DN326" t="e">
        <f>AND(#REF!,"AAAAAC6eZ3U=")</f>
        <v>#REF!</v>
      </c>
      <c r="DO326" t="e">
        <f>AND(#REF!,"AAAAAC6eZ3Y=")</f>
        <v>#REF!</v>
      </c>
      <c r="DP326" t="e">
        <f>IF(#REF!,"AAAAAC6eZ3c=",0)</f>
        <v>#REF!</v>
      </c>
      <c r="DQ326" t="e">
        <f>AND(#REF!,"AAAAAC6eZ3g=")</f>
        <v>#REF!</v>
      </c>
      <c r="DR326" t="e">
        <f>AND(#REF!,"AAAAAC6eZ3k=")</f>
        <v>#REF!</v>
      </c>
      <c r="DS326" t="e">
        <f>AND(#REF!,"AAAAAC6eZ3o=")</f>
        <v>#REF!</v>
      </c>
      <c r="DT326" t="e">
        <f>AND(#REF!,"AAAAAC6eZ3s=")</f>
        <v>#REF!</v>
      </c>
      <c r="DU326" t="e">
        <f>AND(#REF!,"AAAAAC6eZ3w=")</f>
        <v>#REF!</v>
      </c>
      <c r="DV326" t="e">
        <f>AND(#REF!,"AAAAAC6eZ30=")</f>
        <v>#REF!</v>
      </c>
      <c r="DW326" t="e">
        <f>IF(#REF!,"AAAAAC6eZ34=",0)</f>
        <v>#REF!</v>
      </c>
      <c r="DX326" t="e">
        <f>AND(#REF!,"AAAAAC6eZ38=")</f>
        <v>#REF!</v>
      </c>
      <c r="DY326" t="e">
        <f>AND(#REF!,"AAAAAC6eZ4A=")</f>
        <v>#REF!</v>
      </c>
      <c r="DZ326" t="e">
        <f>AND(#REF!,"AAAAAC6eZ4E=")</f>
        <v>#REF!</v>
      </c>
      <c r="EA326" t="e">
        <f>AND(#REF!,"AAAAAC6eZ4I=")</f>
        <v>#REF!</v>
      </c>
      <c r="EB326" t="e">
        <f>AND(#REF!,"AAAAAC6eZ4M=")</f>
        <v>#REF!</v>
      </c>
      <c r="EC326" t="e">
        <f>AND(#REF!,"AAAAAC6eZ4Q=")</f>
        <v>#REF!</v>
      </c>
      <c r="ED326" t="e">
        <f>IF(#REF!,"AAAAAC6eZ4U=",0)</f>
        <v>#REF!</v>
      </c>
      <c r="EE326" t="e">
        <f>AND(#REF!,"AAAAAC6eZ4Y=")</f>
        <v>#REF!</v>
      </c>
      <c r="EF326" t="e">
        <f>AND(#REF!,"AAAAAC6eZ4c=")</f>
        <v>#REF!</v>
      </c>
      <c r="EG326" t="e">
        <f>AND(#REF!,"AAAAAC6eZ4g=")</f>
        <v>#REF!</v>
      </c>
      <c r="EH326" t="e">
        <f>AND(#REF!,"AAAAAC6eZ4k=")</f>
        <v>#REF!</v>
      </c>
      <c r="EI326" t="e">
        <f>AND(#REF!,"AAAAAC6eZ4o=")</f>
        <v>#REF!</v>
      </c>
      <c r="EJ326" t="e">
        <f>AND(#REF!,"AAAAAC6eZ4s=")</f>
        <v>#REF!</v>
      </c>
      <c r="EK326" t="e">
        <f>IF(#REF!,"AAAAAC6eZ4w=",0)</f>
        <v>#REF!</v>
      </c>
      <c r="EL326" t="e">
        <f>AND(#REF!,"AAAAAC6eZ40=")</f>
        <v>#REF!</v>
      </c>
      <c r="EM326" t="e">
        <f>AND(#REF!,"AAAAAC6eZ44=")</f>
        <v>#REF!</v>
      </c>
      <c r="EN326" t="e">
        <f>AND(#REF!,"AAAAAC6eZ48=")</f>
        <v>#REF!</v>
      </c>
      <c r="EO326" t="e">
        <f>AND(#REF!,"AAAAAC6eZ5A=")</f>
        <v>#REF!</v>
      </c>
      <c r="EP326" t="e">
        <f>AND(#REF!,"AAAAAC6eZ5E=")</f>
        <v>#REF!</v>
      </c>
      <c r="EQ326" t="e">
        <f>AND(#REF!,"AAAAAC6eZ5I=")</f>
        <v>#REF!</v>
      </c>
      <c r="ER326" t="e">
        <f>IF(#REF!,"AAAAAC6eZ5M=",0)</f>
        <v>#REF!</v>
      </c>
      <c r="ES326" t="e">
        <f>AND(#REF!,"AAAAAC6eZ5Q=")</f>
        <v>#REF!</v>
      </c>
      <c r="ET326" t="e">
        <f>AND(#REF!,"AAAAAC6eZ5U=")</f>
        <v>#REF!</v>
      </c>
      <c r="EU326" t="e">
        <f>AND(#REF!,"AAAAAC6eZ5Y=")</f>
        <v>#REF!</v>
      </c>
      <c r="EV326" t="e">
        <f>AND(#REF!,"AAAAAC6eZ5c=")</f>
        <v>#REF!</v>
      </c>
      <c r="EW326" t="e">
        <f>AND(#REF!,"AAAAAC6eZ5g=")</f>
        <v>#REF!</v>
      </c>
      <c r="EX326" t="e">
        <f>AND(#REF!,"AAAAAC6eZ5k=")</f>
        <v>#REF!</v>
      </c>
      <c r="EY326" t="e">
        <f>IF(#REF!,"AAAAAC6eZ5o=",0)</f>
        <v>#REF!</v>
      </c>
      <c r="EZ326" t="e">
        <f>AND(#REF!,"AAAAAC6eZ5s=")</f>
        <v>#REF!</v>
      </c>
      <c r="FA326" t="e">
        <f>AND(#REF!,"AAAAAC6eZ5w=")</f>
        <v>#REF!</v>
      </c>
      <c r="FB326" t="e">
        <f>AND(#REF!,"AAAAAC6eZ50=")</f>
        <v>#REF!</v>
      </c>
      <c r="FC326" t="e">
        <f>AND(#REF!,"AAAAAC6eZ54=")</f>
        <v>#REF!</v>
      </c>
      <c r="FD326" t="e">
        <f>AND(#REF!,"AAAAAC6eZ58=")</f>
        <v>#REF!</v>
      </c>
      <c r="FE326" t="e">
        <f>AND(#REF!,"AAAAAC6eZ6A=")</f>
        <v>#REF!</v>
      </c>
      <c r="FF326" t="e">
        <f>IF(#REF!,"AAAAAC6eZ6E=",0)</f>
        <v>#REF!</v>
      </c>
      <c r="FG326" t="e">
        <f>AND(#REF!,"AAAAAC6eZ6I=")</f>
        <v>#REF!</v>
      </c>
      <c r="FH326" t="e">
        <f>AND(#REF!,"AAAAAC6eZ6M=")</f>
        <v>#REF!</v>
      </c>
      <c r="FI326" t="e">
        <f>AND(#REF!,"AAAAAC6eZ6Q=")</f>
        <v>#REF!</v>
      </c>
      <c r="FJ326" t="e">
        <f>AND(#REF!,"AAAAAC6eZ6U=")</f>
        <v>#REF!</v>
      </c>
      <c r="FK326" t="e">
        <f>AND(#REF!,"AAAAAC6eZ6Y=")</f>
        <v>#REF!</v>
      </c>
      <c r="FL326" t="e">
        <f>AND(#REF!,"AAAAAC6eZ6c=")</f>
        <v>#REF!</v>
      </c>
      <c r="FM326" t="e">
        <f>IF(#REF!,"AAAAAC6eZ6g=",0)</f>
        <v>#REF!</v>
      </c>
      <c r="FN326" t="e">
        <f>AND(#REF!,"AAAAAC6eZ6k=")</f>
        <v>#REF!</v>
      </c>
      <c r="FO326" t="e">
        <f>AND(#REF!,"AAAAAC6eZ6o=")</f>
        <v>#REF!</v>
      </c>
      <c r="FP326" t="e">
        <f>AND(#REF!,"AAAAAC6eZ6s=")</f>
        <v>#REF!</v>
      </c>
      <c r="FQ326" t="e">
        <f>AND(#REF!,"AAAAAC6eZ6w=")</f>
        <v>#REF!</v>
      </c>
      <c r="FR326" t="e">
        <f>AND(#REF!,"AAAAAC6eZ60=")</f>
        <v>#REF!</v>
      </c>
      <c r="FS326" t="e">
        <f>AND(#REF!,"AAAAAC6eZ64=")</f>
        <v>#REF!</v>
      </c>
      <c r="FT326" t="e">
        <f>IF(#REF!,"AAAAAC6eZ68=",0)</f>
        <v>#REF!</v>
      </c>
      <c r="FU326" t="e">
        <f>AND(#REF!,"AAAAAC6eZ7A=")</f>
        <v>#REF!</v>
      </c>
      <c r="FV326" t="e">
        <f>AND(#REF!,"AAAAAC6eZ7E=")</f>
        <v>#REF!</v>
      </c>
      <c r="FW326" t="e">
        <f>AND(#REF!,"AAAAAC6eZ7I=")</f>
        <v>#REF!</v>
      </c>
      <c r="FX326" t="e">
        <f>AND(#REF!,"AAAAAC6eZ7M=")</f>
        <v>#REF!</v>
      </c>
      <c r="FY326" t="e">
        <f>AND(#REF!,"AAAAAC6eZ7Q=")</f>
        <v>#REF!</v>
      </c>
      <c r="FZ326" t="e">
        <f>AND(#REF!,"AAAAAC6eZ7U=")</f>
        <v>#REF!</v>
      </c>
      <c r="GA326" t="e">
        <f>IF(#REF!,"AAAAAC6eZ7Y=",0)</f>
        <v>#REF!</v>
      </c>
      <c r="GB326" t="e">
        <f>AND(#REF!,"AAAAAC6eZ7c=")</f>
        <v>#REF!</v>
      </c>
      <c r="GC326" t="e">
        <f>AND(#REF!,"AAAAAC6eZ7g=")</f>
        <v>#REF!</v>
      </c>
      <c r="GD326" t="e">
        <f>AND(#REF!,"AAAAAC6eZ7k=")</f>
        <v>#REF!</v>
      </c>
      <c r="GE326" t="e">
        <f>AND(#REF!,"AAAAAC6eZ7o=")</f>
        <v>#REF!</v>
      </c>
      <c r="GF326" t="e">
        <f>AND(#REF!,"AAAAAC6eZ7s=")</f>
        <v>#REF!</v>
      </c>
      <c r="GG326" t="e">
        <f>AND(#REF!,"AAAAAC6eZ7w=")</f>
        <v>#REF!</v>
      </c>
      <c r="GH326" t="e">
        <f>IF(#REF!,"AAAAAC6eZ70=",0)</f>
        <v>#REF!</v>
      </c>
      <c r="GI326" t="e">
        <f>AND(#REF!,"AAAAAC6eZ74=")</f>
        <v>#REF!</v>
      </c>
      <c r="GJ326" t="e">
        <f>AND(#REF!,"AAAAAC6eZ78=")</f>
        <v>#REF!</v>
      </c>
      <c r="GK326" t="e">
        <f>AND(#REF!,"AAAAAC6eZ8A=")</f>
        <v>#REF!</v>
      </c>
      <c r="GL326" t="e">
        <f>AND(#REF!,"AAAAAC6eZ8E=")</f>
        <v>#REF!</v>
      </c>
      <c r="GM326" t="e">
        <f>AND(#REF!,"AAAAAC6eZ8I=")</f>
        <v>#REF!</v>
      </c>
      <c r="GN326" t="e">
        <f>AND(#REF!,"AAAAAC6eZ8M=")</f>
        <v>#REF!</v>
      </c>
      <c r="GO326" t="e">
        <f>IF(#REF!,"AAAAAC6eZ8Q=",0)</f>
        <v>#REF!</v>
      </c>
      <c r="GP326" t="e">
        <f>AND(#REF!,"AAAAAC6eZ8U=")</f>
        <v>#REF!</v>
      </c>
      <c r="GQ326" t="e">
        <f>AND(#REF!,"AAAAAC6eZ8Y=")</f>
        <v>#REF!</v>
      </c>
      <c r="GR326" t="e">
        <f>AND(#REF!,"AAAAAC6eZ8c=")</f>
        <v>#REF!</v>
      </c>
      <c r="GS326" t="e">
        <f>AND(#REF!,"AAAAAC6eZ8g=")</f>
        <v>#REF!</v>
      </c>
      <c r="GT326" t="e">
        <f>AND(#REF!,"AAAAAC6eZ8k=")</f>
        <v>#REF!</v>
      </c>
      <c r="GU326" t="e">
        <f>AND(#REF!,"AAAAAC6eZ8o=")</f>
        <v>#REF!</v>
      </c>
      <c r="GV326" t="e">
        <f>IF(#REF!,"AAAAAC6eZ8s=",0)</f>
        <v>#REF!</v>
      </c>
      <c r="GW326" t="e">
        <f>AND(#REF!,"AAAAAC6eZ8w=")</f>
        <v>#REF!</v>
      </c>
      <c r="GX326" t="e">
        <f>AND(#REF!,"AAAAAC6eZ80=")</f>
        <v>#REF!</v>
      </c>
      <c r="GY326" t="e">
        <f>AND(#REF!,"AAAAAC6eZ84=")</f>
        <v>#REF!</v>
      </c>
      <c r="GZ326" t="e">
        <f>AND(#REF!,"AAAAAC6eZ88=")</f>
        <v>#REF!</v>
      </c>
      <c r="HA326" t="e">
        <f>AND(#REF!,"AAAAAC6eZ9A=")</f>
        <v>#REF!</v>
      </c>
      <c r="HB326" t="e">
        <f>AND(#REF!,"AAAAAC6eZ9E=")</f>
        <v>#REF!</v>
      </c>
      <c r="HC326" t="e">
        <f>IF(#REF!,"AAAAAC6eZ9I=",0)</f>
        <v>#REF!</v>
      </c>
      <c r="HD326" t="e">
        <f>AND(#REF!,"AAAAAC6eZ9M=")</f>
        <v>#REF!</v>
      </c>
      <c r="HE326" t="e">
        <f>AND(#REF!,"AAAAAC6eZ9Q=")</f>
        <v>#REF!</v>
      </c>
      <c r="HF326" t="e">
        <f>AND(#REF!,"AAAAAC6eZ9U=")</f>
        <v>#REF!</v>
      </c>
      <c r="HG326" t="e">
        <f>AND(#REF!,"AAAAAC6eZ9Y=")</f>
        <v>#REF!</v>
      </c>
      <c r="HH326" t="e">
        <f>AND(#REF!,"AAAAAC6eZ9c=")</f>
        <v>#REF!</v>
      </c>
      <c r="HI326" t="e">
        <f>AND(#REF!,"AAAAAC6eZ9g=")</f>
        <v>#REF!</v>
      </c>
      <c r="HJ326" t="e">
        <f>IF(#REF!,"AAAAAC6eZ9k=",0)</f>
        <v>#REF!</v>
      </c>
      <c r="HK326" t="e">
        <f>AND(#REF!,"AAAAAC6eZ9o=")</f>
        <v>#REF!</v>
      </c>
      <c r="HL326" t="e">
        <f>AND(#REF!,"AAAAAC6eZ9s=")</f>
        <v>#REF!</v>
      </c>
      <c r="HM326" t="e">
        <f>AND(#REF!,"AAAAAC6eZ9w=")</f>
        <v>#REF!</v>
      </c>
      <c r="HN326" t="e">
        <f>AND(#REF!,"AAAAAC6eZ90=")</f>
        <v>#REF!</v>
      </c>
      <c r="HO326" t="e">
        <f>AND(#REF!,"AAAAAC6eZ94=")</f>
        <v>#REF!</v>
      </c>
      <c r="HP326" t="e">
        <f>AND(#REF!,"AAAAAC6eZ98=")</f>
        <v>#REF!</v>
      </c>
      <c r="HQ326" t="e">
        <f>IF(#REF!,"AAAAAC6eZ+A=",0)</f>
        <v>#REF!</v>
      </c>
      <c r="HR326" t="e">
        <f>AND(#REF!,"AAAAAC6eZ+E=")</f>
        <v>#REF!</v>
      </c>
      <c r="HS326" t="e">
        <f>AND(#REF!,"AAAAAC6eZ+I=")</f>
        <v>#REF!</v>
      </c>
      <c r="HT326" t="e">
        <f>AND(#REF!,"AAAAAC6eZ+M=")</f>
        <v>#REF!</v>
      </c>
      <c r="HU326" t="e">
        <f>AND(#REF!,"AAAAAC6eZ+Q=")</f>
        <v>#REF!</v>
      </c>
      <c r="HV326" t="e">
        <f>AND(#REF!,"AAAAAC6eZ+U=")</f>
        <v>#REF!</v>
      </c>
      <c r="HW326" t="e">
        <f>AND(#REF!,"AAAAAC6eZ+Y=")</f>
        <v>#REF!</v>
      </c>
      <c r="HX326" t="e">
        <f>IF(#REF!,"AAAAAC6eZ+c=",0)</f>
        <v>#REF!</v>
      </c>
      <c r="HY326" t="e">
        <f>AND(#REF!,"AAAAAC6eZ+g=")</f>
        <v>#REF!</v>
      </c>
      <c r="HZ326" t="e">
        <f>AND(#REF!,"AAAAAC6eZ+k=")</f>
        <v>#REF!</v>
      </c>
      <c r="IA326" t="e">
        <f>AND(#REF!,"AAAAAC6eZ+o=")</f>
        <v>#REF!</v>
      </c>
      <c r="IB326" t="e">
        <f>AND(#REF!,"AAAAAC6eZ+s=")</f>
        <v>#REF!</v>
      </c>
      <c r="IC326" t="e">
        <f>AND(#REF!,"AAAAAC6eZ+w=")</f>
        <v>#REF!</v>
      </c>
      <c r="ID326" t="e">
        <f>AND(#REF!,"AAAAAC6eZ+0=")</f>
        <v>#REF!</v>
      </c>
      <c r="IE326" t="e">
        <f>IF(#REF!,"AAAAAC6eZ+4=",0)</f>
        <v>#REF!</v>
      </c>
      <c r="IF326" t="e">
        <f>AND(#REF!,"AAAAAC6eZ+8=")</f>
        <v>#REF!</v>
      </c>
      <c r="IG326" t="e">
        <f>AND(#REF!,"AAAAAC6eZ/A=")</f>
        <v>#REF!</v>
      </c>
      <c r="IH326" t="e">
        <f>AND(#REF!,"AAAAAC6eZ/E=")</f>
        <v>#REF!</v>
      </c>
      <c r="II326" t="e">
        <f>AND(#REF!,"AAAAAC6eZ/I=")</f>
        <v>#REF!</v>
      </c>
      <c r="IJ326" t="e">
        <f>AND(#REF!,"AAAAAC6eZ/M=")</f>
        <v>#REF!</v>
      </c>
      <c r="IK326" t="e">
        <f>AND(#REF!,"AAAAAC6eZ/Q=")</f>
        <v>#REF!</v>
      </c>
      <c r="IL326" t="e">
        <f>IF(#REF!,"AAAAAC6eZ/U=",0)</f>
        <v>#REF!</v>
      </c>
      <c r="IM326" t="e">
        <f>AND(#REF!,"AAAAAC6eZ/Y=")</f>
        <v>#REF!</v>
      </c>
      <c r="IN326" t="e">
        <f>AND(#REF!,"AAAAAC6eZ/c=")</f>
        <v>#REF!</v>
      </c>
      <c r="IO326" t="e">
        <f>AND(#REF!,"AAAAAC6eZ/g=")</f>
        <v>#REF!</v>
      </c>
      <c r="IP326" t="e">
        <f>AND(#REF!,"AAAAAC6eZ/k=")</f>
        <v>#REF!</v>
      </c>
      <c r="IQ326" t="e">
        <f>AND(#REF!,"AAAAAC6eZ/o=")</f>
        <v>#REF!</v>
      </c>
      <c r="IR326" t="e">
        <f>AND(#REF!,"AAAAAC6eZ/s=")</f>
        <v>#REF!</v>
      </c>
      <c r="IS326" t="e">
        <f>IF(#REF!,"AAAAAC6eZ/w=",0)</f>
        <v>#REF!</v>
      </c>
      <c r="IT326" t="e">
        <f>AND(#REF!,"AAAAAC6eZ/0=")</f>
        <v>#REF!</v>
      </c>
      <c r="IU326" t="e">
        <f>AND(#REF!,"AAAAAC6eZ/4=")</f>
        <v>#REF!</v>
      </c>
      <c r="IV326" t="e">
        <f>AND(#REF!,"AAAAAC6eZ/8=")</f>
        <v>#REF!</v>
      </c>
    </row>
    <row r="327" spans="1:256">
      <c r="A327" t="e">
        <f>AND(#REF!,"AAAAAHe/ZgA=")</f>
        <v>#REF!</v>
      </c>
      <c r="B327" t="e">
        <f>AND(#REF!,"AAAAAHe/ZgE=")</f>
        <v>#REF!</v>
      </c>
      <c r="C327" t="e">
        <f>AND(#REF!,"AAAAAHe/ZgI=")</f>
        <v>#REF!</v>
      </c>
      <c r="D327" t="e">
        <f>IF(#REF!,"AAAAAHe/ZgM=",0)</f>
        <v>#REF!</v>
      </c>
      <c r="E327" t="e">
        <f>AND(#REF!,"AAAAAHe/ZgQ=")</f>
        <v>#REF!</v>
      </c>
      <c r="F327" t="e">
        <f>AND(#REF!,"AAAAAHe/ZgU=")</f>
        <v>#REF!</v>
      </c>
      <c r="G327" t="e">
        <f>AND(#REF!,"AAAAAHe/ZgY=")</f>
        <v>#REF!</v>
      </c>
      <c r="H327" t="e">
        <f>AND(#REF!,"AAAAAHe/Zgc=")</f>
        <v>#REF!</v>
      </c>
      <c r="I327" t="e">
        <f>AND(#REF!,"AAAAAHe/Zgg=")</f>
        <v>#REF!</v>
      </c>
      <c r="J327" t="e">
        <f>AND(#REF!,"AAAAAHe/Zgk=")</f>
        <v>#REF!</v>
      </c>
      <c r="K327" t="e">
        <f>IF(#REF!,"AAAAAHe/Zgo=",0)</f>
        <v>#REF!</v>
      </c>
      <c r="L327" t="e">
        <f>AND(#REF!,"AAAAAHe/Zgs=")</f>
        <v>#REF!</v>
      </c>
      <c r="M327" t="e">
        <f>AND(#REF!,"AAAAAHe/Zgw=")</f>
        <v>#REF!</v>
      </c>
      <c r="N327" t="e">
        <f>AND(#REF!,"AAAAAHe/Zg0=")</f>
        <v>#REF!</v>
      </c>
      <c r="O327" t="e">
        <f>AND(#REF!,"AAAAAHe/Zg4=")</f>
        <v>#REF!</v>
      </c>
      <c r="P327" t="e">
        <f>AND(#REF!,"AAAAAHe/Zg8=")</f>
        <v>#REF!</v>
      </c>
      <c r="Q327" t="e">
        <f>AND(#REF!,"AAAAAHe/ZhA=")</f>
        <v>#REF!</v>
      </c>
      <c r="R327" t="e">
        <f>IF(#REF!,"AAAAAHe/ZhE=",0)</f>
        <v>#REF!</v>
      </c>
      <c r="S327" t="e">
        <f>AND(#REF!,"AAAAAHe/ZhI=")</f>
        <v>#REF!</v>
      </c>
      <c r="T327" t="e">
        <f>AND(#REF!,"AAAAAHe/ZhM=")</f>
        <v>#REF!</v>
      </c>
      <c r="U327" t="e">
        <f>AND(#REF!,"AAAAAHe/ZhQ=")</f>
        <v>#REF!</v>
      </c>
      <c r="V327" t="e">
        <f>AND(#REF!,"AAAAAHe/ZhU=")</f>
        <v>#REF!</v>
      </c>
      <c r="W327" t="e">
        <f>AND(#REF!,"AAAAAHe/ZhY=")</f>
        <v>#REF!</v>
      </c>
      <c r="X327" t="e">
        <f>AND(#REF!,"AAAAAHe/Zhc=")</f>
        <v>#REF!</v>
      </c>
      <c r="Y327" t="e">
        <f>IF(#REF!,"AAAAAHe/Zhg=",0)</f>
        <v>#REF!</v>
      </c>
      <c r="Z327" t="e">
        <f>AND(#REF!,"AAAAAHe/Zhk=")</f>
        <v>#REF!</v>
      </c>
      <c r="AA327" t="e">
        <f>AND(#REF!,"AAAAAHe/Zho=")</f>
        <v>#REF!</v>
      </c>
      <c r="AB327" t="e">
        <f>AND(#REF!,"AAAAAHe/Zhs=")</f>
        <v>#REF!</v>
      </c>
      <c r="AC327" t="e">
        <f>AND(#REF!,"AAAAAHe/Zhw=")</f>
        <v>#REF!</v>
      </c>
      <c r="AD327" t="e">
        <f>AND(#REF!,"AAAAAHe/Zh0=")</f>
        <v>#REF!</v>
      </c>
      <c r="AE327" t="e">
        <f>AND(#REF!,"AAAAAHe/Zh4=")</f>
        <v>#REF!</v>
      </c>
      <c r="AF327" t="e">
        <f>IF(#REF!,"AAAAAHe/Zh8=",0)</f>
        <v>#REF!</v>
      </c>
      <c r="AG327" t="e">
        <f>AND(#REF!,"AAAAAHe/ZiA=")</f>
        <v>#REF!</v>
      </c>
      <c r="AH327" t="e">
        <f>AND(#REF!,"AAAAAHe/ZiE=")</f>
        <v>#REF!</v>
      </c>
      <c r="AI327" t="e">
        <f>AND(#REF!,"AAAAAHe/ZiI=")</f>
        <v>#REF!</v>
      </c>
      <c r="AJ327" t="e">
        <f>AND(#REF!,"AAAAAHe/ZiM=")</f>
        <v>#REF!</v>
      </c>
      <c r="AK327" t="e">
        <f>AND(#REF!,"AAAAAHe/ZiQ=")</f>
        <v>#REF!</v>
      </c>
      <c r="AL327" t="e">
        <f>AND(#REF!,"AAAAAHe/ZiU=")</f>
        <v>#REF!</v>
      </c>
      <c r="AM327" t="e">
        <f>IF(#REF!,"AAAAAHe/ZiY=",0)</f>
        <v>#REF!</v>
      </c>
      <c r="AN327" t="e">
        <f>AND(#REF!,"AAAAAHe/Zic=")</f>
        <v>#REF!</v>
      </c>
      <c r="AO327" t="e">
        <f>AND(#REF!,"AAAAAHe/Zig=")</f>
        <v>#REF!</v>
      </c>
      <c r="AP327" t="e">
        <f>AND(#REF!,"AAAAAHe/Zik=")</f>
        <v>#REF!</v>
      </c>
      <c r="AQ327" t="e">
        <f>AND(#REF!,"AAAAAHe/Zio=")</f>
        <v>#REF!</v>
      </c>
      <c r="AR327" t="e">
        <f>AND(#REF!,"AAAAAHe/Zis=")</f>
        <v>#REF!</v>
      </c>
      <c r="AS327" t="e">
        <f>AND(#REF!,"AAAAAHe/Ziw=")</f>
        <v>#REF!</v>
      </c>
      <c r="AT327" t="e">
        <f>IF(#REF!,"AAAAAHe/Zi0=",0)</f>
        <v>#REF!</v>
      </c>
      <c r="AU327" t="e">
        <f>AND(#REF!,"AAAAAHe/Zi4=")</f>
        <v>#REF!</v>
      </c>
      <c r="AV327" t="e">
        <f>AND(#REF!,"AAAAAHe/Zi8=")</f>
        <v>#REF!</v>
      </c>
      <c r="AW327" t="e">
        <f>AND(#REF!,"AAAAAHe/ZjA=")</f>
        <v>#REF!</v>
      </c>
      <c r="AX327" t="e">
        <f>AND(#REF!,"AAAAAHe/ZjE=")</f>
        <v>#REF!</v>
      </c>
      <c r="AY327" t="e">
        <f>AND(#REF!,"AAAAAHe/ZjI=")</f>
        <v>#REF!</v>
      </c>
      <c r="AZ327" t="e">
        <f>AND(#REF!,"AAAAAHe/ZjM=")</f>
        <v>#REF!</v>
      </c>
      <c r="BA327" t="e">
        <f>IF(#REF!,"AAAAAHe/ZjQ=",0)</f>
        <v>#REF!</v>
      </c>
      <c r="BB327" t="e">
        <f>AND(#REF!,"AAAAAHe/ZjU=")</f>
        <v>#REF!</v>
      </c>
      <c r="BC327" t="e">
        <f>AND(#REF!,"AAAAAHe/ZjY=")</f>
        <v>#REF!</v>
      </c>
      <c r="BD327" t="e">
        <f>AND(#REF!,"AAAAAHe/Zjc=")</f>
        <v>#REF!</v>
      </c>
      <c r="BE327" t="e">
        <f>AND(#REF!,"AAAAAHe/Zjg=")</f>
        <v>#REF!</v>
      </c>
      <c r="BF327" t="e">
        <f>AND(#REF!,"AAAAAHe/Zjk=")</f>
        <v>#REF!</v>
      </c>
      <c r="BG327" t="e">
        <f>AND(#REF!,"AAAAAHe/Zjo=")</f>
        <v>#REF!</v>
      </c>
      <c r="BH327" t="e">
        <f>IF(#REF!,"AAAAAHe/Zjs=",0)</f>
        <v>#REF!</v>
      </c>
      <c r="BI327" t="e">
        <f>AND(#REF!,"AAAAAHe/Zjw=")</f>
        <v>#REF!</v>
      </c>
      <c r="BJ327" t="e">
        <f>AND(#REF!,"AAAAAHe/Zj0=")</f>
        <v>#REF!</v>
      </c>
      <c r="BK327" t="e">
        <f>AND(#REF!,"AAAAAHe/Zj4=")</f>
        <v>#REF!</v>
      </c>
      <c r="BL327" t="e">
        <f>AND(#REF!,"AAAAAHe/Zj8=")</f>
        <v>#REF!</v>
      </c>
      <c r="BM327" t="e">
        <f>AND(#REF!,"AAAAAHe/ZkA=")</f>
        <v>#REF!</v>
      </c>
      <c r="BN327" t="e">
        <f>AND(#REF!,"AAAAAHe/ZkE=")</f>
        <v>#REF!</v>
      </c>
      <c r="BO327" t="e">
        <f>IF(#REF!,"AAAAAHe/ZkI=",0)</f>
        <v>#REF!</v>
      </c>
      <c r="BP327" t="e">
        <f>AND(#REF!,"AAAAAHe/ZkM=")</f>
        <v>#REF!</v>
      </c>
      <c r="BQ327" t="e">
        <f>AND(#REF!,"AAAAAHe/ZkQ=")</f>
        <v>#REF!</v>
      </c>
      <c r="BR327" t="e">
        <f>AND(#REF!,"AAAAAHe/ZkU=")</f>
        <v>#REF!</v>
      </c>
      <c r="BS327" t="e">
        <f>AND(#REF!,"AAAAAHe/ZkY=")</f>
        <v>#REF!</v>
      </c>
      <c r="BT327" t="e">
        <f>AND(#REF!,"AAAAAHe/Zkc=")</f>
        <v>#REF!</v>
      </c>
      <c r="BU327" t="e">
        <f>AND(#REF!,"AAAAAHe/Zkg=")</f>
        <v>#REF!</v>
      </c>
      <c r="BV327" t="e">
        <f>IF(#REF!,"AAAAAHe/Zkk=",0)</f>
        <v>#REF!</v>
      </c>
      <c r="BW327" t="e">
        <f>AND(#REF!,"AAAAAHe/Zko=")</f>
        <v>#REF!</v>
      </c>
      <c r="BX327" t="e">
        <f>AND(#REF!,"AAAAAHe/Zks=")</f>
        <v>#REF!</v>
      </c>
      <c r="BY327" t="e">
        <f>AND(#REF!,"AAAAAHe/Zkw=")</f>
        <v>#REF!</v>
      </c>
      <c r="BZ327" t="e">
        <f>AND(#REF!,"AAAAAHe/Zk0=")</f>
        <v>#REF!</v>
      </c>
      <c r="CA327" t="e">
        <f>AND(#REF!,"AAAAAHe/Zk4=")</f>
        <v>#REF!</v>
      </c>
      <c r="CB327" t="e">
        <f>AND(#REF!,"AAAAAHe/Zk8=")</f>
        <v>#REF!</v>
      </c>
      <c r="CC327" t="e">
        <f>IF(#REF!,"AAAAAHe/ZlA=",0)</f>
        <v>#REF!</v>
      </c>
      <c r="CD327" t="e">
        <f>AND(#REF!,"AAAAAHe/ZlE=")</f>
        <v>#REF!</v>
      </c>
      <c r="CE327" t="e">
        <f>AND(#REF!,"AAAAAHe/ZlI=")</f>
        <v>#REF!</v>
      </c>
      <c r="CF327" t="e">
        <f>AND(#REF!,"AAAAAHe/ZlM=")</f>
        <v>#REF!</v>
      </c>
      <c r="CG327" t="e">
        <f>AND(#REF!,"AAAAAHe/ZlQ=")</f>
        <v>#REF!</v>
      </c>
      <c r="CH327" t="e">
        <f>AND(#REF!,"AAAAAHe/ZlU=")</f>
        <v>#REF!</v>
      </c>
      <c r="CI327" t="e">
        <f>AND(#REF!,"AAAAAHe/ZlY=")</f>
        <v>#REF!</v>
      </c>
      <c r="CJ327" t="e">
        <f>IF(#REF!,"AAAAAHe/Zlc=",0)</f>
        <v>#REF!</v>
      </c>
      <c r="CK327" t="e">
        <f>AND(#REF!,"AAAAAHe/Zlg=")</f>
        <v>#REF!</v>
      </c>
      <c r="CL327" t="e">
        <f>AND(#REF!,"AAAAAHe/Zlk=")</f>
        <v>#REF!</v>
      </c>
      <c r="CM327" t="e">
        <f>AND(#REF!,"AAAAAHe/Zlo=")</f>
        <v>#REF!</v>
      </c>
      <c r="CN327" t="e">
        <f>AND(#REF!,"AAAAAHe/Zls=")</f>
        <v>#REF!</v>
      </c>
      <c r="CO327" t="e">
        <f>AND(#REF!,"AAAAAHe/Zlw=")</f>
        <v>#REF!</v>
      </c>
      <c r="CP327" t="e">
        <f>AND(#REF!,"AAAAAHe/Zl0=")</f>
        <v>#REF!</v>
      </c>
      <c r="CQ327" t="e">
        <f>IF(#REF!,"AAAAAHe/Zl4=",0)</f>
        <v>#REF!</v>
      </c>
      <c r="CR327" t="e">
        <f>AND(#REF!,"AAAAAHe/Zl8=")</f>
        <v>#REF!</v>
      </c>
      <c r="CS327" t="e">
        <f>AND(#REF!,"AAAAAHe/ZmA=")</f>
        <v>#REF!</v>
      </c>
      <c r="CT327" t="e">
        <f>AND(#REF!,"AAAAAHe/ZmE=")</f>
        <v>#REF!</v>
      </c>
      <c r="CU327" t="e">
        <f>AND(#REF!,"AAAAAHe/ZmI=")</f>
        <v>#REF!</v>
      </c>
      <c r="CV327" t="e">
        <f>AND(#REF!,"AAAAAHe/ZmM=")</f>
        <v>#REF!</v>
      </c>
      <c r="CW327" t="e">
        <f>AND(#REF!,"AAAAAHe/ZmQ=")</f>
        <v>#REF!</v>
      </c>
      <c r="CX327" t="e">
        <f>IF(#REF!,"AAAAAHe/ZmU=",0)</f>
        <v>#REF!</v>
      </c>
      <c r="CY327" t="e">
        <f>AND(#REF!,"AAAAAHe/ZmY=")</f>
        <v>#REF!</v>
      </c>
      <c r="CZ327" t="e">
        <f>AND(#REF!,"AAAAAHe/Zmc=")</f>
        <v>#REF!</v>
      </c>
      <c r="DA327" t="e">
        <f>AND(#REF!,"AAAAAHe/Zmg=")</f>
        <v>#REF!</v>
      </c>
      <c r="DB327" t="e">
        <f>AND(#REF!,"AAAAAHe/Zmk=")</f>
        <v>#REF!</v>
      </c>
      <c r="DC327" t="e">
        <f>AND(#REF!,"AAAAAHe/Zmo=")</f>
        <v>#REF!</v>
      </c>
      <c r="DD327" t="e">
        <f>AND(#REF!,"AAAAAHe/Zms=")</f>
        <v>#REF!</v>
      </c>
      <c r="DE327" t="e">
        <f>IF(#REF!,"AAAAAHe/Zmw=",0)</f>
        <v>#REF!</v>
      </c>
      <c r="DF327" t="e">
        <f>AND(#REF!,"AAAAAHe/Zm0=")</f>
        <v>#REF!</v>
      </c>
      <c r="DG327" t="e">
        <f>AND(#REF!,"AAAAAHe/Zm4=")</f>
        <v>#REF!</v>
      </c>
      <c r="DH327" t="e">
        <f>AND(#REF!,"AAAAAHe/Zm8=")</f>
        <v>#REF!</v>
      </c>
      <c r="DI327" t="e">
        <f>AND(#REF!,"AAAAAHe/ZnA=")</f>
        <v>#REF!</v>
      </c>
      <c r="DJ327" t="e">
        <f>AND(#REF!,"AAAAAHe/ZnE=")</f>
        <v>#REF!</v>
      </c>
      <c r="DK327" t="e">
        <f>AND(#REF!,"AAAAAHe/ZnI=")</f>
        <v>#REF!</v>
      </c>
      <c r="DL327" t="e">
        <f>IF(#REF!,"AAAAAHe/ZnM=",0)</f>
        <v>#REF!</v>
      </c>
      <c r="DM327" t="e">
        <f>AND(#REF!,"AAAAAHe/ZnQ=")</f>
        <v>#REF!</v>
      </c>
      <c r="DN327" t="e">
        <f>AND(#REF!,"AAAAAHe/ZnU=")</f>
        <v>#REF!</v>
      </c>
      <c r="DO327" t="e">
        <f>AND(#REF!,"AAAAAHe/ZnY=")</f>
        <v>#REF!</v>
      </c>
      <c r="DP327" t="e">
        <f>AND(#REF!,"AAAAAHe/Znc=")</f>
        <v>#REF!</v>
      </c>
      <c r="DQ327" t="e">
        <f>AND(#REF!,"AAAAAHe/Zng=")</f>
        <v>#REF!</v>
      </c>
      <c r="DR327" t="e">
        <f>AND(#REF!,"AAAAAHe/Znk=")</f>
        <v>#REF!</v>
      </c>
      <c r="DS327" t="e">
        <f>IF(#REF!,"AAAAAHe/Zno=",0)</f>
        <v>#REF!</v>
      </c>
      <c r="DT327" t="e">
        <f>AND(#REF!,"AAAAAHe/Zns=")</f>
        <v>#REF!</v>
      </c>
      <c r="DU327" t="e">
        <f>AND(#REF!,"AAAAAHe/Znw=")</f>
        <v>#REF!</v>
      </c>
      <c r="DV327" t="e">
        <f>AND(#REF!,"AAAAAHe/Zn0=")</f>
        <v>#REF!</v>
      </c>
      <c r="DW327" t="e">
        <f>AND(#REF!,"AAAAAHe/Zn4=")</f>
        <v>#REF!</v>
      </c>
      <c r="DX327" t="e">
        <f>AND(#REF!,"AAAAAHe/Zn8=")</f>
        <v>#REF!</v>
      </c>
      <c r="DY327" t="e">
        <f>AND(#REF!,"AAAAAHe/ZoA=")</f>
        <v>#REF!</v>
      </c>
      <c r="DZ327" t="e">
        <f>IF(#REF!,"AAAAAHe/ZoE=",0)</f>
        <v>#REF!</v>
      </c>
      <c r="EA327" t="e">
        <f>AND(#REF!,"AAAAAHe/ZoI=")</f>
        <v>#REF!</v>
      </c>
      <c r="EB327" t="e">
        <f>AND(#REF!,"AAAAAHe/ZoM=")</f>
        <v>#REF!</v>
      </c>
      <c r="EC327" t="e">
        <f>AND(#REF!,"AAAAAHe/ZoQ=")</f>
        <v>#REF!</v>
      </c>
      <c r="ED327" t="e">
        <f>AND(#REF!,"AAAAAHe/ZoU=")</f>
        <v>#REF!</v>
      </c>
      <c r="EE327" t="e">
        <f>AND(#REF!,"AAAAAHe/ZoY=")</f>
        <v>#REF!</v>
      </c>
      <c r="EF327" t="e">
        <f>AND(#REF!,"AAAAAHe/Zoc=")</f>
        <v>#REF!</v>
      </c>
      <c r="EG327" t="e">
        <f>IF(#REF!,"AAAAAHe/Zog=",0)</f>
        <v>#REF!</v>
      </c>
      <c r="EH327" t="e">
        <f>AND(#REF!,"AAAAAHe/Zok=")</f>
        <v>#REF!</v>
      </c>
      <c r="EI327" t="e">
        <f>AND(#REF!,"AAAAAHe/Zoo=")</f>
        <v>#REF!</v>
      </c>
      <c r="EJ327" t="e">
        <f>AND(#REF!,"AAAAAHe/Zos=")</f>
        <v>#REF!</v>
      </c>
      <c r="EK327" t="e">
        <f>AND(#REF!,"AAAAAHe/Zow=")</f>
        <v>#REF!</v>
      </c>
      <c r="EL327" t="e">
        <f>AND(#REF!,"AAAAAHe/Zo0=")</f>
        <v>#REF!</v>
      </c>
      <c r="EM327" t="e">
        <f>AND(#REF!,"AAAAAHe/Zo4=")</f>
        <v>#REF!</v>
      </c>
      <c r="EN327" t="e">
        <f>IF(#REF!,"AAAAAHe/Zo8=",0)</f>
        <v>#REF!</v>
      </c>
      <c r="EO327" t="e">
        <f>AND(#REF!,"AAAAAHe/ZpA=")</f>
        <v>#REF!</v>
      </c>
      <c r="EP327" t="e">
        <f>AND(#REF!,"AAAAAHe/ZpE=")</f>
        <v>#REF!</v>
      </c>
      <c r="EQ327" t="e">
        <f>AND(#REF!,"AAAAAHe/ZpI=")</f>
        <v>#REF!</v>
      </c>
      <c r="ER327" t="e">
        <f>AND(#REF!,"AAAAAHe/ZpM=")</f>
        <v>#REF!</v>
      </c>
      <c r="ES327" t="e">
        <f>AND(#REF!,"AAAAAHe/ZpQ=")</f>
        <v>#REF!</v>
      </c>
      <c r="ET327" t="e">
        <f>AND(#REF!,"AAAAAHe/ZpU=")</f>
        <v>#REF!</v>
      </c>
      <c r="EU327" t="e">
        <f>IF(#REF!,"AAAAAHe/ZpY=",0)</f>
        <v>#REF!</v>
      </c>
      <c r="EV327" t="e">
        <f>AND(#REF!,"AAAAAHe/Zpc=")</f>
        <v>#REF!</v>
      </c>
      <c r="EW327" t="e">
        <f>AND(#REF!,"AAAAAHe/Zpg=")</f>
        <v>#REF!</v>
      </c>
      <c r="EX327" t="e">
        <f>AND(#REF!,"AAAAAHe/Zpk=")</f>
        <v>#REF!</v>
      </c>
      <c r="EY327" t="e">
        <f>AND(#REF!,"AAAAAHe/Zpo=")</f>
        <v>#REF!</v>
      </c>
      <c r="EZ327" t="e">
        <f>AND(#REF!,"AAAAAHe/Zps=")</f>
        <v>#REF!</v>
      </c>
      <c r="FA327" t="e">
        <f>AND(#REF!,"AAAAAHe/Zpw=")</f>
        <v>#REF!</v>
      </c>
      <c r="FB327" t="e">
        <f>IF(#REF!,"AAAAAHe/Zp0=",0)</f>
        <v>#REF!</v>
      </c>
      <c r="FC327" t="e">
        <f>AND(#REF!,"AAAAAHe/Zp4=")</f>
        <v>#REF!</v>
      </c>
      <c r="FD327" t="e">
        <f>AND(#REF!,"AAAAAHe/Zp8=")</f>
        <v>#REF!</v>
      </c>
      <c r="FE327" t="e">
        <f>AND(#REF!,"AAAAAHe/ZqA=")</f>
        <v>#REF!</v>
      </c>
      <c r="FF327" t="e">
        <f>AND(#REF!,"AAAAAHe/ZqE=")</f>
        <v>#REF!</v>
      </c>
      <c r="FG327" t="e">
        <f>AND(#REF!,"AAAAAHe/ZqI=")</f>
        <v>#REF!</v>
      </c>
      <c r="FH327" t="e">
        <f>AND(#REF!,"AAAAAHe/ZqM=")</f>
        <v>#REF!</v>
      </c>
      <c r="FI327" t="e">
        <f>IF(#REF!,"AAAAAHe/ZqQ=",0)</f>
        <v>#REF!</v>
      </c>
      <c r="FJ327" t="e">
        <f>AND(#REF!,"AAAAAHe/ZqU=")</f>
        <v>#REF!</v>
      </c>
      <c r="FK327" t="e">
        <f>AND(#REF!,"AAAAAHe/ZqY=")</f>
        <v>#REF!</v>
      </c>
      <c r="FL327" t="e">
        <f>AND(#REF!,"AAAAAHe/Zqc=")</f>
        <v>#REF!</v>
      </c>
      <c r="FM327" t="e">
        <f>AND(#REF!,"AAAAAHe/Zqg=")</f>
        <v>#REF!</v>
      </c>
      <c r="FN327" t="e">
        <f>AND(#REF!,"AAAAAHe/Zqk=")</f>
        <v>#REF!</v>
      </c>
      <c r="FO327" t="e">
        <f>AND(#REF!,"AAAAAHe/Zqo=")</f>
        <v>#REF!</v>
      </c>
      <c r="FP327" t="e">
        <f>IF(#REF!,"AAAAAHe/Zqs=",0)</f>
        <v>#REF!</v>
      </c>
      <c r="FQ327" t="e">
        <f>AND(#REF!,"AAAAAHe/Zqw=")</f>
        <v>#REF!</v>
      </c>
      <c r="FR327" t="e">
        <f>AND(#REF!,"AAAAAHe/Zq0=")</f>
        <v>#REF!</v>
      </c>
      <c r="FS327" t="e">
        <f>AND(#REF!,"AAAAAHe/Zq4=")</f>
        <v>#REF!</v>
      </c>
      <c r="FT327" t="e">
        <f>AND(#REF!,"AAAAAHe/Zq8=")</f>
        <v>#REF!</v>
      </c>
      <c r="FU327" t="e">
        <f>AND(#REF!,"AAAAAHe/ZrA=")</f>
        <v>#REF!</v>
      </c>
      <c r="FV327" t="e">
        <f>AND(#REF!,"AAAAAHe/ZrE=")</f>
        <v>#REF!</v>
      </c>
      <c r="FW327" t="e">
        <f>IF(#REF!,"AAAAAHe/ZrI=",0)</f>
        <v>#REF!</v>
      </c>
      <c r="FX327" t="e">
        <f>AND(#REF!,"AAAAAHe/ZrM=")</f>
        <v>#REF!</v>
      </c>
      <c r="FY327" t="e">
        <f>AND(#REF!,"AAAAAHe/ZrQ=")</f>
        <v>#REF!</v>
      </c>
      <c r="FZ327" t="e">
        <f>AND(#REF!,"AAAAAHe/ZrU=")</f>
        <v>#REF!</v>
      </c>
      <c r="GA327" t="e">
        <f>AND(#REF!,"AAAAAHe/ZrY=")</f>
        <v>#REF!</v>
      </c>
      <c r="GB327" t="e">
        <f>AND(#REF!,"AAAAAHe/Zrc=")</f>
        <v>#REF!</v>
      </c>
      <c r="GC327" t="e">
        <f>AND(#REF!,"AAAAAHe/Zrg=")</f>
        <v>#REF!</v>
      </c>
      <c r="GD327" t="e">
        <f>IF(#REF!,"AAAAAHe/Zrk=",0)</f>
        <v>#REF!</v>
      </c>
      <c r="GE327" t="e">
        <f>AND(#REF!,"AAAAAHe/Zro=")</f>
        <v>#REF!</v>
      </c>
      <c r="GF327" t="e">
        <f>AND(#REF!,"AAAAAHe/Zrs=")</f>
        <v>#REF!</v>
      </c>
      <c r="GG327" t="e">
        <f>AND(#REF!,"AAAAAHe/Zrw=")</f>
        <v>#REF!</v>
      </c>
      <c r="GH327" t="e">
        <f>AND(#REF!,"AAAAAHe/Zr0=")</f>
        <v>#REF!</v>
      </c>
      <c r="GI327" t="e">
        <f>AND(#REF!,"AAAAAHe/Zr4=")</f>
        <v>#REF!</v>
      </c>
      <c r="GJ327" t="e">
        <f>AND(#REF!,"AAAAAHe/Zr8=")</f>
        <v>#REF!</v>
      </c>
      <c r="GK327" t="e">
        <f>IF(#REF!,"AAAAAHe/ZsA=",0)</f>
        <v>#REF!</v>
      </c>
      <c r="GL327" t="e">
        <f>AND(#REF!,"AAAAAHe/ZsE=")</f>
        <v>#REF!</v>
      </c>
      <c r="GM327" t="e">
        <f>AND(#REF!,"AAAAAHe/ZsI=")</f>
        <v>#REF!</v>
      </c>
      <c r="GN327" t="e">
        <f>AND(#REF!,"AAAAAHe/ZsM=")</f>
        <v>#REF!</v>
      </c>
      <c r="GO327" t="e">
        <f>AND(#REF!,"AAAAAHe/ZsQ=")</f>
        <v>#REF!</v>
      </c>
      <c r="GP327" t="e">
        <f>AND(#REF!,"AAAAAHe/ZsU=")</f>
        <v>#REF!</v>
      </c>
      <c r="GQ327" t="e">
        <f>AND(#REF!,"AAAAAHe/ZsY=")</f>
        <v>#REF!</v>
      </c>
      <c r="GR327" t="e">
        <f>IF(#REF!,"AAAAAHe/Zsc=",0)</f>
        <v>#REF!</v>
      </c>
      <c r="GS327" t="e">
        <f>AND(#REF!,"AAAAAHe/Zsg=")</f>
        <v>#REF!</v>
      </c>
      <c r="GT327" t="e">
        <f>AND(#REF!,"AAAAAHe/Zsk=")</f>
        <v>#REF!</v>
      </c>
      <c r="GU327" t="e">
        <f>AND(#REF!,"AAAAAHe/Zso=")</f>
        <v>#REF!</v>
      </c>
      <c r="GV327" t="e">
        <f>AND(#REF!,"AAAAAHe/Zss=")</f>
        <v>#REF!</v>
      </c>
      <c r="GW327" t="e">
        <f>AND(#REF!,"AAAAAHe/Zsw=")</f>
        <v>#REF!</v>
      </c>
      <c r="GX327" t="e">
        <f>AND(#REF!,"AAAAAHe/Zs0=")</f>
        <v>#REF!</v>
      </c>
      <c r="GY327" t="e">
        <f>IF(#REF!,"AAAAAHe/Zs4=",0)</f>
        <v>#REF!</v>
      </c>
      <c r="GZ327" t="e">
        <f>AND(#REF!,"AAAAAHe/Zs8=")</f>
        <v>#REF!</v>
      </c>
      <c r="HA327" t="e">
        <f>AND(#REF!,"AAAAAHe/ZtA=")</f>
        <v>#REF!</v>
      </c>
      <c r="HB327" t="e">
        <f>AND(#REF!,"AAAAAHe/ZtE=")</f>
        <v>#REF!</v>
      </c>
      <c r="HC327" t="e">
        <f>AND(#REF!,"AAAAAHe/ZtI=")</f>
        <v>#REF!</v>
      </c>
      <c r="HD327" t="e">
        <f>AND(#REF!,"AAAAAHe/ZtM=")</f>
        <v>#REF!</v>
      </c>
      <c r="HE327" t="e">
        <f>AND(#REF!,"AAAAAHe/ZtQ=")</f>
        <v>#REF!</v>
      </c>
      <c r="HF327" t="e">
        <f>IF(#REF!,"AAAAAHe/ZtU=",0)</f>
        <v>#REF!</v>
      </c>
      <c r="HG327" t="e">
        <f>AND(#REF!,"AAAAAHe/ZtY=")</f>
        <v>#REF!</v>
      </c>
      <c r="HH327" t="e">
        <f>AND(#REF!,"AAAAAHe/Ztc=")</f>
        <v>#REF!</v>
      </c>
      <c r="HI327" t="e">
        <f>AND(#REF!,"AAAAAHe/Ztg=")</f>
        <v>#REF!</v>
      </c>
      <c r="HJ327" t="e">
        <f>AND(#REF!,"AAAAAHe/Ztk=")</f>
        <v>#REF!</v>
      </c>
      <c r="HK327" t="e">
        <f>AND(#REF!,"AAAAAHe/Zto=")</f>
        <v>#REF!</v>
      </c>
      <c r="HL327" t="e">
        <f>AND(#REF!,"AAAAAHe/Zts=")</f>
        <v>#REF!</v>
      </c>
      <c r="HM327" t="e">
        <f>IF(#REF!,"AAAAAHe/Ztw=",0)</f>
        <v>#REF!</v>
      </c>
      <c r="HN327" t="e">
        <f>AND(#REF!,"AAAAAHe/Zt0=")</f>
        <v>#REF!</v>
      </c>
      <c r="HO327" t="e">
        <f>AND(#REF!,"AAAAAHe/Zt4=")</f>
        <v>#REF!</v>
      </c>
      <c r="HP327" t="e">
        <f>AND(#REF!,"AAAAAHe/Zt8=")</f>
        <v>#REF!</v>
      </c>
      <c r="HQ327" t="e">
        <f>AND(#REF!,"AAAAAHe/ZuA=")</f>
        <v>#REF!</v>
      </c>
      <c r="HR327" t="e">
        <f>AND(#REF!,"AAAAAHe/ZuE=")</f>
        <v>#REF!</v>
      </c>
      <c r="HS327" t="e">
        <f>AND(#REF!,"AAAAAHe/ZuI=")</f>
        <v>#REF!</v>
      </c>
      <c r="HT327" t="e">
        <f>IF(#REF!,"AAAAAHe/ZuM=",0)</f>
        <v>#REF!</v>
      </c>
      <c r="HU327" t="e">
        <f>IF(#REF!,"AAAAAHe/ZuQ=",0)</f>
        <v>#REF!</v>
      </c>
      <c r="HV327" t="e">
        <f>IF(#REF!,"AAAAAHe/ZuU=",0)</f>
        <v>#REF!</v>
      </c>
      <c r="HW327" t="e">
        <f>IF(#REF!,"AAAAAHe/ZuY=",0)</f>
        <v>#REF!</v>
      </c>
      <c r="HX327" t="e">
        <f>IF(#REF!,"AAAAAHe/Zuc=",0)</f>
        <v>#REF!</v>
      </c>
      <c r="HY327" t="e">
        <f>IF(#REF!,"AAAAAHe/Zug=",0)</f>
        <v>#REF!</v>
      </c>
      <c r="HZ327" t="e">
        <f>IF(#REF!,"AAAAAHe/Zuk=",0)</f>
        <v>#REF!</v>
      </c>
      <c r="IA327" t="e">
        <f>IF(#REF!,"AAAAAHe/Zuo=",0)</f>
        <v>#REF!</v>
      </c>
      <c r="IB327" t="e">
        <f>IF(#REF!,"AAAAAHe/Zus=",0)</f>
        <v>#REF!</v>
      </c>
      <c r="IC327" t="e">
        <f>AND(#REF!,"AAAAAHe/Zuw=")</f>
        <v>#REF!</v>
      </c>
      <c r="ID327" t="e">
        <f>AND(#REF!,"AAAAAHe/Zu0=")</f>
        <v>#REF!</v>
      </c>
      <c r="IE327" t="e">
        <f>AND(#REF!,"AAAAAHe/Zu4=")</f>
        <v>#REF!</v>
      </c>
      <c r="IF327" t="e">
        <f>IF(#REF!,"AAAAAHe/Zu8=",0)</f>
        <v>#REF!</v>
      </c>
      <c r="IG327" t="e">
        <f>AND(#REF!,"AAAAAHe/ZvA=")</f>
        <v>#REF!</v>
      </c>
      <c r="IH327" t="e">
        <f>AND(#REF!,"AAAAAHe/ZvE=")</f>
        <v>#REF!</v>
      </c>
      <c r="II327" t="e">
        <f>AND(#REF!,"AAAAAHe/ZvI=")</f>
        <v>#REF!</v>
      </c>
      <c r="IJ327" t="e">
        <f>IF(#REF!,"AAAAAHe/ZvM=",0)</f>
        <v>#REF!</v>
      </c>
      <c r="IK327" t="e">
        <f>AND(#REF!,"AAAAAHe/ZvQ=")</f>
        <v>#REF!</v>
      </c>
      <c r="IL327" t="e">
        <f>AND(#REF!,"AAAAAHe/ZvU=")</f>
        <v>#REF!</v>
      </c>
      <c r="IM327" t="e">
        <f>AND(#REF!,"AAAAAHe/ZvY=")</f>
        <v>#REF!</v>
      </c>
      <c r="IN327" t="e">
        <f>IF(#REF!,"AAAAAHe/Zvc=",0)</f>
        <v>#REF!</v>
      </c>
      <c r="IO327" t="e">
        <f>AND(#REF!,"AAAAAHe/Zvg=")</f>
        <v>#REF!</v>
      </c>
      <c r="IP327" t="e">
        <f>AND(#REF!,"AAAAAHe/Zvk=")</f>
        <v>#REF!</v>
      </c>
      <c r="IQ327" t="e">
        <f>AND(#REF!,"AAAAAHe/Zvo=")</f>
        <v>#REF!</v>
      </c>
      <c r="IR327" t="e">
        <f>IF(#REF!,"AAAAAHe/Zvs=",0)</f>
        <v>#REF!</v>
      </c>
      <c r="IS327" t="e">
        <f>AND(#REF!,"AAAAAHe/Zvw=")</f>
        <v>#REF!</v>
      </c>
      <c r="IT327" t="e">
        <f>AND(#REF!,"AAAAAHe/Zv0=")</f>
        <v>#REF!</v>
      </c>
      <c r="IU327" t="e">
        <f>AND(#REF!,"AAAAAHe/Zv4=")</f>
        <v>#REF!</v>
      </c>
      <c r="IV327" t="e">
        <f>IF(#REF!,"AAAAAHe/Zv8=",0)</f>
        <v>#REF!</v>
      </c>
    </row>
    <row r="328" spans="1:256">
      <c r="A328" t="e">
        <f>AND(#REF!,"AAAAAH+nnwA=")</f>
        <v>#REF!</v>
      </c>
      <c r="B328" t="e">
        <f>AND(#REF!,"AAAAAH+nnwE=")</f>
        <v>#REF!</v>
      </c>
      <c r="C328" t="e">
        <f>AND(#REF!,"AAAAAH+nnwI=")</f>
        <v>#REF!</v>
      </c>
      <c r="D328" t="e">
        <f>IF(#REF!,"AAAAAH+nnwM=",0)</f>
        <v>#REF!</v>
      </c>
      <c r="E328" t="e">
        <f>AND(#REF!,"AAAAAH+nnwQ=")</f>
        <v>#REF!</v>
      </c>
      <c r="F328" t="e">
        <f>AND(#REF!,"AAAAAH+nnwU=")</f>
        <v>#REF!</v>
      </c>
      <c r="G328" t="e">
        <f>AND(#REF!,"AAAAAH+nnwY=")</f>
        <v>#REF!</v>
      </c>
      <c r="H328" t="e">
        <f>IF(#REF!,"AAAAAH+nnwc=",0)</f>
        <v>#REF!</v>
      </c>
      <c r="I328" t="e">
        <f>AND(#REF!,"AAAAAH+nnwg=")</f>
        <v>#REF!</v>
      </c>
      <c r="J328" t="e">
        <f>AND(#REF!,"AAAAAH+nnwk=")</f>
        <v>#REF!</v>
      </c>
      <c r="K328" t="e">
        <f>AND(#REF!,"AAAAAH+nnwo=")</f>
        <v>#REF!</v>
      </c>
      <c r="L328" t="e">
        <f>IF(#REF!,"AAAAAH+nnws=",0)</f>
        <v>#REF!</v>
      </c>
      <c r="M328" t="e">
        <f>AND(#REF!,"AAAAAH+nnww=")</f>
        <v>#REF!</v>
      </c>
      <c r="N328" t="e">
        <f>AND(#REF!,"AAAAAH+nnw0=")</f>
        <v>#REF!</v>
      </c>
      <c r="O328" t="e">
        <f>AND(#REF!,"AAAAAH+nnw4=")</f>
        <v>#REF!</v>
      </c>
      <c r="P328" t="e">
        <f>IF(#REF!,"AAAAAH+nnw8=",0)</f>
        <v>#REF!</v>
      </c>
      <c r="Q328" t="e">
        <f>AND(#REF!,"AAAAAH+nnxA=")</f>
        <v>#REF!</v>
      </c>
      <c r="R328" t="e">
        <f>AND(#REF!,"AAAAAH+nnxE=")</f>
        <v>#REF!</v>
      </c>
      <c r="S328" t="e">
        <f>AND(#REF!,"AAAAAH+nnxI=")</f>
        <v>#REF!</v>
      </c>
      <c r="T328" t="e">
        <f>IF(#REF!,"AAAAAH+nnxM=",0)</f>
        <v>#REF!</v>
      </c>
      <c r="U328" t="e">
        <f>AND(#REF!,"AAAAAH+nnxQ=")</f>
        <v>#REF!</v>
      </c>
      <c r="V328" t="e">
        <f>AND(#REF!,"AAAAAH+nnxU=")</f>
        <v>#REF!</v>
      </c>
      <c r="W328" t="e">
        <f>AND(#REF!,"AAAAAH+nnxY=")</f>
        <v>#REF!</v>
      </c>
      <c r="X328" t="e">
        <f>IF(#REF!,"AAAAAH+nnxc=",0)</f>
        <v>#REF!</v>
      </c>
      <c r="Y328" t="e">
        <f>AND(#REF!,"AAAAAH+nnxg=")</f>
        <v>#REF!</v>
      </c>
      <c r="Z328" t="e">
        <f>AND(#REF!,"AAAAAH+nnxk=")</f>
        <v>#REF!</v>
      </c>
      <c r="AA328" t="e">
        <f>AND(#REF!,"AAAAAH+nnxo=")</f>
        <v>#REF!</v>
      </c>
      <c r="AB328" t="e">
        <f>IF(#REF!,"AAAAAH+nnxs=",0)</f>
        <v>#REF!</v>
      </c>
      <c r="AC328" t="e">
        <f>AND(#REF!,"AAAAAH+nnxw=")</f>
        <v>#REF!</v>
      </c>
      <c r="AD328" t="e">
        <f>AND(#REF!,"AAAAAH+nnx0=")</f>
        <v>#REF!</v>
      </c>
      <c r="AE328" t="e">
        <f>AND(#REF!,"AAAAAH+nnx4=")</f>
        <v>#REF!</v>
      </c>
      <c r="AF328" t="e">
        <f>IF(#REF!,"AAAAAH+nnx8=",0)</f>
        <v>#REF!</v>
      </c>
      <c r="AG328" t="e">
        <f>AND(#REF!,"AAAAAH+nnyA=")</f>
        <v>#REF!</v>
      </c>
      <c r="AH328" t="e">
        <f>AND(#REF!,"AAAAAH+nnyE=")</f>
        <v>#REF!</v>
      </c>
      <c r="AI328" t="e">
        <f>AND(#REF!,"AAAAAH+nnyI=")</f>
        <v>#REF!</v>
      </c>
      <c r="AJ328" t="e">
        <f>IF(#REF!,"AAAAAH+nnyM=",0)</f>
        <v>#REF!</v>
      </c>
      <c r="AK328" t="e">
        <f>AND(#REF!,"AAAAAH+nnyQ=")</f>
        <v>#REF!</v>
      </c>
      <c r="AL328" t="e">
        <f>AND(#REF!,"AAAAAH+nnyU=")</f>
        <v>#REF!</v>
      </c>
      <c r="AM328" t="e">
        <f>AND(#REF!,"AAAAAH+nnyY=")</f>
        <v>#REF!</v>
      </c>
      <c r="AN328" t="e">
        <f>IF(#REF!,"AAAAAH+nnyc=",0)</f>
        <v>#REF!</v>
      </c>
      <c r="AO328" t="e">
        <f>AND(#REF!,"AAAAAH+nnyg=")</f>
        <v>#REF!</v>
      </c>
      <c r="AP328" t="e">
        <f>AND(#REF!,"AAAAAH+nnyk=")</f>
        <v>#REF!</v>
      </c>
      <c r="AQ328" t="e">
        <f>AND(#REF!,"AAAAAH+nnyo=")</f>
        <v>#REF!</v>
      </c>
      <c r="AR328" t="e">
        <f>IF(#REF!,"AAAAAH+nnys=",0)</f>
        <v>#REF!</v>
      </c>
      <c r="AS328" t="e">
        <f>AND(#REF!,"AAAAAH+nnyw=")</f>
        <v>#REF!</v>
      </c>
      <c r="AT328" t="e">
        <f>AND(#REF!,"AAAAAH+nny0=")</f>
        <v>#REF!</v>
      </c>
      <c r="AU328" t="e">
        <f>AND(#REF!,"AAAAAH+nny4=")</f>
        <v>#REF!</v>
      </c>
      <c r="AV328" t="e">
        <f>IF(#REF!,"AAAAAH+nny8=",0)</f>
        <v>#REF!</v>
      </c>
      <c r="AW328" t="e">
        <f>AND(#REF!,"AAAAAH+nnzA=")</f>
        <v>#REF!</v>
      </c>
      <c r="AX328" t="e">
        <f>AND(#REF!,"AAAAAH+nnzE=")</f>
        <v>#REF!</v>
      </c>
      <c r="AY328" t="e">
        <f>AND(#REF!,"AAAAAH+nnzI=")</f>
        <v>#REF!</v>
      </c>
      <c r="AZ328" t="e">
        <f>IF(#REF!,"AAAAAH+nnzM=",0)</f>
        <v>#REF!</v>
      </c>
      <c r="BA328" t="e">
        <f>AND(#REF!,"AAAAAH+nnzQ=")</f>
        <v>#REF!</v>
      </c>
      <c r="BB328" t="e">
        <f>AND(#REF!,"AAAAAH+nnzU=")</f>
        <v>#REF!</v>
      </c>
      <c r="BC328" t="e">
        <f>AND(#REF!,"AAAAAH+nnzY=")</f>
        <v>#REF!</v>
      </c>
      <c r="BD328" t="e">
        <f>IF(#REF!,"AAAAAH+nnzc=",0)</f>
        <v>#REF!</v>
      </c>
      <c r="BE328" t="e">
        <f>AND(#REF!,"AAAAAH+nnzg=")</f>
        <v>#REF!</v>
      </c>
      <c r="BF328" t="e">
        <f>AND(#REF!,"AAAAAH+nnzk=")</f>
        <v>#REF!</v>
      </c>
      <c r="BG328" t="e">
        <f>AND(#REF!,"AAAAAH+nnzo=")</f>
        <v>#REF!</v>
      </c>
      <c r="BH328" t="e">
        <f>IF(#REF!,"AAAAAH+nnzs=",0)</f>
        <v>#REF!</v>
      </c>
      <c r="BI328" t="e">
        <f>AND(#REF!,"AAAAAH+nnzw=")</f>
        <v>#REF!</v>
      </c>
      <c r="BJ328" t="e">
        <f>AND(#REF!,"AAAAAH+nnz0=")</f>
        <v>#REF!</v>
      </c>
      <c r="BK328" t="e">
        <f>AND(#REF!,"AAAAAH+nnz4=")</f>
        <v>#REF!</v>
      </c>
      <c r="BL328" t="e">
        <f>IF(#REF!,"AAAAAH+nnz8=",0)</f>
        <v>#REF!</v>
      </c>
      <c r="BM328" t="e">
        <f>AND(#REF!,"AAAAAH+nn0A=")</f>
        <v>#REF!</v>
      </c>
      <c r="BN328" t="e">
        <f>AND(#REF!,"AAAAAH+nn0E=")</f>
        <v>#REF!</v>
      </c>
      <c r="BO328" t="e">
        <f>AND(#REF!,"AAAAAH+nn0I=")</f>
        <v>#REF!</v>
      </c>
      <c r="BP328" t="e">
        <f>IF(#REF!,"AAAAAH+nn0M=",0)</f>
        <v>#REF!</v>
      </c>
      <c r="BQ328" t="e">
        <f>AND(#REF!,"AAAAAH+nn0Q=")</f>
        <v>#REF!</v>
      </c>
      <c r="BR328" t="e">
        <f>AND(#REF!,"AAAAAH+nn0U=")</f>
        <v>#REF!</v>
      </c>
      <c r="BS328" t="e">
        <f>AND(#REF!,"AAAAAH+nn0Y=")</f>
        <v>#REF!</v>
      </c>
      <c r="BT328" t="e">
        <f>IF(#REF!,"AAAAAH+nn0c=",0)</f>
        <v>#REF!</v>
      </c>
      <c r="BU328" t="e">
        <f>AND(#REF!,"AAAAAH+nn0g=")</f>
        <v>#REF!</v>
      </c>
      <c r="BV328" t="e">
        <f>AND(#REF!,"AAAAAH+nn0k=")</f>
        <v>#REF!</v>
      </c>
      <c r="BW328" t="e">
        <f>AND(#REF!,"AAAAAH+nn0o=")</f>
        <v>#REF!</v>
      </c>
      <c r="BX328" t="e">
        <f>IF(#REF!,"AAAAAH+nn0s=",0)</f>
        <v>#REF!</v>
      </c>
      <c r="BY328" t="e">
        <f>AND(#REF!,"AAAAAH+nn0w=")</f>
        <v>#REF!</v>
      </c>
      <c r="BZ328" t="e">
        <f>AND(#REF!,"AAAAAH+nn00=")</f>
        <v>#REF!</v>
      </c>
      <c r="CA328" t="e">
        <f>AND(#REF!,"AAAAAH+nn04=")</f>
        <v>#REF!</v>
      </c>
      <c r="CB328" t="e">
        <f>IF(#REF!,"AAAAAH+nn08=",0)</f>
        <v>#REF!</v>
      </c>
      <c r="CC328" t="e">
        <f>AND(#REF!,"AAAAAH+nn1A=")</f>
        <v>#REF!</v>
      </c>
      <c r="CD328" t="e">
        <f>AND(#REF!,"AAAAAH+nn1E=")</f>
        <v>#REF!</v>
      </c>
      <c r="CE328" t="e">
        <f>AND(#REF!,"AAAAAH+nn1I=")</f>
        <v>#REF!</v>
      </c>
      <c r="CF328" t="e">
        <f>IF(#REF!,"AAAAAH+nn1M=",0)</f>
        <v>#REF!</v>
      </c>
      <c r="CG328" t="e">
        <f>AND(#REF!,"AAAAAH+nn1Q=")</f>
        <v>#REF!</v>
      </c>
      <c r="CH328" t="e">
        <f>AND(#REF!,"AAAAAH+nn1U=")</f>
        <v>#REF!</v>
      </c>
      <c r="CI328" t="e">
        <f>AND(#REF!,"AAAAAH+nn1Y=")</f>
        <v>#REF!</v>
      </c>
      <c r="CJ328" t="e">
        <f>IF(#REF!,"AAAAAH+nn1c=",0)</f>
        <v>#REF!</v>
      </c>
      <c r="CK328" t="e">
        <f>AND(#REF!,"AAAAAH+nn1g=")</f>
        <v>#REF!</v>
      </c>
      <c r="CL328" t="e">
        <f>AND(#REF!,"AAAAAH+nn1k=")</f>
        <v>#REF!</v>
      </c>
      <c r="CM328" t="e">
        <f>AND(#REF!,"AAAAAH+nn1o=")</f>
        <v>#REF!</v>
      </c>
      <c r="CN328" t="e">
        <f>IF(#REF!,"AAAAAH+nn1s=",0)</f>
        <v>#REF!</v>
      </c>
      <c r="CO328" t="e">
        <f>AND(#REF!,"AAAAAH+nn1w=")</f>
        <v>#REF!</v>
      </c>
      <c r="CP328" t="e">
        <f>AND(#REF!,"AAAAAH+nn10=")</f>
        <v>#REF!</v>
      </c>
      <c r="CQ328" t="e">
        <f>AND(#REF!,"AAAAAH+nn14=")</f>
        <v>#REF!</v>
      </c>
      <c r="CR328" t="e">
        <f>IF(#REF!,"AAAAAH+nn18=",0)</f>
        <v>#REF!</v>
      </c>
      <c r="CS328" t="e">
        <f>AND(#REF!,"AAAAAH+nn2A=")</f>
        <v>#REF!</v>
      </c>
      <c r="CT328" t="e">
        <f>AND(#REF!,"AAAAAH+nn2E=")</f>
        <v>#REF!</v>
      </c>
      <c r="CU328" t="e">
        <f>AND(#REF!,"AAAAAH+nn2I=")</f>
        <v>#REF!</v>
      </c>
      <c r="CV328" t="e">
        <f>IF(#REF!,"AAAAAH+nn2M=",0)</f>
        <v>#REF!</v>
      </c>
      <c r="CW328" t="e">
        <f>AND(#REF!,"AAAAAH+nn2Q=")</f>
        <v>#REF!</v>
      </c>
      <c r="CX328" t="e">
        <f>AND(#REF!,"AAAAAH+nn2U=")</f>
        <v>#REF!</v>
      </c>
      <c r="CY328" t="e">
        <f>AND(#REF!,"AAAAAH+nn2Y=")</f>
        <v>#REF!</v>
      </c>
      <c r="CZ328" t="e">
        <f>IF(#REF!,"AAAAAH+nn2c=",0)</f>
        <v>#REF!</v>
      </c>
      <c r="DA328" t="e">
        <f>AND(#REF!,"AAAAAH+nn2g=")</f>
        <v>#REF!</v>
      </c>
      <c r="DB328" t="e">
        <f>AND(#REF!,"AAAAAH+nn2k=")</f>
        <v>#REF!</v>
      </c>
      <c r="DC328" t="e">
        <f>AND(#REF!,"AAAAAH+nn2o=")</f>
        <v>#REF!</v>
      </c>
      <c r="DD328" t="e">
        <f>IF(#REF!,"AAAAAH+nn2s=",0)</f>
        <v>#REF!</v>
      </c>
      <c r="DE328" t="e">
        <f>AND(#REF!,"AAAAAH+nn2w=")</f>
        <v>#REF!</v>
      </c>
      <c r="DF328" t="e">
        <f>AND(#REF!,"AAAAAH+nn20=")</f>
        <v>#REF!</v>
      </c>
      <c r="DG328" t="e">
        <f>AND(#REF!,"AAAAAH+nn24=")</f>
        <v>#REF!</v>
      </c>
      <c r="DH328" t="e">
        <f>IF(#REF!,"AAAAAH+nn28=",0)</f>
        <v>#REF!</v>
      </c>
      <c r="DI328" t="e">
        <f>AND(#REF!,"AAAAAH+nn3A=")</f>
        <v>#REF!</v>
      </c>
      <c r="DJ328" t="e">
        <f>AND(#REF!,"AAAAAH+nn3E=")</f>
        <v>#REF!</v>
      </c>
      <c r="DK328" t="e">
        <f>AND(#REF!,"AAAAAH+nn3I=")</f>
        <v>#REF!</v>
      </c>
      <c r="DL328" t="e">
        <f>IF(#REF!,"AAAAAH+nn3M=",0)</f>
        <v>#REF!</v>
      </c>
      <c r="DM328" t="e">
        <f>AND(#REF!,"AAAAAH+nn3Q=")</f>
        <v>#REF!</v>
      </c>
      <c r="DN328" t="e">
        <f>AND(#REF!,"AAAAAH+nn3U=")</f>
        <v>#REF!</v>
      </c>
      <c r="DO328" t="e">
        <f>AND(#REF!,"AAAAAH+nn3Y=")</f>
        <v>#REF!</v>
      </c>
      <c r="DP328" t="e">
        <f>IF(#REF!,"AAAAAH+nn3c=",0)</f>
        <v>#REF!</v>
      </c>
      <c r="DQ328" t="e">
        <f>AND(#REF!,"AAAAAH+nn3g=")</f>
        <v>#REF!</v>
      </c>
      <c r="DR328" t="e">
        <f>AND(#REF!,"AAAAAH+nn3k=")</f>
        <v>#REF!</v>
      </c>
      <c r="DS328" t="e">
        <f>AND(#REF!,"AAAAAH+nn3o=")</f>
        <v>#REF!</v>
      </c>
      <c r="DT328" t="e">
        <f>IF(#REF!,"AAAAAH+nn3s=",0)</f>
        <v>#REF!</v>
      </c>
      <c r="DU328" t="e">
        <f>AND(#REF!,"AAAAAH+nn3w=")</f>
        <v>#REF!</v>
      </c>
      <c r="DV328" t="e">
        <f>AND(#REF!,"AAAAAH+nn30=")</f>
        <v>#REF!</v>
      </c>
      <c r="DW328" t="e">
        <f>AND(#REF!,"AAAAAH+nn34=")</f>
        <v>#REF!</v>
      </c>
      <c r="DX328" t="e">
        <f>IF(#REF!,"AAAAAH+nn38=",0)</f>
        <v>#REF!</v>
      </c>
      <c r="DY328" t="e">
        <f>AND(#REF!,"AAAAAH+nn4A=")</f>
        <v>#REF!</v>
      </c>
      <c r="DZ328" t="e">
        <f>AND(#REF!,"AAAAAH+nn4E=")</f>
        <v>#REF!</v>
      </c>
      <c r="EA328" t="e">
        <f>AND(#REF!,"AAAAAH+nn4I=")</f>
        <v>#REF!</v>
      </c>
      <c r="EB328" t="e">
        <f>IF(#REF!,"AAAAAH+nn4M=",0)</f>
        <v>#REF!</v>
      </c>
      <c r="EC328" t="e">
        <f>AND(#REF!,"AAAAAH+nn4Q=")</f>
        <v>#REF!</v>
      </c>
      <c r="ED328" t="e">
        <f>AND(#REF!,"AAAAAH+nn4U=")</f>
        <v>#REF!</v>
      </c>
      <c r="EE328" t="e">
        <f>AND(#REF!,"AAAAAH+nn4Y=")</f>
        <v>#REF!</v>
      </c>
      <c r="EF328" t="e">
        <f>IF(#REF!,"AAAAAH+nn4c=",0)</f>
        <v>#REF!</v>
      </c>
      <c r="EG328" t="e">
        <f>AND(#REF!,"AAAAAH+nn4g=")</f>
        <v>#REF!</v>
      </c>
      <c r="EH328" t="e">
        <f>AND(#REF!,"AAAAAH+nn4k=")</f>
        <v>#REF!</v>
      </c>
      <c r="EI328" t="e">
        <f>AND(#REF!,"AAAAAH+nn4o=")</f>
        <v>#REF!</v>
      </c>
      <c r="EJ328" t="e">
        <f>IF(#REF!,"AAAAAH+nn4s=",0)</f>
        <v>#REF!</v>
      </c>
      <c r="EK328" t="e">
        <f>AND(#REF!,"AAAAAH+nn4w=")</f>
        <v>#REF!</v>
      </c>
      <c r="EL328" t="e">
        <f>AND(#REF!,"AAAAAH+nn40=")</f>
        <v>#REF!</v>
      </c>
      <c r="EM328" t="e">
        <f>AND(#REF!,"AAAAAH+nn44=")</f>
        <v>#REF!</v>
      </c>
      <c r="EN328" t="e">
        <f>IF(#REF!,"AAAAAH+nn48=",0)</f>
        <v>#REF!</v>
      </c>
      <c r="EO328" t="e">
        <f>AND(#REF!,"AAAAAH+nn5A=")</f>
        <v>#REF!</v>
      </c>
      <c r="EP328" t="e">
        <f>AND(#REF!,"AAAAAH+nn5E=")</f>
        <v>#REF!</v>
      </c>
      <c r="EQ328" t="e">
        <f>AND(#REF!,"AAAAAH+nn5I=")</f>
        <v>#REF!</v>
      </c>
      <c r="ER328" t="e">
        <f>IF(#REF!,"AAAAAH+nn5M=",0)</f>
        <v>#REF!</v>
      </c>
      <c r="ES328" t="e">
        <f>AND(#REF!,"AAAAAH+nn5Q=")</f>
        <v>#REF!</v>
      </c>
      <c r="ET328" t="e">
        <f>AND(#REF!,"AAAAAH+nn5U=")</f>
        <v>#REF!</v>
      </c>
      <c r="EU328" t="e">
        <f>AND(#REF!,"AAAAAH+nn5Y=")</f>
        <v>#REF!</v>
      </c>
      <c r="EV328" t="e">
        <f>IF(#REF!,"AAAAAH+nn5c=",0)</f>
        <v>#REF!</v>
      </c>
      <c r="EW328" t="e">
        <f>AND(#REF!,"AAAAAH+nn5g=")</f>
        <v>#REF!</v>
      </c>
      <c r="EX328" t="e">
        <f>AND(#REF!,"AAAAAH+nn5k=")</f>
        <v>#REF!</v>
      </c>
      <c r="EY328" t="e">
        <f>AND(#REF!,"AAAAAH+nn5o=")</f>
        <v>#REF!</v>
      </c>
      <c r="EZ328" t="e">
        <f>IF(#REF!,"AAAAAH+nn5s=",0)</f>
        <v>#REF!</v>
      </c>
      <c r="FA328" t="e">
        <f>AND(#REF!,"AAAAAH+nn5w=")</f>
        <v>#REF!</v>
      </c>
      <c r="FB328" t="e">
        <f>AND(#REF!,"AAAAAH+nn50=")</f>
        <v>#REF!</v>
      </c>
      <c r="FC328" t="e">
        <f>AND(#REF!,"AAAAAH+nn54=")</f>
        <v>#REF!</v>
      </c>
      <c r="FD328" t="e">
        <f>IF(#REF!,"AAAAAH+nn58=",0)</f>
        <v>#REF!</v>
      </c>
      <c r="FE328" t="e">
        <f>AND(#REF!,"AAAAAH+nn6A=")</f>
        <v>#REF!</v>
      </c>
      <c r="FF328" t="e">
        <f>AND(#REF!,"AAAAAH+nn6E=")</f>
        <v>#REF!</v>
      </c>
      <c r="FG328" t="e">
        <f>AND(#REF!,"AAAAAH+nn6I=")</f>
        <v>#REF!</v>
      </c>
      <c r="FH328" t="e">
        <f>IF(#REF!,"AAAAAH+nn6M=",0)</f>
        <v>#REF!</v>
      </c>
      <c r="FI328" t="e">
        <f>AND(#REF!,"AAAAAH+nn6Q=")</f>
        <v>#REF!</v>
      </c>
      <c r="FJ328" t="e">
        <f>AND(#REF!,"AAAAAH+nn6U=")</f>
        <v>#REF!</v>
      </c>
      <c r="FK328" t="e">
        <f>AND(#REF!,"AAAAAH+nn6Y=")</f>
        <v>#REF!</v>
      </c>
      <c r="FL328" t="e">
        <f>IF(#REF!,"AAAAAH+nn6c=",0)</f>
        <v>#REF!</v>
      </c>
      <c r="FM328" t="e">
        <f>AND(#REF!,"AAAAAH+nn6g=")</f>
        <v>#REF!</v>
      </c>
      <c r="FN328" t="e">
        <f>AND(#REF!,"AAAAAH+nn6k=")</f>
        <v>#REF!</v>
      </c>
      <c r="FO328" t="e">
        <f>AND(#REF!,"AAAAAH+nn6o=")</f>
        <v>#REF!</v>
      </c>
      <c r="FP328" t="e">
        <f>IF(#REF!,"AAAAAH+nn6s=",0)</f>
        <v>#REF!</v>
      </c>
      <c r="FQ328" t="e">
        <f>AND(#REF!,"AAAAAH+nn6w=")</f>
        <v>#REF!</v>
      </c>
      <c r="FR328" t="e">
        <f>AND(#REF!,"AAAAAH+nn60=")</f>
        <v>#REF!</v>
      </c>
      <c r="FS328" t="e">
        <f>AND(#REF!,"AAAAAH+nn64=")</f>
        <v>#REF!</v>
      </c>
      <c r="FT328" t="e">
        <f>IF(#REF!,"AAAAAH+nn68=",0)</f>
        <v>#REF!</v>
      </c>
      <c r="FU328" t="e">
        <f>AND(#REF!,"AAAAAH+nn7A=")</f>
        <v>#REF!</v>
      </c>
      <c r="FV328" t="e">
        <f>AND(#REF!,"AAAAAH+nn7E=")</f>
        <v>#REF!</v>
      </c>
      <c r="FW328" t="e">
        <f>AND(#REF!,"AAAAAH+nn7I=")</f>
        <v>#REF!</v>
      </c>
      <c r="FX328" t="e">
        <f>IF(#REF!,"AAAAAH+nn7M=",0)</f>
        <v>#REF!</v>
      </c>
      <c r="FY328" t="e">
        <f>AND(#REF!,"AAAAAH+nn7Q=")</f>
        <v>#REF!</v>
      </c>
      <c r="FZ328" t="e">
        <f>AND(#REF!,"AAAAAH+nn7U=")</f>
        <v>#REF!</v>
      </c>
      <c r="GA328" t="e">
        <f>AND(#REF!,"AAAAAH+nn7Y=")</f>
        <v>#REF!</v>
      </c>
      <c r="GB328" t="e">
        <f>IF(#REF!,"AAAAAH+nn7c=",0)</f>
        <v>#REF!</v>
      </c>
      <c r="GC328" t="e">
        <f>AND(#REF!,"AAAAAH+nn7g=")</f>
        <v>#REF!</v>
      </c>
      <c r="GD328" t="e">
        <f>AND(#REF!,"AAAAAH+nn7k=")</f>
        <v>#REF!</v>
      </c>
      <c r="GE328" t="e">
        <f>AND(#REF!,"AAAAAH+nn7o=")</f>
        <v>#REF!</v>
      </c>
      <c r="GF328" t="e">
        <f>IF(#REF!,"AAAAAH+nn7s=",0)</f>
        <v>#REF!</v>
      </c>
      <c r="GG328" t="e">
        <f>AND(#REF!,"AAAAAH+nn7w=")</f>
        <v>#REF!</v>
      </c>
      <c r="GH328" t="e">
        <f>AND(#REF!,"AAAAAH+nn70=")</f>
        <v>#REF!</v>
      </c>
      <c r="GI328" t="e">
        <f>AND(#REF!,"AAAAAH+nn74=")</f>
        <v>#REF!</v>
      </c>
      <c r="GJ328" t="e">
        <f>IF(#REF!,"AAAAAH+nn78=",0)</f>
        <v>#REF!</v>
      </c>
      <c r="GK328" t="e">
        <f>AND(#REF!,"AAAAAH+nn8A=")</f>
        <v>#REF!</v>
      </c>
      <c r="GL328" t="e">
        <f>AND(#REF!,"AAAAAH+nn8E=")</f>
        <v>#REF!</v>
      </c>
      <c r="GM328" t="e">
        <f>AND(#REF!,"AAAAAH+nn8I=")</f>
        <v>#REF!</v>
      </c>
      <c r="GN328" t="e">
        <f>IF(#REF!,"AAAAAH+nn8M=",0)</f>
        <v>#REF!</v>
      </c>
      <c r="GO328" t="e">
        <f>AND(#REF!,"AAAAAH+nn8Q=")</f>
        <v>#REF!</v>
      </c>
      <c r="GP328" t="e">
        <f>AND(#REF!,"AAAAAH+nn8U=")</f>
        <v>#REF!</v>
      </c>
      <c r="GQ328" t="e">
        <f>AND(#REF!,"AAAAAH+nn8Y=")</f>
        <v>#REF!</v>
      </c>
      <c r="GR328" t="e">
        <f>IF(#REF!,"AAAAAH+nn8c=",0)</f>
        <v>#REF!</v>
      </c>
      <c r="GS328" t="e">
        <f>AND(#REF!,"AAAAAH+nn8g=")</f>
        <v>#REF!</v>
      </c>
      <c r="GT328" t="e">
        <f>AND(#REF!,"AAAAAH+nn8k=")</f>
        <v>#REF!</v>
      </c>
      <c r="GU328" t="e">
        <f>AND(#REF!,"AAAAAH+nn8o=")</f>
        <v>#REF!</v>
      </c>
      <c r="GV328" t="e">
        <f>IF(#REF!,"AAAAAH+nn8s=",0)</f>
        <v>#REF!</v>
      </c>
      <c r="GW328" t="e">
        <f>AND(#REF!,"AAAAAH+nn8w=")</f>
        <v>#REF!</v>
      </c>
      <c r="GX328" t="e">
        <f>AND(#REF!,"AAAAAH+nn80=")</f>
        <v>#REF!</v>
      </c>
      <c r="GY328" t="e">
        <f>AND(#REF!,"AAAAAH+nn84=")</f>
        <v>#REF!</v>
      </c>
      <c r="GZ328" t="e">
        <f>IF(#REF!,"AAAAAH+nn88=",0)</f>
        <v>#REF!</v>
      </c>
      <c r="HA328" t="e">
        <f>AND(#REF!,"AAAAAH+nn9A=")</f>
        <v>#REF!</v>
      </c>
      <c r="HB328" t="e">
        <f>AND(#REF!,"AAAAAH+nn9E=")</f>
        <v>#REF!</v>
      </c>
      <c r="HC328" t="e">
        <f>AND(#REF!,"AAAAAH+nn9I=")</f>
        <v>#REF!</v>
      </c>
      <c r="HD328" t="e">
        <f>IF(#REF!,"AAAAAH+nn9M=",0)</f>
        <v>#REF!</v>
      </c>
      <c r="HE328" t="e">
        <f>AND(#REF!,"AAAAAH+nn9Q=")</f>
        <v>#REF!</v>
      </c>
      <c r="HF328" t="e">
        <f>AND(#REF!,"AAAAAH+nn9U=")</f>
        <v>#REF!</v>
      </c>
      <c r="HG328" t="e">
        <f>AND(#REF!,"AAAAAH+nn9Y=")</f>
        <v>#REF!</v>
      </c>
      <c r="HH328" t="e">
        <f>IF(#REF!,"AAAAAH+nn9c=",0)</f>
        <v>#REF!</v>
      </c>
      <c r="HI328" t="e">
        <f>AND(#REF!,"AAAAAH+nn9g=")</f>
        <v>#REF!</v>
      </c>
      <c r="HJ328" t="e">
        <f>AND(#REF!,"AAAAAH+nn9k=")</f>
        <v>#REF!</v>
      </c>
      <c r="HK328" t="e">
        <f>AND(#REF!,"AAAAAH+nn9o=")</f>
        <v>#REF!</v>
      </c>
      <c r="HL328" t="e">
        <f>IF(#REF!,"AAAAAH+nn9s=",0)</f>
        <v>#REF!</v>
      </c>
      <c r="HM328" t="e">
        <f>AND(#REF!,"AAAAAH+nn9w=")</f>
        <v>#REF!</v>
      </c>
      <c r="HN328" t="e">
        <f>AND(#REF!,"AAAAAH+nn90=")</f>
        <v>#REF!</v>
      </c>
      <c r="HO328" t="e">
        <f>AND(#REF!,"AAAAAH+nn94=")</f>
        <v>#REF!</v>
      </c>
      <c r="HP328" t="e">
        <f>IF(#REF!,"AAAAAH+nn98=",0)</f>
        <v>#REF!</v>
      </c>
      <c r="HQ328" t="e">
        <f>AND(#REF!,"AAAAAH+nn+A=")</f>
        <v>#REF!</v>
      </c>
      <c r="HR328" t="e">
        <f>AND(#REF!,"AAAAAH+nn+E=")</f>
        <v>#REF!</v>
      </c>
      <c r="HS328" t="e">
        <f>AND(#REF!,"AAAAAH+nn+I=")</f>
        <v>#REF!</v>
      </c>
      <c r="HT328" t="e">
        <f>IF(#REF!,"AAAAAH+nn+M=",0)</f>
        <v>#REF!</v>
      </c>
      <c r="HU328" t="e">
        <f>AND(#REF!,"AAAAAH+nn+Q=")</f>
        <v>#REF!</v>
      </c>
      <c r="HV328" t="e">
        <f>AND(#REF!,"AAAAAH+nn+U=")</f>
        <v>#REF!</v>
      </c>
      <c r="HW328" t="e">
        <f>AND(#REF!,"AAAAAH+nn+Y=")</f>
        <v>#REF!</v>
      </c>
      <c r="HX328" t="e">
        <f>IF(#REF!,"AAAAAH+nn+c=",0)</f>
        <v>#REF!</v>
      </c>
      <c r="HY328" t="e">
        <f>AND(#REF!,"AAAAAH+nn+g=")</f>
        <v>#REF!</v>
      </c>
      <c r="HZ328" t="e">
        <f>AND(#REF!,"AAAAAH+nn+k=")</f>
        <v>#REF!</v>
      </c>
      <c r="IA328" t="e">
        <f>AND(#REF!,"AAAAAH+nn+o=")</f>
        <v>#REF!</v>
      </c>
      <c r="IB328" t="e">
        <f>IF(#REF!,"AAAAAH+nn+s=",0)</f>
        <v>#REF!</v>
      </c>
      <c r="IC328" t="e">
        <f>AND(#REF!,"AAAAAH+nn+w=")</f>
        <v>#REF!</v>
      </c>
      <c r="ID328" t="e">
        <f>AND(#REF!,"AAAAAH+nn+0=")</f>
        <v>#REF!</v>
      </c>
      <c r="IE328" t="e">
        <f>AND(#REF!,"AAAAAH+nn+4=")</f>
        <v>#REF!</v>
      </c>
      <c r="IF328" t="e">
        <f>IF(#REF!,"AAAAAH+nn+8=",0)</f>
        <v>#REF!</v>
      </c>
      <c r="IG328" t="e">
        <f>AND(#REF!,"AAAAAH+nn/A=")</f>
        <v>#REF!</v>
      </c>
      <c r="IH328" t="e">
        <f>AND(#REF!,"AAAAAH+nn/E=")</f>
        <v>#REF!</v>
      </c>
      <c r="II328" t="e">
        <f>AND(#REF!,"AAAAAH+nn/I=")</f>
        <v>#REF!</v>
      </c>
      <c r="IJ328" t="e">
        <f>IF(#REF!,"AAAAAH+nn/M=",0)</f>
        <v>#REF!</v>
      </c>
      <c r="IK328" t="e">
        <f>AND(#REF!,"AAAAAH+nn/Q=")</f>
        <v>#REF!</v>
      </c>
      <c r="IL328" t="e">
        <f>AND(#REF!,"AAAAAH+nn/U=")</f>
        <v>#REF!</v>
      </c>
      <c r="IM328" t="e">
        <f>AND(#REF!,"AAAAAH+nn/Y=")</f>
        <v>#REF!</v>
      </c>
      <c r="IN328" t="e">
        <f>IF(#REF!,"AAAAAH+nn/c=",0)</f>
        <v>#REF!</v>
      </c>
      <c r="IO328" t="e">
        <f>AND(#REF!,"AAAAAH+nn/g=")</f>
        <v>#REF!</v>
      </c>
      <c r="IP328" t="e">
        <f>AND(#REF!,"AAAAAH+nn/k=")</f>
        <v>#REF!</v>
      </c>
      <c r="IQ328" t="e">
        <f>AND(#REF!,"AAAAAH+nn/o=")</f>
        <v>#REF!</v>
      </c>
      <c r="IR328" t="e">
        <f>IF(#REF!,"AAAAAH+nn/s=",0)</f>
        <v>#REF!</v>
      </c>
      <c r="IS328" t="e">
        <f>AND(#REF!,"AAAAAH+nn/w=")</f>
        <v>#REF!</v>
      </c>
      <c r="IT328" t="e">
        <f>AND(#REF!,"AAAAAH+nn/0=")</f>
        <v>#REF!</v>
      </c>
      <c r="IU328" t="e">
        <f>AND(#REF!,"AAAAAH+nn/4=")</f>
        <v>#REF!</v>
      </c>
      <c r="IV328" t="e">
        <f>IF(#REF!,"AAAAAH+nn/8=",0)</f>
        <v>#REF!</v>
      </c>
    </row>
    <row r="329" spans="1:256">
      <c r="A329" t="e">
        <f>AND(#REF!,"AAAAAH/r9gA=")</f>
        <v>#REF!</v>
      </c>
      <c r="B329" t="e">
        <f>AND(#REF!,"AAAAAH/r9gE=")</f>
        <v>#REF!</v>
      </c>
      <c r="C329" t="e">
        <f>AND(#REF!,"AAAAAH/r9gI=")</f>
        <v>#REF!</v>
      </c>
      <c r="D329" t="e">
        <f>IF(#REF!,"AAAAAH/r9gM=",0)</f>
        <v>#REF!</v>
      </c>
      <c r="E329" t="e">
        <f>AND(#REF!,"AAAAAH/r9gQ=")</f>
        <v>#REF!</v>
      </c>
      <c r="F329" t="e">
        <f>AND(#REF!,"AAAAAH/r9gU=")</f>
        <v>#REF!</v>
      </c>
      <c r="G329" t="e">
        <f>AND(#REF!,"AAAAAH/r9gY=")</f>
        <v>#REF!</v>
      </c>
      <c r="H329" t="e">
        <f>IF(#REF!,"AAAAAH/r9gc=",0)</f>
        <v>#REF!</v>
      </c>
      <c r="I329" t="e">
        <f>AND(#REF!,"AAAAAH/r9gg=")</f>
        <v>#REF!</v>
      </c>
      <c r="J329" t="e">
        <f>AND(#REF!,"AAAAAH/r9gk=")</f>
        <v>#REF!</v>
      </c>
      <c r="K329" t="e">
        <f>AND(#REF!,"AAAAAH/r9go=")</f>
        <v>#REF!</v>
      </c>
      <c r="L329" t="e">
        <f>IF(#REF!,"AAAAAH/r9gs=",0)</f>
        <v>#REF!</v>
      </c>
      <c r="M329" t="e">
        <f>AND(#REF!,"AAAAAH/r9gw=")</f>
        <v>#REF!</v>
      </c>
      <c r="N329" t="e">
        <f>AND(#REF!,"AAAAAH/r9g0=")</f>
        <v>#REF!</v>
      </c>
      <c r="O329" t="e">
        <f>AND(#REF!,"AAAAAH/r9g4=")</f>
        <v>#REF!</v>
      </c>
      <c r="P329" t="e">
        <f>IF(#REF!,"AAAAAH/r9g8=",0)</f>
        <v>#REF!</v>
      </c>
      <c r="Q329" t="e">
        <f>AND(#REF!,"AAAAAH/r9hA=")</f>
        <v>#REF!</v>
      </c>
      <c r="R329" t="e">
        <f>AND(#REF!,"AAAAAH/r9hE=")</f>
        <v>#REF!</v>
      </c>
      <c r="S329" t="e">
        <f>AND(#REF!,"AAAAAH/r9hI=")</f>
        <v>#REF!</v>
      </c>
      <c r="T329" t="e">
        <f>IF(#REF!,"AAAAAH/r9hM=",0)</f>
        <v>#REF!</v>
      </c>
      <c r="U329" t="e">
        <f>AND(#REF!,"AAAAAH/r9hQ=")</f>
        <v>#REF!</v>
      </c>
      <c r="V329" t="e">
        <f>AND(#REF!,"AAAAAH/r9hU=")</f>
        <v>#REF!</v>
      </c>
      <c r="W329" t="e">
        <f>AND(#REF!,"AAAAAH/r9hY=")</f>
        <v>#REF!</v>
      </c>
      <c r="X329" t="e">
        <f>IF(#REF!,"AAAAAH/r9hc=",0)</f>
        <v>#REF!</v>
      </c>
      <c r="Y329" t="e">
        <f>AND(#REF!,"AAAAAH/r9hg=")</f>
        <v>#REF!</v>
      </c>
      <c r="Z329" t="e">
        <f>AND(#REF!,"AAAAAH/r9hk=")</f>
        <v>#REF!</v>
      </c>
      <c r="AA329" t="e">
        <f>AND(#REF!,"AAAAAH/r9ho=")</f>
        <v>#REF!</v>
      </c>
      <c r="AB329" t="e">
        <f>IF(#REF!,"AAAAAH/r9hs=",0)</f>
        <v>#REF!</v>
      </c>
      <c r="AC329" t="e">
        <f>AND(#REF!,"AAAAAH/r9hw=")</f>
        <v>#REF!</v>
      </c>
      <c r="AD329" t="e">
        <f>AND(#REF!,"AAAAAH/r9h0=")</f>
        <v>#REF!</v>
      </c>
      <c r="AE329" t="e">
        <f>AND(#REF!,"AAAAAH/r9h4=")</f>
        <v>#REF!</v>
      </c>
      <c r="AF329" t="e">
        <f>IF(#REF!,"AAAAAH/r9h8=",0)</f>
        <v>#REF!</v>
      </c>
      <c r="AG329" t="e">
        <f>AND(#REF!,"AAAAAH/r9iA=")</f>
        <v>#REF!</v>
      </c>
      <c r="AH329" t="e">
        <f>AND(#REF!,"AAAAAH/r9iE=")</f>
        <v>#REF!</v>
      </c>
      <c r="AI329" t="e">
        <f>AND(#REF!,"AAAAAH/r9iI=")</f>
        <v>#REF!</v>
      </c>
      <c r="AJ329" t="e">
        <f>IF(#REF!,"AAAAAH/r9iM=",0)</f>
        <v>#REF!</v>
      </c>
      <c r="AK329" t="e">
        <f>AND(#REF!,"AAAAAH/r9iQ=")</f>
        <v>#REF!</v>
      </c>
      <c r="AL329" t="e">
        <f>AND(#REF!,"AAAAAH/r9iU=")</f>
        <v>#REF!</v>
      </c>
      <c r="AM329" t="e">
        <f>AND(#REF!,"AAAAAH/r9iY=")</f>
        <v>#REF!</v>
      </c>
      <c r="AN329" t="e">
        <f>IF(#REF!,"AAAAAH/r9ic=",0)</f>
        <v>#REF!</v>
      </c>
      <c r="AO329" t="e">
        <f>AND(#REF!,"AAAAAH/r9ig=")</f>
        <v>#REF!</v>
      </c>
      <c r="AP329" t="e">
        <f>AND(#REF!,"AAAAAH/r9ik=")</f>
        <v>#REF!</v>
      </c>
      <c r="AQ329" t="e">
        <f>AND(#REF!,"AAAAAH/r9io=")</f>
        <v>#REF!</v>
      </c>
      <c r="AR329" t="e">
        <f>IF(#REF!,"AAAAAH/r9is=",0)</f>
        <v>#REF!</v>
      </c>
      <c r="AS329" t="e">
        <f>AND(#REF!,"AAAAAH/r9iw=")</f>
        <v>#REF!</v>
      </c>
      <c r="AT329" t="e">
        <f>AND(#REF!,"AAAAAH/r9i0=")</f>
        <v>#REF!</v>
      </c>
      <c r="AU329" t="e">
        <f>AND(#REF!,"AAAAAH/r9i4=")</f>
        <v>#REF!</v>
      </c>
      <c r="AV329" t="e">
        <f>IF(#REF!,"AAAAAH/r9i8=",0)</f>
        <v>#REF!</v>
      </c>
      <c r="AW329" t="e">
        <f>AND(#REF!,"AAAAAH/r9jA=")</f>
        <v>#REF!</v>
      </c>
      <c r="AX329" t="e">
        <f>AND(#REF!,"AAAAAH/r9jE=")</f>
        <v>#REF!</v>
      </c>
      <c r="AY329" t="e">
        <f>AND(#REF!,"AAAAAH/r9jI=")</f>
        <v>#REF!</v>
      </c>
      <c r="AZ329" t="e">
        <f>IF(#REF!,"AAAAAH/r9jM=",0)</f>
        <v>#REF!</v>
      </c>
      <c r="BA329" t="e">
        <f>AND(#REF!,"AAAAAH/r9jQ=")</f>
        <v>#REF!</v>
      </c>
      <c r="BB329" t="e">
        <f>AND(#REF!,"AAAAAH/r9jU=")</f>
        <v>#REF!</v>
      </c>
      <c r="BC329" t="e">
        <f>AND(#REF!,"AAAAAH/r9jY=")</f>
        <v>#REF!</v>
      </c>
      <c r="BD329" t="e">
        <f>IF(#REF!,"AAAAAH/r9jc=",0)</f>
        <v>#REF!</v>
      </c>
      <c r="BE329" t="e">
        <f>AND(#REF!,"AAAAAH/r9jg=")</f>
        <v>#REF!</v>
      </c>
      <c r="BF329" t="e">
        <f>AND(#REF!,"AAAAAH/r9jk=")</f>
        <v>#REF!</v>
      </c>
      <c r="BG329" t="e">
        <f>AND(#REF!,"AAAAAH/r9jo=")</f>
        <v>#REF!</v>
      </c>
      <c r="BH329" t="e">
        <f>IF(#REF!,"AAAAAH/r9js=",0)</f>
        <v>#REF!</v>
      </c>
      <c r="BI329" t="e">
        <f>AND(#REF!,"AAAAAH/r9jw=")</f>
        <v>#REF!</v>
      </c>
      <c r="BJ329" t="e">
        <f>AND(#REF!,"AAAAAH/r9j0=")</f>
        <v>#REF!</v>
      </c>
      <c r="BK329" t="e">
        <f>AND(#REF!,"AAAAAH/r9j4=")</f>
        <v>#REF!</v>
      </c>
      <c r="BL329" t="e">
        <f>IF(#REF!,"AAAAAH/r9j8=",0)</f>
        <v>#REF!</v>
      </c>
      <c r="BM329" t="e">
        <f>AND(#REF!,"AAAAAH/r9kA=")</f>
        <v>#REF!</v>
      </c>
      <c r="BN329" t="e">
        <f>AND(#REF!,"AAAAAH/r9kE=")</f>
        <v>#REF!</v>
      </c>
      <c r="BO329" t="e">
        <f>AND(#REF!,"AAAAAH/r9kI=")</f>
        <v>#REF!</v>
      </c>
      <c r="BP329" t="e">
        <f>IF(#REF!,"AAAAAH/r9kM=",0)</f>
        <v>#REF!</v>
      </c>
      <c r="BQ329" t="e">
        <f>AND(#REF!,"AAAAAH/r9kQ=")</f>
        <v>#REF!</v>
      </c>
      <c r="BR329" t="e">
        <f>AND(#REF!,"AAAAAH/r9kU=")</f>
        <v>#REF!</v>
      </c>
      <c r="BS329" t="e">
        <f>AND(#REF!,"AAAAAH/r9kY=")</f>
        <v>#REF!</v>
      </c>
      <c r="BT329" t="e">
        <f>IF(#REF!,"AAAAAH/r9kc=",0)</f>
        <v>#REF!</v>
      </c>
      <c r="BU329" t="e">
        <f>AND(#REF!,"AAAAAH/r9kg=")</f>
        <v>#REF!</v>
      </c>
      <c r="BV329" t="e">
        <f>AND(#REF!,"AAAAAH/r9kk=")</f>
        <v>#REF!</v>
      </c>
      <c r="BW329" t="e">
        <f>AND(#REF!,"AAAAAH/r9ko=")</f>
        <v>#REF!</v>
      </c>
      <c r="BX329" t="e">
        <f>IF(#REF!,"AAAAAH/r9ks=",0)</f>
        <v>#REF!</v>
      </c>
      <c r="BY329" t="e">
        <f>AND(#REF!,"AAAAAH/r9kw=")</f>
        <v>#REF!</v>
      </c>
      <c r="BZ329" t="e">
        <f>AND(#REF!,"AAAAAH/r9k0=")</f>
        <v>#REF!</v>
      </c>
      <c r="CA329" t="e">
        <f>AND(#REF!,"AAAAAH/r9k4=")</f>
        <v>#REF!</v>
      </c>
      <c r="CB329" t="e">
        <f>IF(#REF!,"AAAAAH/r9k8=",0)</f>
        <v>#REF!</v>
      </c>
      <c r="CC329" t="e">
        <f>AND(#REF!,"AAAAAH/r9lA=")</f>
        <v>#REF!</v>
      </c>
      <c r="CD329" t="e">
        <f>AND(#REF!,"AAAAAH/r9lE=")</f>
        <v>#REF!</v>
      </c>
      <c r="CE329" t="e">
        <f>AND(#REF!,"AAAAAH/r9lI=")</f>
        <v>#REF!</v>
      </c>
      <c r="CF329" t="e">
        <f>IF(#REF!,"AAAAAH/r9lM=",0)</f>
        <v>#REF!</v>
      </c>
      <c r="CG329" t="e">
        <f>IF(#REF!,"AAAAAH/r9lQ=",0)</f>
        <v>#REF!</v>
      </c>
      <c r="CH329" t="e">
        <f>IF(#REF!,"AAAAAH/r9lU=",0)</f>
        <v>#REF!</v>
      </c>
      <c r="CI329" t="e">
        <f>IF(#REF!,"AAAAAH/r9lY=",0)</f>
        <v>#REF!</v>
      </c>
      <c r="CJ329" t="e">
        <f>AND(#REF!,"AAAAAH/r9lc=")</f>
        <v>#REF!</v>
      </c>
      <c r="CK329" t="e">
        <f>AND(#REF!,"AAAAAH/r9lg=")</f>
        <v>#REF!</v>
      </c>
      <c r="CL329" t="e">
        <f>AND(#REF!,"AAAAAH/r9lk=")</f>
        <v>#REF!</v>
      </c>
      <c r="CM329" t="e">
        <f>IF(#REF!,"AAAAAH/r9lo=",0)</f>
        <v>#REF!</v>
      </c>
      <c r="CN329" t="e">
        <f>AND(#REF!,"AAAAAH/r9ls=")</f>
        <v>#REF!</v>
      </c>
      <c r="CO329" t="e">
        <f>AND(#REF!,"AAAAAH/r9lw=")</f>
        <v>#REF!</v>
      </c>
      <c r="CP329" t="e">
        <f>AND(#REF!,"AAAAAH/r9l0=")</f>
        <v>#REF!</v>
      </c>
      <c r="CQ329" t="e">
        <f>IF(#REF!,"AAAAAH/r9l4=",0)</f>
        <v>#REF!</v>
      </c>
      <c r="CR329" t="e">
        <f>AND(#REF!,"AAAAAH/r9l8=")</f>
        <v>#REF!</v>
      </c>
      <c r="CS329" t="e">
        <f>AND(#REF!,"AAAAAH/r9mA=")</f>
        <v>#REF!</v>
      </c>
      <c r="CT329" t="e">
        <f>AND(#REF!,"AAAAAH/r9mE=")</f>
        <v>#REF!</v>
      </c>
      <c r="CU329" t="e">
        <f>IF(#REF!,"AAAAAH/r9mI=",0)</f>
        <v>#REF!</v>
      </c>
      <c r="CV329" t="e">
        <f>AND(#REF!,"AAAAAH/r9mM=")</f>
        <v>#REF!</v>
      </c>
      <c r="CW329" t="e">
        <f>AND(#REF!,"AAAAAH/r9mQ=")</f>
        <v>#REF!</v>
      </c>
      <c r="CX329" t="e">
        <f>AND(#REF!,"AAAAAH/r9mU=")</f>
        <v>#REF!</v>
      </c>
      <c r="CY329" t="e">
        <f>IF(#REF!,"AAAAAH/r9mY=",0)</f>
        <v>#REF!</v>
      </c>
      <c r="CZ329" t="e">
        <f>AND(#REF!,"AAAAAH/r9mc=")</f>
        <v>#REF!</v>
      </c>
      <c r="DA329" t="e">
        <f>AND(#REF!,"AAAAAH/r9mg=")</f>
        <v>#REF!</v>
      </c>
      <c r="DB329" t="e">
        <f>AND(#REF!,"AAAAAH/r9mk=")</f>
        <v>#REF!</v>
      </c>
      <c r="DC329" t="e">
        <f>IF(#REF!,"AAAAAH/r9mo=",0)</f>
        <v>#REF!</v>
      </c>
      <c r="DD329" t="e">
        <f>AND(#REF!,"AAAAAH/r9ms=")</f>
        <v>#REF!</v>
      </c>
      <c r="DE329" t="e">
        <f>AND(#REF!,"AAAAAH/r9mw=")</f>
        <v>#REF!</v>
      </c>
      <c r="DF329" t="e">
        <f>AND(#REF!,"AAAAAH/r9m0=")</f>
        <v>#REF!</v>
      </c>
      <c r="DG329" t="e">
        <f>IF(#REF!,"AAAAAH/r9m4=",0)</f>
        <v>#REF!</v>
      </c>
      <c r="DH329" t="e">
        <f>AND(#REF!,"AAAAAH/r9m8=")</f>
        <v>#REF!</v>
      </c>
      <c r="DI329" t="e">
        <f>AND(#REF!,"AAAAAH/r9nA=")</f>
        <v>#REF!</v>
      </c>
      <c r="DJ329" t="e">
        <f>AND(#REF!,"AAAAAH/r9nE=")</f>
        <v>#REF!</v>
      </c>
      <c r="DK329" t="e">
        <f>IF(#REF!,"AAAAAH/r9nI=",0)</f>
        <v>#REF!</v>
      </c>
      <c r="DL329" t="e">
        <f>AND(#REF!,"AAAAAH/r9nM=")</f>
        <v>#REF!</v>
      </c>
      <c r="DM329" t="e">
        <f>AND(#REF!,"AAAAAH/r9nQ=")</f>
        <v>#REF!</v>
      </c>
      <c r="DN329" t="e">
        <f>AND(#REF!,"AAAAAH/r9nU=")</f>
        <v>#REF!</v>
      </c>
      <c r="DO329" t="e">
        <f>IF(#REF!,"AAAAAH/r9nY=",0)</f>
        <v>#REF!</v>
      </c>
      <c r="DP329" t="e">
        <f>AND(#REF!,"AAAAAH/r9nc=")</f>
        <v>#REF!</v>
      </c>
      <c r="DQ329" t="e">
        <f>AND(#REF!,"AAAAAH/r9ng=")</f>
        <v>#REF!</v>
      </c>
      <c r="DR329" t="e">
        <f>AND(#REF!,"AAAAAH/r9nk=")</f>
        <v>#REF!</v>
      </c>
      <c r="DS329" t="e">
        <f>IF(#REF!,"AAAAAH/r9no=",0)</f>
        <v>#REF!</v>
      </c>
      <c r="DT329" t="e">
        <f>AND(#REF!,"AAAAAH/r9ns=")</f>
        <v>#REF!</v>
      </c>
      <c r="DU329" t="e">
        <f>AND(#REF!,"AAAAAH/r9nw=")</f>
        <v>#REF!</v>
      </c>
      <c r="DV329" t="e">
        <f>AND(#REF!,"AAAAAH/r9n0=")</f>
        <v>#REF!</v>
      </c>
      <c r="DW329" t="e">
        <f>IF(#REF!,"AAAAAH/r9n4=",0)</f>
        <v>#REF!</v>
      </c>
      <c r="DX329" t="e">
        <f>AND(#REF!,"AAAAAH/r9n8=")</f>
        <v>#REF!</v>
      </c>
      <c r="DY329" t="e">
        <f>AND(#REF!,"AAAAAH/r9oA=")</f>
        <v>#REF!</v>
      </c>
      <c r="DZ329" t="e">
        <f>AND(#REF!,"AAAAAH/r9oE=")</f>
        <v>#REF!</v>
      </c>
      <c r="EA329" t="e">
        <f>IF(#REF!,"AAAAAH/r9oI=",0)</f>
        <v>#REF!</v>
      </c>
      <c r="EB329" t="e">
        <f>AND(#REF!,"AAAAAH/r9oM=")</f>
        <v>#REF!</v>
      </c>
      <c r="EC329" t="e">
        <f>AND(#REF!,"AAAAAH/r9oQ=")</f>
        <v>#REF!</v>
      </c>
      <c r="ED329" t="e">
        <f>AND(#REF!,"AAAAAH/r9oU=")</f>
        <v>#REF!</v>
      </c>
      <c r="EE329" t="e">
        <f>IF(#REF!,"AAAAAH/r9oY=",0)</f>
        <v>#REF!</v>
      </c>
      <c r="EF329" t="e">
        <f>AND(#REF!,"AAAAAH/r9oc=")</f>
        <v>#REF!</v>
      </c>
      <c r="EG329" t="e">
        <f>AND(#REF!,"AAAAAH/r9og=")</f>
        <v>#REF!</v>
      </c>
      <c r="EH329" t="e">
        <f>AND(#REF!,"AAAAAH/r9ok=")</f>
        <v>#REF!</v>
      </c>
      <c r="EI329" t="e">
        <f>IF(#REF!,"AAAAAH/r9oo=",0)</f>
        <v>#REF!</v>
      </c>
      <c r="EJ329" t="e">
        <f>AND(#REF!,"AAAAAH/r9os=")</f>
        <v>#REF!</v>
      </c>
      <c r="EK329" t="e">
        <f>AND(#REF!,"AAAAAH/r9ow=")</f>
        <v>#REF!</v>
      </c>
      <c r="EL329" t="e">
        <f>AND(#REF!,"AAAAAH/r9o0=")</f>
        <v>#REF!</v>
      </c>
      <c r="EM329" t="e">
        <f>IF(#REF!,"AAAAAH/r9o4=",0)</f>
        <v>#REF!</v>
      </c>
      <c r="EN329" t="e">
        <f>AND(#REF!,"AAAAAH/r9o8=")</f>
        <v>#REF!</v>
      </c>
      <c r="EO329" t="e">
        <f>AND(#REF!,"AAAAAH/r9pA=")</f>
        <v>#REF!</v>
      </c>
      <c r="EP329" t="e">
        <f>AND(#REF!,"AAAAAH/r9pE=")</f>
        <v>#REF!</v>
      </c>
      <c r="EQ329" t="e">
        <f>IF(#REF!,"AAAAAH/r9pI=",0)</f>
        <v>#REF!</v>
      </c>
      <c r="ER329" t="e">
        <f>AND(#REF!,"AAAAAH/r9pM=")</f>
        <v>#REF!</v>
      </c>
      <c r="ES329" t="e">
        <f>AND(#REF!,"AAAAAH/r9pQ=")</f>
        <v>#REF!</v>
      </c>
      <c r="ET329" t="e">
        <f>AND(#REF!,"AAAAAH/r9pU=")</f>
        <v>#REF!</v>
      </c>
      <c r="EU329" t="e">
        <f>IF(#REF!,"AAAAAH/r9pY=",0)</f>
        <v>#REF!</v>
      </c>
      <c r="EV329" t="e">
        <f>AND(#REF!,"AAAAAH/r9pc=")</f>
        <v>#REF!</v>
      </c>
      <c r="EW329" t="e">
        <f>AND(#REF!,"AAAAAH/r9pg=")</f>
        <v>#REF!</v>
      </c>
      <c r="EX329" t="e">
        <f>AND(#REF!,"AAAAAH/r9pk=")</f>
        <v>#REF!</v>
      </c>
      <c r="EY329" t="e">
        <f>IF(#REF!,"AAAAAH/r9po=",0)</f>
        <v>#REF!</v>
      </c>
      <c r="EZ329" t="e">
        <f>AND(#REF!,"AAAAAH/r9ps=")</f>
        <v>#REF!</v>
      </c>
      <c r="FA329" t="e">
        <f>AND(#REF!,"AAAAAH/r9pw=")</f>
        <v>#REF!</v>
      </c>
      <c r="FB329" t="e">
        <f>AND(#REF!,"AAAAAH/r9p0=")</f>
        <v>#REF!</v>
      </c>
      <c r="FC329" t="e">
        <f>IF(#REF!,"AAAAAH/r9p4=",0)</f>
        <v>#REF!</v>
      </c>
      <c r="FD329" t="e">
        <f>AND(#REF!,"AAAAAH/r9p8=")</f>
        <v>#REF!</v>
      </c>
      <c r="FE329" t="e">
        <f>AND(#REF!,"AAAAAH/r9qA=")</f>
        <v>#REF!</v>
      </c>
      <c r="FF329" t="e">
        <f>AND(#REF!,"AAAAAH/r9qE=")</f>
        <v>#REF!</v>
      </c>
      <c r="FG329" t="e">
        <f>IF(#REF!,"AAAAAH/r9qI=",0)</f>
        <v>#REF!</v>
      </c>
      <c r="FH329" t="e">
        <f>AND(#REF!,"AAAAAH/r9qM=")</f>
        <v>#REF!</v>
      </c>
      <c r="FI329" t="e">
        <f>AND(#REF!,"AAAAAH/r9qQ=")</f>
        <v>#REF!</v>
      </c>
      <c r="FJ329" t="e">
        <f>AND(#REF!,"AAAAAH/r9qU=")</f>
        <v>#REF!</v>
      </c>
      <c r="FK329" t="e">
        <f>IF(#REF!,"AAAAAH/r9qY=",0)</f>
        <v>#REF!</v>
      </c>
      <c r="FL329" t="e">
        <f>AND(#REF!,"AAAAAH/r9qc=")</f>
        <v>#REF!</v>
      </c>
      <c r="FM329" t="e">
        <f>AND(#REF!,"AAAAAH/r9qg=")</f>
        <v>#REF!</v>
      </c>
      <c r="FN329" t="e">
        <f>AND(#REF!,"AAAAAH/r9qk=")</f>
        <v>#REF!</v>
      </c>
      <c r="FO329" t="e">
        <f>IF(#REF!,"AAAAAH/r9qo=",0)</f>
        <v>#REF!</v>
      </c>
      <c r="FP329" t="e">
        <f>AND(#REF!,"AAAAAH/r9qs=")</f>
        <v>#REF!</v>
      </c>
      <c r="FQ329" t="e">
        <f>AND(#REF!,"AAAAAH/r9qw=")</f>
        <v>#REF!</v>
      </c>
      <c r="FR329" t="e">
        <f>AND(#REF!,"AAAAAH/r9q0=")</f>
        <v>#REF!</v>
      </c>
      <c r="FS329" t="e">
        <f>IF(#REF!,"AAAAAH/r9q4=",0)</f>
        <v>#REF!</v>
      </c>
      <c r="FT329" t="e">
        <f>AND(#REF!,"AAAAAH/r9q8=")</f>
        <v>#REF!</v>
      </c>
      <c r="FU329" t="e">
        <f>AND(#REF!,"AAAAAH/r9rA=")</f>
        <v>#REF!</v>
      </c>
      <c r="FV329" t="e">
        <f>AND(#REF!,"AAAAAH/r9rE=")</f>
        <v>#REF!</v>
      </c>
      <c r="FW329" t="e">
        <f>IF(#REF!,"AAAAAH/r9rI=",0)</f>
        <v>#REF!</v>
      </c>
      <c r="FX329" t="e">
        <f>AND(#REF!,"AAAAAH/r9rM=")</f>
        <v>#REF!</v>
      </c>
      <c r="FY329" t="e">
        <f>AND(#REF!,"AAAAAH/r9rQ=")</f>
        <v>#REF!</v>
      </c>
      <c r="FZ329" t="e">
        <f>AND(#REF!,"AAAAAH/r9rU=")</f>
        <v>#REF!</v>
      </c>
      <c r="GA329" t="e">
        <f>IF(#REF!,"AAAAAH/r9rY=",0)</f>
        <v>#REF!</v>
      </c>
      <c r="GB329" t="e">
        <f>AND(#REF!,"AAAAAH/r9rc=")</f>
        <v>#REF!</v>
      </c>
      <c r="GC329" t="e">
        <f>AND(#REF!,"AAAAAH/r9rg=")</f>
        <v>#REF!</v>
      </c>
      <c r="GD329" t="e">
        <f>AND(#REF!,"AAAAAH/r9rk=")</f>
        <v>#REF!</v>
      </c>
      <c r="GE329" t="e">
        <f>IF(#REF!,"AAAAAH/r9ro=",0)</f>
        <v>#REF!</v>
      </c>
      <c r="GF329" t="e">
        <f>AND(#REF!,"AAAAAH/r9rs=")</f>
        <v>#REF!</v>
      </c>
      <c r="GG329" t="e">
        <f>AND(#REF!,"AAAAAH/r9rw=")</f>
        <v>#REF!</v>
      </c>
      <c r="GH329" t="e">
        <f>AND(#REF!,"AAAAAH/r9r0=")</f>
        <v>#REF!</v>
      </c>
      <c r="GI329" t="e">
        <f>IF(#REF!,"AAAAAH/r9r4=",0)</f>
        <v>#REF!</v>
      </c>
      <c r="GJ329" t="e">
        <f>AND(#REF!,"AAAAAH/r9r8=")</f>
        <v>#REF!</v>
      </c>
      <c r="GK329" t="e">
        <f>AND(#REF!,"AAAAAH/r9sA=")</f>
        <v>#REF!</v>
      </c>
      <c r="GL329" t="e">
        <f>AND(#REF!,"AAAAAH/r9sE=")</f>
        <v>#REF!</v>
      </c>
      <c r="GM329" t="e">
        <f>IF(#REF!,"AAAAAH/r9sI=",0)</f>
        <v>#REF!</v>
      </c>
      <c r="GN329" t="e">
        <f>AND(#REF!,"AAAAAH/r9sM=")</f>
        <v>#REF!</v>
      </c>
      <c r="GO329" t="e">
        <f>AND(#REF!,"AAAAAH/r9sQ=")</f>
        <v>#REF!</v>
      </c>
      <c r="GP329" t="e">
        <f>AND(#REF!,"AAAAAH/r9sU=")</f>
        <v>#REF!</v>
      </c>
      <c r="GQ329" t="e">
        <f>IF(#REF!,"AAAAAH/r9sY=",0)</f>
        <v>#REF!</v>
      </c>
      <c r="GR329" t="e">
        <f>AND(#REF!,"AAAAAH/r9sc=")</f>
        <v>#REF!</v>
      </c>
      <c r="GS329" t="e">
        <f>AND(#REF!,"AAAAAH/r9sg=")</f>
        <v>#REF!</v>
      </c>
      <c r="GT329" t="e">
        <f>AND(#REF!,"AAAAAH/r9sk=")</f>
        <v>#REF!</v>
      </c>
      <c r="GU329" t="e">
        <f>IF(#REF!,"AAAAAH/r9so=",0)</f>
        <v>#REF!</v>
      </c>
      <c r="GV329" t="e">
        <f>AND(#REF!,"AAAAAH/r9ss=")</f>
        <v>#REF!</v>
      </c>
      <c r="GW329" t="e">
        <f>AND(#REF!,"AAAAAH/r9sw=")</f>
        <v>#REF!</v>
      </c>
      <c r="GX329" t="e">
        <f>AND(#REF!,"AAAAAH/r9s0=")</f>
        <v>#REF!</v>
      </c>
      <c r="GY329" t="e">
        <f>IF(#REF!,"AAAAAH/r9s4=",0)</f>
        <v>#REF!</v>
      </c>
      <c r="GZ329" t="e">
        <f>AND(#REF!,"AAAAAH/r9s8=")</f>
        <v>#REF!</v>
      </c>
      <c r="HA329" t="e">
        <f>AND(#REF!,"AAAAAH/r9tA=")</f>
        <v>#REF!</v>
      </c>
      <c r="HB329" t="e">
        <f>AND(#REF!,"AAAAAH/r9tE=")</f>
        <v>#REF!</v>
      </c>
      <c r="HC329" t="e">
        <f>IF(#REF!,"AAAAAH/r9tI=",0)</f>
        <v>#REF!</v>
      </c>
      <c r="HD329" t="e">
        <f>AND(#REF!,"AAAAAH/r9tM=")</f>
        <v>#REF!</v>
      </c>
      <c r="HE329" t="e">
        <f>AND(#REF!,"AAAAAH/r9tQ=")</f>
        <v>#REF!</v>
      </c>
      <c r="HF329" t="e">
        <f>AND(#REF!,"AAAAAH/r9tU=")</f>
        <v>#REF!</v>
      </c>
      <c r="HG329" t="e">
        <f>IF(#REF!,"AAAAAH/r9tY=",0)</f>
        <v>#REF!</v>
      </c>
      <c r="HH329" t="e">
        <f>AND(#REF!,"AAAAAH/r9tc=")</f>
        <v>#REF!</v>
      </c>
      <c r="HI329" t="e">
        <f>AND(#REF!,"AAAAAH/r9tg=")</f>
        <v>#REF!</v>
      </c>
      <c r="HJ329" t="e">
        <f>AND(#REF!,"AAAAAH/r9tk=")</f>
        <v>#REF!</v>
      </c>
      <c r="HK329" t="e">
        <f>IF(#REF!,"AAAAAH/r9to=",0)</f>
        <v>#REF!</v>
      </c>
      <c r="HL329" t="e">
        <f>AND(#REF!,"AAAAAH/r9ts=")</f>
        <v>#REF!</v>
      </c>
      <c r="HM329" t="e">
        <f>AND(#REF!,"AAAAAH/r9tw=")</f>
        <v>#REF!</v>
      </c>
      <c r="HN329" t="e">
        <f>AND(#REF!,"AAAAAH/r9t0=")</f>
        <v>#REF!</v>
      </c>
      <c r="HO329" t="e">
        <f>IF(#REF!,"AAAAAH/r9t4=",0)</f>
        <v>#REF!</v>
      </c>
      <c r="HP329" t="e">
        <f>AND(#REF!,"AAAAAH/r9t8=")</f>
        <v>#REF!</v>
      </c>
      <c r="HQ329" t="e">
        <f>AND(#REF!,"AAAAAH/r9uA=")</f>
        <v>#REF!</v>
      </c>
      <c r="HR329" t="e">
        <f>AND(#REF!,"AAAAAH/r9uE=")</f>
        <v>#REF!</v>
      </c>
      <c r="HS329" t="e">
        <f>IF(#REF!,"AAAAAH/r9uI=",0)</f>
        <v>#REF!</v>
      </c>
      <c r="HT329" t="e">
        <f>AND(#REF!,"AAAAAH/r9uM=")</f>
        <v>#REF!</v>
      </c>
      <c r="HU329" t="e">
        <f>AND(#REF!,"AAAAAH/r9uQ=")</f>
        <v>#REF!</v>
      </c>
      <c r="HV329" t="e">
        <f>AND(#REF!,"AAAAAH/r9uU=")</f>
        <v>#REF!</v>
      </c>
      <c r="HW329" t="e">
        <f>IF(#REF!,"AAAAAH/r9uY=",0)</f>
        <v>#REF!</v>
      </c>
      <c r="HX329" t="e">
        <f>AND(#REF!,"AAAAAH/r9uc=")</f>
        <v>#REF!</v>
      </c>
      <c r="HY329" t="e">
        <f>AND(#REF!,"AAAAAH/r9ug=")</f>
        <v>#REF!</v>
      </c>
      <c r="HZ329" t="e">
        <f>AND(#REF!,"AAAAAH/r9uk=")</f>
        <v>#REF!</v>
      </c>
      <c r="IA329" t="e">
        <f>IF(#REF!,"AAAAAH/r9uo=",0)</f>
        <v>#REF!</v>
      </c>
      <c r="IB329" t="e">
        <f>AND(#REF!,"AAAAAH/r9us=")</f>
        <v>#REF!</v>
      </c>
      <c r="IC329" t="e">
        <f>AND(#REF!,"AAAAAH/r9uw=")</f>
        <v>#REF!</v>
      </c>
      <c r="ID329" t="e">
        <f>AND(#REF!,"AAAAAH/r9u0=")</f>
        <v>#REF!</v>
      </c>
      <c r="IE329" t="e">
        <f>IF(#REF!,"AAAAAH/r9u4=",0)</f>
        <v>#REF!</v>
      </c>
      <c r="IF329" t="e">
        <f>AND(#REF!,"AAAAAH/r9u8=")</f>
        <v>#REF!</v>
      </c>
      <c r="IG329" t="e">
        <f>AND(#REF!,"AAAAAH/r9vA=")</f>
        <v>#REF!</v>
      </c>
      <c r="IH329" t="e">
        <f>AND(#REF!,"AAAAAH/r9vE=")</f>
        <v>#REF!</v>
      </c>
      <c r="II329" t="e">
        <f>IF(#REF!,"AAAAAH/r9vI=",0)</f>
        <v>#REF!</v>
      </c>
      <c r="IJ329" t="e">
        <f>AND(#REF!,"AAAAAH/r9vM=")</f>
        <v>#REF!</v>
      </c>
      <c r="IK329" t="e">
        <f>AND(#REF!,"AAAAAH/r9vQ=")</f>
        <v>#REF!</v>
      </c>
      <c r="IL329" t="e">
        <f>AND(#REF!,"AAAAAH/r9vU=")</f>
        <v>#REF!</v>
      </c>
      <c r="IM329" t="e">
        <f>IF(#REF!,"AAAAAH/r9vY=",0)</f>
        <v>#REF!</v>
      </c>
      <c r="IN329" t="e">
        <f>AND(#REF!,"AAAAAH/r9vc=")</f>
        <v>#REF!</v>
      </c>
      <c r="IO329" t="e">
        <f>AND(#REF!,"AAAAAH/r9vg=")</f>
        <v>#REF!</v>
      </c>
      <c r="IP329" t="e">
        <f>AND(#REF!,"AAAAAH/r9vk=")</f>
        <v>#REF!</v>
      </c>
      <c r="IQ329" t="e">
        <f>IF(#REF!,"AAAAAH/r9vo=",0)</f>
        <v>#REF!</v>
      </c>
      <c r="IR329" t="e">
        <f>AND(#REF!,"AAAAAH/r9vs=")</f>
        <v>#REF!</v>
      </c>
      <c r="IS329" t="e">
        <f>AND(#REF!,"AAAAAH/r9vw=")</f>
        <v>#REF!</v>
      </c>
      <c r="IT329" t="e">
        <f>AND(#REF!,"AAAAAH/r9v0=")</f>
        <v>#REF!</v>
      </c>
      <c r="IU329" t="e">
        <f>IF(#REF!,"AAAAAH/r9v4=",0)</f>
        <v>#REF!</v>
      </c>
      <c r="IV329" t="e">
        <f>AND(#REF!,"AAAAAH/r9v8=")</f>
        <v>#REF!</v>
      </c>
    </row>
    <row r="330" spans="1:256">
      <c r="A330" t="e">
        <f>AND(#REF!,"AAAAAH7/7wA=")</f>
        <v>#REF!</v>
      </c>
      <c r="B330" t="e">
        <f>AND(#REF!,"AAAAAH7/7wE=")</f>
        <v>#REF!</v>
      </c>
      <c r="C330" t="e">
        <f>IF(#REF!,"AAAAAH7/7wI=",0)</f>
        <v>#REF!</v>
      </c>
      <c r="D330" t="e">
        <f>AND(#REF!,"AAAAAH7/7wM=")</f>
        <v>#REF!</v>
      </c>
      <c r="E330" t="e">
        <f>AND(#REF!,"AAAAAH7/7wQ=")</f>
        <v>#REF!</v>
      </c>
      <c r="F330" t="e">
        <f>AND(#REF!,"AAAAAH7/7wU=")</f>
        <v>#REF!</v>
      </c>
      <c r="G330" t="e">
        <f>IF(#REF!,"AAAAAH7/7wY=",0)</f>
        <v>#REF!</v>
      </c>
      <c r="H330" t="e">
        <f>AND(#REF!,"AAAAAH7/7wc=")</f>
        <v>#REF!</v>
      </c>
      <c r="I330" t="e">
        <f>AND(#REF!,"AAAAAH7/7wg=")</f>
        <v>#REF!</v>
      </c>
      <c r="J330" t="e">
        <f>AND(#REF!,"AAAAAH7/7wk=")</f>
        <v>#REF!</v>
      </c>
      <c r="K330" t="e">
        <f>IF(#REF!,"AAAAAH7/7wo=",0)</f>
        <v>#REF!</v>
      </c>
      <c r="L330" t="e">
        <f>AND(#REF!,"AAAAAH7/7ws=")</f>
        <v>#REF!</v>
      </c>
      <c r="M330" t="e">
        <f>AND(#REF!,"AAAAAH7/7ww=")</f>
        <v>#REF!</v>
      </c>
      <c r="N330" t="e">
        <f>AND(#REF!,"AAAAAH7/7w0=")</f>
        <v>#REF!</v>
      </c>
      <c r="O330" t="e">
        <f>IF(#REF!,"AAAAAH7/7w4=",0)</f>
        <v>#REF!</v>
      </c>
      <c r="P330" t="e">
        <f>AND(#REF!,"AAAAAH7/7w8=")</f>
        <v>#REF!</v>
      </c>
      <c r="Q330" t="e">
        <f>AND(#REF!,"AAAAAH7/7xA=")</f>
        <v>#REF!</v>
      </c>
      <c r="R330" t="e">
        <f>AND(#REF!,"AAAAAH7/7xE=")</f>
        <v>#REF!</v>
      </c>
      <c r="S330" t="e">
        <f>IF(#REF!,"AAAAAH7/7xI=",0)</f>
        <v>#REF!</v>
      </c>
      <c r="T330" t="e">
        <f>AND(#REF!,"AAAAAH7/7xM=")</f>
        <v>#REF!</v>
      </c>
      <c r="U330" t="e">
        <f>AND(#REF!,"AAAAAH7/7xQ=")</f>
        <v>#REF!</v>
      </c>
      <c r="V330" t="e">
        <f>AND(#REF!,"AAAAAH7/7xU=")</f>
        <v>#REF!</v>
      </c>
      <c r="W330" t="e">
        <f>IF(#REF!,"AAAAAH7/7xY=",0)</f>
        <v>#REF!</v>
      </c>
      <c r="X330" t="e">
        <f>AND(#REF!,"AAAAAH7/7xc=")</f>
        <v>#REF!</v>
      </c>
      <c r="Y330" t="e">
        <f>AND(#REF!,"AAAAAH7/7xg=")</f>
        <v>#REF!</v>
      </c>
      <c r="Z330" t="e">
        <f>AND(#REF!,"AAAAAH7/7xk=")</f>
        <v>#REF!</v>
      </c>
      <c r="AA330" t="e">
        <f>IF(#REF!,"AAAAAH7/7xo=",0)</f>
        <v>#REF!</v>
      </c>
      <c r="AB330" t="e">
        <f>AND(#REF!,"AAAAAH7/7xs=")</f>
        <v>#REF!</v>
      </c>
      <c r="AC330" t="e">
        <f>AND(#REF!,"AAAAAH7/7xw=")</f>
        <v>#REF!</v>
      </c>
      <c r="AD330" t="e">
        <f>AND(#REF!,"AAAAAH7/7x0=")</f>
        <v>#REF!</v>
      </c>
      <c r="AE330" t="e">
        <f>IF(#REF!,"AAAAAH7/7x4=",0)</f>
        <v>#REF!</v>
      </c>
      <c r="AF330" t="e">
        <f>AND(#REF!,"AAAAAH7/7x8=")</f>
        <v>#REF!</v>
      </c>
      <c r="AG330" t="e">
        <f>AND(#REF!,"AAAAAH7/7yA=")</f>
        <v>#REF!</v>
      </c>
      <c r="AH330" t="e">
        <f>AND(#REF!,"AAAAAH7/7yE=")</f>
        <v>#REF!</v>
      </c>
      <c r="AI330" t="e">
        <f>IF(#REF!,"AAAAAH7/7yI=",0)</f>
        <v>#REF!</v>
      </c>
      <c r="AJ330" t="e">
        <f>AND(#REF!,"AAAAAH7/7yM=")</f>
        <v>#REF!</v>
      </c>
      <c r="AK330" t="e">
        <f>AND(#REF!,"AAAAAH7/7yQ=")</f>
        <v>#REF!</v>
      </c>
      <c r="AL330" t="e">
        <f>AND(#REF!,"AAAAAH7/7yU=")</f>
        <v>#REF!</v>
      </c>
      <c r="AM330" t="e">
        <f>IF(#REF!,"AAAAAH7/7yY=",0)</f>
        <v>#REF!</v>
      </c>
      <c r="AN330" t="e">
        <f>AND(#REF!,"AAAAAH7/7yc=")</f>
        <v>#REF!</v>
      </c>
      <c r="AO330" t="e">
        <f>AND(#REF!,"AAAAAH7/7yg=")</f>
        <v>#REF!</v>
      </c>
      <c r="AP330" t="e">
        <f>AND(#REF!,"AAAAAH7/7yk=")</f>
        <v>#REF!</v>
      </c>
      <c r="AQ330" t="e">
        <f>IF(#REF!,"AAAAAH7/7yo=",0)</f>
        <v>#REF!</v>
      </c>
      <c r="AR330" t="e">
        <f>AND(#REF!,"AAAAAH7/7ys=")</f>
        <v>#REF!</v>
      </c>
      <c r="AS330" t="e">
        <f>AND(#REF!,"AAAAAH7/7yw=")</f>
        <v>#REF!</v>
      </c>
      <c r="AT330" t="e">
        <f>AND(#REF!,"AAAAAH7/7y0=")</f>
        <v>#REF!</v>
      </c>
      <c r="AU330" t="e">
        <f>IF(#REF!,"AAAAAH7/7y4=",0)</f>
        <v>#REF!</v>
      </c>
      <c r="AV330" t="e">
        <f>AND(#REF!,"AAAAAH7/7y8=")</f>
        <v>#REF!</v>
      </c>
      <c r="AW330" t="e">
        <f>AND(#REF!,"AAAAAH7/7zA=")</f>
        <v>#REF!</v>
      </c>
      <c r="AX330" t="e">
        <f>AND(#REF!,"AAAAAH7/7zE=")</f>
        <v>#REF!</v>
      </c>
      <c r="AY330" t="e">
        <f>IF(#REF!,"AAAAAH7/7zI=",0)</f>
        <v>#REF!</v>
      </c>
      <c r="AZ330" t="e">
        <f>AND(#REF!,"AAAAAH7/7zM=")</f>
        <v>#REF!</v>
      </c>
      <c r="BA330" t="e">
        <f>AND(#REF!,"AAAAAH7/7zQ=")</f>
        <v>#REF!</v>
      </c>
      <c r="BB330" t="e">
        <f>AND(#REF!,"AAAAAH7/7zU=")</f>
        <v>#REF!</v>
      </c>
      <c r="BC330" t="e">
        <f>IF(#REF!,"AAAAAH7/7zY=",0)</f>
        <v>#REF!</v>
      </c>
      <c r="BD330" t="e">
        <f>AND(#REF!,"AAAAAH7/7zc=")</f>
        <v>#REF!</v>
      </c>
      <c r="BE330" t="e">
        <f>AND(#REF!,"AAAAAH7/7zg=")</f>
        <v>#REF!</v>
      </c>
      <c r="BF330" t="e">
        <f>AND(#REF!,"AAAAAH7/7zk=")</f>
        <v>#REF!</v>
      </c>
      <c r="BG330" t="e">
        <f>IF(#REF!,"AAAAAH7/7zo=",0)</f>
        <v>#REF!</v>
      </c>
      <c r="BH330" t="e">
        <f>AND(#REF!,"AAAAAH7/7zs=")</f>
        <v>#REF!</v>
      </c>
      <c r="BI330" t="e">
        <f>AND(#REF!,"AAAAAH7/7zw=")</f>
        <v>#REF!</v>
      </c>
      <c r="BJ330" t="e">
        <f>AND(#REF!,"AAAAAH7/7z0=")</f>
        <v>#REF!</v>
      </c>
      <c r="BK330" t="e">
        <f>IF(#REF!,"AAAAAH7/7z4=",0)</f>
        <v>#REF!</v>
      </c>
      <c r="BL330" t="e">
        <f>AND(#REF!,"AAAAAH7/7z8=")</f>
        <v>#REF!</v>
      </c>
      <c r="BM330" t="e">
        <f>AND(#REF!,"AAAAAH7/70A=")</f>
        <v>#REF!</v>
      </c>
      <c r="BN330" t="e">
        <f>AND(#REF!,"AAAAAH7/70E=")</f>
        <v>#REF!</v>
      </c>
      <c r="BO330" t="e">
        <f>IF(#REF!,"AAAAAH7/70I=",0)</f>
        <v>#REF!</v>
      </c>
      <c r="BP330" t="e">
        <f>AND(#REF!,"AAAAAH7/70M=")</f>
        <v>#REF!</v>
      </c>
      <c r="BQ330" t="e">
        <f>AND(#REF!,"AAAAAH7/70Q=")</f>
        <v>#REF!</v>
      </c>
      <c r="BR330" t="e">
        <f>AND(#REF!,"AAAAAH7/70U=")</f>
        <v>#REF!</v>
      </c>
      <c r="BS330" t="e">
        <f>IF(#REF!,"AAAAAH7/70Y=",0)</f>
        <v>#REF!</v>
      </c>
      <c r="BT330" t="e">
        <f>AND(#REF!,"AAAAAH7/70c=")</f>
        <v>#REF!</v>
      </c>
      <c r="BU330" t="e">
        <f>AND(#REF!,"AAAAAH7/70g=")</f>
        <v>#REF!</v>
      </c>
      <c r="BV330" t="e">
        <f>AND(#REF!,"AAAAAH7/70k=")</f>
        <v>#REF!</v>
      </c>
      <c r="BW330" t="e">
        <f>IF(#REF!,"AAAAAH7/70o=",0)</f>
        <v>#REF!</v>
      </c>
      <c r="BX330" t="e">
        <f>AND(#REF!,"AAAAAH7/70s=")</f>
        <v>#REF!</v>
      </c>
      <c r="BY330" t="e">
        <f>AND(#REF!,"AAAAAH7/70w=")</f>
        <v>#REF!</v>
      </c>
      <c r="BZ330" t="e">
        <f>AND(#REF!,"AAAAAH7/700=")</f>
        <v>#REF!</v>
      </c>
      <c r="CA330" t="e">
        <f>IF(#REF!,"AAAAAH7/704=",0)</f>
        <v>#REF!</v>
      </c>
      <c r="CB330" t="e">
        <f>AND(#REF!,"AAAAAH7/708=")</f>
        <v>#REF!</v>
      </c>
      <c r="CC330" t="e">
        <f>AND(#REF!,"AAAAAH7/71A=")</f>
        <v>#REF!</v>
      </c>
      <c r="CD330" t="e">
        <f>AND(#REF!,"AAAAAH7/71E=")</f>
        <v>#REF!</v>
      </c>
      <c r="CE330" t="e">
        <f>IF(#REF!,"AAAAAH7/71I=",0)</f>
        <v>#REF!</v>
      </c>
      <c r="CF330" t="e">
        <f>AND(#REF!,"AAAAAH7/71M=")</f>
        <v>#REF!</v>
      </c>
      <c r="CG330" t="e">
        <f>AND(#REF!,"AAAAAH7/71Q=")</f>
        <v>#REF!</v>
      </c>
      <c r="CH330" t="e">
        <f>AND(#REF!,"AAAAAH7/71U=")</f>
        <v>#REF!</v>
      </c>
      <c r="CI330" t="e">
        <f>IF(#REF!,"AAAAAH7/71Y=",0)</f>
        <v>#REF!</v>
      </c>
      <c r="CJ330" t="e">
        <f>AND(#REF!,"AAAAAH7/71c=")</f>
        <v>#REF!</v>
      </c>
      <c r="CK330" t="e">
        <f>AND(#REF!,"AAAAAH7/71g=")</f>
        <v>#REF!</v>
      </c>
      <c r="CL330" t="e">
        <f>AND(#REF!,"AAAAAH7/71k=")</f>
        <v>#REF!</v>
      </c>
      <c r="CM330" t="e">
        <f>IF(#REF!,"AAAAAH7/71o=",0)</f>
        <v>#REF!</v>
      </c>
      <c r="CN330" t="e">
        <f>AND(#REF!,"AAAAAH7/71s=")</f>
        <v>#REF!</v>
      </c>
      <c r="CO330" t="e">
        <f>AND(#REF!,"AAAAAH7/71w=")</f>
        <v>#REF!</v>
      </c>
      <c r="CP330" t="e">
        <f>AND(#REF!,"AAAAAH7/710=")</f>
        <v>#REF!</v>
      </c>
      <c r="CQ330" t="e">
        <f>IF(#REF!,"AAAAAH7/714=",0)</f>
        <v>#REF!</v>
      </c>
      <c r="CR330" t="e">
        <f>AND(#REF!,"AAAAAH7/718=")</f>
        <v>#REF!</v>
      </c>
      <c r="CS330" t="e">
        <f>AND(#REF!,"AAAAAH7/72A=")</f>
        <v>#REF!</v>
      </c>
      <c r="CT330" t="e">
        <f>AND(#REF!,"AAAAAH7/72E=")</f>
        <v>#REF!</v>
      </c>
      <c r="CU330" t="e">
        <f>IF(#REF!,"AAAAAH7/72I=",0)</f>
        <v>#REF!</v>
      </c>
      <c r="CV330" t="e">
        <f>AND(#REF!,"AAAAAH7/72M=")</f>
        <v>#REF!</v>
      </c>
      <c r="CW330" t="e">
        <f>AND(#REF!,"AAAAAH7/72Q=")</f>
        <v>#REF!</v>
      </c>
      <c r="CX330" t="e">
        <f>AND(#REF!,"AAAAAH7/72U=")</f>
        <v>#REF!</v>
      </c>
      <c r="CY330" t="e">
        <f>IF(#REF!,"AAAAAH7/72Y=",0)</f>
        <v>#REF!</v>
      </c>
      <c r="CZ330" t="e">
        <f>AND(#REF!,"AAAAAH7/72c=")</f>
        <v>#REF!</v>
      </c>
      <c r="DA330" t="e">
        <f>AND(#REF!,"AAAAAH7/72g=")</f>
        <v>#REF!</v>
      </c>
      <c r="DB330" t="e">
        <f>AND(#REF!,"AAAAAH7/72k=")</f>
        <v>#REF!</v>
      </c>
      <c r="DC330" t="e">
        <f>IF(#REF!,"AAAAAH7/72o=",0)</f>
        <v>#REF!</v>
      </c>
      <c r="DD330" t="e">
        <f>AND(#REF!,"AAAAAH7/72s=")</f>
        <v>#REF!</v>
      </c>
      <c r="DE330" t="e">
        <f>AND(#REF!,"AAAAAH7/72w=")</f>
        <v>#REF!</v>
      </c>
      <c r="DF330" t="e">
        <f>AND(#REF!,"AAAAAH7/720=")</f>
        <v>#REF!</v>
      </c>
      <c r="DG330" t="e">
        <f>IF(#REF!,"AAAAAH7/724=",0)</f>
        <v>#REF!</v>
      </c>
      <c r="DH330" t="e">
        <f>AND(#REF!,"AAAAAH7/728=")</f>
        <v>#REF!</v>
      </c>
      <c r="DI330" t="e">
        <f>AND(#REF!,"AAAAAH7/73A=")</f>
        <v>#REF!</v>
      </c>
      <c r="DJ330" t="e">
        <f>AND(#REF!,"AAAAAH7/73E=")</f>
        <v>#REF!</v>
      </c>
      <c r="DK330" t="e">
        <f>IF(#REF!,"AAAAAH7/73I=",0)</f>
        <v>#REF!</v>
      </c>
      <c r="DL330" t="e">
        <f>AND(#REF!,"AAAAAH7/73M=")</f>
        <v>#REF!</v>
      </c>
      <c r="DM330" t="e">
        <f>AND(#REF!,"AAAAAH7/73Q=")</f>
        <v>#REF!</v>
      </c>
      <c r="DN330" t="e">
        <f>AND(#REF!,"AAAAAH7/73U=")</f>
        <v>#REF!</v>
      </c>
      <c r="DO330" t="e">
        <f>IF(#REF!,"AAAAAH7/73Y=",0)</f>
        <v>#REF!</v>
      </c>
      <c r="DP330" t="e">
        <f>AND(#REF!,"AAAAAH7/73c=")</f>
        <v>#REF!</v>
      </c>
      <c r="DQ330" t="e">
        <f>AND(#REF!,"AAAAAH7/73g=")</f>
        <v>#REF!</v>
      </c>
      <c r="DR330" t="e">
        <f>AND(#REF!,"AAAAAH7/73k=")</f>
        <v>#REF!</v>
      </c>
      <c r="DS330" t="e">
        <f>IF(#REF!,"AAAAAH7/73o=",0)</f>
        <v>#REF!</v>
      </c>
      <c r="DT330" t="e">
        <f>AND(#REF!,"AAAAAH7/73s=")</f>
        <v>#REF!</v>
      </c>
      <c r="DU330" t="e">
        <f>AND(#REF!,"AAAAAH7/73w=")</f>
        <v>#REF!</v>
      </c>
      <c r="DV330" t="e">
        <f>AND(#REF!,"AAAAAH7/730=")</f>
        <v>#REF!</v>
      </c>
      <c r="DW330" t="e">
        <f>IF(#REF!,"AAAAAH7/734=",0)</f>
        <v>#REF!</v>
      </c>
      <c r="DX330" t="e">
        <f>AND(#REF!,"AAAAAH7/738=")</f>
        <v>#REF!</v>
      </c>
      <c r="DY330" t="e">
        <f>AND(#REF!,"AAAAAH7/74A=")</f>
        <v>#REF!</v>
      </c>
      <c r="DZ330" t="e">
        <f>AND(#REF!,"AAAAAH7/74E=")</f>
        <v>#REF!</v>
      </c>
      <c r="EA330" t="e">
        <f>IF(#REF!,"AAAAAH7/74I=",0)</f>
        <v>#REF!</v>
      </c>
      <c r="EB330" t="e">
        <f>AND(#REF!,"AAAAAH7/74M=")</f>
        <v>#REF!</v>
      </c>
      <c r="EC330" t="e">
        <f>AND(#REF!,"AAAAAH7/74Q=")</f>
        <v>#REF!</v>
      </c>
      <c r="ED330" t="e">
        <f>AND(#REF!,"AAAAAH7/74U=")</f>
        <v>#REF!</v>
      </c>
      <c r="EE330" t="e">
        <f>IF(#REF!,"AAAAAH7/74Y=",0)</f>
        <v>#REF!</v>
      </c>
      <c r="EF330" t="e">
        <f>AND(#REF!,"AAAAAH7/74c=")</f>
        <v>#REF!</v>
      </c>
      <c r="EG330" t="e">
        <f>AND(#REF!,"AAAAAH7/74g=")</f>
        <v>#REF!</v>
      </c>
      <c r="EH330" t="e">
        <f>AND(#REF!,"AAAAAH7/74k=")</f>
        <v>#REF!</v>
      </c>
      <c r="EI330" t="e">
        <f>IF(#REF!,"AAAAAH7/74o=",0)</f>
        <v>#REF!</v>
      </c>
      <c r="EJ330" t="e">
        <f>AND(#REF!,"AAAAAH7/74s=")</f>
        <v>#REF!</v>
      </c>
      <c r="EK330" t="e">
        <f>AND(#REF!,"AAAAAH7/74w=")</f>
        <v>#REF!</v>
      </c>
      <c r="EL330" t="e">
        <f>AND(#REF!,"AAAAAH7/740=")</f>
        <v>#REF!</v>
      </c>
      <c r="EM330" t="e">
        <f>IF(#REF!,"AAAAAH7/744=",0)</f>
        <v>#REF!</v>
      </c>
      <c r="EN330" t="e">
        <f>AND(#REF!,"AAAAAH7/748=")</f>
        <v>#REF!</v>
      </c>
      <c r="EO330" t="e">
        <f>AND(#REF!,"AAAAAH7/75A=")</f>
        <v>#REF!</v>
      </c>
      <c r="EP330" t="e">
        <f>AND(#REF!,"AAAAAH7/75E=")</f>
        <v>#REF!</v>
      </c>
      <c r="EQ330" t="e">
        <f>IF(#REF!,"AAAAAH7/75I=",0)</f>
        <v>#REF!</v>
      </c>
      <c r="ER330" t="e">
        <f>AND(#REF!,"AAAAAH7/75M=")</f>
        <v>#REF!</v>
      </c>
      <c r="ES330" t="e">
        <f>AND(#REF!,"AAAAAH7/75Q=")</f>
        <v>#REF!</v>
      </c>
      <c r="ET330" t="e">
        <f>AND(#REF!,"AAAAAH7/75U=")</f>
        <v>#REF!</v>
      </c>
      <c r="EU330" t="e">
        <f>IF(#REF!,"AAAAAH7/75Y=",0)</f>
        <v>#REF!</v>
      </c>
      <c r="EV330" t="e">
        <f>AND(#REF!,"AAAAAH7/75c=")</f>
        <v>#REF!</v>
      </c>
      <c r="EW330" t="e">
        <f>AND(#REF!,"AAAAAH7/75g=")</f>
        <v>#REF!</v>
      </c>
      <c r="EX330" t="e">
        <f>AND(#REF!,"AAAAAH7/75k=")</f>
        <v>#REF!</v>
      </c>
      <c r="EY330" t="e">
        <f>IF(#REF!,"AAAAAH7/75o=",0)</f>
        <v>#REF!</v>
      </c>
      <c r="EZ330" t="e">
        <f>AND(#REF!,"AAAAAH7/75s=")</f>
        <v>#REF!</v>
      </c>
      <c r="FA330" t="e">
        <f>AND(#REF!,"AAAAAH7/75w=")</f>
        <v>#REF!</v>
      </c>
      <c r="FB330" t="e">
        <f>AND(#REF!,"AAAAAH7/750=")</f>
        <v>#REF!</v>
      </c>
      <c r="FC330" t="e">
        <f>IF(#REF!,"AAAAAH7/754=",0)</f>
        <v>#REF!</v>
      </c>
      <c r="FD330" t="e">
        <f>AND(#REF!,"AAAAAH7/758=")</f>
        <v>#REF!</v>
      </c>
      <c r="FE330" t="e">
        <f>AND(#REF!,"AAAAAH7/76A=")</f>
        <v>#REF!</v>
      </c>
      <c r="FF330" t="e">
        <f>AND(#REF!,"AAAAAH7/76E=")</f>
        <v>#REF!</v>
      </c>
      <c r="FG330" t="e">
        <f>IF(#REF!,"AAAAAH7/76I=",0)</f>
        <v>#REF!</v>
      </c>
      <c r="FH330" t="e">
        <f>AND(#REF!,"AAAAAH7/76M=")</f>
        <v>#REF!</v>
      </c>
      <c r="FI330" t="e">
        <f>AND(#REF!,"AAAAAH7/76Q=")</f>
        <v>#REF!</v>
      </c>
      <c r="FJ330" t="e">
        <f>AND(#REF!,"AAAAAH7/76U=")</f>
        <v>#REF!</v>
      </c>
      <c r="FK330" t="e">
        <f>IF(#REF!,"AAAAAH7/76Y=",0)</f>
        <v>#REF!</v>
      </c>
      <c r="FL330" t="e">
        <f>AND(#REF!,"AAAAAH7/76c=")</f>
        <v>#REF!</v>
      </c>
      <c r="FM330" t="e">
        <f>AND(#REF!,"AAAAAH7/76g=")</f>
        <v>#REF!</v>
      </c>
      <c r="FN330" t="e">
        <f>AND(#REF!,"AAAAAH7/76k=")</f>
        <v>#REF!</v>
      </c>
      <c r="FO330" t="e">
        <f>IF(#REF!,"AAAAAH7/76o=",0)</f>
        <v>#REF!</v>
      </c>
      <c r="FP330" t="e">
        <f>AND(#REF!,"AAAAAH7/76s=")</f>
        <v>#REF!</v>
      </c>
      <c r="FQ330" t="e">
        <f>AND(#REF!,"AAAAAH7/76w=")</f>
        <v>#REF!</v>
      </c>
      <c r="FR330" t="e">
        <f>AND(#REF!,"AAAAAH7/760=")</f>
        <v>#REF!</v>
      </c>
      <c r="FS330" t="e">
        <f>IF(#REF!,"AAAAAH7/764=",0)</f>
        <v>#REF!</v>
      </c>
      <c r="FT330" t="e">
        <f>AND(#REF!,"AAAAAH7/768=")</f>
        <v>#REF!</v>
      </c>
      <c r="FU330" t="e">
        <f>AND(#REF!,"AAAAAH7/77A=")</f>
        <v>#REF!</v>
      </c>
      <c r="FV330" t="e">
        <f>AND(#REF!,"AAAAAH7/77E=")</f>
        <v>#REF!</v>
      </c>
      <c r="FW330" t="e">
        <f>IF(#REF!,"AAAAAH7/77I=",0)</f>
        <v>#REF!</v>
      </c>
      <c r="FX330" t="e">
        <f>AND(#REF!,"AAAAAH7/77M=")</f>
        <v>#REF!</v>
      </c>
      <c r="FY330" t="e">
        <f>AND(#REF!,"AAAAAH7/77Q=")</f>
        <v>#REF!</v>
      </c>
      <c r="FZ330" t="e">
        <f>AND(#REF!,"AAAAAH7/77U=")</f>
        <v>#REF!</v>
      </c>
      <c r="GA330" t="e">
        <f>IF(#REF!,"AAAAAH7/77Y=",0)</f>
        <v>#REF!</v>
      </c>
      <c r="GB330" t="e">
        <f>AND(#REF!,"AAAAAH7/77c=")</f>
        <v>#REF!</v>
      </c>
      <c r="GC330" t="e">
        <f>AND(#REF!,"AAAAAH7/77g=")</f>
        <v>#REF!</v>
      </c>
      <c r="GD330" t="e">
        <f>AND(#REF!,"AAAAAH7/77k=")</f>
        <v>#REF!</v>
      </c>
      <c r="GE330" t="e">
        <f>IF(#REF!,"AAAAAH7/77o=",0)</f>
        <v>#REF!</v>
      </c>
      <c r="GF330" t="e">
        <f>AND(#REF!,"AAAAAH7/77s=")</f>
        <v>#REF!</v>
      </c>
      <c r="GG330" t="e">
        <f>AND(#REF!,"AAAAAH7/77w=")</f>
        <v>#REF!</v>
      </c>
      <c r="GH330" t="e">
        <f>AND(#REF!,"AAAAAH7/770=")</f>
        <v>#REF!</v>
      </c>
      <c r="GI330" t="e">
        <f>IF(#REF!,"AAAAAH7/774=",0)</f>
        <v>#REF!</v>
      </c>
      <c r="GJ330" t="e">
        <f>AND(#REF!,"AAAAAH7/778=")</f>
        <v>#REF!</v>
      </c>
      <c r="GK330" t="e">
        <f>AND(#REF!,"AAAAAH7/78A=")</f>
        <v>#REF!</v>
      </c>
      <c r="GL330" t="e">
        <f>AND(#REF!,"AAAAAH7/78E=")</f>
        <v>#REF!</v>
      </c>
      <c r="GM330" t="e">
        <f>IF(#REF!,"AAAAAH7/78I=",0)</f>
        <v>#REF!</v>
      </c>
      <c r="GN330" t="e">
        <f>AND(#REF!,"AAAAAH7/78M=")</f>
        <v>#REF!</v>
      </c>
      <c r="GO330" t="e">
        <f>AND(#REF!,"AAAAAH7/78Q=")</f>
        <v>#REF!</v>
      </c>
      <c r="GP330" t="e">
        <f>AND(#REF!,"AAAAAH7/78U=")</f>
        <v>#REF!</v>
      </c>
      <c r="GQ330" t="e">
        <f>IF(#REF!,"AAAAAH7/78Y=",0)</f>
        <v>#REF!</v>
      </c>
      <c r="GR330" t="e">
        <f>AND(#REF!,"AAAAAH7/78c=")</f>
        <v>#REF!</v>
      </c>
      <c r="GS330" t="e">
        <f>AND(#REF!,"AAAAAH7/78g=")</f>
        <v>#REF!</v>
      </c>
      <c r="GT330" t="e">
        <f>AND(#REF!,"AAAAAH7/78k=")</f>
        <v>#REF!</v>
      </c>
      <c r="GU330" t="e">
        <f>IF(#REF!,"AAAAAH7/78o=",0)</f>
        <v>#REF!</v>
      </c>
      <c r="GV330" t="e">
        <f>AND(#REF!,"AAAAAH7/78s=")</f>
        <v>#REF!</v>
      </c>
      <c r="GW330" t="e">
        <f>AND(#REF!,"AAAAAH7/78w=")</f>
        <v>#REF!</v>
      </c>
      <c r="GX330" t="e">
        <f>AND(#REF!,"AAAAAH7/780=")</f>
        <v>#REF!</v>
      </c>
      <c r="GY330" t="e">
        <f>IF(#REF!,"AAAAAH7/784=",0)</f>
        <v>#REF!</v>
      </c>
      <c r="GZ330" t="e">
        <f>IF(#REF!,"AAAAAH7/788=",0)</f>
        <v>#REF!</v>
      </c>
      <c r="HA330" t="e">
        <f>IF(#REF!,"AAAAAH7/79A=",0)</f>
        <v>#REF!</v>
      </c>
      <c r="HB330" t="e">
        <f>IF(#REF!,"AAAAAH7/79E=",0)</f>
        <v>#REF!</v>
      </c>
      <c r="HC330" t="e">
        <f>AND(#REF!,"AAAAAH7/79I=")</f>
        <v>#REF!</v>
      </c>
      <c r="HD330" t="e">
        <f>AND(#REF!,"AAAAAH7/79M=")</f>
        <v>#REF!</v>
      </c>
      <c r="HE330" t="e">
        <f>AND(#REF!,"AAAAAH7/79Q=")</f>
        <v>#REF!</v>
      </c>
      <c r="HF330" t="e">
        <f>IF(#REF!,"AAAAAH7/79U=",0)</f>
        <v>#REF!</v>
      </c>
      <c r="HG330" t="e">
        <f>AND(#REF!,"AAAAAH7/79Y=")</f>
        <v>#REF!</v>
      </c>
      <c r="HH330" t="e">
        <f>AND(#REF!,"AAAAAH7/79c=")</f>
        <v>#REF!</v>
      </c>
      <c r="HI330" t="e">
        <f>AND(#REF!,"AAAAAH7/79g=")</f>
        <v>#REF!</v>
      </c>
      <c r="HJ330" t="e">
        <f>IF(#REF!,"AAAAAH7/79k=",0)</f>
        <v>#REF!</v>
      </c>
      <c r="HK330" t="e">
        <f>AND(#REF!,"AAAAAH7/79o=")</f>
        <v>#REF!</v>
      </c>
      <c r="HL330" t="e">
        <f>AND(#REF!,"AAAAAH7/79s=")</f>
        <v>#REF!</v>
      </c>
      <c r="HM330" t="e">
        <f>AND(#REF!,"AAAAAH7/79w=")</f>
        <v>#REF!</v>
      </c>
      <c r="HN330" t="e">
        <f>IF(#REF!,"AAAAAH7/790=",0)</f>
        <v>#REF!</v>
      </c>
      <c r="HO330" t="e">
        <f>AND(#REF!,"AAAAAH7/794=")</f>
        <v>#REF!</v>
      </c>
      <c r="HP330" t="e">
        <f>AND(#REF!,"AAAAAH7/798=")</f>
        <v>#REF!</v>
      </c>
      <c r="HQ330" t="e">
        <f>AND(#REF!,"AAAAAH7/7+A=")</f>
        <v>#REF!</v>
      </c>
      <c r="HR330" t="e">
        <f>IF(#REF!,"AAAAAH7/7+E=",0)</f>
        <v>#REF!</v>
      </c>
      <c r="HS330" t="e">
        <f>AND(#REF!,"AAAAAH7/7+I=")</f>
        <v>#REF!</v>
      </c>
      <c r="HT330" t="e">
        <f>AND(#REF!,"AAAAAH7/7+M=")</f>
        <v>#REF!</v>
      </c>
      <c r="HU330" t="e">
        <f>AND(#REF!,"AAAAAH7/7+Q=")</f>
        <v>#REF!</v>
      </c>
      <c r="HV330" t="e">
        <f>IF(#REF!,"AAAAAH7/7+U=",0)</f>
        <v>#REF!</v>
      </c>
      <c r="HW330" t="e">
        <f>AND(#REF!,"AAAAAH7/7+Y=")</f>
        <v>#REF!</v>
      </c>
      <c r="HX330" t="e">
        <f>AND(#REF!,"AAAAAH7/7+c=")</f>
        <v>#REF!</v>
      </c>
      <c r="HY330" t="e">
        <f>AND(#REF!,"AAAAAH7/7+g=")</f>
        <v>#REF!</v>
      </c>
      <c r="HZ330" t="e">
        <f>IF(#REF!,"AAAAAH7/7+k=",0)</f>
        <v>#REF!</v>
      </c>
      <c r="IA330" t="e">
        <f>AND(#REF!,"AAAAAH7/7+o=")</f>
        <v>#REF!</v>
      </c>
      <c r="IB330" t="e">
        <f>AND(#REF!,"AAAAAH7/7+s=")</f>
        <v>#REF!</v>
      </c>
      <c r="IC330" t="e">
        <f>AND(#REF!,"AAAAAH7/7+w=")</f>
        <v>#REF!</v>
      </c>
      <c r="ID330" t="e">
        <f>IF(#REF!,"AAAAAH7/7+0=",0)</f>
        <v>#REF!</v>
      </c>
      <c r="IE330" t="e">
        <f>AND(#REF!,"AAAAAH7/7+4=")</f>
        <v>#REF!</v>
      </c>
      <c r="IF330" t="e">
        <f>AND(#REF!,"AAAAAH7/7+8=")</f>
        <v>#REF!</v>
      </c>
      <c r="IG330" t="e">
        <f>AND(#REF!,"AAAAAH7/7/A=")</f>
        <v>#REF!</v>
      </c>
      <c r="IH330" t="e">
        <f>IF(#REF!,"AAAAAH7/7/E=",0)</f>
        <v>#REF!</v>
      </c>
      <c r="II330" t="e">
        <f>AND(#REF!,"AAAAAH7/7/I=")</f>
        <v>#REF!</v>
      </c>
      <c r="IJ330" t="e">
        <f>AND(#REF!,"AAAAAH7/7/M=")</f>
        <v>#REF!</v>
      </c>
      <c r="IK330" t="e">
        <f>AND(#REF!,"AAAAAH7/7/Q=")</f>
        <v>#REF!</v>
      </c>
      <c r="IL330" t="e">
        <f>IF(#REF!,"AAAAAH7/7/U=",0)</f>
        <v>#REF!</v>
      </c>
      <c r="IM330" t="e">
        <f>AND(#REF!,"AAAAAH7/7/Y=")</f>
        <v>#REF!</v>
      </c>
      <c r="IN330" t="e">
        <f>AND(#REF!,"AAAAAH7/7/c=")</f>
        <v>#REF!</v>
      </c>
      <c r="IO330" t="e">
        <f>AND(#REF!,"AAAAAH7/7/g=")</f>
        <v>#REF!</v>
      </c>
      <c r="IP330" t="e">
        <f>IF(#REF!,"AAAAAH7/7/k=",0)</f>
        <v>#REF!</v>
      </c>
      <c r="IQ330" t="e">
        <f>AND(#REF!,"AAAAAH7/7/o=")</f>
        <v>#REF!</v>
      </c>
      <c r="IR330" t="e">
        <f>AND(#REF!,"AAAAAH7/7/s=")</f>
        <v>#REF!</v>
      </c>
      <c r="IS330" t="e">
        <f>AND(#REF!,"AAAAAH7/7/w=")</f>
        <v>#REF!</v>
      </c>
      <c r="IT330" t="e">
        <f>IF(#REF!,"AAAAAH7/7/0=",0)</f>
        <v>#REF!</v>
      </c>
      <c r="IU330" t="e">
        <f>AND(#REF!,"AAAAAH7/7/4=")</f>
        <v>#REF!</v>
      </c>
      <c r="IV330" t="e">
        <f>AND(#REF!,"AAAAAH7/7/8=")</f>
        <v>#REF!</v>
      </c>
    </row>
    <row r="331" spans="1:256">
      <c r="A331" t="e">
        <f>AND(#REF!,"AAAAAHfz3wA=")</f>
        <v>#REF!</v>
      </c>
      <c r="B331" t="e">
        <f>IF(#REF!,"AAAAAHfz3wE=",0)</f>
        <v>#REF!</v>
      </c>
      <c r="C331" t="e">
        <f>AND(#REF!,"AAAAAHfz3wI=")</f>
        <v>#REF!</v>
      </c>
      <c r="D331" t="e">
        <f>AND(#REF!,"AAAAAHfz3wM=")</f>
        <v>#REF!</v>
      </c>
      <c r="E331" t="e">
        <f>AND(#REF!,"AAAAAHfz3wQ=")</f>
        <v>#REF!</v>
      </c>
      <c r="F331" t="e">
        <f>IF(#REF!,"AAAAAHfz3wU=",0)</f>
        <v>#REF!</v>
      </c>
      <c r="G331" t="e">
        <f>AND(#REF!,"AAAAAHfz3wY=")</f>
        <v>#REF!</v>
      </c>
      <c r="H331" t="e">
        <f>AND(#REF!,"AAAAAHfz3wc=")</f>
        <v>#REF!</v>
      </c>
      <c r="I331" t="e">
        <f>AND(#REF!,"AAAAAHfz3wg=")</f>
        <v>#REF!</v>
      </c>
      <c r="J331" t="e">
        <f>IF(#REF!,"AAAAAHfz3wk=",0)</f>
        <v>#REF!</v>
      </c>
      <c r="K331" t="e">
        <f>AND(#REF!,"AAAAAHfz3wo=")</f>
        <v>#REF!</v>
      </c>
      <c r="L331" t="e">
        <f>AND(#REF!,"AAAAAHfz3ws=")</f>
        <v>#REF!</v>
      </c>
      <c r="M331" t="e">
        <f>AND(#REF!,"AAAAAHfz3ww=")</f>
        <v>#REF!</v>
      </c>
      <c r="N331" t="e">
        <f>IF(#REF!,"AAAAAHfz3w0=",0)</f>
        <v>#REF!</v>
      </c>
      <c r="O331" t="e">
        <f>AND(#REF!,"AAAAAHfz3w4=")</f>
        <v>#REF!</v>
      </c>
      <c r="P331" t="e">
        <f>AND(#REF!,"AAAAAHfz3w8=")</f>
        <v>#REF!</v>
      </c>
      <c r="Q331" t="e">
        <f>AND(#REF!,"AAAAAHfz3xA=")</f>
        <v>#REF!</v>
      </c>
      <c r="R331" t="e">
        <f>IF(#REF!,"AAAAAHfz3xE=",0)</f>
        <v>#REF!</v>
      </c>
      <c r="S331" t="e">
        <f>AND(#REF!,"AAAAAHfz3xI=")</f>
        <v>#REF!</v>
      </c>
      <c r="T331" t="e">
        <f>AND(#REF!,"AAAAAHfz3xM=")</f>
        <v>#REF!</v>
      </c>
      <c r="U331" t="e">
        <f>AND(#REF!,"AAAAAHfz3xQ=")</f>
        <v>#REF!</v>
      </c>
      <c r="V331" t="e">
        <f>IF(#REF!,"AAAAAHfz3xU=",0)</f>
        <v>#REF!</v>
      </c>
      <c r="W331" t="e">
        <f>AND(#REF!,"AAAAAHfz3xY=")</f>
        <v>#REF!</v>
      </c>
      <c r="X331" t="e">
        <f>AND(#REF!,"AAAAAHfz3xc=")</f>
        <v>#REF!</v>
      </c>
      <c r="Y331" t="e">
        <f>AND(#REF!,"AAAAAHfz3xg=")</f>
        <v>#REF!</v>
      </c>
      <c r="Z331" t="e">
        <f>IF(#REF!,"AAAAAHfz3xk=",0)</f>
        <v>#REF!</v>
      </c>
      <c r="AA331" t="e">
        <f>AND(#REF!,"AAAAAHfz3xo=")</f>
        <v>#REF!</v>
      </c>
      <c r="AB331" t="e">
        <f>AND(#REF!,"AAAAAHfz3xs=")</f>
        <v>#REF!</v>
      </c>
      <c r="AC331" t="e">
        <f>AND(#REF!,"AAAAAHfz3xw=")</f>
        <v>#REF!</v>
      </c>
      <c r="AD331" t="e">
        <f>IF(#REF!,"AAAAAHfz3x0=",0)</f>
        <v>#REF!</v>
      </c>
      <c r="AE331" t="e">
        <f>AND(#REF!,"AAAAAHfz3x4=")</f>
        <v>#REF!</v>
      </c>
      <c r="AF331" t="e">
        <f>AND(#REF!,"AAAAAHfz3x8=")</f>
        <v>#REF!</v>
      </c>
      <c r="AG331" t="e">
        <f>AND(#REF!,"AAAAAHfz3yA=")</f>
        <v>#REF!</v>
      </c>
      <c r="AH331" t="e">
        <f>IF(#REF!,"AAAAAHfz3yE=",0)</f>
        <v>#REF!</v>
      </c>
      <c r="AI331" t="e">
        <f>AND(#REF!,"AAAAAHfz3yI=")</f>
        <v>#REF!</v>
      </c>
      <c r="AJ331" t="e">
        <f>AND(#REF!,"AAAAAHfz3yM=")</f>
        <v>#REF!</v>
      </c>
      <c r="AK331" t="e">
        <f>AND(#REF!,"AAAAAHfz3yQ=")</f>
        <v>#REF!</v>
      </c>
      <c r="AL331" t="e">
        <f>IF(#REF!,"AAAAAHfz3yU=",0)</f>
        <v>#REF!</v>
      </c>
      <c r="AM331" t="e">
        <f>AND(#REF!,"AAAAAHfz3yY=")</f>
        <v>#REF!</v>
      </c>
      <c r="AN331" t="e">
        <f>AND(#REF!,"AAAAAHfz3yc=")</f>
        <v>#REF!</v>
      </c>
      <c r="AO331" t="e">
        <f>AND(#REF!,"AAAAAHfz3yg=")</f>
        <v>#REF!</v>
      </c>
      <c r="AP331" t="e">
        <f>IF(#REF!,"AAAAAHfz3yk=",0)</f>
        <v>#REF!</v>
      </c>
      <c r="AQ331" t="e">
        <f>AND(#REF!,"AAAAAHfz3yo=")</f>
        <v>#REF!</v>
      </c>
      <c r="AR331" t="e">
        <f>AND(#REF!,"AAAAAHfz3ys=")</f>
        <v>#REF!</v>
      </c>
      <c r="AS331" t="e">
        <f>AND(#REF!,"AAAAAHfz3yw=")</f>
        <v>#REF!</v>
      </c>
      <c r="AT331" t="e">
        <f>IF(#REF!,"AAAAAHfz3y0=",0)</f>
        <v>#REF!</v>
      </c>
      <c r="AU331" t="e">
        <f>AND(#REF!,"AAAAAHfz3y4=")</f>
        <v>#REF!</v>
      </c>
      <c r="AV331" t="e">
        <f>AND(#REF!,"AAAAAHfz3y8=")</f>
        <v>#REF!</v>
      </c>
      <c r="AW331" t="e">
        <f>AND(#REF!,"AAAAAHfz3zA=")</f>
        <v>#REF!</v>
      </c>
      <c r="AX331" t="e">
        <f>IF(#REF!,"AAAAAHfz3zE=",0)</f>
        <v>#REF!</v>
      </c>
      <c r="AY331" t="e">
        <f>AND(#REF!,"AAAAAHfz3zI=")</f>
        <v>#REF!</v>
      </c>
      <c r="AZ331" t="e">
        <f>AND(#REF!,"AAAAAHfz3zM=")</f>
        <v>#REF!</v>
      </c>
      <c r="BA331" t="e">
        <f>AND(#REF!,"AAAAAHfz3zQ=")</f>
        <v>#REF!</v>
      </c>
      <c r="BB331" t="e">
        <f>IF(#REF!,"AAAAAHfz3zU=",0)</f>
        <v>#REF!</v>
      </c>
      <c r="BC331" t="e">
        <f>AND(#REF!,"AAAAAHfz3zY=")</f>
        <v>#REF!</v>
      </c>
      <c r="BD331" t="e">
        <f>AND(#REF!,"AAAAAHfz3zc=")</f>
        <v>#REF!</v>
      </c>
      <c r="BE331" t="e">
        <f>AND(#REF!,"AAAAAHfz3zg=")</f>
        <v>#REF!</v>
      </c>
      <c r="BF331" t="e">
        <f>IF(#REF!,"AAAAAHfz3zk=",0)</f>
        <v>#REF!</v>
      </c>
      <c r="BG331" t="e">
        <f>AND(#REF!,"AAAAAHfz3zo=")</f>
        <v>#REF!</v>
      </c>
      <c r="BH331" t="e">
        <f>AND(#REF!,"AAAAAHfz3zs=")</f>
        <v>#REF!</v>
      </c>
      <c r="BI331" t="e">
        <f>AND(#REF!,"AAAAAHfz3zw=")</f>
        <v>#REF!</v>
      </c>
      <c r="BJ331" t="e">
        <f>IF(#REF!,"AAAAAHfz3z0=",0)</f>
        <v>#REF!</v>
      </c>
      <c r="BK331" t="e">
        <f>AND(#REF!,"AAAAAHfz3z4=")</f>
        <v>#REF!</v>
      </c>
      <c r="BL331" t="e">
        <f>AND(#REF!,"AAAAAHfz3z8=")</f>
        <v>#REF!</v>
      </c>
      <c r="BM331" t="e">
        <f>AND(#REF!,"AAAAAHfz30A=")</f>
        <v>#REF!</v>
      </c>
      <c r="BN331" t="e">
        <f>IF(#REF!,"AAAAAHfz30E=",0)</f>
        <v>#REF!</v>
      </c>
      <c r="BO331" t="e">
        <f>AND(#REF!,"AAAAAHfz30I=")</f>
        <v>#REF!</v>
      </c>
      <c r="BP331" t="e">
        <f>AND(#REF!,"AAAAAHfz30M=")</f>
        <v>#REF!</v>
      </c>
      <c r="BQ331" t="e">
        <f>AND(#REF!,"AAAAAHfz30Q=")</f>
        <v>#REF!</v>
      </c>
      <c r="BR331" t="e">
        <f>IF(#REF!,"AAAAAHfz30U=",0)</f>
        <v>#REF!</v>
      </c>
      <c r="BS331" t="e">
        <f>AND(#REF!,"AAAAAHfz30Y=")</f>
        <v>#REF!</v>
      </c>
      <c r="BT331" t="e">
        <f>AND(#REF!,"AAAAAHfz30c=")</f>
        <v>#REF!</v>
      </c>
      <c r="BU331" t="e">
        <f>AND(#REF!,"AAAAAHfz30g=")</f>
        <v>#REF!</v>
      </c>
      <c r="BV331" t="e">
        <f>IF(#REF!,"AAAAAHfz30k=",0)</f>
        <v>#REF!</v>
      </c>
      <c r="BW331" t="e">
        <f>AND(#REF!,"AAAAAHfz30o=")</f>
        <v>#REF!</v>
      </c>
      <c r="BX331" t="e">
        <f>AND(#REF!,"AAAAAHfz30s=")</f>
        <v>#REF!</v>
      </c>
      <c r="BY331" t="e">
        <f>AND(#REF!,"AAAAAHfz30w=")</f>
        <v>#REF!</v>
      </c>
      <c r="BZ331" t="e">
        <f>IF(#REF!,"AAAAAHfz300=",0)</f>
        <v>#REF!</v>
      </c>
      <c r="CA331" t="e">
        <f>AND(#REF!,"AAAAAHfz304=")</f>
        <v>#REF!</v>
      </c>
      <c r="CB331" t="e">
        <f>AND(#REF!,"AAAAAHfz308=")</f>
        <v>#REF!</v>
      </c>
      <c r="CC331" t="e">
        <f>AND(#REF!,"AAAAAHfz31A=")</f>
        <v>#REF!</v>
      </c>
      <c r="CD331" t="e">
        <f>IF(#REF!,"AAAAAHfz31E=",0)</f>
        <v>#REF!</v>
      </c>
      <c r="CE331" t="e">
        <f>AND(#REF!,"AAAAAHfz31I=")</f>
        <v>#REF!</v>
      </c>
      <c r="CF331" t="e">
        <f>AND(#REF!,"AAAAAHfz31M=")</f>
        <v>#REF!</v>
      </c>
      <c r="CG331" t="e">
        <f>AND(#REF!,"AAAAAHfz31Q=")</f>
        <v>#REF!</v>
      </c>
      <c r="CH331" t="e">
        <f>IF(#REF!,"AAAAAHfz31U=",0)</f>
        <v>#REF!</v>
      </c>
      <c r="CI331" t="e">
        <f>AND(#REF!,"AAAAAHfz31Y=")</f>
        <v>#REF!</v>
      </c>
      <c r="CJ331" t="e">
        <f>AND(#REF!,"AAAAAHfz31c=")</f>
        <v>#REF!</v>
      </c>
      <c r="CK331" t="e">
        <f>AND(#REF!,"AAAAAHfz31g=")</f>
        <v>#REF!</v>
      </c>
      <c r="CL331" t="e">
        <f>IF(#REF!,"AAAAAHfz31k=",0)</f>
        <v>#REF!</v>
      </c>
      <c r="CM331" t="e">
        <f>AND(#REF!,"AAAAAHfz31o=")</f>
        <v>#REF!</v>
      </c>
      <c r="CN331" t="e">
        <f>AND(#REF!,"AAAAAHfz31s=")</f>
        <v>#REF!</v>
      </c>
      <c r="CO331" t="e">
        <f>AND(#REF!,"AAAAAHfz31w=")</f>
        <v>#REF!</v>
      </c>
      <c r="CP331" t="e">
        <f>IF(#REF!,"AAAAAHfz310=",0)</f>
        <v>#REF!</v>
      </c>
      <c r="CQ331" t="e">
        <f>AND(#REF!,"AAAAAHfz314=")</f>
        <v>#REF!</v>
      </c>
      <c r="CR331" t="e">
        <f>AND(#REF!,"AAAAAHfz318=")</f>
        <v>#REF!</v>
      </c>
      <c r="CS331" t="e">
        <f>AND(#REF!,"AAAAAHfz32A=")</f>
        <v>#REF!</v>
      </c>
      <c r="CT331" t="e">
        <f>IF(#REF!,"AAAAAHfz32E=",0)</f>
        <v>#REF!</v>
      </c>
      <c r="CU331" t="e">
        <f>AND(#REF!,"AAAAAHfz32I=")</f>
        <v>#REF!</v>
      </c>
      <c r="CV331" t="e">
        <f>AND(#REF!,"AAAAAHfz32M=")</f>
        <v>#REF!</v>
      </c>
      <c r="CW331" t="e">
        <f>AND(#REF!,"AAAAAHfz32Q=")</f>
        <v>#REF!</v>
      </c>
      <c r="CX331" t="e">
        <f>IF(#REF!,"AAAAAHfz32U=",0)</f>
        <v>#REF!</v>
      </c>
      <c r="CY331" t="e">
        <f>AND(#REF!,"AAAAAHfz32Y=")</f>
        <v>#REF!</v>
      </c>
      <c r="CZ331" t="e">
        <f>AND(#REF!,"AAAAAHfz32c=")</f>
        <v>#REF!</v>
      </c>
      <c r="DA331" t="e">
        <f>AND(#REF!,"AAAAAHfz32g=")</f>
        <v>#REF!</v>
      </c>
      <c r="DB331" t="e">
        <f>IF(#REF!,"AAAAAHfz32k=",0)</f>
        <v>#REF!</v>
      </c>
      <c r="DC331" t="e">
        <f>AND(#REF!,"AAAAAHfz32o=")</f>
        <v>#REF!</v>
      </c>
      <c r="DD331" t="e">
        <f>AND(#REF!,"AAAAAHfz32s=")</f>
        <v>#REF!</v>
      </c>
      <c r="DE331" t="e">
        <f>AND(#REF!,"AAAAAHfz32w=")</f>
        <v>#REF!</v>
      </c>
      <c r="DF331" t="e">
        <f>IF(#REF!,"AAAAAHfz320=",0)</f>
        <v>#REF!</v>
      </c>
      <c r="DG331" t="e">
        <f>AND(#REF!,"AAAAAHfz324=")</f>
        <v>#REF!</v>
      </c>
      <c r="DH331" t="e">
        <f>AND(#REF!,"AAAAAHfz328=")</f>
        <v>#REF!</v>
      </c>
      <c r="DI331" t="e">
        <f>AND(#REF!,"AAAAAHfz33A=")</f>
        <v>#REF!</v>
      </c>
      <c r="DJ331" t="e">
        <f>IF(#REF!,"AAAAAHfz33E=",0)</f>
        <v>#REF!</v>
      </c>
      <c r="DK331" t="e">
        <f>AND(#REF!,"AAAAAHfz33I=")</f>
        <v>#REF!</v>
      </c>
      <c r="DL331" t="e">
        <f>AND(#REF!,"AAAAAHfz33M=")</f>
        <v>#REF!</v>
      </c>
      <c r="DM331" t="e">
        <f>AND(#REF!,"AAAAAHfz33Q=")</f>
        <v>#REF!</v>
      </c>
      <c r="DN331" t="e">
        <f>IF(#REF!,"AAAAAHfz33U=",0)</f>
        <v>#REF!</v>
      </c>
      <c r="DO331" t="e">
        <f>AND(#REF!,"AAAAAHfz33Y=")</f>
        <v>#REF!</v>
      </c>
      <c r="DP331" t="e">
        <f>AND(#REF!,"AAAAAHfz33c=")</f>
        <v>#REF!</v>
      </c>
      <c r="DQ331" t="e">
        <f>AND(#REF!,"AAAAAHfz33g=")</f>
        <v>#REF!</v>
      </c>
      <c r="DR331" t="e">
        <f>IF(#REF!,"AAAAAHfz33k=",0)</f>
        <v>#REF!</v>
      </c>
      <c r="DS331" t="e">
        <f>AND(#REF!,"AAAAAHfz33o=")</f>
        <v>#REF!</v>
      </c>
      <c r="DT331" t="e">
        <f>AND(#REF!,"AAAAAHfz33s=")</f>
        <v>#REF!</v>
      </c>
      <c r="DU331" t="e">
        <f>AND(#REF!,"AAAAAHfz33w=")</f>
        <v>#REF!</v>
      </c>
      <c r="DV331" t="e">
        <f>IF(#REF!,"AAAAAHfz330=",0)</f>
        <v>#REF!</v>
      </c>
      <c r="DW331" t="e">
        <f>AND(#REF!,"AAAAAHfz334=")</f>
        <v>#REF!</v>
      </c>
      <c r="DX331" t="e">
        <f>AND(#REF!,"AAAAAHfz338=")</f>
        <v>#REF!</v>
      </c>
      <c r="DY331" t="e">
        <f>AND(#REF!,"AAAAAHfz34A=")</f>
        <v>#REF!</v>
      </c>
      <c r="DZ331" t="e">
        <f>IF(#REF!,"AAAAAHfz34E=",0)</f>
        <v>#REF!</v>
      </c>
      <c r="EA331" t="e">
        <f>AND(#REF!,"AAAAAHfz34I=")</f>
        <v>#REF!</v>
      </c>
      <c r="EB331" t="e">
        <f>AND(#REF!,"AAAAAHfz34M=")</f>
        <v>#REF!</v>
      </c>
      <c r="EC331" t="e">
        <f>AND(#REF!,"AAAAAHfz34Q=")</f>
        <v>#REF!</v>
      </c>
      <c r="ED331" t="e">
        <f>IF(#REF!,"AAAAAHfz34U=",0)</f>
        <v>#REF!</v>
      </c>
      <c r="EE331" t="e">
        <f>AND(#REF!,"AAAAAHfz34Y=")</f>
        <v>#REF!</v>
      </c>
      <c r="EF331" t="e">
        <f>AND(#REF!,"AAAAAHfz34c=")</f>
        <v>#REF!</v>
      </c>
      <c r="EG331" t="e">
        <f>AND(#REF!,"AAAAAHfz34g=")</f>
        <v>#REF!</v>
      </c>
      <c r="EH331" t="e">
        <f>IF(#REF!,"AAAAAHfz34k=",0)</f>
        <v>#REF!</v>
      </c>
      <c r="EI331" t="e">
        <f>AND(#REF!,"AAAAAHfz34o=")</f>
        <v>#REF!</v>
      </c>
      <c r="EJ331" t="e">
        <f>AND(#REF!,"AAAAAHfz34s=")</f>
        <v>#REF!</v>
      </c>
      <c r="EK331" t="e">
        <f>AND(#REF!,"AAAAAHfz34w=")</f>
        <v>#REF!</v>
      </c>
      <c r="EL331" t="e">
        <f>IF(#REF!,"AAAAAHfz340=",0)</f>
        <v>#REF!</v>
      </c>
      <c r="EM331" t="e">
        <f>AND(#REF!,"AAAAAHfz344=")</f>
        <v>#REF!</v>
      </c>
      <c r="EN331" t="e">
        <f>AND(#REF!,"AAAAAHfz348=")</f>
        <v>#REF!</v>
      </c>
      <c r="EO331" t="e">
        <f>AND(#REF!,"AAAAAHfz35A=")</f>
        <v>#REF!</v>
      </c>
      <c r="EP331" t="e">
        <f>IF(#REF!,"AAAAAHfz35E=",0)</f>
        <v>#REF!</v>
      </c>
      <c r="EQ331" t="e">
        <f>AND(#REF!,"AAAAAHfz35I=")</f>
        <v>#REF!</v>
      </c>
      <c r="ER331" t="e">
        <f>AND(#REF!,"AAAAAHfz35M=")</f>
        <v>#REF!</v>
      </c>
      <c r="ES331" t="e">
        <f>AND(#REF!,"AAAAAHfz35Q=")</f>
        <v>#REF!</v>
      </c>
      <c r="ET331" t="e">
        <f>IF(#REF!,"AAAAAHfz35U=",0)</f>
        <v>#REF!</v>
      </c>
      <c r="EU331" t="e">
        <f>AND(#REF!,"AAAAAHfz35Y=")</f>
        <v>#REF!</v>
      </c>
      <c r="EV331" t="e">
        <f>AND(#REF!,"AAAAAHfz35c=")</f>
        <v>#REF!</v>
      </c>
      <c r="EW331" t="e">
        <f>AND(#REF!,"AAAAAHfz35g=")</f>
        <v>#REF!</v>
      </c>
      <c r="EX331" t="e">
        <f>IF(#REF!,"AAAAAHfz35k=",0)</f>
        <v>#REF!</v>
      </c>
      <c r="EY331" t="e">
        <f>AND(#REF!,"AAAAAHfz35o=")</f>
        <v>#REF!</v>
      </c>
      <c r="EZ331" t="e">
        <f>AND(#REF!,"AAAAAHfz35s=")</f>
        <v>#REF!</v>
      </c>
      <c r="FA331" t="e">
        <f>AND(#REF!,"AAAAAHfz35w=")</f>
        <v>#REF!</v>
      </c>
      <c r="FB331" t="e">
        <f>IF(#REF!,"AAAAAHfz350=",0)</f>
        <v>#REF!</v>
      </c>
      <c r="FC331" t="e">
        <f>AND(#REF!,"AAAAAHfz354=")</f>
        <v>#REF!</v>
      </c>
      <c r="FD331" t="e">
        <f>AND(#REF!,"AAAAAHfz358=")</f>
        <v>#REF!</v>
      </c>
      <c r="FE331" t="e">
        <f>AND(#REF!,"AAAAAHfz36A=")</f>
        <v>#REF!</v>
      </c>
      <c r="FF331" t="e">
        <f>IF(#REF!,"AAAAAHfz36E=",0)</f>
        <v>#REF!</v>
      </c>
      <c r="FG331" t="e">
        <f>AND(#REF!,"AAAAAHfz36I=")</f>
        <v>#REF!</v>
      </c>
      <c r="FH331" t="e">
        <f>AND(#REF!,"AAAAAHfz36M=")</f>
        <v>#REF!</v>
      </c>
      <c r="FI331" t="e">
        <f>AND(#REF!,"AAAAAHfz36Q=")</f>
        <v>#REF!</v>
      </c>
      <c r="FJ331" t="e">
        <f>IF(#REF!,"AAAAAHfz36U=",0)</f>
        <v>#REF!</v>
      </c>
      <c r="FK331" t="e">
        <f>AND(#REF!,"AAAAAHfz36Y=")</f>
        <v>#REF!</v>
      </c>
      <c r="FL331" t="e">
        <f>AND(#REF!,"AAAAAHfz36c=")</f>
        <v>#REF!</v>
      </c>
      <c r="FM331" t="e">
        <f>AND(#REF!,"AAAAAHfz36g=")</f>
        <v>#REF!</v>
      </c>
      <c r="FN331" t="e">
        <f>IF(#REF!,"AAAAAHfz36k=",0)</f>
        <v>#REF!</v>
      </c>
      <c r="FO331" t="e">
        <f>AND(#REF!,"AAAAAHfz36o=")</f>
        <v>#REF!</v>
      </c>
      <c r="FP331" t="e">
        <f>AND(#REF!,"AAAAAHfz36s=")</f>
        <v>#REF!</v>
      </c>
      <c r="FQ331" t="e">
        <f>AND(#REF!,"AAAAAHfz36w=")</f>
        <v>#REF!</v>
      </c>
      <c r="FR331" t="e">
        <f>IF(#REF!,"AAAAAHfz360=",0)</f>
        <v>#REF!</v>
      </c>
      <c r="FS331" t="e">
        <f>AND(#REF!,"AAAAAHfz364=")</f>
        <v>#REF!</v>
      </c>
      <c r="FT331" t="e">
        <f>AND(#REF!,"AAAAAHfz368=")</f>
        <v>#REF!</v>
      </c>
      <c r="FU331" t="e">
        <f>AND(#REF!,"AAAAAHfz37A=")</f>
        <v>#REF!</v>
      </c>
      <c r="FV331" t="e">
        <f>IF(#REF!,"AAAAAHfz37E=",0)</f>
        <v>#REF!</v>
      </c>
      <c r="FW331" t="e">
        <f>AND(#REF!,"AAAAAHfz37I=")</f>
        <v>#REF!</v>
      </c>
      <c r="FX331" t="e">
        <f>AND(#REF!,"AAAAAHfz37M=")</f>
        <v>#REF!</v>
      </c>
      <c r="FY331" t="e">
        <f>AND(#REF!,"AAAAAHfz37Q=")</f>
        <v>#REF!</v>
      </c>
      <c r="FZ331" t="e">
        <f>IF(#REF!,"AAAAAHfz37U=",0)</f>
        <v>#REF!</v>
      </c>
      <c r="GA331" t="e">
        <f>AND(#REF!,"AAAAAHfz37Y=")</f>
        <v>#REF!</v>
      </c>
      <c r="GB331" t="e">
        <f>AND(#REF!,"AAAAAHfz37c=")</f>
        <v>#REF!</v>
      </c>
      <c r="GC331" t="e">
        <f>AND(#REF!,"AAAAAHfz37g=")</f>
        <v>#REF!</v>
      </c>
      <c r="GD331" t="e">
        <f>IF(#REF!,"AAAAAHfz37k=",0)</f>
        <v>#REF!</v>
      </c>
      <c r="GE331" t="e">
        <f>AND(#REF!,"AAAAAHfz37o=")</f>
        <v>#REF!</v>
      </c>
      <c r="GF331" t="e">
        <f>AND(#REF!,"AAAAAHfz37s=")</f>
        <v>#REF!</v>
      </c>
      <c r="GG331" t="e">
        <f>AND(#REF!,"AAAAAHfz37w=")</f>
        <v>#REF!</v>
      </c>
      <c r="GH331" t="e">
        <f>IF(#REF!,"AAAAAHfz370=",0)</f>
        <v>#REF!</v>
      </c>
      <c r="GI331" t="e">
        <f>AND(#REF!,"AAAAAHfz374=")</f>
        <v>#REF!</v>
      </c>
      <c r="GJ331" t="e">
        <f>AND(#REF!,"AAAAAHfz378=")</f>
        <v>#REF!</v>
      </c>
      <c r="GK331" t="e">
        <f>AND(#REF!,"AAAAAHfz38A=")</f>
        <v>#REF!</v>
      </c>
      <c r="GL331" t="e">
        <f>IF(#REF!,"AAAAAHfz38E=",0)</f>
        <v>#REF!</v>
      </c>
      <c r="GM331" t="e">
        <f>AND(#REF!,"AAAAAHfz38I=")</f>
        <v>#REF!</v>
      </c>
      <c r="GN331" t="e">
        <f>AND(#REF!,"AAAAAHfz38M=")</f>
        <v>#REF!</v>
      </c>
      <c r="GO331" t="e">
        <f>AND(#REF!,"AAAAAHfz38Q=")</f>
        <v>#REF!</v>
      </c>
      <c r="GP331" t="e">
        <f>IF(#REF!,"AAAAAHfz38U=",0)</f>
        <v>#REF!</v>
      </c>
      <c r="GQ331" t="e">
        <f>AND(#REF!,"AAAAAHfz38Y=")</f>
        <v>#REF!</v>
      </c>
      <c r="GR331" t="e">
        <f>AND(#REF!,"AAAAAHfz38c=")</f>
        <v>#REF!</v>
      </c>
      <c r="GS331" t="e">
        <f>AND(#REF!,"AAAAAHfz38g=")</f>
        <v>#REF!</v>
      </c>
      <c r="GT331" t="e">
        <f>IF(#REF!,"AAAAAHfz38k=",0)</f>
        <v>#REF!</v>
      </c>
      <c r="GU331" t="e">
        <f>AND(#REF!,"AAAAAHfz38o=")</f>
        <v>#REF!</v>
      </c>
      <c r="GV331" t="e">
        <f>AND(#REF!,"AAAAAHfz38s=")</f>
        <v>#REF!</v>
      </c>
      <c r="GW331" t="e">
        <f>AND(#REF!,"AAAAAHfz38w=")</f>
        <v>#REF!</v>
      </c>
      <c r="GX331" t="e">
        <f>IF(#REF!,"AAAAAHfz380=",0)</f>
        <v>#REF!</v>
      </c>
      <c r="GY331" t="e">
        <f>AND(#REF!,"AAAAAHfz384=")</f>
        <v>#REF!</v>
      </c>
      <c r="GZ331" t="e">
        <f>AND(#REF!,"AAAAAHfz388=")</f>
        <v>#REF!</v>
      </c>
      <c r="HA331" t="e">
        <f>AND(#REF!,"AAAAAHfz39A=")</f>
        <v>#REF!</v>
      </c>
      <c r="HB331" t="e">
        <f>IF(#REF!,"AAAAAHfz39E=",0)</f>
        <v>#REF!</v>
      </c>
      <c r="HC331" t="e">
        <f>AND(#REF!,"AAAAAHfz39I=")</f>
        <v>#REF!</v>
      </c>
      <c r="HD331" t="e">
        <f>AND(#REF!,"AAAAAHfz39M=")</f>
        <v>#REF!</v>
      </c>
      <c r="HE331" t="e">
        <f>AND(#REF!,"AAAAAHfz39Q=")</f>
        <v>#REF!</v>
      </c>
      <c r="HF331" t="e">
        <f>IF(#REF!,"AAAAAHfz39U=",0)</f>
        <v>#REF!</v>
      </c>
      <c r="HG331" t="e">
        <f>AND(#REF!,"AAAAAHfz39Y=")</f>
        <v>#REF!</v>
      </c>
      <c r="HH331" t="e">
        <f>AND(#REF!,"AAAAAHfz39c=")</f>
        <v>#REF!</v>
      </c>
      <c r="HI331" t="e">
        <f>AND(#REF!,"AAAAAHfz39g=")</f>
        <v>#REF!</v>
      </c>
      <c r="HJ331" t="e">
        <f>IF(#REF!,"AAAAAHfz39k=",0)</f>
        <v>#REF!</v>
      </c>
      <c r="HK331" t="e">
        <f>AND(#REF!,"AAAAAHfz39o=")</f>
        <v>#REF!</v>
      </c>
      <c r="HL331" t="e">
        <f>AND(#REF!,"AAAAAHfz39s=")</f>
        <v>#REF!</v>
      </c>
      <c r="HM331" t="e">
        <f>AND(#REF!,"AAAAAHfz39w=")</f>
        <v>#REF!</v>
      </c>
      <c r="HN331" t="e">
        <f>IF(#REF!,"AAAAAHfz390=",0)</f>
        <v>#REF!</v>
      </c>
      <c r="HO331" t="e">
        <f>AND(#REF!,"AAAAAHfz394=")</f>
        <v>#REF!</v>
      </c>
      <c r="HP331" t="e">
        <f>AND(#REF!,"AAAAAHfz398=")</f>
        <v>#REF!</v>
      </c>
      <c r="HQ331" t="e">
        <f>AND(#REF!,"AAAAAHfz3+A=")</f>
        <v>#REF!</v>
      </c>
      <c r="HR331" t="e">
        <f>IF(#REF!,"AAAAAHfz3+E=",0)</f>
        <v>#REF!</v>
      </c>
      <c r="HS331" t="e">
        <f>AND(#REF!,"AAAAAHfz3+I=")</f>
        <v>#REF!</v>
      </c>
      <c r="HT331" t="e">
        <f>AND(#REF!,"AAAAAHfz3+M=")</f>
        <v>#REF!</v>
      </c>
      <c r="HU331" t="e">
        <f>AND(#REF!,"AAAAAHfz3+Q=")</f>
        <v>#REF!</v>
      </c>
      <c r="HV331" t="e">
        <f>IF(#REF!,"AAAAAHfz3+U=",0)</f>
        <v>#REF!</v>
      </c>
      <c r="HW331" t="e">
        <f>AND(#REF!,"AAAAAHfz3+Y=")</f>
        <v>#REF!</v>
      </c>
      <c r="HX331" t="e">
        <f>AND(#REF!,"AAAAAHfz3+c=")</f>
        <v>#REF!</v>
      </c>
      <c r="HY331" t="e">
        <f>AND(#REF!,"AAAAAHfz3+g=")</f>
        <v>#REF!</v>
      </c>
      <c r="HZ331" t="e">
        <f>IF(#REF!,"AAAAAHfz3+k=",0)</f>
        <v>#REF!</v>
      </c>
      <c r="IA331" t="e">
        <f>AND(#REF!,"AAAAAHfz3+o=")</f>
        <v>#REF!</v>
      </c>
      <c r="IB331" t="e">
        <f>AND(#REF!,"AAAAAHfz3+s=")</f>
        <v>#REF!</v>
      </c>
      <c r="IC331" t="e">
        <f>AND(#REF!,"AAAAAHfz3+w=")</f>
        <v>#REF!</v>
      </c>
      <c r="ID331" t="e">
        <f>IF(#REF!,"AAAAAHfz3+0=",0)</f>
        <v>#REF!</v>
      </c>
      <c r="IE331" t="e">
        <f>AND(#REF!,"AAAAAHfz3+4=")</f>
        <v>#REF!</v>
      </c>
      <c r="IF331" t="e">
        <f>AND(#REF!,"AAAAAHfz3+8=")</f>
        <v>#REF!</v>
      </c>
      <c r="IG331" t="e">
        <f>AND(#REF!,"AAAAAHfz3/A=")</f>
        <v>#REF!</v>
      </c>
      <c r="IH331" t="e">
        <f>IF(#REF!,"AAAAAHfz3/E=",0)</f>
        <v>#REF!</v>
      </c>
      <c r="II331" t="e">
        <f>AND(#REF!,"AAAAAHfz3/I=")</f>
        <v>#REF!</v>
      </c>
      <c r="IJ331" t="e">
        <f>AND(#REF!,"AAAAAHfz3/M=")</f>
        <v>#REF!</v>
      </c>
      <c r="IK331" t="e">
        <f>AND(#REF!,"AAAAAHfz3/Q=")</f>
        <v>#REF!</v>
      </c>
      <c r="IL331" t="e">
        <f>IF(#REF!,"AAAAAHfz3/U=",0)</f>
        <v>#REF!</v>
      </c>
      <c r="IM331" t="e">
        <f>AND(#REF!,"AAAAAHfz3/Y=")</f>
        <v>#REF!</v>
      </c>
      <c r="IN331" t="e">
        <f>AND(#REF!,"AAAAAHfz3/c=")</f>
        <v>#REF!</v>
      </c>
      <c r="IO331" t="e">
        <f>AND(#REF!,"AAAAAHfz3/g=")</f>
        <v>#REF!</v>
      </c>
      <c r="IP331" t="e">
        <f>IF(#REF!,"AAAAAHfz3/k=",0)</f>
        <v>#REF!</v>
      </c>
      <c r="IQ331" t="e">
        <f>AND(#REF!,"AAAAAHfz3/o=")</f>
        <v>#REF!</v>
      </c>
      <c r="IR331" t="e">
        <f>AND(#REF!,"AAAAAHfz3/s=")</f>
        <v>#REF!</v>
      </c>
      <c r="IS331" t="e">
        <f>AND(#REF!,"AAAAAHfz3/w=")</f>
        <v>#REF!</v>
      </c>
      <c r="IT331" t="e">
        <f>IF(#REF!,"AAAAAHfz3/0=",0)</f>
        <v>#REF!</v>
      </c>
      <c r="IU331" t="e">
        <f>AND(#REF!,"AAAAAHfz3/4=")</f>
        <v>#REF!</v>
      </c>
      <c r="IV331" t="e">
        <f>AND(#REF!,"AAAAAHfz3/8=")</f>
        <v>#REF!</v>
      </c>
    </row>
    <row r="332" spans="1:256">
      <c r="A332" t="e">
        <f>AND(#REF!,"AAAAAGjXXwA=")</f>
        <v>#REF!</v>
      </c>
      <c r="B332" t="e">
        <f>IF(#REF!,"AAAAAGjXXwE=",0)</f>
        <v>#REF!</v>
      </c>
      <c r="C332" t="e">
        <f>AND(#REF!,"AAAAAGjXXwI=")</f>
        <v>#REF!</v>
      </c>
      <c r="D332" t="e">
        <f>AND(#REF!,"AAAAAGjXXwM=")</f>
        <v>#REF!</v>
      </c>
      <c r="E332" t="e">
        <f>AND(#REF!,"AAAAAGjXXwQ=")</f>
        <v>#REF!</v>
      </c>
      <c r="F332" t="e">
        <f>IF(#REF!,"AAAAAGjXXwU=",0)</f>
        <v>#REF!</v>
      </c>
      <c r="G332" t="e">
        <f>AND(#REF!,"AAAAAGjXXwY=")</f>
        <v>#REF!</v>
      </c>
      <c r="H332" t="e">
        <f>AND(#REF!,"AAAAAGjXXwc=")</f>
        <v>#REF!</v>
      </c>
      <c r="I332" t="e">
        <f>AND(#REF!,"AAAAAGjXXwg=")</f>
        <v>#REF!</v>
      </c>
      <c r="J332" t="e">
        <f>IF(#REF!,"AAAAAGjXXwk=",0)</f>
        <v>#REF!</v>
      </c>
      <c r="K332" t="e">
        <f>AND(#REF!,"AAAAAGjXXwo=")</f>
        <v>#REF!</v>
      </c>
      <c r="L332" t="e">
        <f>AND(#REF!,"AAAAAGjXXws=")</f>
        <v>#REF!</v>
      </c>
      <c r="M332" t="e">
        <f>AND(#REF!,"AAAAAGjXXww=")</f>
        <v>#REF!</v>
      </c>
      <c r="N332" t="e">
        <f>IF(#REF!,"AAAAAGjXXw0=",0)</f>
        <v>#REF!</v>
      </c>
      <c r="O332" t="e">
        <f>AND(#REF!,"AAAAAGjXXw4=")</f>
        <v>#REF!</v>
      </c>
      <c r="P332" t="e">
        <f>AND(#REF!,"AAAAAGjXXw8=")</f>
        <v>#REF!</v>
      </c>
      <c r="Q332" t="e">
        <f>AND(#REF!,"AAAAAGjXXxA=")</f>
        <v>#REF!</v>
      </c>
      <c r="R332" t="e">
        <f>IF(#REF!,"AAAAAGjXXxE=",0)</f>
        <v>#REF!</v>
      </c>
      <c r="S332" t="e">
        <f>AND(#REF!,"AAAAAGjXXxI=")</f>
        <v>#REF!</v>
      </c>
      <c r="T332" t="e">
        <f>AND(#REF!,"AAAAAGjXXxM=")</f>
        <v>#REF!</v>
      </c>
      <c r="U332" t="e">
        <f>AND(#REF!,"AAAAAGjXXxQ=")</f>
        <v>#REF!</v>
      </c>
      <c r="V332" t="e">
        <f>IF(#REF!,"AAAAAGjXXxU=",0)</f>
        <v>#REF!</v>
      </c>
      <c r="W332" t="e">
        <f>AND(#REF!,"AAAAAGjXXxY=")</f>
        <v>#REF!</v>
      </c>
      <c r="X332" t="e">
        <f>AND(#REF!,"AAAAAGjXXxc=")</f>
        <v>#REF!</v>
      </c>
      <c r="Y332" t="e">
        <f>AND(#REF!,"AAAAAGjXXxg=")</f>
        <v>#REF!</v>
      </c>
      <c r="Z332" t="e">
        <f>IF(#REF!,"AAAAAGjXXxk=",0)</f>
        <v>#REF!</v>
      </c>
      <c r="AA332" t="e">
        <f>AND(#REF!,"AAAAAGjXXxo=")</f>
        <v>#REF!</v>
      </c>
      <c r="AB332" t="e">
        <f>AND(#REF!,"AAAAAGjXXxs=")</f>
        <v>#REF!</v>
      </c>
      <c r="AC332" t="e">
        <f>AND(#REF!,"AAAAAGjXXxw=")</f>
        <v>#REF!</v>
      </c>
      <c r="AD332" t="e">
        <f>IF(#REF!,"AAAAAGjXXx0=",0)</f>
        <v>#REF!</v>
      </c>
      <c r="AE332" t="e">
        <f>AND(#REF!,"AAAAAGjXXx4=")</f>
        <v>#REF!</v>
      </c>
      <c r="AF332" t="e">
        <f>AND(#REF!,"AAAAAGjXXx8=")</f>
        <v>#REF!</v>
      </c>
      <c r="AG332" t="e">
        <f>AND(#REF!,"AAAAAGjXXyA=")</f>
        <v>#REF!</v>
      </c>
      <c r="AH332" t="e">
        <f>IF(#REF!,"AAAAAGjXXyE=",0)</f>
        <v>#REF!</v>
      </c>
      <c r="AI332" t="e">
        <f>AND(#REF!,"AAAAAGjXXyI=")</f>
        <v>#REF!</v>
      </c>
      <c r="AJ332" t="e">
        <f>AND(#REF!,"AAAAAGjXXyM=")</f>
        <v>#REF!</v>
      </c>
      <c r="AK332" t="e">
        <f>AND(#REF!,"AAAAAGjXXyQ=")</f>
        <v>#REF!</v>
      </c>
      <c r="AL332" t="e">
        <f>IF(#REF!,"AAAAAGjXXyU=",0)</f>
        <v>#REF!</v>
      </c>
      <c r="AM332" t="e">
        <f>AND(#REF!,"AAAAAGjXXyY=")</f>
        <v>#REF!</v>
      </c>
      <c r="AN332" t="e">
        <f>AND(#REF!,"AAAAAGjXXyc=")</f>
        <v>#REF!</v>
      </c>
      <c r="AO332" t="e">
        <f>AND(#REF!,"AAAAAGjXXyg=")</f>
        <v>#REF!</v>
      </c>
      <c r="AP332" t="e">
        <f>IF(#REF!,"AAAAAGjXXyk=",0)</f>
        <v>#REF!</v>
      </c>
      <c r="AQ332" t="e">
        <f>AND(#REF!,"AAAAAGjXXyo=")</f>
        <v>#REF!</v>
      </c>
      <c r="AR332" t="e">
        <f>AND(#REF!,"AAAAAGjXXys=")</f>
        <v>#REF!</v>
      </c>
      <c r="AS332" t="e">
        <f>AND(#REF!,"AAAAAGjXXyw=")</f>
        <v>#REF!</v>
      </c>
      <c r="AT332" t="e">
        <f>IF(#REF!,"AAAAAGjXXy0=",0)</f>
        <v>#REF!</v>
      </c>
      <c r="AU332" t="e">
        <f>AND(#REF!,"AAAAAGjXXy4=")</f>
        <v>#REF!</v>
      </c>
      <c r="AV332" t="e">
        <f>AND(#REF!,"AAAAAGjXXy8=")</f>
        <v>#REF!</v>
      </c>
      <c r="AW332" t="e">
        <f>AND(#REF!,"AAAAAGjXXzA=")</f>
        <v>#REF!</v>
      </c>
      <c r="AX332" t="e">
        <f>IF(#REF!,"AAAAAGjXXzE=",0)</f>
        <v>#REF!</v>
      </c>
      <c r="AY332" t="e">
        <f>AND(#REF!,"AAAAAGjXXzI=")</f>
        <v>#REF!</v>
      </c>
      <c r="AZ332" t="e">
        <f>AND(#REF!,"AAAAAGjXXzM=")</f>
        <v>#REF!</v>
      </c>
      <c r="BA332" t="e">
        <f>AND(#REF!,"AAAAAGjXXzQ=")</f>
        <v>#REF!</v>
      </c>
      <c r="BB332" t="e">
        <f>IF(#REF!,"AAAAAGjXXzU=",0)</f>
        <v>#REF!</v>
      </c>
      <c r="BC332" t="e">
        <f>AND(#REF!,"AAAAAGjXXzY=")</f>
        <v>#REF!</v>
      </c>
      <c r="BD332" t="e">
        <f>AND(#REF!,"AAAAAGjXXzc=")</f>
        <v>#REF!</v>
      </c>
      <c r="BE332" t="e">
        <f>AND(#REF!,"AAAAAGjXXzg=")</f>
        <v>#REF!</v>
      </c>
      <c r="BF332" t="e">
        <f>IF(#REF!,"AAAAAGjXXzk=",0)</f>
        <v>#REF!</v>
      </c>
      <c r="BG332" t="e">
        <f>AND(#REF!,"AAAAAGjXXzo=")</f>
        <v>#REF!</v>
      </c>
      <c r="BH332" t="e">
        <f>AND(#REF!,"AAAAAGjXXzs=")</f>
        <v>#REF!</v>
      </c>
      <c r="BI332" t="e">
        <f>AND(#REF!,"AAAAAGjXXzw=")</f>
        <v>#REF!</v>
      </c>
      <c r="BJ332" t="e">
        <f>IF(#REF!,"AAAAAGjXXz0=",0)</f>
        <v>#REF!</v>
      </c>
      <c r="BK332" t="e">
        <f>AND(#REF!,"AAAAAGjXXz4=")</f>
        <v>#REF!</v>
      </c>
      <c r="BL332" t="e">
        <f>AND(#REF!,"AAAAAGjXXz8=")</f>
        <v>#REF!</v>
      </c>
      <c r="BM332" t="e">
        <f>AND(#REF!,"AAAAAGjXX0A=")</f>
        <v>#REF!</v>
      </c>
      <c r="BN332" t="e">
        <f>IF(#REF!,"AAAAAGjXX0E=",0)</f>
        <v>#REF!</v>
      </c>
      <c r="BO332" t="e">
        <f>AND(#REF!,"AAAAAGjXX0I=")</f>
        <v>#REF!</v>
      </c>
      <c r="BP332" t="e">
        <f>AND(#REF!,"AAAAAGjXX0M=")</f>
        <v>#REF!</v>
      </c>
      <c r="BQ332" t="e">
        <f>AND(#REF!,"AAAAAGjXX0Q=")</f>
        <v>#REF!</v>
      </c>
      <c r="BR332" t="e">
        <f>IF(#REF!,"AAAAAGjXX0U=",0)</f>
        <v>#REF!</v>
      </c>
      <c r="BS332" t="e">
        <f>AND(#REF!,"AAAAAGjXX0Y=")</f>
        <v>#REF!</v>
      </c>
      <c r="BT332" t="e">
        <f>AND(#REF!,"AAAAAGjXX0c=")</f>
        <v>#REF!</v>
      </c>
      <c r="BU332" t="e">
        <f>AND(#REF!,"AAAAAGjXX0g=")</f>
        <v>#REF!</v>
      </c>
      <c r="BV332" t="e">
        <f>IF(#REF!,"AAAAAGjXX0k=",0)</f>
        <v>#REF!</v>
      </c>
      <c r="BW332" t="e">
        <f>AND(#REF!,"AAAAAGjXX0o=")</f>
        <v>#REF!</v>
      </c>
      <c r="BX332" t="e">
        <f>AND(#REF!,"AAAAAGjXX0s=")</f>
        <v>#REF!</v>
      </c>
      <c r="BY332" t="e">
        <f>AND(#REF!,"AAAAAGjXX0w=")</f>
        <v>#REF!</v>
      </c>
      <c r="BZ332" t="e">
        <f>IF(#REF!,"AAAAAGjXX00=",0)</f>
        <v>#REF!</v>
      </c>
      <c r="CA332" t="e">
        <f>AND(#REF!,"AAAAAGjXX04=")</f>
        <v>#REF!</v>
      </c>
      <c r="CB332" t="e">
        <f>AND(#REF!,"AAAAAGjXX08=")</f>
        <v>#REF!</v>
      </c>
      <c r="CC332" t="e">
        <f>AND(#REF!,"AAAAAGjXX1A=")</f>
        <v>#REF!</v>
      </c>
      <c r="CD332" t="e">
        <f>IF(#REF!,"AAAAAGjXX1E=",0)</f>
        <v>#REF!</v>
      </c>
      <c r="CE332" t="e">
        <f>AND(#REF!,"AAAAAGjXX1I=")</f>
        <v>#REF!</v>
      </c>
      <c r="CF332" t="e">
        <f>AND(#REF!,"AAAAAGjXX1M=")</f>
        <v>#REF!</v>
      </c>
      <c r="CG332" t="e">
        <f>AND(#REF!,"AAAAAGjXX1Q=")</f>
        <v>#REF!</v>
      </c>
      <c r="CH332" t="e">
        <f>IF(#REF!,"AAAAAGjXX1U=",0)</f>
        <v>#REF!</v>
      </c>
      <c r="CI332" t="e">
        <f>AND(#REF!,"AAAAAGjXX1Y=")</f>
        <v>#REF!</v>
      </c>
      <c r="CJ332" t="e">
        <f>AND(#REF!,"AAAAAGjXX1c=")</f>
        <v>#REF!</v>
      </c>
      <c r="CK332" t="e">
        <f>AND(#REF!,"AAAAAGjXX1g=")</f>
        <v>#REF!</v>
      </c>
      <c r="CL332" t="e">
        <f>IF(#REF!,"AAAAAGjXX1k=",0)</f>
        <v>#REF!</v>
      </c>
      <c r="CM332" t="e">
        <f>AND(#REF!,"AAAAAGjXX1o=")</f>
        <v>#REF!</v>
      </c>
      <c r="CN332" t="e">
        <f>AND(#REF!,"AAAAAGjXX1s=")</f>
        <v>#REF!</v>
      </c>
      <c r="CO332" t="e">
        <f>AND(#REF!,"AAAAAGjXX1w=")</f>
        <v>#REF!</v>
      </c>
      <c r="CP332" t="e">
        <f>IF(#REF!,"AAAAAGjXX10=",0)</f>
        <v>#REF!</v>
      </c>
      <c r="CQ332" t="e">
        <f>AND(#REF!,"AAAAAGjXX14=")</f>
        <v>#REF!</v>
      </c>
      <c r="CR332" t="e">
        <f>AND(#REF!,"AAAAAGjXX18=")</f>
        <v>#REF!</v>
      </c>
      <c r="CS332" t="e">
        <f>AND(#REF!,"AAAAAGjXX2A=")</f>
        <v>#REF!</v>
      </c>
      <c r="CT332" t="e">
        <f>IF(#REF!,"AAAAAGjXX2E=",0)</f>
        <v>#REF!</v>
      </c>
      <c r="CU332" t="e">
        <f>AND(#REF!,"AAAAAGjXX2I=")</f>
        <v>#REF!</v>
      </c>
      <c r="CV332" t="e">
        <f>AND(#REF!,"AAAAAGjXX2M=")</f>
        <v>#REF!</v>
      </c>
      <c r="CW332" t="e">
        <f>AND(#REF!,"AAAAAGjXX2Q=")</f>
        <v>#REF!</v>
      </c>
      <c r="CX332" t="e">
        <f>IF(#REF!,"AAAAAGjXX2U=",0)</f>
        <v>#REF!</v>
      </c>
      <c r="CY332" t="e">
        <f>AND(#REF!,"AAAAAGjXX2Y=")</f>
        <v>#REF!</v>
      </c>
      <c r="CZ332" t="e">
        <f>AND(#REF!,"AAAAAGjXX2c=")</f>
        <v>#REF!</v>
      </c>
      <c r="DA332" t="e">
        <f>AND(#REF!,"AAAAAGjXX2g=")</f>
        <v>#REF!</v>
      </c>
      <c r="DB332" t="e">
        <f>IF(#REF!,"AAAAAGjXX2k=",0)</f>
        <v>#REF!</v>
      </c>
      <c r="DC332" t="e">
        <f>AND(#REF!,"AAAAAGjXX2o=")</f>
        <v>#REF!</v>
      </c>
      <c r="DD332" t="e">
        <f>AND(#REF!,"AAAAAGjXX2s=")</f>
        <v>#REF!</v>
      </c>
      <c r="DE332" t="e">
        <f>AND(#REF!,"AAAAAGjXX2w=")</f>
        <v>#REF!</v>
      </c>
      <c r="DF332" t="e">
        <f>IF(#REF!,"AAAAAGjXX20=",0)</f>
        <v>#REF!</v>
      </c>
      <c r="DG332" t="e">
        <f>AND(#REF!,"AAAAAGjXX24=")</f>
        <v>#REF!</v>
      </c>
      <c r="DH332" t="e">
        <f>AND(#REF!,"AAAAAGjXX28=")</f>
        <v>#REF!</v>
      </c>
      <c r="DI332" t="e">
        <f>AND(#REF!,"AAAAAGjXX3A=")</f>
        <v>#REF!</v>
      </c>
      <c r="DJ332" t="e">
        <f>IF(#REF!,"AAAAAGjXX3E=",0)</f>
        <v>#REF!</v>
      </c>
      <c r="DK332" t="e">
        <f>AND(#REF!,"AAAAAGjXX3I=")</f>
        <v>#REF!</v>
      </c>
      <c r="DL332" t="e">
        <f>AND(#REF!,"AAAAAGjXX3M=")</f>
        <v>#REF!</v>
      </c>
      <c r="DM332" t="e">
        <f>AND(#REF!,"AAAAAGjXX3Q=")</f>
        <v>#REF!</v>
      </c>
      <c r="DN332" t="e">
        <f>IF(#REF!,"AAAAAGjXX3U=",0)</f>
        <v>#REF!</v>
      </c>
      <c r="DO332" t="e">
        <f>AND(#REF!,"AAAAAGjXX3Y=")</f>
        <v>#REF!</v>
      </c>
      <c r="DP332" t="e">
        <f>AND(#REF!,"AAAAAGjXX3c=")</f>
        <v>#REF!</v>
      </c>
      <c r="DQ332" t="e">
        <f>AND(#REF!,"AAAAAGjXX3g=")</f>
        <v>#REF!</v>
      </c>
      <c r="DR332" t="e">
        <f>IF(#REF!,"AAAAAGjXX3k=",0)</f>
        <v>#REF!</v>
      </c>
      <c r="DS332" t="e">
        <f>AND(#REF!,"AAAAAGjXX3o=")</f>
        <v>#REF!</v>
      </c>
      <c r="DT332" t="e">
        <f>AND(#REF!,"AAAAAGjXX3s=")</f>
        <v>#REF!</v>
      </c>
      <c r="DU332" t="e">
        <f>AND(#REF!,"AAAAAGjXX3w=")</f>
        <v>#REF!</v>
      </c>
      <c r="DV332" t="e">
        <f>IF(#REF!,"AAAAAGjXX30=",0)</f>
        <v>#REF!</v>
      </c>
      <c r="DW332" t="e">
        <f>AND(#REF!,"AAAAAGjXX34=")</f>
        <v>#REF!</v>
      </c>
      <c r="DX332" t="e">
        <f>AND(#REF!,"AAAAAGjXX38=")</f>
        <v>#REF!</v>
      </c>
      <c r="DY332" t="e">
        <f>AND(#REF!,"AAAAAGjXX4A=")</f>
        <v>#REF!</v>
      </c>
      <c r="DZ332" t="e">
        <f>IF(#REF!,"AAAAAGjXX4E=",0)</f>
        <v>#REF!</v>
      </c>
      <c r="EA332" t="e">
        <f>AND(#REF!,"AAAAAGjXX4I=")</f>
        <v>#REF!</v>
      </c>
      <c r="EB332" t="e">
        <f>AND(#REF!,"AAAAAGjXX4M=")</f>
        <v>#REF!</v>
      </c>
      <c r="EC332" t="e">
        <f>AND(#REF!,"AAAAAGjXX4Q=")</f>
        <v>#REF!</v>
      </c>
      <c r="ED332" t="e">
        <f>IF(#REF!,"AAAAAGjXX4U=",0)</f>
        <v>#REF!</v>
      </c>
      <c r="EE332" t="e">
        <f>AND(#REF!,"AAAAAGjXX4Y=")</f>
        <v>#REF!</v>
      </c>
      <c r="EF332" t="e">
        <f>AND(#REF!,"AAAAAGjXX4c=")</f>
        <v>#REF!</v>
      </c>
      <c r="EG332" t="e">
        <f>AND(#REF!,"AAAAAGjXX4g=")</f>
        <v>#REF!</v>
      </c>
      <c r="EH332" t="e">
        <f>IF(#REF!,"AAAAAGjXX4k=",0)</f>
        <v>#REF!</v>
      </c>
      <c r="EI332" t="e">
        <f>AND(#REF!,"AAAAAGjXX4o=")</f>
        <v>#REF!</v>
      </c>
      <c r="EJ332" t="e">
        <f>AND(#REF!,"AAAAAGjXX4s=")</f>
        <v>#REF!</v>
      </c>
      <c r="EK332" t="e">
        <f>AND(#REF!,"AAAAAGjXX4w=")</f>
        <v>#REF!</v>
      </c>
      <c r="EL332" t="e">
        <f>IF(#REF!,"AAAAAGjXX40=",0)</f>
        <v>#REF!</v>
      </c>
      <c r="EM332" t="e">
        <f>AND(#REF!,"AAAAAGjXX44=")</f>
        <v>#REF!</v>
      </c>
      <c r="EN332" t="e">
        <f>AND(#REF!,"AAAAAGjXX48=")</f>
        <v>#REF!</v>
      </c>
      <c r="EO332" t="e">
        <f>AND(#REF!,"AAAAAGjXX5A=")</f>
        <v>#REF!</v>
      </c>
      <c r="EP332" t="e">
        <f>IF(#REF!,"AAAAAGjXX5E=",0)</f>
        <v>#REF!</v>
      </c>
      <c r="EQ332" t="e">
        <f>AND(#REF!,"AAAAAGjXX5I=")</f>
        <v>#REF!</v>
      </c>
      <c r="ER332" t="e">
        <f>AND(#REF!,"AAAAAGjXX5M=")</f>
        <v>#REF!</v>
      </c>
      <c r="ES332" t="e">
        <f>AND(#REF!,"AAAAAGjXX5Q=")</f>
        <v>#REF!</v>
      </c>
      <c r="ET332" t="e">
        <f>IF(#REF!,"AAAAAGjXX5U=",0)</f>
        <v>#REF!</v>
      </c>
      <c r="EU332" t="e">
        <f>AND(#REF!,"AAAAAGjXX5Y=")</f>
        <v>#REF!</v>
      </c>
      <c r="EV332" t="e">
        <f>AND(#REF!,"AAAAAGjXX5c=")</f>
        <v>#REF!</v>
      </c>
      <c r="EW332" t="e">
        <f>AND(#REF!,"AAAAAGjXX5g=")</f>
        <v>#REF!</v>
      </c>
      <c r="EX332" t="e">
        <f>IF(#REF!,"AAAAAGjXX5k=",0)</f>
        <v>#REF!</v>
      </c>
      <c r="EY332" t="e">
        <f>AND(#REF!,"AAAAAGjXX5o=")</f>
        <v>#REF!</v>
      </c>
      <c r="EZ332" t="e">
        <f>AND(#REF!,"AAAAAGjXX5s=")</f>
        <v>#REF!</v>
      </c>
      <c r="FA332" t="e">
        <f>AND(#REF!,"AAAAAGjXX5w=")</f>
        <v>#REF!</v>
      </c>
      <c r="FB332" t="e">
        <f>IF(#REF!,"AAAAAGjXX50=",0)</f>
        <v>#REF!</v>
      </c>
      <c r="FC332" t="e">
        <f>AND(#REF!,"AAAAAGjXX54=")</f>
        <v>#REF!</v>
      </c>
      <c r="FD332" t="e">
        <f>AND(#REF!,"AAAAAGjXX58=")</f>
        <v>#REF!</v>
      </c>
      <c r="FE332" t="e">
        <f>AND(#REF!,"AAAAAGjXX6A=")</f>
        <v>#REF!</v>
      </c>
      <c r="FF332" t="e">
        <f>IF(#REF!,"AAAAAGjXX6E=",0)</f>
        <v>#REF!</v>
      </c>
      <c r="FG332" t="e">
        <f>AND(#REF!,"AAAAAGjXX6I=")</f>
        <v>#REF!</v>
      </c>
      <c r="FH332" t="e">
        <f>AND(#REF!,"AAAAAGjXX6M=")</f>
        <v>#REF!</v>
      </c>
      <c r="FI332" t="e">
        <f>AND(#REF!,"AAAAAGjXX6Q=")</f>
        <v>#REF!</v>
      </c>
      <c r="FJ332" t="e">
        <f>IF(#REF!,"AAAAAGjXX6U=",0)</f>
        <v>#REF!</v>
      </c>
      <c r="FK332" t="e">
        <f>AND(#REF!,"AAAAAGjXX6Y=")</f>
        <v>#REF!</v>
      </c>
      <c r="FL332" t="e">
        <f>AND(#REF!,"AAAAAGjXX6c=")</f>
        <v>#REF!</v>
      </c>
      <c r="FM332" t="e">
        <f>AND(#REF!,"AAAAAGjXX6g=")</f>
        <v>#REF!</v>
      </c>
      <c r="FN332" t="e">
        <f>IF(#REF!,"AAAAAGjXX6k=",0)</f>
        <v>#REF!</v>
      </c>
      <c r="FO332" t="e">
        <f>AND(#REF!,"AAAAAGjXX6o=")</f>
        <v>#REF!</v>
      </c>
      <c r="FP332" t="e">
        <f>AND(#REF!,"AAAAAGjXX6s=")</f>
        <v>#REF!</v>
      </c>
      <c r="FQ332" t="e">
        <f>AND(#REF!,"AAAAAGjXX6w=")</f>
        <v>#REF!</v>
      </c>
      <c r="FR332" t="e">
        <f>IF(#REF!,"AAAAAGjXX60=",0)</f>
        <v>#REF!</v>
      </c>
      <c r="FS332" t="e">
        <f>AND(#REF!,"AAAAAGjXX64=")</f>
        <v>#REF!</v>
      </c>
      <c r="FT332" t="e">
        <f>AND(#REF!,"AAAAAGjXX68=")</f>
        <v>#REF!</v>
      </c>
      <c r="FU332" t="e">
        <f>AND(#REF!,"AAAAAGjXX7A=")</f>
        <v>#REF!</v>
      </c>
      <c r="FV332" t="e">
        <f>IF(#REF!,"AAAAAGjXX7E=",0)</f>
        <v>#REF!</v>
      </c>
      <c r="FW332" t="e">
        <f>AND(#REF!,"AAAAAGjXX7I=")</f>
        <v>#REF!</v>
      </c>
      <c r="FX332" t="e">
        <f>AND(#REF!,"AAAAAGjXX7M=")</f>
        <v>#REF!</v>
      </c>
      <c r="FY332" t="e">
        <f>AND(#REF!,"AAAAAGjXX7Q=")</f>
        <v>#REF!</v>
      </c>
      <c r="FZ332" t="e">
        <f>IF(#REF!,"AAAAAGjXX7U=",0)</f>
        <v>#REF!</v>
      </c>
      <c r="GA332" t="e">
        <f>AND(#REF!,"AAAAAGjXX7Y=")</f>
        <v>#REF!</v>
      </c>
      <c r="GB332" t="e">
        <f>AND(#REF!,"AAAAAGjXX7c=")</f>
        <v>#REF!</v>
      </c>
      <c r="GC332" t="e">
        <f>AND(#REF!,"AAAAAGjXX7g=")</f>
        <v>#REF!</v>
      </c>
      <c r="GD332" t="e">
        <f>IF(#REF!,"AAAAAGjXX7k=",0)</f>
        <v>#REF!</v>
      </c>
      <c r="GE332" t="e">
        <f>AND(#REF!,"AAAAAGjXX7o=")</f>
        <v>#REF!</v>
      </c>
      <c r="GF332" t="e">
        <f>AND(#REF!,"AAAAAGjXX7s=")</f>
        <v>#REF!</v>
      </c>
      <c r="GG332" t="e">
        <f>AND(#REF!,"AAAAAGjXX7w=")</f>
        <v>#REF!</v>
      </c>
      <c r="GH332" t="e">
        <f>IF(#REF!,"AAAAAGjXX70=",0)</f>
        <v>#REF!</v>
      </c>
      <c r="GI332" t="e">
        <f>AND(#REF!,"AAAAAGjXX74=")</f>
        <v>#REF!</v>
      </c>
      <c r="GJ332" t="e">
        <f>AND(#REF!,"AAAAAGjXX78=")</f>
        <v>#REF!</v>
      </c>
      <c r="GK332" t="e">
        <f>AND(#REF!,"AAAAAGjXX8A=")</f>
        <v>#REF!</v>
      </c>
      <c r="GL332" t="e">
        <f>IF(#REF!,"AAAAAGjXX8E=",0)</f>
        <v>#REF!</v>
      </c>
      <c r="GM332" t="e">
        <f>AND(#REF!,"AAAAAGjXX8I=")</f>
        <v>#REF!</v>
      </c>
      <c r="GN332" t="e">
        <f>AND(#REF!,"AAAAAGjXX8M=")</f>
        <v>#REF!</v>
      </c>
      <c r="GO332" t="e">
        <f>AND(#REF!,"AAAAAGjXX8Q=")</f>
        <v>#REF!</v>
      </c>
      <c r="GP332" t="e">
        <f>IF(#REF!,"AAAAAGjXX8U=",0)</f>
        <v>#REF!</v>
      </c>
      <c r="GQ332" t="e">
        <f>AND(#REF!,"AAAAAGjXX8Y=")</f>
        <v>#REF!</v>
      </c>
      <c r="GR332" t="e">
        <f>AND(#REF!,"AAAAAGjXX8c=")</f>
        <v>#REF!</v>
      </c>
      <c r="GS332" t="e">
        <f>AND(#REF!,"AAAAAGjXX8g=")</f>
        <v>#REF!</v>
      </c>
      <c r="GT332" t="e">
        <f>IF(#REF!,"AAAAAGjXX8k=",0)</f>
        <v>#REF!</v>
      </c>
      <c r="GU332" t="e">
        <f>AND(#REF!,"AAAAAGjXX8o=")</f>
        <v>#REF!</v>
      </c>
      <c r="GV332" t="e">
        <f>AND(#REF!,"AAAAAGjXX8s=")</f>
        <v>#REF!</v>
      </c>
      <c r="GW332" t="e">
        <f>AND(#REF!,"AAAAAGjXX8w=")</f>
        <v>#REF!</v>
      </c>
      <c r="GX332" t="e">
        <f>IF(#REF!,"AAAAAGjXX80=",0)</f>
        <v>#REF!</v>
      </c>
      <c r="GY332" t="e">
        <f>AND(#REF!,"AAAAAGjXX84=")</f>
        <v>#REF!</v>
      </c>
      <c r="GZ332" t="e">
        <f>AND(#REF!,"AAAAAGjXX88=")</f>
        <v>#REF!</v>
      </c>
      <c r="HA332" t="e">
        <f>AND(#REF!,"AAAAAGjXX9A=")</f>
        <v>#REF!</v>
      </c>
      <c r="HB332" t="e">
        <f>IF(#REF!,"AAAAAGjXX9E=",0)</f>
        <v>#REF!</v>
      </c>
      <c r="HC332" t="e">
        <f>AND(#REF!,"AAAAAGjXX9I=")</f>
        <v>#REF!</v>
      </c>
      <c r="HD332" t="e">
        <f>AND(#REF!,"AAAAAGjXX9M=")</f>
        <v>#REF!</v>
      </c>
      <c r="HE332" t="e">
        <f>AND(#REF!,"AAAAAGjXX9Q=")</f>
        <v>#REF!</v>
      </c>
      <c r="HF332" t="e">
        <f>IF(#REF!,"AAAAAGjXX9U=",0)</f>
        <v>#REF!</v>
      </c>
      <c r="HG332" t="e">
        <f>AND(#REF!,"AAAAAGjXX9Y=")</f>
        <v>#REF!</v>
      </c>
      <c r="HH332" t="e">
        <f>AND(#REF!,"AAAAAGjXX9c=")</f>
        <v>#REF!</v>
      </c>
      <c r="HI332" t="e">
        <f>AND(#REF!,"AAAAAGjXX9g=")</f>
        <v>#REF!</v>
      </c>
      <c r="HJ332" t="e">
        <f>IF(#REF!,"AAAAAGjXX9k=",0)</f>
        <v>#REF!</v>
      </c>
      <c r="HK332" t="e">
        <f>AND(#REF!,"AAAAAGjXX9o=")</f>
        <v>#REF!</v>
      </c>
      <c r="HL332" t="e">
        <f>AND(#REF!,"AAAAAGjXX9s=")</f>
        <v>#REF!</v>
      </c>
      <c r="HM332" t="e">
        <f>AND(#REF!,"AAAAAGjXX9w=")</f>
        <v>#REF!</v>
      </c>
      <c r="HN332" t="e">
        <f>IF(#REF!,"AAAAAGjXX90=",0)</f>
        <v>#REF!</v>
      </c>
      <c r="HO332" t="e">
        <f>AND(#REF!,"AAAAAGjXX94=")</f>
        <v>#REF!</v>
      </c>
      <c r="HP332" t="e">
        <f>AND(#REF!,"AAAAAGjXX98=")</f>
        <v>#REF!</v>
      </c>
      <c r="HQ332" t="e">
        <f>AND(#REF!,"AAAAAGjXX+A=")</f>
        <v>#REF!</v>
      </c>
      <c r="HR332" t="e">
        <f>IF(#REF!,"AAAAAGjXX+E=",0)</f>
        <v>#REF!</v>
      </c>
      <c r="HS332" t="e">
        <f>AND(#REF!,"AAAAAGjXX+I=")</f>
        <v>#REF!</v>
      </c>
      <c r="HT332" t="e">
        <f>AND(#REF!,"AAAAAGjXX+M=")</f>
        <v>#REF!</v>
      </c>
      <c r="HU332" t="e">
        <f>AND(#REF!,"AAAAAGjXX+Q=")</f>
        <v>#REF!</v>
      </c>
      <c r="HV332" t="e">
        <f>IF(#REF!,"AAAAAGjXX+U=",0)</f>
        <v>#REF!</v>
      </c>
      <c r="HW332" t="e">
        <f>AND(#REF!,"AAAAAGjXX+Y=")</f>
        <v>#REF!</v>
      </c>
      <c r="HX332" t="e">
        <f>AND(#REF!,"AAAAAGjXX+c=")</f>
        <v>#REF!</v>
      </c>
      <c r="HY332" t="e">
        <f>AND(#REF!,"AAAAAGjXX+g=")</f>
        <v>#REF!</v>
      </c>
      <c r="HZ332" t="e">
        <f>IF(#REF!,"AAAAAGjXX+k=",0)</f>
        <v>#REF!</v>
      </c>
      <c r="IA332" t="e">
        <f>AND(#REF!,"AAAAAGjXX+o=")</f>
        <v>#REF!</v>
      </c>
      <c r="IB332" t="e">
        <f>AND(#REF!,"AAAAAGjXX+s=")</f>
        <v>#REF!</v>
      </c>
      <c r="IC332" t="e">
        <f>AND(#REF!,"AAAAAGjXX+w=")</f>
        <v>#REF!</v>
      </c>
      <c r="ID332" t="e">
        <f>IF(#REF!,"AAAAAGjXX+0=",0)</f>
        <v>#REF!</v>
      </c>
      <c r="IE332" t="e">
        <f>AND(#REF!,"AAAAAGjXX+4=")</f>
        <v>#REF!</v>
      </c>
      <c r="IF332" t="e">
        <f>AND(#REF!,"AAAAAGjXX+8=")</f>
        <v>#REF!</v>
      </c>
      <c r="IG332" t="e">
        <f>AND(#REF!,"AAAAAGjXX/A=")</f>
        <v>#REF!</v>
      </c>
      <c r="IH332" t="e">
        <f>IF(#REF!,"AAAAAGjXX/E=",0)</f>
        <v>#REF!</v>
      </c>
      <c r="II332" t="e">
        <f>AND(#REF!,"AAAAAGjXX/I=")</f>
        <v>#REF!</v>
      </c>
      <c r="IJ332" t="e">
        <f>AND(#REF!,"AAAAAGjXX/M=")</f>
        <v>#REF!</v>
      </c>
      <c r="IK332" t="e">
        <f>AND(#REF!,"AAAAAGjXX/Q=")</f>
        <v>#REF!</v>
      </c>
      <c r="IL332" t="e">
        <f>IF(#REF!,"AAAAAGjXX/U=",0)</f>
        <v>#REF!</v>
      </c>
      <c r="IM332" t="e">
        <f>AND(#REF!,"AAAAAGjXX/Y=")</f>
        <v>#REF!</v>
      </c>
      <c r="IN332" t="e">
        <f>AND(#REF!,"AAAAAGjXX/c=")</f>
        <v>#REF!</v>
      </c>
      <c r="IO332" t="e">
        <f>AND(#REF!,"AAAAAGjXX/g=")</f>
        <v>#REF!</v>
      </c>
      <c r="IP332" t="e">
        <f>IF(#REF!,"AAAAAGjXX/k=",0)</f>
        <v>#REF!</v>
      </c>
      <c r="IQ332" t="e">
        <f>AND(#REF!,"AAAAAGjXX/o=")</f>
        <v>#REF!</v>
      </c>
      <c r="IR332" t="e">
        <f>AND(#REF!,"AAAAAGjXX/s=")</f>
        <v>#REF!</v>
      </c>
      <c r="IS332" t="e">
        <f>AND(#REF!,"AAAAAGjXX/w=")</f>
        <v>#REF!</v>
      </c>
      <c r="IT332" t="e">
        <f>IF(#REF!,"AAAAAGjXX/0=",0)</f>
        <v>#REF!</v>
      </c>
      <c r="IU332" t="e">
        <f>AND(#REF!,"AAAAAGjXX/4=")</f>
        <v>#REF!</v>
      </c>
      <c r="IV332" t="e">
        <f>AND(#REF!,"AAAAAGjXX/8=")</f>
        <v>#REF!</v>
      </c>
    </row>
    <row r="333" spans="1:256">
      <c r="A333" t="e">
        <f>AND(#REF!,"AAAAAG7cfwA=")</f>
        <v>#REF!</v>
      </c>
      <c r="B333" t="e">
        <f>IF(#REF!,"AAAAAG7cfwE=",0)</f>
        <v>#REF!</v>
      </c>
      <c r="C333" t="e">
        <f>AND(#REF!,"AAAAAG7cfwI=")</f>
        <v>#REF!</v>
      </c>
      <c r="D333" t="e">
        <f>AND(#REF!,"AAAAAG7cfwM=")</f>
        <v>#REF!</v>
      </c>
      <c r="E333" t="e">
        <f>AND(#REF!,"AAAAAG7cfwQ=")</f>
        <v>#REF!</v>
      </c>
      <c r="F333" t="e">
        <f>IF(#REF!,"AAAAAG7cfwU=",0)</f>
        <v>#REF!</v>
      </c>
      <c r="G333" t="e">
        <f>AND(#REF!,"AAAAAG7cfwY=")</f>
        <v>#REF!</v>
      </c>
      <c r="H333" t="e">
        <f>AND(#REF!,"AAAAAG7cfwc=")</f>
        <v>#REF!</v>
      </c>
      <c r="I333" t="e">
        <f>AND(#REF!,"AAAAAG7cfwg=")</f>
        <v>#REF!</v>
      </c>
      <c r="J333" t="e">
        <f>IF(#REF!,"AAAAAG7cfwk=",0)</f>
        <v>#REF!</v>
      </c>
      <c r="K333" t="e">
        <f>AND(#REF!,"AAAAAG7cfwo=")</f>
        <v>#REF!</v>
      </c>
      <c r="L333" t="e">
        <f>AND(#REF!,"AAAAAG7cfws=")</f>
        <v>#REF!</v>
      </c>
      <c r="M333" t="e">
        <f>AND(#REF!,"AAAAAG7cfww=")</f>
        <v>#REF!</v>
      </c>
      <c r="N333" t="e">
        <f>IF(#REF!,"AAAAAG7cfw0=",0)</f>
        <v>#REF!</v>
      </c>
      <c r="O333" t="e">
        <f>AND(#REF!,"AAAAAG7cfw4=")</f>
        <v>#REF!</v>
      </c>
      <c r="P333" t="e">
        <f>AND(#REF!,"AAAAAG7cfw8=")</f>
        <v>#REF!</v>
      </c>
      <c r="Q333" t="e">
        <f>AND(#REF!,"AAAAAG7cfxA=")</f>
        <v>#REF!</v>
      </c>
      <c r="R333" t="e">
        <f>IF(#REF!,"AAAAAG7cfxE=",0)</f>
        <v>#REF!</v>
      </c>
      <c r="S333" t="e">
        <f>AND(#REF!,"AAAAAG7cfxI=")</f>
        <v>#REF!</v>
      </c>
      <c r="T333" t="e">
        <f>AND(#REF!,"AAAAAG7cfxM=")</f>
        <v>#REF!</v>
      </c>
      <c r="U333" t="e">
        <f>AND(#REF!,"AAAAAG7cfxQ=")</f>
        <v>#REF!</v>
      </c>
      <c r="V333" t="e">
        <f>IF(#REF!,"AAAAAG7cfxU=",0)</f>
        <v>#REF!</v>
      </c>
      <c r="W333" t="e">
        <f>AND(#REF!,"AAAAAG7cfxY=")</f>
        <v>#REF!</v>
      </c>
      <c r="X333" t="e">
        <f>AND(#REF!,"AAAAAG7cfxc=")</f>
        <v>#REF!</v>
      </c>
      <c r="Y333" t="e">
        <f>AND(#REF!,"AAAAAG7cfxg=")</f>
        <v>#REF!</v>
      </c>
      <c r="Z333" t="e">
        <f>IF(#REF!,"AAAAAG7cfxk=",0)</f>
        <v>#REF!</v>
      </c>
      <c r="AA333" t="e">
        <f>AND(#REF!,"AAAAAG7cfxo=")</f>
        <v>#REF!</v>
      </c>
      <c r="AB333" t="e">
        <f>AND(#REF!,"AAAAAG7cfxs=")</f>
        <v>#REF!</v>
      </c>
      <c r="AC333" t="e">
        <f>AND(#REF!,"AAAAAG7cfxw=")</f>
        <v>#REF!</v>
      </c>
      <c r="AD333" t="e">
        <f>IF(#REF!,"AAAAAG7cfx0=",0)</f>
        <v>#REF!</v>
      </c>
      <c r="AE333" t="e">
        <f>AND(#REF!,"AAAAAG7cfx4=")</f>
        <v>#REF!</v>
      </c>
      <c r="AF333" t="e">
        <f>AND(#REF!,"AAAAAG7cfx8=")</f>
        <v>#REF!</v>
      </c>
      <c r="AG333" t="e">
        <f>AND(#REF!,"AAAAAG7cfyA=")</f>
        <v>#REF!</v>
      </c>
      <c r="AH333" t="e">
        <f>IF(#REF!,"AAAAAG7cfyE=",0)</f>
        <v>#REF!</v>
      </c>
      <c r="AI333" t="e">
        <f>AND(#REF!,"AAAAAG7cfyI=")</f>
        <v>#REF!</v>
      </c>
      <c r="AJ333" t="e">
        <f>AND(#REF!,"AAAAAG7cfyM=")</f>
        <v>#REF!</v>
      </c>
      <c r="AK333" t="e">
        <f>AND(#REF!,"AAAAAG7cfyQ=")</f>
        <v>#REF!</v>
      </c>
      <c r="AL333" t="e">
        <f>IF(#REF!,"AAAAAG7cfyU=",0)</f>
        <v>#REF!</v>
      </c>
      <c r="AM333" t="e">
        <f>AND(#REF!,"AAAAAG7cfyY=")</f>
        <v>#REF!</v>
      </c>
      <c r="AN333" t="e">
        <f>AND(#REF!,"AAAAAG7cfyc=")</f>
        <v>#REF!</v>
      </c>
      <c r="AO333" t="e">
        <f>AND(#REF!,"AAAAAG7cfyg=")</f>
        <v>#REF!</v>
      </c>
      <c r="AP333" t="e">
        <f>IF(#REF!,"AAAAAG7cfyk=",0)</f>
        <v>#REF!</v>
      </c>
      <c r="AQ333" t="e">
        <f>AND(#REF!,"AAAAAG7cfyo=")</f>
        <v>#REF!</v>
      </c>
      <c r="AR333" t="e">
        <f>AND(#REF!,"AAAAAG7cfys=")</f>
        <v>#REF!</v>
      </c>
      <c r="AS333" t="e">
        <f>AND(#REF!,"AAAAAG7cfyw=")</f>
        <v>#REF!</v>
      </c>
      <c r="AT333" t="e">
        <f>IF(#REF!,"AAAAAG7cfy0=",0)</f>
        <v>#REF!</v>
      </c>
      <c r="AU333" t="e">
        <f>AND(#REF!,"AAAAAG7cfy4=")</f>
        <v>#REF!</v>
      </c>
      <c r="AV333" t="e">
        <f>AND(#REF!,"AAAAAG7cfy8=")</f>
        <v>#REF!</v>
      </c>
      <c r="AW333" t="e">
        <f>AND(#REF!,"AAAAAG7cfzA=")</f>
        <v>#REF!</v>
      </c>
      <c r="AX333" t="e">
        <f>IF(#REF!,"AAAAAG7cfzE=",0)</f>
        <v>#REF!</v>
      </c>
      <c r="AY333" t="e">
        <f>AND(#REF!,"AAAAAG7cfzI=")</f>
        <v>#REF!</v>
      </c>
      <c r="AZ333" t="e">
        <f>AND(#REF!,"AAAAAG7cfzM=")</f>
        <v>#REF!</v>
      </c>
      <c r="BA333" t="e">
        <f>AND(#REF!,"AAAAAG7cfzQ=")</f>
        <v>#REF!</v>
      </c>
      <c r="BB333" t="e">
        <f>IF(#REF!,"AAAAAG7cfzU=",0)</f>
        <v>#REF!</v>
      </c>
      <c r="BC333" t="e">
        <f>AND(#REF!,"AAAAAG7cfzY=")</f>
        <v>#REF!</v>
      </c>
      <c r="BD333" t="e">
        <f>AND(#REF!,"AAAAAG7cfzc=")</f>
        <v>#REF!</v>
      </c>
      <c r="BE333" t="e">
        <f>AND(#REF!,"AAAAAG7cfzg=")</f>
        <v>#REF!</v>
      </c>
      <c r="BF333" t="e">
        <f>IF(#REF!,"AAAAAG7cfzk=",0)</f>
        <v>#REF!</v>
      </c>
      <c r="BG333" t="e">
        <f>AND(#REF!,"AAAAAG7cfzo=")</f>
        <v>#REF!</v>
      </c>
      <c r="BH333" t="e">
        <f>AND(#REF!,"AAAAAG7cfzs=")</f>
        <v>#REF!</v>
      </c>
      <c r="BI333" t="e">
        <f>AND(#REF!,"AAAAAG7cfzw=")</f>
        <v>#REF!</v>
      </c>
      <c r="BJ333" t="e">
        <f>IF(#REF!,"AAAAAG7cfz0=",0)</f>
        <v>#REF!</v>
      </c>
      <c r="BK333" t="e">
        <f>AND(#REF!,"AAAAAG7cfz4=")</f>
        <v>#REF!</v>
      </c>
      <c r="BL333" t="e">
        <f>AND(#REF!,"AAAAAG7cfz8=")</f>
        <v>#REF!</v>
      </c>
      <c r="BM333" t="e">
        <f>AND(#REF!,"AAAAAG7cf0A=")</f>
        <v>#REF!</v>
      </c>
      <c r="BN333" t="e">
        <f>IF(#REF!,"AAAAAG7cf0E=",0)</f>
        <v>#REF!</v>
      </c>
      <c r="BO333" t="e">
        <f>AND(#REF!,"AAAAAG7cf0I=")</f>
        <v>#REF!</v>
      </c>
      <c r="BP333" t="e">
        <f>AND(#REF!,"AAAAAG7cf0M=")</f>
        <v>#REF!</v>
      </c>
      <c r="BQ333" t="e">
        <f>AND(#REF!,"AAAAAG7cf0Q=")</f>
        <v>#REF!</v>
      </c>
      <c r="BR333" t="e">
        <f>IF(#REF!,"AAAAAG7cf0U=",0)</f>
        <v>#REF!</v>
      </c>
      <c r="BS333" t="e">
        <f>AND(#REF!,"AAAAAG7cf0Y=")</f>
        <v>#REF!</v>
      </c>
      <c r="BT333" t="e">
        <f>AND(#REF!,"AAAAAG7cf0c=")</f>
        <v>#REF!</v>
      </c>
      <c r="BU333" t="e">
        <f>AND(#REF!,"AAAAAG7cf0g=")</f>
        <v>#REF!</v>
      </c>
      <c r="BV333" t="e">
        <f>IF(#REF!,"AAAAAG7cf0k=",0)</f>
        <v>#REF!</v>
      </c>
      <c r="BW333" t="e">
        <f>AND(#REF!,"AAAAAG7cf0o=")</f>
        <v>#REF!</v>
      </c>
      <c r="BX333" t="e">
        <f>AND(#REF!,"AAAAAG7cf0s=")</f>
        <v>#REF!</v>
      </c>
      <c r="BY333" t="e">
        <f>AND(#REF!,"AAAAAG7cf0w=")</f>
        <v>#REF!</v>
      </c>
      <c r="BZ333" t="e">
        <f>IF(#REF!,"AAAAAG7cf00=",0)</f>
        <v>#REF!</v>
      </c>
      <c r="CA333" t="e">
        <f>AND(#REF!,"AAAAAG7cf04=")</f>
        <v>#REF!</v>
      </c>
      <c r="CB333" t="e">
        <f>AND(#REF!,"AAAAAG7cf08=")</f>
        <v>#REF!</v>
      </c>
      <c r="CC333" t="e">
        <f>AND(#REF!,"AAAAAG7cf1A=")</f>
        <v>#REF!</v>
      </c>
      <c r="CD333" t="e">
        <f>IF(#REF!,"AAAAAG7cf1E=",0)</f>
        <v>#REF!</v>
      </c>
      <c r="CE333" t="e">
        <f>AND(#REF!,"AAAAAG7cf1I=")</f>
        <v>#REF!</v>
      </c>
      <c r="CF333" t="e">
        <f>AND(#REF!,"AAAAAG7cf1M=")</f>
        <v>#REF!</v>
      </c>
      <c r="CG333" t="e">
        <f>AND(#REF!,"AAAAAG7cf1Q=")</f>
        <v>#REF!</v>
      </c>
      <c r="CH333" t="e">
        <f>IF(#REF!,"AAAAAG7cf1U=",0)</f>
        <v>#REF!</v>
      </c>
      <c r="CI333" t="e">
        <f>AND(#REF!,"AAAAAG7cf1Y=")</f>
        <v>#REF!</v>
      </c>
      <c r="CJ333" t="e">
        <f>AND(#REF!,"AAAAAG7cf1c=")</f>
        <v>#REF!</v>
      </c>
      <c r="CK333" t="e">
        <f>AND(#REF!,"AAAAAG7cf1g=")</f>
        <v>#REF!</v>
      </c>
      <c r="CL333" t="e">
        <f>IF(#REF!,"AAAAAG7cf1k=",0)</f>
        <v>#REF!</v>
      </c>
      <c r="CM333" t="e">
        <f>AND(#REF!,"AAAAAG7cf1o=")</f>
        <v>#REF!</v>
      </c>
      <c r="CN333" t="e">
        <f>AND(#REF!,"AAAAAG7cf1s=")</f>
        <v>#REF!</v>
      </c>
      <c r="CO333" t="e">
        <f>AND(#REF!,"AAAAAG7cf1w=")</f>
        <v>#REF!</v>
      </c>
      <c r="CP333" t="e">
        <f>IF(#REF!,"AAAAAG7cf10=",0)</f>
        <v>#REF!</v>
      </c>
      <c r="CQ333" t="e">
        <f>AND(#REF!,"AAAAAG7cf14=")</f>
        <v>#REF!</v>
      </c>
      <c r="CR333" t="e">
        <f>AND(#REF!,"AAAAAG7cf18=")</f>
        <v>#REF!</v>
      </c>
      <c r="CS333" t="e">
        <f>AND(#REF!,"AAAAAG7cf2A=")</f>
        <v>#REF!</v>
      </c>
      <c r="CT333" t="e">
        <f>IF(#REF!,"AAAAAG7cf2E=",0)</f>
        <v>#REF!</v>
      </c>
      <c r="CU333" t="e">
        <f>AND(#REF!,"AAAAAG7cf2I=")</f>
        <v>#REF!</v>
      </c>
      <c r="CV333" t="e">
        <f>AND(#REF!,"AAAAAG7cf2M=")</f>
        <v>#REF!</v>
      </c>
      <c r="CW333" t="e">
        <f>AND(#REF!,"AAAAAG7cf2Q=")</f>
        <v>#REF!</v>
      </c>
      <c r="CX333" t="e">
        <f>IF(#REF!,"AAAAAG7cf2U=",0)</f>
        <v>#REF!</v>
      </c>
      <c r="CY333" t="e">
        <f>AND(#REF!,"AAAAAG7cf2Y=")</f>
        <v>#REF!</v>
      </c>
      <c r="CZ333" t="e">
        <f>AND(#REF!,"AAAAAG7cf2c=")</f>
        <v>#REF!</v>
      </c>
      <c r="DA333" t="e">
        <f>AND(#REF!,"AAAAAG7cf2g=")</f>
        <v>#REF!</v>
      </c>
      <c r="DB333" t="e">
        <f>IF(#REF!,"AAAAAG7cf2k=",0)</f>
        <v>#REF!</v>
      </c>
      <c r="DC333" t="e">
        <f>AND(#REF!,"AAAAAG7cf2o=")</f>
        <v>#REF!</v>
      </c>
      <c r="DD333" t="e">
        <f>AND(#REF!,"AAAAAG7cf2s=")</f>
        <v>#REF!</v>
      </c>
      <c r="DE333" t="e">
        <f>AND(#REF!,"AAAAAG7cf2w=")</f>
        <v>#REF!</v>
      </c>
      <c r="DF333" t="e">
        <f>IF(#REF!,"AAAAAG7cf20=",0)</f>
        <v>#REF!</v>
      </c>
      <c r="DG333" t="e">
        <f>AND(#REF!,"AAAAAG7cf24=")</f>
        <v>#REF!</v>
      </c>
      <c r="DH333" t="e">
        <f>AND(#REF!,"AAAAAG7cf28=")</f>
        <v>#REF!</v>
      </c>
      <c r="DI333" t="e">
        <f>AND(#REF!,"AAAAAG7cf3A=")</f>
        <v>#REF!</v>
      </c>
      <c r="DJ333" t="e">
        <f>IF(#REF!,"AAAAAG7cf3E=",0)</f>
        <v>#REF!</v>
      </c>
      <c r="DK333" t="e">
        <f>AND(#REF!,"AAAAAG7cf3I=")</f>
        <v>#REF!</v>
      </c>
      <c r="DL333" t="e">
        <f>AND(#REF!,"AAAAAG7cf3M=")</f>
        <v>#REF!</v>
      </c>
      <c r="DM333" t="e">
        <f>AND(#REF!,"AAAAAG7cf3Q=")</f>
        <v>#REF!</v>
      </c>
      <c r="DN333" t="e">
        <f>IF(#REF!,"AAAAAG7cf3U=",0)</f>
        <v>#REF!</v>
      </c>
      <c r="DO333" t="e">
        <f>AND(#REF!,"AAAAAG7cf3Y=")</f>
        <v>#REF!</v>
      </c>
      <c r="DP333" t="e">
        <f>AND(#REF!,"AAAAAG7cf3c=")</f>
        <v>#REF!</v>
      </c>
      <c r="DQ333" t="e">
        <f>AND(#REF!,"AAAAAG7cf3g=")</f>
        <v>#REF!</v>
      </c>
      <c r="DR333" t="e">
        <f>IF(#REF!,"AAAAAG7cf3k=",0)</f>
        <v>#REF!</v>
      </c>
      <c r="DS333" t="e">
        <f>AND(#REF!,"AAAAAG7cf3o=")</f>
        <v>#REF!</v>
      </c>
      <c r="DT333" t="e">
        <f>AND(#REF!,"AAAAAG7cf3s=")</f>
        <v>#REF!</v>
      </c>
      <c r="DU333" t="e">
        <f>AND(#REF!,"AAAAAG7cf3w=")</f>
        <v>#REF!</v>
      </c>
      <c r="DV333" t="e">
        <f>IF(#REF!,"AAAAAG7cf30=",0)</f>
        <v>#REF!</v>
      </c>
      <c r="DW333" t="e">
        <f>AND(#REF!,"AAAAAG7cf34=")</f>
        <v>#REF!</v>
      </c>
      <c r="DX333" t="e">
        <f>AND(#REF!,"AAAAAG7cf38=")</f>
        <v>#REF!</v>
      </c>
      <c r="DY333" t="e">
        <f>AND(#REF!,"AAAAAG7cf4A=")</f>
        <v>#REF!</v>
      </c>
      <c r="DZ333" t="e">
        <f>IF(#REF!,"AAAAAG7cf4E=",0)</f>
        <v>#REF!</v>
      </c>
      <c r="EA333" t="e">
        <f>AND(#REF!,"AAAAAG7cf4I=")</f>
        <v>#REF!</v>
      </c>
      <c r="EB333" t="e">
        <f>AND(#REF!,"AAAAAG7cf4M=")</f>
        <v>#REF!</v>
      </c>
      <c r="EC333" t="e">
        <f>AND(#REF!,"AAAAAG7cf4Q=")</f>
        <v>#REF!</v>
      </c>
      <c r="ED333" t="e">
        <f>IF(#REF!,"AAAAAG7cf4U=",0)</f>
        <v>#REF!</v>
      </c>
      <c r="EE333" t="e">
        <f>AND(#REF!,"AAAAAG7cf4Y=")</f>
        <v>#REF!</v>
      </c>
      <c r="EF333" t="e">
        <f>AND(#REF!,"AAAAAG7cf4c=")</f>
        <v>#REF!</v>
      </c>
      <c r="EG333" t="e">
        <f>AND(#REF!,"AAAAAG7cf4g=")</f>
        <v>#REF!</v>
      </c>
      <c r="EH333" t="e">
        <f>IF(#REF!,"AAAAAG7cf4k=",0)</f>
        <v>#REF!</v>
      </c>
      <c r="EI333" t="e">
        <f>AND(#REF!,"AAAAAG7cf4o=")</f>
        <v>#REF!</v>
      </c>
      <c r="EJ333" t="e">
        <f>AND(#REF!,"AAAAAG7cf4s=")</f>
        <v>#REF!</v>
      </c>
      <c r="EK333" t="e">
        <f>AND(#REF!,"AAAAAG7cf4w=")</f>
        <v>#REF!</v>
      </c>
      <c r="EL333" t="e">
        <f>IF(#REF!,"AAAAAG7cf40=",0)</f>
        <v>#REF!</v>
      </c>
      <c r="EM333" t="e">
        <f>AND(#REF!,"AAAAAG7cf44=")</f>
        <v>#REF!</v>
      </c>
      <c r="EN333" t="e">
        <f>AND(#REF!,"AAAAAG7cf48=")</f>
        <v>#REF!</v>
      </c>
      <c r="EO333" t="e">
        <f>AND(#REF!,"AAAAAG7cf5A=")</f>
        <v>#REF!</v>
      </c>
      <c r="EP333" t="e">
        <f>IF(#REF!,"AAAAAG7cf5E=",0)</f>
        <v>#REF!</v>
      </c>
      <c r="EQ333" t="e">
        <f>AND(#REF!,"AAAAAG7cf5I=")</f>
        <v>#REF!</v>
      </c>
      <c r="ER333" t="e">
        <f>AND(#REF!,"AAAAAG7cf5M=")</f>
        <v>#REF!</v>
      </c>
      <c r="ES333" t="e">
        <f>AND(#REF!,"AAAAAG7cf5Q=")</f>
        <v>#REF!</v>
      </c>
      <c r="ET333" t="e">
        <f>IF(#REF!,"AAAAAG7cf5U=",0)</f>
        <v>#REF!</v>
      </c>
      <c r="EU333" t="e">
        <f>AND(#REF!,"AAAAAG7cf5Y=")</f>
        <v>#REF!</v>
      </c>
      <c r="EV333" t="e">
        <f>AND(#REF!,"AAAAAG7cf5c=")</f>
        <v>#REF!</v>
      </c>
      <c r="EW333" t="e">
        <f>AND(#REF!,"AAAAAG7cf5g=")</f>
        <v>#REF!</v>
      </c>
      <c r="EX333" t="e">
        <f>IF(#REF!,"AAAAAG7cf5k=",0)</f>
        <v>#REF!</v>
      </c>
      <c r="EY333" t="e">
        <f>AND(#REF!,"AAAAAG7cf5o=")</f>
        <v>#REF!</v>
      </c>
      <c r="EZ333" t="e">
        <f>AND(#REF!,"AAAAAG7cf5s=")</f>
        <v>#REF!</v>
      </c>
      <c r="FA333" t="e">
        <f>AND(#REF!,"AAAAAG7cf5w=")</f>
        <v>#REF!</v>
      </c>
      <c r="FB333" t="e">
        <f>IF(#REF!,"AAAAAG7cf50=",0)</f>
        <v>#REF!</v>
      </c>
      <c r="FC333" t="e">
        <f>AND(#REF!,"AAAAAG7cf54=")</f>
        <v>#REF!</v>
      </c>
      <c r="FD333" t="e">
        <f>AND(#REF!,"AAAAAG7cf58=")</f>
        <v>#REF!</v>
      </c>
      <c r="FE333" t="e">
        <f>AND(#REF!,"AAAAAG7cf6A=")</f>
        <v>#REF!</v>
      </c>
      <c r="FF333" t="e">
        <f>IF(#REF!,"AAAAAG7cf6E=",0)</f>
        <v>#REF!</v>
      </c>
      <c r="FG333" t="e">
        <f>AND(#REF!,"AAAAAG7cf6I=")</f>
        <v>#REF!</v>
      </c>
      <c r="FH333" t="e">
        <f>AND(#REF!,"AAAAAG7cf6M=")</f>
        <v>#REF!</v>
      </c>
      <c r="FI333" t="e">
        <f>AND(#REF!,"AAAAAG7cf6Q=")</f>
        <v>#REF!</v>
      </c>
      <c r="FJ333" t="e">
        <f>IF(#REF!,"AAAAAG7cf6U=",0)</f>
        <v>#REF!</v>
      </c>
      <c r="FK333" t="e">
        <f>AND(#REF!,"AAAAAG7cf6Y=")</f>
        <v>#REF!</v>
      </c>
      <c r="FL333" t="e">
        <f>AND(#REF!,"AAAAAG7cf6c=")</f>
        <v>#REF!</v>
      </c>
      <c r="FM333" t="e">
        <f>AND(#REF!,"AAAAAG7cf6g=")</f>
        <v>#REF!</v>
      </c>
      <c r="FN333" t="e">
        <f>IF(#REF!,"AAAAAG7cf6k=",0)</f>
        <v>#REF!</v>
      </c>
      <c r="FO333" t="e">
        <f>AND(#REF!,"AAAAAG7cf6o=")</f>
        <v>#REF!</v>
      </c>
      <c r="FP333" t="e">
        <f>AND(#REF!,"AAAAAG7cf6s=")</f>
        <v>#REF!</v>
      </c>
      <c r="FQ333" t="e">
        <f>AND(#REF!,"AAAAAG7cf6w=")</f>
        <v>#REF!</v>
      </c>
      <c r="FR333" t="e">
        <f>IF(#REF!,"AAAAAG7cf60=",0)</f>
        <v>#REF!</v>
      </c>
      <c r="FS333" t="e">
        <f>AND(#REF!,"AAAAAG7cf64=")</f>
        <v>#REF!</v>
      </c>
      <c r="FT333" t="e">
        <f>AND(#REF!,"AAAAAG7cf68=")</f>
        <v>#REF!</v>
      </c>
      <c r="FU333" t="e">
        <f>AND(#REF!,"AAAAAG7cf7A=")</f>
        <v>#REF!</v>
      </c>
      <c r="FV333" t="e">
        <f>IF(#REF!,"AAAAAG7cf7E=",0)</f>
        <v>#REF!</v>
      </c>
      <c r="FW333" t="e">
        <f>AND(#REF!,"AAAAAG7cf7I=")</f>
        <v>#REF!</v>
      </c>
      <c r="FX333" t="e">
        <f>AND(#REF!,"AAAAAG7cf7M=")</f>
        <v>#REF!</v>
      </c>
      <c r="FY333" t="e">
        <f>AND(#REF!,"AAAAAG7cf7Q=")</f>
        <v>#REF!</v>
      </c>
      <c r="FZ333" t="e">
        <f>IF(#REF!,"AAAAAG7cf7U=",0)</f>
        <v>#REF!</v>
      </c>
      <c r="GA333" t="e">
        <f>AND(#REF!,"AAAAAG7cf7Y=")</f>
        <v>#REF!</v>
      </c>
      <c r="GB333" t="e">
        <f>AND(#REF!,"AAAAAG7cf7c=")</f>
        <v>#REF!</v>
      </c>
      <c r="GC333" t="e">
        <f>AND(#REF!,"AAAAAG7cf7g=")</f>
        <v>#REF!</v>
      </c>
      <c r="GD333" t="e">
        <f>IF(#REF!,"AAAAAG7cf7k=",0)</f>
        <v>#REF!</v>
      </c>
      <c r="GE333" t="e">
        <f>AND(#REF!,"AAAAAG7cf7o=")</f>
        <v>#REF!</v>
      </c>
      <c r="GF333" t="e">
        <f>AND(#REF!,"AAAAAG7cf7s=")</f>
        <v>#REF!</v>
      </c>
      <c r="GG333" t="e">
        <f>AND(#REF!,"AAAAAG7cf7w=")</f>
        <v>#REF!</v>
      </c>
      <c r="GH333" t="e">
        <f>IF(#REF!,"AAAAAG7cf70=",0)</f>
        <v>#REF!</v>
      </c>
      <c r="GI333" t="e">
        <f>AND(#REF!,"AAAAAG7cf74=")</f>
        <v>#REF!</v>
      </c>
      <c r="GJ333" t="e">
        <f>AND(#REF!,"AAAAAG7cf78=")</f>
        <v>#REF!</v>
      </c>
      <c r="GK333" t="e">
        <f>AND(#REF!,"AAAAAG7cf8A=")</f>
        <v>#REF!</v>
      </c>
      <c r="GL333" t="e">
        <f>IF(#REF!,"AAAAAG7cf8E=",0)</f>
        <v>#REF!</v>
      </c>
      <c r="GM333" t="e">
        <f>AND(#REF!,"AAAAAG7cf8I=")</f>
        <v>#REF!</v>
      </c>
      <c r="GN333" t="e">
        <f>AND(#REF!,"AAAAAG7cf8M=")</f>
        <v>#REF!</v>
      </c>
      <c r="GO333" t="e">
        <f>AND(#REF!,"AAAAAG7cf8Q=")</f>
        <v>#REF!</v>
      </c>
      <c r="GP333" t="e">
        <f>IF(#REF!,"AAAAAG7cf8U=",0)</f>
        <v>#REF!</v>
      </c>
      <c r="GQ333" t="e">
        <f>AND(#REF!,"AAAAAG7cf8Y=")</f>
        <v>#REF!</v>
      </c>
      <c r="GR333" t="e">
        <f>AND(#REF!,"AAAAAG7cf8c=")</f>
        <v>#REF!</v>
      </c>
      <c r="GS333" t="e">
        <f>AND(#REF!,"AAAAAG7cf8g=")</f>
        <v>#REF!</v>
      </c>
      <c r="GT333" t="e">
        <f>IF(#REF!,"AAAAAG7cf8k=",0)</f>
        <v>#REF!</v>
      </c>
      <c r="GU333" t="e">
        <f>AND(#REF!,"AAAAAG7cf8o=")</f>
        <v>#REF!</v>
      </c>
      <c r="GV333" t="e">
        <f>AND(#REF!,"AAAAAG7cf8s=")</f>
        <v>#REF!</v>
      </c>
      <c r="GW333" t="e">
        <f>AND(#REF!,"AAAAAG7cf8w=")</f>
        <v>#REF!</v>
      </c>
      <c r="GX333" t="e">
        <f>IF(#REF!,"AAAAAG7cf80=",0)</f>
        <v>#REF!</v>
      </c>
      <c r="GY333" t="e">
        <f>AND(#REF!,"AAAAAG7cf84=")</f>
        <v>#REF!</v>
      </c>
      <c r="GZ333" t="e">
        <f>AND(#REF!,"AAAAAG7cf88=")</f>
        <v>#REF!</v>
      </c>
      <c r="HA333" t="e">
        <f>AND(#REF!,"AAAAAG7cf9A=")</f>
        <v>#REF!</v>
      </c>
      <c r="HB333" t="e">
        <f>IF(#REF!,"AAAAAG7cf9E=",0)</f>
        <v>#REF!</v>
      </c>
      <c r="HC333" t="e">
        <f>IF(#REF!,"AAAAAG7cf9I=",0)</f>
        <v>#REF!</v>
      </c>
      <c r="HD333" t="e">
        <f>IF(#REF!,"AAAAAG7cf9M=",0)</f>
        <v>#REF!</v>
      </c>
      <c r="HE333" t="e">
        <f>IF('PALERMO SP'!#REF!,"AAAAAG7cf9Q=",0)</f>
        <v>#REF!</v>
      </c>
      <c r="HF333" t="e">
        <f>AND('PALERMO SP'!#REF!,"AAAAAG7cf9U=")</f>
        <v>#REF!</v>
      </c>
      <c r="HG333" t="e">
        <f>AND('PALERMO SP'!#REF!,"AAAAAG7cf9Y=")</f>
        <v>#REF!</v>
      </c>
      <c r="HH333" t="e">
        <f>AND('PALERMO SP'!#REF!,"AAAAAG7cf9c=")</f>
        <v>#REF!</v>
      </c>
      <c r="HI333" t="e">
        <f>IF('PALERMO SP'!#REF!,"AAAAAG7cf9g=",0)</f>
        <v>#REF!</v>
      </c>
      <c r="HJ333" t="e">
        <f>AND('PALERMO SP'!#REF!,"AAAAAG7cf9k=")</f>
        <v>#REF!</v>
      </c>
      <c r="HK333" t="e">
        <f>AND('PALERMO SP'!#REF!,"AAAAAG7cf9o=")</f>
        <v>#REF!</v>
      </c>
      <c r="HL333" t="e">
        <f>AND('PALERMO SP'!#REF!,"AAAAAG7cf9s=")</f>
        <v>#REF!</v>
      </c>
      <c r="HM333">
        <f>IF('PALERMO SP'!1:1,"AAAAAG7cf9w=",0)</f>
        <v>0</v>
      </c>
      <c r="HN333" t="e">
        <f>AND('PALERMO SP'!A1,"AAAAAG7cf90=")</f>
        <v>#VALUE!</v>
      </c>
      <c r="HO333" t="e">
        <f>AND('PALERMO SP'!B1,"AAAAAG7cf94=")</f>
        <v>#VALUE!</v>
      </c>
      <c r="HP333" t="e">
        <f>AND('PALERMO SP'!C1,"AAAAAG7cf98=")</f>
        <v>#VALUE!</v>
      </c>
      <c r="HQ333">
        <f>IF('PALERMO SP'!2:2,"AAAAAG7cf+A=",0)</f>
        <v>0</v>
      </c>
      <c r="HR333" t="e">
        <f>AND('PALERMO SP'!A2,"AAAAAG7cf+E=")</f>
        <v>#VALUE!</v>
      </c>
      <c r="HS333" t="e">
        <f>AND('PALERMO SP'!B2,"AAAAAG7cf+I=")</f>
        <v>#VALUE!</v>
      </c>
      <c r="HT333" t="e">
        <f>AND('PALERMO SP'!C2,"AAAAAG7cf+M=")</f>
        <v>#VALUE!</v>
      </c>
      <c r="HU333">
        <f>IF('PALERMO SP'!3:3,"AAAAAG7cf+Q=",0)</f>
        <v>0</v>
      </c>
      <c r="HV333" t="e">
        <f>AND('PALERMO SP'!A3,"AAAAAG7cf+U=")</f>
        <v>#VALUE!</v>
      </c>
      <c r="HW333" t="e">
        <f>AND('PALERMO SP'!B3,"AAAAAG7cf+Y=")</f>
        <v>#VALUE!</v>
      </c>
      <c r="HX333" t="e">
        <f>AND('PALERMO SP'!C3,"AAAAAG7cf+c=")</f>
        <v>#VALUE!</v>
      </c>
      <c r="HY333">
        <f>IF('PALERMO SP'!4:4,"AAAAAG7cf+g=",0)</f>
        <v>0</v>
      </c>
      <c r="HZ333" t="e">
        <f>AND('PALERMO SP'!A4,"AAAAAG7cf+k=")</f>
        <v>#VALUE!</v>
      </c>
      <c r="IA333" t="e">
        <f>AND('PALERMO SP'!B4,"AAAAAG7cf+o=")</f>
        <v>#VALUE!</v>
      </c>
      <c r="IB333" t="e">
        <f>AND('PALERMO SP'!C4,"AAAAAG7cf+s=")</f>
        <v>#VALUE!</v>
      </c>
      <c r="IC333">
        <f>IF('PALERMO SP'!5:5,"AAAAAG7cf+w=",0)</f>
        <v>0</v>
      </c>
      <c r="ID333" t="e">
        <f>AND('PALERMO SP'!A5,"AAAAAG7cf+0=")</f>
        <v>#VALUE!</v>
      </c>
      <c r="IE333" t="e">
        <f>AND('PALERMO SP'!B5,"AAAAAG7cf+4=")</f>
        <v>#VALUE!</v>
      </c>
      <c r="IF333" t="e">
        <f>AND('PALERMO SP'!C5,"AAAAAG7cf+8=")</f>
        <v>#VALUE!</v>
      </c>
      <c r="IG333">
        <f>IF('PALERMO SP'!6:6,"AAAAAG7cf/A=",0)</f>
        <v>0</v>
      </c>
      <c r="IH333" t="e">
        <f>AND('PALERMO SP'!A6,"AAAAAG7cf/E=")</f>
        <v>#VALUE!</v>
      </c>
      <c r="II333" t="e">
        <f>AND('PALERMO SP'!B6,"AAAAAG7cf/I=")</f>
        <v>#VALUE!</v>
      </c>
      <c r="IJ333" t="e">
        <f>AND('PALERMO SP'!C6,"AAAAAG7cf/M=")</f>
        <v>#VALUE!</v>
      </c>
      <c r="IK333">
        <f>IF('PALERMO SP'!7:7,"AAAAAG7cf/Q=",0)</f>
        <v>0</v>
      </c>
      <c r="IL333" t="e">
        <f>AND('PALERMO SP'!A7,"AAAAAG7cf/U=")</f>
        <v>#VALUE!</v>
      </c>
      <c r="IM333" t="e">
        <f>AND('PALERMO SP'!B7,"AAAAAG7cf/Y=")</f>
        <v>#VALUE!</v>
      </c>
      <c r="IN333" t="e">
        <f>AND('PALERMO SP'!C7,"AAAAAG7cf/c=")</f>
        <v>#VALUE!</v>
      </c>
      <c r="IO333">
        <f>IF('PALERMO SP'!8:8,"AAAAAG7cf/g=",0)</f>
        <v>0</v>
      </c>
      <c r="IP333" t="e">
        <f>AND('PALERMO SP'!A8,"AAAAAG7cf/k=")</f>
        <v>#VALUE!</v>
      </c>
      <c r="IQ333" t="e">
        <f>AND('PALERMO SP'!B8,"AAAAAG7cf/o=")</f>
        <v>#VALUE!</v>
      </c>
      <c r="IR333" t="e">
        <f>AND('PALERMO SP'!C8,"AAAAAG7cf/s=")</f>
        <v>#VALUE!</v>
      </c>
      <c r="IS333">
        <f>IF('PALERMO SP'!9:9,"AAAAAG7cf/w=",0)</f>
        <v>0</v>
      </c>
      <c r="IT333" t="e">
        <f>AND('PALERMO SP'!A9,"AAAAAG7cf/0=")</f>
        <v>#VALUE!</v>
      </c>
      <c r="IU333" t="e">
        <f>AND('PALERMO SP'!B9,"AAAAAG7cf/4=")</f>
        <v>#VALUE!</v>
      </c>
      <c r="IV333" t="e">
        <f>AND('PALERMO SP'!C9,"AAAAAG7cf/8=")</f>
        <v>#VALUE!</v>
      </c>
    </row>
    <row r="334" spans="1:256">
      <c r="A334" t="e">
        <f>IF('PALERMO SP'!10:10,"AAAAAH/a3QA=",0)</f>
        <v>#VALUE!</v>
      </c>
      <c r="B334" t="e">
        <f>AND('PALERMO SP'!A10,"AAAAAH/a3QE=")</f>
        <v>#VALUE!</v>
      </c>
      <c r="C334" t="e">
        <f>AND('PALERMO SP'!B10,"AAAAAH/a3QI=")</f>
        <v>#VALUE!</v>
      </c>
      <c r="D334" t="e">
        <f>AND('PALERMO SP'!C10,"AAAAAH/a3QM=")</f>
        <v>#VALUE!</v>
      </c>
      <c r="E334">
        <f>IF('PALERMO SP'!11:11,"AAAAAH/a3QQ=",0)</f>
        <v>0</v>
      </c>
      <c r="F334" t="e">
        <f>AND('PALERMO SP'!A11,"AAAAAH/a3QU=")</f>
        <v>#VALUE!</v>
      </c>
      <c r="G334" t="e">
        <f>AND('PALERMO SP'!B11,"AAAAAH/a3QY=")</f>
        <v>#VALUE!</v>
      </c>
      <c r="H334" t="e">
        <f>AND('PALERMO SP'!C11,"AAAAAH/a3Qc=")</f>
        <v>#VALUE!</v>
      </c>
      <c r="I334">
        <f>IF('PALERMO SP'!12:12,"AAAAAH/a3Qg=",0)</f>
        <v>0</v>
      </c>
      <c r="J334" t="e">
        <f>AND('PALERMO SP'!A12,"AAAAAH/a3Qk=")</f>
        <v>#VALUE!</v>
      </c>
      <c r="K334" t="e">
        <f>AND('PALERMO SP'!B12,"AAAAAH/a3Qo=")</f>
        <v>#VALUE!</v>
      </c>
      <c r="L334" t="e">
        <f>AND('PALERMO SP'!C12,"AAAAAH/a3Qs=")</f>
        <v>#VALUE!</v>
      </c>
      <c r="M334">
        <f>IF('PALERMO SP'!13:13,"AAAAAH/a3Qw=",0)</f>
        <v>0</v>
      </c>
      <c r="N334" t="e">
        <f>AND('PALERMO SP'!A13,"AAAAAH/a3Q0=")</f>
        <v>#VALUE!</v>
      </c>
      <c r="O334" t="e">
        <f>AND('PALERMO SP'!B13,"AAAAAH/a3Q4=")</f>
        <v>#VALUE!</v>
      </c>
      <c r="P334" t="e">
        <f>AND('PALERMO SP'!C13,"AAAAAH/a3Q8=")</f>
        <v>#VALUE!</v>
      </c>
      <c r="Q334">
        <f>IF('PALERMO SP'!14:14,"AAAAAH/a3RA=",0)</f>
        <v>0</v>
      </c>
      <c r="R334" t="e">
        <f>AND('PALERMO SP'!A14,"AAAAAH/a3RE=")</f>
        <v>#VALUE!</v>
      </c>
      <c r="S334" t="e">
        <f>AND('PALERMO SP'!B14,"AAAAAH/a3RI=")</f>
        <v>#VALUE!</v>
      </c>
      <c r="T334" t="e">
        <f>AND('PALERMO SP'!C14,"AAAAAH/a3RM=")</f>
        <v>#VALUE!</v>
      </c>
      <c r="U334">
        <f>IF('PALERMO SP'!15:15,"AAAAAH/a3RQ=",0)</f>
        <v>0</v>
      </c>
      <c r="V334" t="e">
        <f>AND('PALERMO SP'!A15,"AAAAAH/a3RU=")</f>
        <v>#VALUE!</v>
      </c>
      <c r="W334" t="e">
        <f>AND('PALERMO SP'!B15,"AAAAAH/a3RY=")</f>
        <v>#VALUE!</v>
      </c>
      <c r="X334" t="e">
        <f>AND('PALERMO SP'!C15,"AAAAAH/a3Rc=")</f>
        <v>#VALUE!</v>
      </c>
      <c r="Y334">
        <f>IF('PALERMO SP'!16:16,"AAAAAH/a3Rg=",0)</f>
        <v>0</v>
      </c>
      <c r="Z334" t="e">
        <f>AND('PALERMO SP'!A16,"AAAAAH/a3Rk=")</f>
        <v>#VALUE!</v>
      </c>
      <c r="AA334" t="e">
        <f>AND('PALERMO SP'!B16,"AAAAAH/a3Ro=")</f>
        <v>#VALUE!</v>
      </c>
      <c r="AB334" t="e">
        <f>AND('PALERMO SP'!C16,"AAAAAH/a3Rs=")</f>
        <v>#VALUE!</v>
      </c>
      <c r="AC334">
        <f>IF('PALERMO SP'!17:17,"AAAAAH/a3Rw=",0)</f>
        <v>0</v>
      </c>
      <c r="AD334" t="e">
        <f>AND('PALERMO SP'!A17,"AAAAAH/a3R0=")</f>
        <v>#VALUE!</v>
      </c>
      <c r="AE334" t="e">
        <f>AND('PALERMO SP'!B17,"AAAAAH/a3R4=")</f>
        <v>#VALUE!</v>
      </c>
      <c r="AF334" t="e">
        <f>AND('PALERMO SP'!C17,"AAAAAH/a3R8=")</f>
        <v>#VALUE!</v>
      </c>
      <c r="AG334">
        <f>IF('PALERMO SP'!18:18,"AAAAAH/a3SA=",0)</f>
        <v>0</v>
      </c>
      <c r="AH334" t="e">
        <f>AND('PALERMO SP'!A18,"AAAAAH/a3SE=")</f>
        <v>#VALUE!</v>
      </c>
      <c r="AI334" t="e">
        <f>AND('PALERMO SP'!B18,"AAAAAH/a3SI=")</f>
        <v>#VALUE!</v>
      </c>
      <c r="AJ334" t="e">
        <f>AND('PALERMO SP'!C18,"AAAAAH/a3SM=")</f>
        <v>#VALUE!</v>
      </c>
      <c r="AK334">
        <f>IF('PALERMO SP'!19:19,"AAAAAH/a3SQ=",0)</f>
        <v>0</v>
      </c>
      <c r="AL334" t="e">
        <f>AND('PALERMO SP'!A19,"AAAAAH/a3SU=")</f>
        <v>#VALUE!</v>
      </c>
      <c r="AM334" t="e">
        <f>AND('PALERMO SP'!B19,"AAAAAH/a3SY=")</f>
        <v>#VALUE!</v>
      </c>
      <c r="AN334" t="e">
        <f>AND('PALERMO SP'!C19,"AAAAAH/a3Sc=")</f>
        <v>#VALUE!</v>
      </c>
      <c r="AO334">
        <f>IF('PALERMO SP'!20:20,"AAAAAH/a3Sg=",0)</f>
        <v>0</v>
      </c>
      <c r="AP334" t="e">
        <f>AND('PALERMO SP'!A20,"AAAAAH/a3Sk=")</f>
        <v>#VALUE!</v>
      </c>
      <c r="AQ334" t="e">
        <f>AND('PALERMO SP'!B20,"AAAAAH/a3So=")</f>
        <v>#VALUE!</v>
      </c>
      <c r="AR334" t="e">
        <f>AND('PALERMO SP'!C20,"AAAAAH/a3Ss=")</f>
        <v>#VALUE!</v>
      </c>
      <c r="AS334">
        <f>IF('PALERMO SP'!21:21,"AAAAAH/a3Sw=",0)</f>
        <v>0</v>
      </c>
      <c r="AT334" t="e">
        <f>AND('PALERMO SP'!A21,"AAAAAH/a3S0=")</f>
        <v>#VALUE!</v>
      </c>
      <c r="AU334" t="e">
        <f>AND('PALERMO SP'!B21,"AAAAAH/a3S4=")</f>
        <v>#VALUE!</v>
      </c>
      <c r="AV334" t="e">
        <f>AND('PALERMO SP'!C21,"AAAAAH/a3S8=")</f>
        <v>#VALUE!</v>
      </c>
      <c r="AW334">
        <f>IF('PALERMO SP'!22:22,"AAAAAH/a3TA=",0)</f>
        <v>0</v>
      </c>
      <c r="AX334" t="e">
        <f>AND('PALERMO SP'!A22,"AAAAAH/a3TE=")</f>
        <v>#VALUE!</v>
      </c>
      <c r="AY334" t="e">
        <f>AND('PALERMO SP'!B22,"AAAAAH/a3TI=")</f>
        <v>#VALUE!</v>
      </c>
      <c r="AZ334" t="e">
        <f>AND('PALERMO SP'!C22,"AAAAAH/a3TM=")</f>
        <v>#VALUE!</v>
      </c>
      <c r="BA334">
        <f>IF('PALERMO SP'!23:23,"AAAAAH/a3TQ=",0)</f>
        <v>0</v>
      </c>
      <c r="BB334" t="e">
        <f>AND('PALERMO SP'!A23,"AAAAAH/a3TU=")</f>
        <v>#VALUE!</v>
      </c>
      <c r="BC334" t="e">
        <f>AND('PALERMO SP'!B23,"AAAAAH/a3TY=")</f>
        <v>#VALUE!</v>
      </c>
      <c r="BD334" t="e">
        <f>AND('PALERMO SP'!C23,"AAAAAH/a3Tc=")</f>
        <v>#VALUE!</v>
      </c>
      <c r="BE334">
        <f>IF('PALERMO SP'!24:24,"AAAAAH/a3Tg=",0)</f>
        <v>0</v>
      </c>
      <c r="BF334" t="e">
        <f>AND('PALERMO SP'!A24,"AAAAAH/a3Tk=")</f>
        <v>#VALUE!</v>
      </c>
      <c r="BG334" t="e">
        <f>AND('PALERMO SP'!B24,"AAAAAH/a3To=")</f>
        <v>#VALUE!</v>
      </c>
      <c r="BH334" t="e">
        <f>AND('PALERMO SP'!C24,"AAAAAH/a3Ts=")</f>
        <v>#VALUE!</v>
      </c>
      <c r="BI334">
        <f>IF('PALERMO SP'!25:25,"AAAAAH/a3Tw=",0)</f>
        <v>0</v>
      </c>
      <c r="BJ334" t="e">
        <f>AND('PALERMO SP'!A25,"AAAAAH/a3T0=")</f>
        <v>#VALUE!</v>
      </c>
      <c r="BK334" t="e">
        <f>AND('PALERMO SP'!B25,"AAAAAH/a3T4=")</f>
        <v>#VALUE!</v>
      </c>
      <c r="BL334" t="e">
        <f>AND('PALERMO SP'!C25,"AAAAAH/a3T8=")</f>
        <v>#VALUE!</v>
      </c>
      <c r="BM334">
        <f>IF('PALERMO SP'!26:26,"AAAAAH/a3UA=",0)</f>
        <v>0</v>
      </c>
      <c r="BN334" t="e">
        <f>AND('PALERMO SP'!A26,"AAAAAH/a3UE=")</f>
        <v>#VALUE!</v>
      </c>
      <c r="BO334" t="e">
        <f>AND('PALERMO SP'!B26,"AAAAAH/a3UI=")</f>
        <v>#VALUE!</v>
      </c>
      <c r="BP334" t="e">
        <f>AND('PALERMO SP'!C26,"AAAAAH/a3UM=")</f>
        <v>#VALUE!</v>
      </c>
      <c r="BQ334">
        <f>IF('PALERMO SP'!27:27,"AAAAAH/a3UQ=",0)</f>
        <v>0</v>
      </c>
      <c r="BR334" t="e">
        <f>AND('PALERMO SP'!A27,"AAAAAH/a3UU=")</f>
        <v>#VALUE!</v>
      </c>
      <c r="BS334" t="e">
        <f>AND('PALERMO SP'!B27,"AAAAAH/a3UY=")</f>
        <v>#VALUE!</v>
      </c>
      <c r="BT334" t="e">
        <f>AND('PALERMO SP'!C27,"AAAAAH/a3Uc=")</f>
        <v>#VALUE!</v>
      </c>
      <c r="BU334">
        <f>IF('PALERMO SP'!28:28,"AAAAAH/a3Ug=",0)</f>
        <v>0</v>
      </c>
      <c r="BV334" t="e">
        <f>AND('PALERMO SP'!A28,"AAAAAH/a3Uk=")</f>
        <v>#VALUE!</v>
      </c>
      <c r="BW334" t="e">
        <f>AND('PALERMO SP'!B28,"AAAAAH/a3Uo=")</f>
        <v>#VALUE!</v>
      </c>
      <c r="BX334" t="e">
        <f>AND('PALERMO SP'!C28,"AAAAAH/a3Us=")</f>
        <v>#VALUE!</v>
      </c>
      <c r="BY334">
        <f>IF('PALERMO SP'!29:29,"AAAAAH/a3Uw=",0)</f>
        <v>0</v>
      </c>
      <c r="BZ334" t="e">
        <f>AND('PALERMO SP'!A29,"AAAAAH/a3U0=")</f>
        <v>#VALUE!</v>
      </c>
      <c r="CA334" t="e">
        <f>AND('PALERMO SP'!B29,"AAAAAH/a3U4=")</f>
        <v>#VALUE!</v>
      </c>
      <c r="CB334" t="e">
        <f>AND('PALERMO SP'!C29,"AAAAAH/a3U8=")</f>
        <v>#VALUE!</v>
      </c>
      <c r="CC334">
        <f>IF('PALERMO SP'!30:30,"AAAAAH/a3VA=",0)</f>
        <v>0</v>
      </c>
      <c r="CD334" t="e">
        <f>AND('PALERMO SP'!A30,"AAAAAH/a3VE=")</f>
        <v>#VALUE!</v>
      </c>
      <c r="CE334" t="e">
        <f>AND('PALERMO SP'!B30,"AAAAAH/a3VI=")</f>
        <v>#VALUE!</v>
      </c>
      <c r="CF334" t="e">
        <f>AND('PALERMO SP'!C30,"AAAAAH/a3VM=")</f>
        <v>#VALUE!</v>
      </c>
      <c r="CG334">
        <f>IF('PALERMO SP'!31:31,"AAAAAH/a3VQ=",0)</f>
        <v>0</v>
      </c>
      <c r="CH334" t="e">
        <f>AND('PALERMO SP'!A31,"AAAAAH/a3VU=")</f>
        <v>#VALUE!</v>
      </c>
      <c r="CI334" t="e">
        <f>AND('PALERMO SP'!B31,"AAAAAH/a3VY=")</f>
        <v>#VALUE!</v>
      </c>
      <c r="CJ334" t="e">
        <f>AND('PALERMO SP'!C31,"AAAAAH/a3Vc=")</f>
        <v>#VALUE!</v>
      </c>
      <c r="CK334">
        <f>IF('PALERMO SP'!32:32,"AAAAAH/a3Vg=",0)</f>
        <v>0</v>
      </c>
      <c r="CL334" t="e">
        <f>AND('PALERMO SP'!A32,"AAAAAH/a3Vk=")</f>
        <v>#VALUE!</v>
      </c>
      <c r="CM334" t="e">
        <f>AND('PALERMO SP'!B32,"AAAAAH/a3Vo=")</f>
        <v>#VALUE!</v>
      </c>
      <c r="CN334" t="e">
        <f>AND('PALERMO SP'!C32,"AAAAAH/a3Vs=")</f>
        <v>#VALUE!</v>
      </c>
      <c r="CO334">
        <f>IF('PALERMO SP'!33:33,"AAAAAH/a3Vw=",0)</f>
        <v>0</v>
      </c>
      <c r="CP334" t="e">
        <f>AND('PALERMO SP'!A33,"AAAAAH/a3V0=")</f>
        <v>#VALUE!</v>
      </c>
      <c r="CQ334" t="e">
        <f>AND('PALERMO SP'!B33,"AAAAAH/a3V4=")</f>
        <v>#VALUE!</v>
      </c>
      <c r="CR334" t="e">
        <f>AND('PALERMO SP'!C33,"AAAAAH/a3V8=")</f>
        <v>#VALUE!</v>
      </c>
      <c r="CS334">
        <f>IF('PALERMO SP'!34:34,"AAAAAH/a3WA=",0)</f>
        <v>0</v>
      </c>
      <c r="CT334" t="e">
        <f>AND('PALERMO SP'!A34,"AAAAAH/a3WE=")</f>
        <v>#VALUE!</v>
      </c>
      <c r="CU334" t="e">
        <f>AND('PALERMO SP'!B34,"AAAAAH/a3WI=")</f>
        <v>#VALUE!</v>
      </c>
      <c r="CV334" t="e">
        <f>AND('PALERMO SP'!C34,"AAAAAH/a3WM=")</f>
        <v>#VALUE!</v>
      </c>
      <c r="CW334">
        <f>IF('PALERMO SP'!35:35,"AAAAAH/a3WQ=",0)</f>
        <v>0</v>
      </c>
      <c r="CX334" t="e">
        <f>AND('PALERMO SP'!A35,"AAAAAH/a3WU=")</f>
        <v>#VALUE!</v>
      </c>
      <c r="CY334" t="e">
        <f>AND('PALERMO SP'!B35,"AAAAAH/a3WY=")</f>
        <v>#VALUE!</v>
      </c>
      <c r="CZ334" t="e">
        <f>AND('PALERMO SP'!C35,"AAAAAH/a3Wc=")</f>
        <v>#VALUE!</v>
      </c>
      <c r="DA334">
        <f>IF('PALERMO SP'!36:36,"AAAAAH/a3Wg=",0)</f>
        <v>0</v>
      </c>
      <c r="DB334" t="e">
        <f>AND('PALERMO SP'!A36,"AAAAAH/a3Wk=")</f>
        <v>#VALUE!</v>
      </c>
      <c r="DC334" t="e">
        <f>AND('PALERMO SP'!B36,"AAAAAH/a3Wo=")</f>
        <v>#VALUE!</v>
      </c>
      <c r="DD334" t="e">
        <f>AND('PALERMO SP'!C36,"AAAAAH/a3Ws=")</f>
        <v>#VALUE!</v>
      </c>
      <c r="DE334">
        <f>IF('PALERMO SP'!37:37,"AAAAAH/a3Ww=",0)</f>
        <v>0</v>
      </c>
      <c r="DF334" t="e">
        <f>AND('PALERMO SP'!A37,"AAAAAH/a3W0=")</f>
        <v>#VALUE!</v>
      </c>
      <c r="DG334" t="e">
        <f>AND('PALERMO SP'!B37,"AAAAAH/a3W4=")</f>
        <v>#VALUE!</v>
      </c>
      <c r="DH334" t="e">
        <f>AND('PALERMO SP'!C37,"AAAAAH/a3W8=")</f>
        <v>#VALUE!</v>
      </c>
      <c r="DI334">
        <f>IF('PALERMO SP'!38:38,"AAAAAH/a3XA=",0)</f>
        <v>0</v>
      </c>
      <c r="DJ334" t="e">
        <f>AND('PALERMO SP'!A38,"AAAAAH/a3XE=")</f>
        <v>#VALUE!</v>
      </c>
      <c r="DK334" t="e">
        <f>AND('PALERMO SP'!B38,"AAAAAH/a3XI=")</f>
        <v>#VALUE!</v>
      </c>
      <c r="DL334" t="e">
        <f>AND('PALERMO SP'!C38,"AAAAAH/a3XM=")</f>
        <v>#VALUE!</v>
      </c>
      <c r="DM334">
        <f>IF('PALERMO SP'!39:39,"AAAAAH/a3XQ=",0)</f>
        <v>0</v>
      </c>
      <c r="DN334" t="e">
        <f>AND('PALERMO SP'!A39,"AAAAAH/a3XU=")</f>
        <v>#VALUE!</v>
      </c>
      <c r="DO334" t="e">
        <f>AND('PALERMO SP'!B39,"AAAAAH/a3XY=")</f>
        <v>#VALUE!</v>
      </c>
      <c r="DP334" t="e">
        <f>AND('PALERMO SP'!C39,"AAAAAH/a3Xc=")</f>
        <v>#VALUE!</v>
      </c>
      <c r="DQ334">
        <f>IF('PALERMO SP'!40:40,"AAAAAH/a3Xg=",0)</f>
        <v>0</v>
      </c>
      <c r="DR334" t="e">
        <f>AND('PALERMO SP'!A40,"AAAAAH/a3Xk=")</f>
        <v>#VALUE!</v>
      </c>
      <c r="DS334" t="e">
        <f>AND('PALERMO SP'!B40,"AAAAAH/a3Xo=")</f>
        <v>#VALUE!</v>
      </c>
      <c r="DT334" t="e">
        <f>AND('PALERMO SP'!C40,"AAAAAH/a3Xs=")</f>
        <v>#VALUE!</v>
      </c>
      <c r="DU334">
        <f>IF('PALERMO SP'!41:41,"AAAAAH/a3Xw=",0)</f>
        <v>0</v>
      </c>
      <c r="DV334" t="e">
        <f>AND('PALERMO SP'!A41,"AAAAAH/a3X0=")</f>
        <v>#VALUE!</v>
      </c>
      <c r="DW334" t="e">
        <f>AND('PALERMO SP'!B41,"AAAAAH/a3X4=")</f>
        <v>#VALUE!</v>
      </c>
      <c r="DX334" t="e">
        <f>AND('PALERMO SP'!C41,"AAAAAH/a3X8=")</f>
        <v>#VALUE!</v>
      </c>
      <c r="DY334">
        <f>IF('PALERMO SP'!42:42,"AAAAAH/a3YA=",0)</f>
        <v>0</v>
      </c>
      <c r="DZ334" t="e">
        <f>AND('PALERMO SP'!A42,"AAAAAH/a3YE=")</f>
        <v>#VALUE!</v>
      </c>
      <c r="EA334" t="e">
        <f>AND('PALERMO SP'!B42,"AAAAAH/a3YI=")</f>
        <v>#VALUE!</v>
      </c>
      <c r="EB334" t="e">
        <f>AND('PALERMO SP'!C42,"AAAAAH/a3YM=")</f>
        <v>#VALUE!</v>
      </c>
      <c r="EC334">
        <f>IF('PALERMO SP'!43:43,"AAAAAH/a3YQ=",0)</f>
        <v>0</v>
      </c>
      <c r="ED334" t="e">
        <f>AND('PALERMO SP'!A43,"AAAAAH/a3YU=")</f>
        <v>#VALUE!</v>
      </c>
      <c r="EE334" t="e">
        <f>AND('PALERMO SP'!B43,"AAAAAH/a3YY=")</f>
        <v>#VALUE!</v>
      </c>
      <c r="EF334" t="e">
        <f>AND('PALERMO SP'!C43,"AAAAAH/a3Yc=")</f>
        <v>#VALUE!</v>
      </c>
      <c r="EG334">
        <f>IF('PALERMO SP'!44:44,"AAAAAH/a3Yg=",0)</f>
        <v>0</v>
      </c>
      <c r="EH334" t="e">
        <f>AND('PALERMO SP'!A44,"AAAAAH/a3Yk=")</f>
        <v>#VALUE!</v>
      </c>
      <c r="EI334" t="e">
        <f>AND('PALERMO SP'!B44,"AAAAAH/a3Yo=")</f>
        <v>#VALUE!</v>
      </c>
      <c r="EJ334" t="e">
        <f>AND('PALERMO SP'!C44,"AAAAAH/a3Ys=")</f>
        <v>#VALUE!</v>
      </c>
      <c r="EK334">
        <f>IF('PALERMO SP'!45:45,"AAAAAH/a3Yw=",0)</f>
        <v>0</v>
      </c>
      <c r="EL334" t="e">
        <f>AND('PALERMO SP'!A45,"AAAAAH/a3Y0=")</f>
        <v>#VALUE!</v>
      </c>
      <c r="EM334" t="e">
        <f>AND('PALERMO SP'!B45,"AAAAAH/a3Y4=")</f>
        <v>#VALUE!</v>
      </c>
      <c r="EN334" t="e">
        <f>AND('PALERMO SP'!C45,"AAAAAH/a3Y8=")</f>
        <v>#VALUE!</v>
      </c>
      <c r="EO334">
        <f>IF('PALERMO SP'!46:46,"AAAAAH/a3ZA=",0)</f>
        <v>0</v>
      </c>
      <c r="EP334" t="e">
        <f>AND('PALERMO SP'!A46,"AAAAAH/a3ZE=")</f>
        <v>#VALUE!</v>
      </c>
      <c r="EQ334" t="e">
        <f>AND('PALERMO SP'!B46,"AAAAAH/a3ZI=")</f>
        <v>#VALUE!</v>
      </c>
      <c r="ER334" t="e">
        <f>AND('PALERMO SP'!C46,"AAAAAH/a3ZM=")</f>
        <v>#VALUE!</v>
      </c>
      <c r="ES334">
        <f>IF('PALERMO SP'!47:47,"AAAAAH/a3ZQ=",0)</f>
        <v>0</v>
      </c>
      <c r="ET334" t="e">
        <f>AND('PALERMO SP'!A47,"AAAAAH/a3ZU=")</f>
        <v>#VALUE!</v>
      </c>
      <c r="EU334" t="e">
        <f>AND('PALERMO SP'!B47,"AAAAAH/a3ZY=")</f>
        <v>#VALUE!</v>
      </c>
      <c r="EV334" t="e">
        <f>AND('PALERMO SP'!C47,"AAAAAH/a3Zc=")</f>
        <v>#VALUE!</v>
      </c>
      <c r="EW334">
        <f>IF('PALERMO SP'!48:48,"AAAAAH/a3Zg=",0)</f>
        <v>0</v>
      </c>
      <c r="EX334" t="e">
        <f>AND('PALERMO SP'!A48,"AAAAAH/a3Zk=")</f>
        <v>#VALUE!</v>
      </c>
      <c r="EY334" t="e">
        <f>AND('PALERMO SP'!B48,"AAAAAH/a3Zo=")</f>
        <v>#VALUE!</v>
      </c>
      <c r="EZ334" t="e">
        <f>AND('PALERMO SP'!C48,"AAAAAH/a3Zs=")</f>
        <v>#VALUE!</v>
      </c>
      <c r="FA334">
        <f>IF('PALERMO SP'!49:49,"AAAAAH/a3Zw=",0)</f>
        <v>0</v>
      </c>
      <c r="FB334" t="e">
        <f>AND('PALERMO SP'!A49,"AAAAAH/a3Z0=")</f>
        <v>#VALUE!</v>
      </c>
      <c r="FC334" t="e">
        <f>AND('PALERMO SP'!B49,"AAAAAH/a3Z4=")</f>
        <v>#VALUE!</v>
      </c>
      <c r="FD334" t="e">
        <f>AND('PALERMO SP'!C49,"AAAAAH/a3Z8=")</f>
        <v>#VALUE!</v>
      </c>
      <c r="FE334">
        <f>IF('PALERMO SP'!50:50,"AAAAAH/a3aA=",0)</f>
        <v>0</v>
      </c>
      <c r="FF334" t="e">
        <f>AND('PALERMO SP'!A50,"AAAAAH/a3aE=")</f>
        <v>#VALUE!</v>
      </c>
      <c r="FG334" t="e">
        <f>AND('PALERMO SP'!B50,"AAAAAH/a3aI=")</f>
        <v>#VALUE!</v>
      </c>
      <c r="FH334" t="e">
        <f>AND('PALERMO SP'!C50,"AAAAAH/a3aM=")</f>
        <v>#VALUE!</v>
      </c>
      <c r="FI334">
        <f>IF('PALERMO SP'!51:51,"AAAAAH/a3aQ=",0)</f>
        <v>0</v>
      </c>
      <c r="FJ334" t="e">
        <f>AND('PALERMO SP'!A51,"AAAAAH/a3aU=")</f>
        <v>#VALUE!</v>
      </c>
      <c r="FK334" t="e">
        <f>AND('PALERMO SP'!B51,"AAAAAH/a3aY=")</f>
        <v>#VALUE!</v>
      </c>
      <c r="FL334" t="e">
        <f>AND('PALERMO SP'!C51,"AAAAAH/a3ac=")</f>
        <v>#VALUE!</v>
      </c>
      <c r="FM334">
        <f>IF('PALERMO SP'!52:52,"AAAAAH/a3ag=",0)</f>
        <v>0</v>
      </c>
      <c r="FN334" t="e">
        <f>AND('PALERMO SP'!A52,"AAAAAH/a3ak=")</f>
        <v>#VALUE!</v>
      </c>
      <c r="FO334" t="e">
        <f>AND('PALERMO SP'!B52,"AAAAAH/a3ao=")</f>
        <v>#VALUE!</v>
      </c>
      <c r="FP334" t="e">
        <f>AND('PALERMO SP'!C52,"AAAAAH/a3as=")</f>
        <v>#VALUE!</v>
      </c>
      <c r="FQ334">
        <f>IF('PALERMO SP'!53:53,"AAAAAH/a3aw=",0)</f>
        <v>0</v>
      </c>
      <c r="FR334" t="e">
        <f>AND('PALERMO SP'!A53,"AAAAAH/a3a0=")</f>
        <v>#VALUE!</v>
      </c>
      <c r="FS334" t="e">
        <f>AND('PALERMO SP'!B53,"AAAAAH/a3a4=")</f>
        <v>#VALUE!</v>
      </c>
      <c r="FT334" t="e">
        <f>AND('PALERMO SP'!C53,"AAAAAH/a3a8=")</f>
        <v>#VALUE!</v>
      </c>
      <c r="FU334">
        <f>IF('PALERMO SP'!54:54,"AAAAAH/a3bA=",0)</f>
        <v>0</v>
      </c>
      <c r="FV334" t="e">
        <f>AND('PALERMO SP'!A54,"AAAAAH/a3bE=")</f>
        <v>#VALUE!</v>
      </c>
      <c r="FW334" t="e">
        <f>AND('PALERMO SP'!B54,"AAAAAH/a3bI=")</f>
        <v>#VALUE!</v>
      </c>
      <c r="FX334" t="e">
        <f>AND('PALERMO SP'!C54,"AAAAAH/a3bM=")</f>
        <v>#VALUE!</v>
      </c>
      <c r="FY334">
        <f>IF('PALERMO SP'!55:55,"AAAAAH/a3bQ=",0)</f>
        <v>0</v>
      </c>
      <c r="FZ334" t="e">
        <f>AND('PALERMO SP'!A55,"AAAAAH/a3bU=")</f>
        <v>#VALUE!</v>
      </c>
      <c r="GA334" t="e">
        <f>AND('PALERMO SP'!B55,"AAAAAH/a3bY=")</f>
        <v>#VALUE!</v>
      </c>
      <c r="GB334" t="e">
        <f>AND('PALERMO SP'!C55,"AAAAAH/a3bc=")</f>
        <v>#VALUE!</v>
      </c>
      <c r="GC334">
        <f>IF('PALERMO SP'!56:56,"AAAAAH/a3bg=",0)</f>
        <v>0</v>
      </c>
      <c r="GD334" t="e">
        <f>AND('PALERMO SP'!A56,"AAAAAH/a3bk=")</f>
        <v>#VALUE!</v>
      </c>
      <c r="GE334" t="e">
        <f>AND('PALERMO SP'!B56,"AAAAAH/a3bo=")</f>
        <v>#VALUE!</v>
      </c>
      <c r="GF334" t="e">
        <f>AND('PALERMO SP'!C56,"AAAAAH/a3bs=")</f>
        <v>#VALUE!</v>
      </c>
      <c r="GG334">
        <f>IF('PALERMO SP'!57:57,"AAAAAH/a3bw=",0)</f>
        <v>0</v>
      </c>
      <c r="GH334" t="e">
        <f>AND('PALERMO SP'!A57,"AAAAAH/a3b0=")</f>
        <v>#VALUE!</v>
      </c>
      <c r="GI334" t="e">
        <f>AND('PALERMO SP'!B57,"AAAAAH/a3b4=")</f>
        <v>#VALUE!</v>
      </c>
      <c r="GJ334" t="e">
        <f>AND('PALERMO SP'!C57,"AAAAAH/a3b8=")</f>
        <v>#VALUE!</v>
      </c>
      <c r="GK334">
        <f>IF('PALERMO SP'!58:58,"AAAAAH/a3cA=",0)</f>
        <v>0</v>
      </c>
      <c r="GL334" t="e">
        <f>AND('PALERMO SP'!A58,"AAAAAH/a3cE=")</f>
        <v>#VALUE!</v>
      </c>
      <c r="GM334" t="e">
        <f>AND('PALERMO SP'!B58,"AAAAAH/a3cI=")</f>
        <v>#VALUE!</v>
      </c>
      <c r="GN334" t="e">
        <f>AND('PALERMO SP'!C58,"AAAAAH/a3cM=")</f>
        <v>#VALUE!</v>
      </c>
      <c r="GO334" t="e">
        <f>IF('PALERMO SP'!#REF!,"AAAAAH/a3cQ=",0)</f>
        <v>#REF!</v>
      </c>
      <c r="GP334" t="e">
        <f>AND('PALERMO SP'!#REF!,"AAAAAH/a3cU=")</f>
        <v>#REF!</v>
      </c>
      <c r="GQ334" t="e">
        <f>AND('PALERMO SP'!#REF!,"AAAAAH/a3cY=")</f>
        <v>#REF!</v>
      </c>
      <c r="GR334" t="e">
        <f>AND('PALERMO SP'!#REF!,"AAAAAH/a3cc=")</f>
        <v>#REF!</v>
      </c>
      <c r="GS334" t="e">
        <f>IF('PALERMO SP'!#REF!,"AAAAAH/a3cg=",0)</f>
        <v>#REF!</v>
      </c>
      <c r="GT334" t="e">
        <f>AND('PALERMO SP'!#REF!,"AAAAAH/a3ck=")</f>
        <v>#REF!</v>
      </c>
      <c r="GU334" t="e">
        <f>AND('PALERMO SP'!#REF!,"AAAAAH/a3co=")</f>
        <v>#REF!</v>
      </c>
      <c r="GV334" t="e">
        <f>AND('PALERMO SP'!#REF!,"AAAAAH/a3cs=")</f>
        <v>#REF!</v>
      </c>
      <c r="GW334" t="e">
        <f>IF('PALERMO SP'!#REF!,"AAAAAH/a3cw=",0)</f>
        <v>#REF!</v>
      </c>
      <c r="GX334" t="e">
        <f>AND('PALERMO SP'!#REF!,"AAAAAH/a3c0=")</f>
        <v>#REF!</v>
      </c>
      <c r="GY334" t="e">
        <f>AND('PALERMO SP'!#REF!,"AAAAAH/a3c4=")</f>
        <v>#REF!</v>
      </c>
      <c r="GZ334" t="e">
        <f>AND('PALERMO SP'!#REF!,"AAAAAH/a3c8=")</f>
        <v>#REF!</v>
      </c>
      <c r="HA334">
        <f>IF('PALERMO SP'!59:59,"AAAAAH/a3dA=",0)</f>
        <v>0</v>
      </c>
      <c r="HB334" t="e">
        <f>AND('PALERMO SP'!A59,"AAAAAH/a3dE=")</f>
        <v>#VALUE!</v>
      </c>
      <c r="HC334" t="e">
        <f>AND('PALERMO SP'!B59,"AAAAAH/a3dI=")</f>
        <v>#VALUE!</v>
      </c>
      <c r="HD334" t="e">
        <f>AND('PALERMO SP'!C59,"AAAAAH/a3dM=")</f>
        <v>#VALUE!</v>
      </c>
      <c r="HE334">
        <f>IF('PALERMO SP'!60:60,"AAAAAH/a3dQ=",0)</f>
        <v>0</v>
      </c>
      <c r="HF334" t="e">
        <f>AND('PALERMO SP'!A60,"AAAAAH/a3dU=")</f>
        <v>#VALUE!</v>
      </c>
      <c r="HG334" t="e">
        <f>AND('PALERMO SP'!B60,"AAAAAH/a3dY=")</f>
        <v>#VALUE!</v>
      </c>
      <c r="HH334" t="e">
        <f>AND('PALERMO SP'!C60,"AAAAAH/a3dc=")</f>
        <v>#VALUE!</v>
      </c>
      <c r="HI334">
        <f>IF('PALERMO SP'!61:61,"AAAAAH/a3dg=",0)</f>
        <v>0</v>
      </c>
      <c r="HJ334" t="e">
        <f>AND('PALERMO SP'!A61,"AAAAAH/a3dk=")</f>
        <v>#VALUE!</v>
      </c>
      <c r="HK334" t="e">
        <f>AND('PALERMO SP'!B61,"AAAAAH/a3do=")</f>
        <v>#VALUE!</v>
      </c>
      <c r="HL334" t="e">
        <f>AND('PALERMO SP'!C61,"AAAAAH/a3ds=")</f>
        <v>#VALUE!</v>
      </c>
      <c r="HM334">
        <f>IF('PALERMO SP'!62:62,"AAAAAH/a3dw=",0)</f>
        <v>0</v>
      </c>
      <c r="HN334" t="e">
        <f>AND('PALERMO SP'!A62,"AAAAAH/a3d0=")</f>
        <v>#VALUE!</v>
      </c>
      <c r="HO334" t="e">
        <f>AND('PALERMO SP'!B62,"AAAAAH/a3d4=")</f>
        <v>#VALUE!</v>
      </c>
      <c r="HP334" t="e">
        <f>AND('PALERMO SP'!C62,"AAAAAH/a3d8=")</f>
        <v>#VALUE!</v>
      </c>
      <c r="HQ334">
        <f>IF('PALERMO SP'!63:63,"AAAAAH/a3eA=",0)</f>
        <v>0</v>
      </c>
      <c r="HR334" t="e">
        <f>AND('PALERMO SP'!A63,"AAAAAH/a3eE=")</f>
        <v>#VALUE!</v>
      </c>
      <c r="HS334" t="e">
        <f>AND('PALERMO SP'!B63,"AAAAAH/a3eI=")</f>
        <v>#VALUE!</v>
      </c>
      <c r="HT334" t="e">
        <f>AND('PALERMO SP'!C63,"AAAAAH/a3eM=")</f>
        <v>#VALUE!</v>
      </c>
      <c r="HU334">
        <f>IF('PALERMO SP'!64:64,"AAAAAH/a3eQ=",0)</f>
        <v>0</v>
      </c>
      <c r="HV334" t="e">
        <f>AND('PALERMO SP'!A64,"AAAAAH/a3eU=")</f>
        <v>#VALUE!</v>
      </c>
      <c r="HW334" t="e">
        <f>AND('PALERMO SP'!B64,"AAAAAH/a3eY=")</f>
        <v>#VALUE!</v>
      </c>
      <c r="HX334" t="e">
        <f>AND('PALERMO SP'!C64,"AAAAAH/a3ec=")</f>
        <v>#VALUE!</v>
      </c>
      <c r="HY334">
        <f>IF('PALERMO SP'!65:65,"AAAAAH/a3eg=",0)</f>
        <v>0</v>
      </c>
      <c r="HZ334" t="e">
        <f>AND('PALERMO SP'!A65,"AAAAAH/a3ek=")</f>
        <v>#VALUE!</v>
      </c>
      <c r="IA334" t="e">
        <f>AND('PALERMO SP'!B65,"AAAAAH/a3eo=")</f>
        <v>#VALUE!</v>
      </c>
      <c r="IB334" t="e">
        <f>AND('PALERMO SP'!C65,"AAAAAH/a3es=")</f>
        <v>#VALUE!</v>
      </c>
      <c r="IC334">
        <f>IF('PALERMO SP'!66:66,"AAAAAH/a3ew=",0)</f>
        <v>0</v>
      </c>
      <c r="ID334" t="e">
        <f>AND('PALERMO SP'!A66,"AAAAAH/a3e0=")</f>
        <v>#VALUE!</v>
      </c>
      <c r="IE334" t="e">
        <f>AND('PALERMO SP'!B66,"AAAAAH/a3e4=")</f>
        <v>#VALUE!</v>
      </c>
      <c r="IF334" t="e">
        <f>AND('PALERMO SP'!C66,"AAAAAH/a3e8=")</f>
        <v>#VALUE!</v>
      </c>
      <c r="IG334">
        <f>IF('PALERMO SP'!67:67,"AAAAAH/a3fA=",0)</f>
        <v>0</v>
      </c>
      <c r="IH334" t="e">
        <f>AND('PALERMO SP'!A67,"AAAAAH/a3fE=")</f>
        <v>#VALUE!</v>
      </c>
      <c r="II334" t="e">
        <f>AND('PALERMO SP'!B67,"AAAAAH/a3fI=")</f>
        <v>#VALUE!</v>
      </c>
      <c r="IJ334" t="e">
        <f>AND('PALERMO SP'!C67,"AAAAAH/a3fM=")</f>
        <v>#VALUE!</v>
      </c>
      <c r="IK334">
        <f>IF('PALERMO SP'!68:68,"AAAAAH/a3fQ=",0)</f>
        <v>0</v>
      </c>
      <c r="IL334" t="e">
        <f>AND('PALERMO SP'!A68,"AAAAAH/a3fU=")</f>
        <v>#VALUE!</v>
      </c>
      <c r="IM334" t="e">
        <f>AND('PALERMO SP'!B68,"AAAAAH/a3fY=")</f>
        <v>#VALUE!</v>
      </c>
      <c r="IN334" t="e">
        <f>AND('PALERMO SP'!C68,"AAAAAH/a3fc=")</f>
        <v>#VALUE!</v>
      </c>
      <c r="IO334">
        <f>IF('PALERMO SP'!69:69,"AAAAAH/a3fg=",0)</f>
        <v>0</v>
      </c>
      <c r="IP334" t="e">
        <f>AND('PALERMO SP'!A69,"AAAAAH/a3fk=")</f>
        <v>#VALUE!</v>
      </c>
      <c r="IQ334" t="e">
        <f>AND('PALERMO SP'!B69,"AAAAAH/a3fo=")</f>
        <v>#VALUE!</v>
      </c>
      <c r="IR334" t="e">
        <f>AND('PALERMO SP'!C69,"AAAAAH/a3fs=")</f>
        <v>#VALUE!</v>
      </c>
      <c r="IS334">
        <f>IF('PALERMO SP'!70:70,"AAAAAH/a3fw=",0)</f>
        <v>0</v>
      </c>
      <c r="IT334" t="e">
        <f>AND('PALERMO SP'!A70,"AAAAAH/a3f0=")</f>
        <v>#VALUE!</v>
      </c>
      <c r="IU334" t="e">
        <f>AND('PALERMO SP'!B70,"AAAAAH/a3f4=")</f>
        <v>#VALUE!</v>
      </c>
      <c r="IV334" t="e">
        <f>AND('PALERMO SP'!C70,"AAAAAH/a3f8=")</f>
        <v>#VALUE!</v>
      </c>
    </row>
    <row r="335" spans="1:256">
      <c r="A335" t="e">
        <f>IF('PALERMO SP'!71:71,"AAAAAH/5/gA=",0)</f>
        <v>#VALUE!</v>
      </c>
      <c r="B335" t="e">
        <f>AND('PALERMO SP'!A71,"AAAAAH/5/gE=")</f>
        <v>#VALUE!</v>
      </c>
      <c r="C335" t="e">
        <f>AND('PALERMO SP'!B71,"AAAAAH/5/gI=")</f>
        <v>#VALUE!</v>
      </c>
      <c r="D335" t="e">
        <f>AND('PALERMO SP'!C71,"AAAAAH/5/gM=")</f>
        <v>#VALUE!</v>
      </c>
      <c r="E335">
        <f>IF('PALERMO SP'!72:72,"AAAAAH/5/gQ=",0)</f>
        <v>0</v>
      </c>
      <c r="F335" t="e">
        <f>AND('PALERMO SP'!A72,"AAAAAH/5/gU=")</f>
        <v>#VALUE!</v>
      </c>
      <c r="G335" t="e">
        <f>AND('PALERMO SP'!B72,"AAAAAH/5/gY=")</f>
        <v>#VALUE!</v>
      </c>
      <c r="H335" t="e">
        <f>AND('PALERMO SP'!C72,"AAAAAH/5/gc=")</f>
        <v>#VALUE!</v>
      </c>
      <c r="I335">
        <f>IF('PALERMO SP'!73:73,"AAAAAH/5/gg=",0)</f>
        <v>0</v>
      </c>
      <c r="J335" t="e">
        <f>AND('PALERMO SP'!A73,"AAAAAH/5/gk=")</f>
        <v>#VALUE!</v>
      </c>
      <c r="K335" t="e">
        <f>AND('PALERMO SP'!B73,"AAAAAH/5/go=")</f>
        <v>#VALUE!</v>
      </c>
      <c r="L335" t="e">
        <f>AND('PALERMO SP'!C73,"AAAAAH/5/gs=")</f>
        <v>#VALUE!</v>
      </c>
      <c r="M335">
        <f>IF('PALERMO SP'!74:74,"AAAAAH/5/gw=",0)</f>
        <v>0</v>
      </c>
      <c r="N335" t="e">
        <f>AND('PALERMO SP'!A74,"AAAAAH/5/g0=")</f>
        <v>#VALUE!</v>
      </c>
      <c r="O335" t="e">
        <f>AND('PALERMO SP'!B74,"AAAAAH/5/g4=")</f>
        <v>#VALUE!</v>
      </c>
      <c r="P335" t="e">
        <f>AND('PALERMO SP'!C74,"AAAAAH/5/g8=")</f>
        <v>#VALUE!</v>
      </c>
      <c r="Q335">
        <f>IF('PALERMO SP'!75:75,"AAAAAH/5/hA=",0)</f>
        <v>0</v>
      </c>
      <c r="R335" t="e">
        <f>AND('PALERMO SP'!A75,"AAAAAH/5/hE=")</f>
        <v>#VALUE!</v>
      </c>
      <c r="S335" t="e">
        <f>AND('PALERMO SP'!B75,"AAAAAH/5/hI=")</f>
        <v>#VALUE!</v>
      </c>
      <c r="T335" t="e">
        <f>AND('PALERMO SP'!C75,"AAAAAH/5/hM=")</f>
        <v>#VALUE!</v>
      </c>
      <c r="U335">
        <f>IF('PALERMO SP'!76:76,"AAAAAH/5/hQ=",0)</f>
        <v>0</v>
      </c>
      <c r="V335" t="e">
        <f>AND('PALERMO SP'!A76,"AAAAAH/5/hU=")</f>
        <v>#VALUE!</v>
      </c>
      <c r="W335" t="e">
        <f>AND('PALERMO SP'!B76,"AAAAAH/5/hY=")</f>
        <v>#VALUE!</v>
      </c>
      <c r="X335" t="e">
        <f>AND('PALERMO SP'!C76,"AAAAAH/5/hc=")</f>
        <v>#VALUE!</v>
      </c>
      <c r="Y335">
        <f>IF('PALERMO SP'!77:77,"AAAAAH/5/hg=",0)</f>
        <v>0</v>
      </c>
      <c r="Z335" t="e">
        <f>AND('PALERMO SP'!A77,"AAAAAH/5/hk=")</f>
        <v>#VALUE!</v>
      </c>
      <c r="AA335" t="e">
        <f>AND('PALERMO SP'!B77,"AAAAAH/5/ho=")</f>
        <v>#VALUE!</v>
      </c>
      <c r="AB335" t="e">
        <f>AND('PALERMO SP'!C77,"AAAAAH/5/hs=")</f>
        <v>#VALUE!</v>
      </c>
      <c r="AC335">
        <f>IF('PALERMO SP'!78:78,"AAAAAH/5/hw=",0)</f>
        <v>0</v>
      </c>
      <c r="AD335" t="e">
        <f>AND('PALERMO SP'!A78,"AAAAAH/5/h0=")</f>
        <v>#VALUE!</v>
      </c>
      <c r="AE335" t="e">
        <f>AND('PALERMO SP'!B78,"AAAAAH/5/h4=")</f>
        <v>#VALUE!</v>
      </c>
      <c r="AF335" t="e">
        <f>AND('PALERMO SP'!C78,"AAAAAH/5/h8=")</f>
        <v>#VALUE!</v>
      </c>
      <c r="AG335">
        <f>IF('PALERMO SP'!79:79,"AAAAAH/5/iA=",0)</f>
        <v>0</v>
      </c>
      <c r="AH335" t="e">
        <f>AND('PALERMO SP'!A79,"AAAAAH/5/iE=")</f>
        <v>#VALUE!</v>
      </c>
      <c r="AI335" t="e">
        <f>AND('PALERMO SP'!B79,"AAAAAH/5/iI=")</f>
        <v>#VALUE!</v>
      </c>
      <c r="AJ335" t="e">
        <f>AND('PALERMO SP'!C79,"AAAAAH/5/iM=")</f>
        <v>#VALUE!</v>
      </c>
      <c r="AK335">
        <f>IF('PALERMO SP'!80:80,"AAAAAH/5/iQ=",0)</f>
        <v>0</v>
      </c>
      <c r="AL335" t="e">
        <f>AND('PALERMO SP'!A80,"AAAAAH/5/iU=")</f>
        <v>#VALUE!</v>
      </c>
      <c r="AM335" t="e">
        <f>AND('PALERMO SP'!B80,"AAAAAH/5/iY=")</f>
        <v>#VALUE!</v>
      </c>
      <c r="AN335" t="e">
        <f>AND('PALERMO SP'!C80,"AAAAAH/5/ic=")</f>
        <v>#VALUE!</v>
      </c>
      <c r="AO335">
        <f>IF('PALERMO SP'!81:81,"AAAAAH/5/ig=",0)</f>
        <v>0</v>
      </c>
      <c r="AP335" t="e">
        <f>AND('PALERMO SP'!A81,"AAAAAH/5/ik=")</f>
        <v>#VALUE!</v>
      </c>
      <c r="AQ335" t="e">
        <f>AND('PALERMO SP'!B81,"AAAAAH/5/io=")</f>
        <v>#VALUE!</v>
      </c>
      <c r="AR335" t="e">
        <f>AND('PALERMO SP'!C81,"AAAAAH/5/is=")</f>
        <v>#VALUE!</v>
      </c>
      <c r="AS335">
        <f>IF('PALERMO SP'!82:82,"AAAAAH/5/iw=",0)</f>
        <v>0</v>
      </c>
      <c r="AT335" t="e">
        <f>AND('PALERMO SP'!A82,"AAAAAH/5/i0=")</f>
        <v>#VALUE!</v>
      </c>
      <c r="AU335" t="e">
        <f>AND('PALERMO SP'!B82,"AAAAAH/5/i4=")</f>
        <v>#VALUE!</v>
      </c>
      <c r="AV335" t="e">
        <f>AND('PALERMO SP'!C82,"AAAAAH/5/i8=")</f>
        <v>#VALUE!</v>
      </c>
      <c r="AW335">
        <f>IF('PALERMO SP'!83:83,"AAAAAH/5/jA=",0)</f>
        <v>0</v>
      </c>
      <c r="AX335" t="e">
        <f>AND('PALERMO SP'!A83,"AAAAAH/5/jE=")</f>
        <v>#VALUE!</v>
      </c>
      <c r="AY335" t="e">
        <f>AND('PALERMO SP'!B83,"AAAAAH/5/jI=")</f>
        <v>#VALUE!</v>
      </c>
      <c r="AZ335" t="e">
        <f>AND('PALERMO SP'!C83,"AAAAAH/5/jM=")</f>
        <v>#VALUE!</v>
      </c>
      <c r="BA335">
        <f>IF('PALERMO SP'!84:84,"AAAAAH/5/jQ=",0)</f>
        <v>0</v>
      </c>
      <c r="BB335" t="e">
        <f>AND('PALERMO SP'!A84,"AAAAAH/5/jU=")</f>
        <v>#VALUE!</v>
      </c>
      <c r="BC335" t="e">
        <f>AND('PALERMO SP'!B84,"AAAAAH/5/jY=")</f>
        <v>#VALUE!</v>
      </c>
      <c r="BD335" t="e">
        <f>AND('PALERMO SP'!C84,"AAAAAH/5/jc=")</f>
        <v>#VALUE!</v>
      </c>
      <c r="BE335">
        <f>IF('PALERMO SP'!85:85,"AAAAAH/5/jg=",0)</f>
        <v>0</v>
      </c>
      <c r="BF335" t="e">
        <f>AND('PALERMO SP'!A85,"AAAAAH/5/jk=")</f>
        <v>#VALUE!</v>
      </c>
      <c r="BG335" t="e">
        <f>AND('PALERMO SP'!B85,"AAAAAH/5/jo=")</f>
        <v>#VALUE!</v>
      </c>
      <c r="BH335" t="e">
        <f>AND('PALERMO SP'!C85,"AAAAAH/5/js=")</f>
        <v>#VALUE!</v>
      </c>
      <c r="BI335">
        <f>IF('PALERMO SP'!86:86,"AAAAAH/5/jw=",0)</f>
        <v>0</v>
      </c>
      <c r="BJ335" t="e">
        <f>AND('PALERMO SP'!A86,"AAAAAH/5/j0=")</f>
        <v>#VALUE!</v>
      </c>
      <c r="BK335" t="e">
        <f>AND('PALERMO SP'!B86,"AAAAAH/5/j4=")</f>
        <v>#VALUE!</v>
      </c>
      <c r="BL335" t="e">
        <f>AND('PALERMO SP'!C86,"AAAAAH/5/j8=")</f>
        <v>#VALUE!</v>
      </c>
      <c r="BM335">
        <f>IF('PALERMO SP'!87:87,"AAAAAH/5/kA=",0)</f>
        <v>0</v>
      </c>
      <c r="BN335" t="e">
        <f>AND('PALERMO SP'!A87,"AAAAAH/5/kE=")</f>
        <v>#VALUE!</v>
      </c>
      <c r="BO335" t="e">
        <f>AND('PALERMO SP'!B87,"AAAAAH/5/kI=")</f>
        <v>#VALUE!</v>
      </c>
      <c r="BP335" t="e">
        <f>AND('PALERMO SP'!C87,"AAAAAH/5/kM=")</f>
        <v>#VALUE!</v>
      </c>
      <c r="BQ335">
        <f>IF('PALERMO SP'!88:88,"AAAAAH/5/kQ=",0)</f>
        <v>0</v>
      </c>
      <c r="BR335" t="e">
        <f>AND('PALERMO SP'!A88,"AAAAAH/5/kU=")</f>
        <v>#VALUE!</v>
      </c>
      <c r="BS335" t="e">
        <f>AND('PALERMO SP'!B88,"AAAAAH/5/kY=")</f>
        <v>#VALUE!</v>
      </c>
      <c r="BT335" t="e">
        <f>AND('PALERMO SP'!C88,"AAAAAH/5/kc=")</f>
        <v>#VALUE!</v>
      </c>
      <c r="BU335">
        <f>IF('PALERMO SP'!89:89,"AAAAAH/5/kg=",0)</f>
        <v>0</v>
      </c>
      <c r="BV335" t="e">
        <f>AND('PALERMO SP'!A89,"AAAAAH/5/kk=")</f>
        <v>#VALUE!</v>
      </c>
      <c r="BW335" t="e">
        <f>AND('PALERMO SP'!B89,"AAAAAH/5/ko=")</f>
        <v>#VALUE!</v>
      </c>
      <c r="BX335" t="e">
        <f>AND('PALERMO SP'!C89,"AAAAAH/5/ks=")</f>
        <v>#VALUE!</v>
      </c>
      <c r="BY335">
        <f>IF('PALERMO SP'!90:90,"AAAAAH/5/kw=",0)</f>
        <v>0</v>
      </c>
      <c r="BZ335" t="e">
        <f>AND('PALERMO SP'!A90,"AAAAAH/5/k0=")</f>
        <v>#VALUE!</v>
      </c>
      <c r="CA335" t="e">
        <f>AND('PALERMO SP'!B90,"AAAAAH/5/k4=")</f>
        <v>#VALUE!</v>
      </c>
      <c r="CB335" t="e">
        <f>AND('PALERMO SP'!C90,"AAAAAH/5/k8=")</f>
        <v>#VALUE!</v>
      </c>
      <c r="CC335">
        <f>IF('PALERMO SP'!91:91,"AAAAAH/5/lA=",0)</f>
        <v>0</v>
      </c>
      <c r="CD335" t="e">
        <f>AND('PALERMO SP'!A91,"AAAAAH/5/lE=")</f>
        <v>#VALUE!</v>
      </c>
      <c r="CE335" t="e">
        <f>AND('PALERMO SP'!B91,"AAAAAH/5/lI=")</f>
        <v>#VALUE!</v>
      </c>
      <c r="CF335" t="e">
        <f>AND('PALERMO SP'!C91,"AAAAAH/5/lM=")</f>
        <v>#VALUE!</v>
      </c>
      <c r="CG335">
        <f>IF('PALERMO SP'!92:92,"AAAAAH/5/lQ=",0)</f>
        <v>0</v>
      </c>
      <c r="CH335" t="e">
        <f>AND('PALERMO SP'!A92,"AAAAAH/5/lU=")</f>
        <v>#VALUE!</v>
      </c>
      <c r="CI335" t="e">
        <f>AND('PALERMO SP'!B92,"AAAAAH/5/lY=")</f>
        <v>#VALUE!</v>
      </c>
      <c r="CJ335" t="e">
        <f>AND('PALERMO SP'!C92,"AAAAAH/5/lc=")</f>
        <v>#VALUE!</v>
      </c>
      <c r="CK335">
        <f>IF('PALERMO SP'!93:93,"AAAAAH/5/lg=",0)</f>
        <v>0</v>
      </c>
      <c r="CL335" t="e">
        <f>AND('PALERMO SP'!A93,"AAAAAH/5/lk=")</f>
        <v>#VALUE!</v>
      </c>
      <c r="CM335" t="e">
        <f>AND('PALERMO SP'!B93,"AAAAAH/5/lo=")</f>
        <v>#VALUE!</v>
      </c>
      <c r="CN335" t="e">
        <f>AND('PALERMO SP'!C93,"AAAAAH/5/ls=")</f>
        <v>#VALUE!</v>
      </c>
      <c r="CO335">
        <f>IF('PALERMO SP'!94:94,"AAAAAH/5/lw=",0)</f>
        <v>0</v>
      </c>
      <c r="CP335" t="e">
        <f>AND('PALERMO SP'!A94,"AAAAAH/5/l0=")</f>
        <v>#VALUE!</v>
      </c>
      <c r="CQ335" t="e">
        <f>AND('PALERMO SP'!B94,"AAAAAH/5/l4=")</f>
        <v>#VALUE!</v>
      </c>
      <c r="CR335" t="e">
        <f>AND('PALERMO SP'!C94,"AAAAAH/5/l8=")</f>
        <v>#VALUE!</v>
      </c>
      <c r="CS335">
        <f>IF('PALERMO SP'!95:95,"AAAAAH/5/mA=",0)</f>
        <v>0</v>
      </c>
      <c r="CT335" t="e">
        <f>AND('PALERMO SP'!A95,"AAAAAH/5/mE=")</f>
        <v>#VALUE!</v>
      </c>
      <c r="CU335" t="e">
        <f>AND('PALERMO SP'!B95,"AAAAAH/5/mI=")</f>
        <v>#VALUE!</v>
      </c>
      <c r="CV335" t="e">
        <f>AND('PALERMO SP'!C95,"AAAAAH/5/mM=")</f>
        <v>#VALUE!</v>
      </c>
      <c r="CW335">
        <f>IF('PALERMO SP'!96:96,"AAAAAH/5/mQ=",0)</f>
        <v>0</v>
      </c>
      <c r="CX335" t="e">
        <f>AND('PALERMO SP'!A96,"AAAAAH/5/mU=")</f>
        <v>#VALUE!</v>
      </c>
      <c r="CY335" t="e">
        <f>AND('PALERMO SP'!B96,"AAAAAH/5/mY=")</f>
        <v>#VALUE!</v>
      </c>
      <c r="CZ335" t="e">
        <f>AND('PALERMO SP'!C96,"AAAAAH/5/mc=")</f>
        <v>#VALUE!</v>
      </c>
      <c r="DA335">
        <f>IF('PALERMO SP'!97:97,"AAAAAH/5/mg=",0)</f>
        <v>0</v>
      </c>
      <c r="DB335" t="e">
        <f>AND('PALERMO SP'!A97,"AAAAAH/5/mk=")</f>
        <v>#VALUE!</v>
      </c>
      <c r="DC335" t="e">
        <f>AND('PALERMO SP'!B97,"AAAAAH/5/mo=")</f>
        <v>#VALUE!</v>
      </c>
      <c r="DD335" t="e">
        <f>AND('PALERMO SP'!C97,"AAAAAH/5/ms=")</f>
        <v>#VALUE!</v>
      </c>
      <c r="DE335">
        <f>IF('PALERMO SP'!98:98,"AAAAAH/5/mw=",0)</f>
        <v>0</v>
      </c>
      <c r="DF335" t="e">
        <f>AND('PALERMO SP'!A98,"AAAAAH/5/m0=")</f>
        <v>#VALUE!</v>
      </c>
      <c r="DG335" t="e">
        <f>AND('PALERMO SP'!B98,"AAAAAH/5/m4=")</f>
        <v>#VALUE!</v>
      </c>
      <c r="DH335" t="e">
        <f>AND('PALERMO SP'!C98,"AAAAAH/5/m8=")</f>
        <v>#VALUE!</v>
      </c>
      <c r="DI335">
        <f>IF('PALERMO SP'!99:99,"AAAAAH/5/nA=",0)</f>
        <v>0</v>
      </c>
      <c r="DJ335" t="e">
        <f>AND('PALERMO SP'!A99,"AAAAAH/5/nE=")</f>
        <v>#VALUE!</v>
      </c>
      <c r="DK335" t="e">
        <f>AND('PALERMO SP'!B99,"AAAAAH/5/nI=")</f>
        <v>#VALUE!</v>
      </c>
      <c r="DL335" t="e">
        <f>AND('PALERMO SP'!C99,"AAAAAH/5/nM=")</f>
        <v>#VALUE!</v>
      </c>
      <c r="DM335">
        <f>IF('PALERMO SP'!100:100,"AAAAAH/5/nQ=",0)</f>
        <v>0</v>
      </c>
      <c r="DN335" t="e">
        <f>AND('PALERMO SP'!A100,"AAAAAH/5/nU=")</f>
        <v>#VALUE!</v>
      </c>
      <c r="DO335" t="e">
        <f>AND('PALERMO SP'!B100,"AAAAAH/5/nY=")</f>
        <v>#VALUE!</v>
      </c>
      <c r="DP335" t="e">
        <f>AND('PALERMO SP'!C100,"AAAAAH/5/nc=")</f>
        <v>#VALUE!</v>
      </c>
      <c r="DQ335">
        <f>IF('PALERMO SP'!101:101,"AAAAAH/5/ng=",0)</f>
        <v>0</v>
      </c>
      <c r="DR335" t="e">
        <f>AND('PALERMO SP'!A101,"AAAAAH/5/nk=")</f>
        <v>#VALUE!</v>
      </c>
      <c r="DS335" t="e">
        <f>AND('PALERMO SP'!B101,"AAAAAH/5/no=")</f>
        <v>#VALUE!</v>
      </c>
      <c r="DT335" t="e">
        <f>AND('PALERMO SP'!C101,"AAAAAH/5/ns=")</f>
        <v>#VALUE!</v>
      </c>
      <c r="DU335">
        <f>IF('PALERMO SP'!102:102,"AAAAAH/5/nw=",0)</f>
        <v>0</v>
      </c>
      <c r="DV335" t="e">
        <f>AND('PALERMO SP'!A102,"AAAAAH/5/n0=")</f>
        <v>#VALUE!</v>
      </c>
      <c r="DW335" t="e">
        <f>AND('PALERMO SP'!B102,"AAAAAH/5/n4=")</f>
        <v>#VALUE!</v>
      </c>
      <c r="DX335" t="e">
        <f>AND('PALERMO SP'!C102,"AAAAAH/5/n8=")</f>
        <v>#VALUE!</v>
      </c>
      <c r="DY335">
        <f>IF('PALERMO SP'!103:103,"AAAAAH/5/oA=",0)</f>
        <v>0</v>
      </c>
      <c r="DZ335" t="e">
        <f>AND('PALERMO SP'!A103,"AAAAAH/5/oE=")</f>
        <v>#VALUE!</v>
      </c>
      <c r="EA335" t="e">
        <f>AND('PALERMO SP'!B103,"AAAAAH/5/oI=")</f>
        <v>#VALUE!</v>
      </c>
      <c r="EB335" t="e">
        <f>AND('PALERMO SP'!C103,"AAAAAH/5/oM=")</f>
        <v>#VALUE!</v>
      </c>
      <c r="EC335">
        <f>IF('PALERMO SP'!104:104,"AAAAAH/5/oQ=",0)</f>
        <v>0</v>
      </c>
      <c r="ED335" t="e">
        <f>AND('PALERMO SP'!A104,"AAAAAH/5/oU=")</f>
        <v>#VALUE!</v>
      </c>
      <c r="EE335" t="e">
        <f>AND('PALERMO SP'!B104,"AAAAAH/5/oY=")</f>
        <v>#VALUE!</v>
      </c>
      <c r="EF335" t="e">
        <f>AND('PALERMO SP'!C104,"AAAAAH/5/oc=")</f>
        <v>#VALUE!</v>
      </c>
      <c r="EG335">
        <f>IF('PALERMO SP'!105:105,"AAAAAH/5/og=",0)</f>
        <v>0</v>
      </c>
      <c r="EH335" t="e">
        <f>AND('PALERMO SP'!A105,"AAAAAH/5/ok=")</f>
        <v>#VALUE!</v>
      </c>
      <c r="EI335" t="e">
        <f>AND('PALERMO SP'!B105,"AAAAAH/5/oo=")</f>
        <v>#VALUE!</v>
      </c>
      <c r="EJ335" t="e">
        <f>AND('PALERMO SP'!C105,"AAAAAH/5/os=")</f>
        <v>#VALUE!</v>
      </c>
      <c r="EK335">
        <f>IF('PALERMO SP'!106:106,"AAAAAH/5/ow=",0)</f>
        <v>0</v>
      </c>
      <c r="EL335" t="e">
        <f>AND('PALERMO SP'!A106,"AAAAAH/5/o0=")</f>
        <v>#VALUE!</v>
      </c>
      <c r="EM335" t="e">
        <f>AND('PALERMO SP'!B106,"AAAAAH/5/o4=")</f>
        <v>#VALUE!</v>
      </c>
      <c r="EN335" t="e">
        <f>AND('PALERMO SP'!C106,"AAAAAH/5/o8=")</f>
        <v>#VALUE!</v>
      </c>
      <c r="EO335">
        <f>IF('PALERMO SP'!107:107,"AAAAAH/5/pA=",0)</f>
        <v>0</v>
      </c>
      <c r="EP335" t="e">
        <f>AND('PALERMO SP'!A107,"AAAAAH/5/pE=")</f>
        <v>#VALUE!</v>
      </c>
      <c r="EQ335" t="e">
        <f>AND('PALERMO SP'!B107,"AAAAAH/5/pI=")</f>
        <v>#VALUE!</v>
      </c>
      <c r="ER335" t="e">
        <f>AND('PALERMO SP'!C107,"AAAAAH/5/pM=")</f>
        <v>#VALUE!</v>
      </c>
      <c r="ES335">
        <f>IF('PALERMO SP'!108:108,"AAAAAH/5/pQ=",0)</f>
        <v>0</v>
      </c>
      <c r="ET335" t="e">
        <f>AND('PALERMO SP'!A108,"AAAAAH/5/pU=")</f>
        <v>#VALUE!</v>
      </c>
      <c r="EU335" t="e">
        <f>AND('PALERMO SP'!B108,"AAAAAH/5/pY=")</f>
        <v>#VALUE!</v>
      </c>
      <c r="EV335" t="e">
        <f>AND('PALERMO SP'!C108,"AAAAAH/5/pc=")</f>
        <v>#VALUE!</v>
      </c>
      <c r="EW335">
        <f>IF('PALERMO SP'!109:109,"AAAAAH/5/pg=",0)</f>
        <v>0</v>
      </c>
      <c r="EX335" t="e">
        <f>AND('PALERMO SP'!A109,"AAAAAH/5/pk=")</f>
        <v>#VALUE!</v>
      </c>
      <c r="EY335" t="e">
        <f>AND('PALERMO SP'!B109,"AAAAAH/5/po=")</f>
        <v>#VALUE!</v>
      </c>
      <c r="EZ335" t="e">
        <f>AND('PALERMO SP'!C109,"AAAAAH/5/ps=")</f>
        <v>#VALUE!</v>
      </c>
      <c r="FA335">
        <f>IF('PALERMO SP'!110:110,"AAAAAH/5/pw=",0)</f>
        <v>0</v>
      </c>
      <c r="FB335" t="e">
        <f>AND('PALERMO SP'!A110,"AAAAAH/5/p0=")</f>
        <v>#VALUE!</v>
      </c>
      <c r="FC335" t="e">
        <f>AND('PALERMO SP'!B110,"AAAAAH/5/p4=")</f>
        <v>#VALUE!</v>
      </c>
      <c r="FD335" t="e">
        <f>AND('PALERMO SP'!C110,"AAAAAH/5/p8=")</f>
        <v>#VALUE!</v>
      </c>
      <c r="FE335">
        <f>IF('PALERMO SP'!111:111,"AAAAAH/5/qA=",0)</f>
        <v>0</v>
      </c>
      <c r="FF335" t="e">
        <f>AND('PALERMO SP'!A111,"AAAAAH/5/qE=")</f>
        <v>#VALUE!</v>
      </c>
      <c r="FG335" t="e">
        <f>AND('PALERMO SP'!B111,"AAAAAH/5/qI=")</f>
        <v>#VALUE!</v>
      </c>
      <c r="FH335" t="e">
        <f>AND('PALERMO SP'!C111,"AAAAAH/5/qM=")</f>
        <v>#VALUE!</v>
      </c>
      <c r="FI335">
        <f>IF('PALERMO SP'!112:112,"AAAAAH/5/qQ=",0)</f>
        <v>0</v>
      </c>
      <c r="FJ335" t="e">
        <f>AND('PALERMO SP'!A112,"AAAAAH/5/qU=")</f>
        <v>#VALUE!</v>
      </c>
      <c r="FK335" t="e">
        <f>AND('PALERMO SP'!B112,"AAAAAH/5/qY=")</f>
        <v>#VALUE!</v>
      </c>
      <c r="FL335" t="e">
        <f>AND('PALERMO SP'!C112,"AAAAAH/5/qc=")</f>
        <v>#VALUE!</v>
      </c>
      <c r="FM335">
        <f>IF('PALERMO SP'!113:113,"AAAAAH/5/qg=",0)</f>
        <v>0</v>
      </c>
      <c r="FN335" t="e">
        <f>AND('PALERMO SP'!A113,"AAAAAH/5/qk=")</f>
        <v>#VALUE!</v>
      </c>
      <c r="FO335" t="e">
        <f>AND('PALERMO SP'!B113,"AAAAAH/5/qo=")</f>
        <v>#VALUE!</v>
      </c>
      <c r="FP335" t="e">
        <f>AND('PALERMO SP'!C113,"AAAAAH/5/qs=")</f>
        <v>#VALUE!</v>
      </c>
      <c r="FQ335">
        <f>IF('PALERMO SP'!114:114,"AAAAAH/5/qw=",0)</f>
        <v>0</v>
      </c>
      <c r="FR335" t="e">
        <f>AND('PALERMO SP'!A114,"AAAAAH/5/q0=")</f>
        <v>#VALUE!</v>
      </c>
      <c r="FS335" t="e">
        <f>AND('PALERMO SP'!B114,"AAAAAH/5/q4=")</f>
        <v>#VALUE!</v>
      </c>
      <c r="FT335" t="e">
        <f>AND('PALERMO SP'!C114,"AAAAAH/5/q8=")</f>
        <v>#VALUE!</v>
      </c>
      <c r="FU335" t="e">
        <f>IF('PALERMO SP'!#REF!,"AAAAAH/5/rA=",0)</f>
        <v>#REF!</v>
      </c>
      <c r="FV335" t="e">
        <f>AND('PALERMO SP'!#REF!,"AAAAAH/5/rE=")</f>
        <v>#REF!</v>
      </c>
      <c r="FW335" t="e">
        <f>AND('PALERMO SP'!#REF!,"AAAAAH/5/rI=")</f>
        <v>#REF!</v>
      </c>
      <c r="FX335" t="e">
        <f>AND('PALERMO SP'!#REF!,"AAAAAH/5/rM=")</f>
        <v>#REF!</v>
      </c>
      <c r="FY335" t="e">
        <f>IF('PALERMO SP'!#REF!,"AAAAAH/5/rQ=",0)</f>
        <v>#REF!</v>
      </c>
      <c r="FZ335" t="e">
        <f>AND('PALERMO SP'!#REF!,"AAAAAH/5/rU=")</f>
        <v>#REF!</v>
      </c>
      <c r="GA335" t="e">
        <f>AND('PALERMO SP'!#REF!,"AAAAAH/5/rY=")</f>
        <v>#REF!</v>
      </c>
      <c r="GB335" t="e">
        <f>AND('PALERMO SP'!#REF!,"AAAAAH/5/rc=")</f>
        <v>#REF!</v>
      </c>
      <c r="GC335" t="e">
        <f>IF('PALERMO SP'!#REF!,"AAAAAH/5/rg=",0)</f>
        <v>#REF!</v>
      </c>
      <c r="GD335" t="e">
        <f>AND('PALERMO SP'!#REF!,"AAAAAH/5/rk=")</f>
        <v>#REF!</v>
      </c>
      <c r="GE335" t="e">
        <f>AND('PALERMO SP'!#REF!,"AAAAAH/5/ro=")</f>
        <v>#REF!</v>
      </c>
      <c r="GF335" t="e">
        <f>AND('PALERMO SP'!#REF!,"AAAAAH/5/rs=")</f>
        <v>#REF!</v>
      </c>
      <c r="GG335" t="e">
        <f>IF('PALERMO SP'!#REF!,"AAAAAH/5/rw=",0)</f>
        <v>#REF!</v>
      </c>
      <c r="GH335" t="e">
        <f>AND('PALERMO SP'!#REF!,"AAAAAH/5/r0=")</f>
        <v>#REF!</v>
      </c>
      <c r="GI335" t="e">
        <f>AND('PALERMO SP'!#REF!,"AAAAAH/5/r4=")</f>
        <v>#REF!</v>
      </c>
      <c r="GJ335" t="e">
        <f>AND('PALERMO SP'!#REF!,"AAAAAH/5/r8=")</f>
        <v>#REF!</v>
      </c>
      <c r="GK335" t="e">
        <f>IF('PALERMO SP'!#REF!,"AAAAAH/5/sA=",0)</f>
        <v>#REF!</v>
      </c>
      <c r="GL335" t="e">
        <f>AND('PALERMO SP'!#REF!,"AAAAAH/5/sE=")</f>
        <v>#REF!</v>
      </c>
      <c r="GM335" t="e">
        <f>AND('PALERMO SP'!#REF!,"AAAAAH/5/sI=")</f>
        <v>#REF!</v>
      </c>
      <c r="GN335" t="e">
        <f>AND('PALERMO SP'!#REF!,"AAAAAH/5/sM=")</f>
        <v>#REF!</v>
      </c>
      <c r="GO335" t="e">
        <f>IF('PALERMO SP'!#REF!,"AAAAAH/5/sQ=",0)</f>
        <v>#REF!</v>
      </c>
      <c r="GP335" t="e">
        <f>AND('PALERMO SP'!#REF!,"AAAAAH/5/sU=")</f>
        <v>#REF!</v>
      </c>
      <c r="GQ335" t="e">
        <f>AND('PALERMO SP'!#REF!,"AAAAAH/5/sY=")</f>
        <v>#REF!</v>
      </c>
      <c r="GR335" t="e">
        <f>AND('PALERMO SP'!#REF!,"AAAAAH/5/sc=")</f>
        <v>#REF!</v>
      </c>
      <c r="GS335" t="e">
        <f>IF('PALERMO SP'!#REF!,"AAAAAH/5/sg=",0)</f>
        <v>#REF!</v>
      </c>
      <c r="GT335" t="e">
        <f>AND('PALERMO SP'!#REF!,"AAAAAH/5/sk=")</f>
        <v>#REF!</v>
      </c>
      <c r="GU335" t="e">
        <f>AND('PALERMO SP'!#REF!,"AAAAAH/5/so=")</f>
        <v>#REF!</v>
      </c>
      <c r="GV335" t="e">
        <f>AND('PALERMO SP'!#REF!,"AAAAAH/5/ss=")</f>
        <v>#REF!</v>
      </c>
      <c r="GW335">
        <f>IF('PALERMO SP'!115:115,"AAAAAH/5/sw=",0)</f>
        <v>0</v>
      </c>
      <c r="GX335" t="e">
        <f>AND('PALERMO SP'!A115,"AAAAAH/5/s0=")</f>
        <v>#VALUE!</v>
      </c>
      <c r="GY335" t="e">
        <f>AND('PALERMO SP'!B115,"AAAAAH/5/s4=")</f>
        <v>#VALUE!</v>
      </c>
      <c r="GZ335" t="e">
        <f>AND('PALERMO SP'!C115,"AAAAAH/5/s8=")</f>
        <v>#VALUE!</v>
      </c>
      <c r="HA335">
        <f>IF('PALERMO SP'!117:117,"AAAAAH/5/tA=",0)</f>
        <v>0</v>
      </c>
      <c r="HB335" t="e">
        <f>AND('PALERMO SP'!A117,"AAAAAH/5/tE=")</f>
        <v>#VALUE!</v>
      </c>
      <c r="HC335" t="e">
        <f>AND('PALERMO SP'!B117,"AAAAAH/5/tI=")</f>
        <v>#VALUE!</v>
      </c>
      <c r="HD335" t="e">
        <f>AND('PALERMO SP'!C117,"AAAAAH/5/tM=")</f>
        <v>#VALUE!</v>
      </c>
      <c r="HE335">
        <f>IF('PALERMO SP'!118:118,"AAAAAH/5/tQ=",0)</f>
        <v>0</v>
      </c>
      <c r="HF335" t="e">
        <f>AND('PALERMO SP'!A118,"AAAAAH/5/tU=")</f>
        <v>#VALUE!</v>
      </c>
      <c r="HG335" t="e">
        <f>AND('PALERMO SP'!B118,"AAAAAH/5/tY=")</f>
        <v>#VALUE!</v>
      </c>
      <c r="HH335" t="e">
        <f>AND('PALERMO SP'!C118,"AAAAAH/5/tc=")</f>
        <v>#VALUE!</v>
      </c>
      <c r="HI335">
        <f>IF('PALERMO SP'!119:119,"AAAAAH/5/tg=",0)</f>
        <v>0</v>
      </c>
      <c r="HJ335" t="e">
        <f>AND('PALERMO SP'!A119,"AAAAAH/5/tk=")</f>
        <v>#VALUE!</v>
      </c>
      <c r="HK335" t="e">
        <f>AND('PALERMO SP'!B119,"AAAAAH/5/to=")</f>
        <v>#VALUE!</v>
      </c>
      <c r="HL335" t="e">
        <f>AND('PALERMO SP'!C119,"AAAAAH/5/ts=")</f>
        <v>#VALUE!</v>
      </c>
      <c r="HM335">
        <f>IF('PALERMO SP'!120:120,"AAAAAH/5/tw=",0)</f>
        <v>0</v>
      </c>
      <c r="HN335" t="e">
        <f>AND('PALERMO SP'!A120,"AAAAAH/5/t0=")</f>
        <v>#VALUE!</v>
      </c>
      <c r="HO335" t="e">
        <f>AND('PALERMO SP'!B120,"AAAAAH/5/t4=")</f>
        <v>#VALUE!</v>
      </c>
      <c r="HP335" t="e">
        <f>AND('PALERMO SP'!C120,"AAAAAH/5/t8=")</f>
        <v>#VALUE!</v>
      </c>
      <c r="HQ335">
        <f>IF('PALERMO SP'!121:121,"AAAAAH/5/uA=",0)</f>
        <v>0</v>
      </c>
      <c r="HR335" t="e">
        <f>AND('PALERMO SP'!A121,"AAAAAH/5/uE=")</f>
        <v>#VALUE!</v>
      </c>
      <c r="HS335" t="e">
        <f>AND('PALERMO SP'!B121,"AAAAAH/5/uI=")</f>
        <v>#VALUE!</v>
      </c>
      <c r="HT335" t="e">
        <f>AND('PALERMO SP'!C121,"AAAAAH/5/uM=")</f>
        <v>#VALUE!</v>
      </c>
      <c r="HU335">
        <f>IF('PALERMO SP'!122:122,"AAAAAH/5/uQ=",0)</f>
        <v>0</v>
      </c>
      <c r="HV335" t="e">
        <f>AND('PALERMO SP'!A122,"AAAAAH/5/uU=")</f>
        <v>#VALUE!</v>
      </c>
      <c r="HW335" t="e">
        <f>AND('PALERMO SP'!B122,"AAAAAH/5/uY=")</f>
        <v>#VALUE!</v>
      </c>
      <c r="HX335" t="e">
        <f>AND('PALERMO SP'!C122,"AAAAAH/5/uc=")</f>
        <v>#VALUE!</v>
      </c>
      <c r="HY335">
        <f>IF('PALERMO SP'!123:123,"AAAAAH/5/ug=",0)</f>
        <v>0</v>
      </c>
      <c r="HZ335" t="e">
        <f>AND('PALERMO SP'!A123,"AAAAAH/5/uk=")</f>
        <v>#VALUE!</v>
      </c>
      <c r="IA335" t="e">
        <f>AND('PALERMO SP'!B123,"AAAAAH/5/uo=")</f>
        <v>#VALUE!</v>
      </c>
      <c r="IB335" t="e">
        <f>AND('PALERMO SP'!C123,"AAAAAH/5/us=")</f>
        <v>#VALUE!</v>
      </c>
      <c r="IC335">
        <f>IF('PALERMO SP'!124:124,"AAAAAH/5/uw=",0)</f>
        <v>0</v>
      </c>
      <c r="ID335" t="e">
        <f>AND('PALERMO SP'!A124,"AAAAAH/5/u0=")</f>
        <v>#VALUE!</v>
      </c>
      <c r="IE335" t="e">
        <f>AND('PALERMO SP'!B124,"AAAAAH/5/u4=")</f>
        <v>#VALUE!</v>
      </c>
      <c r="IF335" t="e">
        <f>AND('PALERMO SP'!C124,"AAAAAH/5/u8=")</f>
        <v>#VALUE!</v>
      </c>
      <c r="IG335">
        <f>IF('PALERMO SP'!125:125,"AAAAAH/5/vA=",0)</f>
        <v>0</v>
      </c>
      <c r="IH335" t="e">
        <f>AND('PALERMO SP'!A125,"AAAAAH/5/vE=")</f>
        <v>#VALUE!</v>
      </c>
      <c r="II335" t="e">
        <f>AND('PALERMO SP'!B125,"AAAAAH/5/vI=")</f>
        <v>#VALUE!</v>
      </c>
      <c r="IJ335" t="e">
        <f>AND('PALERMO SP'!C125,"AAAAAH/5/vM=")</f>
        <v>#VALUE!</v>
      </c>
      <c r="IK335">
        <f>IF('PALERMO SP'!126:126,"AAAAAH/5/vQ=",0)</f>
        <v>0</v>
      </c>
      <c r="IL335" t="e">
        <f>AND('PALERMO SP'!A126,"AAAAAH/5/vU=")</f>
        <v>#VALUE!</v>
      </c>
      <c r="IM335" t="e">
        <f>AND('PALERMO SP'!B126,"AAAAAH/5/vY=")</f>
        <v>#VALUE!</v>
      </c>
      <c r="IN335" t="e">
        <f>AND('PALERMO SP'!C126,"AAAAAH/5/vc=")</f>
        <v>#VALUE!</v>
      </c>
      <c r="IO335">
        <f>IF('PALERMO SP'!127:127,"AAAAAH/5/vg=",0)</f>
        <v>0</v>
      </c>
      <c r="IP335" t="e">
        <f>AND('PALERMO SP'!A127,"AAAAAH/5/vk=")</f>
        <v>#VALUE!</v>
      </c>
      <c r="IQ335" t="e">
        <f>AND('PALERMO SP'!B127,"AAAAAH/5/vo=")</f>
        <v>#VALUE!</v>
      </c>
      <c r="IR335" t="e">
        <f>AND('PALERMO SP'!C127,"AAAAAH/5/vs=")</f>
        <v>#VALUE!</v>
      </c>
      <c r="IS335">
        <f>IF('PALERMO SP'!128:128,"AAAAAH/5/vw=",0)</f>
        <v>0</v>
      </c>
      <c r="IT335" t="e">
        <f>AND('PALERMO SP'!A128,"AAAAAH/5/v0=")</f>
        <v>#VALUE!</v>
      </c>
      <c r="IU335" t="e">
        <f>AND('PALERMO SP'!B128,"AAAAAH/5/v4=")</f>
        <v>#VALUE!</v>
      </c>
      <c r="IV335" t="e">
        <f>AND('PALERMO SP'!C128,"AAAAAH/5/v8=")</f>
        <v>#VALUE!</v>
      </c>
    </row>
    <row r="336" spans="1:256">
      <c r="A336" t="e">
        <f>IF('PALERMO SP'!129:129,"AAAAAHYqngA=",0)</f>
        <v>#VALUE!</v>
      </c>
      <c r="B336" t="e">
        <f>AND('PALERMO SP'!A129,"AAAAAHYqngE=")</f>
        <v>#VALUE!</v>
      </c>
      <c r="C336" t="e">
        <f>AND('PALERMO SP'!B129,"AAAAAHYqngI=")</f>
        <v>#VALUE!</v>
      </c>
      <c r="D336" t="e">
        <f>AND('PALERMO SP'!C129,"AAAAAHYqngM=")</f>
        <v>#VALUE!</v>
      </c>
      <c r="E336">
        <f>IF('PALERMO SP'!130:130,"AAAAAHYqngQ=",0)</f>
        <v>0</v>
      </c>
      <c r="F336" t="e">
        <f>AND('PALERMO SP'!A130,"AAAAAHYqngU=")</f>
        <v>#VALUE!</v>
      </c>
      <c r="G336" t="e">
        <f>AND('PALERMO SP'!B130,"AAAAAHYqngY=")</f>
        <v>#VALUE!</v>
      </c>
      <c r="H336" t="e">
        <f>AND('PALERMO SP'!C130,"AAAAAHYqngc=")</f>
        <v>#VALUE!</v>
      </c>
      <c r="I336">
        <f>IF('PALERMO SP'!131:131,"AAAAAHYqngg=",0)</f>
        <v>0</v>
      </c>
      <c r="J336" t="e">
        <f>AND('PALERMO SP'!A131,"AAAAAHYqngk=")</f>
        <v>#VALUE!</v>
      </c>
      <c r="K336" t="e">
        <f>AND('PALERMO SP'!B131,"AAAAAHYqngo=")</f>
        <v>#VALUE!</v>
      </c>
      <c r="L336" t="e">
        <f>AND('PALERMO SP'!C131,"AAAAAHYqngs=")</f>
        <v>#VALUE!</v>
      </c>
      <c r="M336">
        <f>IF('PALERMO SP'!132:132,"AAAAAHYqngw=",0)</f>
        <v>0</v>
      </c>
      <c r="N336" t="e">
        <f>AND('PALERMO SP'!A132,"AAAAAHYqng0=")</f>
        <v>#VALUE!</v>
      </c>
      <c r="O336" t="e">
        <f>AND('PALERMO SP'!B132,"AAAAAHYqng4=")</f>
        <v>#VALUE!</v>
      </c>
      <c r="P336" t="e">
        <f>AND('PALERMO SP'!C132,"AAAAAHYqng8=")</f>
        <v>#VALUE!</v>
      </c>
      <c r="Q336">
        <f>IF('PALERMO SP'!133:133,"AAAAAHYqnhA=",0)</f>
        <v>0</v>
      </c>
      <c r="R336" t="e">
        <f>AND('PALERMO SP'!A133,"AAAAAHYqnhE=")</f>
        <v>#VALUE!</v>
      </c>
      <c r="S336" t="e">
        <f>AND('PALERMO SP'!B133,"AAAAAHYqnhI=")</f>
        <v>#VALUE!</v>
      </c>
      <c r="T336" t="e">
        <f>AND('PALERMO SP'!C133,"AAAAAHYqnhM=")</f>
        <v>#VALUE!</v>
      </c>
      <c r="U336">
        <f>IF('PALERMO SP'!134:134,"AAAAAHYqnhQ=",0)</f>
        <v>0</v>
      </c>
      <c r="V336" t="e">
        <f>AND('PALERMO SP'!A134,"AAAAAHYqnhU=")</f>
        <v>#VALUE!</v>
      </c>
      <c r="W336" t="e">
        <f>AND('PALERMO SP'!B134,"AAAAAHYqnhY=")</f>
        <v>#VALUE!</v>
      </c>
      <c r="X336" t="e">
        <f>AND('PALERMO SP'!C134,"AAAAAHYqnhc=")</f>
        <v>#VALUE!</v>
      </c>
      <c r="Y336">
        <f>IF('PALERMO SP'!135:135,"AAAAAHYqnhg=",0)</f>
        <v>0</v>
      </c>
      <c r="Z336" t="e">
        <f>AND('PALERMO SP'!A135,"AAAAAHYqnhk=")</f>
        <v>#VALUE!</v>
      </c>
      <c r="AA336" t="e">
        <f>AND('PALERMO SP'!B135,"AAAAAHYqnho=")</f>
        <v>#VALUE!</v>
      </c>
      <c r="AB336" t="e">
        <f>AND('PALERMO SP'!C135,"AAAAAHYqnhs=")</f>
        <v>#VALUE!</v>
      </c>
      <c r="AC336">
        <f>IF('PALERMO SP'!136:136,"AAAAAHYqnhw=",0)</f>
        <v>0</v>
      </c>
      <c r="AD336" t="e">
        <f>AND('PALERMO SP'!A136,"AAAAAHYqnh0=")</f>
        <v>#VALUE!</v>
      </c>
      <c r="AE336" t="e">
        <f>AND('PALERMO SP'!B136,"AAAAAHYqnh4=")</f>
        <v>#VALUE!</v>
      </c>
      <c r="AF336" t="e">
        <f>AND('PALERMO SP'!C136,"AAAAAHYqnh8=")</f>
        <v>#VALUE!</v>
      </c>
      <c r="AG336">
        <f>IF('PALERMO SP'!137:137,"AAAAAHYqniA=",0)</f>
        <v>0</v>
      </c>
      <c r="AH336" t="e">
        <f>AND('PALERMO SP'!A137,"AAAAAHYqniE=")</f>
        <v>#VALUE!</v>
      </c>
      <c r="AI336" t="e">
        <f>AND('PALERMO SP'!B137,"AAAAAHYqniI=")</f>
        <v>#VALUE!</v>
      </c>
      <c r="AJ336" t="e">
        <f>AND('PALERMO SP'!C137,"AAAAAHYqniM=")</f>
        <v>#VALUE!</v>
      </c>
      <c r="AK336">
        <f>IF('PALERMO SP'!138:138,"AAAAAHYqniQ=",0)</f>
        <v>0</v>
      </c>
      <c r="AL336" t="e">
        <f>AND('PALERMO SP'!A138,"AAAAAHYqniU=")</f>
        <v>#VALUE!</v>
      </c>
      <c r="AM336" t="e">
        <f>AND('PALERMO SP'!B138,"AAAAAHYqniY=")</f>
        <v>#VALUE!</v>
      </c>
      <c r="AN336" t="e">
        <f>AND('PALERMO SP'!C138,"AAAAAHYqnic=")</f>
        <v>#VALUE!</v>
      </c>
      <c r="AO336">
        <f>IF('PALERMO SP'!139:139,"AAAAAHYqnig=",0)</f>
        <v>0</v>
      </c>
      <c r="AP336" t="e">
        <f>AND('PALERMO SP'!A139,"AAAAAHYqnik=")</f>
        <v>#VALUE!</v>
      </c>
      <c r="AQ336" t="e">
        <f>AND('PALERMO SP'!B139,"AAAAAHYqnio=")</f>
        <v>#VALUE!</v>
      </c>
      <c r="AR336" t="e">
        <f>AND('PALERMO SP'!C139,"AAAAAHYqnis=")</f>
        <v>#VALUE!</v>
      </c>
      <c r="AS336">
        <f>IF('PALERMO SP'!140:140,"AAAAAHYqniw=",0)</f>
        <v>0</v>
      </c>
      <c r="AT336" t="e">
        <f>AND('PALERMO SP'!A140,"AAAAAHYqni0=")</f>
        <v>#VALUE!</v>
      </c>
      <c r="AU336" t="e">
        <f>AND('PALERMO SP'!B140,"AAAAAHYqni4=")</f>
        <v>#VALUE!</v>
      </c>
      <c r="AV336" t="e">
        <f>AND('PALERMO SP'!C140,"AAAAAHYqni8=")</f>
        <v>#VALUE!</v>
      </c>
      <c r="AW336">
        <f>IF('PALERMO SP'!141:141,"AAAAAHYqnjA=",0)</f>
        <v>0</v>
      </c>
      <c r="AX336" t="e">
        <f>AND('PALERMO SP'!A141,"AAAAAHYqnjE=")</f>
        <v>#VALUE!</v>
      </c>
      <c r="AY336" t="e">
        <f>AND('PALERMO SP'!B141,"AAAAAHYqnjI=")</f>
        <v>#VALUE!</v>
      </c>
      <c r="AZ336" t="e">
        <f>AND('PALERMO SP'!C141,"AAAAAHYqnjM=")</f>
        <v>#VALUE!</v>
      </c>
      <c r="BA336">
        <f>IF('PALERMO SP'!142:142,"AAAAAHYqnjQ=",0)</f>
        <v>0</v>
      </c>
      <c r="BB336">
        <f>IF('PALERMO SP'!143:143,"AAAAAHYqnjU=",0)</f>
        <v>0</v>
      </c>
      <c r="BC336">
        <f>IF('PALERMO SP'!144:144,"AAAAAHYqnjY=",0)</f>
        <v>0</v>
      </c>
      <c r="BD336">
        <f>IF('PALERMO SP'!145:145,"AAAAAHYqnjc=",0)</f>
        <v>0</v>
      </c>
      <c r="BE336">
        <f>IF('PALERMO SP'!146:146,"AAAAAHYqnjg=",0)</f>
        <v>0</v>
      </c>
      <c r="BF336">
        <f>IF('PALERMO SP'!147:147,"AAAAAHYqnjk=",0)</f>
        <v>0</v>
      </c>
      <c r="BG336">
        <f>IF('PALERMO SP'!148:148,"AAAAAHYqnjo=",0)</f>
        <v>0</v>
      </c>
      <c r="BH336">
        <f>IF('PALERMO SP'!149:149,"AAAAAHYqnjs=",0)</f>
        <v>0</v>
      </c>
      <c r="BI336">
        <f>IF('PALERMO SP'!150:150,"AAAAAHYqnjw=",0)</f>
        <v>0</v>
      </c>
      <c r="BJ336">
        <f>IF('PALERMO SP'!151:151,"AAAAAHYqnj0=",0)</f>
        <v>0</v>
      </c>
      <c r="BK336">
        <f>IF('PALERMO SP'!A:A,"AAAAAHYqnj4=",0)</f>
        <v>0</v>
      </c>
      <c r="BL336">
        <f>IF('PALERMO SP'!B:B,"AAAAAHYqnj8=",0)</f>
        <v>0</v>
      </c>
      <c r="BM336">
        <f>IF('PALERMO SP'!C:C,"AAAAAHYqnkA=",0)</f>
        <v>0</v>
      </c>
      <c r="BN336" t="e">
        <f>IF(#REF!,"AAAAAHYqnkE=",0)</f>
        <v>#REF!</v>
      </c>
      <c r="BO336" t="e">
        <f>AND(#REF!,"AAAAAHYqnkI=")</f>
        <v>#REF!</v>
      </c>
      <c r="BP336" t="e">
        <f>AND(#REF!,"AAAAAHYqnkM=")</f>
        <v>#REF!</v>
      </c>
      <c r="BQ336" t="e">
        <f>AND(#REF!,"AAAAAHYqnkQ=")</f>
        <v>#REF!</v>
      </c>
      <c r="BR336" t="e">
        <f>AND(#REF!,"AAAAAHYqnkU=")</f>
        <v>#REF!</v>
      </c>
      <c r="BS336" t="e">
        <f>AND(#REF!,"AAAAAHYqnkY=")</f>
        <v>#REF!</v>
      </c>
      <c r="BT336" t="e">
        <f>AND(#REF!,"AAAAAHYqnkc=")</f>
        <v>#REF!</v>
      </c>
      <c r="BU336" t="e">
        <f>AND(#REF!,"AAAAAHYqnkg=")</f>
        <v>#REF!</v>
      </c>
      <c r="BV336" t="e">
        <f>AND(#REF!,"AAAAAHYqnkk=")</f>
        <v>#REF!</v>
      </c>
      <c r="BW336" t="e">
        <f>IF(#REF!,"AAAAAHYqnko=",0)</f>
        <v>#REF!</v>
      </c>
      <c r="BX336" t="e">
        <f>AND(#REF!,"AAAAAHYqnks=")</f>
        <v>#REF!</v>
      </c>
      <c r="BY336" t="e">
        <f>AND(#REF!,"AAAAAHYqnkw=")</f>
        <v>#REF!</v>
      </c>
      <c r="BZ336" t="e">
        <f>AND(#REF!,"AAAAAHYqnk0=")</f>
        <v>#REF!</v>
      </c>
      <c r="CA336" t="e">
        <f>AND(#REF!,"AAAAAHYqnk4=")</f>
        <v>#REF!</v>
      </c>
      <c r="CB336" t="e">
        <f>AND(#REF!,"AAAAAHYqnk8=")</f>
        <v>#REF!</v>
      </c>
      <c r="CC336" t="e">
        <f>AND(#REF!,"AAAAAHYqnlA=")</f>
        <v>#REF!</v>
      </c>
      <c r="CD336" t="e">
        <f>AND(#REF!,"AAAAAHYqnlE=")</f>
        <v>#REF!</v>
      </c>
      <c r="CE336" t="e">
        <f>AND(#REF!,"AAAAAHYqnlI=")</f>
        <v>#REF!</v>
      </c>
      <c r="CF336" t="e">
        <f>IF(#REF!,"AAAAAHYqnlM=",0)</f>
        <v>#REF!</v>
      </c>
      <c r="CG336" t="e">
        <f>AND(#REF!,"AAAAAHYqnlQ=")</f>
        <v>#REF!</v>
      </c>
      <c r="CH336" t="e">
        <f>AND(#REF!,"AAAAAHYqnlU=")</f>
        <v>#REF!</v>
      </c>
      <c r="CI336" t="e">
        <f>AND(#REF!,"AAAAAHYqnlY=")</f>
        <v>#REF!</v>
      </c>
      <c r="CJ336" t="e">
        <f>AND(#REF!,"AAAAAHYqnlc=")</f>
        <v>#REF!</v>
      </c>
      <c r="CK336" t="e">
        <f>AND(#REF!,"AAAAAHYqnlg=")</f>
        <v>#REF!</v>
      </c>
      <c r="CL336" t="e">
        <f>AND(#REF!,"AAAAAHYqnlk=")</f>
        <v>#REF!</v>
      </c>
      <c r="CM336" t="e">
        <f>AND(#REF!,"AAAAAHYqnlo=")</f>
        <v>#REF!</v>
      </c>
      <c r="CN336" t="e">
        <f>AND(#REF!,"AAAAAHYqnls=")</f>
        <v>#REF!</v>
      </c>
      <c r="CO336" t="e">
        <f>IF(#REF!,"AAAAAHYqnlw=",0)</f>
        <v>#REF!</v>
      </c>
      <c r="CP336" t="e">
        <f>AND(#REF!,"AAAAAHYqnl0=")</f>
        <v>#REF!</v>
      </c>
      <c r="CQ336" t="e">
        <f>AND(#REF!,"AAAAAHYqnl4=")</f>
        <v>#REF!</v>
      </c>
      <c r="CR336" t="e">
        <f>AND(#REF!,"AAAAAHYqnl8=")</f>
        <v>#REF!</v>
      </c>
      <c r="CS336" t="e">
        <f>AND(#REF!,"AAAAAHYqnmA=")</f>
        <v>#REF!</v>
      </c>
      <c r="CT336" t="e">
        <f>AND(#REF!,"AAAAAHYqnmE=")</f>
        <v>#REF!</v>
      </c>
      <c r="CU336" t="e">
        <f>AND(#REF!,"AAAAAHYqnmI=")</f>
        <v>#REF!</v>
      </c>
      <c r="CV336" t="e">
        <f>AND(#REF!,"AAAAAHYqnmM=")</f>
        <v>#REF!</v>
      </c>
      <c r="CW336" t="e">
        <f>AND(#REF!,"AAAAAHYqnmQ=")</f>
        <v>#REF!</v>
      </c>
      <c r="CX336" t="e">
        <f>IF(#REF!,"AAAAAHYqnmU=",0)</f>
        <v>#REF!</v>
      </c>
      <c r="CY336" t="e">
        <f>AND(#REF!,"AAAAAHYqnmY=")</f>
        <v>#REF!</v>
      </c>
      <c r="CZ336" t="e">
        <f>AND(#REF!,"AAAAAHYqnmc=")</f>
        <v>#REF!</v>
      </c>
      <c r="DA336" t="e">
        <f>AND(#REF!,"AAAAAHYqnmg=")</f>
        <v>#REF!</v>
      </c>
      <c r="DB336" t="e">
        <f>AND(#REF!,"AAAAAHYqnmk=")</f>
        <v>#REF!</v>
      </c>
      <c r="DC336" t="e">
        <f>AND(#REF!,"AAAAAHYqnmo=")</f>
        <v>#REF!</v>
      </c>
      <c r="DD336" t="e">
        <f>AND(#REF!,"AAAAAHYqnms=")</f>
        <v>#REF!</v>
      </c>
      <c r="DE336" t="e">
        <f>AND(#REF!,"AAAAAHYqnmw=")</f>
        <v>#REF!</v>
      </c>
      <c r="DF336" t="e">
        <f>AND(#REF!,"AAAAAHYqnm0=")</f>
        <v>#REF!</v>
      </c>
      <c r="DG336" t="e">
        <f>IF(#REF!,"AAAAAHYqnm4=",0)</f>
        <v>#REF!</v>
      </c>
      <c r="DH336" t="e">
        <f>AND(#REF!,"AAAAAHYqnm8=")</f>
        <v>#REF!</v>
      </c>
      <c r="DI336" t="e">
        <f>AND(#REF!,"AAAAAHYqnnA=")</f>
        <v>#REF!</v>
      </c>
      <c r="DJ336" t="e">
        <f>AND(#REF!,"AAAAAHYqnnE=")</f>
        <v>#REF!</v>
      </c>
      <c r="DK336" t="e">
        <f>AND(#REF!,"AAAAAHYqnnI=")</f>
        <v>#REF!</v>
      </c>
      <c r="DL336" t="e">
        <f>AND(#REF!,"AAAAAHYqnnM=")</f>
        <v>#REF!</v>
      </c>
      <c r="DM336" t="e">
        <f>AND(#REF!,"AAAAAHYqnnQ=")</f>
        <v>#REF!</v>
      </c>
      <c r="DN336" t="e">
        <f>AND(#REF!,"AAAAAHYqnnU=")</f>
        <v>#REF!</v>
      </c>
      <c r="DO336" t="e">
        <f>AND(#REF!,"AAAAAHYqnnY=")</f>
        <v>#REF!</v>
      </c>
      <c r="DP336" t="e">
        <f>IF(#REF!,"AAAAAHYqnnc=",0)</f>
        <v>#REF!</v>
      </c>
      <c r="DQ336" t="e">
        <f>AND(#REF!,"AAAAAHYqnng=")</f>
        <v>#REF!</v>
      </c>
      <c r="DR336" t="e">
        <f>AND(#REF!,"AAAAAHYqnnk=")</f>
        <v>#REF!</v>
      </c>
      <c r="DS336" t="e">
        <f>AND(#REF!,"AAAAAHYqnno=")</f>
        <v>#REF!</v>
      </c>
      <c r="DT336" t="e">
        <f>AND(#REF!,"AAAAAHYqnns=")</f>
        <v>#REF!</v>
      </c>
      <c r="DU336" t="e">
        <f>AND(#REF!,"AAAAAHYqnnw=")</f>
        <v>#REF!</v>
      </c>
      <c r="DV336" t="e">
        <f>AND(#REF!,"AAAAAHYqnn0=")</f>
        <v>#REF!</v>
      </c>
      <c r="DW336" t="e">
        <f>AND(#REF!,"AAAAAHYqnn4=")</f>
        <v>#REF!</v>
      </c>
      <c r="DX336" t="e">
        <f>AND(#REF!,"AAAAAHYqnn8=")</f>
        <v>#REF!</v>
      </c>
      <c r="DY336" t="e">
        <f>IF(#REF!,"AAAAAHYqnoA=",0)</f>
        <v>#REF!</v>
      </c>
      <c r="DZ336" t="e">
        <f>AND(#REF!,"AAAAAHYqnoE=")</f>
        <v>#REF!</v>
      </c>
      <c r="EA336" t="e">
        <f>AND(#REF!,"AAAAAHYqnoI=")</f>
        <v>#REF!</v>
      </c>
      <c r="EB336" t="e">
        <f>AND(#REF!,"AAAAAHYqnoM=")</f>
        <v>#REF!</v>
      </c>
      <c r="EC336" t="e">
        <f>AND(#REF!,"AAAAAHYqnoQ=")</f>
        <v>#REF!</v>
      </c>
      <c r="ED336" t="e">
        <f>AND(#REF!,"AAAAAHYqnoU=")</f>
        <v>#REF!</v>
      </c>
      <c r="EE336" t="e">
        <f>AND(#REF!,"AAAAAHYqnoY=")</f>
        <v>#REF!</v>
      </c>
      <c r="EF336" t="e">
        <f>AND(#REF!,"AAAAAHYqnoc=")</f>
        <v>#REF!</v>
      </c>
      <c r="EG336" t="e">
        <f>AND(#REF!,"AAAAAHYqnog=")</f>
        <v>#REF!</v>
      </c>
      <c r="EH336" t="e">
        <f>IF(#REF!,"AAAAAHYqnok=",0)</f>
        <v>#REF!</v>
      </c>
      <c r="EI336" t="e">
        <f>AND(#REF!,"AAAAAHYqnoo=")</f>
        <v>#REF!</v>
      </c>
      <c r="EJ336" t="e">
        <f>AND(#REF!,"AAAAAHYqnos=")</f>
        <v>#REF!</v>
      </c>
      <c r="EK336" t="e">
        <f>AND(#REF!,"AAAAAHYqnow=")</f>
        <v>#REF!</v>
      </c>
      <c r="EL336" t="e">
        <f>AND(#REF!,"AAAAAHYqno0=")</f>
        <v>#REF!</v>
      </c>
      <c r="EM336" t="e">
        <f>AND(#REF!,"AAAAAHYqno4=")</f>
        <v>#REF!</v>
      </c>
      <c r="EN336" t="e">
        <f>AND(#REF!,"AAAAAHYqno8=")</f>
        <v>#REF!</v>
      </c>
      <c r="EO336" t="e">
        <f>AND(#REF!,"AAAAAHYqnpA=")</f>
        <v>#REF!</v>
      </c>
      <c r="EP336" t="e">
        <f>AND(#REF!,"AAAAAHYqnpE=")</f>
        <v>#REF!</v>
      </c>
      <c r="EQ336" t="e">
        <f>IF(#REF!,"AAAAAHYqnpI=",0)</f>
        <v>#REF!</v>
      </c>
      <c r="ER336" t="e">
        <f>AND(#REF!,"AAAAAHYqnpM=")</f>
        <v>#REF!</v>
      </c>
      <c r="ES336" t="e">
        <f>AND(#REF!,"AAAAAHYqnpQ=")</f>
        <v>#REF!</v>
      </c>
      <c r="ET336" t="e">
        <f>AND(#REF!,"AAAAAHYqnpU=")</f>
        <v>#REF!</v>
      </c>
      <c r="EU336" t="e">
        <f>AND(#REF!,"AAAAAHYqnpY=")</f>
        <v>#REF!</v>
      </c>
      <c r="EV336" t="e">
        <f>AND(#REF!,"AAAAAHYqnpc=")</f>
        <v>#REF!</v>
      </c>
      <c r="EW336" t="e">
        <f>AND(#REF!,"AAAAAHYqnpg=")</f>
        <v>#REF!</v>
      </c>
      <c r="EX336" t="e">
        <f>AND(#REF!,"AAAAAHYqnpk=")</f>
        <v>#REF!</v>
      </c>
      <c r="EY336" t="e">
        <f>AND(#REF!,"AAAAAHYqnpo=")</f>
        <v>#REF!</v>
      </c>
      <c r="EZ336" t="e">
        <f>IF(#REF!,"AAAAAHYqnps=",0)</f>
        <v>#REF!</v>
      </c>
      <c r="FA336" t="e">
        <f>AND(#REF!,"AAAAAHYqnpw=")</f>
        <v>#REF!</v>
      </c>
      <c r="FB336" t="e">
        <f>AND(#REF!,"AAAAAHYqnp0=")</f>
        <v>#REF!</v>
      </c>
      <c r="FC336" t="e">
        <f>AND(#REF!,"AAAAAHYqnp4=")</f>
        <v>#REF!</v>
      </c>
      <c r="FD336" t="e">
        <f>AND(#REF!,"AAAAAHYqnp8=")</f>
        <v>#REF!</v>
      </c>
      <c r="FE336" t="e">
        <f>AND(#REF!,"AAAAAHYqnqA=")</f>
        <v>#REF!</v>
      </c>
      <c r="FF336" t="e">
        <f>AND(#REF!,"AAAAAHYqnqE=")</f>
        <v>#REF!</v>
      </c>
      <c r="FG336" t="e">
        <f>AND(#REF!,"AAAAAHYqnqI=")</f>
        <v>#REF!</v>
      </c>
      <c r="FH336" t="e">
        <f>AND(#REF!,"AAAAAHYqnqM=")</f>
        <v>#REF!</v>
      </c>
      <c r="FI336" t="e">
        <f>IF(#REF!,"AAAAAHYqnqQ=",0)</f>
        <v>#REF!</v>
      </c>
      <c r="FJ336" t="e">
        <f>AND(#REF!,"AAAAAHYqnqU=")</f>
        <v>#REF!</v>
      </c>
      <c r="FK336" t="e">
        <f>AND(#REF!,"AAAAAHYqnqY=")</f>
        <v>#REF!</v>
      </c>
      <c r="FL336" t="e">
        <f>AND(#REF!,"AAAAAHYqnqc=")</f>
        <v>#REF!</v>
      </c>
      <c r="FM336" t="e">
        <f>AND(#REF!,"AAAAAHYqnqg=")</f>
        <v>#REF!</v>
      </c>
      <c r="FN336" t="e">
        <f>AND(#REF!,"AAAAAHYqnqk=")</f>
        <v>#REF!</v>
      </c>
      <c r="FO336" t="e">
        <f>AND(#REF!,"AAAAAHYqnqo=")</f>
        <v>#REF!</v>
      </c>
      <c r="FP336" t="e">
        <f>AND(#REF!,"AAAAAHYqnqs=")</f>
        <v>#REF!</v>
      </c>
      <c r="FQ336" t="e">
        <f>AND(#REF!,"AAAAAHYqnqw=")</f>
        <v>#REF!</v>
      </c>
      <c r="FR336" t="e">
        <f>IF(#REF!,"AAAAAHYqnq0=",0)</f>
        <v>#REF!</v>
      </c>
      <c r="FS336" t="e">
        <f>AND(#REF!,"AAAAAHYqnq4=")</f>
        <v>#REF!</v>
      </c>
      <c r="FT336" t="e">
        <f>AND(#REF!,"AAAAAHYqnq8=")</f>
        <v>#REF!</v>
      </c>
      <c r="FU336" t="e">
        <f>AND(#REF!,"AAAAAHYqnrA=")</f>
        <v>#REF!</v>
      </c>
      <c r="FV336" t="e">
        <f>AND(#REF!,"AAAAAHYqnrE=")</f>
        <v>#REF!</v>
      </c>
      <c r="FW336" t="e">
        <f>AND(#REF!,"AAAAAHYqnrI=")</f>
        <v>#REF!</v>
      </c>
      <c r="FX336" t="e">
        <f>AND(#REF!,"AAAAAHYqnrM=")</f>
        <v>#REF!</v>
      </c>
      <c r="FY336" t="e">
        <f>AND(#REF!,"AAAAAHYqnrQ=")</f>
        <v>#REF!</v>
      </c>
      <c r="FZ336" t="e">
        <f>AND(#REF!,"AAAAAHYqnrU=")</f>
        <v>#REF!</v>
      </c>
      <c r="GA336" t="e">
        <f>IF(#REF!,"AAAAAHYqnrY=",0)</f>
        <v>#REF!</v>
      </c>
      <c r="GB336" t="e">
        <f>AND(#REF!,"AAAAAHYqnrc=")</f>
        <v>#REF!</v>
      </c>
      <c r="GC336" t="e">
        <f>AND(#REF!,"AAAAAHYqnrg=")</f>
        <v>#REF!</v>
      </c>
      <c r="GD336" t="e">
        <f>AND(#REF!,"AAAAAHYqnrk=")</f>
        <v>#REF!</v>
      </c>
      <c r="GE336" t="e">
        <f>AND(#REF!,"AAAAAHYqnro=")</f>
        <v>#REF!</v>
      </c>
      <c r="GF336" t="e">
        <f>AND(#REF!,"AAAAAHYqnrs=")</f>
        <v>#REF!</v>
      </c>
      <c r="GG336" t="e">
        <f>AND(#REF!,"AAAAAHYqnrw=")</f>
        <v>#REF!</v>
      </c>
      <c r="GH336" t="e">
        <f>AND(#REF!,"AAAAAHYqnr0=")</f>
        <v>#REF!</v>
      </c>
      <c r="GI336" t="e">
        <f>AND(#REF!,"AAAAAHYqnr4=")</f>
        <v>#REF!</v>
      </c>
      <c r="GJ336" t="e">
        <f>IF(#REF!,"AAAAAHYqnr8=",0)</f>
        <v>#REF!</v>
      </c>
      <c r="GK336" t="e">
        <f>AND(#REF!,"AAAAAHYqnsA=")</f>
        <v>#REF!</v>
      </c>
      <c r="GL336" t="e">
        <f>AND(#REF!,"AAAAAHYqnsE=")</f>
        <v>#REF!</v>
      </c>
      <c r="GM336" t="e">
        <f>AND(#REF!,"AAAAAHYqnsI=")</f>
        <v>#REF!</v>
      </c>
      <c r="GN336" t="e">
        <f>AND(#REF!,"AAAAAHYqnsM=")</f>
        <v>#REF!</v>
      </c>
      <c r="GO336" t="e">
        <f>AND(#REF!,"AAAAAHYqnsQ=")</f>
        <v>#REF!</v>
      </c>
      <c r="GP336" t="e">
        <f>AND(#REF!,"AAAAAHYqnsU=")</f>
        <v>#REF!</v>
      </c>
      <c r="GQ336" t="e">
        <f>AND(#REF!,"AAAAAHYqnsY=")</f>
        <v>#REF!</v>
      </c>
      <c r="GR336" t="e">
        <f>AND(#REF!,"AAAAAHYqnsc=")</f>
        <v>#REF!</v>
      </c>
      <c r="GS336" t="e">
        <f>IF(#REF!,"AAAAAHYqnsg=",0)</f>
        <v>#REF!</v>
      </c>
      <c r="GT336" t="e">
        <f>AND(#REF!,"AAAAAHYqnsk=")</f>
        <v>#REF!</v>
      </c>
      <c r="GU336" t="e">
        <f>AND(#REF!,"AAAAAHYqnso=")</f>
        <v>#REF!</v>
      </c>
      <c r="GV336" t="e">
        <f>AND(#REF!,"AAAAAHYqnss=")</f>
        <v>#REF!</v>
      </c>
      <c r="GW336" t="e">
        <f>AND(#REF!,"AAAAAHYqnsw=")</f>
        <v>#REF!</v>
      </c>
      <c r="GX336" t="e">
        <f>AND(#REF!,"AAAAAHYqns0=")</f>
        <v>#REF!</v>
      </c>
      <c r="GY336" t="e">
        <f>AND(#REF!,"AAAAAHYqns4=")</f>
        <v>#REF!</v>
      </c>
      <c r="GZ336" t="e">
        <f>AND(#REF!,"AAAAAHYqns8=")</f>
        <v>#REF!</v>
      </c>
      <c r="HA336" t="e">
        <f>AND(#REF!,"AAAAAHYqntA=")</f>
        <v>#REF!</v>
      </c>
      <c r="HB336" t="e">
        <f>IF(#REF!,"AAAAAHYqntE=",0)</f>
        <v>#REF!</v>
      </c>
      <c r="HC336" t="e">
        <f>AND(#REF!,"AAAAAHYqntI=")</f>
        <v>#REF!</v>
      </c>
      <c r="HD336" t="e">
        <f>AND(#REF!,"AAAAAHYqntM=")</f>
        <v>#REF!</v>
      </c>
      <c r="HE336" t="e">
        <f>AND(#REF!,"AAAAAHYqntQ=")</f>
        <v>#REF!</v>
      </c>
      <c r="HF336" t="e">
        <f>AND(#REF!,"AAAAAHYqntU=")</f>
        <v>#REF!</v>
      </c>
      <c r="HG336" t="e">
        <f>AND(#REF!,"AAAAAHYqntY=")</f>
        <v>#REF!</v>
      </c>
      <c r="HH336" t="e">
        <f>AND(#REF!,"AAAAAHYqntc=")</f>
        <v>#REF!</v>
      </c>
      <c r="HI336" t="e">
        <f>AND(#REF!,"AAAAAHYqntg=")</f>
        <v>#REF!</v>
      </c>
      <c r="HJ336" t="e">
        <f>AND(#REF!,"AAAAAHYqntk=")</f>
        <v>#REF!</v>
      </c>
      <c r="HK336" t="e">
        <f>IF(#REF!,"AAAAAHYqnto=",0)</f>
        <v>#REF!</v>
      </c>
      <c r="HL336" t="e">
        <f>AND(#REF!,"AAAAAHYqnts=")</f>
        <v>#REF!</v>
      </c>
      <c r="HM336" t="e">
        <f>AND(#REF!,"AAAAAHYqntw=")</f>
        <v>#REF!</v>
      </c>
      <c r="HN336" t="e">
        <f>AND(#REF!,"AAAAAHYqnt0=")</f>
        <v>#REF!</v>
      </c>
      <c r="HO336" t="e">
        <f>AND(#REF!,"AAAAAHYqnt4=")</f>
        <v>#REF!</v>
      </c>
      <c r="HP336" t="e">
        <f>AND(#REF!,"AAAAAHYqnt8=")</f>
        <v>#REF!</v>
      </c>
      <c r="HQ336" t="e">
        <f>AND(#REF!,"AAAAAHYqnuA=")</f>
        <v>#REF!</v>
      </c>
      <c r="HR336" t="e">
        <f>AND(#REF!,"AAAAAHYqnuE=")</f>
        <v>#REF!</v>
      </c>
      <c r="HS336" t="e">
        <f>AND(#REF!,"AAAAAHYqnuI=")</f>
        <v>#REF!</v>
      </c>
      <c r="HT336" t="e">
        <f>IF(#REF!,"AAAAAHYqnuM=",0)</f>
        <v>#REF!</v>
      </c>
      <c r="HU336" t="e">
        <f>AND(#REF!,"AAAAAHYqnuQ=")</f>
        <v>#REF!</v>
      </c>
      <c r="HV336" t="e">
        <f>AND(#REF!,"AAAAAHYqnuU=")</f>
        <v>#REF!</v>
      </c>
      <c r="HW336" t="e">
        <f>AND(#REF!,"AAAAAHYqnuY=")</f>
        <v>#REF!</v>
      </c>
      <c r="HX336" t="e">
        <f>AND(#REF!,"AAAAAHYqnuc=")</f>
        <v>#REF!</v>
      </c>
      <c r="HY336" t="e">
        <f>AND(#REF!,"AAAAAHYqnug=")</f>
        <v>#REF!</v>
      </c>
      <c r="HZ336" t="e">
        <f>AND(#REF!,"AAAAAHYqnuk=")</f>
        <v>#REF!</v>
      </c>
      <c r="IA336" t="e">
        <f>AND(#REF!,"AAAAAHYqnuo=")</f>
        <v>#REF!</v>
      </c>
      <c r="IB336" t="e">
        <f>AND(#REF!,"AAAAAHYqnus=")</f>
        <v>#REF!</v>
      </c>
      <c r="IC336" t="e">
        <f>IF(#REF!,"AAAAAHYqnuw=",0)</f>
        <v>#REF!</v>
      </c>
      <c r="ID336" t="e">
        <f>AND(#REF!,"AAAAAHYqnu0=")</f>
        <v>#REF!</v>
      </c>
      <c r="IE336" t="e">
        <f>AND(#REF!,"AAAAAHYqnu4=")</f>
        <v>#REF!</v>
      </c>
      <c r="IF336" t="e">
        <f>AND(#REF!,"AAAAAHYqnu8=")</f>
        <v>#REF!</v>
      </c>
      <c r="IG336" t="e">
        <f>AND(#REF!,"AAAAAHYqnvA=")</f>
        <v>#REF!</v>
      </c>
      <c r="IH336" t="e">
        <f>AND(#REF!,"AAAAAHYqnvE=")</f>
        <v>#REF!</v>
      </c>
      <c r="II336" t="e">
        <f>AND(#REF!,"AAAAAHYqnvI=")</f>
        <v>#REF!</v>
      </c>
      <c r="IJ336" t="e">
        <f>AND(#REF!,"AAAAAHYqnvM=")</f>
        <v>#REF!</v>
      </c>
      <c r="IK336" t="e">
        <f>AND(#REF!,"AAAAAHYqnvQ=")</f>
        <v>#REF!</v>
      </c>
      <c r="IL336" t="e">
        <f>IF(#REF!,"AAAAAHYqnvU=",0)</f>
        <v>#REF!</v>
      </c>
      <c r="IM336" t="e">
        <f>AND(#REF!,"AAAAAHYqnvY=")</f>
        <v>#REF!</v>
      </c>
      <c r="IN336" t="e">
        <f>AND(#REF!,"AAAAAHYqnvc=")</f>
        <v>#REF!</v>
      </c>
      <c r="IO336" t="e">
        <f>AND(#REF!,"AAAAAHYqnvg=")</f>
        <v>#REF!</v>
      </c>
      <c r="IP336" t="e">
        <f>AND(#REF!,"AAAAAHYqnvk=")</f>
        <v>#REF!</v>
      </c>
      <c r="IQ336" t="e">
        <f>AND(#REF!,"AAAAAHYqnvo=")</f>
        <v>#REF!</v>
      </c>
      <c r="IR336" t="e">
        <f>AND(#REF!,"AAAAAHYqnvs=")</f>
        <v>#REF!</v>
      </c>
      <c r="IS336" t="e">
        <f>AND(#REF!,"AAAAAHYqnvw=")</f>
        <v>#REF!</v>
      </c>
      <c r="IT336" t="e">
        <f>AND(#REF!,"AAAAAHYqnv0=")</f>
        <v>#REF!</v>
      </c>
      <c r="IU336" t="e">
        <f>IF(#REF!,"AAAAAHYqnv4=",0)</f>
        <v>#REF!</v>
      </c>
      <c r="IV336" t="e">
        <f>AND(#REF!,"AAAAAHYqnv8=")</f>
        <v>#REF!</v>
      </c>
    </row>
    <row r="337" spans="1:256">
      <c r="A337" t="e">
        <f>AND(#REF!,"AAAAAH/qnQA=")</f>
        <v>#REF!</v>
      </c>
      <c r="B337" t="e">
        <f>AND(#REF!,"AAAAAH/qnQE=")</f>
        <v>#REF!</v>
      </c>
      <c r="C337" t="e">
        <f>AND(#REF!,"AAAAAH/qnQI=")</f>
        <v>#REF!</v>
      </c>
      <c r="D337" t="e">
        <f>AND(#REF!,"AAAAAH/qnQM=")</f>
        <v>#REF!</v>
      </c>
      <c r="E337" t="e">
        <f>AND(#REF!,"AAAAAH/qnQQ=")</f>
        <v>#REF!</v>
      </c>
      <c r="F337" t="e">
        <f>AND(#REF!,"AAAAAH/qnQU=")</f>
        <v>#REF!</v>
      </c>
      <c r="G337" t="e">
        <f>AND(#REF!,"AAAAAH/qnQY=")</f>
        <v>#REF!</v>
      </c>
      <c r="H337" t="e">
        <f>IF(#REF!,"AAAAAH/qnQc=",0)</f>
        <v>#REF!</v>
      </c>
      <c r="I337" t="e">
        <f>AND(#REF!,"AAAAAH/qnQg=")</f>
        <v>#REF!</v>
      </c>
      <c r="J337" t="e">
        <f>AND(#REF!,"AAAAAH/qnQk=")</f>
        <v>#REF!</v>
      </c>
      <c r="K337" t="e">
        <f>AND(#REF!,"AAAAAH/qnQo=")</f>
        <v>#REF!</v>
      </c>
      <c r="L337" t="e">
        <f>AND(#REF!,"AAAAAH/qnQs=")</f>
        <v>#REF!</v>
      </c>
      <c r="M337" t="e">
        <f>AND(#REF!,"AAAAAH/qnQw=")</f>
        <v>#REF!</v>
      </c>
      <c r="N337" t="e">
        <f>AND(#REF!,"AAAAAH/qnQ0=")</f>
        <v>#REF!</v>
      </c>
      <c r="O337" t="e">
        <f>AND(#REF!,"AAAAAH/qnQ4=")</f>
        <v>#REF!</v>
      </c>
      <c r="P337" t="e">
        <f>AND(#REF!,"AAAAAH/qnQ8=")</f>
        <v>#REF!</v>
      </c>
      <c r="Q337" t="e">
        <f>IF(#REF!,"AAAAAH/qnRA=",0)</f>
        <v>#REF!</v>
      </c>
      <c r="R337" t="e">
        <f>AND(#REF!,"AAAAAH/qnRE=")</f>
        <v>#REF!</v>
      </c>
      <c r="S337" t="e">
        <f>AND(#REF!,"AAAAAH/qnRI=")</f>
        <v>#REF!</v>
      </c>
      <c r="T337" t="e">
        <f>AND(#REF!,"AAAAAH/qnRM=")</f>
        <v>#REF!</v>
      </c>
      <c r="U337" t="e">
        <f>AND(#REF!,"AAAAAH/qnRQ=")</f>
        <v>#REF!</v>
      </c>
      <c r="V337" t="e">
        <f>AND(#REF!,"AAAAAH/qnRU=")</f>
        <v>#REF!</v>
      </c>
      <c r="W337" t="e">
        <f>AND(#REF!,"AAAAAH/qnRY=")</f>
        <v>#REF!</v>
      </c>
      <c r="X337" t="e">
        <f>AND(#REF!,"AAAAAH/qnRc=")</f>
        <v>#REF!</v>
      </c>
      <c r="Y337" t="e">
        <f>AND(#REF!,"AAAAAH/qnRg=")</f>
        <v>#REF!</v>
      </c>
      <c r="Z337" t="e">
        <f>IF(#REF!,"AAAAAH/qnRk=",0)</f>
        <v>#REF!</v>
      </c>
      <c r="AA337" t="e">
        <f>AND(#REF!,"AAAAAH/qnRo=")</f>
        <v>#REF!</v>
      </c>
      <c r="AB337" t="e">
        <f>AND(#REF!,"AAAAAH/qnRs=")</f>
        <v>#REF!</v>
      </c>
      <c r="AC337" t="e">
        <f>AND(#REF!,"AAAAAH/qnRw=")</f>
        <v>#REF!</v>
      </c>
      <c r="AD337" t="e">
        <f>AND(#REF!,"AAAAAH/qnR0=")</f>
        <v>#REF!</v>
      </c>
      <c r="AE337" t="e">
        <f>AND(#REF!,"AAAAAH/qnR4=")</f>
        <v>#REF!</v>
      </c>
      <c r="AF337" t="e">
        <f>AND(#REF!,"AAAAAH/qnR8=")</f>
        <v>#REF!</v>
      </c>
      <c r="AG337" t="e">
        <f>AND(#REF!,"AAAAAH/qnSA=")</f>
        <v>#REF!</v>
      </c>
      <c r="AH337" t="e">
        <f>AND(#REF!,"AAAAAH/qnSE=")</f>
        <v>#REF!</v>
      </c>
      <c r="AI337" t="e">
        <f>IF(#REF!,"AAAAAH/qnSI=",0)</f>
        <v>#REF!</v>
      </c>
      <c r="AJ337" t="e">
        <f>AND(#REF!,"AAAAAH/qnSM=")</f>
        <v>#REF!</v>
      </c>
      <c r="AK337" t="e">
        <f>AND(#REF!,"AAAAAH/qnSQ=")</f>
        <v>#REF!</v>
      </c>
      <c r="AL337" t="e">
        <f>AND(#REF!,"AAAAAH/qnSU=")</f>
        <v>#REF!</v>
      </c>
      <c r="AM337" t="e">
        <f>AND(#REF!,"AAAAAH/qnSY=")</f>
        <v>#REF!</v>
      </c>
      <c r="AN337" t="e">
        <f>AND(#REF!,"AAAAAH/qnSc=")</f>
        <v>#REF!</v>
      </c>
      <c r="AO337" t="e">
        <f>AND(#REF!,"AAAAAH/qnSg=")</f>
        <v>#REF!</v>
      </c>
      <c r="AP337" t="e">
        <f>AND(#REF!,"AAAAAH/qnSk=")</f>
        <v>#REF!</v>
      </c>
      <c r="AQ337" t="e">
        <f>AND(#REF!,"AAAAAH/qnSo=")</f>
        <v>#REF!</v>
      </c>
      <c r="AR337" t="e">
        <f>IF(#REF!,"AAAAAH/qnSs=",0)</f>
        <v>#REF!</v>
      </c>
      <c r="AS337" t="e">
        <f>AND(#REF!,"AAAAAH/qnSw=")</f>
        <v>#REF!</v>
      </c>
      <c r="AT337" t="e">
        <f>AND(#REF!,"AAAAAH/qnS0=")</f>
        <v>#REF!</v>
      </c>
      <c r="AU337" t="e">
        <f>AND(#REF!,"AAAAAH/qnS4=")</f>
        <v>#REF!</v>
      </c>
      <c r="AV337" t="e">
        <f>AND(#REF!,"AAAAAH/qnS8=")</f>
        <v>#REF!</v>
      </c>
      <c r="AW337" t="e">
        <f>AND(#REF!,"AAAAAH/qnTA=")</f>
        <v>#REF!</v>
      </c>
      <c r="AX337" t="e">
        <f>AND(#REF!,"AAAAAH/qnTE=")</f>
        <v>#REF!</v>
      </c>
      <c r="AY337" t="e">
        <f>AND(#REF!,"AAAAAH/qnTI=")</f>
        <v>#REF!</v>
      </c>
      <c r="AZ337" t="e">
        <f>AND(#REF!,"AAAAAH/qnTM=")</f>
        <v>#REF!</v>
      </c>
      <c r="BA337" t="e">
        <f>IF(#REF!,"AAAAAH/qnTQ=",0)</f>
        <v>#REF!</v>
      </c>
      <c r="BB337" t="e">
        <f>AND(#REF!,"AAAAAH/qnTU=")</f>
        <v>#REF!</v>
      </c>
      <c r="BC337" t="e">
        <f>AND(#REF!,"AAAAAH/qnTY=")</f>
        <v>#REF!</v>
      </c>
      <c r="BD337" t="e">
        <f>AND(#REF!,"AAAAAH/qnTc=")</f>
        <v>#REF!</v>
      </c>
      <c r="BE337" t="e">
        <f>AND(#REF!,"AAAAAH/qnTg=")</f>
        <v>#REF!</v>
      </c>
      <c r="BF337" t="e">
        <f>AND(#REF!,"AAAAAH/qnTk=")</f>
        <v>#REF!</v>
      </c>
      <c r="BG337" t="e">
        <f>AND(#REF!,"AAAAAH/qnTo=")</f>
        <v>#REF!</v>
      </c>
      <c r="BH337" t="e">
        <f>AND(#REF!,"AAAAAH/qnTs=")</f>
        <v>#REF!</v>
      </c>
      <c r="BI337" t="e">
        <f>AND(#REF!,"AAAAAH/qnTw=")</f>
        <v>#REF!</v>
      </c>
      <c r="BJ337" t="e">
        <f>IF(#REF!,"AAAAAH/qnT0=",0)</f>
        <v>#REF!</v>
      </c>
      <c r="BK337" t="e">
        <f>AND(#REF!,"AAAAAH/qnT4=")</f>
        <v>#REF!</v>
      </c>
      <c r="BL337" t="e">
        <f>AND(#REF!,"AAAAAH/qnT8=")</f>
        <v>#REF!</v>
      </c>
      <c r="BM337" t="e">
        <f>AND(#REF!,"AAAAAH/qnUA=")</f>
        <v>#REF!</v>
      </c>
      <c r="BN337" t="e">
        <f>AND(#REF!,"AAAAAH/qnUE=")</f>
        <v>#REF!</v>
      </c>
      <c r="BO337" t="e">
        <f>AND(#REF!,"AAAAAH/qnUI=")</f>
        <v>#REF!</v>
      </c>
      <c r="BP337" t="e">
        <f>AND(#REF!,"AAAAAH/qnUM=")</f>
        <v>#REF!</v>
      </c>
      <c r="BQ337" t="e">
        <f>AND(#REF!,"AAAAAH/qnUQ=")</f>
        <v>#REF!</v>
      </c>
      <c r="BR337" t="e">
        <f>AND(#REF!,"AAAAAH/qnUU=")</f>
        <v>#REF!</v>
      </c>
      <c r="BS337" t="e">
        <f>IF(#REF!,"AAAAAH/qnUY=",0)</f>
        <v>#REF!</v>
      </c>
      <c r="BT337" t="e">
        <f>AND(#REF!,"AAAAAH/qnUc=")</f>
        <v>#REF!</v>
      </c>
      <c r="BU337" t="e">
        <f>AND(#REF!,"AAAAAH/qnUg=")</f>
        <v>#REF!</v>
      </c>
      <c r="BV337" t="e">
        <f>AND(#REF!,"AAAAAH/qnUk=")</f>
        <v>#REF!</v>
      </c>
      <c r="BW337" t="e">
        <f>AND(#REF!,"AAAAAH/qnUo=")</f>
        <v>#REF!</v>
      </c>
      <c r="BX337" t="e">
        <f>AND(#REF!,"AAAAAH/qnUs=")</f>
        <v>#REF!</v>
      </c>
      <c r="BY337" t="e">
        <f>AND(#REF!,"AAAAAH/qnUw=")</f>
        <v>#REF!</v>
      </c>
      <c r="BZ337" t="e">
        <f>AND(#REF!,"AAAAAH/qnU0=")</f>
        <v>#REF!</v>
      </c>
      <c r="CA337" t="e">
        <f>AND(#REF!,"AAAAAH/qnU4=")</f>
        <v>#REF!</v>
      </c>
      <c r="CB337" t="e">
        <f>IF(#REF!,"AAAAAH/qnU8=",0)</f>
        <v>#REF!</v>
      </c>
      <c r="CC337" t="e">
        <f>AND(#REF!,"AAAAAH/qnVA=")</f>
        <v>#REF!</v>
      </c>
      <c r="CD337" t="e">
        <f>AND(#REF!,"AAAAAH/qnVE=")</f>
        <v>#REF!</v>
      </c>
      <c r="CE337" t="e">
        <f>AND(#REF!,"AAAAAH/qnVI=")</f>
        <v>#REF!</v>
      </c>
      <c r="CF337" t="e">
        <f>AND(#REF!,"AAAAAH/qnVM=")</f>
        <v>#REF!</v>
      </c>
      <c r="CG337" t="e">
        <f>AND(#REF!,"AAAAAH/qnVQ=")</f>
        <v>#REF!</v>
      </c>
      <c r="CH337" t="e">
        <f>AND(#REF!,"AAAAAH/qnVU=")</f>
        <v>#REF!</v>
      </c>
      <c r="CI337" t="e">
        <f>AND(#REF!,"AAAAAH/qnVY=")</f>
        <v>#REF!</v>
      </c>
      <c r="CJ337" t="e">
        <f>AND(#REF!,"AAAAAH/qnVc=")</f>
        <v>#REF!</v>
      </c>
      <c r="CK337" t="e">
        <f>IF(#REF!,"AAAAAH/qnVg=",0)</f>
        <v>#REF!</v>
      </c>
      <c r="CL337" t="e">
        <f>AND(#REF!,"AAAAAH/qnVk=")</f>
        <v>#REF!</v>
      </c>
      <c r="CM337" t="e">
        <f>AND(#REF!,"AAAAAH/qnVo=")</f>
        <v>#REF!</v>
      </c>
      <c r="CN337" t="e">
        <f>AND(#REF!,"AAAAAH/qnVs=")</f>
        <v>#REF!</v>
      </c>
      <c r="CO337" t="e">
        <f>AND(#REF!,"AAAAAH/qnVw=")</f>
        <v>#REF!</v>
      </c>
      <c r="CP337" t="e">
        <f>AND(#REF!,"AAAAAH/qnV0=")</f>
        <v>#REF!</v>
      </c>
      <c r="CQ337" t="e">
        <f>AND(#REF!,"AAAAAH/qnV4=")</f>
        <v>#REF!</v>
      </c>
      <c r="CR337" t="e">
        <f>AND(#REF!,"AAAAAH/qnV8=")</f>
        <v>#REF!</v>
      </c>
      <c r="CS337" t="e">
        <f>AND(#REF!,"AAAAAH/qnWA=")</f>
        <v>#REF!</v>
      </c>
      <c r="CT337" t="e">
        <f>IF(#REF!,"AAAAAH/qnWE=",0)</f>
        <v>#REF!</v>
      </c>
      <c r="CU337" t="e">
        <f>AND(#REF!,"AAAAAH/qnWI=")</f>
        <v>#REF!</v>
      </c>
      <c r="CV337" t="e">
        <f>AND(#REF!,"AAAAAH/qnWM=")</f>
        <v>#REF!</v>
      </c>
      <c r="CW337" t="e">
        <f>AND(#REF!,"AAAAAH/qnWQ=")</f>
        <v>#REF!</v>
      </c>
      <c r="CX337" t="e">
        <f>AND(#REF!,"AAAAAH/qnWU=")</f>
        <v>#REF!</v>
      </c>
      <c r="CY337" t="e">
        <f>AND(#REF!,"AAAAAH/qnWY=")</f>
        <v>#REF!</v>
      </c>
      <c r="CZ337" t="e">
        <f>AND(#REF!,"AAAAAH/qnWc=")</f>
        <v>#REF!</v>
      </c>
      <c r="DA337" t="e">
        <f>AND(#REF!,"AAAAAH/qnWg=")</f>
        <v>#REF!</v>
      </c>
      <c r="DB337" t="e">
        <f>AND(#REF!,"AAAAAH/qnWk=")</f>
        <v>#REF!</v>
      </c>
      <c r="DC337" t="e">
        <f>IF(#REF!,"AAAAAH/qnWo=",0)</f>
        <v>#REF!</v>
      </c>
      <c r="DD337" t="e">
        <f>AND(#REF!,"AAAAAH/qnWs=")</f>
        <v>#REF!</v>
      </c>
      <c r="DE337" t="e">
        <f>AND(#REF!,"AAAAAH/qnWw=")</f>
        <v>#REF!</v>
      </c>
      <c r="DF337" t="e">
        <f>AND(#REF!,"AAAAAH/qnW0=")</f>
        <v>#REF!</v>
      </c>
      <c r="DG337" t="e">
        <f>AND(#REF!,"AAAAAH/qnW4=")</f>
        <v>#REF!</v>
      </c>
      <c r="DH337" t="e">
        <f>AND(#REF!,"AAAAAH/qnW8=")</f>
        <v>#REF!</v>
      </c>
      <c r="DI337" t="e">
        <f>AND(#REF!,"AAAAAH/qnXA=")</f>
        <v>#REF!</v>
      </c>
      <c r="DJ337" t="e">
        <f>AND(#REF!,"AAAAAH/qnXE=")</f>
        <v>#REF!</v>
      </c>
      <c r="DK337" t="e">
        <f>AND(#REF!,"AAAAAH/qnXI=")</f>
        <v>#REF!</v>
      </c>
      <c r="DL337" t="e">
        <f>IF(#REF!,"AAAAAH/qnXM=",0)</f>
        <v>#REF!</v>
      </c>
      <c r="DM337" t="e">
        <f>AND(#REF!,"AAAAAH/qnXQ=")</f>
        <v>#REF!</v>
      </c>
      <c r="DN337" t="e">
        <f>AND(#REF!,"AAAAAH/qnXU=")</f>
        <v>#REF!</v>
      </c>
      <c r="DO337" t="e">
        <f>AND(#REF!,"AAAAAH/qnXY=")</f>
        <v>#REF!</v>
      </c>
      <c r="DP337" t="e">
        <f>AND(#REF!,"AAAAAH/qnXc=")</f>
        <v>#REF!</v>
      </c>
      <c r="DQ337" t="e">
        <f>AND(#REF!,"AAAAAH/qnXg=")</f>
        <v>#REF!</v>
      </c>
      <c r="DR337" t="e">
        <f>AND(#REF!,"AAAAAH/qnXk=")</f>
        <v>#REF!</v>
      </c>
      <c r="DS337" t="e">
        <f>AND(#REF!,"AAAAAH/qnXo=")</f>
        <v>#REF!</v>
      </c>
      <c r="DT337" t="e">
        <f>AND(#REF!,"AAAAAH/qnXs=")</f>
        <v>#REF!</v>
      </c>
      <c r="DU337" t="e">
        <f>IF(#REF!,"AAAAAH/qnXw=",0)</f>
        <v>#REF!</v>
      </c>
      <c r="DV337" t="e">
        <f>AND(#REF!,"AAAAAH/qnX0=")</f>
        <v>#REF!</v>
      </c>
      <c r="DW337" t="e">
        <f>AND(#REF!,"AAAAAH/qnX4=")</f>
        <v>#REF!</v>
      </c>
      <c r="DX337" t="e">
        <f>AND(#REF!,"AAAAAH/qnX8=")</f>
        <v>#REF!</v>
      </c>
      <c r="DY337" t="e">
        <f>AND(#REF!,"AAAAAH/qnYA=")</f>
        <v>#REF!</v>
      </c>
      <c r="DZ337" t="e">
        <f>AND(#REF!,"AAAAAH/qnYE=")</f>
        <v>#REF!</v>
      </c>
      <c r="EA337" t="e">
        <f>AND(#REF!,"AAAAAH/qnYI=")</f>
        <v>#REF!</v>
      </c>
      <c r="EB337" t="e">
        <f>AND(#REF!,"AAAAAH/qnYM=")</f>
        <v>#REF!</v>
      </c>
      <c r="EC337" t="e">
        <f>AND(#REF!,"AAAAAH/qnYQ=")</f>
        <v>#REF!</v>
      </c>
      <c r="ED337" t="e">
        <f>IF(#REF!,"AAAAAH/qnYU=",0)</f>
        <v>#REF!</v>
      </c>
      <c r="EE337" t="e">
        <f>AND(#REF!,"AAAAAH/qnYY=")</f>
        <v>#REF!</v>
      </c>
      <c r="EF337" t="e">
        <f>AND(#REF!,"AAAAAH/qnYc=")</f>
        <v>#REF!</v>
      </c>
      <c r="EG337" t="e">
        <f>AND(#REF!,"AAAAAH/qnYg=")</f>
        <v>#REF!</v>
      </c>
      <c r="EH337" t="e">
        <f>AND(#REF!,"AAAAAH/qnYk=")</f>
        <v>#REF!</v>
      </c>
      <c r="EI337" t="e">
        <f>AND(#REF!,"AAAAAH/qnYo=")</f>
        <v>#REF!</v>
      </c>
      <c r="EJ337" t="e">
        <f>AND(#REF!,"AAAAAH/qnYs=")</f>
        <v>#REF!</v>
      </c>
      <c r="EK337" t="e">
        <f>AND(#REF!,"AAAAAH/qnYw=")</f>
        <v>#REF!</v>
      </c>
      <c r="EL337" t="e">
        <f>AND(#REF!,"AAAAAH/qnY0=")</f>
        <v>#REF!</v>
      </c>
      <c r="EM337" t="e">
        <f>IF(#REF!,"AAAAAH/qnY4=",0)</f>
        <v>#REF!</v>
      </c>
      <c r="EN337" t="e">
        <f>AND(#REF!,"AAAAAH/qnY8=")</f>
        <v>#REF!</v>
      </c>
      <c r="EO337" t="e">
        <f>AND(#REF!,"AAAAAH/qnZA=")</f>
        <v>#REF!</v>
      </c>
      <c r="EP337" t="e">
        <f>AND(#REF!,"AAAAAH/qnZE=")</f>
        <v>#REF!</v>
      </c>
      <c r="EQ337" t="e">
        <f>AND(#REF!,"AAAAAH/qnZI=")</f>
        <v>#REF!</v>
      </c>
      <c r="ER337" t="e">
        <f>AND(#REF!,"AAAAAH/qnZM=")</f>
        <v>#REF!</v>
      </c>
      <c r="ES337" t="e">
        <f>AND(#REF!,"AAAAAH/qnZQ=")</f>
        <v>#REF!</v>
      </c>
      <c r="ET337" t="e">
        <f>AND(#REF!,"AAAAAH/qnZU=")</f>
        <v>#REF!</v>
      </c>
      <c r="EU337" t="e">
        <f>AND(#REF!,"AAAAAH/qnZY=")</f>
        <v>#REF!</v>
      </c>
      <c r="EV337" t="e">
        <f>IF(#REF!,"AAAAAH/qnZc=",0)</f>
        <v>#REF!</v>
      </c>
      <c r="EW337" t="e">
        <f>AND(#REF!,"AAAAAH/qnZg=")</f>
        <v>#REF!</v>
      </c>
      <c r="EX337" t="e">
        <f>AND(#REF!,"AAAAAH/qnZk=")</f>
        <v>#REF!</v>
      </c>
      <c r="EY337" t="e">
        <f>AND(#REF!,"AAAAAH/qnZo=")</f>
        <v>#REF!</v>
      </c>
      <c r="EZ337" t="e">
        <f>AND(#REF!,"AAAAAH/qnZs=")</f>
        <v>#REF!</v>
      </c>
      <c r="FA337" t="e">
        <f>AND(#REF!,"AAAAAH/qnZw=")</f>
        <v>#REF!</v>
      </c>
      <c r="FB337" t="e">
        <f>AND(#REF!,"AAAAAH/qnZ0=")</f>
        <v>#REF!</v>
      </c>
      <c r="FC337" t="e">
        <f>AND(#REF!,"AAAAAH/qnZ4=")</f>
        <v>#REF!</v>
      </c>
      <c r="FD337" t="e">
        <f>AND(#REF!,"AAAAAH/qnZ8=")</f>
        <v>#REF!</v>
      </c>
      <c r="FE337" t="e">
        <f>IF(#REF!,"AAAAAH/qnaA=",0)</f>
        <v>#REF!</v>
      </c>
      <c r="FF337" t="e">
        <f>AND(#REF!,"AAAAAH/qnaE=")</f>
        <v>#REF!</v>
      </c>
      <c r="FG337" t="e">
        <f>AND(#REF!,"AAAAAH/qnaI=")</f>
        <v>#REF!</v>
      </c>
      <c r="FH337" t="e">
        <f>AND(#REF!,"AAAAAH/qnaM=")</f>
        <v>#REF!</v>
      </c>
      <c r="FI337" t="e">
        <f>AND(#REF!,"AAAAAH/qnaQ=")</f>
        <v>#REF!</v>
      </c>
      <c r="FJ337" t="e">
        <f>AND(#REF!,"AAAAAH/qnaU=")</f>
        <v>#REF!</v>
      </c>
      <c r="FK337" t="e">
        <f>AND(#REF!,"AAAAAH/qnaY=")</f>
        <v>#REF!</v>
      </c>
      <c r="FL337" t="e">
        <f>AND(#REF!,"AAAAAH/qnac=")</f>
        <v>#REF!</v>
      </c>
      <c r="FM337" t="e">
        <f>AND(#REF!,"AAAAAH/qnag=")</f>
        <v>#REF!</v>
      </c>
      <c r="FN337" t="e">
        <f>IF(#REF!,"AAAAAH/qnak=",0)</f>
        <v>#REF!</v>
      </c>
      <c r="FO337" t="e">
        <f>AND(#REF!,"AAAAAH/qnao=")</f>
        <v>#REF!</v>
      </c>
      <c r="FP337" t="e">
        <f>AND(#REF!,"AAAAAH/qnas=")</f>
        <v>#REF!</v>
      </c>
      <c r="FQ337" t="e">
        <f>AND(#REF!,"AAAAAH/qnaw=")</f>
        <v>#REF!</v>
      </c>
      <c r="FR337" t="e">
        <f>AND(#REF!,"AAAAAH/qna0=")</f>
        <v>#REF!</v>
      </c>
      <c r="FS337" t="e">
        <f>AND(#REF!,"AAAAAH/qna4=")</f>
        <v>#REF!</v>
      </c>
      <c r="FT337" t="e">
        <f>AND(#REF!,"AAAAAH/qna8=")</f>
        <v>#REF!</v>
      </c>
      <c r="FU337" t="e">
        <f>AND(#REF!,"AAAAAH/qnbA=")</f>
        <v>#REF!</v>
      </c>
      <c r="FV337" t="e">
        <f>AND(#REF!,"AAAAAH/qnbE=")</f>
        <v>#REF!</v>
      </c>
      <c r="FW337" t="e">
        <f>IF(#REF!,"AAAAAH/qnbI=",0)</f>
        <v>#REF!</v>
      </c>
      <c r="FX337" t="e">
        <f>AND(#REF!,"AAAAAH/qnbM=")</f>
        <v>#REF!</v>
      </c>
      <c r="FY337" t="e">
        <f>AND(#REF!,"AAAAAH/qnbQ=")</f>
        <v>#REF!</v>
      </c>
      <c r="FZ337" t="e">
        <f>AND(#REF!,"AAAAAH/qnbU=")</f>
        <v>#REF!</v>
      </c>
      <c r="GA337" t="e">
        <f>AND(#REF!,"AAAAAH/qnbY=")</f>
        <v>#REF!</v>
      </c>
      <c r="GB337" t="e">
        <f>AND(#REF!,"AAAAAH/qnbc=")</f>
        <v>#REF!</v>
      </c>
      <c r="GC337" t="e">
        <f>AND(#REF!,"AAAAAH/qnbg=")</f>
        <v>#REF!</v>
      </c>
      <c r="GD337" t="e">
        <f>AND(#REF!,"AAAAAH/qnbk=")</f>
        <v>#REF!</v>
      </c>
      <c r="GE337" t="e">
        <f>AND(#REF!,"AAAAAH/qnbo=")</f>
        <v>#REF!</v>
      </c>
      <c r="GF337" t="e">
        <f>IF(#REF!,"AAAAAH/qnbs=",0)</f>
        <v>#REF!</v>
      </c>
      <c r="GG337" t="e">
        <f>AND(#REF!,"AAAAAH/qnbw=")</f>
        <v>#REF!</v>
      </c>
      <c r="GH337" t="e">
        <f>AND(#REF!,"AAAAAH/qnb0=")</f>
        <v>#REF!</v>
      </c>
      <c r="GI337" t="e">
        <f>AND(#REF!,"AAAAAH/qnb4=")</f>
        <v>#REF!</v>
      </c>
      <c r="GJ337" t="e">
        <f>AND(#REF!,"AAAAAH/qnb8=")</f>
        <v>#REF!</v>
      </c>
      <c r="GK337" t="e">
        <f>AND(#REF!,"AAAAAH/qncA=")</f>
        <v>#REF!</v>
      </c>
      <c r="GL337" t="e">
        <f>AND(#REF!,"AAAAAH/qncE=")</f>
        <v>#REF!</v>
      </c>
      <c r="GM337" t="e">
        <f>AND(#REF!,"AAAAAH/qncI=")</f>
        <v>#REF!</v>
      </c>
      <c r="GN337" t="e">
        <f>AND(#REF!,"AAAAAH/qncM=")</f>
        <v>#REF!</v>
      </c>
      <c r="GO337" t="e">
        <f>IF(#REF!,"AAAAAH/qncQ=",0)</f>
        <v>#REF!</v>
      </c>
      <c r="GP337" t="e">
        <f>AND(#REF!,"AAAAAH/qncU=")</f>
        <v>#REF!</v>
      </c>
      <c r="GQ337" t="e">
        <f>AND(#REF!,"AAAAAH/qncY=")</f>
        <v>#REF!</v>
      </c>
      <c r="GR337" t="e">
        <f>AND(#REF!,"AAAAAH/qncc=")</f>
        <v>#REF!</v>
      </c>
      <c r="GS337" t="e">
        <f>AND(#REF!,"AAAAAH/qncg=")</f>
        <v>#REF!</v>
      </c>
      <c r="GT337" t="e">
        <f>AND(#REF!,"AAAAAH/qnck=")</f>
        <v>#REF!</v>
      </c>
      <c r="GU337" t="e">
        <f>AND(#REF!,"AAAAAH/qnco=")</f>
        <v>#REF!</v>
      </c>
      <c r="GV337" t="e">
        <f>AND(#REF!,"AAAAAH/qncs=")</f>
        <v>#REF!</v>
      </c>
      <c r="GW337" t="e">
        <f>AND(#REF!,"AAAAAH/qncw=")</f>
        <v>#REF!</v>
      </c>
      <c r="GX337" t="e">
        <f>IF(#REF!,"AAAAAH/qnc0=",0)</f>
        <v>#REF!</v>
      </c>
      <c r="GY337" t="e">
        <f>AND(#REF!,"AAAAAH/qnc4=")</f>
        <v>#REF!</v>
      </c>
      <c r="GZ337" t="e">
        <f>AND(#REF!,"AAAAAH/qnc8=")</f>
        <v>#REF!</v>
      </c>
      <c r="HA337" t="e">
        <f>AND(#REF!,"AAAAAH/qndA=")</f>
        <v>#REF!</v>
      </c>
      <c r="HB337" t="e">
        <f>AND(#REF!,"AAAAAH/qndE=")</f>
        <v>#REF!</v>
      </c>
      <c r="HC337" t="e">
        <f>AND(#REF!,"AAAAAH/qndI=")</f>
        <v>#REF!</v>
      </c>
      <c r="HD337" t="e">
        <f>AND(#REF!,"AAAAAH/qndM=")</f>
        <v>#REF!</v>
      </c>
      <c r="HE337" t="e">
        <f>AND(#REF!,"AAAAAH/qndQ=")</f>
        <v>#REF!</v>
      </c>
      <c r="HF337" t="e">
        <f>AND(#REF!,"AAAAAH/qndU=")</f>
        <v>#REF!</v>
      </c>
      <c r="HG337" t="e">
        <f>IF(#REF!,"AAAAAH/qndY=",0)</f>
        <v>#REF!</v>
      </c>
      <c r="HH337" t="e">
        <f>AND(#REF!,"AAAAAH/qndc=")</f>
        <v>#REF!</v>
      </c>
      <c r="HI337" t="e">
        <f>AND(#REF!,"AAAAAH/qndg=")</f>
        <v>#REF!</v>
      </c>
      <c r="HJ337" t="e">
        <f>AND(#REF!,"AAAAAH/qndk=")</f>
        <v>#REF!</v>
      </c>
      <c r="HK337" t="e">
        <f>AND(#REF!,"AAAAAH/qndo=")</f>
        <v>#REF!</v>
      </c>
      <c r="HL337" t="e">
        <f>AND(#REF!,"AAAAAH/qnds=")</f>
        <v>#REF!</v>
      </c>
      <c r="HM337" t="e">
        <f>AND(#REF!,"AAAAAH/qndw=")</f>
        <v>#REF!</v>
      </c>
      <c r="HN337" t="e">
        <f>AND(#REF!,"AAAAAH/qnd0=")</f>
        <v>#REF!</v>
      </c>
      <c r="HO337" t="e">
        <f>AND(#REF!,"AAAAAH/qnd4=")</f>
        <v>#REF!</v>
      </c>
      <c r="HP337" t="e">
        <f>IF(#REF!,"AAAAAH/qnd8=",0)</f>
        <v>#REF!</v>
      </c>
      <c r="HQ337" t="e">
        <f>AND(#REF!,"AAAAAH/qneA=")</f>
        <v>#REF!</v>
      </c>
      <c r="HR337" t="e">
        <f>AND(#REF!,"AAAAAH/qneE=")</f>
        <v>#REF!</v>
      </c>
      <c r="HS337" t="e">
        <f>AND(#REF!,"AAAAAH/qneI=")</f>
        <v>#REF!</v>
      </c>
      <c r="HT337" t="e">
        <f>AND(#REF!,"AAAAAH/qneM=")</f>
        <v>#REF!</v>
      </c>
      <c r="HU337" t="e">
        <f>AND(#REF!,"AAAAAH/qneQ=")</f>
        <v>#REF!</v>
      </c>
      <c r="HV337" t="e">
        <f>AND(#REF!,"AAAAAH/qneU=")</f>
        <v>#REF!</v>
      </c>
      <c r="HW337" t="e">
        <f>AND(#REF!,"AAAAAH/qneY=")</f>
        <v>#REF!</v>
      </c>
      <c r="HX337" t="e">
        <f>AND(#REF!,"AAAAAH/qnec=")</f>
        <v>#REF!</v>
      </c>
      <c r="HY337" t="e">
        <f>IF(#REF!,"AAAAAH/qneg=",0)</f>
        <v>#REF!</v>
      </c>
      <c r="HZ337" t="e">
        <f>AND(#REF!,"AAAAAH/qnek=")</f>
        <v>#REF!</v>
      </c>
      <c r="IA337" t="e">
        <f>AND(#REF!,"AAAAAH/qneo=")</f>
        <v>#REF!</v>
      </c>
      <c r="IB337" t="e">
        <f>AND(#REF!,"AAAAAH/qnes=")</f>
        <v>#REF!</v>
      </c>
      <c r="IC337" t="e">
        <f>AND(#REF!,"AAAAAH/qnew=")</f>
        <v>#REF!</v>
      </c>
      <c r="ID337" t="e">
        <f>AND(#REF!,"AAAAAH/qne0=")</f>
        <v>#REF!</v>
      </c>
      <c r="IE337" t="e">
        <f>AND(#REF!,"AAAAAH/qne4=")</f>
        <v>#REF!</v>
      </c>
      <c r="IF337" t="e">
        <f>AND(#REF!,"AAAAAH/qne8=")</f>
        <v>#REF!</v>
      </c>
      <c r="IG337" t="e">
        <f>AND(#REF!,"AAAAAH/qnfA=")</f>
        <v>#REF!</v>
      </c>
      <c r="IH337" t="e">
        <f>IF(#REF!,"AAAAAH/qnfE=",0)</f>
        <v>#REF!</v>
      </c>
      <c r="II337" t="e">
        <f>AND(#REF!,"AAAAAH/qnfI=")</f>
        <v>#REF!</v>
      </c>
      <c r="IJ337" t="e">
        <f>AND(#REF!,"AAAAAH/qnfM=")</f>
        <v>#REF!</v>
      </c>
      <c r="IK337" t="e">
        <f>AND(#REF!,"AAAAAH/qnfQ=")</f>
        <v>#REF!</v>
      </c>
      <c r="IL337" t="e">
        <f>AND(#REF!,"AAAAAH/qnfU=")</f>
        <v>#REF!</v>
      </c>
      <c r="IM337" t="e">
        <f>AND(#REF!,"AAAAAH/qnfY=")</f>
        <v>#REF!</v>
      </c>
      <c r="IN337" t="e">
        <f>AND(#REF!,"AAAAAH/qnfc=")</f>
        <v>#REF!</v>
      </c>
      <c r="IO337" t="e">
        <f>AND(#REF!,"AAAAAH/qnfg=")</f>
        <v>#REF!</v>
      </c>
      <c r="IP337" t="e">
        <f>AND(#REF!,"AAAAAH/qnfk=")</f>
        <v>#REF!</v>
      </c>
      <c r="IQ337" t="e">
        <f>IF(#REF!,"AAAAAH/qnfo=",0)</f>
        <v>#REF!</v>
      </c>
      <c r="IR337" t="e">
        <f>AND(#REF!,"AAAAAH/qnfs=")</f>
        <v>#REF!</v>
      </c>
      <c r="IS337" t="e">
        <f>AND(#REF!,"AAAAAH/qnfw=")</f>
        <v>#REF!</v>
      </c>
      <c r="IT337" t="e">
        <f>AND(#REF!,"AAAAAH/qnf0=")</f>
        <v>#REF!</v>
      </c>
      <c r="IU337" t="e">
        <f>AND(#REF!,"AAAAAH/qnf4=")</f>
        <v>#REF!</v>
      </c>
      <c r="IV337" t="e">
        <f>AND(#REF!,"AAAAAH/qnf8=")</f>
        <v>#REF!</v>
      </c>
    </row>
    <row r="338" spans="1:256">
      <c r="A338" t="e">
        <f>AND(#REF!,"AAAAAH/3/QA=")</f>
        <v>#REF!</v>
      </c>
      <c r="B338" t="e">
        <f>AND(#REF!,"AAAAAH/3/QE=")</f>
        <v>#REF!</v>
      </c>
      <c r="C338" t="e">
        <f>AND(#REF!,"AAAAAH/3/QI=")</f>
        <v>#REF!</v>
      </c>
      <c r="D338" t="e">
        <f>IF(#REF!,"AAAAAH/3/QM=",0)</f>
        <v>#REF!</v>
      </c>
      <c r="E338" t="e">
        <f>AND(#REF!,"AAAAAH/3/QQ=")</f>
        <v>#REF!</v>
      </c>
      <c r="F338" t="e">
        <f>AND(#REF!,"AAAAAH/3/QU=")</f>
        <v>#REF!</v>
      </c>
      <c r="G338" t="e">
        <f>AND(#REF!,"AAAAAH/3/QY=")</f>
        <v>#REF!</v>
      </c>
      <c r="H338" t="e">
        <f>AND(#REF!,"AAAAAH/3/Qc=")</f>
        <v>#REF!</v>
      </c>
      <c r="I338" t="e">
        <f>AND(#REF!,"AAAAAH/3/Qg=")</f>
        <v>#REF!</v>
      </c>
      <c r="J338" t="e">
        <f>AND(#REF!,"AAAAAH/3/Qk=")</f>
        <v>#REF!</v>
      </c>
      <c r="K338" t="e">
        <f>AND(#REF!,"AAAAAH/3/Qo=")</f>
        <v>#REF!</v>
      </c>
      <c r="L338" t="e">
        <f>AND(#REF!,"AAAAAH/3/Qs=")</f>
        <v>#REF!</v>
      </c>
      <c r="M338" t="e">
        <f>IF(#REF!,"AAAAAH/3/Qw=",0)</f>
        <v>#REF!</v>
      </c>
      <c r="N338" t="e">
        <f>AND(#REF!,"AAAAAH/3/Q0=")</f>
        <v>#REF!</v>
      </c>
      <c r="O338" t="e">
        <f>AND(#REF!,"AAAAAH/3/Q4=")</f>
        <v>#REF!</v>
      </c>
      <c r="P338" t="e">
        <f>AND(#REF!,"AAAAAH/3/Q8=")</f>
        <v>#REF!</v>
      </c>
      <c r="Q338" t="e">
        <f>AND(#REF!,"AAAAAH/3/RA=")</f>
        <v>#REF!</v>
      </c>
      <c r="R338" t="e">
        <f>AND(#REF!,"AAAAAH/3/RE=")</f>
        <v>#REF!</v>
      </c>
      <c r="S338" t="e">
        <f>AND(#REF!,"AAAAAH/3/RI=")</f>
        <v>#REF!</v>
      </c>
      <c r="T338" t="e">
        <f>AND(#REF!,"AAAAAH/3/RM=")</f>
        <v>#REF!</v>
      </c>
      <c r="U338" t="e">
        <f>AND(#REF!,"AAAAAH/3/RQ=")</f>
        <v>#REF!</v>
      </c>
      <c r="V338" t="e">
        <f>IF(#REF!,"AAAAAH/3/RU=",0)</f>
        <v>#REF!</v>
      </c>
      <c r="W338" t="e">
        <f>AND(#REF!,"AAAAAH/3/RY=")</f>
        <v>#REF!</v>
      </c>
      <c r="X338" t="e">
        <f>AND(#REF!,"AAAAAH/3/Rc=")</f>
        <v>#REF!</v>
      </c>
      <c r="Y338" t="e">
        <f>AND(#REF!,"AAAAAH/3/Rg=")</f>
        <v>#REF!</v>
      </c>
      <c r="Z338" t="e">
        <f>AND(#REF!,"AAAAAH/3/Rk=")</f>
        <v>#REF!</v>
      </c>
      <c r="AA338" t="e">
        <f>AND(#REF!,"AAAAAH/3/Ro=")</f>
        <v>#REF!</v>
      </c>
      <c r="AB338" t="e">
        <f>AND(#REF!,"AAAAAH/3/Rs=")</f>
        <v>#REF!</v>
      </c>
      <c r="AC338" t="e">
        <f>AND(#REF!,"AAAAAH/3/Rw=")</f>
        <v>#REF!</v>
      </c>
      <c r="AD338" t="e">
        <f>AND(#REF!,"AAAAAH/3/R0=")</f>
        <v>#REF!</v>
      </c>
      <c r="AE338" t="e">
        <f>IF(#REF!,"AAAAAH/3/R4=",0)</f>
        <v>#REF!</v>
      </c>
      <c r="AF338" t="e">
        <f>AND(#REF!,"AAAAAH/3/R8=")</f>
        <v>#REF!</v>
      </c>
      <c r="AG338" t="e">
        <f>AND(#REF!,"AAAAAH/3/SA=")</f>
        <v>#REF!</v>
      </c>
      <c r="AH338" t="e">
        <f>AND(#REF!,"AAAAAH/3/SE=")</f>
        <v>#REF!</v>
      </c>
      <c r="AI338" t="e">
        <f>AND(#REF!,"AAAAAH/3/SI=")</f>
        <v>#REF!</v>
      </c>
      <c r="AJ338" t="e">
        <f>AND(#REF!,"AAAAAH/3/SM=")</f>
        <v>#REF!</v>
      </c>
      <c r="AK338" t="e">
        <f>AND(#REF!,"AAAAAH/3/SQ=")</f>
        <v>#REF!</v>
      </c>
      <c r="AL338" t="e">
        <f>AND(#REF!,"AAAAAH/3/SU=")</f>
        <v>#REF!</v>
      </c>
      <c r="AM338" t="e">
        <f>AND(#REF!,"AAAAAH/3/SY=")</f>
        <v>#REF!</v>
      </c>
      <c r="AN338" t="e">
        <f>IF(#REF!,"AAAAAH/3/Sc=",0)</f>
        <v>#REF!</v>
      </c>
      <c r="AO338" t="e">
        <f>AND(#REF!,"AAAAAH/3/Sg=")</f>
        <v>#REF!</v>
      </c>
      <c r="AP338" t="e">
        <f>AND(#REF!,"AAAAAH/3/Sk=")</f>
        <v>#REF!</v>
      </c>
      <c r="AQ338" t="e">
        <f>AND(#REF!,"AAAAAH/3/So=")</f>
        <v>#REF!</v>
      </c>
      <c r="AR338" t="e">
        <f>AND(#REF!,"AAAAAH/3/Ss=")</f>
        <v>#REF!</v>
      </c>
      <c r="AS338" t="e">
        <f>AND(#REF!,"AAAAAH/3/Sw=")</f>
        <v>#REF!</v>
      </c>
      <c r="AT338" t="e">
        <f>AND(#REF!,"AAAAAH/3/S0=")</f>
        <v>#REF!</v>
      </c>
      <c r="AU338" t="e">
        <f>AND(#REF!,"AAAAAH/3/S4=")</f>
        <v>#REF!</v>
      </c>
      <c r="AV338" t="e">
        <f>AND(#REF!,"AAAAAH/3/S8=")</f>
        <v>#REF!</v>
      </c>
      <c r="AW338" t="e">
        <f>IF(#REF!,"AAAAAH/3/TA=",0)</f>
        <v>#REF!</v>
      </c>
      <c r="AX338" t="e">
        <f>AND(#REF!,"AAAAAH/3/TE=")</f>
        <v>#REF!</v>
      </c>
      <c r="AY338" t="e">
        <f>AND(#REF!,"AAAAAH/3/TI=")</f>
        <v>#REF!</v>
      </c>
      <c r="AZ338" t="e">
        <f>AND(#REF!,"AAAAAH/3/TM=")</f>
        <v>#REF!</v>
      </c>
      <c r="BA338" t="e">
        <f>AND(#REF!,"AAAAAH/3/TQ=")</f>
        <v>#REF!</v>
      </c>
      <c r="BB338" t="e">
        <f>AND(#REF!,"AAAAAH/3/TU=")</f>
        <v>#REF!</v>
      </c>
      <c r="BC338" t="e">
        <f>AND(#REF!,"AAAAAH/3/TY=")</f>
        <v>#REF!</v>
      </c>
      <c r="BD338" t="e">
        <f>AND(#REF!,"AAAAAH/3/Tc=")</f>
        <v>#REF!</v>
      </c>
      <c r="BE338" t="e">
        <f>AND(#REF!,"AAAAAH/3/Tg=")</f>
        <v>#REF!</v>
      </c>
      <c r="BF338" t="e">
        <f>IF(#REF!,"AAAAAH/3/Tk=",0)</f>
        <v>#REF!</v>
      </c>
      <c r="BG338" t="e">
        <f>AND(#REF!,"AAAAAH/3/To=")</f>
        <v>#REF!</v>
      </c>
      <c r="BH338" t="e">
        <f>AND(#REF!,"AAAAAH/3/Ts=")</f>
        <v>#REF!</v>
      </c>
      <c r="BI338" t="e">
        <f>AND(#REF!,"AAAAAH/3/Tw=")</f>
        <v>#REF!</v>
      </c>
      <c r="BJ338" t="e">
        <f>AND(#REF!,"AAAAAH/3/T0=")</f>
        <v>#REF!</v>
      </c>
      <c r="BK338" t="e">
        <f>AND(#REF!,"AAAAAH/3/T4=")</f>
        <v>#REF!</v>
      </c>
      <c r="BL338" t="e">
        <f>AND(#REF!,"AAAAAH/3/T8=")</f>
        <v>#REF!</v>
      </c>
      <c r="BM338" t="e">
        <f>AND(#REF!,"AAAAAH/3/UA=")</f>
        <v>#REF!</v>
      </c>
      <c r="BN338" t="e">
        <f>AND(#REF!,"AAAAAH/3/UE=")</f>
        <v>#REF!</v>
      </c>
      <c r="BO338" t="e">
        <f>IF(#REF!,"AAAAAH/3/UI=",0)</f>
        <v>#REF!</v>
      </c>
      <c r="BP338" t="e">
        <f>AND(#REF!,"AAAAAH/3/UM=")</f>
        <v>#REF!</v>
      </c>
      <c r="BQ338" t="e">
        <f>AND(#REF!,"AAAAAH/3/UQ=")</f>
        <v>#REF!</v>
      </c>
      <c r="BR338" t="e">
        <f>AND(#REF!,"AAAAAH/3/UU=")</f>
        <v>#REF!</v>
      </c>
      <c r="BS338" t="e">
        <f>AND(#REF!,"AAAAAH/3/UY=")</f>
        <v>#REF!</v>
      </c>
      <c r="BT338" t="e">
        <f>AND(#REF!,"AAAAAH/3/Uc=")</f>
        <v>#REF!</v>
      </c>
      <c r="BU338" t="e">
        <f>AND(#REF!,"AAAAAH/3/Ug=")</f>
        <v>#REF!</v>
      </c>
      <c r="BV338" t="e">
        <f>AND(#REF!,"AAAAAH/3/Uk=")</f>
        <v>#REF!</v>
      </c>
      <c r="BW338" t="e">
        <f>AND(#REF!,"AAAAAH/3/Uo=")</f>
        <v>#REF!</v>
      </c>
      <c r="BX338" t="e">
        <f>IF(#REF!,"AAAAAH/3/Us=",0)</f>
        <v>#REF!</v>
      </c>
      <c r="BY338" t="e">
        <f>AND(#REF!,"AAAAAH/3/Uw=")</f>
        <v>#REF!</v>
      </c>
      <c r="BZ338" t="e">
        <f>AND(#REF!,"AAAAAH/3/U0=")</f>
        <v>#REF!</v>
      </c>
      <c r="CA338" t="e">
        <f>AND(#REF!,"AAAAAH/3/U4=")</f>
        <v>#REF!</v>
      </c>
      <c r="CB338" t="e">
        <f>AND(#REF!,"AAAAAH/3/U8=")</f>
        <v>#REF!</v>
      </c>
      <c r="CC338" t="e">
        <f>AND(#REF!,"AAAAAH/3/VA=")</f>
        <v>#REF!</v>
      </c>
      <c r="CD338" t="e">
        <f>AND(#REF!,"AAAAAH/3/VE=")</f>
        <v>#REF!</v>
      </c>
      <c r="CE338" t="e">
        <f>AND(#REF!,"AAAAAH/3/VI=")</f>
        <v>#REF!</v>
      </c>
      <c r="CF338" t="e">
        <f>AND(#REF!,"AAAAAH/3/VM=")</f>
        <v>#REF!</v>
      </c>
      <c r="CG338" t="e">
        <f>IF(#REF!,"AAAAAH/3/VQ=",0)</f>
        <v>#REF!</v>
      </c>
      <c r="CH338" t="e">
        <f>AND(#REF!,"AAAAAH/3/VU=")</f>
        <v>#REF!</v>
      </c>
      <c r="CI338" t="e">
        <f>AND(#REF!,"AAAAAH/3/VY=")</f>
        <v>#REF!</v>
      </c>
      <c r="CJ338" t="e">
        <f>AND(#REF!,"AAAAAH/3/Vc=")</f>
        <v>#REF!</v>
      </c>
      <c r="CK338" t="e">
        <f>AND(#REF!,"AAAAAH/3/Vg=")</f>
        <v>#REF!</v>
      </c>
      <c r="CL338" t="e">
        <f>AND(#REF!,"AAAAAH/3/Vk=")</f>
        <v>#REF!</v>
      </c>
      <c r="CM338" t="e">
        <f>AND(#REF!,"AAAAAH/3/Vo=")</f>
        <v>#REF!</v>
      </c>
      <c r="CN338" t="e">
        <f>AND(#REF!,"AAAAAH/3/Vs=")</f>
        <v>#REF!</v>
      </c>
      <c r="CO338" t="e">
        <f>AND(#REF!,"AAAAAH/3/Vw=")</f>
        <v>#REF!</v>
      </c>
      <c r="CP338" t="e">
        <f>IF(#REF!,"AAAAAH/3/V0=",0)</f>
        <v>#REF!</v>
      </c>
      <c r="CQ338" t="e">
        <f>AND(#REF!,"AAAAAH/3/V4=")</f>
        <v>#REF!</v>
      </c>
      <c r="CR338" t="e">
        <f>AND(#REF!,"AAAAAH/3/V8=")</f>
        <v>#REF!</v>
      </c>
      <c r="CS338" t="e">
        <f>AND(#REF!,"AAAAAH/3/WA=")</f>
        <v>#REF!</v>
      </c>
      <c r="CT338" t="e">
        <f>AND(#REF!,"AAAAAH/3/WE=")</f>
        <v>#REF!</v>
      </c>
      <c r="CU338" t="e">
        <f>AND(#REF!,"AAAAAH/3/WI=")</f>
        <v>#REF!</v>
      </c>
      <c r="CV338" t="e">
        <f>AND(#REF!,"AAAAAH/3/WM=")</f>
        <v>#REF!</v>
      </c>
      <c r="CW338" t="e">
        <f>AND(#REF!,"AAAAAH/3/WQ=")</f>
        <v>#REF!</v>
      </c>
      <c r="CX338" t="e">
        <f>AND(#REF!,"AAAAAH/3/WU=")</f>
        <v>#REF!</v>
      </c>
      <c r="CY338" t="e">
        <f>IF(#REF!,"AAAAAH/3/WY=",0)</f>
        <v>#REF!</v>
      </c>
      <c r="CZ338" t="e">
        <f>AND(#REF!,"AAAAAH/3/Wc=")</f>
        <v>#REF!</v>
      </c>
      <c r="DA338" t="e">
        <f>AND(#REF!,"AAAAAH/3/Wg=")</f>
        <v>#REF!</v>
      </c>
      <c r="DB338" t="e">
        <f>AND(#REF!,"AAAAAH/3/Wk=")</f>
        <v>#REF!</v>
      </c>
      <c r="DC338" t="e">
        <f>AND(#REF!,"AAAAAH/3/Wo=")</f>
        <v>#REF!</v>
      </c>
      <c r="DD338" t="e">
        <f>AND(#REF!,"AAAAAH/3/Ws=")</f>
        <v>#REF!</v>
      </c>
      <c r="DE338" t="e">
        <f>AND(#REF!,"AAAAAH/3/Ww=")</f>
        <v>#REF!</v>
      </c>
      <c r="DF338" t="e">
        <f>AND(#REF!,"AAAAAH/3/W0=")</f>
        <v>#REF!</v>
      </c>
      <c r="DG338" t="e">
        <f>AND(#REF!,"AAAAAH/3/W4=")</f>
        <v>#REF!</v>
      </c>
      <c r="DH338" t="e">
        <f>IF(#REF!,"AAAAAH/3/W8=",0)</f>
        <v>#REF!</v>
      </c>
      <c r="DI338" t="e">
        <f>AND(#REF!,"AAAAAH/3/XA=")</f>
        <v>#REF!</v>
      </c>
      <c r="DJ338" t="e">
        <f>AND(#REF!,"AAAAAH/3/XE=")</f>
        <v>#REF!</v>
      </c>
      <c r="DK338" t="e">
        <f>AND(#REF!,"AAAAAH/3/XI=")</f>
        <v>#REF!</v>
      </c>
      <c r="DL338" t="e">
        <f>AND(#REF!,"AAAAAH/3/XM=")</f>
        <v>#REF!</v>
      </c>
      <c r="DM338" t="e">
        <f>AND(#REF!,"AAAAAH/3/XQ=")</f>
        <v>#REF!</v>
      </c>
      <c r="DN338" t="e">
        <f>AND(#REF!,"AAAAAH/3/XU=")</f>
        <v>#REF!</v>
      </c>
      <c r="DO338" t="e">
        <f>AND(#REF!,"AAAAAH/3/XY=")</f>
        <v>#REF!</v>
      </c>
      <c r="DP338" t="e">
        <f>AND(#REF!,"AAAAAH/3/Xc=")</f>
        <v>#REF!</v>
      </c>
      <c r="DQ338" t="e">
        <f>IF(#REF!,"AAAAAH/3/Xg=",0)</f>
        <v>#REF!</v>
      </c>
      <c r="DR338" t="e">
        <f>AND(#REF!,"AAAAAH/3/Xk=")</f>
        <v>#REF!</v>
      </c>
      <c r="DS338" t="e">
        <f>AND(#REF!,"AAAAAH/3/Xo=")</f>
        <v>#REF!</v>
      </c>
      <c r="DT338" t="e">
        <f>AND(#REF!,"AAAAAH/3/Xs=")</f>
        <v>#REF!</v>
      </c>
      <c r="DU338" t="e">
        <f>AND(#REF!,"AAAAAH/3/Xw=")</f>
        <v>#REF!</v>
      </c>
      <c r="DV338" t="e">
        <f>AND(#REF!,"AAAAAH/3/X0=")</f>
        <v>#REF!</v>
      </c>
      <c r="DW338" t="e">
        <f>AND(#REF!,"AAAAAH/3/X4=")</f>
        <v>#REF!</v>
      </c>
      <c r="DX338" t="e">
        <f>AND(#REF!,"AAAAAH/3/X8=")</f>
        <v>#REF!</v>
      </c>
      <c r="DY338" t="e">
        <f>AND(#REF!,"AAAAAH/3/YA=")</f>
        <v>#REF!</v>
      </c>
      <c r="DZ338" t="e">
        <f>IF(#REF!,"AAAAAH/3/YE=",0)</f>
        <v>#REF!</v>
      </c>
      <c r="EA338" t="e">
        <f>AND(#REF!,"AAAAAH/3/YI=")</f>
        <v>#REF!</v>
      </c>
      <c r="EB338" t="e">
        <f>AND(#REF!,"AAAAAH/3/YM=")</f>
        <v>#REF!</v>
      </c>
      <c r="EC338" t="e">
        <f>AND(#REF!,"AAAAAH/3/YQ=")</f>
        <v>#REF!</v>
      </c>
      <c r="ED338" t="e">
        <f>AND(#REF!,"AAAAAH/3/YU=")</f>
        <v>#REF!</v>
      </c>
      <c r="EE338" t="e">
        <f>AND(#REF!,"AAAAAH/3/YY=")</f>
        <v>#REF!</v>
      </c>
      <c r="EF338" t="e">
        <f>AND(#REF!,"AAAAAH/3/Yc=")</f>
        <v>#REF!</v>
      </c>
      <c r="EG338" t="e">
        <f>AND(#REF!,"AAAAAH/3/Yg=")</f>
        <v>#REF!</v>
      </c>
      <c r="EH338" t="e">
        <f>AND(#REF!,"AAAAAH/3/Yk=")</f>
        <v>#REF!</v>
      </c>
      <c r="EI338" t="e">
        <f>IF(#REF!,"AAAAAH/3/Yo=",0)</f>
        <v>#REF!</v>
      </c>
      <c r="EJ338" t="e">
        <f>AND(#REF!,"AAAAAH/3/Ys=")</f>
        <v>#REF!</v>
      </c>
      <c r="EK338" t="e">
        <f>AND(#REF!,"AAAAAH/3/Yw=")</f>
        <v>#REF!</v>
      </c>
      <c r="EL338" t="e">
        <f>AND(#REF!,"AAAAAH/3/Y0=")</f>
        <v>#REF!</v>
      </c>
      <c r="EM338" t="e">
        <f>AND(#REF!,"AAAAAH/3/Y4=")</f>
        <v>#REF!</v>
      </c>
      <c r="EN338" t="e">
        <f>AND(#REF!,"AAAAAH/3/Y8=")</f>
        <v>#REF!</v>
      </c>
      <c r="EO338" t="e">
        <f>AND(#REF!,"AAAAAH/3/ZA=")</f>
        <v>#REF!</v>
      </c>
      <c r="EP338" t="e">
        <f>AND(#REF!,"AAAAAH/3/ZE=")</f>
        <v>#REF!</v>
      </c>
      <c r="EQ338" t="e">
        <f>AND(#REF!,"AAAAAH/3/ZI=")</f>
        <v>#REF!</v>
      </c>
      <c r="ER338" t="e">
        <f>IF(#REF!,"AAAAAH/3/ZM=",0)</f>
        <v>#REF!</v>
      </c>
      <c r="ES338" t="e">
        <f>AND(#REF!,"AAAAAH/3/ZQ=")</f>
        <v>#REF!</v>
      </c>
      <c r="ET338" t="e">
        <f>AND(#REF!,"AAAAAH/3/ZU=")</f>
        <v>#REF!</v>
      </c>
      <c r="EU338" t="e">
        <f>AND(#REF!,"AAAAAH/3/ZY=")</f>
        <v>#REF!</v>
      </c>
      <c r="EV338" t="e">
        <f>AND(#REF!,"AAAAAH/3/Zc=")</f>
        <v>#REF!</v>
      </c>
      <c r="EW338" t="e">
        <f>AND(#REF!,"AAAAAH/3/Zg=")</f>
        <v>#REF!</v>
      </c>
      <c r="EX338" t="e">
        <f>AND(#REF!,"AAAAAH/3/Zk=")</f>
        <v>#REF!</v>
      </c>
      <c r="EY338" t="e">
        <f>AND(#REF!,"AAAAAH/3/Zo=")</f>
        <v>#REF!</v>
      </c>
      <c r="EZ338" t="e">
        <f>AND(#REF!,"AAAAAH/3/Zs=")</f>
        <v>#REF!</v>
      </c>
      <c r="FA338" t="e">
        <f>IF(#REF!,"AAAAAH/3/Zw=",0)</f>
        <v>#REF!</v>
      </c>
      <c r="FB338" t="e">
        <f>AND(#REF!,"AAAAAH/3/Z0=")</f>
        <v>#REF!</v>
      </c>
      <c r="FC338" t="e">
        <f>AND(#REF!,"AAAAAH/3/Z4=")</f>
        <v>#REF!</v>
      </c>
      <c r="FD338" t="e">
        <f>AND(#REF!,"AAAAAH/3/Z8=")</f>
        <v>#REF!</v>
      </c>
      <c r="FE338" t="e">
        <f>AND(#REF!,"AAAAAH/3/aA=")</f>
        <v>#REF!</v>
      </c>
      <c r="FF338" t="e">
        <f>AND(#REF!,"AAAAAH/3/aE=")</f>
        <v>#REF!</v>
      </c>
      <c r="FG338" t="e">
        <f>AND(#REF!,"AAAAAH/3/aI=")</f>
        <v>#REF!</v>
      </c>
      <c r="FH338" t="e">
        <f>AND(#REF!,"AAAAAH/3/aM=")</f>
        <v>#REF!</v>
      </c>
      <c r="FI338" t="e">
        <f>AND(#REF!,"AAAAAH/3/aQ=")</f>
        <v>#REF!</v>
      </c>
      <c r="FJ338" t="e">
        <f>IF(#REF!,"AAAAAH/3/aU=",0)</f>
        <v>#REF!</v>
      </c>
      <c r="FK338" t="e">
        <f>AND(#REF!,"AAAAAH/3/aY=")</f>
        <v>#REF!</v>
      </c>
      <c r="FL338" t="e">
        <f>AND(#REF!,"AAAAAH/3/ac=")</f>
        <v>#REF!</v>
      </c>
      <c r="FM338" t="e">
        <f>AND(#REF!,"AAAAAH/3/ag=")</f>
        <v>#REF!</v>
      </c>
      <c r="FN338" t="e">
        <f>AND(#REF!,"AAAAAH/3/ak=")</f>
        <v>#REF!</v>
      </c>
      <c r="FO338" t="e">
        <f>AND(#REF!,"AAAAAH/3/ao=")</f>
        <v>#REF!</v>
      </c>
      <c r="FP338" t="e">
        <f>AND(#REF!,"AAAAAH/3/as=")</f>
        <v>#REF!</v>
      </c>
      <c r="FQ338" t="e">
        <f>AND(#REF!,"AAAAAH/3/aw=")</f>
        <v>#REF!</v>
      </c>
      <c r="FR338" t="e">
        <f>AND(#REF!,"AAAAAH/3/a0=")</f>
        <v>#REF!</v>
      </c>
      <c r="FS338" t="e">
        <f>IF(#REF!,"AAAAAH/3/a4=",0)</f>
        <v>#REF!</v>
      </c>
      <c r="FT338" t="e">
        <f>AND(#REF!,"AAAAAH/3/a8=")</f>
        <v>#REF!</v>
      </c>
      <c r="FU338" t="e">
        <f>AND(#REF!,"AAAAAH/3/bA=")</f>
        <v>#REF!</v>
      </c>
      <c r="FV338" t="e">
        <f>AND(#REF!,"AAAAAH/3/bE=")</f>
        <v>#REF!</v>
      </c>
      <c r="FW338" t="e">
        <f>AND(#REF!,"AAAAAH/3/bI=")</f>
        <v>#REF!</v>
      </c>
      <c r="FX338" t="e">
        <f>AND(#REF!,"AAAAAH/3/bM=")</f>
        <v>#REF!</v>
      </c>
      <c r="FY338" t="e">
        <f>AND(#REF!,"AAAAAH/3/bQ=")</f>
        <v>#REF!</v>
      </c>
      <c r="FZ338" t="e">
        <f>AND(#REF!,"AAAAAH/3/bU=")</f>
        <v>#REF!</v>
      </c>
      <c r="GA338" t="e">
        <f>AND(#REF!,"AAAAAH/3/bY=")</f>
        <v>#REF!</v>
      </c>
      <c r="GB338" t="e">
        <f>IF(#REF!,"AAAAAH/3/bc=",0)</f>
        <v>#REF!</v>
      </c>
      <c r="GC338" t="e">
        <f>AND(#REF!,"AAAAAH/3/bg=")</f>
        <v>#REF!</v>
      </c>
      <c r="GD338" t="e">
        <f>AND(#REF!,"AAAAAH/3/bk=")</f>
        <v>#REF!</v>
      </c>
      <c r="GE338" t="e">
        <f>AND(#REF!,"AAAAAH/3/bo=")</f>
        <v>#REF!</v>
      </c>
      <c r="GF338" t="e">
        <f>AND(#REF!,"AAAAAH/3/bs=")</f>
        <v>#REF!</v>
      </c>
      <c r="GG338" t="e">
        <f>AND(#REF!,"AAAAAH/3/bw=")</f>
        <v>#REF!</v>
      </c>
      <c r="GH338" t="e">
        <f>AND(#REF!,"AAAAAH/3/b0=")</f>
        <v>#REF!</v>
      </c>
      <c r="GI338" t="e">
        <f>AND(#REF!,"AAAAAH/3/b4=")</f>
        <v>#REF!</v>
      </c>
      <c r="GJ338" t="e">
        <f>AND(#REF!,"AAAAAH/3/b8=")</f>
        <v>#REF!</v>
      </c>
      <c r="GK338" t="e">
        <f>IF(#REF!,"AAAAAH/3/cA=",0)</f>
        <v>#REF!</v>
      </c>
      <c r="GL338" t="e">
        <f>AND(#REF!,"AAAAAH/3/cE=")</f>
        <v>#REF!</v>
      </c>
      <c r="GM338" t="e">
        <f>AND(#REF!,"AAAAAH/3/cI=")</f>
        <v>#REF!</v>
      </c>
      <c r="GN338" t="e">
        <f>AND(#REF!,"AAAAAH/3/cM=")</f>
        <v>#REF!</v>
      </c>
      <c r="GO338" t="e">
        <f>AND(#REF!,"AAAAAH/3/cQ=")</f>
        <v>#REF!</v>
      </c>
      <c r="GP338" t="e">
        <f>AND(#REF!,"AAAAAH/3/cU=")</f>
        <v>#REF!</v>
      </c>
      <c r="GQ338" t="e">
        <f>AND(#REF!,"AAAAAH/3/cY=")</f>
        <v>#REF!</v>
      </c>
      <c r="GR338" t="e">
        <f>AND(#REF!,"AAAAAH/3/cc=")</f>
        <v>#REF!</v>
      </c>
      <c r="GS338" t="e">
        <f>AND(#REF!,"AAAAAH/3/cg=")</f>
        <v>#REF!</v>
      </c>
      <c r="GT338" t="e">
        <f>IF(#REF!,"AAAAAH/3/ck=",0)</f>
        <v>#REF!</v>
      </c>
      <c r="GU338" t="e">
        <f>AND(#REF!,"AAAAAH/3/co=")</f>
        <v>#REF!</v>
      </c>
      <c r="GV338" t="e">
        <f>AND(#REF!,"AAAAAH/3/cs=")</f>
        <v>#REF!</v>
      </c>
      <c r="GW338" t="e">
        <f>AND(#REF!,"AAAAAH/3/cw=")</f>
        <v>#REF!</v>
      </c>
      <c r="GX338" t="e">
        <f>AND(#REF!,"AAAAAH/3/c0=")</f>
        <v>#REF!</v>
      </c>
      <c r="GY338" t="e">
        <f>AND(#REF!,"AAAAAH/3/c4=")</f>
        <v>#REF!</v>
      </c>
      <c r="GZ338" t="e">
        <f>AND(#REF!,"AAAAAH/3/c8=")</f>
        <v>#REF!</v>
      </c>
      <c r="HA338" t="e">
        <f>AND(#REF!,"AAAAAH/3/dA=")</f>
        <v>#REF!</v>
      </c>
      <c r="HB338" t="e">
        <f>AND(#REF!,"AAAAAH/3/dE=")</f>
        <v>#REF!</v>
      </c>
      <c r="HC338" t="e">
        <f>IF(#REF!,"AAAAAH/3/dI=",0)</f>
        <v>#REF!</v>
      </c>
      <c r="HD338" t="e">
        <f>AND(#REF!,"AAAAAH/3/dM=")</f>
        <v>#REF!</v>
      </c>
      <c r="HE338" t="e">
        <f>AND(#REF!,"AAAAAH/3/dQ=")</f>
        <v>#REF!</v>
      </c>
      <c r="HF338" t="e">
        <f>AND(#REF!,"AAAAAH/3/dU=")</f>
        <v>#REF!</v>
      </c>
      <c r="HG338" t="e">
        <f>AND(#REF!,"AAAAAH/3/dY=")</f>
        <v>#REF!</v>
      </c>
      <c r="HH338" t="e">
        <f>AND(#REF!,"AAAAAH/3/dc=")</f>
        <v>#REF!</v>
      </c>
      <c r="HI338" t="e">
        <f>AND(#REF!,"AAAAAH/3/dg=")</f>
        <v>#REF!</v>
      </c>
      <c r="HJ338" t="e">
        <f>AND(#REF!,"AAAAAH/3/dk=")</f>
        <v>#REF!</v>
      </c>
      <c r="HK338" t="e">
        <f>AND(#REF!,"AAAAAH/3/do=")</f>
        <v>#REF!</v>
      </c>
      <c r="HL338" t="e">
        <f>IF(#REF!,"AAAAAH/3/ds=",0)</f>
        <v>#REF!</v>
      </c>
      <c r="HM338" t="e">
        <f>AND(#REF!,"AAAAAH/3/dw=")</f>
        <v>#REF!</v>
      </c>
      <c r="HN338" t="e">
        <f>AND(#REF!,"AAAAAH/3/d0=")</f>
        <v>#REF!</v>
      </c>
      <c r="HO338" t="e">
        <f>AND(#REF!,"AAAAAH/3/d4=")</f>
        <v>#REF!</v>
      </c>
      <c r="HP338" t="e">
        <f>AND(#REF!,"AAAAAH/3/d8=")</f>
        <v>#REF!</v>
      </c>
      <c r="HQ338" t="e">
        <f>AND(#REF!,"AAAAAH/3/eA=")</f>
        <v>#REF!</v>
      </c>
      <c r="HR338" t="e">
        <f>AND(#REF!,"AAAAAH/3/eE=")</f>
        <v>#REF!</v>
      </c>
      <c r="HS338" t="e">
        <f>AND(#REF!,"AAAAAH/3/eI=")</f>
        <v>#REF!</v>
      </c>
      <c r="HT338" t="e">
        <f>AND(#REF!,"AAAAAH/3/eM=")</f>
        <v>#REF!</v>
      </c>
      <c r="HU338" t="e">
        <f>IF(#REF!,"AAAAAH/3/eQ=",0)</f>
        <v>#REF!</v>
      </c>
      <c r="HV338" t="e">
        <f>AND(#REF!,"AAAAAH/3/eU=")</f>
        <v>#REF!</v>
      </c>
      <c r="HW338" t="e">
        <f>AND(#REF!,"AAAAAH/3/eY=")</f>
        <v>#REF!</v>
      </c>
      <c r="HX338" t="e">
        <f>AND(#REF!,"AAAAAH/3/ec=")</f>
        <v>#REF!</v>
      </c>
      <c r="HY338" t="e">
        <f>AND(#REF!,"AAAAAH/3/eg=")</f>
        <v>#REF!</v>
      </c>
      <c r="HZ338" t="e">
        <f>AND(#REF!,"AAAAAH/3/ek=")</f>
        <v>#REF!</v>
      </c>
      <c r="IA338" t="e">
        <f>AND(#REF!,"AAAAAH/3/eo=")</f>
        <v>#REF!</v>
      </c>
      <c r="IB338" t="e">
        <f>AND(#REF!,"AAAAAH/3/es=")</f>
        <v>#REF!</v>
      </c>
      <c r="IC338" t="e">
        <f>AND(#REF!,"AAAAAH/3/ew=")</f>
        <v>#REF!</v>
      </c>
      <c r="ID338" t="e">
        <f>IF(#REF!,"AAAAAH/3/e0=",0)</f>
        <v>#REF!</v>
      </c>
      <c r="IE338" t="e">
        <f>AND(#REF!,"AAAAAH/3/e4=")</f>
        <v>#REF!</v>
      </c>
      <c r="IF338" t="e">
        <f>AND(#REF!,"AAAAAH/3/e8=")</f>
        <v>#REF!</v>
      </c>
      <c r="IG338" t="e">
        <f>AND(#REF!,"AAAAAH/3/fA=")</f>
        <v>#REF!</v>
      </c>
      <c r="IH338" t="e">
        <f>AND(#REF!,"AAAAAH/3/fE=")</f>
        <v>#REF!</v>
      </c>
      <c r="II338" t="e">
        <f>AND(#REF!,"AAAAAH/3/fI=")</f>
        <v>#REF!</v>
      </c>
      <c r="IJ338" t="e">
        <f>AND(#REF!,"AAAAAH/3/fM=")</f>
        <v>#REF!</v>
      </c>
      <c r="IK338" t="e">
        <f>AND(#REF!,"AAAAAH/3/fQ=")</f>
        <v>#REF!</v>
      </c>
      <c r="IL338" t="e">
        <f>AND(#REF!,"AAAAAH/3/fU=")</f>
        <v>#REF!</v>
      </c>
      <c r="IM338" t="e">
        <f>IF(#REF!,"AAAAAH/3/fY=",0)</f>
        <v>#REF!</v>
      </c>
      <c r="IN338" t="e">
        <f>AND(#REF!,"AAAAAH/3/fc=")</f>
        <v>#REF!</v>
      </c>
      <c r="IO338" t="e">
        <f>AND(#REF!,"AAAAAH/3/fg=")</f>
        <v>#REF!</v>
      </c>
      <c r="IP338" t="e">
        <f>AND(#REF!,"AAAAAH/3/fk=")</f>
        <v>#REF!</v>
      </c>
      <c r="IQ338" t="e">
        <f>AND(#REF!,"AAAAAH/3/fo=")</f>
        <v>#REF!</v>
      </c>
      <c r="IR338" t="e">
        <f>AND(#REF!,"AAAAAH/3/fs=")</f>
        <v>#REF!</v>
      </c>
      <c r="IS338" t="e">
        <f>AND(#REF!,"AAAAAH/3/fw=")</f>
        <v>#REF!</v>
      </c>
      <c r="IT338" t="e">
        <f>AND(#REF!,"AAAAAH/3/f0=")</f>
        <v>#REF!</v>
      </c>
      <c r="IU338" t="e">
        <f>AND(#REF!,"AAAAAH/3/f4=")</f>
        <v>#REF!</v>
      </c>
      <c r="IV338" t="e">
        <f>IF(#REF!,"AAAAAH/3/f8=",0)</f>
        <v>#REF!</v>
      </c>
    </row>
    <row r="339" spans="1:256">
      <c r="A339" t="e">
        <f>AND(#REF!,"AAAAADX+4wA=")</f>
        <v>#REF!</v>
      </c>
      <c r="B339" t="e">
        <f>AND(#REF!,"AAAAADX+4wE=")</f>
        <v>#REF!</v>
      </c>
      <c r="C339" t="e">
        <f>AND(#REF!,"AAAAADX+4wI=")</f>
        <v>#REF!</v>
      </c>
      <c r="D339" t="e">
        <f>AND(#REF!,"AAAAADX+4wM=")</f>
        <v>#REF!</v>
      </c>
      <c r="E339" t="e">
        <f>AND(#REF!,"AAAAADX+4wQ=")</f>
        <v>#REF!</v>
      </c>
      <c r="F339" t="e">
        <f>AND(#REF!,"AAAAADX+4wU=")</f>
        <v>#REF!</v>
      </c>
      <c r="G339" t="e">
        <f>AND(#REF!,"AAAAADX+4wY=")</f>
        <v>#REF!</v>
      </c>
      <c r="H339" t="e">
        <f>AND(#REF!,"AAAAADX+4wc=")</f>
        <v>#REF!</v>
      </c>
      <c r="I339" t="e">
        <f>IF(#REF!,"AAAAADX+4wg=",0)</f>
        <v>#REF!</v>
      </c>
      <c r="J339" t="e">
        <f>AND(#REF!,"AAAAADX+4wk=")</f>
        <v>#REF!</v>
      </c>
      <c r="K339" t="e">
        <f>AND(#REF!,"AAAAADX+4wo=")</f>
        <v>#REF!</v>
      </c>
      <c r="L339" t="e">
        <f>AND(#REF!,"AAAAADX+4ws=")</f>
        <v>#REF!</v>
      </c>
      <c r="M339" t="e">
        <f>AND(#REF!,"AAAAADX+4ww=")</f>
        <v>#REF!</v>
      </c>
      <c r="N339" t="e">
        <f>AND(#REF!,"AAAAADX+4w0=")</f>
        <v>#REF!</v>
      </c>
      <c r="O339" t="e">
        <f>AND(#REF!,"AAAAADX+4w4=")</f>
        <v>#REF!</v>
      </c>
      <c r="P339" t="e">
        <f>AND(#REF!,"AAAAADX+4w8=")</f>
        <v>#REF!</v>
      </c>
      <c r="Q339" t="e">
        <f>AND(#REF!,"AAAAADX+4xA=")</f>
        <v>#REF!</v>
      </c>
      <c r="R339" t="e">
        <f>IF(#REF!,"AAAAADX+4xE=",0)</f>
        <v>#REF!</v>
      </c>
      <c r="S339" t="e">
        <f>AND(#REF!,"AAAAADX+4xI=")</f>
        <v>#REF!</v>
      </c>
      <c r="T339" t="e">
        <f>AND(#REF!,"AAAAADX+4xM=")</f>
        <v>#REF!</v>
      </c>
      <c r="U339" t="e">
        <f>AND(#REF!,"AAAAADX+4xQ=")</f>
        <v>#REF!</v>
      </c>
      <c r="V339" t="e">
        <f>AND(#REF!,"AAAAADX+4xU=")</f>
        <v>#REF!</v>
      </c>
      <c r="W339" t="e">
        <f>AND(#REF!,"AAAAADX+4xY=")</f>
        <v>#REF!</v>
      </c>
      <c r="X339" t="e">
        <f>AND(#REF!,"AAAAADX+4xc=")</f>
        <v>#REF!</v>
      </c>
      <c r="Y339" t="e">
        <f>AND(#REF!,"AAAAADX+4xg=")</f>
        <v>#REF!</v>
      </c>
      <c r="Z339" t="e">
        <f>AND(#REF!,"AAAAADX+4xk=")</f>
        <v>#REF!</v>
      </c>
      <c r="AA339" t="e">
        <f>IF(#REF!,"AAAAADX+4xo=",0)</f>
        <v>#REF!</v>
      </c>
      <c r="AB339" t="e">
        <f>AND(#REF!,"AAAAADX+4xs=")</f>
        <v>#REF!</v>
      </c>
      <c r="AC339" t="e">
        <f>AND(#REF!,"AAAAADX+4xw=")</f>
        <v>#REF!</v>
      </c>
      <c r="AD339" t="e">
        <f>AND(#REF!,"AAAAADX+4x0=")</f>
        <v>#REF!</v>
      </c>
      <c r="AE339" t="e">
        <f>AND(#REF!,"AAAAADX+4x4=")</f>
        <v>#REF!</v>
      </c>
      <c r="AF339" t="e">
        <f>AND(#REF!,"AAAAADX+4x8=")</f>
        <v>#REF!</v>
      </c>
      <c r="AG339" t="e">
        <f>AND(#REF!,"AAAAADX+4yA=")</f>
        <v>#REF!</v>
      </c>
      <c r="AH339" t="e">
        <f>AND(#REF!,"AAAAADX+4yE=")</f>
        <v>#REF!</v>
      </c>
      <c r="AI339" t="e">
        <f>AND(#REF!,"AAAAADX+4yI=")</f>
        <v>#REF!</v>
      </c>
      <c r="AJ339" t="e">
        <f>IF(#REF!,"AAAAADX+4yM=",0)</f>
        <v>#REF!</v>
      </c>
      <c r="AK339" t="e">
        <f>AND(#REF!,"AAAAADX+4yQ=")</f>
        <v>#REF!</v>
      </c>
      <c r="AL339" t="e">
        <f>AND(#REF!,"AAAAADX+4yU=")</f>
        <v>#REF!</v>
      </c>
      <c r="AM339" t="e">
        <f>AND(#REF!,"AAAAADX+4yY=")</f>
        <v>#REF!</v>
      </c>
      <c r="AN339" t="e">
        <f>AND(#REF!,"AAAAADX+4yc=")</f>
        <v>#REF!</v>
      </c>
      <c r="AO339" t="e">
        <f>AND(#REF!,"AAAAADX+4yg=")</f>
        <v>#REF!</v>
      </c>
      <c r="AP339" t="e">
        <f>AND(#REF!,"AAAAADX+4yk=")</f>
        <v>#REF!</v>
      </c>
      <c r="AQ339" t="e">
        <f>AND(#REF!,"AAAAADX+4yo=")</f>
        <v>#REF!</v>
      </c>
      <c r="AR339" t="e">
        <f>AND(#REF!,"AAAAADX+4ys=")</f>
        <v>#REF!</v>
      </c>
      <c r="AS339" t="e">
        <f>IF(#REF!,"AAAAADX+4yw=",0)</f>
        <v>#REF!</v>
      </c>
      <c r="AT339" t="e">
        <f>AND(#REF!,"AAAAADX+4y0=")</f>
        <v>#REF!</v>
      </c>
      <c r="AU339" t="e">
        <f>AND(#REF!,"AAAAADX+4y4=")</f>
        <v>#REF!</v>
      </c>
      <c r="AV339" t="e">
        <f>AND(#REF!,"AAAAADX+4y8=")</f>
        <v>#REF!</v>
      </c>
      <c r="AW339" t="e">
        <f>AND(#REF!,"AAAAADX+4zA=")</f>
        <v>#REF!</v>
      </c>
      <c r="AX339" t="e">
        <f>AND(#REF!,"AAAAADX+4zE=")</f>
        <v>#REF!</v>
      </c>
      <c r="AY339" t="e">
        <f>AND(#REF!,"AAAAADX+4zI=")</f>
        <v>#REF!</v>
      </c>
      <c r="AZ339" t="e">
        <f>AND(#REF!,"AAAAADX+4zM=")</f>
        <v>#REF!</v>
      </c>
      <c r="BA339" t="e">
        <f>AND(#REF!,"AAAAADX+4zQ=")</f>
        <v>#REF!</v>
      </c>
      <c r="BB339" t="e">
        <f>IF(#REF!,"AAAAADX+4zU=",0)</f>
        <v>#REF!</v>
      </c>
      <c r="BC339" t="e">
        <f>AND(#REF!,"AAAAADX+4zY=")</f>
        <v>#REF!</v>
      </c>
      <c r="BD339" t="e">
        <f>AND(#REF!,"AAAAADX+4zc=")</f>
        <v>#REF!</v>
      </c>
      <c r="BE339" t="e">
        <f>AND(#REF!,"AAAAADX+4zg=")</f>
        <v>#REF!</v>
      </c>
      <c r="BF339" t="e">
        <f>AND(#REF!,"AAAAADX+4zk=")</f>
        <v>#REF!</v>
      </c>
      <c r="BG339" t="e">
        <f>AND(#REF!,"AAAAADX+4zo=")</f>
        <v>#REF!</v>
      </c>
      <c r="BH339" t="e">
        <f>AND(#REF!,"AAAAADX+4zs=")</f>
        <v>#REF!</v>
      </c>
      <c r="BI339" t="e">
        <f>AND(#REF!,"AAAAADX+4zw=")</f>
        <v>#REF!</v>
      </c>
      <c r="BJ339" t="e">
        <f>AND(#REF!,"AAAAADX+4z0=")</f>
        <v>#REF!</v>
      </c>
      <c r="BK339" t="e">
        <f>IF(#REF!,"AAAAADX+4z4=",0)</f>
        <v>#REF!</v>
      </c>
      <c r="BL339" t="e">
        <f>AND(#REF!,"AAAAADX+4z8=")</f>
        <v>#REF!</v>
      </c>
      <c r="BM339" t="e">
        <f>AND(#REF!,"AAAAADX+40A=")</f>
        <v>#REF!</v>
      </c>
      <c r="BN339" t="e">
        <f>AND(#REF!,"AAAAADX+40E=")</f>
        <v>#REF!</v>
      </c>
      <c r="BO339" t="e">
        <f>AND(#REF!,"AAAAADX+40I=")</f>
        <v>#REF!</v>
      </c>
      <c r="BP339" t="e">
        <f>AND(#REF!,"AAAAADX+40M=")</f>
        <v>#REF!</v>
      </c>
      <c r="BQ339" t="e">
        <f>AND(#REF!,"AAAAADX+40Q=")</f>
        <v>#REF!</v>
      </c>
      <c r="BR339" t="e">
        <f>AND(#REF!,"AAAAADX+40U=")</f>
        <v>#REF!</v>
      </c>
      <c r="BS339" t="e">
        <f>AND(#REF!,"AAAAADX+40Y=")</f>
        <v>#REF!</v>
      </c>
      <c r="BT339" t="e">
        <f>IF(#REF!,"AAAAADX+40c=",0)</f>
        <v>#REF!</v>
      </c>
      <c r="BU339" t="e">
        <f>AND(#REF!,"AAAAADX+40g=")</f>
        <v>#REF!</v>
      </c>
      <c r="BV339" t="e">
        <f>AND(#REF!,"AAAAADX+40k=")</f>
        <v>#REF!</v>
      </c>
      <c r="BW339" t="e">
        <f>AND(#REF!,"AAAAADX+40o=")</f>
        <v>#REF!</v>
      </c>
      <c r="BX339" t="e">
        <f>AND(#REF!,"AAAAADX+40s=")</f>
        <v>#REF!</v>
      </c>
      <c r="BY339" t="e">
        <f>AND(#REF!,"AAAAADX+40w=")</f>
        <v>#REF!</v>
      </c>
      <c r="BZ339" t="e">
        <f>AND(#REF!,"AAAAADX+400=")</f>
        <v>#REF!</v>
      </c>
      <c r="CA339" t="e">
        <f>AND(#REF!,"AAAAADX+404=")</f>
        <v>#REF!</v>
      </c>
      <c r="CB339" t="e">
        <f>AND(#REF!,"AAAAADX+408=")</f>
        <v>#REF!</v>
      </c>
      <c r="CC339" t="e">
        <f>IF(#REF!,"AAAAADX+41A=",0)</f>
        <v>#REF!</v>
      </c>
      <c r="CD339" t="e">
        <f>AND(#REF!,"AAAAADX+41E=")</f>
        <v>#REF!</v>
      </c>
      <c r="CE339" t="e">
        <f>AND(#REF!,"AAAAADX+41I=")</f>
        <v>#REF!</v>
      </c>
      <c r="CF339" t="e">
        <f>AND(#REF!,"AAAAADX+41M=")</f>
        <v>#REF!</v>
      </c>
      <c r="CG339" t="e">
        <f>AND(#REF!,"AAAAADX+41Q=")</f>
        <v>#REF!</v>
      </c>
      <c r="CH339" t="e">
        <f>AND(#REF!,"AAAAADX+41U=")</f>
        <v>#REF!</v>
      </c>
      <c r="CI339" t="e">
        <f>AND(#REF!,"AAAAADX+41Y=")</f>
        <v>#REF!</v>
      </c>
      <c r="CJ339" t="e">
        <f>AND(#REF!,"AAAAADX+41c=")</f>
        <v>#REF!</v>
      </c>
      <c r="CK339" t="e">
        <f>AND(#REF!,"AAAAADX+41g=")</f>
        <v>#REF!</v>
      </c>
      <c r="CL339" t="e">
        <f>IF(#REF!,"AAAAADX+41k=",0)</f>
        <v>#REF!</v>
      </c>
      <c r="CM339" t="e">
        <f>AND(#REF!,"AAAAADX+41o=")</f>
        <v>#REF!</v>
      </c>
      <c r="CN339" t="e">
        <f>AND(#REF!,"AAAAADX+41s=")</f>
        <v>#REF!</v>
      </c>
      <c r="CO339" t="e">
        <f>AND(#REF!,"AAAAADX+41w=")</f>
        <v>#REF!</v>
      </c>
      <c r="CP339" t="e">
        <f>AND(#REF!,"AAAAADX+410=")</f>
        <v>#REF!</v>
      </c>
      <c r="CQ339" t="e">
        <f>AND(#REF!,"AAAAADX+414=")</f>
        <v>#REF!</v>
      </c>
      <c r="CR339" t="e">
        <f>AND(#REF!,"AAAAADX+418=")</f>
        <v>#REF!</v>
      </c>
      <c r="CS339" t="e">
        <f>AND(#REF!,"AAAAADX+42A=")</f>
        <v>#REF!</v>
      </c>
      <c r="CT339" t="e">
        <f>AND(#REF!,"AAAAADX+42E=")</f>
        <v>#REF!</v>
      </c>
      <c r="CU339" t="e">
        <f>IF(#REF!,"AAAAADX+42I=",0)</f>
        <v>#REF!</v>
      </c>
      <c r="CV339" t="e">
        <f>AND(#REF!,"AAAAADX+42M=")</f>
        <v>#REF!</v>
      </c>
      <c r="CW339" t="e">
        <f>AND(#REF!,"AAAAADX+42Q=")</f>
        <v>#REF!</v>
      </c>
      <c r="CX339" t="e">
        <f>AND(#REF!,"AAAAADX+42U=")</f>
        <v>#REF!</v>
      </c>
      <c r="CY339" t="e">
        <f>AND(#REF!,"AAAAADX+42Y=")</f>
        <v>#REF!</v>
      </c>
      <c r="CZ339" t="e">
        <f>AND(#REF!,"AAAAADX+42c=")</f>
        <v>#REF!</v>
      </c>
      <c r="DA339" t="e">
        <f>AND(#REF!,"AAAAADX+42g=")</f>
        <v>#REF!</v>
      </c>
      <c r="DB339" t="e">
        <f>AND(#REF!,"AAAAADX+42k=")</f>
        <v>#REF!</v>
      </c>
      <c r="DC339" t="e">
        <f>AND(#REF!,"AAAAADX+42o=")</f>
        <v>#REF!</v>
      </c>
      <c r="DD339" t="e">
        <f>IF(#REF!,"AAAAADX+42s=",0)</f>
        <v>#REF!</v>
      </c>
      <c r="DE339" t="e">
        <f>AND(#REF!,"AAAAADX+42w=")</f>
        <v>#REF!</v>
      </c>
      <c r="DF339" t="e">
        <f>AND(#REF!,"AAAAADX+420=")</f>
        <v>#REF!</v>
      </c>
      <c r="DG339" t="e">
        <f>AND(#REF!,"AAAAADX+424=")</f>
        <v>#REF!</v>
      </c>
      <c r="DH339" t="e">
        <f>AND(#REF!,"AAAAADX+428=")</f>
        <v>#REF!</v>
      </c>
      <c r="DI339" t="e">
        <f>AND(#REF!,"AAAAADX+43A=")</f>
        <v>#REF!</v>
      </c>
      <c r="DJ339" t="e">
        <f>AND(#REF!,"AAAAADX+43E=")</f>
        <v>#REF!</v>
      </c>
      <c r="DK339" t="e">
        <f>AND(#REF!,"AAAAADX+43I=")</f>
        <v>#REF!</v>
      </c>
      <c r="DL339" t="e">
        <f>AND(#REF!,"AAAAADX+43M=")</f>
        <v>#REF!</v>
      </c>
      <c r="DM339" t="e">
        <f>IF(#REF!,"AAAAADX+43Q=",0)</f>
        <v>#REF!</v>
      </c>
      <c r="DN339" t="e">
        <f>AND(#REF!,"AAAAADX+43U=")</f>
        <v>#REF!</v>
      </c>
      <c r="DO339" t="e">
        <f>AND(#REF!,"AAAAADX+43Y=")</f>
        <v>#REF!</v>
      </c>
      <c r="DP339" t="e">
        <f>AND(#REF!,"AAAAADX+43c=")</f>
        <v>#REF!</v>
      </c>
      <c r="DQ339" t="e">
        <f>AND(#REF!,"AAAAADX+43g=")</f>
        <v>#REF!</v>
      </c>
      <c r="DR339" t="e">
        <f>AND(#REF!,"AAAAADX+43k=")</f>
        <v>#REF!</v>
      </c>
      <c r="DS339" t="e">
        <f>AND(#REF!,"AAAAADX+43o=")</f>
        <v>#REF!</v>
      </c>
      <c r="DT339" t="e">
        <f>AND(#REF!,"AAAAADX+43s=")</f>
        <v>#REF!</v>
      </c>
      <c r="DU339" t="e">
        <f>AND(#REF!,"AAAAADX+43w=")</f>
        <v>#REF!</v>
      </c>
      <c r="DV339" t="e">
        <f>IF(#REF!,"AAAAADX+430=",0)</f>
        <v>#REF!</v>
      </c>
      <c r="DW339" t="e">
        <f>AND(#REF!,"AAAAADX+434=")</f>
        <v>#REF!</v>
      </c>
      <c r="DX339" t="e">
        <f>AND(#REF!,"AAAAADX+438=")</f>
        <v>#REF!</v>
      </c>
      <c r="DY339" t="e">
        <f>AND(#REF!,"AAAAADX+44A=")</f>
        <v>#REF!</v>
      </c>
      <c r="DZ339" t="e">
        <f>AND(#REF!,"AAAAADX+44E=")</f>
        <v>#REF!</v>
      </c>
      <c r="EA339" t="e">
        <f>AND(#REF!,"AAAAADX+44I=")</f>
        <v>#REF!</v>
      </c>
      <c r="EB339" t="e">
        <f>AND(#REF!,"AAAAADX+44M=")</f>
        <v>#REF!</v>
      </c>
      <c r="EC339" t="e">
        <f>AND(#REF!,"AAAAADX+44Q=")</f>
        <v>#REF!</v>
      </c>
      <c r="ED339" t="e">
        <f>AND(#REF!,"AAAAADX+44U=")</f>
        <v>#REF!</v>
      </c>
      <c r="EE339" t="e">
        <f>IF(#REF!,"AAAAADX+44Y=",0)</f>
        <v>#REF!</v>
      </c>
      <c r="EF339" t="e">
        <f>AND(#REF!,"AAAAADX+44c=")</f>
        <v>#REF!</v>
      </c>
      <c r="EG339" t="e">
        <f>AND(#REF!,"AAAAADX+44g=")</f>
        <v>#REF!</v>
      </c>
      <c r="EH339" t="e">
        <f>AND(#REF!,"AAAAADX+44k=")</f>
        <v>#REF!</v>
      </c>
      <c r="EI339" t="e">
        <f>AND(#REF!,"AAAAADX+44o=")</f>
        <v>#REF!</v>
      </c>
      <c r="EJ339" t="e">
        <f>AND(#REF!,"AAAAADX+44s=")</f>
        <v>#REF!</v>
      </c>
      <c r="EK339" t="e">
        <f>AND(#REF!,"AAAAADX+44w=")</f>
        <v>#REF!</v>
      </c>
      <c r="EL339" t="e">
        <f>AND(#REF!,"AAAAADX+440=")</f>
        <v>#REF!</v>
      </c>
      <c r="EM339" t="e">
        <f>AND(#REF!,"AAAAADX+444=")</f>
        <v>#REF!</v>
      </c>
      <c r="EN339" t="e">
        <f>IF(#REF!,"AAAAADX+448=",0)</f>
        <v>#REF!</v>
      </c>
      <c r="EO339" t="e">
        <f>AND(#REF!,"AAAAADX+45A=")</f>
        <v>#REF!</v>
      </c>
      <c r="EP339" t="e">
        <f>AND(#REF!,"AAAAADX+45E=")</f>
        <v>#REF!</v>
      </c>
      <c r="EQ339" t="e">
        <f>AND(#REF!,"AAAAADX+45I=")</f>
        <v>#REF!</v>
      </c>
      <c r="ER339" t="e">
        <f>AND(#REF!,"AAAAADX+45M=")</f>
        <v>#REF!</v>
      </c>
      <c r="ES339" t="e">
        <f>AND(#REF!,"AAAAADX+45Q=")</f>
        <v>#REF!</v>
      </c>
      <c r="ET339" t="e">
        <f>AND(#REF!,"AAAAADX+45U=")</f>
        <v>#REF!</v>
      </c>
      <c r="EU339" t="e">
        <f>AND(#REF!,"AAAAADX+45Y=")</f>
        <v>#REF!</v>
      </c>
      <c r="EV339" t="e">
        <f>AND(#REF!,"AAAAADX+45c=")</f>
        <v>#REF!</v>
      </c>
      <c r="EW339" t="e">
        <f>IF(#REF!,"AAAAADX+45g=",0)</f>
        <v>#REF!</v>
      </c>
      <c r="EX339" t="e">
        <f>AND(#REF!,"AAAAADX+45k=")</f>
        <v>#REF!</v>
      </c>
      <c r="EY339" t="e">
        <f>AND(#REF!,"AAAAADX+45o=")</f>
        <v>#REF!</v>
      </c>
      <c r="EZ339" t="e">
        <f>AND(#REF!,"AAAAADX+45s=")</f>
        <v>#REF!</v>
      </c>
      <c r="FA339" t="e">
        <f>AND(#REF!,"AAAAADX+45w=")</f>
        <v>#REF!</v>
      </c>
      <c r="FB339" t="e">
        <f>AND(#REF!,"AAAAADX+450=")</f>
        <v>#REF!</v>
      </c>
      <c r="FC339" t="e">
        <f>AND(#REF!,"AAAAADX+454=")</f>
        <v>#REF!</v>
      </c>
      <c r="FD339" t="e">
        <f>AND(#REF!,"AAAAADX+458=")</f>
        <v>#REF!</v>
      </c>
      <c r="FE339" t="e">
        <f>AND(#REF!,"AAAAADX+46A=")</f>
        <v>#REF!</v>
      </c>
      <c r="FF339" t="e">
        <f>IF(#REF!,"AAAAADX+46E=",0)</f>
        <v>#REF!</v>
      </c>
      <c r="FG339" t="e">
        <f>AND(#REF!,"AAAAADX+46I=")</f>
        <v>#REF!</v>
      </c>
      <c r="FH339" t="e">
        <f>AND(#REF!,"AAAAADX+46M=")</f>
        <v>#REF!</v>
      </c>
      <c r="FI339" t="e">
        <f>AND(#REF!,"AAAAADX+46Q=")</f>
        <v>#REF!</v>
      </c>
      <c r="FJ339" t="e">
        <f>AND(#REF!,"AAAAADX+46U=")</f>
        <v>#REF!</v>
      </c>
      <c r="FK339" t="e">
        <f>AND(#REF!,"AAAAADX+46Y=")</f>
        <v>#REF!</v>
      </c>
      <c r="FL339" t="e">
        <f>AND(#REF!,"AAAAADX+46c=")</f>
        <v>#REF!</v>
      </c>
      <c r="FM339" t="e">
        <f>AND(#REF!,"AAAAADX+46g=")</f>
        <v>#REF!</v>
      </c>
      <c r="FN339" t="e">
        <f>AND(#REF!,"AAAAADX+46k=")</f>
        <v>#REF!</v>
      </c>
      <c r="FO339" t="e">
        <f>IF(#REF!,"AAAAADX+46o=",0)</f>
        <v>#REF!</v>
      </c>
      <c r="FP339" t="e">
        <f>AND(#REF!,"AAAAADX+46s=")</f>
        <v>#REF!</v>
      </c>
      <c r="FQ339" t="e">
        <f>AND(#REF!,"AAAAADX+46w=")</f>
        <v>#REF!</v>
      </c>
      <c r="FR339" t="e">
        <f>AND(#REF!,"AAAAADX+460=")</f>
        <v>#REF!</v>
      </c>
      <c r="FS339" t="e">
        <f>AND(#REF!,"AAAAADX+464=")</f>
        <v>#REF!</v>
      </c>
      <c r="FT339" t="e">
        <f>AND(#REF!,"AAAAADX+468=")</f>
        <v>#REF!</v>
      </c>
      <c r="FU339" t="e">
        <f>AND(#REF!,"AAAAADX+47A=")</f>
        <v>#REF!</v>
      </c>
      <c r="FV339" t="e">
        <f>AND(#REF!,"AAAAADX+47E=")</f>
        <v>#REF!</v>
      </c>
      <c r="FW339" t="e">
        <f>AND(#REF!,"AAAAADX+47I=")</f>
        <v>#REF!</v>
      </c>
      <c r="FX339" t="e">
        <f>IF(#REF!,"AAAAADX+47M=",0)</f>
        <v>#REF!</v>
      </c>
      <c r="FY339" t="e">
        <f>AND(#REF!,"AAAAADX+47Q=")</f>
        <v>#REF!</v>
      </c>
      <c r="FZ339" t="e">
        <f>AND(#REF!,"AAAAADX+47U=")</f>
        <v>#REF!</v>
      </c>
      <c r="GA339" t="e">
        <f>AND(#REF!,"AAAAADX+47Y=")</f>
        <v>#REF!</v>
      </c>
      <c r="GB339" t="e">
        <f>AND(#REF!,"AAAAADX+47c=")</f>
        <v>#REF!</v>
      </c>
      <c r="GC339" t="e">
        <f>AND(#REF!,"AAAAADX+47g=")</f>
        <v>#REF!</v>
      </c>
      <c r="GD339" t="e">
        <f>AND(#REF!,"AAAAADX+47k=")</f>
        <v>#REF!</v>
      </c>
      <c r="GE339" t="e">
        <f>AND(#REF!,"AAAAADX+47o=")</f>
        <v>#REF!</v>
      </c>
      <c r="GF339" t="e">
        <f>AND(#REF!,"AAAAADX+47s=")</f>
        <v>#REF!</v>
      </c>
      <c r="GG339" t="e">
        <f>IF(#REF!,"AAAAADX+47w=",0)</f>
        <v>#REF!</v>
      </c>
      <c r="GH339" t="e">
        <f>AND(#REF!,"AAAAADX+470=")</f>
        <v>#REF!</v>
      </c>
      <c r="GI339" t="e">
        <f>AND(#REF!,"AAAAADX+474=")</f>
        <v>#REF!</v>
      </c>
      <c r="GJ339" t="e">
        <f>AND(#REF!,"AAAAADX+478=")</f>
        <v>#REF!</v>
      </c>
      <c r="GK339" t="e">
        <f>AND(#REF!,"AAAAADX+48A=")</f>
        <v>#REF!</v>
      </c>
      <c r="GL339" t="e">
        <f>AND(#REF!,"AAAAADX+48E=")</f>
        <v>#REF!</v>
      </c>
      <c r="GM339" t="e">
        <f>AND(#REF!,"AAAAADX+48I=")</f>
        <v>#REF!</v>
      </c>
      <c r="GN339" t="e">
        <f>AND(#REF!,"AAAAADX+48M=")</f>
        <v>#REF!</v>
      </c>
      <c r="GO339" t="e">
        <f>AND(#REF!,"AAAAADX+48Q=")</f>
        <v>#REF!</v>
      </c>
      <c r="GP339" t="e">
        <f>IF(#REF!,"AAAAADX+48U=",0)</f>
        <v>#REF!</v>
      </c>
      <c r="GQ339" t="e">
        <f>AND(#REF!,"AAAAADX+48Y=")</f>
        <v>#REF!</v>
      </c>
      <c r="GR339" t="e">
        <f>AND(#REF!,"AAAAADX+48c=")</f>
        <v>#REF!</v>
      </c>
      <c r="GS339" t="e">
        <f>AND(#REF!,"AAAAADX+48g=")</f>
        <v>#REF!</v>
      </c>
      <c r="GT339" t="e">
        <f>AND(#REF!,"AAAAADX+48k=")</f>
        <v>#REF!</v>
      </c>
      <c r="GU339" t="e">
        <f>AND(#REF!,"AAAAADX+48o=")</f>
        <v>#REF!</v>
      </c>
      <c r="GV339" t="e">
        <f>AND(#REF!,"AAAAADX+48s=")</f>
        <v>#REF!</v>
      </c>
      <c r="GW339" t="e">
        <f>AND(#REF!,"AAAAADX+48w=")</f>
        <v>#REF!</v>
      </c>
      <c r="GX339" t="e">
        <f>AND(#REF!,"AAAAADX+480=")</f>
        <v>#REF!</v>
      </c>
      <c r="GY339" t="e">
        <f>IF(#REF!,"AAAAADX+484=",0)</f>
        <v>#REF!</v>
      </c>
      <c r="GZ339" t="e">
        <f>AND(#REF!,"AAAAADX+488=")</f>
        <v>#REF!</v>
      </c>
      <c r="HA339" t="e">
        <f>AND(#REF!,"AAAAADX+49A=")</f>
        <v>#REF!</v>
      </c>
      <c r="HB339" t="e">
        <f>AND(#REF!,"AAAAADX+49E=")</f>
        <v>#REF!</v>
      </c>
      <c r="HC339" t="e">
        <f>AND(#REF!,"AAAAADX+49I=")</f>
        <v>#REF!</v>
      </c>
      <c r="HD339" t="e">
        <f>AND(#REF!,"AAAAADX+49M=")</f>
        <v>#REF!</v>
      </c>
      <c r="HE339" t="e">
        <f>AND(#REF!,"AAAAADX+49Q=")</f>
        <v>#REF!</v>
      </c>
      <c r="HF339" t="e">
        <f>AND(#REF!,"AAAAADX+49U=")</f>
        <v>#REF!</v>
      </c>
      <c r="HG339" t="e">
        <f>AND(#REF!,"AAAAADX+49Y=")</f>
        <v>#REF!</v>
      </c>
      <c r="HH339" t="e">
        <f>IF(#REF!,"AAAAADX+49c=",0)</f>
        <v>#REF!</v>
      </c>
      <c r="HI339" t="e">
        <f>AND(#REF!,"AAAAADX+49g=")</f>
        <v>#REF!</v>
      </c>
      <c r="HJ339" t="e">
        <f>AND(#REF!,"AAAAADX+49k=")</f>
        <v>#REF!</v>
      </c>
      <c r="HK339" t="e">
        <f>AND(#REF!,"AAAAADX+49o=")</f>
        <v>#REF!</v>
      </c>
      <c r="HL339" t="e">
        <f>AND(#REF!,"AAAAADX+49s=")</f>
        <v>#REF!</v>
      </c>
      <c r="HM339" t="e">
        <f>AND(#REF!,"AAAAADX+49w=")</f>
        <v>#REF!</v>
      </c>
      <c r="HN339" t="e">
        <f>AND(#REF!,"AAAAADX+490=")</f>
        <v>#REF!</v>
      </c>
      <c r="HO339" t="e">
        <f>AND(#REF!,"AAAAADX+494=")</f>
        <v>#REF!</v>
      </c>
      <c r="HP339" t="e">
        <f>AND(#REF!,"AAAAADX+498=")</f>
        <v>#REF!</v>
      </c>
      <c r="HQ339" t="e">
        <f>IF(#REF!,"AAAAADX+4+A=",0)</f>
        <v>#REF!</v>
      </c>
      <c r="HR339" t="e">
        <f>AND(#REF!,"AAAAADX+4+E=")</f>
        <v>#REF!</v>
      </c>
      <c r="HS339" t="e">
        <f>AND(#REF!,"AAAAADX+4+I=")</f>
        <v>#REF!</v>
      </c>
      <c r="HT339" t="e">
        <f>AND(#REF!,"AAAAADX+4+M=")</f>
        <v>#REF!</v>
      </c>
      <c r="HU339" t="e">
        <f>AND(#REF!,"AAAAADX+4+Q=")</f>
        <v>#REF!</v>
      </c>
      <c r="HV339" t="e">
        <f>AND(#REF!,"AAAAADX+4+U=")</f>
        <v>#REF!</v>
      </c>
      <c r="HW339" t="e">
        <f>AND(#REF!,"AAAAADX+4+Y=")</f>
        <v>#REF!</v>
      </c>
      <c r="HX339" t="e">
        <f>AND(#REF!,"AAAAADX+4+c=")</f>
        <v>#REF!</v>
      </c>
      <c r="HY339" t="e">
        <f>AND(#REF!,"AAAAADX+4+g=")</f>
        <v>#REF!</v>
      </c>
      <c r="HZ339" t="e">
        <f>IF(#REF!,"AAAAADX+4+k=",0)</f>
        <v>#REF!</v>
      </c>
      <c r="IA339" t="e">
        <f>AND(#REF!,"AAAAADX+4+o=")</f>
        <v>#REF!</v>
      </c>
      <c r="IB339" t="e">
        <f>AND(#REF!,"AAAAADX+4+s=")</f>
        <v>#REF!</v>
      </c>
      <c r="IC339" t="e">
        <f>AND(#REF!,"AAAAADX+4+w=")</f>
        <v>#REF!</v>
      </c>
      <c r="ID339" t="e">
        <f>AND(#REF!,"AAAAADX+4+0=")</f>
        <v>#REF!</v>
      </c>
      <c r="IE339" t="e">
        <f>AND(#REF!,"AAAAADX+4+4=")</f>
        <v>#REF!</v>
      </c>
      <c r="IF339" t="e">
        <f>AND(#REF!,"AAAAADX+4+8=")</f>
        <v>#REF!</v>
      </c>
      <c r="IG339" t="e">
        <f>AND(#REF!,"AAAAADX+4/A=")</f>
        <v>#REF!</v>
      </c>
      <c r="IH339" t="e">
        <f>AND(#REF!,"AAAAADX+4/E=")</f>
        <v>#REF!</v>
      </c>
      <c r="II339" t="e">
        <f>IF(#REF!,"AAAAADX+4/I=",0)</f>
        <v>#REF!</v>
      </c>
      <c r="IJ339" t="e">
        <f>AND(#REF!,"AAAAADX+4/M=")</f>
        <v>#REF!</v>
      </c>
      <c r="IK339" t="e">
        <f>AND(#REF!,"AAAAADX+4/Q=")</f>
        <v>#REF!</v>
      </c>
      <c r="IL339" t="e">
        <f>AND(#REF!,"AAAAADX+4/U=")</f>
        <v>#REF!</v>
      </c>
      <c r="IM339" t="e">
        <f>AND(#REF!,"AAAAADX+4/Y=")</f>
        <v>#REF!</v>
      </c>
      <c r="IN339" t="e">
        <f>AND(#REF!,"AAAAADX+4/c=")</f>
        <v>#REF!</v>
      </c>
      <c r="IO339" t="e">
        <f>AND(#REF!,"AAAAADX+4/g=")</f>
        <v>#REF!</v>
      </c>
      <c r="IP339" t="e">
        <f>AND(#REF!,"AAAAADX+4/k=")</f>
        <v>#REF!</v>
      </c>
      <c r="IQ339" t="e">
        <f>AND(#REF!,"AAAAADX+4/o=")</f>
        <v>#REF!</v>
      </c>
      <c r="IR339" t="e">
        <f>IF(#REF!,"AAAAADX+4/s=",0)</f>
        <v>#REF!</v>
      </c>
      <c r="IS339" t="e">
        <f>AND(#REF!,"AAAAADX+4/w=")</f>
        <v>#REF!</v>
      </c>
      <c r="IT339" t="e">
        <f>AND(#REF!,"AAAAADX+4/0=")</f>
        <v>#REF!</v>
      </c>
      <c r="IU339" t="e">
        <f>AND(#REF!,"AAAAADX+4/4=")</f>
        <v>#REF!</v>
      </c>
      <c r="IV339" t="e">
        <f>AND(#REF!,"AAAAADX+4/8=")</f>
        <v>#REF!</v>
      </c>
    </row>
    <row r="340" spans="1:256">
      <c r="A340" t="e">
        <f>AND(#REF!,"AAAAAHc/+wA=")</f>
        <v>#REF!</v>
      </c>
      <c r="B340" t="e">
        <f>AND(#REF!,"AAAAAHc/+wE=")</f>
        <v>#REF!</v>
      </c>
      <c r="C340" t="e">
        <f>AND(#REF!,"AAAAAHc/+wI=")</f>
        <v>#REF!</v>
      </c>
      <c r="D340" t="e">
        <f>AND(#REF!,"AAAAAHc/+wM=")</f>
        <v>#REF!</v>
      </c>
      <c r="E340" t="e">
        <f>IF(#REF!,"AAAAAHc/+wQ=",0)</f>
        <v>#REF!</v>
      </c>
      <c r="F340" t="e">
        <f>AND(#REF!,"AAAAAHc/+wU=")</f>
        <v>#REF!</v>
      </c>
      <c r="G340" t="e">
        <f>AND(#REF!,"AAAAAHc/+wY=")</f>
        <v>#REF!</v>
      </c>
      <c r="H340" t="e">
        <f>AND(#REF!,"AAAAAHc/+wc=")</f>
        <v>#REF!</v>
      </c>
      <c r="I340" t="e">
        <f>AND(#REF!,"AAAAAHc/+wg=")</f>
        <v>#REF!</v>
      </c>
      <c r="J340" t="e">
        <f>AND(#REF!,"AAAAAHc/+wk=")</f>
        <v>#REF!</v>
      </c>
      <c r="K340" t="e">
        <f>AND(#REF!,"AAAAAHc/+wo=")</f>
        <v>#REF!</v>
      </c>
      <c r="L340" t="e">
        <f>AND(#REF!,"AAAAAHc/+ws=")</f>
        <v>#REF!</v>
      </c>
      <c r="M340" t="e">
        <f>AND(#REF!,"AAAAAHc/+ww=")</f>
        <v>#REF!</v>
      </c>
      <c r="N340" t="e">
        <f>IF(#REF!,"AAAAAHc/+w0=",0)</f>
        <v>#REF!</v>
      </c>
      <c r="O340" t="e">
        <f>AND(#REF!,"AAAAAHc/+w4=")</f>
        <v>#REF!</v>
      </c>
      <c r="P340" t="e">
        <f>AND(#REF!,"AAAAAHc/+w8=")</f>
        <v>#REF!</v>
      </c>
      <c r="Q340" t="e">
        <f>AND(#REF!,"AAAAAHc/+xA=")</f>
        <v>#REF!</v>
      </c>
      <c r="R340" t="e">
        <f>AND(#REF!,"AAAAAHc/+xE=")</f>
        <v>#REF!</v>
      </c>
      <c r="S340" t="e">
        <f>AND(#REF!,"AAAAAHc/+xI=")</f>
        <v>#REF!</v>
      </c>
      <c r="T340" t="e">
        <f>AND(#REF!,"AAAAAHc/+xM=")</f>
        <v>#REF!</v>
      </c>
      <c r="U340" t="e">
        <f>AND(#REF!,"AAAAAHc/+xQ=")</f>
        <v>#REF!</v>
      </c>
      <c r="V340" t="e">
        <f>AND(#REF!,"AAAAAHc/+xU=")</f>
        <v>#REF!</v>
      </c>
      <c r="W340" t="e">
        <f>IF(#REF!,"AAAAAHc/+xY=",0)</f>
        <v>#REF!</v>
      </c>
      <c r="X340" t="e">
        <f>AND(#REF!,"AAAAAHc/+xc=")</f>
        <v>#REF!</v>
      </c>
      <c r="Y340" t="e">
        <f>AND(#REF!,"AAAAAHc/+xg=")</f>
        <v>#REF!</v>
      </c>
      <c r="Z340" t="e">
        <f>AND(#REF!,"AAAAAHc/+xk=")</f>
        <v>#REF!</v>
      </c>
      <c r="AA340" t="e">
        <f>AND(#REF!,"AAAAAHc/+xo=")</f>
        <v>#REF!</v>
      </c>
      <c r="AB340" t="e">
        <f>AND(#REF!,"AAAAAHc/+xs=")</f>
        <v>#REF!</v>
      </c>
      <c r="AC340" t="e">
        <f>AND(#REF!,"AAAAAHc/+xw=")</f>
        <v>#REF!</v>
      </c>
      <c r="AD340" t="e">
        <f>AND(#REF!,"AAAAAHc/+x0=")</f>
        <v>#REF!</v>
      </c>
      <c r="AE340" t="e">
        <f>AND(#REF!,"AAAAAHc/+x4=")</f>
        <v>#REF!</v>
      </c>
      <c r="AF340" t="e">
        <f>IF(#REF!,"AAAAAHc/+x8=",0)</f>
        <v>#REF!</v>
      </c>
      <c r="AG340" t="e">
        <f>AND(#REF!,"AAAAAHc/+yA=")</f>
        <v>#REF!</v>
      </c>
      <c r="AH340" t="e">
        <f>AND(#REF!,"AAAAAHc/+yE=")</f>
        <v>#REF!</v>
      </c>
      <c r="AI340" t="e">
        <f>AND(#REF!,"AAAAAHc/+yI=")</f>
        <v>#REF!</v>
      </c>
      <c r="AJ340" t="e">
        <f>AND(#REF!,"AAAAAHc/+yM=")</f>
        <v>#REF!</v>
      </c>
      <c r="AK340" t="e">
        <f>AND(#REF!,"AAAAAHc/+yQ=")</f>
        <v>#REF!</v>
      </c>
      <c r="AL340" t="e">
        <f>AND(#REF!,"AAAAAHc/+yU=")</f>
        <v>#REF!</v>
      </c>
      <c r="AM340" t="e">
        <f>AND(#REF!,"AAAAAHc/+yY=")</f>
        <v>#REF!</v>
      </c>
      <c r="AN340" t="e">
        <f>AND(#REF!,"AAAAAHc/+yc=")</f>
        <v>#REF!</v>
      </c>
      <c r="AO340" t="e">
        <f>IF(#REF!,"AAAAAHc/+yg=",0)</f>
        <v>#REF!</v>
      </c>
      <c r="AP340" t="e">
        <f>AND(#REF!,"AAAAAHc/+yk=")</f>
        <v>#REF!</v>
      </c>
      <c r="AQ340" t="e">
        <f>AND(#REF!,"AAAAAHc/+yo=")</f>
        <v>#REF!</v>
      </c>
      <c r="AR340" t="e">
        <f>AND(#REF!,"AAAAAHc/+ys=")</f>
        <v>#REF!</v>
      </c>
      <c r="AS340" t="e">
        <f>AND(#REF!,"AAAAAHc/+yw=")</f>
        <v>#REF!</v>
      </c>
      <c r="AT340" t="e">
        <f>AND(#REF!,"AAAAAHc/+y0=")</f>
        <v>#REF!</v>
      </c>
      <c r="AU340" t="e">
        <f>AND(#REF!,"AAAAAHc/+y4=")</f>
        <v>#REF!</v>
      </c>
      <c r="AV340" t="e">
        <f>AND(#REF!,"AAAAAHc/+y8=")</f>
        <v>#REF!</v>
      </c>
      <c r="AW340" t="e">
        <f>AND(#REF!,"AAAAAHc/+zA=")</f>
        <v>#REF!</v>
      </c>
      <c r="AX340" t="e">
        <f>IF(#REF!,"AAAAAHc/+zE=",0)</f>
        <v>#REF!</v>
      </c>
      <c r="AY340" t="e">
        <f>AND(#REF!,"AAAAAHc/+zI=")</f>
        <v>#REF!</v>
      </c>
      <c r="AZ340" t="e">
        <f>AND(#REF!,"AAAAAHc/+zM=")</f>
        <v>#REF!</v>
      </c>
      <c r="BA340" t="e">
        <f>AND(#REF!,"AAAAAHc/+zQ=")</f>
        <v>#REF!</v>
      </c>
      <c r="BB340" t="e">
        <f>AND(#REF!,"AAAAAHc/+zU=")</f>
        <v>#REF!</v>
      </c>
      <c r="BC340" t="e">
        <f>AND(#REF!,"AAAAAHc/+zY=")</f>
        <v>#REF!</v>
      </c>
      <c r="BD340" t="e">
        <f>AND(#REF!,"AAAAAHc/+zc=")</f>
        <v>#REF!</v>
      </c>
      <c r="BE340" t="e">
        <f>AND(#REF!,"AAAAAHc/+zg=")</f>
        <v>#REF!</v>
      </c>
      <c r="BF340" t="e">
        <f>AND(#REF!,"AAAAAHc/+zk=")</f>
        <v>#REF!</v>
      </c>
      <c r="BG340" t="e">
        <f>IF(#REF!,"AAAAAHc/+zo=",0)</f>
        <v>#REF!</v>
      </c>
      <c r="BH340" t="e">
        <f>AND(#REF!,"AAAAAHc/+zs=")</f>
        <v>#REF!</v>
      </c>
      <c r="BI340" t="e">
        <f>AND(#REF!,"AAAAAHc/+zw=")</f>
        <v>#REF!</v>
      </c>
      <c r="BJ340" t="e">
        <f>AND(#REF!,"AAAAAHc/+z0=")</f>
        <v>#REF!</v>
      </c>
      <c r="BK340" t="e">
        <f>AND(#REF!,"AAAAAHc/+z4=")</f>
        <v>#REF!</v>
      </c>
      <c r="BL340" t="e">
        <f>AND(#REF!,"AAAAAHc/+z8=")</f>
        <v>#REF!</v>
      </c>
      <c r="BM340" t="e">
        <f>AND(#REF!,"AAAAAHc/+0A=")</f>
        <v>#REF!</v>
      </c>
      <c r="BN340" t="e">
        <f>AND(#REF!,"AAAAAHc/+0E=")</f>
        <v>#REF!</v>
      </c>
      <c r="BO340" t="e">
        <f>AND(#REF!,"AAAAAHc/+0I=")</f>
        <v>#REF!</v>
      </c>
      <c r="BP340" t="e">
        <f>IF(#REF!,"AAAAAHc/+0M=",0)</f>
        <v>#REF!</v>
      </c>
      <c r="BQ340" t="e">
        <f>AND(#REF!,"AAAAAHc/+0Q=")</f>
        <v>#REF!</v>
      </c>
      <c r="BR340" t="e">
        <f>AND(#REF!,"AAAAAHc/+0U=")</f>
        <v>#REF!</v>
      </c>
      <c r="BS340" t="e">
        <f>AND(#REF!,"AAAAAHc/+0Y=")</f>
        <v>#REF!</v>
      </c>
      <c r="BT340" t="e">
        <f>AND(#REF!,"AAAAAHc/+0c=")</f>
        <v>#REF!</v>
      </c>
      <c r="BU340" t="e">
        <f>AND(#REF!,"AAAAAHc/+0g=")</f>
        <v>#REF!</v>
      </c>
      <c r="BV340" t="e">
        <f>AND(#REF!,"AAAAAHc/+0k=")</f>
        <v>#REF!</v>
      </c>
      <c r="BW340" t="e">
        <f>AND(#REF!,"AAAAAHc/+0o=")</f>
        <v>#REF!</v>
      </c>
      <c r="BX340" t="e">
        <f>AND(#REF!,"AAAAAHc/+0s=")</f>
        <v>#REF!</v>
      </c>
      <c r="BY340" t="e">
        <f>IF(#REF!,"AAAAAHc/+0w=",0)</f>
        <v>#REF!</v>
      </c>
      <c r="BZ340" t="e">
        <f>AND(#REF!,"AAAAAHc/+00=")</f>
        <v>#REF!</v>
      </c>
      <c r="CA340" t="e">
        <f>AND(#REF!,"AAAAAHc/+04=")</f>
        <v>#REF!</v>
      </c>
      <c r="CB340" t="e">
        <f>AND(#REF!,"AAAAAHc/+08=")</f>
        <v>#REF!</v>
      </c>
      <c r="CC340" t="e">
        <f>AND(#REF!,"AAAAAHc/+1A=")</f>
        <v>#REF!</v>
      </c>
      <c r="CD340" t="e">
        <f>AND(#REF!,"AAAAAHc/+1E=")</f>
        <v>#REF!</v>
      </c>
      <c r="CE340" t="e">
        <f>AND(#REF!,"AAAAAHc/+1I=")</f>
        <v>#REF!</v>
      </c>
      <c r="CF340" t="e">
        <f>AND(#REF!,"AAAAAHc/+1M=")</f>
        <v>#REF!</v>
      </c>
      <c r="CG340" t="e">
        <f>AND(#REF!,"AAAAAHc/+1Q=")</f>
        <v>#REF!</v>
      </c>
      <c r="CH340" t="e">
        <f>IF(#REF!,"AAAAAHc/+1U=",0)</f>
        <v>#REF!</v>
      </c>
      <c r="CI340" t="e">
        <f>AND(#REF!,"AAAAAHc/+1Y=")</f>
        <v>#REF!</v>
      </c>
      <c r="CJ340" t="e">
        <f>AND(#REF!,"AAAAAHc/+1c=")</f>
        <v>#REF!</v>
      </c>
      <c r="CK340" t="e">
        <f>AND(#REF!,"AAAAAHc/+1g=")</f>
        <v>#REF!</v>
      </c>
      <c r="CL340" t="e">
        <f>AND(#REF!,"AAAAAHc/+1k=")</f>
        <v>#REF!</v>
      </c>
      <c r="CM340" t="e">
        <f>AND(#REF!,"AAAAAHc/+1o=")</f>
        <v>#REF!</v>
      </c>
      <c r="CN340" t="e">
        <f>AND(#REF!,"AAAAAHc/+1s=")</f>
        <v>#REF!</v>
      </c>
      <c r="CO340" t="e">
        <f>AND(#REF!,"AAAAAHc/+1w=")</f>
        <v>#REF!</v>
      </c>
      <c r="CP340" t="e">
        <f>AND(#REF!,"AAAAAHc/+10=")</f>
        <v>#REF!</v>
      </c>
      <c r="CQ340" t="e">
        <f>IF(#REF!,"AAAAAHc/+14=",0)</f>
        <v>#REF!</v>
      </c>
      <c r="CR340" t="e">
        <f>AND(#REF!,"AAAAAHc/+18=")</f>
        <v>#REF!</v>
      </c>
      <c r="CS340" t="e">
        <f>AND(#REF!,"AAAAAHc/+2A=")</f>
        <v>#REF!</v>
      </c>
      <c r="CT340" t="e">
        <f>AND(#REF!,"AAAAAHc/+2E=")</f>
        <v>#REF!</v>
      </c>
      <c r="CU340" t="e">
        <f>AND(#REF!,"AAAAAHc/+2I=")</f>
        <v>#REF!</v>
      </c>
      <c r="CV340" t="e">
        <f>AND(#REF!,"AAAAAHc/+2M=")</f>
        <v>#REF!</v>
      </c>
      <c r="CW340" t="e">
        <f>AND(#REF!,"AAAAAHc/+2Q=")</f>
        <v>#REF!</v>
      </c>
      <c r="CX340" t="e">
        <f>AND(#REF!,"AAAAAHc/+2U=")</f>
        <v>#REF!</v>
      </c>
      <c r="CY340" t="e">
        <f>AND(#REF!,"AAAAAHc/+2Y=")</f>
        <v>#REF!</v>
      </c>
      <c r="CZ340" t="e">
        <f>IF(#REF!,"AAAAAHc/+2c=",0)</f>
        <v>#REF!</v>
      </c>
      <c r="DA340" t="e">
        <f>AND(#REF!,"AAAAAHc/+2g=")</f>
        <v>#REF!</v>
      </c>
      <c r="DB340" t="e">
        <f>AND(#REF!,"AAAAAHc/+2k=")</f>
        <v>#REF!</v>
      </c>
      <c r="DC340" t="e">
        <f>AND(#REF!,"AAAAAHc/+2o=")</f>
        <v>#REF!</v>
      </c>
      <c r="DD340" t="e">
        <f>AND(#REF!,"AAAAAHc/+2s=")</f>
        <v>#REF!</v>
      </c>
      <c r="DE340" t="e">
        <f>AND(#REF!,"AAAAAHc/+2w=")</f>
        <v>#REF!</v>
      </c>
      <c r="DF340" t="e">
        <f>AND(#REF!,"AAAAAHc/+20=")</f>
        <v>#REF!</v>
      </c>
      <c r="DG340" t="e">
        <f>AND(#REF!,"AAAAAHc/+24=")</f>
        <v>#REF!</v>
      </c>
      <c r="DH340" t="e">
        <f>AND(#REF!,"AAAAAHc/+28=")</f>
        <v>#REF!</v>
      </c>
      <c r="DI340" t="e">
        <f>IF(#REF!,"AAAAAHc/+3A=",0)</f>
        <v>#REF!</v>
      </c>
      <c r="DJ340" t="e">
        <f>AND(#REF!,"AAAAAHc/+3E=")</f>
        <v>#REF!</v>
      </c>
      <c r="DK340" t="e">
        <f>AND(#REF!,"AAAAAHc/+3I=")</f>
        <v>#REF!</v>
      </c>
      <c r="DL340" t="e">
        <f>AND(#REF!,"AAAAAHc/+3M=")</f>
        <v>#REF!</v>
      </c>
      <c r="DM340" t="e">
        <f>AND(#REF!,"AAAAAHc/+3Q=")</f>
        <v>#REF!</v>
      </c>
      <c r="DN340" t="e">
        <f>AND(#REF!,"AAAAAHc/+3U=")</f>
        <v>#REF!</v>
      </c>
      <c r="DO340" t="e">
        <f>AND(#REF!,"AAAAAHc/+3Y=")</f>
        <v>#REF!</v>
      </c>
      <c r="DP340" t="e">
        <f>AND(#REF!,"AAAAAHc/+3c=")</f>
        <v>#REF!</v>
      </c>
      <c r="DQ340" t="e">
        <f>AND(#REF!,"AAAAAHc/+3g=")</f>
        <v>#REF!</v>
      </c>
      <c r="DR340" t="e">
        <f>IF(#REF!,"AAAAAHc/+3k=",0)</f>
        <v>#REF!</v>
      </c>
      <c r="DS340" t="e">
        <f>AND(#REF!,"AAAAAHc/+3o=")</f>
        <v>#REF!</v>
      </c>
      <c r="DT340" t="e">
        <f>AND(#REF!,"AAAAAHc/+3s=")</f>
        <v>#REF!</v>
      </c>
      <c r="DU340" t="e">
        <f>AND(#REF!,"AAAAAHc/+3w=")</f>
        <v>#REF!</v>
      </c>
      <c r="DV340" t="e">
        <f>AND(#REF!,"AAAAAHc/+30=")</f>
        <v>#REF!</v>
      </c>
      <c r="DW340" t="e">
        <f>AND(#REF!,"AAAAAHc/+34=")</f>
        <v>#REF!</v>
      </c>
      <c r="DX340" t="e">
        <f>AND(#REF!,"AAAAAHc/+38=")</f>
        <v>#REF!</v>
      </c>
      <c r="DY340" t="e">
        <f>AND(#REF!,"AAAAAHc/+4A=")</f>
        <v>#REF!</v>
      </c>
      <c r="DZ340" t="e">
        <f>AND(#REF!,"AAAAAHc/+4E=")</f>
        <v>#REF!</v>
      </c>
      <c r="EA340" t="e">
        <f>IF(#REF!,"AAAAAHc/+4I=",0)</f>
        <v>#REF!</v>
      </c>
      <c r="EB340" t="e">
        <f>AND(#REF!,"AAAAAHc/+4M=")</f>
        <v>#REF!</v>
      </c>
      <c r="EC340" t="e">
        <f>AND(#REF!,"AAAAAHc/+4Q=")</f>
        <v>#REF!</v>
      </c>
      <c r="ED340" t="e">
        <f>AND(#REF!,"AAAAAHc/+4U=")</f>
        <v>#REF!</v>
      </c>
      <c r="EE340" t="e">
        <f>AND(#REF!,"AAAAAHc/+4Y=")</f>
        <v>#REF!</v>
      </c>
      <c r="EF340" t="e">
        <f>AND(#REF!,"AAAAAHc/+4c=")</f>
        <v>#REF!</v>
      </c>
      <c r="EG340" t="e">
        <f>AND(#REF!,"AAAAAHc/+4g=")</f>
        <v>#REF!</v>
      </c>
      <c r="EH340" t="e">
        <f>AND(#REF!,"AAAAAHc/+4k=")</f>
        <v>#REF!</v>
      </c>
      <c r="EI340" t="e">
        <f>AND(#REF!,"AAAAAHc/+4o=")</f>
        <v>#REF!</v>
      </c>
      <c r="EJ340" t="e">
        <f>IF(#REF!,"AAAAAHc/+4s=",0)</f>
        <v>#REF!</v>
      </c>
      <c r="EK340" t="e">
        <f>AND(#REF!,"AAAAAHc/+4w=")</f>
        <v>#REF!</v>
      </c>
      <c r="EL340" t="e">
        <f>AND(#REF!,"AAAAAHc/+40=")</f>
        <v>#REF!</v>
      </c>
      <c r="EM340" t="e">
        <f>AND(#REF!,"AAAAAHc/+44=")</f>
        <v>#REF!</v>
      </c>
      <c r="EN340" t="e">
        <f>AND(#REF!,"AAAAAHc/+48=")</f>
        <v>#REF!</v>
      </c>
      <c r="EO340" t="e">
        <f>AND(#REF!,"AAAAAHc/+5A=")</f>
        <v>#REF!</v>
      </c>
      <c r="EP340" t="e">
        <f>AND(#REF!,"AAAAAHc/+5E=")</f>
        <v>#REF!</v>
      </c>
      <c r="EQ340" t="e">
        <f>AND(#REF!,"AAAAAHc/+5I=")</f>
        <v>#REF!</v>
      </c>
      <c r="ER340" t="e">
        <f>AND(#REF!,"AAAAAHc/+5M=")</f>
        <v>#REF!</v>
      </c>
      <c r="ES340" t="e">
        <f>IF(#REF!,"AAAAAHc/+5Q=",0)</f>
        <v>#REF!</v>
      </c>
      <c r="ET340" t="e">
        <f>AND(#REF!,"AAAAAHc/+5U=")</f>
        <v>#REF!</v>
      </c>
      <c r="EU340" t="e">
        <f>AND(#REF!,"AAAAAHc/+5Y=")</f>
        <v>#REF!</v>
      </c>
      <c r="EV340" t="e">
        <f>AND(#REF!,"AAAAAHc/+5c=")</f>
        <v>#REF!</v>
      </c>
      <c r="EW340" t="e">
        <f>AND(#REF!,"AAAAAHc/+5g=")</f>
        <v>#REF!</v>
      </c>
      <c r="EX340" t="e">
        <f>AND(#REF!,"AAAAAHc/+5k=")</f>
        <v>#REF!</v>
      </c>
      <c r="EY340" t="e">
        <f>AND(#REF!,"AAAAAHc/+5o=")</f>
        <v>#REF!</v>
      </c>
      <c r="EZ340" t="e">
        <f>AND(#REF!,"AAAAAHc/+5s=")</f>
        <v>#REF!</v>
      </c>
      <c r="FA340" t="e">
        <f>AND(#REF!,"AAAAAHc/+5w=")</f>
        <v>#REF!</v>
      </c>
      <c r="FB340" t="e">
        <f>IF(#REF!,"AAAAAHc/+50=",0)</f>
        <v>#REF!</v>
      </c>
      <c r="FC340" t="e">
        <f>AND(#REF!,"AAAAAHc/+54=")</f>
        <v>#REF!</v>
      </c>
      <c r="FD340" t="e">
        <f>AND(#REF!,"AAAAAHc/+58=")</f>
        <v>#REF!</v>
      </c>
      <c r="FE340" t="e">
        <f>AND(#REF!,"AAAAAHc/+6A=")</f>
        <v>#REF!</v>
      </c>
      <c r="FF340" t="e">
        <f>AND(#REF!,"AAAAAHc/+6E=")</f>
        <v>#REF!</v>
      </c>
      <c r="FG340" t="e">
        <f>AND(#REF!,"AAAAAHc/+6I=")</f>
        <v>#REF!</v>
      </c>
      <c r="FH340" t="e">
        <f>AND(#REF!,"AAAAAHc/+6M=")</f>
        <v>#REF!</v>
      </c>
      <c r="FI340" t="e">
        <f>AND(#REF!,"AAAAAHc/+6Q=")</f>
        <v>#REF!</v>
      </c>
      <c r="FJ340" t="e">
        <f>AND(#REF!,"AAAAAHc/+6U=")</f>
        <v>#REF!</v>
      </c>
      <c r="FK340" t="e">
        <f>IF(#REF!,"AAAAAHc/+6Y=",0)</f>
        <v>#REF!</v>
      </c>
      <c r="FL340" t="e">
        <f>AND(#REF!,"AAAAAHc/+6c=")</f>
        <v>#REF!</v>
      </c>
      <c r="FM340" t="e">
        <f>AND(#REF!,"AAAAAHc/+6g=")</f>
        <v>#REF!</v>
      </c>
      <c r="FN340" t="e">
        <f>AND(#REF!,"AAAAAHc/+6k=")</f>
        <v>#REF!</v>
      </c>
      <c r="FO340" t="e">
        <f>AND(#REF!,"AAAAAHc/+6o=")</f>
        <v>#REF!</v>
      </c>
      <c r="FP340" t="e">
        <f>AND(#REF!,"AAAAAHc/+6s=")</f>
        <v>#REF!</v>
      </c>
      <c r="FQ340" t="e">
        <f>AND(#REF!,"AAAAAHc/+6w=")</f>
        <v>#REF!</v>
      </c>
      <c r="FR340" t="e">
        <f>AND(#REF!,"AAAAAHc/+60=")</f>
        <v>#REF!</v>
      </c>
      <c r="FS340" t="e">
        <f>AND(#REF!,"AAAAAHc/+64=")</f>
        <v>#REF!</v>
      </c>
      <c r="FT340" t="e">
        <f>IF(#REF!,"AAAAAHc/+68=",0)</f>
        <v>#REF!</v>
      </c>
      <c r="FU340" t="e">
        <f>AND(#REF!,"AAAAAHc/+7A=")</f>
        <v>#REF!</v>
      </c>
      <c r="FV340" t="e">
        <f>AND(#REF!,"AAAAAHc/+7E=")</f>
        <v>#REF!</v>
      </c>
      <c r="FW340" t="e">
        <f>AND(#REF!,"AAAAAHc/+7I=")</f>
        <v>#REF!</v>
      </c>
      <c r="FX340" t="e">
        <f>AND(#REF!,"AAAAAHc/+7M=")</f>
        <v>#REF!</v>
      </c>
      <c r="FY340" t="e">
        <f>AND(#REF!,"AAAAAHc/+7Q=")</f>
        <v>#REF!</v>
      </c>
      <c r="FZ340" t="e">
        <f>AND(#REF!,"AAAAAHc/+7U=")</f>
        <v>#REF!</v>
      </c>
      <c r="GA340" t="e">
        <f>AND(#REF!,"AAAAAHc/+7Y=")</f>
        <v>#REF!</v>
      </c>
      <c r="GB340" t="e">
        <f>AND(#REF!,"AAAAAHc/+7c=")</f>
        <v>#REF!</v>
      </c>
      <c r="GC340" t="e">
        <f>IF(#REF!,"AAAAAHc/+7g=",0)</f>
        <v>#REF!</v>
      </c>
      <c r="GD340" t="e">
        <f>AND(#REF!,"AAAAAHc/+7k=")</f>
        <v>#REF!</v>
      </c>
      <c r="GE340" t="e">
        <f>AND(#REF!,"AAAAAHc/+7o=")</f>
        <v>#REF!</v>
      </c>
      <c r="GF340" t="e">
        <f>AND(#REF!,"AAAAAHc/+7s=")</f>
        <v>#REF!</v>
      </c>
      <c r="GG340" t="e">
        <f>AND(#REF!,"AAAAAHc/+7w=")</f>
        <v>#REF!</v>
      </c>
      <c r="GH340" t="e">
        <f>AND(#REF!,"AAAAAHc/+70=")</f>
        <v>#REF!</v>
      </c>
      <c r="GI340" t="e">
        <f>AND(#REF!,"AAAAAHc/+74=")</f>
        <v>#REF!</v>
      </c>
      <c r="GJ340" t="e">
        <f>AND(#REF!,"AAAAAHc/+78=")</f>
        <v>#REF!</v>
      </c>
      <c r="GK340" t="e">
        <f>AND(#REF!,"AAAAAHc/+8A=")</f>
        <v>#REF!</v>
      </c>
      <c r="GL340" t="e">
        <f>IF(#REF!,"AAAAAHc/+8E=",0)</f>
        <v>#REF!</v>
      </c>
      <c r="GM340" t="e">
        <f>AND(#REF!,"AAAAAHc/+8I=")</f>
        <v>#REF!</v>
      </c>
      <c r="GN340" t="e">
        <f>AND(#REF!,"AAAAAHc/+8M=")</f>
        <v>#REF!</v>
      </c>
      <c r="GO340" t="e">
        <f>AND(#REF!,"AAAAAHc/+8Q=")</f>
        <v>#REF!</v>
      </c>
      <c r="GP340" t="e">
        <f>AND(#REF!,"AAAAAHc/+8U=")</f>
        <v>#REF!</v>
      </c>
      <c r="GQ340" t="e">
        <f>AND(#REF!,"AAAAAHc/+8Y=")</f>
        <v>#REF!</v>
      </c>
      <c r="GR340" t="e">
        <f>AND(#REF!,"AAAAAHc/+8c=")</f>
        <v>#REF!</v>
      </c>
      <c r="GS340" t="e">
        <f>AND(#REF!,"AAAAAHc/+8g=")</f>
        <v>#REF!</v>
      </c>
      <c r="GT340" t="e">
        <f>AND(#REF!,"AAAAAHc/+8k=")</f>
        <v>#REF!</v>
      </c>
      <c r="GU340" t="e">
        <f>IF(#REF!,"AAAAAHc/+8o=",0)</f>
        <v>#REF!</v>
      </c>
      <c r="GV340" t="e">
        <f>AND(#REF!,"AAAAAHc/+8s=")</f>
        <v>#REF!</v>
      </c>
      <c r="GW340" t="e">
        <f>AND(#REF!,"AAAAAHc/+8w=")</f>
        <v>#REF!</v>
      </c>
      <c r="GX340" t="e">
        <f>AND(#REF!,"AAAAAHc/+80=")</f>
        <v>#REF!</v>
      </c>
      <c r="GY340" t="e">
        <f>AND(#REF!,"AAAAAHc/+84=")</f>
        <v>#REF!</v>
      </c>
      <c r="GZ340" t="e">
        <f>AND(#REF!,"AAAAAHc/+88=")</f>
        <v>#REF!</v>
      </c>
      <c r="HA340" t="e">
        <f>AND(#REF!,"AAAAAHc/+9A=")</f>
        <v>#REF!</v>
      </c>
      <c r="HB340" t="e">
        <f>AND(#REF!,"AAAAAHc/+9E=")</f>
        <v>#REF!</v>
      </c>
      <c r="HC340" t="e">
        <f>AND(#REF!,"AAAAAHc/+9I=")</f>
        <v>#REF!</v>
      </c>
      <c r="HD340" t="e">
        <f>IF(#REF!,"AAAAAHc/+9M=",0)</f>
        <v>#REF!</v>
      </c>
      <c r="HE340" t="e">
        <f>AND(#REF!,"AAAAAHc/+9Q=")</f>
        <v>#REF!</v>
      </c>
      <c r="HF340" t="e">
        <f>AND(#REF!,"AAAAAHc/+9U=")</f>
        <v>#REF!</v>
      </c>
      <c r="HG340" t="e">
        <f>AND(#REF!,"AAAAAHc/+9Y=")</f>
        <v>#REF!</v>
      </c>
      <c r="HH340" t="e">
        <f>AND(#REF!,"AAAAAHc/+9c=")</f>
        <v>#REF!</v>
      </c>
      <c r="HI340" t="e">
        <f>AND(#REF!,"AAAAAHc/+9g=")</f>
        <v>#REF!</v>
      </c>
      <c r="HJ340" t="e">
        <f>AND(#REF!,"AAAAAHc/+9k=")</f>
        <v>#REF!</v>
      </c>
      <c r="HK340" t="e">
        <f>AND(#REF!,"AAAAAHc/+9o=")</f>
        <v>#REF!</v>
      </c>
      <c r="HL340" t="e">
        <f>AND(#REF!,"AAAAAHc/+9s=")</f>
        <v>#REF!</v>
      </c>
      <c r="HM340" t="e">
        <f>IF(#REF!,"AAAAAHc/+9w=",0)</f>
        <v>#REF!</v>
      </c>
      <c r="HN340" t="e">
        <f>AND(#REF!,"AAAAAHc/+90=")</f>
        <v>#REF!</v>
      </c>
      <c r="HO340" t="e">
        <f>AND(#REF!,"AAAAAHc/+94=")</f>
        <v>#REF!</v>
      </c>
      <c r="HP340" t="e">
        <f>AND(#REF!,"AAAAAHc/+98=")</f>
        <v>#REF!</v>
      </c>
      <c r="HQ340" t="e">
        <f>AND(#REF!,"AAAAAHc/++A=")</f>
        <v>#REF!</v>
      </c>
      <c r="HR340" t="e">
        <f>AND(#REF!,"AAAAAHc/++E=")</f>
        <v>#REF!</v>
      </c>
      <c r="HS340" t="e">
        <f>AND(#REF!,"AAAAAHc/++I=")</f>
        <v>#REF!</v>
      </c>
      <c r="HT340" t="e">
        <f>AND(#REF!,"AAAAAHc/++M=")</f>
        <v>#REF!</v>
      </c>
      <c r="HU340" t="e">
        <f>AND(#REF!,"AAAAAHc/++Q=")</f>
        <v>#REF!</v>
      </c>
      <c r="HV340" t="e">
        <f>IF(#REF!,"AAAAAHc/++U=",0)</f>
        <v>#REF!</v>
      </c>
      <c r="HW340" t="e">
        <f>AND(#REF!,"AAAAAHc/++Y=")</f>
        <v>#REF!</v>
      </c>
      <c r="HX340" t="e">
        <f>AND(#REF!,"AAAAAHc/++c=")</f>
        <v>#REF!</v>
      </c>
      <c r="HY340" t="e">
        <f>AND(#REF!,"AAAAAHc/++g=")</f>
        <v>#REF!</v>
      </c>
      <c r="HZ340" t="e">
        <f>AND(#REF!,"AAAAAHc/++k=")</f>
        <v>#REF!</v>
      </c>
      <c r="IA340" t="e">
        <f>AND(#REF!,"AAAAAHc/++o=")</f>
        <v>#REF!</v>
      </c>
      <c r="IB340" t="e">
        <f>AND(#REF!,"AAAAAHc/++s=")</f>
        <v>#REF!</v>
      </c>
      <c r="IC340" t="e">
        <f>AND(#REF!,"AAAAAHc/++w=")</f>
        <v>#REF!</v>
      </c>
      <c r="ID340" t="e">
        <f>AND(#REF!,"AAAAAHc/++0=")</f>
        <v>#REF!</v>
      </c>
      <c r="IE340" t="e">
        <f>IF(#REF!,"AAAAAHc/++4=",0)</f>
        <v>#REF!</v>
      </c>
      <c r="IF340" t="e">
        <f>AND(#REF!,"AAAAAHc/++8=")</f>
        <v>#REF!</v>
      </c>
      <c r="IG340" t="e">
        <f>AND(#REF!,"AAAAAHc/+/A=")</f>
        <v>#REF!</v>
      </c>
      <c r="IH340" t="e">
        <f>AND(#REF!,"AAAAAHc/+/E=")</f>
        <v>#REF!</v>
      </c>
      <c r="II340" t="e">
        <f>AND(#REF!,"AAAAAHc/+/I=")</f>
        <v>#REF!</v>
      </c>
      <c r="IJ340" t="e">
        <f>AND(#REF!,"AAAAAHc/+/M=")</f>
        <v>#REF!</v>
      </c>
      <c r="IK340" t="e">
        <f>AND(#REF!,"AAAAAHc/+/Q=")</f>
        <v>#REF!</v>
      </c>
      <c r="IL340" t="e">
        <f>AND(#REF!,"AAAAAHc/+/U=")</f>
        <v>#REF!</v>
      </c>
      <c r="IM340" t="e">
        <f>AND(#REF!,"AAAAAHc/+/Y=")</f>
        <v>#REF!</v>
      </c>
      <c r="IN340" t="e">
        <f>IF(#REF!,"AAAAAHc/+/c=",0)</f>
        <v>#REF!</v>
      </c>
      <c r="IO340" t="e">
        <f>AND(#REF!,"AAAAAHc/+/g=")</f>
        <v>#REF!</v>
      </c>
      <c r="IP340" t="e">
        <f>AND(#REF!,"AAAAAHc/+/k=")</f>
        <v>#REF!</v>
      </c>
      <c r="IQ340" t="e">
        <f>AND(#REF!,"AAAAAHc/+/o=")</f>
        <v>#REF!</v>
      </c>
      <c r="IR340" t="e">
        <f>AND(#REF!,"AAAAAHc/+/s=")</f>
        <v>#REF!</v>
      </c>
      <c r="IS340" t="e">
        <f>AND(#REF!,"AAAAAHc/+/w=")</f>
        <v>#REF!</v>
      </c>
      <c r="IT340" t="e">
        <f>AND(#REF!,"AAAAAHc/+/0=")</f>
        <v>#REF!</v>
      </c>
      <c r="IU340" t="e">
        <f>AND(#REF!,"AAAAAHc/+/4=")</f>
        <v>#REF!</v>
      </c>
      <c r="IV340" t="e">
        <f>AND(#REF!,"AAAAAHc/+/8=")</f>
        <v>#REF!</v>
      </c>
    </row>
    <row r="341" spans="1:256">
      <c r="A341" t="e">
        <f>IF(#REF!,"AAAAAG/+/QA=",0)</f>
        <v>#REF!</v>
      </c>
      <c r="B341" t="e">
        <f>AND(#REF!,"AAAAAG/+/QE=")</f>
        <v>#REF!</v>
      </c>
      <c r="C341" t="e">
        <f>AND(#REF!,"AAAAAG/+/QI=")</f>
        <v>#REF!</v>
      </c>
      <c r="D341" t="e">
        <f>AND(#REF!,"AAAAAG/+/QM=")</f>
        <v>#REF!</v>
      </c>
      <c r="E341" t="e">
        <f>AND(#REF!,"AAAAAG/+/QQ=")</f>
        <v>#REF!</v>
      </c>
      <c r="F341" t="e">
        <f>AND(#REF!,"AAAAAG/+/QU=")</f>
        <v>#REF!</v>
      </c>
      <c r="G341" t="e">
        <f>AND(#REF!,"AAAAAG/+/QY=")</f>
        <v>#REF!</v>
      </c>
      <c r="H341" t="e">
        <f>AND(#REF!,"AAAAAG/+/Qc=")</f>
        <v>#REF!</v>
      </c>
      <c r="I341" t="e">
        <f>AND(#REF!,"AAAAAG/+/Qg=")</f>
        <v>#REF!</v>
      </c>
      <c r="J341" t="e">
        <f>IF(#REF!,"AAAAAG/+/Qk=",0)</f>
        <v>#REF!</v>
      </c>
      <c r="K341" t="e">
        <f>AND(#REF!,"AAAAAG/+/Qo=")</f>
        <v>#REF!</v>
      </c>
      <c r="L341" t="e">
        <f>AND(#REF!,"AAAAAG/+/Qs=")</f>
        <v>#REF!</v>
      </c>
      <c r="M341" t="e">
        <f>AND(#REF!,"AAAAAG/+/Qw=")</f>
        <v>#REF!</v>
      </c>
      <c r="N341" t="e">
        <f>AND(#REF!,"AAAAAG/+/Q0=")</f>
        <v>#REF!</v>
      </c>
      <c r="O341" t="e">
        <f>AND(#REF!,"AAAAAG/+/Q4=")</f>
        <v>#REF!</v>
      </c>
      <c r="P341" t="e">
        <f>AND(#REF!,"AAAAAG/+/Q8=")</f>
        <v>#REF!</v>
      </c>
      <c r="Q341" t="e">
        <f>AND(#REF!,"AAAAAG/+/RA=")</f>
        <v>#REF!</v>
      </c>
      <c r="R341" t="e">
        <f>AND(#REF!,"AAAAAG/+/RE=")</f>
        <v>#REF!</v>
      </c>
      <c r="S341" t="e">
        <f>IF(#REF!,"AAAAAG/+/RI=",0)</f>
        <v>#REF!</v>
      </c>
      <c r="T341" t="e">
        <f>AND(#REF!,"AAAAAG/+/RM=")</f>
        <v>#REF!</v>
      </c>
      <c r="U341" t="e">
        <f>AND(#REF!,"AAAAAG/+/RQ=")</f>
        <v>#REF!</v>
      </c>
      <c r="V341" t="e">
        <f>AND(#REF!,"AAAAAG/+/RU=")</f>
        <v>#REF!</v>
      </c>
      <c r="W341" t="e">
        <f>AND(#REF!,"AAAAAG/+/RY=")</f>
        <v>#REF!</v>
      </c>
      <c r="X341" t="e">
        <f>AND(#REF!,"AAAAAG/+/Rc=")</f>
        <v>#REF!</v>
      </c>
      <c r="Y341" t="e">
        <f>AND(#REF!,"AAAAAG/+/Rg=")</f>
        <v>#REF!</v>
      </c>
      <c r="Z341" t="e">
        <f>AND(#REF!,"AAAAAG/+/Rk=")</f>
        <v>#REF!</v>
      </c>
      <c r="AA341" t="e">
        <f>AND(#REF!,"AAAAAG/+/Ro=")</f>
        <v>#REF!</v>
      </c>
      <c r="AB341" t="e">
        <f>IF(#REF!,"AAAAAG/+/Rs=",0)</f>
        <v>#REF!</v>
      </c>
      <c r="AC341" t="e">
        <f>AND(#REF!,"AAAAAG/+/Rw=")</f>
        <v>#REF!</v>
      </c>
      <c r="AD341" t="e">
        <f>AND(#REF!,"AAAAAG/+/R0=")</f>
        <v>#REF!</v>
      </c>
      <c r="AE341" t="e">
        <f>AND(#REF!,"AAAAAG/+/R4=")</f>
        <v>#REF!</v>
      </c>
      <c r="AF341" t="e">
        <f>AND(#REF!,"AAAAAG/+/R8=")</f>
        <v>#REF!</v>
      </c>
      <c r="AG341" t="e">
        <f>AND(#REF!,"AAAAAG/+/SA=")</f>
        <v>#REF!</v>
      </c>
      <c r="AH341" t="e">
        <f>AND(#REF!,"AAAAAG/+/SE=")</f>
        <v>#REF!</v>
      </c>
      <c r="AI341" t="e">
        <f>AND(#REF!,"AAAAAG/+/SI=")</f>
        <v>#REF!</v>
      </c>
      <c r="AJ341" t="e">
        <f>AND(#REF!,"AAAAAG/+/SM=")</f>
        <v>#REF!</v>
      </c>
      <c r="AK341" t="e">
        <f>IF(#REF!,"AAAAAG/+/SQ=",0)</f>
        <v>#REF!</v>
      </c>
      <c r="AL341" t="e">
        <f>AND(#REF!,"AAAAAG/+/SU=")</f>
        <v>#REF!</v>
      </c>
      <c r="AM341" t="e">
        <f>AND(#REF!,"AAAAAG/+/SY=")</f>
        <v>#REF!</v>
      </c>
      <c r="AN341" t="e">
        <f>AND(#REF!,"AAAAAG/+/Sc=")</f>
        <v>#REF!</v>
      </c>
      <c r="AO341" t="e">
        <f>AND(#REF!,"AAAAAG/+/Sg=")</f>
        <v>#REF!</v>
      </c>
      <c r="AP341" t="e">
        <f>AND(#REF!,"AAAAAG/+/Sk=")</f>
        <v>#REF!</v>
      </c>
      <c r="AQ341" t="e">
        <f>AND(#REF!,"AAAAAG/+/So=")</f>
        <v>#REF!</v>
      </c>
      <c r="AR341" t="e">
        <f>AND(#REF!,"AAAAAG/+/Ss=")</f>
        <v>#REF!</v>
      </c>
      <c r="AS341" t="e">
        <f>AND(#REF!,"AAAAAG/+/Sw=")</f>
        <v>#REF!</v>
      </c>
      <c r="AT341" t="e">
        <f>IF(#REF!,"AAAAAG/+/S0=",0)</f>
        <v>#REF!</v>
      </c>
      <c r="AU341" t="e">
        <f>AND(#REF!,"AAAAAG/+/S4=")</f>
        <v>#REF!</v>
      </c>
      <c r="AV341" t="e">
        <f>AND(#REF!,"AAAAAG/+/S8=")</f>
        <v>#REF!</v>
      </c>
      <c r="AW341" t="e">
        <f>AND(#REF!,"AAAAAG/+/TA=")</f>
        <v>#REF!</v>
      </c>
      <c r="AX341" t="e">
        <f>AND(#REF!,"AAAAAG/+/TE=")</f>
        <v>#REF!</v>
      </c>
      <c r="AY341" t="e">
        <f>AND(#REF!,"AAAAAG/+/TI=")</f>
        <v>#REF!</v>
      </c>
      <c r="AZ341" t="e">
        <f>AND(#REF!,"AAAAAG/+/TM=")</f>
        <v>#REF!</v>
      </c>
      <c r="BA341" t="e">
        <f>AND(#REF!,"AAAAAG/+/TQ=")</f>
        <v>#REF!</v>
      </c>
      <c r="BB341" t="e">
        <f>AND(#REF!,"AAAAAG/+/TU=")</f>
        <v>#REF!</v>
      </c>
      <c r="BC341" t="e">
        <f>IF(#REF!,"AAAAAG/+/TY=",0)</f>
        <v>#REF!</v>
      </c>
      <c r="BD341" t="e">
        <f>AND(#REF!,"AAAAAG/+/Tc=")</f>
        <v>#REF!</v>
      </c>
      <c r="BE341" t="e">
        <f>AND(#REF!,"AAAAAG/+/Tg=")</f>
        <v>#REF!</v>
      </c>
      <c r="BF341" t="e">
        <f>AND(#REF!,"AAAAAG/+/Tk=")</f>
        <v>#REF!</v>
      </c>
      <c r="BG341" t="e">
        <f>AND(#REF!,"AAAAAG/+/To=")</f>
        <v>#REF!</v>
      </c>
      <c r="BH341" t="e">
        <f>AND(#REF!,"AAAAAG/+/Ts=")</f>
        <v>#REF!</v>
      </c>
      <c r="BI341" t="e">
        <f>AND(#REF!,"AAAAAG/+/Tw=")</f>
        <v>#REF!</v>
      </c>
      <c r="BJ341" t="e">
        <f>AND(#REF!,"AAAAAG/+/T0=")</f>
        <v>#REF!</v>
      </c>
      <c r="BK341" t="e">
        <f>AND(#REF!,"AAAAAG/+/T4=")</f>
        <v>#REF!</v>
      </c>
      <c r="BL341" t="e">
        <f>IF(#REF!,"AAAAAG/+/T8=",0)</f>
        <v>#REF!</v>
      </c>
      <c r="BM341" t="e">
        <f>AND(#REF!,"AAAAAG/+/UA=")</f>
        <v>#REF!</v>
      </c>
      <c r="BN341" t="e">
        <f>AND(#REF!,"AAAAAG/+/UE=")</f>
        <v>#REF!</v>
      </c>
      <c r="BO341" t="e">
        <f>AND(#REF!,"AAAAAG/+/UI=")</f>
        <v>#REF!</v>
      </c>
      <c r="BP341" t="e">
        <f>AND(#REF!,"AAAAAG/+/UM=")</f>
        <v>#REF!</v>
      </c>
      <c r="BQ341" t="e">
        <f>AND(#REF!,"AAAAAG/+/UQ=")</f>
        <v>#REF!</v>
      </c>
      <c r="BR341" t="e">
        <f>AND(#REF!,"AAAAAG/+/UU=")</f>
        <v>#REF!</v>
      </c>
      <c r="BS341" t="e">
        <f>AND(#REF!,"AAAAAG/+/UY=")</f>
        <v>#REF!</v>
      </c>
      <c r="BT341" t="e">
        <f>AND(#REF!,"AAAAAG/+/Uc=")</f>
        <v>#REF!</v>
      </c>
      <c r="BU341" t="e">
        <f>IF(#REF!,"AAAAAG/+/Ug=",0)</f>
        <v>#REF!</v>
      </c>
      <c r="BV341" t="e">
        <f>AND(#REF!,"AAAAAG/+/Uk=")</f>
        <v>#REF!</v>
      </c>
      <c r="BW341" t="e">
        <f>AND(#REF!,"AAAAAG/+/Uo=")</f>
        <v>#REF!</v>
      </c>
      <c r="BX341" t="e">
        <f>AND(#REF!,"AAAAAG/+/Us=")</f>
        <v>#REF!</v>
      </c>
      <c r="BY341" t="e">
        <f>AND(#REF!,"AAAAAG/+/Uw=")</f>
        <v>#REF!</v>
      </c>
      <c r="BZ341" t="e">
        <f>AND(#REF!,"AAAAAG/+/U0=")</f>
        <v>#REF!</v>
      </c>
      <c r="CA341" t="e">
        <f>AND(#REF!,"AAAAAG/+/U4=")</f>
        <v>#REF!</v>
      </c>
      <c r="CB341" t="e">
        <f>AND(#REF!,"AAAAAG/+/U8=")</f>
        <v>#REF!</v>
      </c>
      <c r="CC341" t="e">
        <f>AND(#REF!,"AAAAAG/+/VA=")</f>
        <v>#REF!</v>
      </c>
      <c r="CD341" t="e">
        <f>IF(#REF!,"AAAAAG/+/VE=",0)</f>
        <v>#REF!</v>
      </c>
      <c r="CE341" t="e">
        <f>AND(#REF!,"AAAAAG/+/VI=")</f>
        <v>#REF!</v>
      </c>
      <c r="CF341" t="e">
        <f>AND(#REF!,"AAAAAG/+/VM=")</f>
        <v>#REF!</v>
      </c>
      <c r="CG341" t="e">
        <f>AND(#REF!,"AAAAAG/+/VQ=")</f>
        <v>#REF!</v>
      </c>
      <c r="CH341" t="e">
        <f>AND(#REF!,"AAAAAG/+/VU=")</f>
        <v>#REF!</v>
      </c>
      <c r="CI341" t="e">
        <f>AND(#REF!,"AAAAAG/+/VY=")</f>
        <v>#REF!</v>
      </c>
      <c r="CJ341" t="e">
        <f>AND(#REF!,"AAAAAG/+/Vc=")</f>
        <v>#REF!</v>
      </c>
      <c r="CK341" t="e">
        <f>AND(#REF!,"AAAAAG/+/Vg=")</f>
        <v>#REF!</v>
      </c>
      <c r="CL341" t="e">
        <f>AND(#REF!,"AAAAAG/+/Vk=")</f>
        <v>#REF!</v>
      </c>
      <c r="CM341" t="e">
        <f>IF(#REF!,"AAAAAG/+/Vo=",0)</f>
        <v>#REF!</v>
      </c>
      <c r="CN341" t="e">
        <f>AND(#REF!,"AAAAAG/+/Vs=")</f>
        <v>#REF!</v>
      </c>
      <c r="CO341" t="e">
        <f>AND(#REF!,"AAAAAG/+/Vw=")</f>
        <v>#REF!</v>
      </c>
      <c r="CP341" t="e">
        <f>AND(#REF!,"AAAAAG/+/V0=")</f>
        <v>#REF!</v>
      </c>
      <c r="CQ341" t="e">
        <f>AND(#REF!,"AAAAAG/+/V4=")</f>
        <v>#REF!</v>
      </c>
      <c r="CR341" t="e">
        <f>AND(#REF!,"AAAAAG/+/V8=")</f>
        <v>#REF!</v>
      </c>
      <c r="CS341" t="e">
        <f>AND(#REF!,"AAAAAG/+/WA=")</f>
        <v>#REF!</v>
      </c>
      <c r="CT341" t="e">
        <f>AND(#REF!,"AAAAAG/+/WE=")</f>
        <v>#REF!</v>
      </c>
      <c r="CU341" t="e">
        <f>AND(#REF!,"AAAAAG/+/WI=")</f>
        <v>#REF!</v>
      </c>
      <c r="CV341" t="e">
        <f>IF(#REF!,"AAAAAG/+/WM=",0)</f>
        <v>#REF!</v>
      </c>
      <c r="CW341" t="e">
        <f>AND(#REF!,"AAAAAG/+/WQ=")</f>
        <v>#REF!</v>
      </c>
      <c r="CX341" t="e">
        <f>AND(#REF!,"AAAAAG/+/WU=")</f>
        <v>#REF!</v>
      </c>
      <c r="CY341" t="e">
        <f>AND(#REF!,"AAAAAG/+/WY=")</f>
        <v>#REF!</v>
      </c>
      <c r="CZ341" t="e">
        <f>AND(#REF!,"AAAAAG/+/Wc=")</f>
        <v>#REF!</v>
      </c>
      <c r="DA341" t="e">
        <f>AND(#REF!,"AAAAAG/+/Wg=")</f>
        <v>#REF!</v>
      </c>
      <c r="DB341" t="e">
        <f>AND(#REF!,"AAAAAG/+/Wk=")</f>
        <v>#REF!</v>
      </c>
      <c r="DC341" t="e">
        <f>AND(#REF!,"AAAAAG/+/Wo=")</f>
        <v>#REF!</v>
      </c>
      <c r="DD341" t="e">
        <f>AND(#REF!,"AAAAAG/+/Ws=")</f>
        <v>#REF!</v>
      </c>
      <c r="DE341" t="e">
        <f>IF(#REF!,"AAAAAG/+/Ww=",0)</f>
        <v>#REF!</v>
      </c>
      <c r="DF341" t="e">
        <f>AND(#REF!,"AAAAAG/+/W0=")</f>
        <v>#REF!</v>
      </c>
      <c r="DG341" t="e">
        <f>AND(#REF!,"AAAAAG/+/W4=")</f>
        <v>#REF!</v>
      </c>
      <c r="DH341" t="e">
        <f>AND(#REF!,"AAAAAG/+/W8=")</f>
        <v>#REF!</v>
      </c>
      <c r="DI341" t="e">
        <f>AND(#REF!,"AAAAAG/+/XA=")</f>
        <v>#REF!</v>
      </c>
      <c r="DJ341" t="e">
        <f>AND(#REF!,"AAAAAG/+/XE=")</f>
        <v>#REF!</v>
      </c>
      <c r="DK341" t="e">
        <f>AND(#REF!,"AAAAAG/+/XI=")</f>
        <v>#REF!</v>
      </c>
      <c r="DL341" t="e">
        <f>AND(#REF!,"AAAAAG/+/XM=")</f>
        <v>#REF!</v>
      </c>
      <c r="DM341" t="e">
        <f>AND(#REF!,"AAAAAG/+/XQ=")</f>
        <v>#REF!</v>
      </c>
      <c r="DN341" t="e">
        <f>IF(#REF!,"AAAAAG/+/XU=",0)</f>
        <v>#REF!</v>
      </c>
      <c r="DO341" t="e">
        <f>AND(#REF!,"AAAAAG/+/XY=")</f>
        <v>#REF!</v>
      </c>
      <c r="DP341" t="e">
        <f>AND(#REF!,"AAAAAG/+/Xc=")</f>
        <v>#REF!</v>
      </c>
      <c r="DQ341" t="e">
        <f>AND(#REF!,"AAAAAG/+/Xg=")</f>
        <v>#REF!</v>
      </c>
      <c r="DR341" t="e">
        <f>AND(#REF!,"AAAAAG/+/Xk=")</f>
        <v>#REF!</v>
      </c>
      <c r="DS341" t="e">
        <f>AND(#REF!,"AAAAAG/+/Xo=")</f>
        <v>#REF!</v>
      </c>
      <c r="DT341" t="e">
        <f>AND(#REF!,"AAAAAG/+/Xs=")</f>
        <v>#REF!</v>
      </c>
      <c r="DU341" t="e">
        <f>AND(#REF!,"AAAAAG/+/Xw=")</f>
        <v>#REF!</v>
      </c>
      <c r="DV341" t="e">
        <f>AND(#REF!,"AAAAAG/+/X0=")</f>
        <v>#REF!</v>
      </c>
      <c r="DW341" t="e">
        <f>IF(#REF!,"AAAAAG/+/X4=",0)</f>
        <v>#REF!</v>
      </c>
      <c r="DX341" t="e">
        <f>AND(#REF!,"AAAAAG/+/X8=")</f>
        <v>#REF!</v>
      </c>
      <c r="DY341" t="e">
        <f>AND(#REF!,"AAAAAG/+/YA=")</f>
        <v>#REF!</v>
      </c>
      <c r="DZ341" t="e">
        <f>AND(#REF!,"AAAAAG/+/YE=")</f>
        <v>#REF!</v>
      </c>
      <c r="EA341" t="e">
        <f>AND(#REF!,"AAAAAG/+/YI=")</f>
        <v>#REF!</v>
      </c>
      <c r="EB341" t="e">
        <f>AND(#REF!,"AAAAAG/+/YM=")</f>
        <v>#REF!</v>
      </c>
      <c r="EC341" t="e">
        <f>AND(#REF!,"AAAAAG/+/YQ=")</f>
        <v>#REF!</v>
      </c>
      <c r="ED341" t="e">
        <f>AND(#REF!,"AAAAAG/+/YU=")</f>
        <v>#REF!</v>
      </c>
      <c r="EE341" t="e">
        <f>AND(#REF!,"AAAAAG/+/YY=")</f>
        <v>#REF!</v>
      </c>
      <c r="EF341" t="e">
        <f>IF(#REF!,"AAAAAG/+/Yc=",0)</f>
        <v>#REF!</v>
      </c>
      <c r="EG341" t="e">
        <f>AND(#REF!,"AAAAAG/+/Yg=")</f>
        <v>#REF!</v>
      </c>
      <c r="EH341" t="e">
        <f>AND(#REF!,"AAAAAG/+/Yk=")</f>
        <v>#REF!</v>
      </c>
      <c r="EI341" t="e">
        <f>AND(#REF!,"AAAAAG/+/Yo=")</f>
        <v>#REF!</v>
      </c>
      <c r="EJ341" t="e">
        <f>AND(#REF!,"AAAAAG/+/Ys=")</f>
        <v>#REF!</v>
      </c>
      <c r="EK341" t="e">
        <f>AND(#REF!,"AAAAAG/+/Yw=")</f>
        <v>#REF!</v>
      </c>
      <c r="EL341" t="e">
        <f>AND(#REF!,"AAAAAG/+/Y0=")</f>
        <v>#REF!</v>
      </c>
      <c r="EM341" t="e">
        <f>AND(#REF!,"AAAAAG/+/Y4=")</f>
        <v>#REF!</v>
      </c>
      <c r="EN341" t="e">
        <f>AND(#REF!,"AAAAAG/+/Y8=")</f>
        <v>#REF!</v>
      </c>
      <c r="EO341" t="e">
        <f>IF(#REF!,"AAAAAG/+/ZA=",0)</f>
        <v>#REF!</v>
      </c>
      <c r="EP341" t="e">
        <f>AND(#REF!,"AAAAAG/+/ZE=")</f>
        <v>#REF!</v>
      </c>
      <c r="EQ341" t="e">
        <f>AND(#REF!,"AAAAAG/+/ZI=")</f>
        <v>#REF!</v>
      </c>
      <c r="ER341" t="e">
        <f>AND(#REF!,"AAAAAG/+/ZM=")</f>
        <v>#REF!</v>
      </c>
      <c r="ES341" t="e">
        <f>AND(#REF!,"AAAAAG/+/ZQ=")</f>
        <v>#REF!</v>
      </c>
      <c r="ET341" t="e">
        <f>AND(#REF!,"AAAAAG/+/ZU=")</f>
        <v>#REF!</v>
      </c>
      <c r="EU341" t="e">
        <f>AND(#REF!,"AAAAAG/+/ZY=")</f>
        <v>#REF!</v>
      </c>
      <c r="EV341" t="e">
        <f>AND(#REF!,"AAAAAG/+/Zc=")</f>
        <v>#REF!</v>
      </c>
      <c r="EW341" t="e">
        <f>AND(#REF!,"AAAAAG/+/Zg=")</f>
        <v>#REF!</v>
      </c>
      <c r="EX341" t="e">
        <f>IF(#REF!,"AAAAAG/+/Zk=",0)</f>
        <v>#REF!</v>
      </c>
      <c r="EY341" t="e">
        <f>AND(#REF!,"AAAAAG/+/Zo=")</f>
        <v>#REF!</v>
      </c>
      <c r="EZ341" t="e">
        <f>AND(#REF!,"AAAAAG/+/Zs=")</f>
        <v>#REF!</v>
      </c>
      <c r="FA341" t="e">
        <f>AND(#REF!,"AAAAAG/+/Zw=")</f>
        <v>#REF!</v>
      </c>
      <c r="FB341" t="e">
        <f>AND(#REF!,"AAAAAG/+/Z0=")</f>
        <v>#REF!</v>
      </c>
      <c r="FC341" t="e">
        <f>AND(#REF!,"AAAAAG/+/Z4=")</f>
        <v>#REF!</v>
      </c>
      <c r="FD341" t="e">
        <f>AND(#REF!,"AAAAAG/+/Z8=")</f>
        <v>#REF!</v>
      </c>
      <c r="FE341" t="e">
        <f>AND(#REF!,"AAAAAG/+/aA=")</f>
        <v>#REF!</v>
      </c>
      <c r="FF341" t="e">
        <f>AND(#REF!,"AAAAAG/+/aE=")</f>
        <v>#REF!</v>
      </c>
      <c r="FG341" t="e">
        <f>IF(#REF!,"AAAAAG/+/aI=",0)</f>
        <v>#REF!</v>
      </c>
      <c r="FH341" t="e">
        <f>AND(#REF!,"AAAAAG/+/aM=")</f>
        <v>#REF!</v>
      </c>
      <c r="FI341" t="e">
        <f>AND(#REF!,"AAAAAG/+/aQ=")</f>
        <v>#REF!</v>
      </c>
      <c r="FJ341" t="e">
        <f>AND(#REF!,"AAAAAG/+/aU=")</f>
        <v>#REF!</v>
      </c>
      <c r="FK341" t="e">
        <f>AND(#REF!,"AAAAAG/+/aY=")</f>
        <v>#REF!</v>
      </c>
      <c r="FL341" t="e">
        <f>AND(#REF!,"AAAAAG/+/ac=")</f>
        <v>#REF!</v>
      </c>
      <c r="FM341" t="e">
        <f>AND(#REF!,"AAAAAG/+/ag=")</f>
        <v>#REF!</v>
      </c>
      <c r="FN341" t="e">
        <f>AND(#REF!,"AAAAAG/+/ak=")</f>
        <v>#REF!</v>
      </c>
      <c r="FO341" t="e">
        <f>AND(#REF!,"AAAAAG/+/ao=")</f>
        <v>#REF!</v>
      </c>
      <c r="FP341" t="e">
        <f>IF(#REF!,"AAAAAG/+/as=",0)</f>
        <v>#REF!</v>
      </c>
      <c r="FQ341" t="e">
        <f>AND(#REF!,"AAAAAG/+/aw=")</f>
        <v>#REF!</v>
      </c>
      <c r="FR341" t="e">
        <f>AND(#REF!,"AAAAAG/+/a0=")</f>
        <v>#REF!</v>
      </c>
      <c r="FS341" t="e">
        <f>AND(#REF!,"AAAAAG/+/a4=")</f>
        <v>#REF!</v>
      </c>
      <c r="FT341" t="e">
        <f>AND(#REF!,"AAAAAG/+/a8=")</f>
        <v>#REF!</v>
      </c>
      <c r="FU341" t="e">
        <f>AND(#REF!,"AAAAAG/+/bA=")</f>
        <v>#REF!</v>
      </c>
      <c r="FV341" t="e">
        <f>AND(#REF!,"AAAAAG/+/bE=")</f>
        <v>#REF!</v>
      </c>
      <c r="FW341" t="e">
        <f>AND(#REF!,"AAAAAG/+/bI=")</f>
        <v>#REF!</v>
      </c>
      <c r="FX341" t="e">
        <f>AND(#REF!,"AAAAAG/+/bM=")</f>
        <v>#REF!</v>
      </c>
      <c r="FY341" t="e">
        <f>IF(#REF!,"AAAAAG/+/bQ=",0)</f>
        <v>#REF!</v>
      </c>
      <c r="FZ341" t="e">
        <f>AND(#REF!,"AAAAAG/+/bU=")</f>
        <v>#REF!</v>
      </c>
      <c r="GA341" t="e">
        <f>AND(#REF!,"AAAAAG/+/bY=")</f>
        <v>#REF!</v>
      </c>
      <c r="GB341" t="e">
        <f>AND(#REF!,"AAAAAG/+/bc=")</f>
        <v>#REF!</v>
      </c>
      <c r="GC341" t="e">
        <f>AND(#REF!,"AAAAAG/+/bg=")</f>
        <v>#REF!</v>
      </c>
      <c r="GD341" t="e">
        <f>AND(#REF!,"AAAAAG/+/bk=")</f>
        <v>#REF!</v>
      </c>
      <c r="GE341" t="e">
        <f>AND(#REF!,"AAAAAG/+/bo=")</f>
        <v>#REF!</v>
      </c>
      <c r="GF341" t="e">
        <f>AND(#REF!,"AAAAAG/+/bs=")</f>
        <v>#REF!</v>
      </c>
      <c r="GG341" t="e">
        <f>AND(#REF!,"AAAAAG/+/bw=")</f>
        <v>#REF!</v>
      </c>
      <c r="GH341" t="e">
        <f>IF(#REF!,"AAAAAG/+/b0=",0)</f>
        <v>#REF!</v>
      </c>
      <c r="GI341" t="e">
        <f>AND(#REF!,"AAAAAG/+/b4=")</f>
        <v>#REF!</v>
      </c>
      <c r="GJ341" t="e">
        <f>AND(#REF!,"AAAAAG/+/b8=")</f>
        <v>#REF!</v>
      </c>
      <c r="GK341" t="e">
        <f>AND(#REF!,"AAAAAG/+/cA=")</f>
        <v>#REF!</v>
      </c>
      <c r="GL341" t="e">
        <f>AND(#REF!,"AAAAAG/+/cE=")</f>
        <v>#REF!</v>
      </c>
      <c r="GM341" t="e">
        <f>AND(#REF!,"AAAAAG/+/cI=")</f>
        <v>#REF!</v>
      </c>
      <c r="GN341" t="e">
        <f>AND(#REF!,"AAAAAG/+/cM=")</f>
        <v>#REF!</v>
      </c>
      <c r="GO341" t="e">
        <f>AND(#REF!,"AAAAAG/+/cQ=")</f>
        <v>#REF!</v>
      </c>
      <c r="GP341" t="e">
        <f>AND(#REF!,"AAAAAG/+/cU=")</f>
        <v>#REF!</v>
      </c>
      <c r="GQ341" t="e">
        <f>IF(#REF!,"AAAAAG/+/cY=",0)</f>
        <v>#REF!</v>
      </c>
      <c r="GR341" t="e">
        <f>AND(#REF!,"AAAAAG/+/cc=")</f>
        <v>#REF!</v>
      </c>
      <c r="GS341" t="e">
        <f>AND(#REF!,"AAAAAG/+/cg=")</f>
        <v>#REF!</v>
      </c>
      <c r="GT341" t="e">
        <f>AND(#REF!,"AAAAAG/+/ck=")</f>
        <v>#REF!</v>
      </c>
      <c r="GU341" t="e">
        <f>AND(#REF!,"AAAAAG/+/co=")</f>
        <v>#REF!</v>
      </c>
      <c r="GV341" t="e">
        <f>AND(#REF!,"AAAAAG/+/cs=")</f>
        <v>#REF!</v>
      </c>
      <c r="GW341" t="e">
        <f>AND(#REF!,"AAAAAG/+/cw=")</f>
        <v>#REF!</v>
      </c>
      <c r="GX341" t="e">
        <f>AND(#REF!,"AAAAAG/+/c0=")</f>
        <v>#REF!</v>
      </c>
      <c r="GY341" t="e">
        <f>AND(#REF!,"AAAAAG/+/c4=")</f>
        <v>#REF!</v>
      </c>
      <c r="GZ341" t="e">
        <f>IF(#REF!,"AAAAAG/+/c8=",0)</f>
        <v>#REF!</v>
      </c>
      <c r="HA341" t="e">
        <f>AND(#REF!,"AAAAAG/+/dA=")</f>
        <v>#REF!</v>
      </c>
      <c r="HB341" t="e">
        <f>AND(#REF!,"AAAAAG/+/dE=")</f>
        <v>#REF!</v>
      </c>
      <c r="HC341" t="e">
        <f>AND(#REF!,"AAAAAG/+/dI=")</f>
        <v>#REF!</v>
      </c>
      <c r="HD341" t="e">
        <f>AND(#REF!,"AAAAAG/+/dM=")</f>
        <v>#REF!</v>
      </c>
      <c r="HE341" t="e">
        <f>AND(#REF!,"AAAAAG/+/dQ=")</f>
        <v>#REF!</v>
      </c>
      <c r="HF341" t="e">
        <f>AND(#REF!,"AAAAAG/+/dU=")</f>
        <v>#REF!</v>
      </c>
      <c r="HG341" t="e">
        <f>AND(#REF!,"AAAAAG/+/dY=")</f>
        <v>#REF!</v>
      </c>
      <c r="HH341" t="e">
        <f>AND(#REF!,"AAAAAG/+/dc=")</f>
        <v>#REF!</v>
      </c>
      <c r="HI341" t="e">
        <f>IF(#REF!,"AAAAAG/+/dg=",0)</f>
        <v>#REF!</v>
      </c>
      <c r="HJ341" t="e">
        <f>AND(#REF!,"AAAAAG/+/dk=")</f>
        <v>#REF!</v>
      </c>
      <c r="HK341" t="e">
        <f>AND(#REF!,"AAAAAG/+/do=")</f>
        <v>#REF!</v>
      </c>
      <c r="HL341" t="e">
        <f>AND(#REF!,"AAAAAG/+/ds=")</f>
        <v>#REF!</v>
      </c>
      <c r="HM341" t="e">
        <f>AND(#REF!,"AAAAAG/+/dw=")</f>
        <v>#REF!</v>
      </c>
      <c r="HN341" t="e">
        <f>AND(#REF!,"AAAAAG/+/d0=")</f>
        <v>#REF!</v>
      </c>
      <c r="HO341" t="e">
        <f>AND(#REF!,"AAAAAG/+/d4=")</f>
        <v>#REF!</v>
      </c>
      <c r="HP341" t="e">
        <f>AND(#REF!,"AAAAAG/+/d8=")</f>
        <v>#REF!</v>
      </c>
      <c r="HQ341" t="e">
        <f>AND(#REF!,"AAAAAG/+/eA=")</f>
        <v>#REF!</v>
      </c>
      <c r="HR341" t="e">
        <f>IF(#REF!,"AAAAAG/+/eE=",0)</f>
        <v>#REF!</v>
      </c>
      <c r="HS341" t="e">
        <f>AND(#REF!,"AAAAAG/+/eI=")</f>
        <v>#REF!</v>
      </c>
      <c r="HT341" t="e">
        <f>AND(#REF!,"AAAAAG/+/eM=")</f>
        <v>#REF!</v>
      </c>
      <c r="HU341" t="e">
        <f>AND(#REF!,"AAAAAG/+/eQ=")</f>
        <v>#REF!</v>
      </c>
      <c r="HV341" t="e">
        <f>AND(#REF!,"AAAAAG/+/eU=")</f>
        <v>#REF!</v>
      </c>
      <c r="HW341" t="e">
        <f>AND(#REF!,"AAAAAG/+/eY=")</f>
        <v>#REF!</v>
      </c>
      <c r="HX341" t="e">
        <f>AND(#REF!,"AAAAAG/+/ec=")</f>
        <v>#REF!</v>
      </c>
      <c r="HY341" t="e">
        <f>AND(#REF!,"AAAAAG/+/eg=")</f>
        <v>#REF!</v>
      </c>
      <c r="HZ341" t="e">
        <f>AND(#REF!,"AAAAAG/+/ek=")</f>
        <v>#REF!</v>
      </c>
      <c r="IA341" t="e">
        <f>IF(#REF!,"AAAAAG/+/eo=",0)</f>
        <v>#REF!</v>
      </c>
      <c r="IB341" t="e">
        <f>AND(#REF!,"AAAAAG/+/es=")</f>
        <v>#REF!</v>
      </c>
      <c r="IC341" t="e">
        <f>AND(#REF!,"AAAAAG/+/ew=")</f>
        <v>#REF!</v>
      </c>
      <c r="ID341" t="e">
        <f>AND(#REF!,"AAAAAG/+/e0=")</f>
        <v>#REF!</v>
      </c>
      <c r="IE341" t="e">
        <f>AND(#REF!,"AAAAAG/+/e4=")</f>
        <v>#REF!</v>
      </c>
      <c r="IF341" t="e">
        <f>AND(#REF!,"AAAAAG/+/e8=")</f>
        <v>#REF!</v>
      </c>
      <c r="IG341" t="e">
        <f>AND(#REF!,"AAAAAG/+/fA=")</f>
        <v>#REF!</v>
      </c>
      <c r="IH341" t="e">
        <f>AND(#REF!,"AAAAAG/+/fE=")</f>
        <v>#REF!</v>
      </c>
      <c r="II341" t="e">
        <f>AND(#REF!,"AAAAAG/+/fI=")</f>
        <v>#REF!</v>
      </c>
      <c r="IJ341" t="e">
        <f>IF(#REF!,"AAAAAG/+/fM=",0)</f>
        <v>#REF!</v>
      </c>
      <c r="IK341" t="e">
        <f>AND(#REF!,"AAAAAG/+/fQ=")</f>
        <v>#REF!</v>
      </c>
      <c r="IL341" t="e">
        <f>AND(#REF!,"AAAAAG/+/fU=")</f>
        <v>#REF!</v>
      </c>
      <c r="IM341" t="e">
        <f>AND(#REF!,"AAAAAG/+/fY=")</f>
        <v>#REF!</v>
      </c>
      <c r="IN341" t="e">
        <f>AND(#REF!,"AAAAAG/+/fc=")</f>
        <v>#REF!</v>
      </c>
      <c r="IO341" t="e">
        <f>AND(#REF!,"AAAAAG/+/fg=")</f>
        <v>#REF!</v>
      </c>
      <c r="IP341" t="e">
        <f>AND(#REF!,"AAAAAG/+/fk=")</f>
        <v>#REF!</v>
      </c>
      <c r="IQ341" t="e">
        <f>AND(#REF!,"AAAAAG/+/fo=")</f>
        <v>#REF!</v>
      </c>
      <c r="IR341" t="e">
        <f>AND(#REF!,"AAAAAG/+/fs=")</f>
        <v>#REF!</v>
      </c>
      <c r="IS341" t="e">
        <f>IF(#REF!,"AAAAAG/+/fw=",0)</f>
        <v>#REF!</v>
      </c>
      <c r="IT341" t="e">
        <f>AND(#REF!,"AAAAAG/+/f0=")</f>
        <v>#REF!</v>
      </c>
      <c r="IU341" t="e">
        <f>AND(#REF!,"AAAAAG/+/f4=")</f>
        <v>#REF!</v>
      </c>
      <c r="IV341" t="e">
        <f>AND(#REF!,"AAAAAG/+/f8=")</f>
        <v>#REF!</v>
      </c>
    </row>
    <row r="342" spans="1:256">
      <c r="A342" t="e">
        <f>AND(#REF!,"AAAAAHO93QA=")</f>
        <v>#REF!</v>
      </c>
      <c r="B342" t="e">
        <f>AND(#REF!,"AAAAAHO93QE=")</f>
        <v>#REF!</v>
      </c>
      <c r="C342" t="e">
        <f>AND(#REF!,"AAAAAHO93QI=")</f>
        <v>#REF!</v>
      </c>
      <c r="D342" t="e">
        <f>AND(#REF!,"AAAAAHO93QM=")</f>
        <v>#REF!</v>
      </c>
      <c r="E342" t="e">
        <f>AND(#REF!,"AAAAAHO93QQ=")</f>
        <v>#REF!</v>
      </c>
      <c r="F342" t="e">
        <f>IF(#REF!,"AAAAAHO93QU=",0)</f>
        <v>#REF!</v>
      </c>
      <c r="G342" t="e">
        <f>AND(#REF!,"AAAAAHO93QY=")</f>
        <v>#REF!</v>
      </c>
      <c r="H342" t="e">
        <f>AND(#REF!,"AAAAAHO93Qc=")</f>
        <v>#REF!</v>
      </c>
      <c r="I342" t="e">
        <f>AND(#REF!,"AAAAAHO93Qg=")</f>
        <v>#REF!</v>
      </c>
      <c r="J342" t="e">
        <f>AND(#REF!,"AAAAAHO93Qk=")</f>
        <v>#REF!</v>
      </c>
      <c r="K342" t="e">
        <f>AND(#REF!,"AAAAAHO93Qo=")</f>
        <v>#REF!</v>
      </c>
      <c r="L342" t="e">
        <f>AND(#REF!,"AAAAAHO93Qs=")</f>
        <v>#REF!</v>
      </c>
      <c r="M342" t="e">
        <f>AND(#REF!,"AAAAAHO93Qw=")</f>
        <v>#REF!</v>
      </c>
      <c r="N342" t="e">
        <f>AND(#REF!,"AAAAAHO93Q0=")</f>
        <v>#REF!</v>
      </c>
      <c r="O342" t="e">
        <f>IF(#REF!,"AAAAAHO93Q4=",0)</f>
        <v>#REF!</v>
      </c>
      <c r="P342" t="e">
        <f>AND(#REF!,"AAAAAHO93Q8=")</f>
        <v>#REF!</v>
      </c>
      <c r="Q342" t="e">
        <f>AND(#REF!,"AAAAAHO93RA=")</f>
        <v>#REF!</v>
      </c>
      <c r="R342" t="e">
        <f>AND(#REF!,"AAAAAHO93RE=")</f>
        <v>#REF!</v>
      </c>
      <c r="S342" t="e">
        <f>AND(#REF!,"AAAAAHO93RI=")</f>
        <v>#REF!</v>
      </c>
      <c r="T342" t="e">
        <f>AND(#REF!,"AAAAAHO93RM=")</f>
        <v>#REF!</v>
      </c>
      <c r="U342" t="e">
        <f>AND(#REF!,"AAAAAHO93RQ=")</f>
        <v>#REF!</v>
      </c>
      <c r="V342" t="e">
        <f>AND(#REF!,"AAAAAHO93RU=")</f>
        <v>#REF!</v>
      </c>
      <c r="W342" t="e">
        <f>AND(#REF!,"AAAAAHO93RY=")</f>
        <v>#REF!</v>
      </c>
      <c r="X342" t="e">
        <f>IF(#REF!,"AAAAAHO93Rc=",0)</f>
        <v>#REF!</v>
      </c>
      <c r="Y342" t="e">
        <f>AND(#REF!,"AAAAAHO93Rg=")</f>
        <v>#REF!</v>
      </c>
      <c r="Z342" t="e">
        <f>AND(#REF!,"AAAAAHO93Rk=")</f>
        <v>#REF!</v>
      </c>
      <c r="AA342" t="e">
        <f>AND(#REF!,"AAAAAHO93Ro=")</f>
        <v>#REF!</v>
      </c>
      <c r="AB342" t="e">
        <f>AND(#REF!,"AAAAAHO93Rs=")</f>
        <v>#REF!</v>
      </c>
      <c r="AC342" t="e">
        <f>AND(#REF!,"AAAAAHO93Rw=")</f>
        <v>#REF!</v>
      </c>
      <c r="AD342" t="e">
        <f>AND(#REF!,"AAAAAHO93R0=")</f>
        <v>#REF!</v>
      </c>
      <c r="AE342" t="e">
        <f>AND(#REF!,"AAAAAHO93R4=")</f>
        <v>#REF!</v>
      </c>
      <c r="AF342" t="e">
        <f>AND(#REF!,"AAAAAHO93R8=")</f>
        <v>#REF!</v>
      </c>
      <c r="AG342" t="e">
        <f>IF(#REF!,"AAAAAHO93SA=",0)</f>
        <v>#REF!</v>
      </c>
      <c r="AH342" t="e">
        <f>AND(#REF!,"AAAAAHO93SE=")</f>
        <v>#REF!</v>
      </c>
      <c r="AI342" t="e">
        <f>AND(#REF!,"AAAAAHO93SI=")</f>
        <v>#REF!</v>
      </c>
      <c r="AJ342" t="e">
        <f>AND(#REF!,"AAAAAHO93SM=")</f>
        <v>#REF!</v>
      </c>
      <c r="AK342" t="e">
        <f>AND(#REF!,"AAAAAHO93SQ=")</f>
        <v>#REF!</v>
      </c>
      <c r="AL342" t="e">
        <f>AND(#REF!,"AAAAAHO93SU=")</f>
        <v>#REF!</v>
      </c>
      <c r="AM342" t="e">
        <f>AND(#REF!,"AAAAAHO93SY=")</f>
        <v>#REF!</v>
      </c>
      <c r="AN342" t="e">
        <f>AND(#REF!,"AAAAAHO93Sc=")</f>
        <v>#REF!</v>
      </c>
      <c r="AO342" t="e">
        <f>AND(#REF!,"AAAAAHO93Sg=")</f>
        <v>#REF!</v>
      </c>
      <c r="AP342" t="e">
        <f>IF(#REF!,"AAAAAHO93Sk=",0)</f>
        <v>#REF!</v>
      </c>
      <c r="AQ342" t="e">
        <f>AND(#REF!,"AAAAAHO93So=")</f>
        <v>#REF!</v>
      </c>
      <c r="AR342" t="e">
        <f>AND(#REF!,"AAAAAHO93Ss=")</f>
        <v>#REF!</v>
      </c>
      <c r="AS342" t="e">
        <f>AND(#REF!,"AAAAAHO93Sw=")</f>
        <v>#REF!</v>
      </c>
      <c r="AT342" t="e">
        <f>AND(#REF!,"AAAAAHO93S0=")</f>
        <v>#REF!</v>
      </c>
      <c r="AU342" t="e">
        <f>AND(#REF!,"AAAAAHO93S4=")</f>
        <v>#REF!</v>
      </c>
      <c r="AV342" t="e">
        <f>AND(#REF!,"AAAAAHO93S8=")</f>
        <v>#REF!</v>
      </c>
      <c r="AW342" t="e">
        <f>AND(#REF!,"AAAAAHO93TA=")</f>
        <v>#REF!</v>
      </c>
      <c r="AX342" t="e">
        <f>AND(#REF!,"AAAAAHO93TE=")</f>
        <v>#REF!</v>
      </c>
      <c r="AY342" t="e">
        <f>IF(#REF!,"AAAAAHO93TI=",0)</f>
        <v>#REF!</v>
      </c>
      <c r="AZ342" t="e">
        <f>AND(#REF!,"AAAAAHO93TM=")</f>
        <v>#REF!</v>
      </c>
      <c r="BA342" t="e">
        <f>AND(#REF!,"AAAAAHO93TQ=")</f>
        <v>#REF!</v>
      </c>
      <c r="BB342" t="e">
        <f>AND(#REF!,"AAAAAHO93TU=")</f>
        <v>#REF!</v>
      </c>
      <c r="BC342" t="e">
        <f>AND(#REF!,"AAAAAHO93TY=")</f>
        <v>#REF!</v>
      </c>
      <c r="BD342" t="e">
        <f>AND(#REF!,"AAAAAHO93Tc=")</f>
        <v>#REF!</v>
      </c>
      <c r="BE342" t="e">
        <f>AND(#REF!,"AAAAAHO93Tg=")</f>
        <v>#REF!</v>
      </c>
      <c r="BF342" t="e">
        <f>AND(#REF!,"AAAAAHO93Tk=")</f>
        <v>#REF!</v>
      </c>
      <c r="BG342" t="e">
        <f>AND(#REF!,"AAAAAHO93To=")</f>
        <v>#REF!</v>
      </c>
      <c r="BH342" t="e">
        <f>IF(#REF!,"AAAAAHO93Ts=",0)</f>
        <v>#REF!</v>
      </c>
      <c r="BI342" t="e">
        <f>AND(#REF!,"AAAAAHO93Tw=")</f>
        <v>#REF!</v>
      </c>
      <c r="BJ342" t="e">
        <f>AND(#REF!,"AAAAAHO93T0=")</f>
        <v>#REF!</v>
      </c>
      <c r="BK342" t="e">
        <f>AND(#REF!,"AAAAAHO93T4=")</f>
        <v>#REF!</v>
      </c>
      <c r="BL342" t="e">
        <f>AND(#REF!,"AAAAAHO93T8=")</f>
        <v>#REF!</v>
      </c>
      <c r="BM342" t="e">
        <f>AND(#REF!,"AAAAAHO93UA=")</f>
        <v>#REF!</v>
      </c>
      <c r="BN342" t="e">
        <f>AND(#REF!,"AAAAAHO93UE=")</f>
        <v>#REF!</v>
      </c>
      <c r="BO342" t="e">
        <f>AND(#REF!,"AAAAAHO93UI=")</f>
        <v>#REF!</v>
      </c>
      <c r="BP342" t="e">
        <f>AND(#REF!,"AAAAAHO93UM=")</f>
        <v>#REF!</v>
      </c>
      <c r="BQ342" t="e">
        <f>IF(#REF!,"AAAAAHO93UQ=",0)</f>
        <v>#REF!</v>
      </c>
      <c r="BR342" t="e">
        <f>AND(#REF!,"AAAAAHO93UU=")</f>
        <v>#REF!</v>
      </c>
      <c r="BS342" t="e">
        <f>AND(#REF!,"AAAAAHO93UY=")</f>
        <v>#REF!</v>
      </c>
      <c r="BT342" t="e">
        <f>AND(#REF!,"AAAAAHO93Uc=")</f>
        <v>#REF!</v>
      </c>
      <c r="BU342" t="e">
        <f>AND(#REF!,"AAAAAHO93Ug=")</f>
        <v>#REF!</v>
      </c>
      <c r="BV342" t="e">
        <f>AND(#REF!,"AAAAAHO93Uk=")</f>
        <v>#REF!</v>
      </c>
      <c r="BW342" t="e">
        <f>AND(#REF!,"AAAAAHO93Uo=")</f>
        <v>#REF!</v>
      </c>
      <c r="BX342" t="e">
        <f>AND(#REF!,"AAAAAHO93Us=")</f>
        <v>#REF!</v>
      </c>
      <c r="BY342" t="e">
        <f>AND(#REF!,"AAAAAHO93Uw=")</f>
        <v>#REF!</v>
      </c>
      <c r="BZ342" t="e">
        <f>IF(#REF!,"AAAAAHO93U0=",0)</f>
        <v>#REF!</v>
      </c>
      <c r="CA342" t="e">
        <f>AND(#REF!,"AAAAAHO93U4=")</f>
        <v>#REF!</v>
      </c>
      <c r="CB342" t="e">
        <f>AND(#REF!,"AAAAAHO93U8=")</f>
        <v>#REF!</v>
      </c>
      <c r="CC342" t="e">
        <f>AND(#REF!,"AAAAAHO93VA=")</f>
        <v>#REF!</v>
      </c>
      <c r="CD342" t="e">
        <f>AND(#REF!,"AAAAAHO93VE=")</f>
        <v>#REF!</v>
      </c>
      <c r="CE342" t="e">
        <f>AND(#REF!,"AAAAAHO93VI=")</f>
        <v>#REF!</v>
      </c>
      <c r="CF342" t="e">
        <f>AND(#REF!,"AAAAAHO93VM=")</f>
        <v>#REF!</v>
      </c>
      <c r="CG342" t="e">
        <f>AND(#REF!,"AAAAAHO93VQ=")</f>
        <v>#REF!</v>
      </c>
      <c r="CH342" t="e">
        <f>AND(#REF!,"AAAAAHO93VU=")</f>
        <v>#REF!</v>
      </c>
      <c r="CI342" t="e">
        <f>IF(#REF!,"AAAAAHO93VY=",0)</f>
        <v>#REF!</v>
      </c>
      <c r="CJ342" t="e">
        <f>AND(#REF!,"AAAAAHO93Vc=")</f>
        <v>#REF!</v>
      </c>
      <c r="CK342" t="e">
        <f>AND(#REF!,"AAAAAHO93Vg=")</f>
        <v>#REF!</v>
      </c>
      <c r="CL342" t="e">
        <f>AND(#REF!,"AAAAAHO93Vk=")</f>
        <v>#REF!</v>
      </c>
      <c r="CM342" t="e">
        <f>AND(#REF!,"AAAAAHO93Vo=")</f>
        <v>#REF!</v>
      </c>
      <c r="CN342" t="e">
        <f>AND(#REF!,"AAAAAHO93Vs=")</f>
        <v>#REF!</v>
      </c>
      <c r="CO342" t="e">
        <f>AND(#REF!,"AAAAAHO93Vw=")</f>
        <v>#REF!</v>
      </c>
      <c r="CP342" t="e">
        <f>AND(#REF!,"AAAAAHO93V0=")</f>
        <v>#REF!</v>
      </c>
      <c r="CQ342" t="e">
        <f>AND(#REF!,"AAAAAHO93V4=")</f>
        <v>#REF!</v>
      </c>
      <c r="CR342" t="e">
        <f>IF(#REF!,"AAAAAHO93V8=",0)</f>
        <v>#REF!</v>
      </c>
      <c r="CS342" t="e">
        <f>AND(#REF!,"AAAAAHO93WA=")</f>
        <v>#REF!</v>
      </c>
      <c r="CT342" t="e">
        <f>AND(#REF!,"AAAAAHO93WE=")</f>
        <v>#REF!</v>
      </c>
      <c r="CU342" t="e">
        <f>AND(#REF!,"AAAAAHO93WI=")</f>
        <v>#REF!</v>
      </c>
      <c r="CV342" t="e">
        <f>AND(#REF!,"AAAAAHO93WM=")</f>
        <v>#REF!</v>
      </c>
      <c r="CW342" t="e">
        <f>AND(#REF!,"AAAAAHO93WQ=")</f>
        <v>#REF!</v>
      </c>
      <c r="CX342" t="e">
        <f>AND(#REF!,"AAAAAHO93WU=")</f>
        <v>#REF!</v>
      </c>
      <c r="CY342" t="e">
        <f>AND(#REF!,"AAAAAHO93WY=")</f>
        <v>#REF!</v>
      </c>
      <c r="CZ342" t="e">
        <f>AND(#REF!,"AAAAAHO93Wc=")</f>
        <v>#REF!</v>
      </c>
      <c r="DA342" t="e">
        <f>IF(#REF!,"AAAAAHO93Wg=",0)</f>
        <v>#REF!</v>
      </c>
      <c r="DB342" t="e">
        <f>AND(#REF!,"AAAAAHO93Wk=")</f>
        <v>#REF!</v>
      </c>
      <c r="DC342" t="e">
        <f>AND(#REF!,"AAAAAHO93Wo=")</f>
        <v>#REF!</v>
      </c>
      <c r="DD342" t="e">
        <f>AND(#REF!,"AAAAAHO93Ws=")</f>
        <v>#REF!</v>
      </c>
      <c r="DE342" t="e">
        <f>AND(#REF!,"AAAAAHO93Ww=")</f>
        <v>#REF!</v>
      </c>
      <c r="DF342" t="e">
        <f>AND(#REF!,"AAAAAHO93W0=")</f>
        <v>#REF!</v>
      </c>
      <c r="DG342" t="e">
        <f>AND(#REF!,"AAAAAHO93W4=")</f>
        <v>#REF!</v>
      </c>
      <c r="DH342" t="e">
        <f>AND(#REF!,"AAAAAHO93W8=")</f>
        <v>#REF!</v>
      </c>
      <c r="DI342" t="e">
        <f>AND(#REF!,"AAAAAHO93XA=")</f>
        <v>#REF!</v>
      </c>
      <c r="DJ342" t="e">
        <f>IF(#REF!,"AAAAAHO93XE=",0)</f>
        <v>#REF!</v>
      </c>
      <c r="DK342" t="e">
        <f>AND(#REF!,"AAAAAHO93XI=")</f>
        <v>#REF!</v>
      </c>
      <c r="DL342" t="e">
        <f>AND(#REF!,"AAAAAHO93XM=")</f>
        <v>#REF!</v>
      </c>
      <c r="DM342" t="e">
        <f>AND(#REF!,"AAAAAHO93XQ=")</f>
        <v>#REF!</v>
      </c>
      <c r="DN342" t="e">
        <f>AND(#REF!,"AAAAAHO93XU=")</f>
        <v>#REF!</v>
      </c>
      <c r="DO342" t="e">
        <f>AND(#REF!,"AAAAAHO93XY=")</f>
        <v>#REF!</v>
      </c>
      <c r="DP342" t="e">
        <f>AND(#REF!,"AAAAAHO93Xc=")</f>
        <v>#REF!</v>
      </c>
      <c r="DQ342" t="e">
        <f>AND(#REF!,"AAAAAHO93Xg=")</f>
        <v>#REF!</v>
      </c>
      <c r="DR342" t="e">
        <f>AND(#REF!,"AAAAAHO93Xk=")</f>
        <v>#REF!</v>
      </c>
      <c r="DS342" t="e">
        <f>IF(#REF!,"AAAAAHO93Xo=",0)</f>
        <v>#REF!</v>
      </c>
      <c r="DT342" t="e">
        <f>AND(#REF!,"AAAAAHO93Xs=")</f>
        <v>#REF!</v>
      </c>
      <c r="DU342" t="e">
        <f>AND(#REF!,"AAAAAHO93Xw=")</f>
        <v>#REF!</v>
      </c>
      <c r="DV342" t="e">
        <f>AND(#REF!,"AAAAAHO93X0=")</f>
        <v>#REF!</v>
      </c>
      <c r="DW342" t="e">
        <f>AND(#REF!,"AAAAAHO93X4=")</f>
        <v>#REF!</v>
      </c>
      <c r="DX342" t="e">
        <f>AND(#REF!,"AAAAAHO93X8=")</f>
        <v>#REF!</v>
      </c>
      <c r="DY342" t="e">
        <f>AND(#REF!,"AAAAAHO93YA=")</f>
        <v>#REF!</v>
      </c>
      <c r="DZ342" t="e">
        <f>AND(#REF!,"AAAAAHO93YE=")</f>
        <v>#REF!</v>
      </c>
      <c r="EA342" t="e">
        <f>AND(#REF!,"AAAAAHO93YI=")</f>
        <v>#REF!</v>
      </c>
      <c r="EB342" t="e">
        <f>IF(#REF!,"AAAAAHO93YM=",0)</f>
        <v>#REF!</v>
      </c>
      <c r="EC342" t="e">
        <f>AND(#REF!,"AAAAAHO93YQ=")</f>
        <v>#REF!</v>
      </c>
      <c r="ED342" t="e">
        <f>AND(#REF!,"AAAAAHO93YU=")</f>
        <v>#REF!</v>
      </c>
      <c r="EE342" t="e">
        <f>AND(#REF!,"AAAAAHO93YY=")</f>
        <v>#REF!</v>
      </c>
      <c r="EF342" t="e">
        <f>AND(#REF!,"AAAAAHO93Yc=")</f>
        <v>#REF!</v>
      </c>
      <c r="EG342" t="e">
        <f>AND(#REF!,"AAAAAHO93Yg=")</f>
        <v>#REF!</v>
      </c>
      <c r="EH342" t="e">
        <f>AND(#REF!,"AAAAAHO93Yk=")</f>
        <v>#REF!</v>
      </c>
      <c r="EI342" t="e">
        <f>AND(#REF!,"AAAAAHO93Yo=")</f>
        <v>#REF!</v>
      </c>
      <c r="EJ342" t="e">
        <f>AND(#REF!,"AAAAAHO93Ys=")</f>
        <v>#REF!</v>
      </c>
      <c r="EK342" t="e">
        <f>IF(#REF!,"AAAAAHO93Yw=",0)</f>
        <v>#REF!</v>
      </c>
      <c r="EL342" t="e">
        <f>AND(#REF!,"AAAAAHO93Y0=")</f>
        <v>#REF!</v>
      </c>
      <c r="EM342" t="e">
        <f>AND(#REF!,"AAAAAHO93Y4=")</f>
        <v>#REF!</v>
      </c>
      <c r="EN342" t="e">
        <f>AND(#REF!,"AAAAAHO93Y8=")</f>
        <v>#REF!</v>
      </c>
      <c r="EO342" t="e">
        <f>AND(#REF!,"AAAAAHO93ZA=")</f>
        <v>#REF!</v>
      </c>
      <c r="EP342" t="e">
        <f>AND(#REF!,"AAAAAHO93ZE=")</f>
        <v>#REF!</v>
      </c>
      <c r="EQ342" t="e">
        <f>AND(#REF!,"AAAAAHO93ZI=")</f>
        <v>#REF!</v>
      </c>
      <c r="ER342" t="e">
        <f>AND(#REF!,"AAAAAHO93ZM=")</f>
        <v>#REF!</v>
      </c>
      <c r="ES342" t="e">
        <f>AND(#REF!,"AAAAAHO93ZQ=")</f>
        <v>#REF!</v>
      </c>
      <c r="ET342" t="e">
        <f>IF(#REF!,"AAAAAHO93ZU=",0)</f>
        <v>#REF!</v>
      </c>
      <c r="EU342" t="e">
        <f>AND(#REF!,"AAAAAHO93ZY=")</f>
        <v>#REF!</v>
      </c>
      <c r="EV342" t="e">
        <f>AND(#REF!,"AAAAAHO93Zc=")</f>
        <v>#REF!</v>
      </c>
      <c r="EW342" t="e">
        <f>AND(#REF!,"AAAAAHO93Zg=")</f>
        <v>#REF!</v>
      </c>
      <c r="EX342" t="e">
        <f>AND(#REF!,"AAAAAHO93Zk=")</f>
        <v>#REF!</v>
      </c>
      <c r="EY342" t="e">
        <f>AND(#REF!,"AAAAAHO93Zo=")</f>
        <v>#REF!</v>
      </c>
      <c r="EZ342" t="e">
        <f>AND(#REF!,"AAAAAHO93Zs=")</f>
        <v>#REF!</v>
      </c>
      <c r="FA342" t="e">
        <f>AND(#REF!,"AAAAAHO93Zw=")</f>
        <v>#REF!</v>
      </c>
      <c r="FB342" t="e">
        <f>AND(#REF!,"AAAAAHO93Z0=")</f>
        <v>#REF!</v>
      </c>
      <c r="FC342" t="e">
        <f>IF(#REF!,"AAAAAHO93Z4=",0)</f>
        <v>#REF!</v>
      </c>
      <c r="FD342" t="e">
        <f>AND(#REF!,"AAAAAHO93Z8=")</f>
        <v>#REF!</v>
      </c>
      <c r="FE342" t="e">
        <f>AND(#REF!,"AAAAAHO93aA=")</f>
        <v>#REF!</v>
      </c>
      <c r="FF342" t="e">
        <f>AND(#REF!,"AAAAAHO93aE=")</f>
        <v>#REF!</v>
      </c>
      <c r="FG342" t="e">
        <f>AND(#REF!,"AAAAAHO93aI=")</f>
        <v>#REF!</v>
      </c>
      <c r="FH342" t="e">
        <f>AND(#REF!,"AAAAAHO93aM=")</f>
        <v>#REF!</v>
      </c>
      <c r="FI342" t="e">
        <f>AND(#REF!,"AAAAAHO93aQ=")</f>
        <v>#REF!</v>
      </c>
      <c r="FJ342" t="e">
        <f>AND(#REF!,"AAAAAHO93aU=")</f>
        <v>#REF!</v>
      </c>
      <c r="FK342" t="e">
        <f>AND(#REF!,"AAAAAHO93aY=")</f>
        <v>#REF!</v>
      </c>
      <c r="FL342" t="e">
        <f>IF(#REF!,"AAAAAHO93ac=",0)</f>
        <v>#REF!</v>
      </c>
      <c r="FM342" t="e">
        <f>AND(#REF!,"AAAAAHO93ag=")</f>
        <v>#REF!</v>
      </c>
      <c r="FN342" t="e">
        <f>AND(#REF!,"AAAAAHO93ak=")</f>
        <v>#REF!</v>
      </c>
      <c r="FO342" t="e">
        <f>AND(#REF!,"AAAAAHO93ao=")</f>
        <v>#REF!</v>
      </c>
      <c r="FP342" t="e">
        <f>AND(#REF!,"AAAAAHO93as=")</f>
        <v>#REF!</v>
      </c>
      <c r="FQ342" t="e">
        <f>AND(#REF!,"AAAAAHO93aw=")</f>
        <v>#REF!</v>
      </c>
      <c r="FR342" t="e">
        <f>AND(#REF!,"AAAAAHO93a0=")</f>
        <v>#REF!</v>
      </c>
      <c r="FS342" t="e">
        <f>AND(#REF!,"AAAAAHO93a4=")</f>
        <v>#REF!</v>
      </c>
      <c r="FT342" t="e">
        <f>AND(#REF!,"AAAAAHO93a8=")</f>
        <v>#REF!</v>
      </c>
      <c r="FU342" t="e">
        <f>IF(#REF!,"AAAAAHO93bA=",0)</f>
        <v>#REF!</v>
      </c>
      <c r="FV342" t="e">
        <f>AND(#REF!,"AAAAAHO93bE=")</f>
        <v>#REF!</v>
      </c>
      <c r="FW342" t="e">
        <f>AND(#REF!,"AAAAAHO93bI=")</f>
        <v>#REF!</v>
      </c>
      <c r="FX342" t="e">
        <f>AND(#REF!,"AAAAAHO93bM=")</f>
        <v>#REF!</v>
      </c>
      <c r="FY342" t="e">
        <f>AND(#REF!,"AAAAAHO93bQ=")</f>
        <v>#REF!</v>
      </c>
      <c r="FZ342" t="e">
        <f>AND(#REF!,"AAAAAHO93bU=")</f>
        <v>#REF!</v>
      </c>
      <c r="GA342" t="e">
        <f>AND(#REF!,"AAAAAHO93bY=")</f>
        <v>#REF!</v>
      </c>
      <c r="GB342" t="e">
        <f>AND(#REF!,"AAAAAHO93bc=")</f>
        <v>#REF!</v>
      </c>
      <c r="GC342" t="e">
        <f>AND(#REF!,"AAAAAHO93bg=")</f>
        <v>#REF!</v>
      </c>
      <c r="GD342" t="e">
        <f>IF(#REF!,"AAAAAHO93bk=",0)</f>
        <v>#REF!</v>
      </c>
      <c r="GE342" t="e">
        <f>AND(#REF!,"AAAAAHO93bo=")</f>
        <v>#REF!</v>
      </c>
      <c r="GF342" t="e">
        <f>AND(#REF!,"AAAAAHO93bs=")</f>
        <v>#REF!</v>
      </c>
      <c r="GG342" t="e">
        <f>AND(#REF!,"AAAAAHO93bw=")</f>
        <v>#REF!</v>
      </c>
      <c r="GH342" t="e">
        <f>AND(#REF!,"AAAAAHO93b0=")</f>
        <v>#REF!</v>
      </c>
      <c r="GI342" t="e">
        <f>AND(#REF!,"AAAAAHO93b4=")</f>
        <v>#REF!</v>
      </c>
      <c r="GJ342" t="e">
        <f>AND(#REF!,"AAAAAHO93b8=")</f>
        <v>#REF!</v>
      </c>
      <c r="GK342" t="e">
        <f>AND(#REF!,"AAAAAHO93cA=")</f>
        <v>#REF!</v>
      </c>
      <c r="GL342" t="e">
        <f>AND(#REF!,"AAAAAHO93cE=")</f>
        <v>#REF!</v>
      </c>
      <c r="GM342" t="e">
        <f>IF(#REF!,"AAAAAHO93cI=",0)</f>
        <v>#REF!</v>
      </c>
      <c r="GN342" t="e">
        <f>AND(#REF!,"AAAAAHO93cM=")</f>
        <v>#REF!</v>
      </c>
      <c r="GO342" t="e">
        <f>AND(#REF!,"AAAAAHO93cQ=")</f>
        <v>#REF!</v>
      </c>
      <c r="GP342" t="e">
        <f>AND(#REF!,"AAAAAHO93cU=")</f>
        <v>#REF!</v>
      </c>
      <c r="GQ342" t="e">
        <f>AND(#REF!,"AAAAAHO93cY=")</f>
        <v>#REF!</v>
      </c>
      <c r="GR342" t="e">
        <f>AND(#REF!,"AAAAAHO93cc=")</f>
        <v>#REF!</v>
      </c>
      <c r="GS342" t="e">
        <f>AND(#REF!,"AAAAAHO93cg=")</f>
        <v>#REF!</v>
      </c>
      <c r="GT342" t="e">
        <f>AND(#REF!,"AAAAAHO93ck=")</f>
        <v>#REF!</v>
      </c>
      <c r="GU342" t="e">
        <f>AND(#REF!,"AAAAAHO93co=")</f>
        <v>#REF!</v>
      </c>
      <c r="GV342" t="e">
        <f>IF(#REF!,"AAAAAHO93cs=",0)</f>
        <v>#REF!</v>
      </c>
      <c r="GW342" t="e">
        <f>AND(#REF!,"AAAAAHO93cw=")</f>
        <v>#REF!</v>
      </c>
      <c r="GX342" t="e">
        <f>AND(#REF!,"AAAAAHO93c0=")</f>
        <v>#REF!</v>
      </c>
      <c r="GY342" t="e">
        <f>AND(#REF!,"AAAAAHO93c4=")</f>
        <v>#REF!</v>
      </c>
      <c r="GZ342" t="e">
        <f>AND(#REF!,"AAAAAHO93c8=")</f>
        <v>#REF!</v>
      </c>
      <c r="HA342" t="e">
        <f>AND(#REF!,"AAAAAHO93dA=")</f>
        <v>#REF!</v>
      </c>
      <c r="HB342" t="e">
        <f>AND(#REF!,"AAAAAHO93dE=")</f>
        <v>#REF!</v>
      </c>
      <c r="HC342" t="e">
        <f>AND(#REF!,"AAAAAHO93dI=")</f>
        <v>#REF!</v>
      </c>
      <c r="HD342" t="e">
        <f>AND(#REF!,"AAAAAHO93dM=")</f>
        <v>#REF!</v>
      </c>
      <c r="HE342" t="e">
        <f>IF(#REF!,"AAAAAHO93dQ=",0)</f>
        <v>#REF!</v>
      </c>
      <c r="HF342" t="e">
        <f>AND(#REF!,"AAAAAHO93dU=")</f>
        <v>#REF!</v>
      </c>
      <c r="HG342" t="e">
        <f>AND(#REF!,"AAAAAHO93dY=")</f>
        <v>#REF!</v>
      </c>
      <c r="HH342" t="e">
        <f>AND(#REF!,"AAAAAHO93dc=")</f>
        <v>#REF!</v>
      </c>
      <c r="HI342" t="e">
        <f>AND(#REF!,"AAAAAHO93dg=")</f>
        <v>#REF!</v>
      </c>
      <c r="HJ342" t="e">
        <f>AND(#REF!,"AAAAAHO93dk=")</f>
        <v>#REF!</v>
      </c>
      <c r="HK342" t="e">
        <f>AND(#REF!,"AAAAAHO93do=")</f>
        <v>#REF!</v>
      </c>
      <c r="HL342" t="e">
        <f>AND(#REF!,"AAAAAHO93ds=")</f>
        <v>#REF!</v>
      </c>
      <c r="HM342" t="e">
        <f>AND(#REF!,"AAAAAHO93dw=")</f>
        <v>#REF!</v>
      </c>
      <c r="HN342" t="e">
        <f>IF(#REF!,"AAAAAHO93d0=",0)</f>
        <v>#REF!</v>
      </c>
      <c r="HO342" t="e">
        <f>AND(#REF!,"AAAAAHO93d4=")</f>
        <v>#REF!</v>
      </c>
      <c r="HP342" t="e">
        <f>AND(#REF!,"AAAAAHO93d8=")</f>
        <v>#REF!</v>
      </c>
      <c r="HQ342" t="e">
        <f>AND(#REF!,"AAAAAHO93eA=")</f>
        <v>#REF!</v>
      </c>
      <c r="HR342" t="e">
        <f>AND(#REF!,"AAAAAHO93eE=")</f>
        <v>#REF!</v>
      </c>
      <c r="HS342" t="e">
        <f>AND(#REF!,"AAAAAHO93eI=")</f>
        <v>#REF!</v>
      </c>
      <c r="HT342" t="e">
        <f>AND(#REF!,"AAAAAHO93eM=")</f>
        <v>#REF!</v>
      </c>
      <c r="HU342" t="e">
        <f>AND(#REF!,"AAAAAHO93eQ=")</f>
        <v>#REF!</v>
      </c>
      <c r="HV342" t="e">
        <f>AND(#REF!,"AAAAAHO93eU=")</f>
        <v>#REF!</v>
      </c>
      <c r="HW342" t="e">
        <f>IF(#REF!,"AAAAAHO93eY=",0)</f>
        <v>#REF!</v>
      </c>
      <c r="HX342" t="e">
        <f>AND(#REF!,"AAAAAHO93ec=")</f>
        <v>#REF!</v>
      </c>
      <c r="HY342" t="e">
        <f>AND(#REF!,"AAAAAHO93eg=")</f>
        <v>#REF!</v>
      </c>
      <c r="HZ342" t="e">
        <f>AND(#REF!,"AAAAAHO93ek=")</f>
        <v>#REF!</v>
      </c>
      <c r="IA342" t="e">
        <f>AND(#REF!,"AAAAAHO93eo=")</f>
        <v>#REF!</v>
      </c>
      <c r="IB342" t="e">
        <f>AND(#REF!,"AAAAAHO93es=")</f>
        <v>#REF!</v>
      </c>
      <c r="IC342" t="e">
        <f>AND(#REF!,"AAAAAHO93ew=")</f>
        <v>#REF!</v>
      </c>
      <c r="ID342" t="e">
        <f>AND(#REF!,"AAAAAHO93e0=")</f>
        <v>#REF!</v>
      </c>
      <c r="IE342" t="e">
        <f>AND(#REF!,"AAAAAHO93e4=")</f>
        <v>#REF!</v>
      </c>
      <c r="IF342" t="e">
        <f>IF(#REF!,"AAAAAHO93e8=",0)</f>
        <v>#REF!</v>
      </c>
      <c r="IG342" t="e">
        <f>AND(#REF!,"AAAAAHO93fA=")</f>
        <v>#REF!</v>
      </c>
      <c r="IH342" t="e">
        <f>AND(#REF!,"AAAAAHO93fE=")</f>
        <v>#REF!</v>
      </c>
      <c r="II342" t="e">
        <f>AND(#REF!,"AAAAAHO93fI=")</f>
        <v>#REF!</v>
      </c>
      <c r="IJ342" t="e">
        <f>AND(#REF!,"AAAAAHO93fM=")</f>
        <v>#REF!</v>
      </c>
      <c r="IK342" t="e">
        <f>AND(#REF!,"AAAAAHO93fQ=")</f>
        <v>#REF!</v>
      </c>
      <c r="IL342" t="e">
        <f>AND(#REF!,"AAAAAHO93fU=")</f>
        <v>#REF!</v>
      </c>
      <c r="IM342" t="e">
        <f>AND(#REF!,"AAAAAHO93fY=")</f>
        <v>#REF!</v>
      </c>
      <c r="IN342" t="e">
        <f>AND(#REF!,"AAAAAHO93fc=")</f>
        <v>#REF!</v>
      </c>
      <c r="IO342" t="e">
        <f>IF(#REF!,"AAAAAHO93fg=",0)</f>
        <v>#REF!</v>
      </c>
      <c r="IP342" t="e">
        <f>AND(#REF!,"AAAAAHO93fk=")</f>
        <v>#REF!</v>
      </c>
      <c r="IQ342" t="e">
        <f>AND(#REF!,"AAAAAHO93fo=")</f>
        <v>#REF!</v>
      </c>
      <c r="IR342" t="e">
        <f>AND(#REF!,"AAAAAHO93fs=")</f>
        <v>#REF!</v>
      </c>
      <c r="IS342" t="e">
        <f>AND(#REF!,"AAAAAHO93fw=")</f>
        <v>#REF!</v>
      </c>
      <c r="IT342" t="e">
        <f>AND(#REF!,"AAAAAHO93f0=")</f>
        <v>#REF!</v>
      </c>
      <c r="IU342" t="e">
        <f>AND(#REF!,"AAAAAHO93f4=")</f>
        <v>#REF!</v>
      </c>
      <c r="IV342" t="e">
        <f>AND(#REF!,"AAAAAHO93f8=")</f>
        <v>#REF!</v>
      </c>
    </row>
    <row r="343" spans="1:256">
      <c r="A343" t="e">
        <f>AND(#REF!,"AAAAAH373gA=")</f>
        <v>#REF!</v>
      </c>
      <c r="B343" t="e">
        <f>IF(#REF!,"AAAAAH373gE=",0)</f>
        <v>#REF!</v>
      </c>
      <c r="C343" t="e">
        <f>AND(#REF!,"AAAAAH373gI=")</f>
        <v>#REF!</v>
      </c>
      <c r="D343" t="e">
        <f>AND(#REF!,"AAAAAH373gM=")</f>
        <v>#REF!</v>
      </c>
      <c r="E343" t="e">
        <f>AND(#REF!,"AAAAAH373gQ=")</f>
        <v>#REF!</v>
      </c>
      <c r="F343" t="e">
        <f>AND(#REF!,"AAAAAH373gU=")</f>
        <v>#REF!</v>
      </c>
      <c r="G343" t="e">
        <f>AND(#REF!,"AAAAAH373gY=")</f>
        <v>#REF!</v>
      </c>
      <c r="H343" t="e">
        <f>AND(#REF!,"AAAAAH373gc=")</f>
        <v>#REF!</v>
      </c>
      <c r="I343" t="e">
        <f>AND(#REF!,"AAAAAH373gg=")</f>
        <v>#REF!</v>
      </c>
      <c r="J343" t="e">
        <f>AND(#REF!,"AAAAAH373gk=")</f>
        <v>#REF!</v>
      </c>
      <c r="K343" t="e">
        <f>IF(#REF!,"AAAAAH373go=",0)</f>
        <v>#REF!</v>
      </c>
      <c r="L343" t="e">
        <f>AND(#REF!,"AAAAAH373gs=")</f>
        <v>#REF!</v>
      </c>
      <c r="M343" t="e">
        <f>AND(#REF!,"AAAAAH373gw=")</f>
        <v>#REF!</v>
      </c>
      <c r="N343" t="e">
        <f>AND(#REF!,"AAAAAH373g0=")</f>
        <v>#REF!</v>
      </c>
      <c r="O343" t="e">
        <f>AND(#REF!,"AAAAAH373g4=")</f>
        <v>#REF!</v>
      </c>
      <c r="P343" t="e">
        <f>AND(#REF!,"AAAAAH373g8=")</f>
        <v>#REF!</v>
      </c>
      <c r="Q343" t="e">
        <f>AND(#REF!,"AAAAAH373hA=")</f>
        <v>#REF!</v>
      </c>
      <c r="R343" t="e">
        <f>AND(#REF!,"AAAAAH373hE=")</f>
        <v>#REF!</v>
      </c>
      <c r="S343" t="e">
        <f>AND(#REF!,"AAAAAH373hI=")</f>
        <v>#REF!</v>
      </c>
      <c r="T343" t="e">
        <f>IF(#REF!,"AAAAAH373hM=",0)</f>
        <v>#REF!</v>
      </c>
      <c r="U343" t="e">
        <f>AND(#REF!,"AAAAAH373hQ=")</f>
        <v>#REF!</v>
      </c>
      <c r="V343" t="e">
        <f>AND(#REF!,"AAAAAH373hU=")</f>
        <v>#REF!</v>
      </c>
      <c r="W343" t="e">
        <f>AND(#REF!,"AAAAAH373hY=")</f>
        <v>#REF!</v>
      </c>
      <c r="X343" t="e">
        <f>AND(#REF!,"AAAAAH373hc=")</f>
        <v>#REF!</v>
      </c>
      <c r="Y343" t="e">
        <f>AND(#REF!,"AAAAAH373hg=")</f>
        <v>#REF!</v>
      </c>
      <c r="Z343" t="e">
        <f>AND(#REF!,"AAAAAH373hk=")</f>
        <v>#REF!</v>
      </c>
      <c r="AA343" t="e">
        <f>AND(#REF!,"AAAAAH373ho=")</f>
        <v>#REF!</v>
      </c>
      <c r="AB343" t="e">
        <f>AND(#REF!,"AAAAAH373hs=")</f>
        <v>#REF!</v>
      </c>
      <c r="AC343" t="e">
        <f>IF(#REF!,"AAAAAH373hw=",0)</f>
        <v>#REF!</v>
      </c>
      <c r="AD343" t="e">
        <f>AND(#REF!,"AAAAAH373h0=")</f>
        <v>#REF!</v>
      </c>
      <c r="AE343" t="e">
        <f>AND(#REF!,"AAAAAH373h4=")</f>
        <v>#REF!</v>
      </c>
      <c r="AF343" t="e">
        <f>AND(#REF!,"AAAAAH373h8=")</f>
        <v>#REF!</v>
      </c>
      <c r="AG343" t="e">
        <f>AND(#REF!,"AAAAAH373iA=")</f>
        <v>#REF!</v>
      </c>
      <c r="AH343" t="e">
        <f>AND(#REF!,"AAAAAH373iE=")</f>
        <v>#REF!</v>
      </c>
      <c r="AI343" t="e">
        <f>AND(#REF!,"AAAAAH373iI=")</f>
        <v>#REF!</v>
      </c>
      <c r="AJ343" t="e">
        <f>AND(#REF!,"AAAAAH373iM=")</f>
        <v>#REF!</v>
      </c>
      <c r="AK343" t="e">
        <f>AND(#REF!,"AAAAAH373iQ=")</f>
        <v>#REF!</v>
      </c>
      <c r="AL343" t="e">
        <f>IF(#REF!,"AAAAAH373iU=",0)</f>
        <v>#REF!</v>
      </c>
      <c r="AM343" t="e">
        <f>AND(#REF!,"AAAAAH373iY=")</f>
        <v>#REF!</v>
      </c>
      <c r="AN343" t="e">
        <f>AND(#REF!,"AAAAAH373ic=")</f>
        <v>#REF!</v>
      </c>
      <c r="AO343" t="e">
        <f>AND(#REF!,"AAAAAH373ig=")</f>
        <v>#REF!</v>
      </c>
      <c r="AP343" t="e">
        <f>AND(#REF!,"AAAAAH373ik=")</f>
        <v>#REF!</v>
      </c>
      <c r="AQ343" t="e">
        <f>AND(#REF!,"AAAAAH373io=")</f>
        <v>#REF!</v>
      </c>
      <c r="AR343" t="e">
        <f>AND(#REF!,"AAAAAH373is=")</f>
        <v>#REF!</v>
      </c>
      <c r="AS343" t="e">
        <f>AND(#REF!,"AAAAAH373iw=")</f>
        <v>#REF!</v>
      </c>
      <c r="AT343" t="e">
        <f>AND(#REF!,"AAAAAH373i0=")</f>
        <v>#REF!</v>
      </c>
      <c r="AU343" t="e">
        <f>IF(#REF!,"AAAAAH373i4=",0)</f>
        <v>#REF!</v>
      </c>
      <c r="AV343" t="e">
        <f>AND(#REF!,"AAAAAH373i8=")</f>
        <v>#REF!</v>
      </c>
      <c r="AW343" t="e">
        <f>AND(#REF!,"AAAAAH373jA=")</f>
        <v>#REF!</v>
      </c>
      <c r="AX343" t="e">
        <f>AND(#REF!,"AAAAAH373jE=")</f>
        <v>#REF!</v>
      </c>
      <c r="AY343" t="e">
        <f>AND(#REF!,"AAAAAH373jI=")</f>
        <v>#REF!</v>
      </c>
      <c r="AZ343" t="e">
        <f>AND(#REF!,"AAAAAH373jM=")</f>
        <v>#REF!</v>
      </c>
      <c r="BA343" t="e">
        <f>AND(#REF!,"AAAAAH373jQ=")</f>
        <v>#REF!</v>
      </c>
      <c r="BB343" t="e">
        <f>AND(#REF!,"AAAAAH373jU=")</f>
        <v>#REF!</v>
      </c>
      <c r="BC343" t="e">
        <f>AND(#REF!,"AAAAAH373jY=")</f>
        <v>#REF!</v>
      </c>
      <c r="BD343" t="e">
        <f>IF(#REF!,"AAAAAH373jc=",0)</f>
        <v>#REF!</v>
      </c>
      <c r="BE343" t="e">
        <f>AND(#REF!,"AAAAAH373jg=")</f>
        <v>#REF!</v>
      </c>
      <c r="BF343" t="e">
        <f>AND(#REF!,"AAAAAH373jk=")</f>
        <v>#REF!</v>
      </c>
      <c r="BG343" t="e">
        <f>AND(#REF!,"AAAAAH373jo=")</f>
        <v>#REF!</v>
      </c>
      <c r="BH343" t="e">
        <f>AND(#REF!,"AAAAAH373js=")</f>
        <v>#REF!</v>
      </c>
      <c r="BI343" t="e">
        <f>AND(#REF!,"AAAAAH373jw=")</f>
        <v>#REF!</v>
      </c>
      <c r="BJ343" t="e">
        <f>AND(#REF!,"AAAAAH373j0=")</f>
        <v>#REF!</v>
      </c>
      <c r="BK343" t="e">
        <f>AND(#REF!,"AAAAAH373j4=")</f>
        <v>#REF!</v>
      </c>
      <c r="BL343" t="e">
        <f>AND(#REF!,"AAAAAH373j8=")</f>
        <v>#REF!</v>
      </c>
      <c r="BM343" t="e">
        <f>IF(#REF!,"AAAAAH373kA=",0)</f>
        <v>#REF!</v>
      </c>
      <c r="BN343" t="e">
        <f>AND(#REF!,"AAAAAH373kE=")</f>
        <v>#REF!</v>
      </c>
      <c r="BO343" t="e">
        <f>AND(#REF!,"AAAAAH373kI=")</f>
        <v>#REF!</v>
      </c>
      <c r="BP343" t="e">
        <f>AND(#REF!,"AAAAAH373kM=")</f>
        <v>#REF!</v>
      </c>
      <c r="BQ343" t="e">
        <f>AND(#REF!,"AAAAAH373kQ=")</f>
        <v>#REF!</v>
      </c>
      <c r="BR343" t="e">
        <f>AND(#REF!,"AAAAAH373kU=")</f>
        <v>#REF!</v>
      </c>
      <c r="BS343" t="e">
        <f>AND(#REF!,"AAAAAH373kY=")</f>
        <v>#REF!</v>
      </c>
      <c r="BT343" t="e">
        <f>AND(#REF!,"AAAAAH373kc=")</f>
        <v>#REF!</v>
      </c>
      <c r="BU343" t="e">
        <f>AND(#REF!,"AAAAAH373kg=")</f>
        <v>#REF!</v>
      </c>
      <c r="BV343" t="e">
        <f>IF(#REF!,"AAAAAH373kk=",0)</f>
        <v>#REF!</v>
      </c>
      <c r="BW343" t="e">
        <f>AND(#REF!,"AAAAAH373ko=")</f>
        <v>#REF!</v>
      </c>
      <c r="BX343" t="e">
        <f>AND(#REF!,"AAAAAH373ks=")</f>
        <v>#REF!</v>
      </c>
      <c r="BY343" t="e">
        <f>AND(#REF!,"AAAAAH373kw=")</f>
        <v>#REF!</v>
      </c>
      <c r="BZ343" t="e">
        <f>AND(#REF!,"AAAAAH373k0=")</f>
        <v>#REF!</v>
      </c>
      <c r="CA343" t="e">
        <f>AND(#REF!,"AAAAAH373k4=")</f>
        <v>#REF!</v>
      </c>
      <c r="CB343" t="e">
        <f>AND(#REF!,"AAAAAH373k8=")</f>
        <v>#REF!</v>
      </c>
      <c r="CC343" t="e">
        <f>AND(#REF!,"AAAAAH373lA=")</f>
        <v>#REF!</v>
      </c>
      <c r="CD343" t="e">
        <f>AND(#REF!,"AAAAAH373lE=")</f>
        <v>#REF!</v>
      </c>
      <c r="CE343" t="e">
        <f>IF(#REF!,"AAAAAH373lI=",0)</f>
        <v>#REF!</v>
      </c>
      <c r="CF343" t="e">
        <f>AND(#REF!,"AAAAAH373lM=")</f>
        <v>#REF!</v>
      </c>
      <c r="CG343" t="e">
        <f>AND(#REF!,"AAAAAH373lQ=")</f>
        <v>#REF!</v>
      </c>
      <c r="CH343" t="e">
        <f>AND(#REF!,"AAAAAH373lU=")</f>
        <v>#REF!</v>
      </c>
      <c r="CI343" t="e">
        <f>AND(#REF!,"AAAAAH373lY=")</f>
        <v>#REF!</v>
      </c>
      <c r="CJ343" t="e">
        <f>AND(#REF!,"AAAAAH373lc=")</f>
        <v>#REF!</v>
      </c>
      <c r="CK343" t="e">
        <f>AND(#REF!,"AAAAAH373lg=")</f>
        <v>#REF!</v>
      </c>
      <c r="CL343" t="e">
        <f>AND(#REF!,"AAAAAH373lk=")</f>
        <v>#REF!</v>
      </c>
      <c r="CM343" t="e">
        <f>AND(#REF!,"AAAAAH373lo=")</f>
        <v>#REF!</v>
      </c>
      <c r="CN343" t="e">
        <f>IF(#REF!,"AAAAAH373ls=",0)</f>
        <v>#REF!</v>
      </c>
      <c r="CO343" t="e">
        <f>AND(#REF!,"AAAAAH373lw=")</f>
        <v>#REF!</v>
      </c>
      <c r="CP343" t="e">
        <f>AND(#REF!,"AAAAAH373l0=")</f>
        <v>#REF!</v>
      </c>
      <c r="CQ343" t="e">
        <f>AND(#REF!,"AAAAAH373l4=")</f>
        <v>#REF!</v>
      </c>
      <c r="CR343" t="e">
        <f>AND(#REF!,"AAAAAH373l8=")</f>
        <v>#REF!</v>
      </c>
      <c r="CS343" t="e">
        <f>AND(#REF!,"AAAAAH373mA=")</f>
        <v>#REF!</v>
      </c>
      <c r="CT343" t="e">
        <f>AND(#REF!,"AAAAAH373mE=")</f>
        <v>#REF!</v>
      </c>
      <c r="CU343" t="e">
        <f>AND(#REF!,"AAAAAH373mI=")</f>
        <v>#REF!</v>
      </c>
      <c r="CV343" t="e">
        <f>AND(#REF!,"AAAAAH373mM=")</f>
        <v>#REF!</v>
      </c>
      <c r="CW343" t="e">
        <f>IF(#REF!,"AAAAAH373mQ=",0)</f>
        <v>#REF!</v>
      </c>
      <c r="CX343" t="e">
        <f>AND(#REF!,"AAAAAH373mU=")</f>
        <v>#REF!</v>
      </c>
      <c r="CY343" t="e">
        <f>AND(#REF!,"AAAAAH373mY=")</f>
        <v>#REF!</v>
      </c>
      <c r="CZ343" t="e">
        <f>AND(#REF!,"AAAAAH373mc=")</f>
        <v>#REF!</v>
      </c>
      <c r="DA343" t="e">
        <f>AND(#REF!,"AAAAAH373mg=")</f>
        <v>#REF!</v>
      </c>
      <c r="DB343" t="e">
        <f>AND(#REF!,"AAAAAH373mk=")</f>
        <v>#REF!</v>
      </c>
      <c r="DC343" t="e">
        <f>AND(#REF!,"AAAAAH373mo=")</f>
        <v>#REF!</v>
      </c>
      <c r="DD343" t="e">
        <f>AND(#REF!,"AAAAAH373ms=")</f>
        <v>#REF!</v>
      </c>
      <c r="DE343" t="e">
        <f>AND(#REF!,"AAAAAH373mw=")</f>
        <v>#REF!</v>
      </c>
      <c r="DF343" t="e">
        <f>IF(#REF!,"AAAAAH373m0=",0)</f>
        <v>#REF!</v>
      </c>
      <c r="DG343" t="e">
        <f>AND(#REF!,"AAAAAH373m4=")</f>
        <v>#REF!</v>
      </c>
      <c r="DH343" t="e">
        <f>AND(#REF!,"AAAAAH373m8=")</f>
        <v>#REF!</v>
      </c>
      <c r="DI343" t="e">
        <f>AND(#REF!,"AAAAAH373nA=")</f>
        <v>#REF!</v>
      </c>
      <c r="DJ343" t="e">
        <f>AND(#REF!,"AAAAAH373nE=")</f>
        <v>#REF!</v>
      </c>
      <c r="DK343" t="e">
        <f>AND(#REF!,"AAAAAH373nI=")</f>
        <v>#REF!</v>
      </c>
      <c r="DL343" t="e">
        <f>AND(#REF!,"AAAAAH373nM=")</f>
        <v>#REF!</v>
      </c>
      <c r="DM343" t="e">
        <f>AND(#REF!,"AAAAAH373nQ=")</f>
        <v>#REF!</v>
      </c>
      <c r="DN343" t="e">
        <f>AND(#REF!,"AAAAAH373nU=")</f>
        <v>#REF!</v>
      </c>
      <c r="DO343" t="e">
        <f>IF(#REF!,"AAAAAH373nY=",0)</f>
        <v>#REF!</v>
      </c>
      <c r="DP343" t="e">
        <f>AND(#REF!,"AAAAAH373nc=")</f>
        <v>#REF!</v>
      </c>
      <c r="DQ343" t="e">
        <f>AND(#REF!,"AAAAAH373ng=")</f>
        <v>#REF!</v>
      </c>
      <c r="DR343" t="e">
        <f>AND(#REF!,"AAAAAH373nk=")</f>
        <v>#REF!</v>
      </c>
      <c r="DS343" t="e">
        <f>AND(#REF!,"AAAAAH373no=")</f>
        <v>#REF!</v>
      </c>
      <c r="DT343" t="e">
        <f>AND(#REF!,"AAAAAH373ns=")</f>
        <v>#REF!</v>
      </c>
      <c r="DU343" t="e">
        <f>AND(#REF!,"AAAAAH373nw=")</f>
        <v>#REF!</v>
      </c>
      <c r="DV343" t="e">
        <f>AND(#REF!,"AAAAAH373n0=")</f>
        <v>#REF!</v>
      </c>
      <c r="DW343" t="e">
        <f>AND(#REF!,"AAAAAH373n4=")</f>
        <v>#REF!</v>
      </c>
      <c r="DX343" t="e">
        <f>IF(#REF!,"AAAAAH373n8=",0)</f>
        <v>#REF!</v>
      </c>
      <c r="DY343" t="e">
        <f>AND(#REF!,"AAAAAH373oA=")</f>
        <v>#REF!</v>
      </c>
      <c r="DZ343" t="e">
        <f>AND(#REF!,"AAAAAH373oE=")</f>
        <v>#REF!</v>
      </c>
      <c r="EA343" t="e">
        <f>AND(#REF!,"AAAAAH373oI=")</f>
        <v>#REF!</v>
      </c>
      <c r="EB343" t="e">
        <f>AND(#REF!,"AAAAAH373oM=")</f>
        <v>#REF!</v>
      </c>
      <c r="EC343" t="e">
        <f>AND(#REF!,"AAAAAH373oQ=")</f>
        <v>#REF!</v>
      </c>
      <c r="ED343" t="e">
        <f>AND(#REF!,"AAAAAH373oU=")</f>
        <v>#REF!</v>
      </c>
      <c r="EE343" t="e">
        <f>AND(#REF!,"AAAAAH373oY=")</f>
        <v>#REF!</v>
      </c>
      <c r="EF343" t="e">
        <f>AND(#REF!,"AAAAAH373oc=")</f>
        <v>#REF!</v>
      </c>
      <c r="EG343" t="e">
        <f>IF(#REF!,"AAAAAH373og=",0)</f>
        <v>#REF!</v>
      </c>
      <c r="EH343" t="e">
        <f>AND(#REF!,"AAAAAH373ok=")</f>
        <v>#REF!</v>
      </c>
      <c r="EI343" t="e">
        <f>AND(#REF!,"AAAAAH373oo=")</f>
        <v>#REF!</v>
      </c>
      <c r="EJ343" t="e">
        <f>AND(#REF!,"AAAAAH373os=")</f>
        <v>#REF!</v>
      </c>
      <c r="EK343" t="e">
        <f>AND(#REF!,"AAAAAH373ow=")</f>
        <v>#REF!</v>
      </c>
      <c r="EL343" t="e">
        <f>AND(#REF!,"AAAAAH373o0=")</f>
        <v>#REF!</v>
      </c>
      <c r="EM343" t="e">
        <f>AND(#REF!,"AAAAAH373o4=")</f>
        <v>#REF!</v>
      </c>
      <c r="EN343" t="e">
        <f>AND(#REF!,"AAAAAH373o8=")</f>
        <v>#REF!</v>
      </c>
      <c r="EO343" t="e">
        <f>AND(#REF!,"AAAAAH373pA=")</f>
        <v>#REF!</v>
      </c>
      <c r="EP343" t="e">
        <f>IF(#REF!,"AAAAAH373pE=",0)</f>
        <v>#REF!</v>
      </c>
      <c r="EQ343" t="e">
        <f>AND(#REF!,"AAAAAH373pI=")</f>
        <v>#REF!</v>
      </c>
      <c r="ER343" t="e">
        <f>AND(#REF!,"AAAAAH373pM=")</f>
        <v>#REF!</v>
      </c>
      <c r="ES343" t="e">
        <f>AND(#REF!,"AAAAAH373pQ=")</f>
        <v>#REF!</v>
      </c>
      <c r="ET343" t="e">
        <f>AND(#REF!,"AAAAAH373pU=")</f>
        <v>#REF!</v>
      </c>
      <c r="EU343" t="e">
        <f>AND(#REF!,"AAAAAH373pY=")</f>
        <v>#REF!</v>
      </c>
      <c r="EV343" t="e">
        <f>AND(#REF!,"AAAAAH373pc=")</f>
        <v>#REF!</v>
      </c>
      <c r="EW343" t="e">
        <f>AND(#REF!,"AAAAAH373pg=")</f>
        <v>#REF!</v>
      </c>
      <c r="EX343" t="e">
        <f>AND(#REF!,"AAAAAH373pk=")</f>
        <v>#REF!</v>
      </c>
      <c r="EY343" t="e">
        <f>IF(#REF!,"AAAAAH373po=",0)</f>
        <v>#REF!</v>
      </c>
      <c r="EZ343" t="e">
        <f>AND(#REF!,"AAAAAH373ps=")</f>
        <v>#REF!</v>
      </c>
      <c r="FA343" t="e">
        <f>AND(#REF!,"AAAAAH373pw=")</f>
        <v>#REF!</v>
      </c>
      <c r="FB343" t="e">
        <f>AND(#REF!,"AAAAAH373p0=")</f>
        <v>#REF!</v>
      </c>
      <c r="FC343" t="e">
        <f>AND(#REF!,"AAAAAH373p4=")</f>
        <v>#REF!</v>
      </c>
      <c r="FD343" t="e">
        <f>AND(#REF!,"AAAAAH373p8=")</f>
        <v>#REF!</v>
      </c>
      <c r="FE343" t="e">
        <f>AND(#REF!,"AAAAAH373qA=")</f>
        <v>#REF!</v>
      </c>
      <c r="FF343" t="e">
        <f>AND(#REF!,"AAAAAH373qE=")</f>
        <v>#REF!</v>
      </c>
      <c r="FG343" t="e">
        <f>AND(#REF!,"AAAAAH373qI=")</f>
        <v>#REF!</v>
      </c>
      <c r="FH343" t="e">
        <f>IF(#REF!,"AAAAAH373qM=",0)</f>
        <v>#REF!</v>
      </c>
      <c r="FI343" t="e">
        <f>AND(#REF!,"AAAAAH373qQ=")</f>
        <v>#REF!</v>
      </c>
      <c r="FJ343" t="e">
        <f>AND(#REF!,"AAAAAH373qU=")</f>
        <v>#REF!</v>
      </c>
      <c r="FK343" t="e">
        <f>AND(#REF!,"AAAAAH373qY=")</f>
        <v>#REF!</v>
      </c>
      <c r="FL343" t="e">
        <f>AND(#REF!,"AAAAAH373qc=")</f>
        <v>#REF!</v>
      </c>
      <c r="FM343" t="e">
        <f>AND(#REF!,"AAAAAH373qg=")</f>
        <v>#REF!</v>
      </c>
      <c r="FN343" t="e">
        <f>AND(#REF!,"AAAAAH373qk=")</f>
        <v>#REF!</v>
      </c>
      <c r="FO343" t="e">
        <f>AND(#REF!,"AAAAAH373qo=")</f>
        <v>#REF!</v>
      </c>
      <c r="FP343" t="e">
        <f>AND(#REF!,"AAAAAH373qs=")</f>
        <v>#REF!</v>
      </c>
      <c r="FQ343" t="e">
        <f>IF(#REF!,"AAAAAH373qw=",0)</f>
        <v>#REF!</v>
      </c>
      <c r="FR343" t="e">
        <f>AND(#REF!,"AAAAAH373q0=")</f>
        <v>#REF!</v>
      </c>
      <c r="FS343" t="e">
        <f>AND(#REF!,"AAAAAH373q4=")</f>
        <v>#REF!</v>
      </c>
      <c r="FT343" t="e">
        <f>AND(#REF!,"AAAAAH373q8=")</f>
        <v>#REF!</v>
      </c>
      <c r="FU343" t="e">
        <f>AND(#REF!,"AAAAAH373rA=")</f>
        <v>#REF!</v>
      </c>
      <c r="FV343" t="e">
        <f>AND(#REF!,"AAAAAH373rE=")</f>
        <v>#REF!</v>
      </c>
      <c r="FW343" t="e">
        <f>AND(#REF!,"AAAAAH373rI=")</f>
        <v>#REF!</v>
      </c>
      <c r="FX343" t="e">
        <f>AND(#REF!,"AAAAAH373rM=")</f>
        <v>#REF!</v>
      </c>
      <c r="FY343" t="e">
        <f>AND(#REF!,"AAAAAH373rQ=")</f>
        <v>#REF!</v>
      </c>
      <c r="FZ343" t="e">
        <f>IF(#REF!,"AAAAAH373rU=",0)</f>
        <v>#REF!</v>
      </c>
      <c r="GA343" t="e">
        <f>AND(#REF!,"AAAAAH373rY=")</f>
        <v>#REF!</v>
      </c>
      <c r="GB343" t="e">
        <f>AND(#REF!,"AAAAAH373rc=")</f>
        <v>#REF!</v>
      </c>
      <c r="GC343" t="e">
        <f>AND(#REF!,"AAAAAH373rg=")</f>
        <v>#REF!</v>
      </c>
      <c r="GD343" t="e">
        <f>AND(#REF!,"AAAAAH373rk=")</f>
        <v>#REF!</v>
      </c>
      <c r="GE343" t="e">
        <f>AND(#REF!,"AAAAAH373ro=")</f>
        <v>#REF!</v>
      </c>
      <c r="GF343" t="e">
        <f>AND(#REF!,"AAAAAH373rs=")</f>
        <v>#REF!</v>
      </c>
      <c r="GG343" t="e">
        <f>AND(#REF!,"AAAAAH373rw=")</f>
        <v>#REF!</v>
      </c>
      <c r="GH343" t="e">
        <f>AND(#REF!,"AAAAAH373r0=")</f>
        <v>#REF!</v>
      </c>
      <c r="GI343" t="e">
        <f>IF(#REF!,"AAAAAH373r4=",0)</f>
        <v>#REF!</v>
      </c>
      <c r="GJ343" t="e">
        <f>AND(#REF!,"AAAAAH373r8=")</f>
        <v>#REF!</v>
      </c>
      <c r="GK343" t="e">
        <f>AND(#REF!,"AAAAAH373sA=")</f>
        <v>#REF!</v>
      </c>
      <c r="GL343" t="e">
        <f>AND(#REF!,"AAAAAH373sE=")</f>
        <v>#REF!</v>
      </c>
      <c r="GM343" t="e">
        <f>AND(#REF!,"AAAAAH373sI=")</f>
        <v>#REF!</v>
      </c>
      <c r="GN343" t="e">
        <f>AND(#REF!,"AAAAAH373sM=")</f>
        <v>#REF!</v>
      </c>
      <c r="GO343" t="e">
        <f>AND(#REF!,"AAAAAH373sQ=")</f>
        <v>#REF!</v>
      </c>
      <c r="GP343" t="e">
        <f>AND(#REF!,"AAAAAH373sU=")</f>
        <v>#REF!</v>
      </c>
      <c r="GQ343" t="e">
        <f>AND(#REF!,"AAAAAH373sY=")</f>
        <v>#REF!</v>
      </c>
      <c r="GR343" t="e">
        <f>IF(#REF!,"AAAAAH373sc=",0)</f>
        <v>#REF!</v>
      </c>
      <c r="GS343" t="e">
        <f>AND(#REF!,"AAAAAH373sg=")</f>
        <v>#REF!</v>
      </c>
      <c r="GT343" t="e">
        <f>AND(#REF!,"AAAAAH373sk=")</f>
        <v>#REF!</v>
      </c>
      <c r="GU343" t="e">
        <f>AND(#REF!,"AAAAAH373so=")</f>
        <v>#REF!</v>
      </c>
      <c r="GV343" t="e">
        <f>AND(#REF!,"AAAAAH373ss=")</f>
        <v>#REF!</v>
      </c>
      <c r="GW343" t="e">
        <f>AND(#REF!,"AAAAAH373sw=")</f>
        <v>#REF!</v>
      </c>
      <c r="GX343" t="e">
        <f>AND(#REF!,"AAAAAH373s0=")</f>
        <v>#REF!</v>
      </c>
      <c r="GY343" t="e">
        <f>AND(#REF!,"AAAAAH373s4=")</f>
        <v>#REF!</v>
      </c>
      <c r="GZ343" t="e">
        <f>AND(#REF!,"AAAAAH373s8=")</f>
        <v>#REF!</v>
      </c>
      <c r="HA343" t="e">
        <f>IF(#REF!,"AAAAAH373tA=",0)</f>
        <v>#REF!</v>
      </c>
      <c r="HB343" t="e">
        <f>AND(#REF!,"AAAAAH373tE=")</f>
        <v>#REF!</v>
      </c>
      <c r="HC343" t="e">
        <f>AND(#REF!,"AAAAAH373tI=")</f>
        <v>#REF!</v>
      </c>
      <c r="HD343" t="e">
        <f>AND(#REF!,"AAAAAH373tM=")</f>
        <v>#REF!</v>
      </c>
      <c r="HE343" t="e">
        <f>AND(#REF!,"AAAAAH373tQ=")</f>
        <v>#REF!</v>
      </c>
      <c r="HF343" t="e">
        <f>AND(#REF!,"AAAAAH373tU=")</f>
        <v>#REF!</v>
      </c>
      <c r="HG343" t="e">
        <f>AND(#REF!,"AAAAAH373tY=")</f>
        <v>#REF!</v>
      </c>
      <c r="HH343" t="e">
        <f>AND(#REF!,"AAAAAH373tc=")</f>
        <v>#REF!</v>
      </c>
      <c r="HI343" t="e">
        <f>AND(#REF!,"AAAAAH373tg=")</f>
        <v>#REF!</v>
      </c>
      <c r="HJ343" t="e">
        <f>IF(#REF!,"AAAAAH373tk=",0)</f>
        <v>#REF!</v>
      </c>
      <c r="HK343" t="e">
        <f>AND(#REF!,"AAAAAH373to=")</f>
        <v>#REF!</v>
      </c>
      <c r="HL343" t="e">
        <f>AND(#REF!,"AAAAAH373ts=")</f>
        <v>#REF!</v>
      </c>
      <c r="HM343" t="e">
        <f>AND(#REF!,"AAAAAH373tw=")</f>
        <v>#REF!</v>
      </c>
      <c r="HN343" t="e">
        <f>AND(#REF!,"AAAAAH373t0=")</f>
        <v>#REF!</v>
      </c>
      <c r="HO343" t="e">
        <f>AND(#REF!,"AAAAAH373t4=")</f>
        <v>#REF!</v>
      </c>
      <c r="HP343" t="e">
        <f>AND(#REF!,"AAAAAH373t8=")</f>
        <v>#REF!</v>
      </c>
      <c r="HQ343" t="e">
        <f>AND(#REF!,"AAAAAH373uA=")</f>
        <v>#REF!</v>
      </c>
      <c r="HR343" t="e">
        <f>AND(#REF!,"AAAAAH373uE=")</f>
        <v>#REF!</v>
      </c>
      <c r="HS343" t="e">
        <f>IF(#REF!,"AAAAAH373uI=",0)</f>
        <v>#REF!</v>
      </c>
      <c r="HT343" t="e">
        <f>AND(#REF!,"AAAAAH373uM=")</f>
        <v>#REF!</v>
      </c>
      <c r="HU343" t="e">
        <f>AND(#REF!,"AAAAAH373uQ=")</f>
        <v>#REF!</v>
      </c>
      <c r="HV343" t="e">
        <f>AND(#REF!,"AAAAAH373uU=")</f>
        <v>#REF!</v>
      </c>
      <c r="HW343" t="e">
        <f>AND(#REF!,"AAAAAH373uY=")</f>
        <v>#REF!</v>
      </c>
      <c r="HX343" t="e">
        <f>AND(#REF!,"AAAAAH373uc=")</f>
        <v>#REF!</v>
      </c>
      <c r="HY343" t="e">
        <f>AND(#REF!,"AAAAAH373ug=")</f>
        <v>#REF!</v>
      </c>
      <c r="HZ343" t="e">
        <f>AND(#REF!,"AAAAAH373uk=")</f>
        <v>#REF!</v>
      </c>
      <c r="IA343" t="e">
        <f>AND(#REF!,"AAAAAH373uo=")</f>
        <v>#REF!</v>
      </c>
      <c r="IB343" t="e">
        <f>IF(#REF!,"AAAAAH373us=",0)</f>
        <v>#REF!</v>
      </c>
      <c r="IC343" t="e">
        <f>AND(#REF!,"AAAAAH373uw=")</f>
        <v>#REF!</v>
      </c>
      <c r="ID343" t="e">
        <f>AND(#REF!,"AAAAAH373u0=")</f>
        <v>#REF!</v>
      </c>
      <c r="IE343" t="e">
        <f>AND(#REF!,"AAAAAH373u4=")</f>
        <v>#REF!</v>
      </c>
      <c r="IF343" t="e">
        <f>AND(#REF!,"AAAAAH373u8=")</f>
        <v>#REF!</v>
      </c>
      <c r="IG343" t="e">
        <f>AND(#REF!,"AAAAAH373vA=")</f>
        <v>#REF!</v>
      </c>
      <c r="IH343" t="e">
        <f>AND(#REF!,"AAAAAH373vE=")</f>
        <v>#REF!</v>
      </c>
      <c r="II343" t="e">
        <f>AND(#REF!,"AAAAAH373vI=")</f>
        <v>#REF!</v>
      </c>
      <c r="IJ343" t="e">
        <f>AND(#REF!,"AAAAAH373vM=")</f>
        <v>#REF!</v>
      </c>
      <c r="IK343" t="e">
        <f>IF(#REF!,"AAAAAH373vQ=",0)</f>
        <v>#REF!</v>
      </c>
      <c r="IL343" t="e">
        <f>AND(#REF!,"AAAAAH373vU=")</f>
        <v>#REF!</v>
      </c>
      <c r="IM343" t="e">
        <f>AND(#REF!,"AAAAAH373vY=")</f>
        <v>#REF!</v>
      </c>
      <c r="IN343" t="e">
        <f>AND(#REF!,"AAAAAH373vc=")</f>
        <v>#REF!</v>
      </c>
      <c r="IO343" t="e">
        <f>AND(#REF!,"AAAAAH373vg=")</f>
        <v>#REF!</v>
      </c>
      <c r="IP343" t="e">
        <f>AND(#REF!,"AAAAAH373vk=")</f>
        <v>#REF!</v>
      </c>
      <c r="IQ343" t="e">
        <f>AND(#REF!,"AAAAAH373vo=")</f>
        <v>#REF!</v>
      </c>
      <c r="IR343" t="e">
        <f>AND(#REF!,"AAAAAH373vs=")</f>
        <v>#REF!</v>
      </c>
      <c r="IS343" t="e">
        <f>AND(#REF!,"AAAAAH373vw=")</f>
        <v>#REF!</v>
      </c>
      <c r="IT343" t="e">
        <f>IF(#REF!,"AAAAAH373v0=",0)</f>
        <v>#REF!</v>
      </c>
      <c r="IU343" t="e">
        <f>AND(#REF!,"AAAAAH373v4=")</f>
        <v>#REF!</v>
      </c>
      <c r="IV343" t="e">
        <f>AND(#REF!,"AAAAAH373v8=")</f>
        <v>#REF!</v>
      </c>
    </row>
    <row r="344" spans="1:256">
      <c r="A344" t="e">
        <f>AND(#REF!,"AAAAAGtvnwA=")</f>
        <v>#REF!</v>
      </c>
      <c r="B344" t="e">
        <f>AND(#REF!,"AAAAAGtvnwE=")</f>
        <v>#REF!</v>
      </c>
      <c r="C344" t="e">
        <f>AND(#REF!,"AAAAAGtvnwI=")</f>
        <v>#REF!</v>
      </c>
      <c r="D344" t="e">
        <f>AND(#REF!,"AAAAAGtvnwM=")</f>
        <v>#REF!</v>
      </c>
      <c r="E344" t="e">
        <f>AND(#REF!,"AAAAAGtvnwQ=")</f>
        <v>#REF!</v>
      </c>
      <c r="F344" t="e">
        <f>AND(#REF!,"AAAAAGtvnwU=")</f>
        <v>#REF!</v>
      </c>
      <c r="G344" t="e">
        <f>IF(#REF!,"AAAAAGtvnwY=",0)</f>
        <v>#REF!</v>
      </c>
      <c r="H344" t="e">
        <f>AND(#REF!,"AAAAAGtvnwc=")</f>
        <v>#REF!</v>
      </c>
      <c r="I344" t="e">
        <f>AND(#REF!,"AAAAAGtvnwg=")</f>
        <v>#REF!</v>
      </c>
      <c r="J344" t="e">
        <f>AND(#REF!,"AAAAAGtvnwk=")</f>
        <v>#REF!</v>
      </c>
      <c r="K344" t="e">
        <f>AND(#REF!,"AAAAAGtvnwo=")</f>
        <v>#REF!</v>
      </c>
      <c r="L344" t="e">
        <f>AND(#REF!,"AAAAAGtvnws=")</f>
        <v>#REF!</v>
      </c>
      <c r="M344" t="e">
        <f>AND(#REF!,"AAAAAGtvnww=")</f>
        <v>#REF!</v>
      </c>
      <c r="N344" t="e">
        <f>AND(#REF!,"AAAAAGtvnw0=")</f>
        <v>#REF!</v>
      </c>
      <c r="O344" t="e">
        <f>AND(#REF!,"AAAAAGtvnw4=")</f>
        <v>#REF!</v>
      </c>
      <c r="P344" t="e">
        <f>IF(#REF!,"AAAAAGtvnw8=",0)</f>
        <v>#REF!</v>
      </c>
      <c r="Q344" t="e">
        <f>AND(#REF!,"AAAAAGtvnxA=")</f>
        <v>#REF!</v>
      </c>
      <c r="R344" t="e">
        <f>AND(#REF!,"AAAAAGtvnxE=")</f>
        <v>#REF!</v>
      </c>
      <c r="S344" t="e">
        <f>AND(#REF!,"AAAAAGtvnxI=")</f>
        <v>#REF!</v>
      </c>
      <c r="T344" t="e">
        <f>AND(#REF!,"AAAAAGtvnxM=")</f>
        <v>#REF!</v>
      </c>
      <c r="U344" t="e">
        <f>AND(#REF!,"AAAAAGtvnxQ=")</f>
        <v>#REF!</v>
      </c>
      <c r="V344" t="e">
        <f>AND(#REF!,"AAAAAGtvnxU=")</f>
        <v>#REF!</v>
      </c>
      <c r="W344" t="e">
        <f>AND(#REF!,"AAAAAGtvnxY=")</f>
        <v>#REF!</v>
      </c>
      <c r="X344" t="e">
        <f>AND(#REF!,"AAAAAGtvnxc=")</f>
        <v>#REF!</v>
      </c>
      <c r="Y344" t="e">
        <f>IF(#REF!,"AAAAAGtvnxg=",0)</f>
        <v>#REF!</v>
      </c>
      <c r="Z344" t="e">
        <f>AND(#REF!,"AAAAAGtvnxk=")</f>
        <v>#REF!</v>
      </c>
      <c r="AA344" t="e">
        <f>AND(#REF!,"AAAAAGtvnxo=")</f>
        <v>#REF!</v>
      </c>
      <c r="AB344" t="e">
        <f>AND(#REF!,"AAAAAGtvnxs=")</f>
        <v>#REF!</v>
      </c>
      <c r="AC344" t="e">
        <f>AND(#REF!,"AAAAAGtvnxw=")</f>
        <v>#REF!</v>
      </c>
      <c r="AD344" t="e">
        <f>AND(#REF!,"AAAAAGtvnx0=")</f>
        <v>#REF!</v>
      </c>
      <c r="AE344" t="e">
        <f>AND(#REF!,"AAAAAGtvnx4=")</f>
        <v>#REF!</v>
      </c>
      <c r="AF344" t="e">
        <f>AND(#REF!,"AAAAAGtvnx8=")</f>
        <v>#REF!</v>
      </c>
      <c r="AG344" t="e">
        <f>AND(#REF!,"AAAAAGtvnyA=")</f>
        <v>#REF!</v>
      </c>
      <c r="AH344" t="e">
        <f>IF(#REF!,"AAAAAGtvnyE=",0)</f>
        <v>#REF!</v>
      </c>
      <c r="AI344" t="e">
        <f>AND(#REF!,"AAAAAGtvnyI=")</f>
        <v>#REF!</v>
      </c>
      <c r="AJ344" t="e">
        <f>AND(#REF!,"AAAAAGtvnyM=")</f>
        <v>#REF!</v>
      </c>
      <c r="AK344" t="e">
        <f>AND(#REF!,"AAAAAGtvnyQ=")</f>
        <v>#REF!</v>
      </c>
      <c r="AL344" t="e">
        <f>AND(#REF!,"AAAAAGtvnyU=")</f>
        <v>#REF!</v>
      </c>
      <c r="AM344" t="e">
        <f>AND(#REF!,"AAAAAGtvnyY=")</f>
        <v>#REF!</v>
      </c>
      <c r="AN344" t="e">
        <f>AND(#REF!,"AAAAAGtvnyc=")</f>
        <v>#REF!</v>
      </c>
      <c r="AO344" t="e">
        <f>AND(#REF!,"AAAAAGtvnyg=")</f>
        <v>#REF!</v>
      </c>
      <c r="AP344" t="e">
        <f>AND(#REF!,"AAAAAGtvnyk=")</f>
        <v>#REF!</v>
      </c>
      <c r="AQ344" t="e">
        <f>IF(#REF!,"AAAAAGtvnyo=",0)</f>
        <v>#REF!</v>
      </c>
      <c r="AR344" t="e">
        <f>AND(#REF!,"AAAAAGtvnys=")</f>
        <v>#REF!</v>
      </c>
      <c r="AS344" t="e">
        <f>AND(#REF!,"AAAAAGtvnyw=")</f>
        <v>#REF!</v>
      </c>
      <c r="AT344" t="e">
        <f>AND(#REF!,"AAAAAGtvny0=")</f>
        <v>#REF!</v>
      </c>
      <c r="AU344" t="e">
        <f>AND(#REF!,"AAAAAGtvny4=")</f>
        <v>#REF!</v>
      </c>
      <c r="AV344" t="e">
        <f>AND(#REF!,"AAAAAGtvny8=")</f>
        <v>#REF!</v>
      </c>
      <c r="AW344" t="e">
        <f>AND(#REF!,"AAAAAGtvnzA=")</f>
        <v>#REF!</v>
      </c>
      <c r="AX344" t="e">
        <f>AND(#REF!,"AAAAAGtvnzE=")</f>
        <v>#REF!</v>
      </c>
      <c r="AY344" t="e">
        <f>AND(#REF!,"AAAAAGtvnzI=")</f>
        <v>#REF!</v>
      </c>
      <c r="AZ344" t="e">
        <f>IF(#REF!,"AAAAAGtvnzM=",0)</f>
        <v>#REF!</v>
      </c>
      <c r="BA344" t="e">
        <f>AND(#REF!,"AAAAAGtvnzQ=")</f>
        <v>#REF!</v>
      </c>
      <c r="BB344" t="e">
        <f>AND(#REF!,"AAAAAGtvnzU=")</f>
        <v>#REF!</v>
      </c>
      <c r="BC344" t="e">
        <f>AND(#REF!,"AAAAAGtvnzY=")</f>
        <v>#REF!</v>
      </c>
      <c r="BD344" t="e">
        <f>AND(#REF!,"AAAAAGtvnzc=")</f>
        <v>#REF!</v>
      </c>
      <c r="BE344" t="e">
        <f>AND(#REF!,"AAAAAGtvnzg=")</f>
        <v>#REF!</v>
      </c>
      <c r="BF344" t="e">
        <f>AND(#REF!,"AAAAAGtvnzk=")</f>
        <v>#REF!</v>
      </c>
      <c r="BG344" t="e">
        <f>AND(#REF!,"AAAAAGtvnzo=")</f>
        <v>#REF!</v>
      </c>
      <c r="BH344" t="e">
        <f>AND(#REF!,"AAAAAGtvnzs=")</f>
        <v>#REF!</v>
      </c>
      <c r="BI344" t="e">
        <f>IF(#REF!,"AAAAAGtvnzw=",0)</f>
        <v>#REF!</v>
      </c>
      <c r="BJ344" t="e">
        <f>AND(#REF!,"AAAAAGtvnz0=")</f>
        <v>#REF!</v>
      </c>
      <c r="BK344" t="e">
        <f>AND(#REF!,"AAAAAGtvnz4=")</f>
        <v>#REF!</v>
      </c>
      <c r="BL344" t="e">
        <f>AND(#REF!,"AAAAAGtvnz8=")</f>
        <v>#REF!</v>
      </c>
      <c r="BM344" t="e">
        <f>AND(#REF!,"AAAAAGtvn0A=")</f>
        <v>#REF!</v>
      </c>
      <c r="BN344" t="e">
        <f>AND(#REF!,"AAAAAGtvn0E=")</f>
        <v>#REF!</v>
      </c>
      <c r="BO344" t="e">
        <f>AND(#REF!,"AAAAAGtvn0I=")</f>
        <v>#REF!</v>
      </c>
      <c r="BP344" t="e">
        <f>AND(#REF!,"AAAAAGtvn0M=")</f>
        <v>#REF!</v>
      </c>
      <c r="BQ344" t="e">
        <f>AND(#REF!,"AAAAAGtvn0Q=")</f>
        <v>#REF!</v>
      </c>
      <c r="BR344" t="e">
        <f>IF(#REF!,"AAAAAGtvn0U=",0)</f>
        <v>#REF!</v>
      </c>
      <c r="BS344" t="e">
        <f>AND(#REF!,"AAAAAGtvn0Y=")</f>
        <v>#REF!</v>
      </c>
      <c r="BT344" t="e">
        <f>AND(#REF!,"AAAAAGtvn0c=")</f>
        <v>#REF!</v>
      </c>
      <c r="BU344" t="e">
        <f>AND(#REF!,"AAAAAGtvn0g=")</f>
        <v>#REF!</v>
      </c>
      <c r="BV344" t="e">
        <f>AND(#REF!,"AAAAAGtvn0k=")</f>
        <v>#REF!</v>
      </c>
      <c r="BW344" t="e">
        <f>AND(#REF!,"AAAAAGtvn0o=")</f>
        <v>#REF!</v>
      </c>
      <c r="BX344" t="e">
        <f>AND(#REF!,"AAAAAGtvn0s=")</f>
        <v>#REF!</v>
      </c>
      <c r="BY344" t="e">
        <f>AND(#REF!,"AAAAAGtvn0w=")</f>
        <v>#REF!</v>
      </c>
      <c r="BZ344" t="e">
        <f>AND(#REF!,"AAAAAGtvn00=")</f>
        <v>#REF!</v>
      </c>
      <c r="CA344" t="e">
        <f>IF(#REF!,"AAAAAGtvn04=",0)</f>
        <v>#REF!</v>
      </c>
      <c r="CB344" t="e">
        <f>AND(#REF!,"AAAAAGtvn08=")</f>
        <v>#REF!</v>
      </c>
      <c r="CC344" t="e">
        <f>AND(#REF!,"AAAAAGtvn1A=")</f>
        <v>#REF!</v>
      </c>
      <c r="CD344" t="e">
        <f>AND(#REF!,"AAAAAGtvn1E=")</f>
        <v>#REF!</v>
      </c>
      <c r="CE344" t="e">
        <f>AND(#REF!,"AAAAAGtvn1I=")</f>
        <v>#REF!</v>
      </c>
      <c r="CF344" t="e">
        <f>AND(#REF!,"AAAAAGtvn1M=")</f>
        <v>#REF!</v>
      </c>
      <c r="CG344" t="e">
        <f>AND(#REF!,"AAAAAGtvn1Q=")</f>
        <v>#REF!</v>
      </c>
      <c r="CH344" t="e">
        <f>AND(#REF!,"AAAAAGtvn1U=")</f>
        <v>#REF!</v>
      </c>
      <c r="CI344" t="e">
        <f>AND(#REF!,"AAAAAGtvn1Y=")</f>
        <v>#REF!</v>
      </c>
      <c r="CJ344" t="e">
        <f>IF(#REF!,"AAAAAGtvn1c=",0)</f>
        <v>#REF!</v>
      </c>
      <c r="CK344" t="e">
        <f>AND(#REF!,"AAAAAGtvn1g=")</f>
        <v>#REF!</v>
      </c>
      <c r="CL344" t="e">
        <f>AND(#REF!,"AAAAAGtvn1k=")</f>
        <v>#REF!</v>
      </c>
      <c r="CM344" t="e">
        <f>AND(#REF!,"AAAAAGtvn1o=")</f>
        <v>#REF!</v>
      </c>
      <c r="CN344" t="e">
        <f>AND(#REF!,"AAAAAGtvn1s=")</f>
        <v>#REF!</v>
      </c>
      <c r="CO344" t="e">
        <f>AND(#REF!,"AAAAAGtvn1w=")</f>
        <v>#REF!</v>
      </c>
      <c r="CP344" t="e">
        <f>AND(#REF!,"AAAAAGtvn10=")</f>
        <v>#REF!</v>
      </c>
      <c r="CQ344" t="e">
        <f>AND(#REF!,"AAAAAGtvn14=")</f>
        <v>#REF!</v>
      </c>
      <c r="CR344" t="e">
        <f>AND(#REF!,"AAAAAGtvn18=")</f>
        <v>#REF!</v>
      </c>
      <c r="CS344" t="e">
        <f>IF(#REF!,"AAAAAGtvn2A=",0)</f>
        <v>#REF!</v>
      </c>
      <c r="CT344" t="e">
        <f>AND(#REF!,"AAAAAGtvn2E=")</f>
        <v>#REF!</v>
      </c>
      <c r="CU344" t="e">
        <f>AND(#REF!,"AAAAAGtvn2I=")</f>
        <v>#REF!</v>
      </c>
      <c r="CV344" t="e">
        <f>AND(#REF!,"AAAAAGtvn2M=")</f>
        <v>#REF!</v>
      </c>
      <c r="CW344" t="e">
        <f>AND(#REF!,"AAAAAGtvn2Q=")</f>
        <v>#REF!</v>
      </c>
      <c r="CX344" t="e">
        <f>AND(#REF!,"AAAAAGtvn2U=")</f>
        <v>#REF!</v>
      </c>
      <c r="CY344" t="e">
        <f>AND(#REF!,"AAAAAGtvn2Y=")</f>
        <v>#REF!</v>
      </c>
      <c r="CZ344" t="e">
        <f>AND(#REF!,"AAAAAGtvn2c=")</f>
        <v>#REF!</v>
      </c>
      <c r="DA344" t="e">
        <f>AND(#REF!,"AAAAAGtvn2g=")</f>
        <v>#REF!</v>
      </c>
      <c r="DB344" t="e">
        <f>IF(#REF!,"AAAAAGtvn2k=",0)</f>
        <v>#REF!</v>
      </c>
      <c r="DC344" t="e">
        <f>AND(#REF!,"AAAAAGtvn2o=")</f>
        <v>#REF!</v>
      </c>
      <c r="DD344" t="e">
        <f>AND(#REF!,"AAAAAGtvn2s=")</f>
        <v>#REF!</v>
      </c>
      <c r="DE344" t="e">
        <f>AND(#REF!,"AAAAAGtvn2w=")</f>
        <v>#REF!</v>
      </c>
      <c r="DF344" t="e">
        <f>AND(#REF!,"AAAAAGtvn20=")</f>
        <v>#REF!</v>
      </c>
      <c r="DG344" t="e">
        <f>AND(#REF!,"AAAAAGtvn24=")</f>
        <v>#REF!</v>
      </c>
      <c r="DH344" t="e">
        <f>AND(#REF!,"AAAAAGtvn28=")</f>
        <v>#REF!</v>
      </c>
      <c r="DI344" t="e">
        <f>AND(#REF!,"AAAAAGtvn3A=")</f>
        <v>#REF!</v>
      </c>
      <c r="DJ344" t="e">
        <f>AND(#REF!,"AAAAAGtvn3E=")</f>
        <v>#REF!</v>
      </c>
      <c r="DK344" t="e">
        <f>IF(#REF!,"AAAAAGtvn3I=",0)</f>
        <v>#REF!</v>
      </c>
      <c r="DL344" t="e">
        <f>AND(#REF!,"AAAAAGtvn3M=")</f>
        <v>#REF!</v>
      </c>
      <c r="DM344" t="e">
        <f>AND(#REF!,"AAAAAGtvn3Q=")</f>
        <v>#REF!</v>
      </c>
      <c r="DN344" t="e">
        <f>AND(#REF!,"AAAAAGtvn3U=")</f>
        <v>#REF!</v>
      </c>
      <c r="DO344" t="e">
        <f>AND(#REF!,"AAAAAGtvn3Y=")</f>
        <v>#REF!</v>
      </c>
      <c r="DP344" t="e">
        <f>AND(#REF!,"AAAAAGtvn3c=")</f>
        <v>#REF!</v>
      </c>
      <c r="DQ344" t="e">
        <f>AND(#REF!,"AAAAAGtvn3g=")</f>
        <v>#REF!</v>
      </c>
      <c r="DR344" t="e">
        <f>AND(#REF!,"AAAAAGtvn3k=")</f>
        <v>#REF!</v>
      </c>
      <c r="DS344" t="e">
        <f>AND(#REF!,"AAAAAGtvn3o=")</f>
        <v>#REF!</v>
      </c>
      <c r="DT344" t="e">
        <f>IF(#REF!,"AAAAAGtvn3s=",0)</f>
        <v>#REF!</v>
      </c>
      <c r="DU344" t="e">
        <f>AND(#REF!,"AAAAAGtvn3w=")</f>
        <v>#REF!</v>
      </c>
      <c r="DV344" t="e">
        <f>AND(#REF!,"AAAAAGtvn30=")</f>
        <v>#REF!</v>
      </c>
      <c r="DW344" t="e">
        <f>AND(#REF!,"AAAAAGtvn34=")</f>
        <v>#REF!</v>
      </c>
      <c r="DX344" t="e">
        <f>AND(#REF!,"AAAAAGtvn38=")</f>
        <v>#REF!</v>
      </c>
      <c r="DY344" t="e">
        <f>AND(#REF!,"AAAAAGtvn4A=")</f>
        <v>#REF!</v>
      </c>
      <c r="DZ344" t="e">
        <f>AND(#REF!,"AAAAAGtvn4E=")</f>
        <v>#REF!</v>
      </c>
      <c r="EA344" t="e">
        <f>AND(#REF!,"AAAAAGtvn4I=")</f>
        <v>#REF!</v>
      </c>
      <c r="EB344" t="e">
        <f>AND(#REF!,"AAAAAGtvn4M=")</f>
        <v>#REF!</v>
      </c>
      <c r="EC344" t="e">
        <f>IF(#REF!,"AAAAAGtvn4Q=",0)</f>
        <v>#REF!</v>
      </c>
      <c r="ED344" t="e">
        <f>AND(#REF!,"AAAAAGtvn4U=")</f>
        <v>#REF!</v>
      </c>
      <c r="EE344" t="e">
        <f>AND(#REF!,"AAAAAGtvn4Y=")</f>
        <v>#REF!</v>
      </c>
      <c r="EF344" t="e">
        <f>AND(#REF!,"AAAAAGtvn4c=")</f>
        <v>#REF!</v>
      </c>
      <c r="EG344" t="e">
        <f>AND(#REF!,"AAAAAGtvn4g=")</f>
        <v>#REF!</v>
      </c>
      <c r="EH344" t="e">
        <f>AND(#REF!,"AAAAAGtvn4k=")</f>
        <v>#REF!</v>
      </c>
      <c r="EI344" t="e">
        <f>AND(#REF!,"AAAAAGtvn4o=")</f>
        <v>#REF!</v>
      </c>
      <c r="EJ344" t="e">
        <f>AND(#REF!,"AAAAAGtvn4s=")</f>
        <v>#REF!</v>
      </c>
      <c r="EK344" t="e">
        <f>AND(#REF!,"AAAAAGtvn4w=")</f>
        <v>#REF!</v>
      </c>
      <c r="EL344" t="e">
        <f>IF(#REF!,"AAAAAGtvn40=",0)</f>
        <v>#REF!</v>
      </c>
      <c r="EM344" t="e">
        <f>AND(#REF!,"AAAAAGtvn44=")</f>
        <v>#REF!</v>
      </c>
      <c r="EN344" t="e">
        <f>AND(#REF!,"AAAAAGtvn48=")</f>
        <v>#REF!</v>
      </c>
      <c r="EO344" t="e">
        <f>AND(#REF!,"AAAAAGtvn5A=")</f>
        <v>#REF!</v>
      </c>
      <c r="EP344" t="e">
        <f>AND(#REF!,"AAAAAGtvn5E=")</f>
        <v>#REF!</v>
      </c>
      <c r="EQ344" t="e">
        <f>AND(#REF!,"AAAAAGtvn5I=")</f>
        <v>#REF!</v>
      </c>
      <c r="ER344" t="e">
        <f>AND(#REF!,"AAAAAGtvn5M=")</f>
        <v>#REF!</v>
      </c>
      <c r="ES344" t="e">
        <f>AND(#REF!,"AAAAAGtvn5Q=")</f>
        <v>#REF!</v>
      </c>
      <c r="ET344" t="e">
        <f>AND(#REF!,"AAAAAGtvn5U=")</f>
        <v>#REF!</v>
      </c>
      <c r="EU344" t="e">
        <f>IF(#REF!,"AAAAAGtvn5Y=",0)</f>
        <v>#REF!</v>
      </c>
      <c r="EV344" t="e">
        <f>AND(#REF!,"AAAAAGtvn5c=")</f>
        <v>#REF!</v>
      </c>
      <c r="EW344" t="e">
        <f>AND(#REF!,"AAAAAGtvn5g=")</f>
        <v>#REF!</v>
      </c>
      <c r="EX344" t="e">
        <f>AND(#REF!,"AAAAAGtvn5k=")</f>
        <v>#REF!</v>
      </c>
      <c r="EY344" t="e">
        <f>AND(#REF!,"AAAAAGtvn5o=")</f>
        <v>#REF!</v>
      </c>
      <c r="EZ344" t="e">
        <f>AND(#REF!,"AAAAAGtvn5s=")</f>
        <v>#REF!</v>
      </c>
      <c r="FA344" t="e">
        <f>AND(#REF!,"AAAAAGtvn5w=")</f>
        <v>#REF!</v>
      </c>
      <c r="FB344" t="e">
        <f>AND(#REF!,"AAAAAGtvn50=")</f>
        <v>#REF!</v>
      </c>
      <c r="FC344" t="e">
        <f>AND(#REF!,"AAAAAGtvn54=")</f>
        <v>#REF!</v>
      </c>
      <c r="FD344" t="e">
        <f>IF(#REF!,"AAAAAGtvn58=",0)</f>
        <v>#REF!</v>
      </c>
      <c r="FE344" t="e">
        <f>AND(#REF!,"AAAAAGtvn6A=")</f>
        <v>#REF!</v>
      </c>
      <c r="FF344" t="e">
        <f>AND(#REF!,"AAAAAGtvn6E=")</f>
        <v>#REF!</v>
      </c>
      <c r="FG344" t="e">
        <f>AND(#REF!,"AAAAAGtvn6I=")</f>
        <v>#REF!</v>
      </c>
      <c r="FH344" t="e">
        <f>AND(#REF!,"AAAAAGtvn6M=")</f>
        <v>#REF!</v>
      </c>
      <c r="FI344" t="e">
        <f>AND(#REF!,"AAAAAGtvn6Q=")</f>
        <v>#REF!</v>
      </c>
      <c r="FJ344" t="e">
        <f>AND(#REF!,"AAAAAGtvn6U=")</f>
        <v>#REF!</v>
      </c>
      <c r="FK344" t="e">
        <f>AND(#REF!,"AAAAAGtvn6Y=")</f>
        <v>#REF!</v>
      </c>
      <c r="FL344" t="e">
        <f>AND(#REF!,"AAAAAGtvn6c=")</f>
        <v>#REF!</v>
      </c>
      <c r="FM344" t="e">
        <f>IF(#REF!,"AAAAAGtvn6g=",0)</f>
        <v>#REF!</v>
      </c>
      <c r="FN344" t="e">
        <f>AND(#REF!,"AAAAAGtvn6k=")</f>
        <v>#REF!</v>
      </c>
      <c r="FO344" t="e">
        <f>AND(#REF!,"AAAAAGtvn6o=")</f>
        <v>#REF!</v>
      </c>
      <c r="FP344" t="e">
        <f>AND(#REF!,"AAAAAGtvn6s=")</f>
        <v>#REF!</v>
      </c>
      <c r="FQ344" t="e">
        <f>AND(#REF!,"AAAAAGtvn6w=")</f>
        <v>#REF!</v>
      </c>
      <c r="FR344" t="e">
        <f>AND(#REF!,"AAAAAGtvn60=")</f>
        <v>#REF!</v>
      </c>
      <c r="FS344" t="e">
        <f>AND(#REF!,"AAAAAGtvn64=")</f>
        <v>#REF!</v>
      </c>
      <c r="FT344" t="e">
        <f>AND(#REF!,"AAAAAGtvn68=")</f>
        <v>#REF!</v>
      </c>
      <c r="FU344" t="e">
        <f>AND(#REF!,"AAAAAGtvn7A=")</f>
        <v>#REF!</v>
      </c>
      <c r="FV344" t="e">
        <f>IF(#REF!,"AAAAAGtvn7E=",0)</f>
        <v>#REF!</v>
      </c>
      <c r="FW344" t="e">
        <f>AND(#REF!,"AAAAAGtvn7I=")</f>
        <v>#REF!</v>
      </c>
      <c r="FX344" t="e">
        <f>AND(#REF!,"AAAAAGtvn7M=")</f>
        <v>#REF!</v>
      </c>
      <c r="FY344" t="e">
        <f>AND(#REF!,"AAAAAGtvn7Q=")</f>
        <v>#REF!</v>
      </c>
      <c r="FZ344" t="e">
        <f>AND(#REF!,"AAAAAGtvn7U=")</f>
        <v>#REF!</v>
      </c>
      <c r="GA344" t="e">
        <f>AND(#REF!,"AAAAAGtvn7Y=")</f>
        <v>#REF!</v>
      </c>
      <c r="GB344" t="e">
        <f>AND(#REF!,"AAAAAGtvn7c=")</f>
        <v>#REF!</v>
      </c>
      <c r="GC344" t="e">
        <f>AND(#REF!,"AAAAAGtvn7g=")</f>
        <v>#REF!</v>
      </c>
      <c r="GD344" t="e">
        <f>AND(#REF!,"AAAAAGtvn7k=")</f>
        <v>#REF!</v>
      </c>
      <c r="GE344" t="e">
        <f>IF(#REF!,"AAAAAGtvn7o=",0)</f>
        <v>#REF!</v>
      </c>
      <c r="GF344" t="e">
        <f>AND(#REF!,"AAAAAGtvn7s=")</f>
        <v>#REF!</v>
      </c>
      <c r="GG344" t="e">
        <f>AND(#REF!,"AAAAAGtvn7w=")</f>
        <v>#REF!</v>
      </c>
      <c r="GH344" t="e">
        <f>AND(#REF!,"AAAAAGtvn70=")</f>
        <v>#REF!</v>
      </c>
      <c r="GI344" t="e">
        <f>AND(#REF!,"AAAAAGtvn74=")</f>
        <v>#REF!</v>
      </c>
      <c r="GJ344" t="e">
        <f>AND(#REF!,"AAAAAGtvn78=")</f>
        <v>#REF!</v>
      </c>
      <c r="GK344" t="e">
        <f>AND(#REF!,"AAAAAGtvn8A=")</f>
        <v>#REF!</v>
      </c>
      <c r="GL344" t="e">
        <f>AND(#REF!,"AAAAAGtvn8E=")</f>
        <v>#REF!</v>
      </c>
      <c r="GM344" t="e">
        <f>AND(#REF!,"AAAAAGtvn8I=")</f>
        <v>#REF!</v>
      </c>
      <c r="GN344" t="e">
        <f>IF(#REF!,"AAAAAGtvn8M=",0)</f>
        <v>#REF!</v>
      </c>
      <c r="GO344" t="e">
        <f>AND(#REF!,"AAAAAGtvn8Q=")</f>
        <v>#REF!</v>
      </c>
      <c r="GP344" t="e">
        <f>AND(#REF!,"AAAAAGtvn8U=")</f>
        <v>#REF!</v>
      </c>
      <c r="GQ344" t="e">
        <f>AND(#REF!,"AAAAAGtvn8Y=")</f>
        <v>#REF!</v>
      </c>
      <c r="GR344" t="e">
        <f>AND(#REF!,"AAAAAGtvn8c=")</f>
        <v>#REF!</v>
      </c>
      <c r="GS344" t="e">
        <f>AND(#REF!,"AAAAAGtvn8g=")</f>
        <v>#REF!</v>
      </c>
      <c r="GT344" t="e">
        <f>AND(#REF!,"AAAAAGtvn8k=")</f>
        <v>#REF!</v>
      </c>
      <c r="GU344" t="e">
        <f>AND(#REF!,"AAAAAGtvn8o=")</f>
        <v>#REF!</v>
      </c>
      <c r="GV344" t="e">
        <f>AND(#REF!,"AAAAAGtvn8s=")</f>
        <v>#REF!</v>
      </c>
      <c r="GW344" t="e">
        <f>IF(#REF!,"AAAAAGtvn8w=",0)</f>
        <v>#REF!</v>
      </c>
      <c r="GX344" t="e">
        <f>AND(#REF!,"AAAAAGtvn80=")</f>
        <v>#REF!</v>
      </c>
      <c r="GY344" t="e">
        <f>AND(#REF!,"AAAAAGtvn84=")</f>
        <v>#REF!</v>
      </c>
      <c r="GZ344" t="e">
        <f>AND(#REF!,"AAAAAGtvn88=")</f>
        <v>#REF!</v>
      </c>
      <c r="HA344" t="e">
        <f>AND(#REF!,"AAAAAGtvn9A=")</f>
        <v>#REF!</v>
      </c>
      <c r="HB344" t="e">
        <f>AND(#REF!,"AAAAAGtvn9E=")</f>
        <v>#REF!</v>
      </c>
      <c r="HC344" t="e">
        <f>AND(#REF!,"AAAAAGtvn9I=")</f>
        <v>#REF!</v>
      </c>
      <c r="HD344" t="e">
        <f>AND(#REF!,"AAAAAGtvn9M=")</f>
        <v>#REF!</v>
      </c>
      <c r="HE344" t="e">
        <f>AND(#REF!,"AAAAAGtvn9Q=")</f>
        <v>#REF!</v>
      </c>
      <c r="HF344" t="e">
        <f>IF(#REF!,"AAAAAGtvn9U=",0)</f>
        <v>#REF!</v>
      </c>
      <c r="HG344" t="e">
        <f>AND(#REF!,"AAAAAGtvn9Y=")</f>
        <v>#REF!</v>
      </c>
      <c r="HH344" t="e">
        <f>AND(#REF!,"AAAAAGtvn9c=")</f>
        <v>#REF!</v>
      </c>
      <c r="HI344" t="e">
        <f>AND(#REF!,"AAAAAGtvn9g=")</f>
        <v>#REF!</v>
      </c>
      <c r="HJ344" t="e">
        <f>AND(#REF!,"AAAAAGtvn9k=")</f>
        <v>#REF!</v>
      </c>
      <c r="HK344" t="e">
        <f>AND(#REF!,"AAAAAGtvn9o=")</f>
        <v>#REF!</v>
      </c>
      <c r="HL344" t="e">
        <f>AND(#REF!,"AAAAAGtvn9s=")</f>
        <v>#REF!</v>
      </c>
      <c r="HM344" t="e">
        <f>AND(#REF!,"AAAAAGtvn9w=")</f>
        <v>#REF!</v>
      </c>
      <c r="HN344" t="e">
        <f>AND(#REF!,"AAAAAGtvn90=")</f>
        <v>#REF!</v>
      </c>
      <c r="HO344" t="e">
        <f>IF(#REF!,"AAAAAGtvn94=",0)</f>
        <v>#REF!</v>
      </c>
      <c r="HP344" t="e">
        <f>AND(#REF!,"AAAAAGtvn98=")</f>
        <v>#REF!</v>
      </c>
      <c r="HQ344" t="e">
        <f>AND(#REF!,"AAAAAGtvn+A=")</f>
        <v>#REF!</v>
      </c>
      <c r="HR344" t="e">
        <f>AND(#REF!,"AAAAAGtvn+E=")</f>
        <v>#REF!</v>
      </c>
      <c r="HS344" t="e">
        <f>AND(#REF!,"AAAAAGtvn+I=")</f>
        <v>#REF!</v>
      </c>
      <c r="HT344" t="e">
        <f>AND(#REF!,"AAAAAGtvn+M=")</f>
        <v>#REF!</v>
      </c>
      <c r="HU344" t="e">
        <f>AND(#REF!,"AAAAAGtvn+Q=")</f>
        <v>#REF!</v>
      </c>
      <c r="HV344" t="e">
        <f>AND(#REF!,"AAAAAGtvn+U=")</f>
        <v>#REF!</v>
      </c>
      <c r="HW344" t="e">
        <f>AND(#REF!,"AAAAAGtvn+Y=")</f>
        <v>#REF!</v>
      </c>
      <c r="HX344" t="e">
        <f>IF(#REF!,"AAAAAGtvn+c=",0)</f>
        <v>#REF!</v>
      </c>
      <c r="HY344" t="e">
        <f>AND(#REF!,"AAAAAGtvn+g=")</f>
        <v>#REF!</v>
      </c>
      <c r="HZ344" t="e">
        <f>AND(#REF!,"AAAAAGtvn+k=")</f>
        <v>#REF!</v>
      </c>
      <c r="IA344" t="e">
        <f>AND(#REF!,"AAAAAGtvn+o=")</f>
        <v>#REF!</v>
      </c>
      <c r="IB344" t="e">
        <f>AND(#REF!,"AAAAAGtvn+s=")</f>
        <v>#REF!</v>
      </c>
      <c r="IC344" t="e">
        <f>AND(#REF!,"AAAAAGtvn+w=")</f>
        <v>#REF!</v>
      </c>
      <c r="ID344" t="e">
        <f>AND(#REF!,"AAAAAGtvn+0=")</f>
        <v>#REF!</v>
      </c>
      <c r="IE344" t="e">
        <f>AND(#REF!,"AAAAAGtvn+4=")</f>
        <v>#REF!</v>
      </c>
      <c r="IF344" t="e">
        <f>AND(#REF!,"AAAAAGtvn+8=")</f>
        <v>#REF!</v>
      </c>
      <c r="IG344" t="e">
        <f>IF(#REF!,"AAAAAGtvn/A=",0)</f>
        <v>#REF!</v>
      </c>
      <c r="IH344" t="e">
        <f>AND(#REF!,"AAAAAGtvn/E=")</f>
        <v>#REF!</v>
      </c>
      <c r="II344" t="e">
        <f>AND(#REF!,"AAAAAGtvn/I=")</f>
        <v>#REF!</v>
      </c>
      <c r="IJ344" t="e">
        <f>AND(#REF!,"AAAAAGtvn/M=")</f>
        <v>#REF!</v>
      </c>
      <c r="IK344" t="e">
        <f>AND(#REF!,"AAAAAGtvn/Q=")</f>
        <v>#REF!</v>
      </c>
      <c r="IL344" t="e">
        <f>AND(#REF!,"AAAAAGtvn/U=")</f>
        <v>#REF!</v>
      </c>
      <c r="IM344" t="e">
        <f>AND(#REF!,"AAAAAGtvn/Y=")</f>
        <v>#REF!</v>
      </c>
      <c r="IN344" t="e">
        <f>AND(#REF!,"AAAAAGtvn/c=")</f>
        <v>#REF!</v>
      </c>
      <c r="IO344" t="e">
        <f>AND(#REF!,"AAAAAGtvn/g=")</f>
        <v>#REF!</v>
      </c>
      <c r="IP344" t="e">
        <f>IF(#REF!,"AAAAAGtvn/k=",0)</f>
        <v>#REF!</v>
      </c>
      <c r="IQ344" t="e">
        <f>AND(#REF!,"AAAAAGtvn/o=")</f>
        <v>#REF!</v>
      </c>
      <c r="IR344" t="e">
        <f>AND(#REF!,"AAAAAGtvn/s=")</f>
        <v>#REF!</v>
      </c>
      <c r="IS344" t="e">
        <f>AND(#REF!,"AAAAAGtvn/w=")</f>
        <v>#REF!</v>
      </c>
      <c r="IT344" t="e">
        <f>AND(#REF!,"AAAAAGtvn/0=")</f>
        <v>#REF!</v>
      </c>
      <c r="IU344" t="e">
        <f>AND(#REF!,"AAAAAGtvn/4=")</f>
        <v>#REF!</v>
      </c>
      <c r="IV344" t="e">
        <f>AND(#REF!,"AAAAAGtvn/8=")</f>
        <v>#REF!</v>
      </c>
    </row>
    <row r="345" spans="1:256">
      <c r="A345" t="e">
        <f>AND(#REF!,"AAAAAHf/dwA=")</f>
        <v>#REF!</v>
      </c>
      <c r="B345" t="e">
        <f>AND(#REF!,"AAAAAHf/dwE=")</f>
        <v>#REF!</v>
      </c>
      <c r="C345" t="e">
        <f>IF(#REF!,"AAAAAHf/dwI=",0)</f>
        <v>#REF!</v>
      </c>
      <c r="D345" t="e">
        <f>AND(#REF!,"AAAAAHf/dwM=")</f>
        <v>#REF!</v>
      </c>
      <c r="E345" t="e">
        <f>AND(#REF!,"AAAAAHf/dwQ=")</f>
        <v>#REF!</v>
      </c>
      <c r="F345" t="e">
        <f>AND(#REF!,"AAAAAHf/dwU=")</f>
        <v>#REF!</v>
      </c>
      <c r="G345" t="e">
        <f>AND(#REF!,"AAAAAHf/dwY=")</f>
        <v>#REF!</v>
      </c>
      <c r="H345" t="e">
        <f>AND(#REF!,"AAAAAHf/dwc=")</f>
        <v>#REF!</v>
      </c>
      <c r="I345" t="e">
        <f>AND(#REF!,"AAAAAHf/dwg=")</f>
        <v>#REF!</v>
      </c>
      <c r="J345" t="e">
        <f>AND(#REF!,"AAAAAHf/dwk=")</f>
        <v>#REF!</v>
      </c>
      <c r="K345" t="e">
        <f>AND(#REF!,"AAAAAHf/dwo=")</f>
        <v>#REF!</v>
      </c>
      <c r="L345" t="e">
        <f>IF(#REF!,"AAAAAHf/dws=",0)</f>
        <v>#REF!</v>
      </c>
      <c r="M345" t="e">
        <f>AND(#REF!,"AAAAAHf/dww=")</f>
        <v>#REF!</v>
      </c>
      <c r="N345" t="e">
        <f>AND(#REF!,"AAAAAHf/dw0=")</f>
        <v>#REF!</v>
      </c>
      <c r="O345" t="e">
        <f>AND(#REF!,"AAAAAHf/dw4=")</f>
        <v>#REF!</v>
      </c>
      <c r="P345" t="e">
        <f>AND(#REF!,"AAAAAHf/dw8=")</f>
        <v>#REF!</v>
      </c>
      <c r="Q345" t="e">
        <f>AND(#REF!,"AAAAAHf/dxA=")</f>
        <v>#REF!</v>
      </c>
      <c r="R345" t="e">
        <f>AND(#REF!,"AAAAAHf/dxE=")</f>
        <v>#REF!</v>
      </c>
      <c r="S345" t="e">
        <f>AND(#REF!,"AAAAAHf/dxI=")</f>
        <v>#REF!</v>
      </c>
      <c r="T345" t="e">
        <f>AND(#REF!,"AAAAAHf/dxM=")</f>
        <v>#REF!</v>
      </c>
      <c r="U345" t="e">
        <f>IF(#REF!,"AAAAAHf/dxQ=",0)</f>
        <v>#REF!</v>
      </c>
      <c r="V345" t="e">
        <f>AND(#REF!,"AAAAAHf/dxU=")</f>
        <v>#REF!</v>
      </c>
      <c r="W345" t="e">
        <f>AND(#REF!,"AAAAAHf/dxY=")</f>
        <v>#REF!</v>
      </c>
      <c r="X345" t="e">
        <f>AND(#REF!,"AAAAAHf/dxc=")</f>
        <v>#REF!</v>
      </c>
      <c r="Y345" t="e">
        <f>AND(#REF!,"AAAAAHf/dxg=")</f>
        <v>#REF!</v>
      </c>
      <c r="Z345" t="e">
        <f>AND(#REF!,"AAAAAHf/dxk=")</f>
        <v>#REF!</v>
      </c>
      <c r="AA345" t="e">
        <f>AND(#REF!,"AAAAAHf/dxo=")</f>
        <v>#REF!</v>
      </c>
      <c r="AB345" t="e">
        <f>AND(#REF!,"AAAAAHf/dxs=")</f>
        <v>#REF!</v>
      </c>
      <c r="AC345" t="e">
        <f>AND(#REF!,"AAAAAHf/dxw=")</f>
        <v>#REF!</v>
      </c>
      <c r="AD345" t="e">
        <f>IF(#REF!,"AAAAAHf/dx0=",0)</f>
        <v>#REF!</v>
      </c>
      <c r="AE345" t="e">
        <f>AND(#REF!,"AAAAAHf/dx4=")</f>
        <v>#REF!</v>
      </c>
      <c r="AF345" t="e">
        <f>AND(#REF!,"AAAAAHf/dx8=")</f>
        <v>#REF!</v>
      </c>
      <c r="AG345" t="e">
        <f>AND(#REF!,"AAAAAHf/dyA=")</f>
        <v>#REF!</v>
      </c>
      <c r="AH345" t="e">
        <f>AND(#REF!,"AAAAAHf/dyE=")</f>
        <v>#REF!</v>
      </c>
      <c r="AI345" t="e">
        <f>AND(#REF!,"AAAAAHf/dyI=")</f>
        <v>#REF!</v>
      </c>
      <c r="AJ345" t="e">
        <f>AND(#REF!,"AAAAAHf/dyM=")</f>
        <v>#REF!</v>
      </c>
      <c r="AK345" t="e">
        <f>AND(#REF!,"AAAAAHf/dyQ=")</f>
        <v>#REF!</v>
      </c>
      <c r="AL345" t="e">
        <f>AND(#REF!,"AAAAAHf/dyU=")</f>
        <v>#REF!</v>
      </c>
      <c r="AM345" t="e">
        <f>IF(#REF!,"AAAAAHf/dyY=",0)</f>
        <v>#REF!</v>
      </c>
      <c r="AN345" t="e">
        <f>AND(#REF!,"AAAAAHf/dyc=")</f>
        <v>#REF!</v>
      </c>
      <c r="AO345" t="e">
        <f>AND(#REF!,"AAAAAHf/dyg=")</f>
        <v>#REF!</v>
      </c>
      <c r="AP345" t="e">
        <f>AND(#REF!,"AAAAAHf/dyk=")</f>
        <v>#REF!</v>
      </c>
      <c r="AQ345" t="e">
        <f>AND(#REF!,"AAAAAHf/dyo=")</f>
        <v>#REF!</v>
      </c>
      <c r="AR345" t="e">
        <f>AND(#REF!,"AAAAAHf/dys=")</f>
        <v>#REF!</v>
      </c>
      <c r="AS345" t="e">
        <f>AND(#REF!,"AAAAAHf/dyw=")</f>
        <v>#REF!</v>
      </c>
      <c r="AT345" t="e">
        <f>AND(#REF!,"AAAAAHf/dy0=")</f>
        <v>#REF!</v>
      </c>
      <c r="AU345" t="e">
        <f>AND(#REF!,"AAAAAHf/dy4=")</f>
        <v>#REF!</v>
      </c>
      <c r="AV345" t="e">
        <f>IF(#REF!,"AAAAAHf/dy8=",0)</f>
        <v>#REF!</v>
      </c>
      <c r="AW345" t="e">
        <f>AND(#REF!,"AAAAAHf/dzA=")</f>
        <v>#REF!</v>
      </c>
      <c r="AX345" t="e">
        <f>AND(#REF!,"AAAAAHf/dzE=")</f>
        <v>#REF!</v>
      </c>
      <c r="AY345" t="e">
        <f>AND(#REF!,"AAAAAHf/dzI=")</f>
        <v>#REF!</v>
      </c>
      <c r="AZ345" t="e">
        <f>AND(#REF!,"AAAAAHf/dzM=")</f>
        <v>#REF!</v>
      </c>
      <c r="BA345" t="e">
        <f>AND(#REF!,"AAAAAHf/dzQ=")</f>
        <v>#REF!</v>
      </c>
      <c r="BB345" t="e">
        <f>AND(#REF!,"AAAAAHf/dzU=")</f>
        <v>#REF!</v>
      </c>
      <c r="BC345" t="e">
        <f>AND(#REF!,"AAAAAHf/dzY=")</f>
        <v>#REF!</v>
      </c>
      <c r="BD345" t="e">
        <f>AND(#REF!,"AAAAAHf/dzc=")</f>
        <v>#REF!</v>
      </c>
      <c r="BE345" t="e">
        <f>IF(#REF!,"AAAAAHf/dzg=",0)</f>
        <v>#REF!</v>
      </c>
      <c r="BF345" t="e">
        <f>AND(#REF!,"AAAAAHf/dzk=")</f>
        <v>#REF!</v>
      </c>
      <c r="BG345" t="e">
        <f>AND(#REF!,"AAAAAHf/dzo=")</f>
        <v>#REF!</v>
      </c>
      <c r="BH345" t="e">
        <f>AND(#REF!,"AAAAAHf/dzs=")</f>
        <v>#REF!</v>
      </c>
      <c r="BI345" t="e">
        <f>AND(#REF!,"AAAAAHf/dzw=")</f>
        <v>#REF!</v>
      </c>
      <c r="BJ345" t="e">
        <f>AND(#REF!,"AAAAAHf/dz0=")</f>
        <v>#REF!</v>
      </c>
      <c r="BK345" t="e">
        <f>AND(#REF!,"AAAAAHf/dz4=")</f>
        <v>#REF!</v>
      </c>
      <c r="BL345" t="e">
        <f>AND(#REF!,"AAAAAHf/dz8=")</f>
        <v>#REF!</v>
      </c>
      <c r="BM345" t="e">
        <f>AND(#REF!,"AAAAAHf/d0A=")</f>
        <v>#REF!</v>
      </c>
      <c r="BN345" t="e">
        <f>IF(#REF!,"AAAAAHf/d0E=",0)</f>
        <v>#REF!</v>
      </c>
      <c r="BO345" t="e">
        <f>AND(#REF!,"AAAAAHf/d0I=")</f>
        <v>#REF!</v>
      </c>
      <c r="BP345" t="e">
        <f>AND(#REF!,"AAAAAHf/d0M=")</f>
        <v>#REF!</v>
      </c>
      <c r="BQ345" t="e">
        <f>AND(#REF!,"AAAAAHf/d0Q=")</f>
        <v>#REF!</v>
      </c>
      <c r="BR345" t="e">
        <f>AND(#REF!,"AAAAAHf/d0U=")</f>
        <v>#REF!</v>
      </c>
      <c r="BS345" t="e">
        <f>AND(#REF!,"AAAAAHf/d0Y=")</f>
        <v>#REF!</v>
      </c>
      <c r="BT345" t="e">
        <f>AND(#REF!,"AAAAAHf/d0c=")</f>
        <v>#REF!</v>
      </c>
      <c r="BU345" t="e">
        <f>AND(#REF!,"AAAAAHf/d0g=")</f>
        <v>#REF!</v>
      </c>
      <c r="BV345" t="e">
        <f>AND(#REF!,"AAAAAHf/d0k=")</f>
        <v>#REF!</v>
      </c>
      <c r="BW345" t="e">
        <f>IF(#REF!,"AAAAAHf/d0o=",0)</f>
        <v>#REF!</v>
      </c>
      <c r="BX345" t="e">
        <f>AND(#REF!,"AAAAAHf/d0s=")</f>
        <v>#REF!</v>
      </c>
      <c r="BY345" t="e">
        <f>AND(#REF!,"AAAAAHf/d0w=")</f>
        <v>#REF!</v>
      </c>
      <c r="BZ345" t="e">
        <f>AND(#REF!,"AAAAAHf/d00=")</f>
        <v>#REF!</v>
      </c>
      <c r="CA345" t="e">
        <f>AND(#REF!,"AAAAAHf/d04=")</f>
        <v>#REF!</v>
      </c>
      <c r="CB345" t="e">
        <f>AND(#REF!,"AAAAAHf/d08=")</f>
        <v>#REF!</v>
      </c>
      <c r="CC345" t="e">
        <f>AND(#REF!,"AAAAAHf/d1A=")</f>
        <v>#REF!</v>
      </c>
      <c r="CD345" t="e">
        <f>AND(#REF!,"AAAAAHf/d1E=")</f>
        <v>#REF!</v>
      </c>
      <c r="CE345" t="e">
        <f>AND(#REF!,"AAAAAHf/d1I=")</f>
        <v>#REF!</v>
      </c>
      <c r="CF345" t="e">
        <f>IF(#REF!,"AAAAAHf/d1M=",0)</f>
        <v>#REF!</v>
      </c>
      <c r="CG345" t="e">
        <f>AND(#REF!,"AAAAAHf/d1Q=")</f>
        <v>#REF!</v>
      </c>
      <c r="CH345" t="e">
        <f>AND(#REF!,"AAAAAHf/d1U=")</f>
        <v>#REF!</v>
      </c>
      <c r="CI345" t="e">
        <f>AND(#REF!,"AAAAAHf/d1Y=")</f>
        <v>#REF!</v>
      </c>
      <c r="CJ345" t="e">
        <f>AND(#REF!,"AAAAAHf/d1c=")</f>
        <v>#REF!</v>
      </c>
      <c r="CK345" t="e">
        <f>AND(#REF!,"AAAAAHf/d1g=")</f>
        <v>#REF!</v>
      </c>
      <c r="CL345" t="e">
        <f>AND(#REF!,"AAAAAHf/d1k=")</f>
        <v>#REF!</v>
      </c>
      <c r="CM345" t="e">
        <f>AND(#REF!,"AAAAAHf/d1o=")</f>
        <v>#REF!</v>
      </c>
      <c r="CN345" t="e">
        <f>AND(#REF!,"AAAAAHf/d1s=")</f>
        <v>#REF!</v>
      </c>
      <c r="CO345" t="e">
        <f>IF(#REF!,"AAAAAHf/d1w=",0)</f>
        <v>#REF!</v>
      </c>
      <c r="CP345" t="e">
        <f>AND(#REF!,"AAAAAHf/d10=")</f>
        <v>#REF!</v>
      </c>
      <c r="CQ345" t="e">
        <f>AND(#REF!,"AAAAAHf/d14=")</f>
        <v>#REF!</v>
      </c>
      <c r="CR345" t="e">
        <f>AND(#REF!,"AAAAAHf/d18=")</f>
        <v>#REF!</v>
      </c>
      <c r="CS345" t="e">
        <f>AND(#REF!,"AAAAAHf/d2A=")</f>
        <v>#REF!</v>
      </c>
      <c r="CT345" t="e">
        <f>AND(#REF!,"AAAAAHf/d2E=")</f>
        <v>#REF!</v>
      </c>
      <c r="CU345" t="e">
        <f>AND(#REF!,"AAAAAHf/d2I=")</f>
        <v>#REF!</v>
      </c>
      <c r="CV345" t="e">
        <f>AND(#REF!,"AAAAAHf/d2M=")</f>
        <v>#REF!</v>
      </c>
      <c r="CW345" t="e">
        <f>AND(#REF!,"AAAAAHf/d2Q=")</f>
        <v>#REF!</v>
      </c>
      <c r="CX345" t="e">
        <f>IF(#REF!,"AAAAAHf/d2U=",0)</f>
        <v>#REF!</v>
      </c>
      <c r="CY345" t="e">
        <f>AND(#REF!,"AAAAAHf/d2Y=")</f>
        <v>#REF!</v>
      </c>
      <c r="CZ345" t="e">
        <f>AND(#REF!,"AAAAAHf/d2c=")</f>
        <v>#REF!</v>
      </c>
      <c r="DA345" t="e">
        <f>AND(#REF!,"AAAAAHf/d2g=")</f>
        <v>#REF!</v>
      </c>
      <c r="DB345" t="e">
        <f>AND(#REF!,"AAAAAHf/d2k=")</f>
        <v>#REF!</v>
      </c>
      <c r="DC345" t="e">
        <f>AND(#REF!,"AAAAAHf/d2o=")</f>
        <v>#REF!</v>
      </c>
      <c r="DD345" t="e">
        <f>AND(#REF!,"AAAAAHf/d2s=")</f>
        <v>#REF!</v>
      </c>
      <c r="DE345" t="e">
        <f>AND(#REF!,"AAAAAHf/d2w=")</f>
        <v>#REF!</v>
      </c>
      <c r="DF345" t="e">
        <f>AND(#REF!,"AAAAAHf/d20=")</f>
        <v>#REF!</v>
      </c>
      <c r="DG345" t="e">
        <f>IF(#REF!,"AAAAAHf/d24=",0)</f>
        <v>#REF!</v>
      </c>
      <c r="DH345" t="e">
        <f>AND(#REF!,"AAAAAHf/d28=")</f>
        <v>#REF!</v>
      </c>
      <c r="DI345" t="e">
        <f>AND(#REF!,"AAAAAHf/d3A=")</f>
        <v>#REF!</v>
      </c>
      <c r="DJ345" t="e">
        <f>AND(#REF!,"AAAAAHf/d3E=")</f>
        <v>#REF!</v>
      </c>
      <c r="DK345" t="e">
        <f>AND(#REF!,"AAAAAHf/d3I=")</f>
        <v>#REF!</v>
      </c>
      <c r="DL345" t="e">
        <f>AND(#REF!,"AAAAAHf/d3M=")</f>
        <v>#REF!</v>
      </c>
      <c r="DM345" t="e">
        <f>AND(#REF!,"AAAAAHf/d3Q=")</f>
        <v>#REF!</v>
      </c>
      <c r="DN345" t="e">
        <f>AND(#REF!,"AAAAAHf/d3U=")</f>
        <v>#REF!</v>
      </c>
      <c r="DO345" t="e">
        <f>AND(#REF!,"AAAAAHf/d3Y=")</f>
        <v>#REF!</v>
      </c>
      <c r="DP345" t="e">
        <f>IF(#REF!,"AAAAAHf/d3c=",0)</f>
        <v>#REF!</v>
      </c>
      <c r="DQ345" t="e">
        <f>AND(#REF!,"AAAAAHf/d3g=")</f>
        <v>#REF!</v>
      </c>
      <c r="DR345" t="e">
        <f>AND(#REF!,"AAAAAHf/d3k=")</f>
        <v>#REF!</v>
      </c>
      <c r="DS345" t="e">
        <f>AND(#REF!,"AAAAAHf/d3o=")</f>
        <v>#REF!</v>
      </c>
      <c r="DT345" t="e">
        <f>AND(#REF!,"AAAAAHf/d3s=")</f>
        <v>#REF!</v>
      </c>
      <c r="DU345" t="e">
        <f>AND(#REF!,"AAAAAHf/d3w=")</f>
        <v>#REF!</v>
      </c>
      <c r="DV345" t="e">
        <f>AND(#REF!,"AAAAAHf/d30=")</f>
        <v>#REF!</v>
      </c>
      <c r="DW345" t="e">
        <f>AND(#REF!,"AAAAAHf/d34=")</f>
        <v>#REF!</v>
      </c>
      <c r="DX345" t="e">
        <f>AND(#REF!,"AAAAAHf/d38=")</f>
        <v>#REF!</v>
      </c>
      <c r="DY345" t="e">
        <f>IF(#REF!,"AAAAAHf/d4A=",0)</f>
        <v>#REF!</v>
      </c>
      <c r="DZ345" t="e">
        <f>AND(#REF!,"AAAAAHf/d4E=")</f>
        <v>#REF!</v>
      </c>
      <c r="EA345" t="e">
        <f>AND(#REF!,"AAAAAHf/d4I=")</f>
        <v>#REF!</v>
      </c>
      <c r="EB345" t="e">
        <f>AND(#REF!,"AAAAAHf/d4M=")</f>
        <v>#REF!</v>
      </c>
      <c r="EC345" t="e">
        <f>AND(#REF!,"AAAAAHf/d4Q=")</f>
        <v>#REF!</v>
      </c>
      <c r="ED345" t="e">
        <f>AND(#REF!,"AAAAAHf/d4U=")</f>
        <v>#REF!</v>
      </c>
      <c r="EE345" t="e">
        <f>AND(#REF!,"AAAAAHf/d4Y=")</f>
        <v>#REF!</v>
      </c>
      <c r="EF345" t="e">
        <f>AND(#REF!,"AAAAAHf/d4c=")</f>
        <v>#REF!</v>
      </c>
      <c r="EG345" t="e">
        <f>AND(#REF!,"AAAAAHf/d4g=")</f>
        <v>#REF!</v>
      </c>
      <c r="EH345" t="e">
        <f>IF(#REF!,"AAAAAHf/d4k=",0)</f>
        <v>#REF!</v>
      </c>
      <c r="EI345" t="e">
        <f>AND(#REF!,"AAAAAHf/d4o=")</f>
        <v>#REF!</v>
      </c>
      <c r="EJ345" t="e">
        <f>AND(#REF!,"AAAAAHf/d4s=")</f>
        <v>#REF!</v>
      </c>
      <c r="EK345" t="e">
        <f>AND(#REF!,"AAAAAHf/d4w=")</f>
        <v>#REF!</v>
      </c>
      <c r="EL345" t="e">
        <f>AND(#REF!,"AAAAAHf/d40=")</f>
        <v>#REF!</v>
      </c>
      <c r="EM345" t="e">
        <f>AND(#REF!,"AAAAAHf/d44=")</f>
        <v>#REF!</v>
      </c>
      <c r="EN345" t="e">
        <f>AND(#REF!,"AAAAAHf/d48=")</f>
        <v>#REF!</v>
      </c>
      <c r="EO345" t="e">
        <f>AND(#REF!,"AAAAAHf/d5A=")</f>
        <v>#REF!</v>
      </c>
      <c r="EP345" t="e">
        <f>AND(#REF!,"AAAAAHf/d5E=")</f>
        <v>#REF!</v>
      </c>
      <c r="EQ345" t="e">
        <f>IF(#REF!,"AAAAAHf/d5I=",0)</f>
        <v>#REF!</v>
      </c>
      <c r="ER345" t="e">
        <f>AND(#REF!,"AAAAAHf/d5M=")</f>
        <v>#REF!</v>
      </c>
      <c r="ES345" t="e">
        <f>AND(#REF!,"AAAAAHf/d5Q=")</f>
        <v>#REF!</v>
      </c>
      <c r="ET345" t="e">
        <f>AND(#REF!,"AAAAAHf/d5U=")</f>
        <v>#REF!</v>
      </c>
      <c r="EU345" t="e">
        <f>AND(#REF!,"AAAAAHf/d5Y=")</f>
        <v>#REF!</v>
      </c>
      <c r="EV345" t="e">
        <f>AND(#REF!,"AAAAAHf/d5c=")</f>
        <v>#REF!</v>
      </c>
      <c r="EW345" t="e">
        <f>AND(#REF!,"AAAAAHf/d5g=")</f>
        <v>#REF!</v>
      </c>
      <c r="EX345" t="e">
        <f>AND(#REF!,"AAAAAHf/d5k=")</f>
        <v>#REF!</v>
      </c>
      <c r="EY345" t="e">
        <f>AND(#REF!,"AAAAAHf/d5o=")</f>
        <v>#REF!</v>
      </c>
      <c r="EZ345" t="e">
        <f>IF(#REF!,"AAAAAHf/d5s=",0)</f>
        <v>#REF!</v>
      </c>
      <c r="FA345" t="e">
        <f>AND(#REF!,"AAAAAHf/d5w=")</f>
        <v>#REF!</v>
      </c>
      <c r="FB345" t="e">
        <f>AND(#REF!,"AAAAAHf/d50=")</f>
        <v>#REF!</v>
      </c>
      <c r="FC345" t="e">
        <f>AND(#REF!,"AAAAAHf/d54=")</f>
        <v>#REF!</v>
      </c>
      <c r="FD345" t="e">
        <f>AND(#REF!,"AAAAAHf/d58=")</f>
        <v>#REF!</v>
      </c>
      <c r="FE345" t="e">
        <f>AND(#REF!,"AAAAAHf/d6A=")</f>
        <v>#REF!</v>
      </c>
      <c r="FF345" t="e">
        <f>AND(#REF!,"AAAAAHf/d6E=")</f>
        <v>#REF!</v>
      </c>
      <c r="FG345" t="e">
        <f>AND(#REF!,"AAAAAHf/d6I=")</f>
        <v>#REF!</v>
      </c>
      <c r="FH345" t="e">
        <f>AND(#REF!,"AAAAAHf/d6M=")</f>
        <v>#REF!</v>
      </c>
      <c r="FI345" t="e">
        <f>IF(#REF!,"AAAAAHf/d6Q=",0)</f>
        <v>#REF!</v>
      </c>
      <c r="FJ345" t="e">
        <f>AND(#REF!,"AAAAAHf/d6U=")</f>
        <v>#REF!</v>
      </c>
      <c r="FK345" t="e">
        <f>AND(#REF!,"AAAAAHf/d6Y=")</f>
        <v>#REF!</v>
      </c>
      <c r="FL345" t="e">
        <f>AND(#REF!,"AAAAAHf/d6c=")</f>
        <v>#REF!</v>
      </c>
      <c r="FM345" t="e">
        <f>AND(#REF!,"AAAAAHf/d6g=")</f>
        <v>#REF!</v>
      </c>
      <c r="FN345" t="e">
        <f>AND(#REF!,"AAAAAHf/d6k=")</f>
        <v>#REF!</v>
      </c>
      <c r="FO345" t="e">
        <f>AND(#REF!,"AAAAAHf/d6o=")</f>
        <v>#REF!</v>
      </c>
      <c r="FP345" t="e">
        <f>AND(#REF!,"AAAAAHf/d6s=")</f>
        <v>#REF!</v>
      </c>
      <c r="FQ345" t="e">
        <f>AND(#REF!,"AAAAAHf/d6w=")</f>
        <v>#REF!</v>
      </c>
      <c r="FR345" t="e">
        <f>IF(#REF!,"AAAAAHf/d60=",0)</f>
        <v>#REF!</v>
      </c>
      <c r="FS345" t="e">
        <f>AND(#REF!,"AAAAAHf/d64=")</f>
        <v>#REF!</v>
      </c>
      <c r="FT345" t="e">
        <f>AND(#REF!,"AAAAAHf/d68=")</f>
        <v>#REF!</v>
      </c>
      <c r="FU345" t="e">
        <f>AND(#REF!,"AAAAAHf/d7A=")</f>
        <v>#REF!</v>
      </c>
      <c r="FV345" t="e">
        <f>AND(#REF!,"AAAAAHf/d7E=")</f>
        <v>#REF!</v>
      </c>
      <c r="FW345" t="e">
        <f>AND(#REF!,"AAAAAHf/d7I=")</f>
        <v>#REF!</v>
      </c>
      <c r="FX345" t="e">
        <f>AND(#REF!,"AAAAAHf/d7M=")</f>
        <v>#REF!</v>
      </c>
      <c r="FY345" t="e">
        <f>AND(#REF!,"AAAAAHf/d7Q=")</f>
        <v>#REF!</v>
      </c>
      <c r="FZ345" t="e">
        <f>AND(#REF!,"AAAAAHf/d7U=")</f>
        <v>#REF!</v>
      </c>
      <c r="GA345" t="e">
        <f>IF(#REF!,"AAAAAHf/d7Y=",0)</f>
        <v>#REF!</v>
      </c>
      <c r="GB345" t="e">
        <f>AND(#REF!,"AAAAAHf/d7c=")</f>
        <v>#REF!</v>
      </c>
      <c r="GC345" t="e">
        <f>AND(#REF!,"AAAAAHf/d7g=")</f>
        <v>#REF!</v>
      </c>
      <c r="GD345" t="e">
        <f>AND(#REF!,"AAAAAHf/d7k=")</f>
        <v>#REF!</v>
      </c>
      <c r="GE345" t="e">
        <f>AND(#REF!,"AAAAAHf/d7o=")</f>
        <v>#REF!</v>
      </c>
      <c r="GF345" t="e">
        <f>AND(#REF!,"AAAAAHf/d7s=")</f>
        <v>#REF!</v>
      </c>
      <c r="GG345" t="e">
        <f>AND(#REF!,"AAAAAHf/d7w=")</f>
        <v>#REF!</v>
      </c>
      <c r="GH345" t="e">
        <f>AND(#REF!,"AAAAAHf/d70=")</f>
        <v>#REF!</v>
      </c>
      <c r="GI345" t="e">
        <f>AND(#REF!,"AAAAAHf/d74=")</f>
        <v>#REF!</v>
      </c>
      <c r="GJ345" t="e">
        <f>IF(#REF!,"AAAAAHf/d78=",0)</f>
        <v>#REF!</v>
      </c>
      <c r="GK345" t="e">
        <f>AND(#REF!,"AAAAAHf/d8A=")</f>
        <v>#REF!</v>
      </c>
      <c r="GL345" t="e">
        <f>AND(#REF!,"AAAAAHf/d8E=")</f>
        <v>#REF!</v>
      </c>
      <c r="GM345" t="e">
        <f>AND(#REF!,"AAAAAHf/d8I=")</f>
        <v>#REF!</v>
      </c>
      <c r="GN345" t="e">
        <f>AND(#REF!,"AAAAAHf/d8M=")</f>
        <v>#REF!</v>
      </c>
      <c r="GO345" t="e">
        <f>AND(#REF!,"AAAAAHf/d8Q=")</f>
        <v>#REF!</v>
      </c>
      <c r="GP345" t="e">
        <f>AND(#REF!,"AAAAAHf/d8U=")</f>
        <v>#REF!</v>
      </c>
      <c r="GQ345" t="e">
        <f>AND(#REF!,"AAAAAHf/d8Y=")</f>
        <v>#REF!</v>
      </c>
      <c r="GR345" t="e">
        <f>AND(#REF!,"AAAAAHf/d8c=")</f>
        <v>#REF!</v>
      </c>
      <c r="GS345" t="e">
        <f>IF(#REF!,"AAAAAHf/d8g=",0)</f>
        <v>#REF!</v>
      </c>
      <c r="GT345" t="e">
        <f>AND(#REF!,"AAAAAHf/d8k=")</f>
        <v>#REF!</v>
      </c>
      <c r="GU345" t="e">
        <f>AND(#REF!,"AAAAAHf/d8o=")</f>
        <v>#REF!</v>
      </c>
      <c r="GV345" t="e">
        <f>AND(#REF!,"AAAAAHf/d8s=")</f>
        <v>#REF!</v>
      </c>
      <c r="GW345" t="e">
        <f>AND(#REF!,"AAAAAHf/d8w=")</f>
        <v>#REF!</v>
      </c>
      <c r="GX345" t="e">
        <f>AND(#REF!,"AAAAAHf/d80=")</f>
        <v>#REF!</v>
      </c>
      <c r="GY345" t="e">
        <f>AND(#REF!,"AAAAAHf/d84=")</f>
        <v>#REF!</v>
      </c>
      <c r="GZ345" t="e">
        <f>AND(#REF!,"AAAAAHf/d88=")</f>
        <v>#REF!</v>
      </c>
      <c r="HA345" t="e">
        <f>AND(#REF!,"AAAAAHf/d9A=")</f>
        <v>#REF!</v>
      </c>
      <c r="HB345" t="e">
        <f>IF(#REF!,"AAAAAHf/d9E=",0)</f>
        <v>#REF!</v>
      </c>
      <c r="HC345" t="e">
        <f>AND(#REF!,"AAAAAHf/d9I=")</f>
        <v>#REF!</v>
      </c>
      <c r="HD345" t="e">
        <f>AND(#REF!,"AAAAAHf/d9M=")</f>
        <v>#REF!</v>
      </c>
      <c r="HE345" t="e">
        <f>AND(#REF!,"AAAAAHf/d9Q=")</f>
        <v>#REF!</v>
      </c>
      <c r="HF345" t="e">
        <f>AND(#REF!,"AAAAAHf/d9U=")</f>
        <v>#REF!</v>
      </c>
      <c r="HG345" t="e">
        <f>AND(#REF!,"AAAAAHf/d9Y=")</f>
        <v>#REF!</v>
      </c>
      <c r="HH345" t="e">
        <f>AND(#REF!,"AAAAAHf/d9c=")</f>
        <v>#REF!</v>
      </c>
      <c r="HI345" t="e">
        <f>AND(#REF!,"AAAAAHf/d9g=")</f>
        <v>#REF!</v>
      </c>
      <c r="HJ345" t="e">
        <f>AND(#REF!,"AAAAAHf/d9k=")</f>
        <v>#REF!</v>
      </c>
      <c r="HK345" t="e">
        <f>IF(#REF!,"AAAAAHf/d9o=",0)</f>
        <v>#REF!</v>
      </c>
      <c r="HL345" t="e">
        <f>AND(#REF!,"AAAAAHf/d9s=")</f>
        <v>#REF!</v>
      </c>
      <c r="HM345" t="e">
        <f>AND(#REF!,"AAAAAHf/d9w=")</f>
        <v>#REF!</v>
      </c>
      <c r="HN345" t="e">
        <f>AND(#REF!,"AAAAAHf/d90=")</f>
        <v>#REF!</v>
      </c>
      <c r="HO345" t="e">
        <f>AND(#REF!,"AAAAAHf/d94=")</f>
        <v>#REF!</v>
      </c>
      <c r="HP345" t="e">
        <f>AND(#REF!,"AAAAAHf/d98=")</f>
        <v>#REF!</v>
      </c>
      <c r="HQ345" t="e">
        <f>AND(#REF!,"AAAAAHf/d+A=")</f>
        <v>#REF!</v>
      </c>
      <c r="HR345" t="e">
        <f>AND(#REF!,"AAAAAHf/d+E=")</f>
        <v>#REF!</v>
      </c>
      <c r="HS345" t="e">
        <f>AND(#REF!,"AAAAAHf/d+I=")</f>
        <v>#REF!</v>
      </c>
      <c r="HT345" t="e">
        <f>IF(#REF!,"AAAAAHf/d+M=",0)</f>
        <v>#REF!</v>
      </c>
      <c r="HU345" t="e">
        <f>AND(#REF!,"AAAAAHf/d+Q=")</f>
        <v>#REF!</v>
      </c>
      <c r="HV345" t="e">
        <f>AND(#REF!,"AAAAAHf/d+U=")</f>
        <v>#REF!</v>
      </c>
      <c r="HW345" t="e">
        <f>AND(#REF!,"AAAAAHf/d+Y=")</f>
        <v>#REF!</v>
      </c>
      <c r="HX345" t="e">
        <f>AND(#REF!,"AAAAAHf/d+c=")</f>
        <v>#REF!</v>
      </c>
      <c r="HY345" t="e">
        <f>AND(#REF!,"AAAAAHf/d+g=")</f>
        <v>#REF!</v>
      </c>
      <c r="HZ345" t="e">
        <f>AND(#REF!,"AAAAAHf/d+k=")</f>
        <v>#REF!</v>
      </c>
      <c r="IA345" t="e">
        <f>AND(#REF!,"AAAAAHf/d+o=")</f>
        <v>#REF!</v>
      </c>
      <c r="IB345" t="e">
        <f>AND(#REF!,"AAAAAHf/d+s=")</f>
        <v>#REF!</v>
      </c>
      <c r="IC345" t="e">
        <f>IF(#REF!,"AAAAAHf/d+w=",0)</f>
        <v>#REF!</v>
      </c>
      <c r="ID345" t="e">
        <f>IF(#REF!,"AAAAAHf/d+0=",0)</f>
        <v>#REF!</v>
      </c>
      <c r="IE345" t="e">
        <f>IF(#REF!,"AAAAAHf/d+4=",0)</f>
        <v>#REF!</v>
      </c>
      <c r="IF345" t="e">
        <f>IF(#REF!,"AAAAAHf/d+8=",0)</f>
        <v>#REF!</v>
      </c>
      <c r="IG345" t="e">
        <f>IF(#REF!,"AAAAAHf/d/A=",0)</f>
        <v>#REF!</v>
      </c>
      <c r="IH345" t="e">
        <f>IF(#REF!,"AAAAAHf/d/E=",0)</f>
        <v>#REF!</v>
      </c>
      <c r="II345" t="e">
        <f>IF(#REF!,"AAAAAHf/d/I=",0)</f>
        <v>#REF!</v>
      </c>
      <c r="IJ345" t="e">
        <f>IF(#REF!,"AAAAAHf/d/M=",0)</f>
        <v>#REF!</v>
      </c>
      <c r="IK345" t="e">
        <f>IF(OCENSA!#REF!,"AAAAAHf/d/Q=",0)</f>
        <v>#REF!</v>
      </c>
      <c r="IL345" t="e">
        <f>AND(OCENSA!#REF!,"AAAAAHf/d/U=")</f>
        <v>#REF!</v>
      </c>
      <c r="IM345" t="e">
        <f>AND(OCENSA!#REF!,"AAAAAHf/d/Y=")</f>
        <v>#REF!</v>
      </c>
      <c r="IN345" t="e">
        <f>AND(OCENSA!#REF!,"AAAAAHf/d/c=")</f>
        <v>#REF!</v>
      </c>
      <c r="IO345">
        <f>IF(OCENSA!1:1,"AAAAAHf/d/g=",0)</f>
        <v>0</v>
      </c>
      <c r="IP345" t="e">
        <f>AND(OCENSA!A1,"AAAAAHf/d/k=")</f>
        <v>#VALUE!</v>
      </c>
      <c r="IQ345" t="e">
        <f>AND(OCENSA!B1,"AAAAAHf/d/o=")</f>
        <v>#VALUE!</v>
      </c>
      <c r="IR345" t="e">
        <f>AND(OCENSA!C1,"AAAAAHf/d/s=")</f>
        <v>#VALUE!</v>
      </c>
      <c r="IS345">
        <f>IF(OCENSA!2:2,"AAAAAHf/d/w=",0)</f>
        <v>0</v>
      </c>
      <c r="IT345" t="e">
        <f>AND(OCENSA!A2,"AAAAAHf/d/0=")</f>
        <v>#VALUE!</v>
      </c>
      <c r="IU345" t="e">
        <f>AND(OCENSA!B2,"AAAAAHf/d/4=")</f>
        <v>#VALUE!</v>
      </c>
      <c r="IV345" t="e">
        <f>AND(OCENSA!C2,"AAAAAHf/d/8=")</f>
        <v>#VALUE!</v>
      </c>
    </row>
    <row r="346" spans="1:256">
      <c r="A346" t="e">
        <f>IF(OCENSA!3:3,"AAAAAD/vPgA=",0)</f>
        <v>#VALUE!</v>
      </c>
      <c r="B346" t="e">
        <f>AND(OCENSA!A3,"AAAAAD/vPgE=")</f>
        <v>#VALUE!</v>
      </c>
      <c r="C346" t="e">
        <f>AND(OCENSA!B3,"AAAAAD/vPgI=")</f>
        <v>#VALUE!</v>
      </c>
      <c r="D346" t="e">
        <f>AND(OCENSA!C3,"AAAAAD/vPgM=")</f>
        <v>#VALUE!</v>
      </c>
      <c r="E346">
        <f>IF(OCENSA!4:4,"AAAAAD/vPgQ=",0)</f>
        <v>0</v>
      </c>
      <c r="F346" t="e">
        <f>AND(OCENSA!A4,"AAAAAD/vPgU=")</f>
        <v>#VALUE!</v>
      </c>
      <c r="G346" t="e">
        <f>AND(OCENSA!B4,"AAAAAD/vPgY=")</f>
        <v>#VALUE!</v>
      </c>
      <c r="H346" t="e">
        <f>AND(OCENSA!C4,"AAAAAD/vPgc=")</f>
        <v>#VALUE!</v>
      </c>
      <c r="I346">
        <f>IF(OCENSA!5:5,"AAAAAD/vPgg=",0)</f>
        <v>0</v>
      </c>
      <c r="J346" t="e">
        <f>AND(OCENSA!A5,"AAAAAD/vPgk=")</f>
        <v>#VALUE!</v>
      </c>
      <c r="K346" t="e">
        <f>AND(OCENSA!B5,"AAAAAD/vPgo=")</f>
        <v>#VALUE!</v>
      </c>
      <c r="L346" t="e">
        <f>AND(OCENSA!C5,"AAAAAD/vPgs=")</f>
        <v>#VALUE!</v>
      </c>
      <c r="M346">
        <f>IF(OCENSA!6:6,"AAAAAD/vPgw=",0)</f>
        <v>0</v>
      </c>
      <c r="N346" t="e">
        <f>AND(OCENSA!A6,"AAAAAD/vPg0=")</f>
        <v>#VALUE!</v>
      </c>
      <c r="O346" t="e">
        <f>AND(OCENSA!B6,"AAAAAD/vPg4=")</f>
        <v>#VALUE!</v>
      </c>
      <c r="P346" t="e">
        <f>AND(OCENSA!C6,"AAAAAD/vPg8=")</f>
        <v>#VALUE!</v>
      </c>
      <c r="Q346">
        <f>IF(OCENSA!7:7,"AAAAAD/vPhA=",0)</f>
        <v>0</v>
      </c>
      <c r="R346" t="e">
        <f>AND(OCENSA!A7,"AAAAAD/vPhE=")</f>
        <v>#VALUE!</v>
      </c>
      <c r="S346" t="e">
        <f>AND(OCENSA!B7,"AAAAAD/vPhI=")</f>
        <v>#VALUE!</v>
      </c>
      <c r="T346" t="e">
        <f>AND(OCENSA!C7,"AAAAAD/vPhM=")</f>
        <v>#VALUE!</v>
      </c>
      <c r="U346">
        <f>IF(OCENSA!8:8,"AAAAAD/vPhQ=",0)</f>
        <v>0</v>
      </c>
      <c r="V346" t="e">
        <f>AND(OCENSA!A8,"AAAAAD/vPhU=")</f>
        <v>#VALUE!</v>
      </c>
      <c r="W346" t="e">
        <f>AND(OCENSA!B8,"AAAAAD/vPhY=")</f>
        <v>#VALUE!</v>
      </c>
      <c r="X346" t="e">
        <f>AND(OCENSA!C8,"AAAAAD/vPhc=")</f>
        <v>#VALUE!</v>
      </c>
      <c r="Y346">
        <f>IF(OCENSA!9:9,"AAAAAD/vPhg=",0)</f>
        <v>0</v>
      </c>
      <c r="Z346" t="e">
        <f>AND(OCENSA!A9,"AAAAAD/vPhk=")</f>
        <v>#VALUE!</v>
      </c>
      <c r="AA346" t="e">
        <f>AND(OCENSA!B9,"AAAAAD/vPho=")</f>
        <v>#VALUE!</v>
      </c>
      <c r="AB346" t="e">
        <f>AND(OCENSA!C9,"AAAAAD/vPhs=")</f>
        <v>#VALUE!</v>
      </c>
      <c r="AC346">
        <f>IF(OCENSA!A:A,"AAAAAD/vPhw=",0)</f>
        <v>0</v>
      </c>
      <c r="AD346">
        <f>IF(OCENSA!B:B,"AAAAAD/vPh0=",0)</f>
        <v>0</v>
      </c>
      <c r="AE346">
        <f>IF(OCENSA!C:C,"AAAAAD/vPh4=",0)</f>
        <v>0</v>
      </c>
      <c r="AF346">
        <f>IF('COMPAS BUENAVENTURA'!3:3,"AAAAAD/vPh8=",0)</f>
        <v>0</v>
      </c>
      <c r="AG346" t="e">
        <f>AND('COMPAS BUENAVENTURA'!A2,"AAAAAD/vPiA=")</f>
        <v>#VALUE!</v>
      </c>
      <c r="AH346" t="e">
        <f>AND('COMPAS BUENAVENTURA'!B2,"AAAAAD/vPiE=")</f>
        <v>#VALUE!</v>
      </c>
      <c r="AI346" t="e">
        <f>AND('COMPAS BUENAVENTURA'!C2,"AAAAAD/vPiI=")</f>
        <v>#VALUE!</v>
      </c>
      <c r="AJ346" t="e">
        <f>AND('COMPAS BUENAVENTURA'!D3,"AAAAAD/vPiM=")</f>
        <v>#VALUE!</v>
      </c>
      <c r="AK346" t="e">
        <f>AND('COMPAS BUENAVENTURA'!E3,"AAAAAD/vPiQ=")</f>
        <v>#VALUE!</v>
      </c>
      <c r="AL346" t="e">
        <f>AND('COMPAS BUENAVENTURA'!F3,"AAAAAD/vPiU=")</f>
        <v>#VALUE!</v>
      </c>
      <c r="AM346">
        <f>IF('COMPAS BUENAVENTURA'!8:8,"AAAAAD/vPiY=",0)</f>
        <v>0</v>
      </c>
      <c r="AN346" t="e">
        <f>AND('COMPAS BUENAVENTURA'!A8,"AAAAAD/vPic=")</f>
        <v>#VALUE!</v>
      </c>
      <c r="AO346" t="e">
        <f>AND('COMPAS BUENAVENTURA'!B8,"AAAAAD/vPig=")</f>
        <v>#VALUE!</v>
      </c>
      <c r="AP346" t="e">
        <f>AND('COMPAS BUENAVENTURA'!C8,"AAAAAD/vPik=")</f>
        <v>#VALUE!</v>
      </c>
      <c r="AQ346" t="e">
        <f>AND('COMPAS BUENAVENTURA'!D8,"AAAAAD/vPio=")</f>
        <v>#VALUE!</v>
      </c>
      <c r="AR346" t="e">
        <f>AND('COMPAS BUENAVENTURA'!A23,"AAAAAD/vPis=")</f>
        <v>#VALUE!</v>
      </c>
      <c r="AS346" t="e">
        <f>AND('COMPAS BUENAVENTURA'!B23,"AAAAAD/vPiw=")</f>
        <v>#VALUE!</v>
      </c>
      <c r="AT346">
        <f>IF('COMPAS BUENAVENTURA'!9:9,"AAAAAD/vPi0=",0)</f>
        <v>0</v>
      </c>
      <c r="AU346" t="e">
        <f>AND('COMPAS BUENAVENTURA'!A9,"AAAAAD/vPi4=")</f>
        <v>#VALUE!</v>
      </c>
      <c r="AV346" t="e">
        <f>AND('COMPAS BUENAVENTURA'!B9,"AAAAAD/vPi8=")</f>
        <v>#VALUE!</v>
      </c>
      <c r="AW346" t="e">
        <f>AND('COMPAS BUENAVENTURA'!C9,"AAAAAD/vPjA=")</f>
        <v>#VALUE!</v>
      </c>
      <c r="AX346" t="e">
        <f>AND('COMPAS BUENAVENTURA'!D9,"AAAAAD/vPjE=")</f>
        <v>#VALUE!</v>
      </c>
      <c r="AY346" t="e">
        <f>AND('COMPAS BUENAVENTURA'!A24,"AAAAAD/vPjI=")</f>
        <v>#VALUE!</v>
      </c>
      <c r="AZ346" t="e">
        <f>AND('COMPAS BUENAVENTURA'!B24,"AAAAAD/vPjM=")</f>
        <v>#VALUE!</v>
      </c>
      <c r="BA346">
        <f>IF('COMPAS BUENAVENTURA'!10:10,"AAAAAD/vPjQ=",0)</f>
        <v>0</v>
      </c>
      <c r="BB346" t="e">
        <f>AND('COMPAS BUENAVENTURA'!A10,"AAAAAD/vPjU=")</f>
        <v>#VALUE!</v>
      </c>
      <c r="BC346" t="e">
        <f>AND('COMPAS BUENAVENTURA'!B10,"AAAAAD/vPjY=")</f>
        <v>#VALUE!</v>
      </c>
      <c r="BD346" t="e">
        <f>AND('COMPAS BUENAVENTURA'!C10,"AAAAAD/vPjc=")</f>
        <v>#VALUE!</v>
      </c>
      <c r="BE346" t="e">
        <f>AND('COMPAS BUENAVENTURA'!D10,"AAAAAD/vPjg=")</f>
        <v>#VALUE!</v>
      </c>
      <c r="BF346" t="e">
        <f>AND('COMPAS BUENAVENTURA'!A25,"AAAAAD/vPjk=")</f>
        <v>#VALUE!</v>
      </c>
      <c r="BG346" t="e">
        <f>AND('COMPAS BUENAVENTURA'!B25,"AAAAAD/vPjo=")</f>
        <v>#VALUE!</v>
      </c>
      <c r="BH346" t="e">
        <f>IF('COMPAS BUENAVENTURA'!#REF!,"AAAAAD/vPjs=",0)</f>
        <v>#REF!</v>
      </c>
      <c r="BI346" t="e">
        <f>AND('COMPAS BUENAVENTURA'!#REF!,"AAAAAD/vPjw=")</f>
        <v>#REF!</v>
      </c>
      <c r="BJ346" t="e">
        <f>AND('COMPAS BUENAVENTURA'!#REF!,"AAAAAD/vPj0=")</f>
        <v>#REF!</v>
      </c>
      <c r="BK346" t="e">
        <f>AND('COMPAS BUENAVENTURA'!#REF!,"AAAAAD/vPj4=")</f>
        <v>#REF!</v>
      </c>
      <c r="BL346" t="e">
        <f>AND('COMPAS BUENAVENTURA'!#REF!,"AAAAAD/vPj8=")</f>
        <v>#REF!</v>
      </c>
      <c r="BM346" t="e">
        <f>AND('COMPAS BUENAVENTURA'!A26,"AAAAAD/vPkA=")</f>
        <v>#VALUE!</v>
      </c>
      <c r="BN346" t="e">
        <f>AND('COMPAS BUENAVENTURA'!B26,"AAAAAD/vPkE=")</f>
        <v>#VALUE!</v>
      </c>
      <c r="BO346" t="e">
        <f>IF('COMPAS BUENAVENTURA'!#REF!,"AAAAAD/vPkI=",0)</f>
        <v>#REF!</v>
      </c>
      <c r="BP346" t="e">
        <f>AND('COMPAS BUENAVENTURA'!A12,"AAAAAD/vPkM=")</f>
        <v>#VALUE!</v>
      </c>
      <c r="BQ346" t="e">
        <f>AND('COMPAS BUENAVENTURA'!B12,"AAAAAD/vPkQ=")</f>
        <v>#VALUE!</v>
      </c>
      <c r="BR346" t="e">
        <f>AND('COMPAS BUENAVENTURA'!C12,"AAAAAD/vPkU=")</f>
        <v>#VALUE!</v>
      </c>
      <c r="BS346" t="e">
        <f>AND('COMPAS BUENAVENTURA'!#REF!,"AAAAAD/vPkY=")</f>
        <v>#REF!</v>
      </c>
      <c r="BT346" t="e">
        <f>AND('COMPAS BUENAVENTURA'!#REF!,"AAAAAD/vPkc=")</f>
        <v>#REF!</v>
      </c>
      <c r="BU346" t="e">
        <f>AND('COMPAS BUENAVENTURA'!#REF!,"AAAAAD/vPkg=")</f>
        <v>#REF!</v>
      </c>
      <c r="BV346">
        <f>IF('COMPAS BUENAVENTURA'!11:11,"AAAAAD/vPkk=",0)</f>
        <v>0</v>
      </c>
      <c r="BW346" t="e">
        <f>AND('COMPAS BUENAVENTURA'!A11,"AAAAAD/vPko=")</f>
        <v>#VALUE!</v>
      </c>
      <c r="BX346" t="e">
        <f>AND('COMPAS BUENAVENTURA'!B11,"AAAAAD/vPks=")</f>
        <v>#VALUE!</v>
      </c>
      <c r="BY346" t="e">
        <f>AND('COMPAS BUENAVENTURA'!C11,"AAAAAD/vPkw=")</f>
        <v>#VALUE!</v>
      </c>
      <c r="BZ346" t="e">
        <f>AND('COMPAS BUENAVENTURA'!D11,"AAAAAD/vPk0=")</f>
        <v>#VALUE!</v>
      </c>
      <c r="CA346" t="e">
        <f>AND('COMPAS BUENAVENTURA'!A28,"AAAAAD/vPk4=")</f>
        <v>#VALUE!</v>
      </c>
      <c r="CB346" t="e">
        <f>AND('COMPAS BUENAVENTURA'!B28,"AAAAAD/vPk8=")</f>
        <v>#VALUE!</v>
      </c>
      <c r="CC346">
        <f>IF('COMPAS BUENAVENTURA'!12:12,"AAAAAD/vPlA=",0)</f>
        <v>0</v>
      </c>
      <c r="CD346" t="e">
        <f>AND('COMPAS BUENAVENTURA'!#REF!,"AAAAAD/vPlE=")</f>
        <v>#REF!</v>
      </c>
      <c r="CE346" t="e">
        <f>AND('COMPAS BUENAVENTURA'!#REF!,"AAAAAD/vPlI=")</f>
        <v>#REF!</v>
      </c>
      <c r="CF346" t="e">
        <f>AND('COMPAS BUENAVENTURA'!#REF!,"AAAAAD/vPlM=")</f>
        <v>#REF!</v>
      </c>
      <c r="CG346" t="e">
        <f>AND('COMPAS BUENAVENTURA'!D12,"AAAAAD/vPlQ=")</f>
        <v>#VALUE!</v>
      </c>
      <c r="CH346" t="e">
        <f>AND('COMPAS BUENAVENTURA'!#REF!,"AAAAAD/vPlU=")</f>
        <v>#REF!</v>
      </c>
      <c r="CI346" t="e">
        <f>AND('COMPAS BUENAVENTURA'!#REF!,"AAAAAD/vPlY=")</f>
        <v>#REF!</v>
      </c>
      <c r="CJ346">
        <f>IF('COMPAS BUENAVENTURA'!13:13,"AAAAAD/vPlc=",0)</f>
        <v>0</v>
      </c>
      <c r="CK346" t="e">
        <f>AND('COMPAS BUENAVENTURA'!A13,"AAAAAD/vPlg=")</f>
        <v>#VALUE!</v>
      </c>
      <c r="CL346" t="e">
        <f>AND('COMPAS BUENAVENTURA'!B13,"AAAAAD/vPlk=")</f>
        <v>#VALUE!</v>
      </c>
      <c r="CM346" t="e">
        <f>AND('COMPAS BUENAVENTURA'!C13,"AAAAAD/vPlo=")</f>
        <v>#VALUE!</v>
      </c>
      <c r="CN346" t="e">
        <f>AND('COMPAS BUENAVENTURA'!D13,"AAAAAD/vPls=")</f>
        <v>#VALUE!</v>
      </c>
      <c r="CO346" t="e">
        <f>AND('COMPAS BUENAVENTURA'!E13,"AAAAAD/vPlw=")</f>
        <v>#VALUE!</v>
      </c>
      <c r="CP346" t="e">
        <f>AND('COMPAS BUENAVENTURA'!F13,"AAAAAD/vPl0=")</f>
        <v>#VALUE!</v>
      </c>
      <c r="CQ346">
        <f>IF('COMPAS BUENAVENTURA'!17:17,"AAAAAD/vPl4=",0)</f>
        <v>0</v>
      </c>
      <c r="CR346" t="e">
        <f>AND('COMPAS BUENAVENTURA'!A5,"AAAAAD/vPl8=")</f>
        <v>#VALUE!</v>
      </c>
      <c r="CS346" t="e">
        <f>AND('COMPAS BUENAVENTURA'!B5,"AAAAAD/vPmA=")</f>
        <v>#VALUE!</v>
      </c>
      <c r="CT346" t="e">
        <f>IF('COMPAS BUENAVENTURA'!#REF!,"AAAAAD/vPmE=",0)</f>
        <v>#REF!</v>
      </c>
      <c r="CU346" t="e">
        <f>AND('COMPAS BUENAVENTURA'!#REF!,"AAAAAD/vPmI=")</f>
        <v>#REF!</v>
      </c>
      <c r="CV346" t="e">
        <f>AND('COMPAS BUENAVENTURA'!#REF!,"AAAAAD/vPmM=")</f>
        <v>#REF!</v>
      </c>
      <c r="CW346" t="e">
        <f>IF('COMPAS BUENAVENTURA'!#REF!,"AAAAAD/vPmQ=",0)</f>
        <v>#REF!</v>
      </c>
      <c r="CX346" t="e">
        <f>AND('COMPAS BUENAVENTURA'!#REF!,"AAAAAD/vPmU=")</f>
        <v>#REF!</v>
      </c>
      <c r="CY346" t="e">
        <f>AND('COMPAS BUENAVENTURA'!#REF!,"AAAAAD/vPmY=")</f>
        <v>#REF!</v>
      </c>
      <c r="CZ346" t="e">
        <f>IF('COMPAS BUENAVENTURA'!#REF!,"AAAAAD/vPmc=",0)</f>
        <v>#REF!</v>
      </c>
      <c r="DA346" t="e">
        <f>AND('COMPAS BUENAVENTURA'!#REF!,"AAAAAD/vPmg=")</f>
        <v>#REF!</v>
      </c>
      <c r="DB346" t="e">
        <f>AND('COMPAS BUENAVENTURA'!#REF!,"AAAAAD/vPmk=")</f>
        <v>#REF!</v>
      </c>
      <c r="DC346">
        <f>IF('COMPAS BUENAVENTURA'!18:18,"AAAAAD/vPmo=",0)</f>
        <v>0</v>
      </c>
      <c r="DD346" t="e">
        <f>AND('COMPAS BUENAVENTURA'!A6,"AAAAAD/vPms=")</f>
        <v>#VALUE!</v>
      </c>
      <c r="DE346" t="e">
        <f>AND('COMPAS BUENAVENTURA'!C6,"AAAAAD/vPmw=")</f>
        <v>#VALUE!</v>
      </c>
      <c r="DF346">
        <f>IF('COMPAS BUENAVENTURA'!21:21,"AAAAAD/vPm0=",0)</f>
        <v>0</v>
      </c>
      <c r="DG346" t="e">
        <f>AND('COMPAS BUENAVENTURA'!A21,"AAAAAD/vPm4=")</f>
        <v>#VALUE!</v>
      </c>
      <c r="DH346" t="e">
        <f>AND('COMPAS BUENAVENTURA'!B21,"AAAAAD/vPm8=")</f>
        <v>#VALUE!</v>
      </c>
      <c r="DI346">
        <f>IF('COMPAS BUENAVENTURA'!22:22,"AAAAAD/vPnA=",0)</f>
        <v>0</v>
      </c>
      <c r="DJ346" t="e">
        <f>AND('COMPAS BUENAVENTURA'!A22,"AAAAAD/vPnE=")</f>
        <v>#VALUE!</v>
      </c>
      <c r="DK346" t="e">
        <f>AND('COMPAS BUENAVENTURA'!B22,"AAAAAD/vPnI=")</f>
        <v>#VALUE!</v>
      </c>
      <c r="DL346" t="e">
        <f>IF('COMPAS BUENAVENTURA'!#REF!,"AAAAAD/vPnM=",0)</f>
        <v>#REF!</v>
      </c>
      <c r="DM346" t="e">
        <f>AND('COMPAS BUENAVENTURA'!#REF!,"AAAAAD/vPnQ=")</f>
        <v>#REF!</v>
      </c>
      <c r="DN346" t="e">
        <f>AND('COMPAS BUENAVENTURA'!#REF!,"AAAAAD/vPnU=")</f>
        <v>#REF!</v>
      </c>
      <c r="DO346" t="e">
        <f>IF('COMPAS BUENAVENTURA'!#REF!,"AAAAAD/vPnY=",0)</f>
        <v>#REF!</v>
      </c>
      <c r="DP346" t="e">
        <f>AND('COMPAS BUENAVENTURA'!#REF!,"AAAAAD/vPnc=")</f>
        <v>#REF!</v>
      </c>
      <c r="DQ346" t="e">
        <f>AND('COMPAS BUENAVENTURA'!#REF!,"AAAAAD/vPng=")</f>
        <v>#REF!</v>
      </c>
      <c r="DR346" t="e">
        <f>IF('COMPAS BUENAVENTURA'!#REF!,"AAAAAD/vPnk=",0)</f>
        <v>#REF!</v>
      </c>
      <c r="DS346" t="e">
        <f>AND('COMPAS BUENAVENTURA'!#REF!,"AAAAAD/vPno=")</f>
        <v>#REF!</v>
      </c>
      <c r="DT346" t="e">
        <f>AND('COMPAS BUENAVENTURA'!#REF!,"AAAAAD/vPns=")</f>
        <v>#REF!</v>
      </c>
      <c r="DU346" t="e">
        <f>IF('COMPAS BUENAVENTURA'!#REF!,"AAAAAD/vPnw=",0)</f>
        <v>#REF!</v>
      </c>
      <c r="DV346" t="e">
        <f>AND('COMPAS BUENAVENTURA'!#REF!,"AAAAAD/vPn0=")</f>
        <v>#REF!</v>
      </c>
      <c r="DW346" t="e">
        <f>AND('COMPAS BUENAVENTURA'!#REF!,"AAAAAD/vPn4=")</f>
        <v>#REF!</v>
      </c>
      <c r="DX346">
        <f>IF('COMPAS BUENAVENTURA'!A:A,"AAAAAD/vPn8=",0)</f>
        <v>0</v>
      </c>
      <c r="DY346">
        <f>IF('COMPAS BUENAVENTURA'!B:B,"AAAAAD/vPoA=",0)</f>
        <v>0</v>
      </c>
      <c r="DZ346">
        <f>IF('COMPAS BUENAVENTURA'!C:C,"AAAAAD/vPoE=",0)</f>
        <v>0</v>
      </c>
      <c r="EA346">
        <f>IF('COMPAS BUENAVENTURA'!D:D,"AAAAAD/vPoI=",0)</f>
        <v>0</v>
      </c>
      <c r="EB346">
        <f>IF('COMPAS BUENAVENTURA'!E:E,"AAAAAD/vPoM=",0)</f>
        <v>0</v>
      </c>
      <c r="EC346">
        <f>IF('COMPAS BUENAVENTURA'!F:F,"AAAAAD/vPoQ=",0)</f>
        <v>0</v>
      </c>
      <c r="ED346">
        <f>IF('GRUPO PORT.'!1:1,"AAAAAD/vPoU=",0)</f>
        <v>0</v>
      </c>
      <c r="EE346" t="e">
        <f>AND('GRUPO PORT.'!A1,"AAAAAD/vPoY=")</f>
        <v>#VALUE!</v>
      </c>
      <c r="EF346" t="e">
        <f>AND('GRUPO PORT.'!B1,"AAAAAD/vPoc=")</f>
        <v>#VALUE!</v>
      </c>
      <c r="EG346" t="e">
        <f>AND('GRUPO PORT.'!C1,"AAAAAD/vPog=")</f>
        <v>#VALUE!</v>
      </c>
      <c r="EH346" t="e">
        <f>AND('GRUPO PORT.'!D1,"AAAAAD/vPok=")</f>
        <v>#VALUE!</v>
      </c>
      <c r="EI346" t="e">
        <f>AND('GRUPO PORT.'!E1,"AAAAAD/vPoo=")</f>
        <v>#VALUE!</v>
      </c>
      <c r="EJ346" t="e">
        <f>AND('GRUPO PORT.'!F1,"AAAAAD/vPos=")</f>
        <v>#VALUE!</v>
      </c>
      <c r="EK346">
        <f>IF('GRUPO PORT.'!2:2,"AAAAAD/vPow=",0)</f>
        <v>0</v>
      </c>
      <c r="EL346" t="e">
        <f>AND('GRUPO PORT.'!A2,"AAAAAD/vPo0=")</f>
        <v>#VALUE!</v>
      </c>
      <c r="EM346" t="e">
        <f>AND('GRUPO PORT.'!B2,"AAAAAD/vPo4=")</f>
        <v>#VALUE!</v>
      </c>
      <c r="EN346" t="e">
        <f>AND('GRUPO PORT.'!C2,"AAAAAD/vPo8=")</f>
        <v>#VALUE!</v>
      </c>
      <c r="EO346" t="e">
        <f>AND('GRUPO PORT.'!D2,"AAAAAD/vPpA=")</f>
        <v>#VALUE!</v>
      </c>
      <c r="EP346" t="e">
        <f>AND('GRUPO PORT.'!E2,"AAAAAD/vPpE=")</f>
        <v>#VALUE!</v>
      </c>
      <c r="EQ346" t="e">
        <f>AND('GRUPO PORT.'!F2,"AAAAAD/vPpI=")</f>
        <v>#VALUE!</v>
      </c>
      <c r="ER346">
        <f>IF('GRUPO PORT.'!3:3,"AAAAAD/vPpM=",0)</f>
        <v>0</v>
      </c>
      <c r="ES346" t="e">
        <f>AND('GRUPO PORT.'!A3,"AAAAAD/vPpQ=")</f>
        <v>#VALUE!</v>
      </c>
      <c r="ET346" t="e">
        <f>AND('GRUPO PORT.'!B3,"AAAAAD/vPpU=")</f>
        <v>#VALUE!</v>
      </c>
      <c r="EU346" t="e">
        <f>AND('GRUPO PORT.'!C3,"AAAAAD/vPpY=")</f>
        <v>#VALUE!</v>
      </c>
      <c r="EV346" t="e">
        <f>AND('GRUPO PORT.'!D3,"AAAAAD/vPpc=")</f>
        <v>#VALUE!</v>
      </c>
      <c r="EW346" t="e">
        <f>AND('GRUPO PORT.'!E3,"AAAAAD/vPpg=")</f>
        <v>#VALUE!</v>
      </c>
      <c r="EX346" t="e">
        <f>AND('GRUPO PORT.'!F3,"AAAAAD/vPpk=")</f>
        <v>#VALUE!</v>
      </c>
      <c r="EY346">
        <f>IF('GRUPO PORT.'!4:4,"AAAAAD/vPpo=",0)</f>
        <v>0</v>
      </c>
      <c r="EZ346" t="e">
        <f>AND('GRUPO PORT.'!A4,"AAAAAD/vPps=")</f>
        <v>#VALUE!</v>
      </c>
      <c r="FA346" t="e">
        <f>AND('GRUPO PORT.'!B4,"AAAAAD/vPpw=")</f>
        <v>#VALUE!</v>
      </c>
      <c r="FB346" t="e">
        <f>AND('GRUPO PORT.'!C4,"AAAAAD/vPp0=")</f>
        <v>#VALUE!</v>
      </c>
      <c r="FC346" t="e">
        <f>AND('GRUPO PORT.'!D4,"AAAAAD/vPp4=")</f>
        <v>#VALUE!</v>
      </c>
      <c r="FD346" t="e">
        <f>AND('GRUPO PORT.'!E4,"AAAAAD/vPp8=")</f>
        <v>#VALUE!</v>
      </c>
      <c r="FE346" t="e">
        <f>AND('GRUPO PORT.'!F4,"AAAAAD/vPqA=")</f>
        <v>#VALUE!</v>
      </c>
      <c r="FF346">
        <f>IF('GRUPO PORT.'!5:5,"AAAAAD/vPqE=",0)</f>
        <v>0</v>
      </c>
      <c r="FG346" t="e">
        <f>AND('GRUPO PORT.'!A5,"AAAAAD/vPqI=")</f>
        <v>#VALUE!</v>
      </c>
      <c r="FH346" t="e">
        <f>AND('GRUPO PORT.'!B5,"AAAAAD/vPqM=")</f>
        <v>#VALUE!</v>
      </c>
      <c r="FI346" t="e">
        <f>AND('GRUPO PORT.'!C5,"AAAAAD/vPqQ=")</f>
        <v>#VALUE!</v>
      </c>
      <c r="FJ346" t="e">
        <f>AND('GRUPO PORT.'!D5,"AAAAAD/vPqU=")</f>
        <v>#VALUE!</v>
      </c>
      <c r="FK346" t="e">
        <f>AND('GRUPO PORT.'!E5,"AAAAAD/vPqY=")</f>
        <v>#VALUE!</v>
      </c>
      <c r="FL346" t="e">
        <f>AND('GRUPO PORT.'!F5,"AAAAAD/vPqc=")</f>
        <v>#VALUE!</v>
      </c>
      <c r="FM346">
        <f>IF('GRUPO PORT.'!6:6,"AAAAAD/vPqg=",0)</f>
        <v>0</v>
      </c>
      <c r="FN346" t="e">
        <f>AND('GRUPO PORT.'!A6,"AAAAAD/vPqk=")</f>
        <v>#VALUE!</v>
      </c>
      <c r="FO346" t="e">
        <f>AND('GRUPO PORT.'!B6,"AAAAAD/vPqo=")</f>
        <v>#VALUE!</v>
      </c>
      <c r="FP346" t="e">
        <f>AND('GRUPO PORT.'!C6,"AAAAAD/vPqs=")</f>
        <v>#VALUE!</v>
      </c>
      <c r="FQ346" t="e">
        <f>AND('GRUPO PORT.'!D6,"AAAAAD/vPqw=")</f>
        <v>#VALUE!</v>
      </c>
      <c r="FR346" t="e">
        <f>AND('GRUPO PORT.'!E6,"AAAAAD/vPq0=")</f>
        <v>#VALUE!</v>
      </c>
      <c r="FS346" t="e">
        <f>AND('GRUPO PORT.'!F6,"AAAAAD/vPq4=")</f>
        <v>#VALUE!</v>
      </c>
      <c r="FT346">
        <f>IF('GRUPO PORT.'!7:7,"AAAAAD/vPq8=",0)</f>
        <v>0</v>
      </c>
      <c r="FU346" t="e">
        <f>AND('GRUPO PORT.'!A7,"AAAAAD/vPrA=")</f>
        <v>#VALUE!</v>
      </c>
      <c r="FV346" t="e">
        <f>AND('GRUPO PORT.'!B7,"AAAAAD/vPrE=")</f>
        <v>#VALUE!</v>
      </c>
      <c r="FW346" t="e">
        <f>AND('GRUPO PORT.'!C7,"AAAAAD/vPrI=")</f>
        <v>#VALUE!</v>
      </c>
      <c r="FX346" t="e">
        <f>AND('GRUPO PORT.'!D7,"AAAAAD/vPrM=")</f>
        <v>#VALUE!</v>
      </c>
      <c r="FY346" t="e">
        <f>AND('GRUPO PORT.'!E7,"AAAAAD/vPrQ=")</f>
        <v>#VALUE!</v>
      </c>
      <c r="FZ346" t="e">
        <f>AND('GRUPO PORT.'!F7,"AAAAAD/vPrU=")</f>
        <v>#VALUE!</v>
      </c>
      <c r="GA346">
        <f>IF('GRUPO PORT.'!8:8,"AAAAAD/vPrY=",0)</f>
        <v>0</v>
      </c>
      <c r="GB346" t="e">
        <f>AND('GRUPO PORT.'!A8,"AAAAAD/vPrc=")</f>
        <v>#VALUE!</v>
      </c>
      <c r="GC346" t="e">
        <f>AND('GRUPO PORT.'!B8,"AAAAAD/vPrg=")</f>
        <v>#VALUE!</v>
      </c>
      <c r="GD346" t="e">
        <f>AND('GRUPO PORT.'!C8,"AAAAAD/vPrk=")</f>
        <v>#VALUE!</v>
      </c>
      <c r="GE346" t="e">
        <f>AND('GRUPO PORT.'!D8,"AAAAAD/vPro=")</f>
        <v>#VALUE!</v>
      </c>
      <c r="GF346" t="e">
        <f>AND('GRUPO PORT.'!E8,"AAAAAD/vPrs=")</f>
        <v>#VALUE!</v>
      </c>
      <c r="GG346" t="e">
        <f>AND('GRUPO PORT.'!F8,"AAAAAD/vPrw=")</f>
        <v>#VALUE!</v>
      </c>
      <c r="GH346">
        <f>IF('GRUPO PORT.'!9:9,"AAAAAD/vPr0=",0)</f>
        <v>0</v>
      </c>
      <c r="GI346" t="e">
        <f>AND('GRUPO PORT.'!A9,"AAAAAD/vPr4=")</f>
        <v>#VALUE!</v>
      </c>
      <c r="GJ346" t="e">
        <f>AND('GRUPO PORT.'!B9,"AAAAAD/vPr8=")</f>
        <v>#VALUE!</v>
      </c>
      <c r="GK346" t="e">
        <f>AND('GRUPO PORT.'!C9,"AAAAAD/vPsA=")</f>
        <v>#VALUE!</v>
      </c>
      <c r="GL346" t="e">
        <f>AND('GRUPO PORT.'!D9,"AAAAAD/vPsE=")</f>
        <v>#VALUE!</v>
      </c>
      <c r="GM346" t="e">
        <f>AND('GRUPO PORT.'!E9,"AAAAAD/vPsI=")</f>
        <v>#VALUE!</v>
      </c>
      <c r="GN346" t="e">
        <f>AND('GRUPO PORT.'!F9,"AAAAAD/vPsM=")</f>
        <v>#VALUE!</v>
      </c>
      <c r="GO346">
        <f>IF('GRUPO PORT.'!10:10,"AAAAAD/vPsQ=",0)</f>
        <v>0</v>
      </c>
      <c r="GP346" t="e">
        <f>AND('GRUPO PORT.'!A10,"AAAAAD/vPsU=")</f>
        <v>#VALUE!</v>
      </c>
      <c r="GQ346" t="e">
        <f>AND('GRUPO PORT.'!B10,"AAAAAD/vPsY=")</f>
        <v>#VALUE!</v>
      </c>
      <c r="GR346" t="e">
        <f>AND('GRUPO PORT.'!C10,"AAAAAD/vPsc=")</f>
        <v>#VALUE!</v>
      </c>
      <c r="GS346" t="e">
        <f>AND('GRUPO PORT.'!D10,"AAAAAD/vPsg=")</f>
        <v>#VALUE!</v>
      </c>
      <c r="GT346" t="e">
        <f>AND('GRUPO PORT.'!E10,"AAAAAD/vPsk=")</f>
        <v>#VALUE!</v>
      </c>
      <c r="GU346" t="e">
        <f>AND('GRUPO PORT.'!F10,"AAAAAD/vPso=")</f>
        <v>#VALUE!</v>
      </c>
      <c r="GV346">
        <f>IF('GRUPO PORT.'!11:11,"AAAAAD/vPss=",0)</f>
        <v>0</v>
      </c>
      <c r="GW346" t="e">
        <f>AND('GRUPO PORT.'!A11,"AAAAAD/vPsw=")</f>
        <v>#VALUE!</v>
      </c>
      <c r="GX346" t="e">
        <f>AND('GRUPO PORT.'!B11,"AAAAAD/vPs0=")</f>
        <v>#VALUE!</v>
      </c>
      <c r="GY346" t="e">
        <f>AND('GRUPO PORT.'!C11,"AAAAAD/vPs4=")</f>
        <v>#VALUE!</v>
      </c>
      <c r="GZ346" t="e">
        <f>AND('GRUPO PORT.'!D11,"AAAAAD/vPs8=")</f>
        <v>#VALUE!</v>
      </c>
      <c r="HA346" t="e">
        <f>AND('GRUPO PORT.'!E11,"AAAAAD/vPtA=")</f>
        <v>#VALUE!</v>
      </c>
      <c r="HB346" t="e">
        <f>AND('GRUPO PORT.'!F11,"AAAAAD/vPtE=")</f>
        <v>#VALUE!</v>
      </c>
      <c r="HC346">
        <f>IF('GRUPO PORT.'!12:12,"AAAAAD/vPtI=",0)</f>
        <v>0</v>
      </c>
      <c r="HD346" t="e">
        <f>AND('GRUPO PORT.'!A12,"AAAAAD/vPtM=")</f>
        <v>#VALUE!</v>
      </c>
      <c r="HE346" t="e">
        <f>AND('GRUPO PORT.'!B12,"AAAAAD/vPtQ=")</f>
        <v>#VALUE!</v>
      </c>
      <c r="HF346" t="e">
        <f>AND('GRUPO PORT.'!C12,"AAAAAD/vPtU=")</f>
        <v>#VALUE!</v>
      </c>
      <c r="HG346" t="e">
        <f>AND('GRUPO PORT.'!D12,"AAAAAD/vPtY=")</f>
        <v>#VALUE!</v>
      </c>
      <c r="HH346" t="e">
        <f>AND('GRUPO PORT.'!E12,"AAAAAD/vPtc=")</f>
        <v>#VALUE!</v>
      </c>
      <c r="HI346" t="e">
        <f>AND('GRUPO PORT.'!F12,"AAAAAD/vPtg=")</f>
        <v>#VALUE!</v>
      </c>
      <c r="HJ346">
        <f>IF('GRUPO PORT.'!13:13,"AAAAAD/vPtk=",0)</f>
        <v>0</v>
      </c>
      <c r="HK346" t="e">
        <f>AND('GRUPO PORT.'!A13,"AAAAAD/vPto=")</f>
        <v>#VALUE!</v>
      </c>
      <c r="HL346" t="e">
        <f>AND('GRUPO PORT.'!B13,"AAAAAD/vPts=")</f>
        <v>#VALUE!</v>
      </c>
      <c r="HM346" t="e">
        <f>AND('GRUPO PORT.'!C13,"AAAAAD/vPtw=")</f>
        <v>#VALUE!</v>
      </c>
      <c r="HN346" t="e">
        <f>AND('GRUPO PORT.'!D13,"AAAAAD/vPt0=")</f>
        <v>#VALUE!</v>
      </c>
      <c r="HO346" t="e">
        <f>AND('GRUPO PORT.'!E13,"AAAAAD/vPt4=")</f>
        <v>#VALUE!</v>
      </c>
      <c r="HP346" t="e">
        <f>AND('GRUPO PORT.'!F13,"AAAAAD/vPt8=")</f>
        <v>#VALUE!</v>
      </c>
      <c r="HQ346">
        <f>IF('GRUPO PORT.'!14:14,"AAAAAD/vPuA=",0)</f>
        <v>0</v>
      </c>
      <c r="HR346" t="e">
        <f>AND('GRUPO PORT.'!A14,"AAAAAD/vPuE=")</f>
        <v>#VALUE!</v>
      </c>
      <c r="HS346" t="e">
        <f>AND('GRUPO PORT.'!B14,"AAAAAD/vPuI=")</f>
        <v>#VALUE!</v>
      </c>
      <c r="HT346" t="e">
        <f>AND('GRUPO PORT.'!C14,"AAAAAD/vPuM=")</f>
        <v>#VALUE!</v>
      </c>
      <c r="HU346" t="e">
        <f>AND('GRUPO PORT.'!D14,"AAAAAD/vPuQ=")</f>
        <v>#VALUE!</v>
      </c>
      <c r="HV346" t="e">
        <f>AND('GRUPO PORT.'!E14,"AAAAAD/vPuU=")</f>
        <v>#VALUE!</v>
      </c>
      <c r="HW346" t="e">
        <f>AND('GRUPO PORT.'!F14,"AAAAAD/vPuY=")</f>
        <v>#VALUE!</v>
      </c>
      <c r="HX346">
        <f>IF('GRUPO PORT.'!15:15,"AAAAAD/vPuc=",0)</f>
        <v>0</v>
      </c>
      <c r="HY346" t="e">
        <f>AND('GRUPO PORT.'!A15,"AAAAAD/vPug=")</f>
        <v>#VALUE!</v>
      </c>
      <c r="HZ346" t="e">
        <f>AND('GRUPO PORT.'!B15,"AAAAAD/vPuk=")</f>
        <v>#VALUE!</v>
      </c>
      <c r="IA346" t="e">
        <f>AND('GRUPO PORT.'!C15,"AAAAAD/vPuo=")</f>
        <v>#VALUE!</v>
      </c>
      <c r="IB346" t="e">
        <f>AND('GRUPO PORT.'!D15,"AAAAAD/vPus=")</f>
        <v>#VALUE!</v>
      </c>
      <c r="IC346" t="e">
        <f>AND('GRUPO PORT.'!E15,"AAAAAD/vPuw=")</f>
        <v>#VALUE!</v>
      </c>
      <c r="ID346" t="e">
        <f>AND('GRUPO PORT.'!F15,"AAAAAD/vPu0=")</f>
        <v>#VALUE!</v>
      </c>
      <c r="IE346">
        <f>IF('GRUPO PORT.'!16:16,"AAAAAD/vPu4=",0)</f>
        <v>0</v>
      </c>
      <c r="IF346" t="e">
        <f>AND('GRUPO PORT.'!A16,"AAAAAD/vPu8=")</f>
        <v>#VALUE!</v>
      </c>
      <c r="IG346" t="e">
        <f>AND('GRUPO PORT.'!B16,"AAAAAD/vPvA=")</f>
        <v>#VALUE!</v>
      </c>
      <c r="IH346" t="e">
        <f>AND('GRUPO PORT.'!C16,"AAAAAD/vPvE=")</f>
        <v>#VALUE!</v>
      </c>
      <c r="II346" t="e">
        <f>AND('GRUPO PORT.'!D16,"AAAAAD/vPvI=")</f>
        <v>#VALUE!</v>
      </c>
      <c r="IJ346" t="e">
        <f>AND('GRUPO PORT.'!E16,"AAAAAD/vPvM=")</f>
        <v>#VALUE!</v>
      </c>
      <c r="IK346" t="e">
        <f>AND('GRUPO PORT.'!F16,"AAAAAD/vPvQ=")</f>
        <v>#VALUE!</v>
      </c>
      <c r="IL346">
        <f>IF('GRUPO PORT.'!17:17,"AAAAAD/vPvU=",0)</f>
        <v>0</v>
      </c>
      <c r="IM346" t="e">
        <f>AND('GRUPO PORT.'!A17,"AAAAAD/vPvY=")</f>
        <v>#VALUE!</v>
      </c>
      <c r="IN346" t="e">
        <f>AND('GRUPO PORT.'!B17,"AAAAAD/vPvc=")</f>
        <v>#VALUE!</v>
      </c>
      <c r="IO346" t="e">
        <f>AND('GRUPO PORT.'!C17,"AAAAAD/vPvg=")</f>
        <v>#VALUE!</v>
      </c>
      <c r="IP346" t="e">
        <f>AND('GRUPO PORT.'!D17,"AAAAAD/vPvk=")</f>
        <v>#VALUE!</v>
      </c>
      <c r="IQ346" t="e">
        <f>AND('GRUPO PORT.'!E17,"AAAAAD/vPvo=")</f>
        <v>#VALUE!</v>
      </c>
      <c r="IR346" t="e">
        <f>AND('GRUPO PORT.'!F17,"AAAAAD/vPvs=")</f>
        <v>#VALUE!</v>
      </c>
      <c r="IS346">
        <f>IF('GRUPO PORT.'!18:18,"AAAAAD/vPvw=",0)</f>
        <v>0</v>
      </c>
      <c r="IT346" t="e">
        <f>AND('GRUPO PORT.'!A18,"AAAAAD/vPv0=")</f>
        <v>#VALUE!</v>
      </c>
      <c r="IU346" t="e">
        <f>AND('GRUPO PORT.'!B18,"AAAAAD/vPv4=")</f>
        <v>#VALUE!</v>
      </c>
      <c r="IV346" t="e">
        <f>AND('GRUPO PORT.'!C18,"AAAAAD/vPv8=")</f>
        <v>#VALUE!</v>
      </c>
    </row>
    <row r="347" spans="1:256">
      <c r="A347" t="e">
        <f>AND('GRUPO PORT.'!D18,"AAAAADZr7AA=")</f>
        <v>#VALUE!</v>
      </c>
      <c r="B347" t="e">
        <f>AND('GRUPO PORT.'!E18,"AAAAADZr7AE=")</f>
        <v>#VALUE!</v>
      </c>
      <c r="C347" t="e">
        <f>AND('GRUPO PORT.'!F18,"AAAAADZr7AI=")</f>
        <v>#VALUE!</v>
      </c>
      <c r="D347" t="e">
        <f>IF('GRUPO PORT.'!19:19,"AAAAADZr7AM=",0)</f>
        <v>#VALUE!</v>
      </c>
      <c r="E347" t="e">
        <f>AND('GRUPO PORT.'!A19,"AAAAADZr7AQ=")</f>
        <v>#VALUE!</v>
      </c>
      <c r="F347" t="e">
        <f>AND('GRUPO PORT.'!B19,"AAAAADZr7AU=")</f>
        <v>#VALUE!</v>
      </c>
      <c r="G347" t="e">
        <f>AND('GRUPO PORT.'!C19,"AAAAADZr7AY=")</f>
        <v>#VALUE!</v>
      </c>
      <c r="H347" t="e">
        <f>AND('GRUPO PORT.'!D19,"AAAAADZr7Ac=")</f>
        <v>#VALUE!</v>
      </c>
      <c r="I347" t="e">
        <f>AND('GRUPO PORT.'!E19,"AAAAADZr7Ag=")</f>
        <v>#VALUE!</v>
      </c>
      <c r="J347" t="e">
        <f>AND('GRUPO PORT.'!F19,"AAAAADZr7Ak=")</f>
        <v>#VALUE!</v>
      </c>
      <c r="K347">
        <f>IF('GRUPO PORT.'!20:20,"AAAAADZr7Ao=",0)</f>
        <v>0</v>
      </c>
      <c r="L347" t="e">
        <f>AND('GRUPO PORT.'!A20,"AAAAADZr7As=")</f>
        <v>#VALUE!</v>
      </c>
      <c r="M347" t="e">
        <f>AND('GRUPO PORT.'!B20,"AAAAADZr7Aw=")</f>
        <v>#VALUE!</v>
      </c>
      <c r="N347" t="e">
        <f>AND('GRUPO PORT.'!C20,"AAAAADZr7A0=")</f>
        <v>#VALUE!</v>
      </c>
      <c r="O347" t="e">
        <f>AND('GRUPO PORT.'!D20,"AAAAADZr7A4=")</f>
        <v>#VALUE!</v>
      </c>
      <c r="P347" t="e">
        <f>AND('GRUPO PORT.'!E20,"AAAAADZr7A8=")</f>
        <v>#VALUE!</v>
      </c>
      <c r="Q347" t="e">
        <f>AND('GRUPO PORT.'!F20,"AAAAADZr7BA=")</f>
        <v>#VALUE!</v>
      </c>
      <c r="R347">
        <f>IF('GRUPO PORT.'!21:21,"AAAAADZr7BE=",0)</f>
        <v>0</v>
      </c>
      <c r="S347" t="e">
        <f>AND('GRUPO PORT.'!A21,"AAAAADZr7BI=")</f>
        <v>#VALUE!</v>
      </c>
      <c r="T347" t="e">
        <f>AND('GRUPO PORT.'!B21,"AAAAADZr7BM=")</f>
        <v>#VALUE!</v>
      </c>
      <c r="U347" t="e">
        <f>AND('GRUPO PORT.'!C21,"AAAAADZr7BQ=")</f>
        <v>#VALUE!</v>
      </c>
      <c r="V347" t="e">
        <f>AND('GRUPO PORT.'!D21,"AAAAADZr7BU=")</f>
        <v>#VALUE!</v>
      </c>
      <c r="W347" t="e">
        <f>AND('GRUPO PORT.'!E21,"AAAAADZr7BY=")</f>
        <v>#VALUE!</v>
      </c>
      <c r="X347" t="e">
        <f>AND('GRUPO PORT.'!F21,"AAAAADZr7Bc=")</f>
        <v>#VALUE!</v>
      </c>
      <c r="Y347">
        <f>IF('GRUPO PORT.'!22:22,"AAAAADZr7Bg=",0)</f>
        <v>0</v>
      </c>
      <c r="Z347" t="e">
        <f>AND('GRUPO PORT.'!A22,"AAAAADZr7Bk=")</f>
        <v>#VALUE!</v>
      </c>
      <c r="AA347" t="e">
        <f>AND('GRUPO PORT.'!B22,"AAAAADZr7Bo=")</f>
        <v>#VALUE!</v>
      </c>
      <c r="AB347" t="e">
        <f>AND('GRUPO PORT.'!C22,"AAAAADZr7Bs=")</f>
        <v>#VALUE!</v>
      </c>
      <c r="AC347" t="e">
        <f>AND('GRUPO PORT.'!D22,"AAAAADZr7Bw=")</f>
        <v>#VALUE!</v>
      </c>
      <c r="AD347" t="e">
        <f>AND('GRUPO PORT.'!E22,"AAAAADZr7B0=")</f>
        <v>#VALUE!</v>
      </c>
      <c r="AE347" t="e">
        <f>AND('GRUPO PORT.'!F22,"AAAAADZr7B4=")</f>
        <v>#VALUE!</v>
      </c>
      <c r="AF347">
        <f>IF('GRUPO PORT.'!23:23,"AAAAADZr7B8=",0)</f>
        <v>0</v>
      </c>
      <c r="AG347" t="e">
        <f>AND('GRUPO PORT.'!A23,"AAAAADZr7CA=")</f>
        <v>#VALUE!</v>
      </c>
      <c r="AH347" t="e">
        <f>AND('GRUPO PORT.'!B23,"AAAAADZr7CE=")</f>
        <v>#VALUE!</v>
      </c>
      <c r="AI347" t="e">
        <f>AND('GRUPO PORT.'!C23,"AAAAADZr7CI=")</f>
        <v>#VALUE!</v>
      </c>
      <c r="AJ347" t="e">
        <f>AND('GRUPO PORT.'!D23,"AAAAADZr7CM=")</f>
        <v>#VALUE!</v>
      </c>
      <c r="AK347" t="e">
        <f>AND('GRUPO PORT.'!E23,"AAAAADZr7CQ=")</f>
        <v>#VALUE!</v>
      </c>
      <c r="AL347" t="e">
        <f>AND('GRUPO PORT.'!F23,"AAAAADZr7CU=")</f>
        <v>#VALUE!</v>
      </c>
      <c r="AM347">
        <f>IF('GRUPO PORT.'!24:24,"AAAAADZr7CY=",0)</f>
        <v>0</v>
      </c>
      <c r="AN347" t="e">
        <f>AND('GRUPO PORT.'!A24,"AAAAADZr7Cc=")</f>
        <v>#VALUE!</v>
      </c>
      <c r="AO347" t="e">
        <f>AND('GRUPO PORT.'!B24,"AAAAADZr7Cg=")</f>
        <v>#VALUE!</v>
      </c>
      <c r="AP347" t="e">
        <f>AND('GRUPO PORT.'!C24,"AAAAADZr7Ck=")</f>
        <v>#VALUE!</v>
      </c>
      <c r="AQ347" t="e">
        <f>AND('GRUPO PORT.'!D24,"AAAAADZr7Co=")</f>
        <v>#VALUE!</v>
      </c>
      <c r="AR347" t="e">
        <f>AND('GRUPO PORT.'!E24,"AAAAADZr7Cs=")</f>
        <v>#VALUE!</v>
      </c>
      <c r="AS347" t="e">
        <f>AND('GRUPO PORT.'!F24,"AAAAADZr7Cw=")</f>
        <v>#VALUE!</v>
      </c>
      <c r="AT347">
        <f>IF('GRUPO PORT.'!25:25,"AAAAADZr7C0=",0)</f>
        <v>0</v>
      </c>
      <c r="AU347" t="e">
        <f>AND('GRUPO PORT.'!A25,"AAAAADZr7C4=")</f>
        <v>#VALUE!</v>
      </c>
      <c r="AV347" t="e">
        <f>AND('GRUPO PORT.'!B25,"AAAAADZr7C8=")</f>
        <v>#VALUE!</v>
      </c>
      <c r="AW347" t="e">
        <f>AND('GRUPO PORT.'!C25,"AAAAADZr7DA=")</f>
        <v>#VALUE!</v>
      </c>
      <c r="AX347" t="e">
        <f>AND('GRUPO PORT.'!D25,"AAAAADZr7DE=")</f>
        <v>#VALUE!</v>
      </c>
      <c r="AY347" t="e">
        <f>AND('GRUPO PORT.'!E25,"AAAAADZr7DI=")</f>
        <v>#VALUE!</v>
      </c>
      <c r="AZ347" t="e">
        <f>AND('GRUPO PORT.'!F25,"AAAAADZr7DM=")</f>
        <v>#VALUE!</v>
      </c>
      <c r="BA347">
        <f>IF('GRUPO PORT.'!26:26,"AAAAADZr7DQ=",0)</f>
        <v>0</v>
      </c>
      <c r="BB347" t="e">
        <f>AND('GRUPO PORT.'!A26,"AAAAADZr7DU=")</f>
        <v>#VALUE!</v>
      </c>
      <c r="BC347" t="e">
        <f>AND('GRUPO PORT.'!B26,"AAAAADZr7DY=")</f>
        <v>#VALUE!</v>
      </c>
      <c r="BD347" t="e">
        <f>AND('GRUPO PORT.'!C26,"AAAAADZr7Dc=")</f>
        <v>#VALUE!</v>
      </c>
      <c r="BE347" t="e">
        <f>AND('GRUPO PORT.'!D26,"AAAAADZr7Dg=")</f>
        <v>#VALUE!</v>
      </c>
      <c r="BF347" t="e">
        <f>AND('GRUPO PORT.'!E26,"AAAAADZr7Dk=")</f>
        <v>#VALUE!</v>
      </c>
      <c r="BG347" t="e">
        <f>AND('GRUPO PORT.'!F26,"AAAAADZr7Do=")</f>
        <v>#VALUE!</v>
      </c>
      <c r="BH347">
        <f>IF('GRUPO PORT.'!27:27,"AAAAADZr7Ds=",0)</f>
        <v>0</v>
      </c>
      <c r="BI347" t="e">
        <f>AND('GRUPO PORT.'!A27,"AAAAADZr7Dw=")</f>
        <v>#VALUE!</v>
      </c>
      <c r="BJ347" t="e">
        <f>AND('GRUPO PORT.'!B27,"AAAAADZr7D0=")</f>
        <v>#VALUE!</v>
      </c>
      <c r="BK347" t="e">
        <f>AND('GRUPO PORT.'!C27,"AAAAADZr7D4=")</f>
        <v>#VALUE!</v>
      </c>
      <c r="BL347" t="e">
        <f>AND('GRUPO PORT.'!D27,"AAAAADZr7D8=")</f>
        <v>#VALUE!</v>
      </c>
      <c r="BM347" t="e">
        <f>AND('GRUPO PORT.'!E27,"AAAAADZr7EA=")</f>
        <v>#VALUE!</v>
      </c>
      <c r="BN347" t="e">
        <f>AND('GRUPO PORT.'!F27,"AAAAADZr7EE=")</f>
        <v>#VALUE!</v>
      </c>
      <c r="BO347">
        <f>IF('GRUPO PORT.'!28:28,"AAAAADZr7EI=",0)</f>
        <v>0</v>
      </c>
      <c r="BP347" t="e">
        <f>AND('GRUPO PORT.'!A28,"AAAAADZr7EM=")</f>
        <v>#VALUE!</v>
      </c>
      <c r="BQ347" t="e">
        <f>AND('GRUPO PORT.'!B28,"AAAAADZr7EQ=")</f>
        <v>#VALUE!</v>
      </c>
      <c r="BR347" t="e">
        <f>AND('GRUPO PORT.'!C28,"AAAAADZr7EU=")</f>
        <v>#VALUE!</v>
      </c>
      <c r="BS347" t="e">
        <f>AND('GRUPO PORT.'!D28,"AAAAADZr7EY=")</f>
        <v>#VALUE!</v>
      </c>
      <c r="BT347" t="e">
        <f>AND('GRUPO PORT.'!E28,"AAAAADZr7Ec=")</f>
        <v>#VALUE!</v>
      </c>
      <c r="BU347" t="e">
        <f>AND('GRUPO PORT.'!F28,"AAAAADZr7Eg=")</f>
        <v>#VALUE!</v>
      </c>
      <c r="BV347">
        <f>IF('GRUPO PORT.'!29:29,"AAAAADZr7Ek=",0)</f>
        <v>0</v>
      </c>
      <c r="BW347" t="e">
        <f>AND('GRUPO PORT.'!A29,"AAAAADZr7Eo=")</f>
        <v>#VALUE!</v>
      </c>
      <c r="BX347" t="e">
        <f>AND('GRUPO PORT.'!B29,"AAAAADZr7Es=")</f>
        <v>#VALUE!</v>
      </c>
      <c r="BY347" t="e">
        <f>AND('GRUPO PORT.'!C29,"AAAAADZr7Ew=")</f>
        <v>#VALUE!</v>
      </c>
      <c r="BZ347" t="e">
        <f>AND('GRUPO PORT.'!D29,"AAAAADZr7E0=")</f>
        <v>#VALUE!</v>
      </c>
      <c r="CA347" t="e">
        <f>AND('GRUPO PORT.'!E29,"AAAAADZr7E4=")</f>
        <v>#VALUE!</v>
      </c>
      <c r="CB347" t="e">
        <f>AND('GRUPO PORT.'!F29,"AAAAADZr7E8=")</f>
        <v>#VALUE!</v>
      </c>
      <c r="CC347">
        <f>IF('GRUPO PORT.'!30:30,"AAAAADZr7FA=",0)</f>
        <v>0</v>
      </c>
      <c r="CD347" t="e">
        <f>AND('GRUPO PORT.'!A30,"AAAAADZr7FE=")</f>
        <v>#VALUE!</v>
      </c>
      <c r="CE347" t="e">
        <f>AND('GRUPO PORT.'!B30,"AAAAADZr7FI=")</f>
        <v>#VALUE!</v>
      </c>
      <c r="CF347" t="e">
        <f>AND('GRUPO PORT.'!C30,"AAAAADZr7FM=")</f>
        <v>#VALUE!</v>
      </c>
      <c r="CG347" t="e">
        <f>AND('GRUPO PORT.'!D30,"AAAAADZr7FQ=")</f>
        <v>#VALUE!</v>
      </c>
      <c r="CH347" t="e">
        <f>AND('GRUPO PORT.'!E30,"AAAAADZr7FU=")</f>
        <v>#VALUE!</v>
      </c>
      <c r="CI347" t="e">
        <f>AND('GRUPO PORT.'!F30,"AAAAADZr7FY=")</f>
        <v>#VALUE!</v>
      </c>
      <c r="CJ347">
        <f>IF('GRUPO PORT.'!31:31,"AAAAADZr7Fc=",0)</f>
        <v>0</v>
      </c>
      <c r="CK347" t="e">
        <f>AND('GRUPO PORT.'!A31,"AAAAADZr7Fg=")</f>
        <v>#VALUE!</v>
      </c>
      <c r="CL347" t="e">
        <f>AND('GRUPO PORT.'!B31,"AAAAADZr7Fk=")</f>
        <v>#VALUE!</v>
      </c>
      <c r="CM347" t="e">
        <f>AND('GRUPO PORT.'!C31,"AAAAADZr7Fo=")</f>
        <v>#VALUE!</v>
      </c>
      <c r="CN347" t="e">
        <f>AND('GRUPO PORT.'!D31,"AAAAADZr7Fs=")</f>
        <v>#VALUE!</v>
      </c>
      <c r="CO347" t="e">
        <f>AND('GRUPO PORT.'!E31,"AAAAADZr7Fw=")</f>
        <v>#VALUE!</v>
      </c>
      <c r="CP347" t="e">
        <f>AND('GRUPO PORT.'!F31,"AAAAADZr7F0=")</f>
        <v>#VALUE!</v>
      </c>
      <c r="CQ347">
        <f>IF('GRUPO PORT.'!32:32,"AAAAADZr7F4=",0)</f>
        <v>0</v>
      </c>
      <c r="CR347" t="e">
        <f>AND('GRUPO PORT.'!A32,"AAAAADZr7F8=")</f>
        <v>#VALUE!</v>
      </c>
      <c r="CS347" t="e">
        <f>AND('GRUPO PORT.'!B32,"AAAAADZr7GA=")</f>
        <v>#VALUE!</v>
      </c>
      <c r="CT347" t="e">
        <f>AND('GRUPO PORT.'!C32,"AAAAADZr7GE=")</f>
        <v>#VALUE!</v>
      </c>
      <c r="CU347" t="e">
        <f>AND('GRUPO PORT.'!D32,"AAAAADZr7GI=")</f>
        <v>#VALUE!</v>
      </c>
      <c r="CV347" t="e">
        <f>AND('GRUPO PORT.'!E32,"AAAAADZr7GM=")</f>
        <v>#VALUE!</v>
      </c>
      <c r="CW347" t="e">
        <f>AND('GRUPO PORT.'!F32,"AAAAADZr7GQ=")</f>
        <v>#VALUE!</v>
      </c>
      <c r="CX347">
        <f>IF('GRUPO PORT.'!33:33,"AAAAADZr7GU=",0)</f>
        <v>0</v>
      </c>
      <c r="CY347" t="e">
        <f>AND('GRUPO PORT.'!A33,"AAAAADZr7GY=")</f>
        <v>#VALUE!</v>
      </c>
      <c r="CZ347" t="e">
        <f>AND('GRUPO PORT.'!B33,"AAAAADZr7Gc=")</f>
        <v>#VALUE!</v>
      </c>
      <c r="DA347" t="e">
        <f>AND('GRUPO PORT.'!C33,"AAAAADZr7Gg=")</f>
        <v>#VALUE!</v>
      </c>
      <c r="DB347" t="e">
        <f>AND('GRUPO PORT.'!D33,"AAAAADZr7Gk=")</f>
        <v>#VALUE!</v>
      </c>
      <c r="DC347" t="e">
        <f>AND('GRUPO PORT.'!E33,"AAAAADZr7Go=")</f>
        <v>#VALUE!</v>
      </c>
      <c r="DD347" t="e">
        <f>AND('GRUPO PORT.'!F33,"AAAAADZr7Gs=")</f>
        <v>#VALUE!</v>
      </c>
      <c r="DE347">
        <f>IF('GRUPO PORT.'!34:34,"AAAAADZr7Gw=",0)</f>
        <v>0</v>
      </c>
      <c r="DF347" t="e">
        <f>AND('GRUPO PORT.'!A34,"AAAAADZr7G0=")</f>
        <v>#VALUE!</v>
      </c>
      <c r="DG347" t="e">
        <f>AND('GRUPO PORT.'!B34,"AAAAADZr7G4=")</f>
        <v>#VALUE!</v>
      </c>
      <c r="DH347" t="e">
        <f>AND('GRUPO PORT.'!C34,"AAAAADZr7G8=")</f>
        <v>#VALUE!</v>
      </c>
      <c r="DI347" t="e">
        <f>AND('GRUPO PORT.'!D34,"AAAAADZr7HA=")</f>
        <v>#VALUE!</v>
      </c>
      <c r="DJ347" t="e">
        <f>AND('GRUPO PORT.'!E34,"AAAAADZr7HE=")</f>
        <v>#VALUE!</v>
      </c>
      <c r="DK347" t="e">
        <f>AND('GRUPO PORT.'!F34,"AAAAADZr7HI=")</f>
        <v>#VALUE!</v>
      </c>
      <c r="DL347">
        <f>IF('GRUPO PORT.'!35:35,"AAAAADZr7HM=",0)</f>
        <v>0</v>
      </c>
      <c r="DM347" t="e">
        <f>AND('GRUPO PORT.'!A35,"AAAAADZr7HQ=")</f>
        <v>#VALUE!</v>
      </c>
      <c r="DN347" t="e">
        <f>AND('GRUPO PORT.'!B35,"AAAAADZr7HU=")</f>
        <v>#VALUE!</v>
      </c>
      <c r="DO347" t="e">
        <f>AND('GRUPO PORT.'!C35,"AAAAADZr7HY=")</f>
        <v>#VALUE!</v>
      </c>
      <c r="DP347" t="e">
        <f>AND('GRUPO PORT.'!D35,"AAAAADZr7Hc=")</f>
        <v>#VALUE!</v>
      </c>
      <c r="DQ347" t="e">
        <f>AND('GRUPO PORT.'!E35,"AAAAADZr7Hg=")</f>
        <v>#VALUE!</v>
      </c>
      <c r="DR347" t="e">
        <f>AND('GRUPO PORT.'!F35,"AAAAADZr7Hk=")</f>
        <v>#VALUE!</v>
      </c>
      <c r="DS347">
        <f>IF('GRUPO PORT.'!36:36,"AAAAADZr7Ho=",0)</f>
        <v>0</v>
      </c>
      <c r="DT347" t="e">
        <f>AND('GRUPO PORT.'!A36,"AAAAADZr7Hs=")</f>
        <v>#VALUE!</v>
      </c>
      <c r="DU347" t="e">
        <f>AND('GRUPO PORT.'!B36,"AAAAADZr7Hw=")</f>
        <v>#VALUE!</v>
      </c>
      <c r="DV347" t="e">
        <f>AND('GRUPO PORT.'!C36,"AAAAADZr7H0=")</f>
        <v>#VALUE!</v>
      </c>
      <c r="DW347" t="e">
        <f>AND('GRUPO PORT.'!D36,"AAAAADZr7H4=")</f>
        <v>#VALUE!</v>
      </c>
      <c r="DX347" t="e">
        <f>AND('GRUPO PORT.'!E36,"AAAAADZr7H8=")</f>
        <v>#VALUE!</v>
      </c>
      <c r="DY347" t="e">
        <f>AND('GRUPO PORT.'!F36,"AAAAADZr7IA=")</f>
        <v>#VALUE!</v>
      </c>
      <c r="DZ347">
        <f>IF('GRUPO PORT.'!37:37,"AAAAADZr7IE=",0)</f>
        <v>0</v>
      </c>
      <c r="EA347" t="e">
        <f>AND('GRUPO PORT.'!A37,"AAAAADZr7II=")</f>
        <v>#VALUE!</v>
      </c>
      <c r="EB347" t="e">
        <f>AND('GRUPO PORT.'!B37,"AAAAADZr7IM=")</f>
        <v>#VALUE!</v>
      </c>
      <c r="EC347" t="e">
        <f>AND('GRUPO PORT.'!C37,"AAAAADZr7IQ=")</f>
        <v>#VALUE!</v>
      </c>
      <c r="ED347" t="e">
        <f>AND('GRUPO PORT.'!D37,"AAAAADZr7IU=")</f>
        <v>#VALUE!</v>
      </c>
      <c r="EE347" t="e">
        <f>AND('GRUPO PORT.'!E37,"AAAAADZr7IY=")</f>
        <v>#VALUE!</v>
      </c>
      <c r="EF347" t="e">
        <f>AND('GRUPO PORT.'!F37,"AAAAADZr7Ic=")</f>
        <v>#VALUE!</v>
      </c>
      <c r="EG347">
        <f>IF('GRUPO PORT.'!38:38,"AAAAADZr7Ig=",0)</f>
        <v>0</v>
      </c>
      <c r="EH347" t="e">
        <f>AND('GRUPO PORT.'!A38,"AAAAADZr7Ik=")</f>
        <v>#VALUE!</v>
      </c>
      <c r="EI347" t="e">
        <f>AND('GRUPO PORT.'!B38,"AAAAADZr7Io=")</f>
        <v>#VALUE!</v>
      </c>
      <c r="EJ347" t="e">
        <f>AND('GRUPO PORT.'!C38,"AAAAADZr7Is=")</f>
        <v>#VALUE!</v>
      </c>
      <c r="EK347" t="e">
        <f>AND('GRUPO PORT.'!D38,"AAAAADZr7Iw=")</f>
        <v>#VALUE!</v>
      </c>
      <c r="EL347" t="e">
        <f>AND('GRUPO PORT.'!E38,"AAAAADZr7I0=")</f>
        <v>#VALUE!</v>
      </c>
      <c r="EM347" t="e">
        <f>AND('GRUPO PORT.'!F38,"AAAAADZr7I4=")</f>
        <v>#VALUE!</v>
      </c>
      <c r="EN347">
        <f>IF('GRUPO PORT.'!39:39,"AAAAADZr7I8=",0)</f>
        <v>0</v>
      </c>
      <c r="EO347" t="e">
        <f>AND('GRUPO PORT.'!A39,"AAAAADZr7JA=")</f>
        <v>#VALUE!</v>
      </c>
      <c r="EP347" t="e">
        <f>AND('GRUPO PORT.'!B39,"AAAAADZr7JE=")</f>
        <v>#VALUE!</v>
      </c>
      <c r="EQ347" t="e">
        <f>AND('GRUPO PORT.'!C39,"AAAAADZr7JI=")</f>
        <v>#VALUE!</v>
      </c>
      <c r="ER347" t="e">
        <f>AND('GRUPO PORT.'!D39,"AAAAADZr7JM=")</f>
        <v>#VALUE!</v>
      </c>
      <c r="ES347" t="e">
        <f>AND('GRUPO PORT.'!E39,"AAAAADZr7JQ=")</f>
        <v>#VALUE!</v>
      </c>
      <c r="ET347" t="e">
        <f>AND('GRUPO PORT.'!F39,"AAAAADZr7JU=")</f>
        <v>#VALUE!</v>
      </c>
      <c r="EU347">
        <f>IF('GRUPO PORT.'!40:40,"AAAAADZr7JY=",0)</f>
        <v>0</v>
      </c>
      <c r="EV347" t="e">
        <f>AND('GRUPO PORT.'!A40,"AAAAADZr7Jc=")</f>
        <v>#VALUE!</v>
      </c>
      <c r="EW347" t="e">
        <f>AND('GRUPO PORT.'!B40,"AAAAADZr7Jg=")</f>
        <v>#VALUE!</v>
      </c>
      <c r="EX347" t="e">
        <f>AND('GRUPO PORT.'!C40,"AAAAADZr7Jk=")</f>
        <v>#VALUE!</v>
      </c>
      <c r="EY347" t="e">
        <f>AND('GRUPO PORT.'!D40,"AAAAADZr7Jo=")</f>
        <v>#VALUE!</v>
      </c>
      <c r="EZ347" t="e">
        <f>AND('GRUPO PORT.'!E40,"AAAAADZr7Js=")</f>
        <v>#VALUE!</v>
      </c>
      <c r="FA347" t="e">
        <f>AND('GRUPO PORT.'!F40,"AAAAADZr7Jw=")</f>
        <v>#VALUE!</v>
      </c>
      <c r="FB347">
        <f>IF('GRUPO PORT.'!41:41,"AAAAADZr7J0=",0)</f>
        <v>0</v>
      </c>
      <c r="FC347" t="e">
        <f>AND('GRUPO PORT.'!A41,"AAAAADZr7J4=")</f>
        <v>#VALUE!</v>
      </c>
      <c r="FD347" t="e">
        <f>AND('GRUPO PORT.'!B41,"AAAAADZr7J8=")</f>
        <v>#VALUE!</v>
      </c>
      <c r="FE347" t="e">
        <f>AND('GRUPO PORT.'!C41,"AAAAADZr7KA=")</f>
        <v>#VALUE!</v>
      </c>
      <c r="FF347" t="e">
        <f>AND('GRUPO PORT.'!D41,"AAAAADZr7KE=")</f>
        <v>#VALUE!</v>
      </c>
      <c r="FG347" t="e">
        <f>AND('GRUPO PORT.'!E41,"AAAAADZr7KI=")</f>
        <v>#VALUE!</v>
      </c>
      <c r="FH347" t="e">
        <f>AND('GRUPO PORT.'!F41,"AAAAADZr7KM=")</f>
        <v>#VALUE!</v>
      </c>
      <c r="FI347">
        <f>IF('GRUPO PORT.'!42:42,"AAAAADZr7KQ=",0)</f>
        <v>0</v>
      </c>
      <c r="FJ347" t="e">
        <f>AND('GRUPO PORT.'!A42,"AAAAADZr7KU=")</f>
        <v>#VALUE!</v>
      </c>
      <c r="FK347" t="e">
        <f>AND('GRUPO PORT.'!B42,"AAAAADZr7KY=")</f>
        <v>#VALUE!</v>
      </c>
      <c r="FL347" t="e">
        <f>AND('GRUPO PORT.'!C42,"AAAAADZr7Kc=")</f>
        <v>#VALUE!</v>
      </c>
      <c r="FM347" t="e">
        <f>AND('GRUPO PORT.'!D42,"AAAAADZr7Kg=")</f>
        <v>#VALUE!</v>
      </c>
      <c r="FN347" t="e">
        <f>AND('GRUPO PORT.'!E42,"AAAAADZr7Kk=")</f>
        <v>#VALUE!</v>
      </c>
      <c r="FO347" t="e">
        <f>AND('GRUPO PORT.'!F42,"AAAAADZr7Ko=")</f>
        <v>#VALUE!</v>
      </c>
      <c r="FP347">
        <f>IF('GRUPO PORT.'!43:43,"AAAAADZr7Ks=",0)</f>
        <v>0</v>
      </c>
      <c r="FQ347" t="e">
        <f>AND('GRUPO PORT.'!A43,"AAAAADZr7Kw=")</f>
        <v>#VALUE!</v>
      </c>
      <c r="FR347" t="e">
        <f>AND('GRUPO PORT.'!B43,"AAAAADZr7K0=")</f>
        <v>#VALUE!</v>
      </c>
      <c r="FS347" t="e">
        <f>AND('GRUPO PORT.'!C43,"AAAAADZr7K4=")</f>
        <v>#VALUE!</v>
      </c>
      <c r="FT347" t="e">
        <f>AND('GRUPO PORT.'!D43,"AAAAADZr7K8=")</f>
        <v>#VALUE!</v>
      </c>
      <c r="FU347" t="e">
        <f>AND('GRUPO PORT.'!E43,"AAAAADZr7LA=")</f>
        <v>#VALUE!</v>
      </c>
      <c r="FV347" t="e">
        <f>AND('GRUPO PORT.'!F43,"AAAAADZr7LE=")</f>
        <v>#VALUE!</v>
      </c>
      <c r="FW347">
        <f>IF('GRUPO PORT.'!44:44,"AAAAADZr7LI=",0)</f>
        <v>0</v>
      </c>
      <c r="FX347" t="e">
        <f>AND('GRUPO PORT.'!A44,"AAAAADZr7LM=")</f>
        <v>#VALUE!</v>
      </c>
      <c r="FY347" t="e">
        <f>AND('GRUPO PORT.'!B44,"AAAAADZr7LQ=")</f>
        <v>#VALUE!</v>
      </c>
      <c r="FZ347" t="e">
        <f>AND('GRUPO PORT.'!C44,"AAAAADZr7LU=")</f>
        <v>#VALUE!</v>
      </c>
      <c r="GA347" t="e">
        <f>AND('GRUPO PORT.'!D44,"AAAAADZr7LY=")</f>
        <v>#VALUE!</v>
      </c>
      <c r="GB347" t="e">
        <f>AND('GRUPO PORT.'!E44,"AAAAADZr7Lc=")</f>
        <v>#VALUE!</v>
      </c>
      <c r="GC347" t="e">
        <f>AND('GRUPO PORT.'!F44,"AAAAADZr7Lg=")</f>
        <v>#VALUE!</v>
      </c>
      <c r="GD347">
        <f>IF('GRUPO PORT.'!45:45,"AAAAADZr7Lk=",0)</f>
        <v>0</v>
      </c>
      <c r="GE347" t="e">
        <f>AND('GRUPO PORT.'!A45,"AAAAADZr7Lo=")</f>
        <v>#VALUE!</v>
      </c>
      <c r="GF347" t="e">
        <f>AND('GRUPO PORT.'!B45,"AAAAADZr7Ls=")</f>
        <v>#VALUE!</v>
      </c>
      <c r="GG347" t="e">
        <f>AND('GRUPO PORT.'!C45,"AAAAADZr7Lw=")</f>
        <v>#VALUE!</v>
      </c>
      <c r="GH347" t="e">
        <f>AND('GRUPO PORT.'!D45,"AAAAADZr7L0=")</f>
        <v>#VALUE!</v>
      </c>
      <c r="GI347" t="e">
        <f>AND('GRUPO PORT.'!E45,"AAAAADZr7L4=")</f>
        <v>#VALUE!</v>
      </c>
      <c r="GJ347" t="e">
        <f>AND('GRUPO PORT.'!F45,"AAAAADZr7L8=")</f>
        <v>#VALUE!</v>
      </c>
      <c r="GK347">
        <f>IF('GRUPO PORT.'!46:46,"AAAAADZr7MA=",0)</f>
        <v>0</v>
      </c>
      <c r="GL347" t="e">
        <f>AND('GRUPO PORT.'!A46,"AAAAADZr7ME=")</f>
        <v>#VALUE!</v>
      </c>
      <c r="GM347" t="e">
        <f>AND('GRUPO PORT.'!B46,"AAAAADZr7MI=")</f>
        <v>#VALUE!</v>
      </c>
      <c r="GN347" t="e">
        <f>AND('GRUPO PORT.'!C46,"AAAAADZr7MM=")</f>
        <v>#VALUE!</v>
      </c>
      <c r="GO347" t="e">
        <f>AND('GRUPO PORT.'!D46,"AAAAADZr7MQ=")</f>
        <v>#VALUE!</v>
      </c>
      <c r="GP347" t="e">
        <f>AND('GRUPO PORT.'!E46,"AAAAADZr7MU=")</f>
        <v>#VALUE!</v>
      </c>
      <c r="GQ347" t="e">
        <f>AND('GRUPO PORT.'!F46,"AAAAADZr7MY=")</f>
        <v>#VALUE!</v>
      </c>
      <c r="GR347">
        <f>IF('GRUPO PORT.'!47:47,"AAAAADZr7Mc=",0)</f>
        <v>0</v>
      </c>
      <c r="GS347" t="e">
        <f>AND('GRUPO PORT.'!A47,"AAAAADZr7Mg=")</f>
        <v>#VALUE!</v>
      </c>
      <c r="GT347" t="e">
        <f>AND('GRUPO PORT.'!B47,"AAAAADZr7Mk=")</f>
        <v>#VALUE!</v>
      </c>
      <c r="GU347" t="e">
        <f>AND('GRUPO PORT.'!C47,"AAAAADZr7Mo=")</f>
        <v>#VALUE!</v>
      </c>
      <c r="GV347" t="e">
        <f>AND('GRUPO PORT.'!D47,"AAAAADZr7Ms=")</f>
        <v>#VALUE!</v>
      </c>
      <c r="GW347" t="e">
        <f>AND('GRUPO PORT.'!E47,"AAAAADZr7Mw=")</f>
        <v>#VALUE!</v>
      </c>
      <c r="GX347" t="e">
        <f>AND('GRUPO PORT.'!F47,"AAAAADZr7M0=")</f>
        <v>#VALUE!</v>
      </c>
      <c r="GY347">
        <f>IF('GRUPO PORT.'!48:48,"AAAAADZr7M4=",0)</f>
        <v>0</v>
      </c>
      <c r="GZ347" t="e">
        <f>AND('GRUPO PORT.'!A48,"AAAAADZr7M8=")</f>
        <v>#VALUE!</v>
      </c>
      <c r="HA347" t="e">
        <f>AND('GRUPO PORT.'!B48,"AAAAADZr7NA=")</f>
        <v>#VALUE!</v>
      </c>
      <c r="HB347" t="e">
        <f>AND('GRUPO PORT.'!C48,"AAAAADZr7NE=")</f>
        <v>#VALUE!</v>
      </c>
      <c r="HC347" t="e">
        <f>AND('GRUPO PORT.'!D48,"AAAAADZr7NI=")</f>
        <v>#VALUE!</v>
      </c>
      <c r="HD347" t="e">
        <f>AND('GRUPO PORT.'!E48,"AAAAADZr7NM=")</f>
        <v>#VALUE!</v>
      </c>
      <c r="HE347" t="e">
        <f>AND('GRUPO PORT.'!F48,"AAAAADZr7NQ=")</f>
        <v>#VALUE!</v>
      </c>
      <c r="HF347">
        <f>IF('GRUPO PORT.'!49:49,"AAAAADZr7NU=",0)</f>
        <v>0</v>
      </c>
      <c r="HG347" t="e">
        <f>AND('GRUPO PORT.'!A49,"AAAAADZr7NY=")</f>
        <v>#VALUE!</v>
      </c>
      <c r="HH347" t="e">
        <f>AND('GRUPO PORT.'!B49,"AAAAADZr7Nc=")</f>
        <v>#VALUE!</v>
      </c>
      <c r="HI347" t="e">
        <f>AND('GRUPO PORT.'!C49,"AAAAADZr7Ng=")</f>
        <v>#VALUE!</v>
      </c>
      <c r="HJ347" t="e">
        <f>AND('GRUPO PORT.'!D49,"AAAAADZr7Nk=")</f>
        <v>#VALUE!</v>
      </c>
      <c r="HK347" t="e">
        <f>AND('GRUPO PORT.'!E49,"AAAAADZr7No=")</f>
        <v>#VALUE!</v>
      </c>
      <c r="HL347" t="e">
        <f>AND('GRUPO PORT.'!F49,"AAAAADZr7Ns=")</f>
        <v>#VALUE!</v>
      </c>
      <c r="HM347">
        <f>IF('GRUPO PORT.'!50:50,"AAAAADZr7Nw=",0)</f>
        <v>0</v>
      </c>
      <c r="HN347" t="e">
        <f>AND('GRUPO PORT.'!A50,"AAAAADZr7N0=")</f>
        <v>#VALUE!</v>
      </c>
      <c r="HO347" t="e">
        <f>AND('GRUPO PORT.'!B50,"AAAAADZr7N4=")</f>
        <v>#VALUE!</v>
      </c>
      <c r="HP347" t="e">
        <f>AND('GRUPO PORT.'!C50,"AAAAADZr7N8=")</f>
        <v>#VALUE!</v>
      </c>
      <c r="HQ347" t="e">
        <f>AND('GRUPO PORT.'!D50,"AAAAADZr7OA=")</f>
        <v>#VALUE!</v>
      </c>
      <c r="HR347" t="e">
        <f>AND('GRUPO PORT.'!E50,"AAAAADZr7OE=")</f>
        <v>#VALUE!</v>
      </c>
      <c r="HS347" t="e">
        <f>AND('GRUPO PORT.'!F50,"AAAAADZr7OI=")</f>
        <v>#VALUE!</v>
      </c>
      <c r="HT347">
        <f>IF('GRUPO PORT.'!51:51,"AAAAADZr7OM=",0)</f>
        <v>0</v>
      </c>
      <c r="HU347" t="e">
        <f>AND('GRUPO PORT.'!A51,"AAAAADZr7OQ=")</f>
        <v>#VALUE!</v>
      </c>
      <c r="HV347" t="e">
        <f>AND('GRUPO PORT.'!B51,"AAAAADZr7OU=")</f>
        <v>#VALUE!</v>
      </c>
      <c r="HW347" t="e">
        <f>AND('GRUPO PORT.'!C51,"AAAAADZr7OY=")</f>
        <v>#VALUE!</v>
      </c>
      <c r="HX347" t="e">
        <f>AND('GRUPO PORT.'!D51,"AAAAADZr7Oc=")</f>
        <v>#VALUE!</v>
      </c>
      <c r="HY347" t="e">
        <f>AND('GRUPO PORT.'!E51,"AAAAADZr7Og=")</f>
        <v>#VALUE!</v>
      </c>
      <c r="HZ347" t="e">
        <f>AND('GRUPO PORT.'!F51,"AAAAADZr7Ok=")</f>
        <v>#VALUE!</v>
      </c>
      <c r="IA347">
        <f>IF('GRUPO PORT.'!52:52,"AAAAADZr7Oo=",0)</f>
        <v>0</v>
      </c>
      <c r="IB347" t="e">
        <f>AND('GRUPO PORT.'!A52,"AAAAADZr7Os=")</f>
        <v>#VALUE!</v>
      </c>
      <c r="IC347" t="e">
        <f>AND('GRUPO PORT.'!B52,"AAAAADZr7Ow=")</f>
        <v>#VALUE!</v>
      </c>
      <c r="ID347" t="e">
        <f>AND('GRUPO PORT.'!C52,"AAAAADZr7O0=")</f>
        <v>#VALUE!</v>
      </c>
      <c r="IE347" t="e">
        <f>AND('GRUPO PORT.'!D52,"AAAAADZr7O4=")</f>
        <v>#VALUE!</v>
      </c>
      <c r="IF347" t="e">
        <f>AND('GRUPO PORT.'!E52,"AAAAADZr7O8=")</f>
        <v>#VALUE!</v>
      </c>
      <c r="IG347" t="e">
        <f>AND('GRUPO PORT.'!F52,"AAAAADZr7PA=")</f>
        <v>#VALUE!</v>
      </c>
      <c r="IH347">
        <f>IF('GRUPO PORT.'!53:53,"AAAAADZr7PE=",0)</f>
        <v>0</v>
      </c>
      <c r="II347" t="e">
        <f>AND('GRUPO PORT.'!A53,"AAAAADZr7PI=")</f>
        <v>#VALUE!</v>
      </c>
      <c r="IJ347" t="e">
        <f>AND('GRUPO PORT.'!B53,"AAAAADZr7PM=")</f>
        <v>#VALUE!</v>
      </c>
      <c r="IK347" t="e">
        <f>AND('GRUPO PORT.'!C53,"AAAAADZr7PQ=")</f>
        <v>#VALUE!</v>
      </c>
      <c r="IL347" t="e">
        <f>AND('GRUPO PORT.'!D53,"AAAAADZr7PU=")</f>
        <v>#VALUE!</v>
      </c>
      <c r="IM347" t="e">
        <f>AND('GRUPO PORT.'!E53,"AAAAADZr7PY=")</f>
        <v>#VALUE!</v>
      </c>
      <c r="IN347" t="e">
        <f>AND('GRUPO PORT.'!F53,"AAAAADZr7Pc=")</f>
        <v>#VALUE!</v>
      </c>
      <c r="IO347">
        <f>IF('GRUPO PORT.'!54:54,"AAAAADZr7Pg=",0)</f>
        <v>0</v>
      </c>
      <c r="IP347" t="e">
        <f>AND('GRUPO PORT.'!A54,"AAAAADZr7Pk=")</f>
        <v>#VALUE!</v>
      </c>
      <c r="IQ347" t="e">
        <f>AND('GRUPO PORT.'!B54,"AAAAADZr7Po=")</f>
        <v>#VALUE!</v>
      </c>
      <c r="IR347" t="e">
        <f>AND('GRUPO PORT.'!C54,"AAAAADZr7Ps=")</f>
        <v>#VALUE!</v>
      </c>
      <c r="IS347" t="e">
        <f>AND('GRUPO PORT.'!D54,"AAAAADZr7Pw=")</f>
        <v>#VALUE!</v>
      </c>
      <c r="IT347" t="e">
        <f>AND('GRUPO PORT.'!E54,"AAAAADZr7P0=")</f>
        <v>#VALUE!</v>
      </c>
      <c r="IU347" t="e">
        <f>AND('GRUPO PORT.'!F54,"AAAAADZr7P4=")</f>
        <v>#VALUE!</v>
      </c>
      <c r="IV347">
        <f>IF('GRUPO PORT.'!55:55,"AAAAADZr7P8=",0)</f>
        <v>0</v>
      </c>
    </row>
    <row r="348" spans="1:256">
      <c r="A348" t="e">
        <f>AND('GRUPO PORT.'!A55,"AAAAAH7q+QA=")</f>
        <v>#VALUE!</v>
      </c>
      <c r="B348" t="e">
        <f>AND('GRUPO PORT.'!B55,"AAAAAH7q+QE=")</f>
        <v>#VALUE!</v>
      </c>
      <c r="C348" t="e">
        <f>AND('GRUPO PORT.'!C55,"AAAAAH7q+QI=")</f>
        <v>#VALUE!</v>
      </c>
      <c r="D348" t="e">
        <f>AND('GRUPO PORT.'!D55,"AAAAAH7q+QM=")</f>
        <v>#VALUE!</v>
      </c>
      <c r="E348" t="e">
        <f>AND('GRUPO PORT.'!E55,"AAAAAH7q+QQ=")</f>
        <v>#VALUE!</v>
      </c>
      <c r="F348" t="e">
        <f>AND('GRUPO PORT.'!F55,"AAAAAH7q+QU=")</f>
        <v>#VALUE!</v>
      </c>
      <c r="G348">
        <f>IF('GRUPO PORT.'!56:56,"AAAAAH7q+QY=",0)</f>
        <v>0</v>
      </c>
      <c r="H348" t="e">
        <f>AND('GRUPO PORT.'!A56,"AAAAAH7q+Qc=")</f>
        <v>#VALUE!</v>
      </c>
      <c r="I348" t="e">
        <f>AND('GRUPO PORT.'!B56,"AAAAAH7q+Qg=")</f>
        <v>#VALUE!</v>
      </c>
      <c r="J348" t="e">
        <f>AND('GRUPO PORT.'!C56,"AAAAAH7q+Qk=")</f>
        <v>#VALUE!</v>
      </c>
      <c r="K348" t="e">
        <f>AND('GRUPO PORT.'!D56,"AAAAAH7q+Qo=")</f>
        <v>#VALUE!</v>
      </c>
      <c r="L348" t="e">
        <f>AND('GRUPO PORT.'!E56,"AAAAAH7q+Qs=")</f>
        <v>#VALUE!</v>
      </c>
      <c r="M348" t="e">
        <f>AND('GRUPO PORT.'!F56,"AAAAAH7q+Qw=")</f>
        <v>#VALUE!</v>
      </c>
      <c r="N348">
        <f>IF('GRUPO PORT.'!57:57,"AAAAAH7q+Q0=",0)</f>
        <v>0</v>
      </c>
      <c r="O348" t="e">
        <f>AND('GRUPO PORT.'!A57,"AAAAAH7q+Q4=")</f>
        <v>#VALUE!</v>
      </c>
      <c r="P348" t="e">
        <f>AND('GRUPO PORT.'!B57,"AAAAAH7q+Q8=")</f>
        <v>#VALUE!</v>
      </c>
      <c r="Q348" t="e">
        <f>AND('GRUPO PORT.'!C57,"AAAAAH7q+RA=")</f>
        <v>#VALUE!</v>
      </c>
      <c r="R348" t="e">
        <f>AND('GRUPO PORT.'!D57,"AAAAAH7q+RE=")</f>
        <v>#VALUE!</v>
      </c>
      <c r="S348" t="e">
        <f>AND('GRUPO PORT.'!E57,"AAAAAH7q+RI=")</f>
        <v>#VALUE!</v>
      </c>
      <c r="T348" t="e">
        <f>AND('GRUPO PORT.'!F57,"AAAAAH7q+RM=")</f>
        <v>#VALUE!</v>
      </c>
      <c r="U348">
        <f>IF('GRUPO PORT.'!58:58,"AAAAAH7q+RQ=",0)</f>
        <v>0</v>
      </c>
      <c r="V348" t="e">
        <f>AND('GRUPO PORT.'!A58,"AAAAAH7q+RU=")</f>
        <v>#VALUE!</v>
      </c>
      <c r="W348" t="e">
        <f>AND('GRUPO PORT.'!B58,"AAAAAH7q+RY=")</f>
        <v>#VALUE!</v>
      </c>
      <c r="X348" t="e">
        <f>AND('GRUPO PORT.'!C58,"AAAAAH7q+Rc=")</f>
        <v>#VALUE!</v>
      </c>
      <c r="Y348" t="e">
        <f>AND('GRUPO PORT.'!D58,"AAAAAH7q+Rg=")</f>
        <v>#VALUE!</v>
      </c>
      <c r="Z348" t="e">
        <f>AND('GRUPO PORT.'!E58,"AAAAAH7q+Rk=")</f>
        <v>#VALUE!</v>
      </c>
      <c r="AA348" t="e">
        <f>AND('GRUPO PORT.'!F58,"AAAAAH7q+Ro=")</f>
        <v>#VALUE!</v>
      </c>
      <c r="AB348">
        <f>IF('GRUPO PORT.'!59:59,"AAAAAH7q+Rs=",0)</f>
        <v>0</v>
      </c>
      <c r="AC348" t="e">
        <f>AND('GRUPO PORT.'!A59,"AAAAAH7q+Rw=")</f>
        <v>#VALUE!</v>
      </c>
      <c r="AD348" t="e">
        <f>AND('GRUPO PORT.'!B59,"AAAAAH7q+R0=")</f>
        <v>#VALUE!</v>
      </c>
      <c r="AE348" t="e">
        <f>AND('GRUPO PORT.'!C59,"AAAAAH7q+R4=")</f>
        <v>#VALUE!</v>
      </c>
      <c r="AF348" t="e">
        <f>AND('GRUPO PORT.'!D59,"AAAAAH7q+R8=")</f>
        <v>#VALUE!</v>
      </c>
      <c r="AG348" t="e">
        <f>AND('GRUPO PORT.'!E59,"AAAAAH7q+SA=")</f>
        <v>#VALUE!</v>
      </c>
      <c r="AH348" t="e">
        <f>AND('GRUPO PORT.'!F59,"AAAAAH7q+SE=")</f>
        <v>#VALUE!</v>
      </c>
      <c r="AI348">
        <f>IF('GRUPO PORT.'!60:60,"AAAAAH7q+SI=",0)</f>
        <v>0</v>
      </c>
      <c r="AJ348" t="e">
        <f>AND('GRUPO PORT.'!A60,"AAAAAH7q+SM=")</f>
        <v>#VALUE!</v>
      </c>
      <c r="AK348" t="e">
        <f>AND('GRUPO PORT.'!B60,"AAAAAH7q+SQ=")</f>
        <v>#VALUE!</v>
      </c>
      <c r="AL348" t="e">
        <f>AND('GRUPO PORT.'!C60,"AAAAAH7q+SU=")</f>
        <v>#VALUE!</v>
      </c>
      <c r="AM348" t="e">
        <f>AND('GRUPO PORT.'!D60,"AAAAAH7q+SY=")</f>
        <v>#VALUE!</v>
      </c>
      <c r="AN348" t="e">
        <f>AND('GRUPO PORT.'!E60,"AAAAAH7q+Sc=")</f>
        <v>#VALUE!</v>
      </c>
      <c r="AO348" t="e">
        <f>AND('GRUPO PORT.'!F60,"AAAAAH7q+Sg=")</f>
        <v>#VALUE!</v>
      </c>
      <c r="AP348">
        <f>IF('GRUPO PORT.'!61:61,"AAAAAH7q+Sk=",0)</f>
        <v>0</v>
      </c>
      <c r="AQ348" t="e">
        <f>AND('GRUPO PORT.'!A61,"AAAAAH7q+So=")</f>
        <v>#VALUE!</v>
      </c>
      <c r="AR348" t="e">
        <f>AND('GRUPO PORT.'!B61,"AAAAAH7q+Ss=")</f>
        <v>#VALUE!</v>
      </c>
      <c r="AS348" t="e">
        <f>AND('GRUPO PORT.'!C61,"AAAAAH7q+Sw=")</f>
        <v>#VALUE!</v>
      </c>
      <c r="AT348" t="e">
        <f>AND('GRUPO PORT.'!D61,"AAAAAH7q+S0=")</f>
        <v>#VALUE!</v>
      </c>
      <c r="AU348" t="e">
        <f>AND('GRUPO PORT.'!E61,"AAAAAH7q+S4=")</f>
        <v>#VALUE!</v>
      </c>
      <c r="AV348" t="e">
        <f>AND('GRUPO PORT.'!F61,"AAAAAH7q+S8=")</f>
        <v>#VALUE!</v>
      </c>
      <c r="AW348">
        <f>IF('GRUPO PORT.'!62:62,"AAAAAH7q+TA=",0)</f>
        <v>0</v>
      </c>
      <c r="AX348" t="e">
        <f>AND('GRUPO PORT.'!A62,"AAAAAH7q+TE=")</f>
        <v>#VALUE!</v>
      </c>
      <c r="AY348" t="e">
        <f>AND('GRUPO PORT.'!B62,"AAAAAH7q+TI=")</f>
        <v>#VALUE!</v>
      </c>
      <c r="AZ348" t="e">
        <f>AND('GRUPO PORT.'!C62,"AAAAAH7q+TM=")</f>
        <v>#VALUE!</v>
      </c>
      <c r="BA348" t="e">
        <f>AND('GRUPO PORT.'!D62,"AAAAAH7q+TQ=")</f>
        <v>#VALUE!</v>
      </c>
      <c r="BB348" t="e">
        <f>AND('GRUPO PORT.'!E62,"AAAAAH7q+TU=")</f>
        <v>#VALUE!</v>
      </c>
      <c r="BC348" t="e">
        <f>AND('GRUPO PORT.'!F62,"AAAAAH7q+TY=")</f>
        <v>#VALUE!</v>
      </c>
      <c r="BD348">
        <f>IF('GRUPO PORT.'!63:63,"AAAAAH7q+Tc=",0)</f>
        <v>0</v>
      </c>
      <c r="BE348" t="e">
        <f>AND('GRUPO PORT.'!A63,"AAAAAH7q+Tg=")</f>
        <v>#VALUE!</v>
      </c>
      <c r="BF348" t="e">
        <f>AND('GRUPO PORT.'!B63,"AAAAAH7q+Tk=")</f>
        <v>#VALUE!</v>
      </c>
      <c r="BG348" t="e">
        <f>AND('GRUPO PORT.'!C63,"AAAAAH7q+To=")</f>
        <v>#VALUE!</v>
      </c>
      <c r="BH348" t="e">
        <f>AND('GRUPO PORT.'!D63,"AAAAAH7q+Ts=")</f>
        <v>#VALUE!</v>
      </c>
      <c r="BI348" t="e">
        <f>AND('GRUPO PORT.'!E63,"AAAAAH7q+Tw=")</f>
        <v>#VALUE!</v>
      </c>
      <c r="BJ348" t="e">
        <f>AND('GRUPO PORT.'!F63,"AAAAAH7q+T0=")</f>
        <v>#VALUE!</v>
      </c>
      <c r="BK348">
        <f>IF('GRUPO PORT.'!64:64,"AAAAAH7q+T4=",0)</f>
        <v>0</v>
      </c>
      <c r="BL348" t="e">
        <f>AND('GRUPO PORT.'!A64,"AAAAAH7q+T8=")</f>
        <v>#VALUE!</v>
      </c>
      <c r="BM348" t="e">
        <f>AND('GRUPO PORT.'!B64,"AAAAAH7q+UA=")</f>
        <v>#VALUE!</v>
      </c>
      <c r="BN348" t="e">
        <f>AND('GRUPO PORT.'!C64,"AAAAAH7q+UE=")</f>
        <v>#VALUE!</v>
      </c>
      <c r="BO348" t="e">
        <f>AND('GRUPO PORT.'!D64,"AAAAAH7q+UI=")</f>
        <v>#VALUE!</v>
      </c>
      <c r="BP348" t="e">
        <f>AND('GRUPO PORT.'!E64,"AAAAAH7q+UM=")</f>
        <v>#VALUE!</v>
      </c>
      <c r="BQ348" t="e">
        <f>AND('GRUPO PORT.'!F64,"AAAAAH7q+UQ=")</f>
        <v>#VALUE!</v>
      </c>
      <c r="BR348">
        <f>IF('GRUPO PORT.'!65:65,"AAAAAH7q+UU=",0)</f>
        <v>0</v>
      </c>
      <c r="BS348" t="e">
        <f>AND('GRUPO PORT.'!A65,"AAAAAH7q+UY=")</f>
        <v>#VALUE!</v>
      </c>
      <c r="BT348" t="e">
        <f>AND('GRUPO PORT.'!B65,"AAAAAH7q+Uc=")</f>
        <v>#VALUE!</v>
      </c>
      <c r="BU348" t="e">
        <f>AND('GRUPO PORT.'!C65,"AAAAAH7q+Ug=")</f>
        <v>#VALUE!</v>
      </c>
      <c r="BV348" t="e">
        <f>AND('GRUPO PORT.'!D65,"AAAAAH7q+Uk=")</f>
        <v>#VALUE!</v>
      </c>
      <c r="BW348" t="e">
        <f>AND('GRUPO PORT.'!E65,"AAAAAH7q+Uo=")</f>
        <v>#VALUE!</v>
      </c>
      <c r="BX348" t="e">
        <f>AND('GRUPO PORT.'!F65,"AAAAAH7q+Us=")</f>
        <v>#VALUE!</v>
      </c>
      <c r="BY348">
        <f>IF('GRUPO PORT.'!66:66,"AAAAAH7q+Uw=",0)</f>
        <v>0</v>
      </c>
      <c r="BZ348" t="e">
        <f>AND('GRUPO PORT.'!A66,"AAAAAH7q+U0=")</f>
        <v>#VALUE!</v>
      </c>
      <c r="CA348" t="e">
        <f>AND('GRUPO PORT.'!B66,"AAAAAH7q+U4=")</f>
        <v>#VALUE!</v>
      </c>
      <c r="CB348" t="e">
        <f>AND('GRUPO PORT.'!C66,"AAAAAH7q+U8=")</f>
        <v>#VALUE!</v>
      </c>
      <c r="CC348" t="e">
        <f>AND('GRUPO PORT.'!D66,"AAAAAH7q+VA=")</f>
        <v>#VALUE!</v>
      </c>
      <c r="CD348" t="e">
        <f>AND('GRUPO PORT.'!E66,"AAAAAH7q+VE=")</f>
        <v>#VALUE!</v>
      </c>
      <c r="CE348" t="e">
        <f>AND('GRUPO PORT.'!F66,"AAAAAH7q+VI=")</f>
        <v>#VALUE!</v>
      </c>
      <c r="CF348">
        <f>IF('GRUPO PORT.'!67:67,"AAAAAH7q+VM=",0)</f>
        <v>0</v>
      </c>
      <c r="CG348" t="e">
        <f>AND('GRUPO PORT.'!A67,"AAAAAH7q+VQ=")</f>
        <v>#VALUE!</v>
      </c>
      <c r="CH348" t="e">
        <f>AND('GRUPO PORT.'!B67,"AAAAAH7q+VU=")</f>
        <v>#VALUE!</v>
      </c>
      <c r="CI348" t="e">
        <f>AND('GRUPO PORT.'!C67,"AAAAAH7q+VY=")</f>
        <v>#VALUE!</v>
      </c>
      <c r="CJ348" t="e">
        <f>AND('GRUPO PORT.'!D67,"AAAAAH7q+Vc=")</f>
        <v>#VALUE!</v>
      </c>
      <c r="CK348" t="e">
        <f>AND('GRUPO PORT.'!E67,"AAAAAH7q+Vg=")</f>
        <v>#VALUE!</v>
      </c>
      <c r="CL348" t="e">
        <f>AND('GRUPO PORT.'!F67,"AAAAAH7q+Vk=")</f>
        <v>#VALUE!</v>
      </c>
      <c r="CM348">
        <f>IF('GRUPO PORT.'!68:68,"AAAAAH7q+Vo=",0)</f>
        <v>0</v>
      </c>
      <c r="CN348" t="e">
        <f>AND('GRUPO PORT.'!A68,"AAAAAH7q+Vs=")</f>
        <v>#VALUE!</v>
      </c>
      <c r="CO348" t="e">
        <f>AND('GRUPO PORT.'!B68,"AAAAAH7q+Vw=")</f>
        <v>#VALUE!</v>
      </c>
      <c r="CP348" t="e">
        <f>AND('GRUPO PORT.'!C68,"AAAAAH7q+V0=")</f>
        <v>#VALUE!</v>
      </c>
      <c r="CQ348" t="e">
        <f>AND('GRUPO PORT.'!D68,"AAAAAH7q+V4=")</f>
        <v>#VALUE!</v>
      </c>
      <c r="CR348" t="e">
        <f>AND('GRUPO PORT.'!E68,"AAAAAH7q+V8=")</f>
        <v>#VALUE!</v>
      </c>
      <c r="CS348" t="e">
        <f>AND('GRUPO PORT.'!F68,"AAAAAH7q+WA=")</f>
        <v>#VALUE!</v>
      </c>
      <c r="CT348">
        <f>IF('GRUPO PORT.'!69:69,"AAAAAH7q+WE=",0)</f>
        <v>0</v>
      </c>
      <c r="CU348" t="e">
        <f>AND('GRUPO PORT.'!A69,"AAAAAH7q+WI=")</f>
        <v>#VALUE!</v>
      </c>
      <c r="CV348" t="e">
        <f>AND('GRUPO PORT.'!B69,"AAAAAH7q+WM=")</f>
        <v>#VALUE!</v>
      </c>
      <c r="CW348" t="e">
        <f>AND('GRUPO PORT.'!C69,"AAAAAH7q+WQ=")</f>
        <v>#VALUE!</v>
      </c>
      <c r="CX348" t="e">
        <f>AND('GRUPO PORT.'!D69,"AAAAAH7q+WU=")</f>
        <v>#VALUE!</v>
      </c>
      <c r="CY348" t="e">
        <f>AND('GRUPO PORT.'!E69,"AAAAAH7q+WY=")</f>
        <v>#VALUE!</v>
      </c>
      <c r="CZ348" t="e">
        <f>AND('GRUPO PORT.'!F69,"AAAAAH7q+Wc=")</f>
        <v>#VALUE!</v>
      </c>
      <c r="DA348">
        <f>IF('GRUPO PORT.'!70:70,"AAAAAH7q+Wg=",0)</f>
        <v>0</v>
      </c>
      <c r="DB348" t="e">
        <f>AND('GRUPO PORT.'!A70,"AAAAAH7q+Wk=")</f>
        <v>#VALUE!</v>
      </c>
      <c r="DC348" t="e">
        <f>AND('GRUPO PORT.'!B70,"AAAAAH7q+Wo=")</f>
        <v>#VALUE!</v>
      </c>
      <c r="DD348" t="e">
        <f>AND('GRUPO PORT.'!C70,"AAAAAH7q+Ws=")</f>
        <v>#VALUE!</v>
      </c>
      <c r="DE348" t="e">
        <f>AND('GRUPO PORT.'!D70,"AAAAAH7q+Ww=")</f>
        <v>#VALUE!</v>
      </c>
      <c r="DF348" t="e">
        <f>AND('GRUPO PORT.'!E70,"AAAAAH7q+W0=")</f>
        <v>#VALUE!</v>
      </c>
      <c r="DG348" t="e">
        <f>AND('GRUPO PORT.'!F70,"AAAAAH7q+W4=")</f>
        <v>#VALUE!</v>
      </c>
      <c r="DH348">
        <f>IF('GRUPO PORT.'!71:71,"AAAAAH7q+W8=",0)</f>
        <v>0</v>
      </c>
      <c r="DI348" t="e">
        <f>AND('GRUPO PORT.'!A71,"AAAAAH7q+XA=")</f>
        <v>#VALUE!</v>
      </c>
      <c r="DJ348" t="e">
        <f>AND('GRUPO PORT.'!B71,"AAAAAH7q+XE=")</f>
        <v>#VALUE!</v>
      </c>
      <c r="DK348" t="e">
        <f>AND('GRUPO PORT.'!C71,"AAAAAH7q+XI=")</f>
        <v>#VALUE!</v>
      </c>
      <c r="DL348" t="e">
        <f>AND('GRUPO PORT.'!D71,"AAAAAH7q+XM=")</f>
        <v>#VALUE!</v>
      </c>
      <c r="DM348" t="e">
        <f>AND('GRUPO PORT.'!E71,"AAAAAH7q+XQ=")</f>
        <v>#VALUE!</v>
      </c>
      <c r="DN348" t="e">
        <f>AND('GRUPO PORT.'!F71,"AAAAAH7q+XU=")</f>
        <v>#VALUE!</v>
      </c>
      <c r="DO348">
        <f>IF('GRUPO PORT.'!72:72,"AAAAAH7q+XY=",0)</f>
        <v>0</v>
      </c>
      <c r="DP348" t="e">
        <f>AND('GRUPO PORT.'!A72,"AAAAAH7q+Xc=")</f>
        <v>#VALUE!</v>
      </c>
      <c r="DQ348" t="e">
        <f>AND('GRUPO PORT.'!B72,"AAAAAH7q+Xg=")</f>
        <v>#VALUE!</v>
      </c>
      <c r="DR348" t="e">
        <f>AND('GRUPO PORT.'!C72,"AAAAAH7q+Xk=")</f>
        <v>#VALUE!</v>
      </c>
      <c r="DS348" t="e">
        <f>AND('GRUPO PORT.'!D72,"AAAAAH7q+Xo=")</f>
        <v>#VALUE!</v>
      </c>
      <c r="DT348" t="e">
        <f>AND('GRUPO PORT.'!E72,"AAAAAH7q+Xs=")</f>
        <v>#VALUE!</v>
      </c>
      <c r="DU348" t="e">
        <f>AND('GRUPO PORT.'!F72,"AAAAAH7q+Xw=")</f>
        <v>#VALUE!</v>
      </c>
      <c r="DV348">
        <f>IF('GRUPO PORT.'!73:73,"AAAAAH7q+X0=",0)</f>
        <v>0</v>
      </c>
      <c r="DW348" t="e">
        <f>AND('GRUPO PORT.'!A73,"AAAAAH7q+X4=")</f>
        <v>#VALUE!</v>
      </c>
      <c r="DX348" t="e">
        <f>AND('GRUPO PORT.'!B73,"AAAAAH7q+X8=")</f>
        <v>#VALUE!</v>
      </c>
      <c r="DY348" t="e">
        <f>AND('GRUPO PORT.'!C73,"AAAAAH7q+YA=")</f>
        <v>#VALUE!</v>
      </c>
      <c r="DZ348" t="e">
        <f>AND('GRUPO PORT.'!D73,"AAAAAH7q+YE=")</f>
        <v>#VALUE!</v>
      </c>
      <c r="EA348" t="e">
        <f>AND('GRUPO PORT.'!E73,"AAAAAH7q+YI=")</f>
        <v>#VALUE!</v>
      </c>
      <c r="EB348" t="e">
        <f>AND('GRUPO PORT.'!F73,"AAAAAH7q+YM=")</f>
        <v>#VALUE!</v>
      </c>
      <c r="EC348">
        <f>IF('GRUPO PORT.'!74:74,"AAAAAH7q+YQ=",0)</f>
        <v>0</v>
      </c>
      <c r="ED348" t="e">
        <f>AND('GRUPO PORT.'!A74,"AAAAAH7q+YU=")</f>
        <v>#VALUE!</v>
      </c>
      <c r="EE348" t="e">
        <f>AND('GRUPO PORT.'!B74,"AAAAAH7q+YY=")</f>
        <v>#VALUE!</v>
      </c>
      <c r="EF348" t="e">
        <f>AND('GRUPO PORT.'!C74,"AAAAAH7q+Yc=")</f>
        <v>#VALUE!</v>
      </c>
      <c r="EG348" t="e">
        <f>AND('GRUPO PORT.'!D74,"AAAAAH7q+Yg=")</f>
        <v>#VALUE!</v>
      </c>
      <c r="EH348" t="e">
        <f>AND('GRUPO PORT.'!E74,"AAAAAH7q+Yk=")</f>
        <v>#VALUE!</v>
      </c>
      <c r="EI348" t="e">
        <f>AND('GRUPO PORT.'!F74,"AAAAAH7q+Yo=")</f>
        <v>#VALUE!</v>
      </c>
      <c r="EJ348">
        <f>IF('GRUPO PORT.'!75:75,"AAAAAH7q+Ys=",0)</f>
        <v>0</v>
      </c>
      <c r="EK348" t="e">
        <f>AND('GRUPO PORT.'!A75,"AAAAAH7q+Yw=")</f>
        <v>#VALUE!</v>
      </c>
      <c r="EL348" t="e">
        <f>AND('GRUPO PORT.'!B75,"AAAAAH7q+Y0=")</f>
        <v>#VALUE!</v>
      </c>
      <c r="EM348" t="e">
        <f>AND('GRUPO PORT.'!C75,"AAAAAH7q+Y4=")</f>
        <v>#VALUE!</v>
      </c>
      <c r="EN348" t="e">
        <f>AND('GRUPO PORT.'!D75,"AAAAAH7q+Y8=")</f>
        <v>#VALUE!</v>
      </c>
      <c r="EO348" t="e">
        <f>AND('GRUPO PORT.'!E75,"AAAAAH7q+ZA=")</f>
        <v>#VALUE!</v>
      </c>
      <c r="EP348" t="e">
        <f>AND('GRUPO PORT.'!F75,"AAAAAH7q+ZE=")</f>
        <v>#VALUE!</v>
      </c>
      <c r="EQ348">
        <f>IF('GRUPO PORT.'!76:76,"AAAAAH7q+ZI=",0)</f>
        <v>0</v>
      </c>
      <c r="ER348" t="e">
        <f>AND('GRUPO PORT.'!A76,"AAAAAH7q+ZM=")</f>
        <v>#VALUE!</v>
      </c>
      <c r="ES348" t="e">
        <f>AND('GRUPO PORT.'!B76,"AAAAAH7q+ZQ=")</f>
        <v>#VALUE!</v>
      </c>
      <c r="ET348" t="e">
        <f>AND('GRUPO PORT.'!C76,"AAAAAH7q+ZU=")</f>
        <v>#VALUE!</v>
      </c>
      <c r="EU348" t="e">
        <f>AND('GRUPO PORT.'!D76,"AAAAAH7q+ZY=")</f>
        <v>#VALUE!</v>
      </c>
      <c r="EV348" t="e">
        <f>AND('GRUPO PORT.'!E76,"AAAAAH7q+Zc=")</f>
        <v>#VALUE!</v>
      </c>
      <c r="EW348" t="e">
        <f>AND('GRUPO PORT.'!F76,"AAAAAH7q+Zg=")</f>
        <v>#VALUE!</v>
      </c>
      <c r="EX348">
        <f>IF('GRUPO PORT.'!77:77,"AAAAAH7q+Zk=",0)</f>
        <v>0</v>
      </c>
      <c r="EY348" t="e">
        <f>AND('GRUPO PORT.'!A77,"AAAAAH7q+Zo=")</f>
        <v>#VALUE!</v>
      </c>
      <c r="EZ348" t="e">
        <f>AND('GRUPO PORT.'!B77,"AAAAAH7q+Zs=")</f>
        <v>#VALUE!</v>
      </c>
      <c r="FA348" t="e">
        <f>AND('GRUPO PORT.'!C77,"AAAAAH7q+Zw=")</f>
        <v>#VALUE!</v>
      </c>
      <c r="FB348" t="e">
        <f>AND('GRUPO PORT.'!D77,"AAAAAH7q+Z0=")</f>
        <v>#VALUE!</v>
      </c>
      <c r="FC348" t="e">
        <f>AND('GRUPO PORT.'!E77,"AAAAAH7q+Z4=")</f>
        <v>#VALUE!</v>
      </c>
      <c r="FD348" t="e">
        <f>AND('GRUPO PORT.'!F77,"AAAAAH7q+Z8=")</f>
        <v>#VALUE!</v>
      </c>
      <c r="FE348">
        <f>IF('GRUPO PORT.'!78:78,"AAAAAH7q+aA=",0)</f>
        <v>0</v>
      </c>
      <c r="FF348" t="e">
        <f>AND('GRUPO PORT.'!A78,"AAAAAH7q+aE=")</f>
        <v>#VALUE!</v>
      </c>
      <c r="FG348" t="e">
        <f>AND('GRUPO PORT.'!B78,"AAAAAH7q+aI=")</f>
        <v>#VALUE!</v>
      </c>
      <c r="FH348" t="e">
        <f>AND('GRUPO PORT.'!C78,"AAAAAH7q+aM=")</f>
        <v>#VALUE!</v>
      </c>
      <c r="FI348" t="e">
        <f>AND('GRUPO PORT.'!D78,"AAAAAH7q+aQ=")</f>
        <v>#VALUE!</v>
      </c>
      <c r="FJ348" t="e">
        <f>AND('GRUPO PORT.'!E78,"AAAAAH7q+aU=")</f>
        <v>#VALUE!</v>
      </c>
      <c r="FK348" t="e">
        <f>AND('GRUPO PORT.'!F78,"AAAAAH7q+aY=")</f>
        <v>#VALUE!</v>
      </c>
      <c r="FL348">
        <f>IF('GRUPO PORT.'!79:79,"AAAAAH7q+ac=",0)</f>
        <v>0</v>
      </c>
      <c r="FM348" t="e">
        <f>AND('GRUPO PORT.'!A79,"AAAAAH7q+ag=")</f>
        <v>#VALUE!</v>
      </c>
      <c r="FN348" t="e">
        <f>AND('GRUPO PORT.'!B79,"AAAAAH7q+ak=")</f>
        <v>#VALUE!</v>
      </c>
      <c r="FO348" t="e">
        <f>AND('GRUPO PORT.'!C79,"AAAAAH7q+ao=")</f>
        <v>#VALUE!</v>
      </c>
      <c r="FP348" t="e">
        <f>AND('GRUPO PORT.'!D79,"AAAAAH7q+as=")</f>
        <v>#VALUE!</v>
      </c>
      <c r="FQ348" t="e">
        <f>AND('GRUPO PORT.'!E79,"AAAAAH7q+aw=")</f>
        <v>#VALUE!</v>
      </c>
      <c r="FR348" t="e">
        <f>AND('GRUPO PORT.'!F79,"AAAAAH7q+a0=")</f>
        <v>#VALUE!</v>
      </c>
      <c r="FS348">
        <f>IF('GRUPO PORT.'!80:80,"AAAAAH7q+a4=",0)</f>
        <v>0</v>
      </c>
      <c r="FT348" t="e">
        <f>AND('GRUPO PORT.'!A80,"AAAAAH7q+a8=")</f>
        <v>#VALUE!</v>
      </c>
      <c r="FU348" t="e">
        <f>AND('GRUPO PORT.'!B80,"AAAAAH7q+bA=")</f>
        <v>#VALUE!</v>
      </c>
      <c r="FV348" t="e">
        <f>AND('GRUPO PORT.'!C80,"AAAAAH7q+bE=")</f>
        <v>#VALUE!</v>
      </c>
      <c r="FW348" t="e">
        <f>AND('GRUPO PORT.'!D80,"AAAAAH7q+bI=")</f>
        <v>#VALUE!</v>
      </c>
      <c r="FX348" t="e">
        <f>AND('GRUPO PORT.'!E80,"AAAAAH7q+bM=")</f>
        <v>#VALUE!</v>
      </c>
      <c r="FY348" t="e">
        <f>AND('GRUPO PORT.'!F80,"AAAAAH7q+bQ=")</f>
        <v>#VALUE!</v>
      </c>
      <c r="FZ348">
        <f>IF('GRUPO PORT.'!81:81,"AAAAAH7q+bU=",0)</f>
        <v>0</v>
      </c>
      <c r="GA348" t="e">
        <f>AND('GRUPO PORT.'!A81,"AAAAAH7q+bY=")</f>
        <v>#VALUE!</v>
      </c>
      <c r="GB348" t="e">
        <f>AND('GRUPO PORT.'!B81,"AAAAAH7q+bc=")</f>
        <v>#VALUE!</v>
      </c>
      <c r="GC348" t="e">
        <f>AND('GRUPO PORT.'!C81,"AAAAAH7q+bg=")</f>
        <v>#VALUE!</v>
      </c>
      <c r="GD348" t="e">
        <f>AND('GRUPO PORT.'!D81,"AAAAAH7q+bk=")</f>
        <v>#VALUE!</v>
      </c>
      <c r="GE348" t="e">
        <f>AND('GRUPO PORT.'!E81,"AAAAAH7q+bo=")</f>
        <v>#VALUE!</v>
      </c>
      <c r="GF348" t="e">
        <f>AND('GRUPO PORT.'!F81,"AAAAAH7q+bs=")</f>
        <v>#VALUE!</v>
      </c>
      <c r="GG348">
        <f>IF('GRUPO PORT.'!82:82,"AAAAAH7q+bw=",0)</f>
        <v>0</v>
      </c>
      <c r="GH348" t="e">
        <f>AND('GRUPO PORT.'!A82,"AAAAAH7q+b0=")</f>
        <v>#VALUE!</v>
      </c>
      <c r="GI348" t="e">
        <f>AND('GRUPO PORT.'!B82,"AAAAAH7q+b4=")</f>
        <v>#VALUE!</v>
      </c>
      <c r="GJ348" t="e">
        <f>AND('GRUPO PORT.'!C82,"AAAAAH7q+b8=")</f>
        <v>#VALUE!</v>
      </c>
      <c r="GK348" t="e">
        <f>AND('GRUPO PORT.'!D82,"AAAAAH7q+cA=")</f>
        <v>#VALUE!</v>
      </c>
      <c r="GL348" t="e">
        <f>AND('GRUPO PORT.'!E82,"AAAAAH7q+cE=")</f>
        <v>#VALUE!</v>
      </c>
      <c r="GM348" t="e">
        <f>AND('GRUPO PORT.'!F82,"AAAAAH7q+cI=")</f>
        <v>#VALUE!</v>
      </c>
      <c r="GN348">
        <f>IF('GRUPO PORT.'!83:83,"AAAAAH7q+cM=",0)</f>
        <v>0</v>
      </c>
      <c r="GO348" t="e">
        <f>AND('GRUPO PORT.'!A83,"AAAAAH7q+cQ=")</f>
        <v>#VALUE!</v>
      </c>
      <c r="GP348" t="e">
        <f>AND('GRUPO PORT.'!B83,"AAAAAH7q+cU=")</f>
        <v>#VALUE!</v>
      </c>
      <c r="GQ348" t="e">
        <f>AND('GRUPO PORT.'!C83,"AAAAAH7q+cY=")</f>
        <v>#VALUE!</v>
      </c>
      <c r="GR348" t="e">
        <f>AND('GRUPO PORT.'!D83,"AAAAAH7q+cc=")</f>
        <v>#VALUE!</v>
      </c>
      <c r="GS348" t="e">
        <f>AND('GRUPO PORT.'!E83,"AAAAAH7q+cg=")</f>
        <v>#VALUE!</v>
      </c>
      <c r="GT348" t="e">
        <f>AND('GRUPO PORT.'!F83,"AAAAAH7q+ck=")</f>
        <v>#VALUE!</v>
      </c>
      <c r="GU348">
        <f>IF('GRUPO PORT.'!84:84,"AAAAAH7q+co=",0)</f>
        <v>0</v>
      </c>
      <c r="GV348" t="e">
        <f>AND('GRUPO PORT.'!A84,"AAAAAH7q+cs=")</f>
        <v>#VALUE!</v>
      </c>
      <c r="GW348" t="e">
        <f>AND('GRUPO PORT.'!B84,"AAAAAH7q+cw=")</f>
        <v>#VALUE!</v>
      </c>
      <c r="GX348" t="e">
        <f>AND('GRUPO PORT.'!C84,"AAAAAH7q+c0=")</f>
        <v>#VALUE!</v>
      </c>
      <c r="GY348" t="e">
        <f>AND('GRUPO PORT.'!D84,"AAAAAH7q+c4=")</f>
        <v>#VALUE!</v>
      </c>
      <c r="GZ348" t="e">
        <f>AND('GRUPO PORT.'!E84,"AAAAAH7q+c8=")</f>
        <v>#VALUE!</v>
      </c>
      <c r="HA348" t="e">
        <f>AND('GRUPO PORT.'!F84,"AAAAAH7q+dA=")</f>
        <v>#VALUE!</v>
      </c>
      <c r="HB348">
        <f>IF('GRUPO PORT.'!85:85,"AAAAAH7q+dE=",0)</f>
        <v>0</v>
      </c>
      <c r="HC348" t="e">
        <f>AND('GRUPO PORT.'!A85,"AAAAAH7q+dI=")</f>
        <v>#VALUE!</v>
      </c>
      <c r="HD348" t="e">
        <f>AND('GRUPO PORT.'!B85,"AAAAAH7q+dM=")</f>
        <v>#VALUE!</v>
      </c>
      <c r="HE348" t="e">
        <f>AND('GRUPO PORT.'!C85,"AAAAAH7q+dQ=")</f>
        <v>#VALUE!</v>
      </c>
      <c r="HF348" t="e">
        <f>AND('GRUPO PORT.'!D85,"AAAAAH7q+dU=")</f>
        <v>#VALUE!</v>
      </c>
      <c r="HG348" t="e">
        <f>AND('GRUPO PORT.'!E85,"AAAAAH7q+dY=")</f>
        <v>#VALUE!</v>
      </c>
      <c r="HH348" t="e">
        <f>AND('GRUPO PORT.'!F85,"AAAAAH7q+dc=")</f>
        <v>#VALUE!</v>
      </c>
      <c r="HI348">
        <f>IF('GRUPO PORT.'!86:86,"AAAAAH7q+dg=",0)</f>
        <v>0</v>
      </c>
      <c r="HJ348" t="e">
        <f>AND('GRUPO PORT.'!A86,"AAAAAH7q+dk=")</f>
        <v>#VALUE!</v>
      </c>
      <c r="HK348" t="e">
        <f>AND('GRUPO PORT.'!B86,"AAAAAH7q+do=")</f>
        <v>#VALUE!</v>
      </c>
      <c r="HL348" t="e">
        <f>AND('GRUPO PORT.'!C86,"AAAAAH7q+ds=")</f>
        <v>#VALUE!</v>
      </c>
      <c r="HM348" t="e">
        <f>AND('GRUPO PORT.'!D86,"AAAAAH7q+dw=")</f>
        <v>#VALUE!</v>
      </c>
      <c r="HN348" t="e">
        <f>AND('GRUPO PORT.'!E86,"AAAAAH7q+d0=")</f>
        <v>#VALUE!</v>
      </c>
      <c r="HO348" t="e">
        <f>AND('GRUPO PORT.'!F86,"AAAAAH7q+d4=")</f>
        <v>#VALUE!</v>
      </c>
      <c r="HP348">
        <f>IF('GRUPO PORT.'!87:87,"AAAAAH7q+d8=",0)</f>
        <v>0</v>
      </c>
      <c r="HQ348" t="e">
        <f>AND('GRUPO PORT.'!A87,"AAAAAH7q+eA=")</f>
        <v>#VALUE!</v>
      </c>
      <c r="HR348" t="e">
        <f>AND('GRUPO PORT.'!B87,"AAAAAH7q+eE=")</f>
        <v>#VALUE!</v>
      </c>
      <c r="HS348" t="e">
        <f>AND('GRUPO PORT.'!C87,"AAAAAH7q+eI=")</f>
        <v>#VALUE!</v>
      </c>
      <c r="HT348" t="e">
        <f>AND('GRUPO PORT.'!D87,"AAAAAH7q+eM=")</f>
        <v>#VALUE!</v>
      </c>
      <c r="HU348" t="e">
        <f>AND('GRUPO PORT.'!E87,"AAAAAH7q+eQ=")</f>
        <v>#VALUE!</v>
      </c>
      <c r="HV348" t="e">
        <f>AND('GRUPO PORT.'!F87,"AAAAAH7q+eU=")</f>
        <v>#VALUE!</v>
      </c>
      <c r="HW348">
        <f>IF('GRUPO PORT.'!88:88,"AAAAAH7q+eY=",0)</f>
        <v>0</v>
      </c>
      <c r="HX348" t="e">
        <f>AND('GRUPO PORT.'!A88,"AAAAAH7q+ec=")</f>
        <v>#VALUE!</v>
      </c>
      <c r="HY348" t="e">
        <f>AND('GRUPO PORT.'!B88,"AAAAAH7q+eg=")</f>
        <v>#VALUE!</v>
      </c>
      <c r="HZ348" t="e">
        <f>AND('GRUPO PORT.'!C88,"AAAAAH7q+ek=")</f>
        <v>#VALUE!</v>
      </c>
      <c r="IA348" t="e">
        <f>AND('GRUPO PORT.'!D88,"AAAAAH7q+eo=")</f>
        <v>#VALUE!</v>
      </c>
      <c r="IB348" t="e">
        <f>AND('GRUPO PORT.'!E88,"AAAAAH7q+es=")</f>
        <v>#VALUE!</v>
      </c>
      <c r="IC348" t="e">
        <f>AND('GRUPO PORT.'!F88,"AAAAAH7q+ew=")</f>
        <v>#VALUE!</v>
      </c>
      <c r="ID348">
        <f>IF('GRUPO PORT.'!89:89,"AAAAAH7q+e0=",0)</f>
        <v>0</v>
      </c>
      <c r="IE348" t="e">
        <f>AND('GRUPO PORT.'!A89,"AAAAAH7q+e4=")</f>
        <v>#VALUE!</v>
      </c>
      <c r="IF348" t="e">
        <f>AND('GRUPO PORT.'!B89,"AAAAAH7q+e8=")</f>
        <v>#VALUE!</v>
      </c>
      <c r="IG348" t="e">
        <f>AND('GRUPO PORT.'!C89,"AAAAAH7q+fA=")</f>
        <v>#VALUE!</v>
      </c>
      <c r="IH348" t="e">
        <f>AND('GRUPO PORT.'!D89,"AAAAAH7q+fE=")</f>
        <v>#VALUE!</v>
      </c>
      <c r="II348" t="e">
        <f>AND('GRUPO PORT.'!E89,"AAAAAH7q+fI=")</f>
        <v>#VALUE!</v>
      </c>
      <c r="IJ348" t="e">
        <f>AND('GRUPO PORT.'!F89,"AAAAAH7q+fM=")</f>
        <v>#VALUE!</v>
      </c>
      <c r="IK348">
        <f>IF('GRUPO PORT.'!90:90,"AAAAAH7q+fQ=",0)</f>
        <v>0</v>
      </c>
      <c r="IL348" t="e">
        <f>AND('GRUPO PORT.'!A90,"AAAAAH7q+fU=")</f>
        <v>#VALUE!</v>
      </c>
      <c r="IM348" t="e">
        <f>AND('GRUPO PORT.'!B90,"AAAAAH7q+fY=")</f>
        <v>#VALUE!</v>
      </c>
      <c r="IN348" t="e">
        <f>AND('GRUPO PORT.'!C90,"AAAAAH7q+fc=")</f>
        <v>#VALUE!</v>
      </c>
      <c r="IO348" t="e">
        <f>AND('GRUPO PORT.'!D90,"AAAAAH7q+fg=")</f>
        <v>#VALUE!</v>
      </c>
      <c r="IP348" t="e">
        <f>AND('GRUPO PORT.'!E90,"AAAAAH7q+fk=")</f>
        <v>#VALUE!</v>
      </c>
      <c r="IQ348" t="e">
        <f>AND('GRUPO PORT.'!F90,"AAAAAH7q+fo=")</f>
        <v>#VALUE!</v>
      </c>
      <c r="IR348">
        <f>IF('GRUPO PORT.'!91:91,"AAAAAH7q+fs=",0)</f>
        <v>0</v>
      </c>
      <c r="IS348" t="e">
        <f>AND('GRUPO PORT.'!A91,"AAAAAH7q+fw=")</f>
        <v>#VALUE!</v>
      </c>
      <c r="IT348" t="e">
        <f>AND('GRUPO PORT.'!B91,"AAAAAH7q+f0=")</f>
        <v>#VALUE!</v>
      </c>
      <c r="IU348" t="e">
        <f>AND('GRUPO PORT.'!C91,"AAAAAH7q+f4=")</f>
        <v>#VALUE!</v>
      </c>
      <c r="IV348" t="e">
        <f>AND('GRUPO PORT.'!D91,"AAAAAH7q+f8=")</f>
        <v>#VALUE!</v>
      </c>
    </row>
    <row r="349" spans="1:256">
      <c r="A349" t="e">
        <f>AND('GRUPO PORT.'!E91,"AAAAAFb7mgA=")</f>
        <v>#VALUE!</v>
      </c>
      <c r="B349" t="e">
        <f>AND('GRUPO PORT.'!F91,"AAAAAFb7mgE=")</f>
        <v>#VALUE!</v>
      </c>
      <c r="C349">
        <f>IF('GRUPO PORT.'!92:92,"AAAAAFb7mgI=",0)</f>
        <v>0</v>
      </c>
      <c r="D349" t="e">
        <f>AND('GRUPO PORT.'!A92,"AAAAAFb7mgM=")</f>
        <v>#VALUE!</v>
      </c>
      <c r="E349" t="e">
        <f>AND('GRUPO PORT.'!B92,"AAAAAFb7mgQ=")</f>
        <v>#VALUE!</v>
      </c>
      <c r="F349" t="e">
        <f>AND('GRUPO PORT.'!C92,"AAAAAFb7mgU=")</f>
        <v>#VALUE!</v>
      </c>
      <c r="G349" t="e">
        <f>AND('GRUPO PORT.'!D92,"AAAAAFb7mgY=")</f>
        <v>#VALUE!</v>
      </c>
      <c r="H349" t="e">
        <f>AND('GRUPO PORT.'!E92,"AAAAAFb7mgc=")</f>
        <v>#VALUE!</v>
      </c>
      <c r="I349" t="e">
        <f>AND('GRUPO PORT.'!F92,"AAAAAFb7mgg=")</f>
        <v>#VALUE!</v>
      </c>
      <c r="J349">
        <f>IF('GRUPO PORT.'!93:93,"AAAAAFb7mgk=",0)</f>
        <v>0</v>
      </c>
      <c r="K349" t="e">
        <f>AND('GRUPO PORT.'!A93,"AAAAAFb7mgo=")</f>
        <v>#VALUE!</v>
      </c>
      <c r="L349" t="e">
        <f>AND('GRUPO PORT.'!B93,"AAAAAFb7mgs=")</f>
        <v>#VALUE!</v>
      </c>
      <c r="M349" t="e">
        <f>AND('GRUPO PORT.'!C93,"AAAAAFb7mgw=")</f>
        <v>#VALUE!</v>
      </c>
      <c r="N349" t="e">
        <f>AND('GRUPO PORT.'!D93,"AAAAAFb7mg0=")</f>
        <v>#VALUE!</v>
      </c>
      <c r="O349" t="e">
        <f>AND('GRUPO PORT.'!E93,"AAAAAFb7mg4=")</f>
        <v>#VALUE!</v>
      </c>
      <c r="P349" t="e">
        <f>AND('GRUPO PORT.'!F93,"AAAAAFb7mg8=")</f>
        <v>#VALUE!</v>
      </c>
      <c r="Q349">
        <f>IF('GRUPO PORT.'!94:94,"AAAAAFb7mhA=",0)</f>
        <v>0</v>
      </c>
      <c r="R349" t="e">
        <f>AND('GRUPO PORT.'!A94,"AAAAAFb7mhE=")</f>
        <v>#VALUE!</v>
      </c>
      <c r="S349" t="e">
        <f>AND('GRUPO PORT.'!B94,"AAAAAFb7mhI=")</f>
        <v>#VALUE!</v>
      </c>
      <c r="T349" t="e">
        <f>AND('GRUPO PORT.'!C94,"AAAAAFb7mhM=")</f>
        <v>#VALUE!</v>
      </c>
      <c r="U349" t="e">
        <f>AND('GRUPO PORT.'!D94,"AAAAAFb7mhQ=")</f>
        <v>#VALUE!</v>
      </c>
      <c r="V349" t="e">
        <f>AND('GRUPO PORT.'!E94,"AAAAAFb7mhU=")</f>
        <v>#VALUE!</v>
      </c>
      <c r="W349" t="e">
        <f>AND('GRUPO PORT.'!F94,"AAAAAFb7mhY=")</f>
        <v>#VALUE!</v>
      </c>
      <c r="X349">
        <f>IF('GRUPO PORT.'!95:95,"AAAAAFb7mhc=",0)</f>
        <v>0</v>
      </c>
      <c r="Y349" t="e">
        <f>AND('GRUPO PORT.'!A95,"AAAAAFb7mhg=")</f>
        <v>#VALUE!</v>
      </c>
      <c r="Z349" t="e">
        <f>AND('GRUPO PORT.'!B95,"AAAAAFb7mhk=")</f>
        <v>#VALUE!</v>
      </c>
      <c r="AA349" t="e">
        <f>AND('GRUPO PORT.'!C95,"AAAAAFb7mho=")</f>
        <v>#VALUE!</v>
      </c>
      <c r="AB349" t="e">
        <f>AND('GRUPO PORT.'!D95,"AAAAAFb7mhs=")</f>
        <v>#VALUE!</v>
      </c>
      <c r="AC349" t="e">
        <f>AND('GRUPO PORT.'!E95,"AAAAAFb7mhw=")</f>
        <v>#VALUE!</v>
      </c>
      <c r="AD349" t="e">
        <f>AND('GRUPO PORT.'!F95,"AAAAAFb7mh0=")</f>
        <v>#VALUE!</v>
      </c>
      <c r="AE349">
        <f>IF('GRUPO PORT.'!96:96,"AAAAAFb7mh4=",0)</f>
        <v>0</v>
      </c>
      <c r="AF349" t="e">
        <f>AND('GRUPO PORT.'!A96,"AAAAAFb7mh8=")</f>
        <v>#VALUE!</v>
      </c>
      <c r="AG349" t="e">
        <f>AND('GRUPO PORT.'!B96,"AAAAAFb7miA=")</f>
        <v>#VALUE!</v>
      </c>
      <c r="AH349" t="e">
        <f>AND('GRUPO PORT.'!C96,"AAAAAFb7miE=")</f>
        <v>#VALUE!</v>
      </c>
      <c r="AI349" t="e">
        <f>AND('GRUPO PORT.'!D96,"AAAAAFb7miI=")</f>
        <v>#VALUE!</v>
      </c>
      <c r="AJ349" t="e">
        <f>AND('GRUPO PORT.'!E96,"AAAAAFb7miM=")</f>
        <v>#VALUE!</v>
      </c>
      <c r="AK349" t="e">
        <f>AND('GRUPO PORT.'!F96,"AAAAAFb7miQ=")</f>
        <v>#VALUE!</v>
      </c>
      <c r="AL349">
        <f>IF('GRUPO PORT.'!97:97,"AAAAAFb7miU=",0)</f>
        <v>0</v>
      </c>
      <c r="AM349" t="e">
        <f>AND('GRUPO PORT.'!A97,"AAAAAFb7miY=")</f>
        <v>#VALUE!</v>
      </c>
      <c r="AN349" t="e">
        <f>AND('GRUPO PORT.'!B97,"AAAAAFb7mic=")</f>
        <v>#VALUE!</v>
      </c>
      <c r="AO349" t="e">
        <f>AND('GRUPO PORT.'!C97,"AAAAAFb7mig=")</f>
        <v>#VALUE!</v>
      </c>
      <c r="AP349" t="e">
        <f>AND('GRUPO PORT.'!D97,"AAAAAFb7mik=")</f>
        <v>#VALUE!</v>
      </c>
      <c r="AQ349" t="e">
        <f>AND('GRUPO PORT.'!E97,"AAAAAFb7mio=")</f>
        <v>#VALUE!</v>
      </c>
      <c r="AR349" t="e">
        <f>AND('GRUPO PORT.'!F97,"AAAAAFb7mis=")</f>
        <v>#VALUE!</v>
      </c>
      <c r="AS349">
        <f>IF('GRUPO PORT.'!98:98,"AAAAAFb7miw=",0)</f>
        <v>0</v>
      </c>
      <c r="AT349" t="e">
        <f>AND('GRUPO PORT.'!A98,"AAAAAFb7mi0=")</f>
        <v>#VALUE!</v>
      </c>
      <c r="AU349" t="e">
        <f>AND('GRUPO PORT.'!B98,"AAAAAFb7mi4=")</f>
        <v>#VALUE!</v>
      </c>
      <c r="AV349" t="e">
        <f>AND('GRUPO PORT.'!C98,"AAAAAFb7mi8=")</f>
        <v>#VALUE!</v>
      </c>
      <c r="AW349" t="e">
        <f>AND('GRUPO PORT.'!D98,"AAAAAFb7mjA=")</f>
        <v>#VALUE!</v>
      </c>
      <c r="AX349" t="e">
        <f>AND('GRUPO PORT.'!E98,"AAAAAFb7mjE=")</f>
        <v>#VALUE!</v>
      </c>
      <c r="AY349" t="e">
        <f>AND('GRUPO PORT.'!F98,"AAAAAFb7mjI=")</f>
        <v>#VALUE!</v>
      </c>
      <c r="AZ349">
        <f>IF('GRUPO PORT.'!99:99,"AAAAAFb7mjM=",0)</f>
        <v>0</v>
      </c>
      <c r="BA349" t="e">
        <f>AND('GRUPO PORT.'!A99,"AAAAAFb7mjQ=")</f>
        <v>#VALUE!</v>
      </c>
      <c r="BB349" t="e">
        <f>AND('GRUPO PORT.'!B99,"AAAAAFb7mjU=")</f>
        <v>#VALUE!</v>
      </c>
      <c r="BC349" t="e">
        <f>AND('GRUPO PORT.'!C99,"AAAAAFb7mjY=")</f>
        <v>#VALUE!</v>
      </c>
      <c r="BD349" t="e">
        <f>AND('GRUPO PORT.'!D99,"AAAAAFb7mjc=")</f>
        <v>#VALUE!</v>
      </c>
      <c r="BE349" t="e">
        <f>AND('GRUPO PORT.'!E99,"AAAAAFb7mjg=")</f>
        <v>#VALUE!</v>
      </c>
      <c r="BF349" t="e">
        <f>AND('GRUPO PORT.'!F99,"AAAAAFb7mjk=")</f>
        <v>#VALUE!</v>
      </c>
      <c r="BG349">
        <f>IF('GRUPO PORT.'!100:100,"AAAAAFb7mjo=",0)</f>
        <v>0</v>
      </c>
      <c r="BH349" t="e">
        <f>AND('GRUPO PORT.'!A100,"AAAAAFb7mjs=")</f>
        <v>#VALUE!</v>
      </c>
      <c r="BI349" t="e">
        <f>AND('GRUPO PORT.'!B100,"AAAAAFb7mjw=")</f>
        <v>#VALUE!</v>
      </c>
      <c r="BJ349" t="e">
        <f>AND('GRUPO PORT.'!C100,"AAAAAFb7mj0=")</f>
        <v>#VALUE!</v>
      </c>
      <c r="BK349" t="e">
        <f>AND('GRUPO PORT.'!D100,"AAAAAFb7mj4=")</f>
        <v>#VALUE!</v>
      </c>
      <c r="BL349" t="e">
        <f>AND('GRUPO PORT.'!E100,"AAAAAFb7mj8=")</f>
        <v>#VALUE!</v>
      </c>
      <c r="BM349" t="e">
        <f>AND('GRUPO PORT.'!F100,"AAAAAFb7mkA=")</f>
        <v>#VALUE!</v>
      </c>
      <c r="BN349">
        <f>IF('GRUPO PORT.'!101:101,"AAAAAFb7mkE=",0)</f>
        <v>0</v>
      </c>
      <c r="BO349" t="e">
        <f>AND('GRUPO PORT.'!A101,"AAAAAFb7mkI=")</f>
        <v>#VALUE!</v>
      </c>
      <c r="BP349" t="e">
        <f>AND('GRUPO PORT.'!B101,"AAAAAFb7mkM=")</f>
        <v>#VALUE!</v>
      </c>
      <c r="BQ349" t="e">
        <f>AND('GRUPO PORT.'!C101,"AAAAAFb7mkQ=")</f>
        <v>#VALUE!</v>
      </c>
      <c r="BR349" t="e">
        <f>AND('GRUPO PORT.'!D101,"AAAAAFb7mkU=")</f>
        <v>#VALUE!</v>
      </c>
      <c r="BS349" t="e">
        <f>AND('GRUPO PORT.'!E101,"AAAAAFb7mkY=")</f>
        <v>#VALUE!</v>
      </c>
      <c r="BT349" t="e">
        <f>AND('GRUPO PORT.'!F101,"AAAAAFb7mkc=")</f>
        <v>#VALUE!</v>
      </c>
      <c r="BU349">
        <f>IF('GRUPO PORT.'!102:102,"AAAAAFb7mkg=",0)</f>
        <v>0</v>
      </c>
      <c r="BV349" t="e">
        <f>AND('GRUPO PORT.'!A102,"AAAAAFb7mkk=")</f>
        <v>#VALUE!</v>
      </c>
      <c r="BW349" t="e">
        <f>AND('GRUPO PORT.'!B102,"AAAAAFb7mko=")</f>
        <v>#VALUE!</v>
      </c>
      <c r="BX349" t="e">
        <f>AND('GRUPO PORT.'!C102,"AAAAAFb7mks=")</f>
        <v>#VALUE!</v>
      </c>
      <c r="BY349" t="e">
        <f>AND('GRUPO PORT.'!D102,"AAAAAFb7mkw=")</f>
        <v>#VALUE!</v>
      </c>
      <c r="BZ349" t="e">
        <f>AND('GRUPO PORT.'!E102,"AAAAAFb7mk0=")</f>
        <v>#VALUE!</v>
      </c>
      <c r="CA349" t="e">
        <f>AND('GRUPO PORT.'!F102,"AAAAAFb7mk4=")</f>
        <v>#VALUE!</v>
      </c>
      <c r="CB349">
        <f>IF('GRUPO PORT.'!103:103,"AAAAAFb7mk8=",0)</f>
        <v>0</v>
      </c>
      <c r="CC349" t="e">
        <f>AND('GRUPO PORT.'!A103,"AAAAAFb7mlA=")</f>
        <v>#VALUE!</v>
      </c>
      <c r="CD349" t="e">
        <f>AND('GRUPO PORT.'!B103,"AAAAAFb7mlE=")</f>
        <v>#VALUE!</v>
      </c>
      <c r="CE349" t="e">
        <f>AND('GRUPO PORT.'!C103,"AAAAAFb7mlI=")</f>
        <v>#VALUE!</v>
      </c>
      <c r="CF349" t="e">
        <f>AND('GRUPO PORT.'!D103,"AAAAAFb7mlM=")</f>
        <v>#VALUE!</v>
      </c>
      <c r="CG349" t="e">
        <f>AND('GRUPO PORT.'!E103,"AAAAAFb7mlQ=")</f>
        <v>#VALUE!</v>
      </c>
      <c r="CH349" t="e">
        <f>AND('GRUPO PORT.'!F103,"AAAAAFb7mlU=")</f>
        <v>#VALUE!</v>
      </c>
      <c r="CI349">
        <f>IF('GRUPO PORT.'!104:104,"AAAAAFb7mlY=",0)</f>
        <v>0</v>
      </c>
      <c r="CJ349" t="e">
        <f>AND('GRUPO PORT.'!A104,"AAAAAFb7mlc=")</f>
        <v>#VALUE!</v>
      </c>
      <c r="CK349" t="e">
        <f>AND('GRUPO PORT.'!B104,"AAAAAFb7mlg=")</f>
        <v>#VALUE!</v>
      </c>
      <c r="CL349" t="e">
        <f>AND('GRUPO PORT.'!C104,"AAAAAFb7mlk=")</f>
        <v>#VALUE!</v>
      </c>
      <c r="CM349" t="e">
        <f>AND('GRUPO PORT.'!D104,"AAAAAFb7mlo=")</f>
        <v>#VALUE!</v>
      </c>
      <c r="CN349" t="e">
        <f>AND('GRUPO PORT.'!E104,"AAAAAFb7mls=")</f>
        <v>#VALUE!</v>
      </c>
      <c r="CO349" t="e">
        <f>AND('GRUPO PORT.'!F104,"AAAAAFb7mlw=")</f>
        <v>#VALUE!</v>
      </c>
      <c r="CP349">
        <f>IF('GRUPO PORT.'!105:105,"AAAAAFb7ml0=",0)</f>
        <v>0</v>
      </c>
      <c r="CQ349" t="e">
        <f>AND('GRUPO PORT.'!A105,"AAAAAFb7ml4=")</f>
        <v>#VALUE!</v>
      </c>
      <c r="CR349" t="e">
        <f>AND('GRUPO PORT.'!B105,"AAAAAFb7ml8=")</f>
        <v>#VALUE!</v>
      </c>
      <c r="CS349" t="e">
        <f>AND('GRUPO PORT.'!C105,"AAAAAFb7mmA=")</f>
        <v>#VALUE!</v>
      </c>
      <c r="CT349" t="e">
        <f>AND('GRUPO PORT.'!D105,"AAAAAFb7mmE=")</f>
        <v>#VALUE!</v>
      </c>
      <c r="CU349" t="e">
        <f>AND('GRUPO PORT.'!E105,"AAAAAFb7mmI=")</f>
        <v>#VALUE!</v>
      </c>
      <c r="CV349" t="e">
        <f>AND('GRUPO PORT.'!F105,"AAAAAFb7mmM=")</f>
        <v>#VALUE!</v>
      </c>
      <c r="CW349">
        <f>IF('GRUPO PORT.'!106:106,"AAAAAFb7mmQ=",0)</f>
        <v>0</v>
      </c>
      <c r="CX349" t="e">
        <f>AND('GRUPO PORT.'!A106,"AAAAAFb7mmU=")</f>
        <v>#VALUE!</v>
      </c>
      <c r="CY349" t="e">
        <f>AND('GRUPO PORT.'!B106,"AAAAAFb7mmY=")</f>
        <v>#VALUE!</v>
      </c>
      <c r="CZ349" t="e">
        <f>AND('GRUPO PORT.'!C106,"AAAAAFb7mmc=")</f>
        <v>#VALUE!</v>
      </c>
      <c r="DA349" t="e">
        <f>AND('GRUPO PORT.'!D106,"AAAAAFb7mmg=")</f>
        <v>#VALUE!</v>
      </c>
      <c r="DB349" t="e">
        <f>AND('GRUPO PORT.'!E106,"AAAAAFb7mmk=")</f>
        <v>#VALUE!</v>
      </c>
      <c r="DC349" t="e">
        <f>AND('GRUPO PORT.'!F106,"AAAAAFb7mmo=")</f>
        <v>#VALUE!</v>
      </c>
      <c r="DD349">
        <f>IF('GRUPO PORT.'!107:107,"AAAAAFb7mms=",0)</f>
        <v>0</v>
      </c>
      <c r="DE349" t="e">
        <f>AND('GRUPO PORT.'!A107,"AAAAAFb7mmw=")</f>
        <v>#VALUE!</v>
      </c>
      <c r="DF349" t="e">
        <f>AND('GRUPO PORT.'!B107,"AAAAAFb7mm0=")</f>
        <v>#VALUE!</v>
      </c>
      <c r="DG349" t="e">
        <f>AND('GRUPO PORT.'!C107,"AAAAAFb7mm4=")</f>
        <v>#VALUE!</v>
      </c>
      <c r="DH349" t="e">
        <f>AND('GRUPO PORT.'!D107,"AAAAAFb7mm8=")</f>
        <v>#VALUE!</v>
      </c>
      <c r="DI349" t="e">
        <f>AND('GRUPO PORT.'!E107,"AAAAAFb7mnA=")</f>
        <v>#VALUE!</v>
      </c>
      <c r="DJ349" t="e">
        <f>AND('GRUPO PORT.'!F107,"AAAAAFb7mnE=")</f>
        <v>#VALUE!</v>
      </c>
      <c r="DK349">
        <f>IF('GRUPO PORT.'!A:A,"AAAAAFb7mnI=",0)</f>
        <v>0</v>
      </c>
      <c r="DL349">
        <f>IF('GRUPO PORT.'!B:B,"AAAAAFb7mnM=",0)</f>
        <v>0</v>
      </c>
      <c r="DM349">
        <f>IF('GRUPO PORT.'!C:C,"AAAAAFb7mnQ=",0)</f>
        <v>0</v>
      </c>
      <c r="DN349">
        <f>IF('GRUPO PORT.'!D:D,"AAAAAFb7mnU=",0)</f>
        <v>0</v>
      </c>
      <c r="DO349">
        <f>IF('GRUPO PORT.'!E:E,"AAAAAFb7mnY=",0)</f>
        <v>0</v>
      </c>
      <c r="DP349">
        <f>IF('GRUPO PORT.'!F:F,"AAAAAFb7mnc=",0)</f>
        <v>0</v>
      </c>
      <c r="DQ349" t="s">
        <v>1084</v>
      </c>
      <c r="DR349" t="s">
        <v>1085</v>
      </c>
      <c r="DS349" s="4" t="s">
        <v>1086</v>
      </c>
      <c r="DT349" s="64" t="s">
        <v>1087</v>
      </c>
      <c r="DU349" t="s">
        <v>1088</v>
      </c>
      <c r="DV349" t="e">
        <f>IF("N",'SPR BARRANQUILLA'!_xlnm.Print_Titles,"AAAAAFb7mn0=")</f>
        <v>#VALUE!</v>
      </c>
    </row>
    <row r="350" spans="1:256">
      <c r="A350" t="e">
        <f>AND(PENSOPORT!B1,"AAAAAGb//AA=")</f>
        <v>#VALUE!</v>
      </c>
      <c r="B350" t="e">
        <f>AND(PENSOPORT!C2,"AAAAAGb//AE=")</f>
        <v>#VALUE!</v>
      </c>
      <c r="C350" t="s">
        <v>1089</v>
      </c>
      <c r="D350" t="s">
        <v>1090</v>
      </c>
      <c r="E350" t="e">
        <f>IF("N",'SPR BARRANQUILLA'!_xlnm.Print_Titles,"AAAAAGb//AQ=")</f>
        <v>#VALUE!</v>
      </c>
    </row>
    <row r="351" spans="1:256">
      <c r="A351" t="e">
        <f>IF(#REF!,"AAAAAHs73gA=",0)</f>
        <v>#REF!</v>
      </c>
      <c r="B351" t="e">
        <f>IF(#REF!,"AAAAAHs73gE=",0)</f>
        <v>#REF!</v>
      </c>
      <c r="C351" t="e">
        <f>IF(#REF!,"AAAAAHs73gI=",0)</f>
        <v>#REF!</v>
      </c>
      <c r="D351" t="e">
        <f>IF(#REF!,"AAAAAHs73gM=",0)</f>
        <v>#REF!</v>
      </c>
      <c r="E351" t="e">
        <f>IF(#REF!,"AAAAAHs73gQ=",0)</f>
        <v>#REF!</v>
      </c>
      <c r="F351" t="e">
        <f>IF(#REF!,"AAAAAHs73gU=",0)</f>
        <v>#REF!</v>
      </c>
      <c r="G351" t="e">
        <f>IF(#REF!,"AAAAAHs73gY=",0)</f>
        <v>#REF!</v>
      </c>
      <c r="H351" t="e">
        <f>IF(#REF!,"AAAAAHs73gc=",0)</f>
        <v>#REF!</v>
      </c>
      <c r="I351" t="e">
        <f>AND(#REF!,"AAAAAHs73gg=")</f>
        <v>#REF!</v>
      </c>
      <c r="J351" t="e">
        <f>IF(#REF!,"AAAAAHs73gk=",0)</f>
        <v>#REF!</v>
      </c>
      <c r="K351" t="e">
        <f>AND(#REF!,"AAAAAHs73go=")</f>
        <v>#REF!</v>
      </c>
      <c r="L351" t="e">
        <f>AND(#REF!,"AAAAAHs73gs=")</f>
        <v>#REF!</v>
      </c>
      <c r="M351" t="s">
        <v>1094</v>
      </c>
      <c r="N351" t="s">
        <v>1095</v>
      </c>
      <c r="O351" t="e">
        <f>IF("N",'SPR BARRANQUILLA'!_xlnm.Print_Titles,"AAAAAHs73g4=")</f>
        <v>#VALUE!</v>
      </c>
    </row>
    <row r="352" spans="1:256">
      <c r="A352" t="e">
        <f>AND(#REF!,"AAAAADb+nwA=")</f>
        <v>#REF!</v>
      </c>
      <c r="B352">
        <f>IF('PALERMO SP'!116:116,"AAAAADb+nwE=",0)</f>
        <v>0</v>
      </c>
      <c r="C352" t="e">
        <f>AND('PALERMO SP'!A116,"AAAAADb+nwI=")</f>
        <v>#VALUE!</v>
      </c>
      <c r="D352" t="e">
        <f>AND('PALERMO SP'!B116,"AAAAADb+nwM=")</f>
        <v>#VALUE!</v>
      </c>
      <c r="E352" t="e">
        <f>AND('PALERMO SP'!C116,"AAAAADb+nwQ=")</f>
        <v>#VALUE!</v>
      </c>
      <c r="F352" t="s">
        <v>1102</v>
      </c>
      <c r="G352" t="s">
        <v>1103</v>
      </c>
      <c r="H352" t="e">
        <f>IF("N",'SPR BARRANQUILLA'!_xlnm.Print_Titles,"AAAAADb+nwc=")</f>
        <v>#VALUE!</v>
      </c>
    </row>
    <row r="353" spans="1:3">
      <c r="A353" t="s">
        <v>1104</v>
      </c>
      <c r="B353" t="s">
        <v>1105</v>
      </c>
      <c r="C353" t="e">
        <f>IF("N",'SPR BARRANQUILLA'!_xlnm.Print_Titles,"AAAAAF7f/wI=")</f>
        <v>#VALUE!</v>
      </c>
    </row>
    <row r="354" spans="1:3">
      <c r="A354" t="e">
        <f>IF("N",'SPR BARRANQUILLA'!_xlnm.Print_Titles,"AAAAAHz33wA=")</f>
        <v>#VALUE!</v>
      </c>
    </row>
    <row r="355" spans="1:3">
      <c r="A355" t="e">
        <f>IF("N",'SPR BARRANQUILLA'!_xlnm.Print_Titles,"AAAAACS/9QA=")</f>
        <v>#VALUE!</v>
      </c>
    </row>
    <row r="356" spans="1:3">
      <c r="A356" t="e">
        <f>IF("N",'SPR BARRANQUILLA'!_xlnm.Print_Titles,"AAAAAHz/1wA=")</f>
        <v>#VALUE!</v>
      </c>
    </row>
    <row r="357" spans="1:3">
      <c r="A357" t="e">
        <f>IF("N",'SPR BARRANQUILLA'!_xlnm.Print_Titles,"AAAAAHvu/wA=")</f>
        <v>#VALUE!</v>
      </c>
    </row>
    <row r="358" spans="1:3">
      <c r="A358" t="e">
        <f>IF("N",'SPR BARRANQUILLA'!_xlnm.Print_Titles,"AAAAAHo27wA=")</f>
        <v>#VALUE!</v>
      </c>
    </row>
    <row r="359" spans="1:3">
      <c r="A359" t="e">
        <f>IF("N",'SPR BARRANQUILLA'!_xlnm.Print_Titles,"AAAAAHN/9QA=")</f>
        <v>#VALUE!</v>
      </c>
    </row>
    <row r="360" spans="1:3">
      <c r="A360" t="e">
        <f>IF("N",'SPR BARRANQUILLA'!_xlnm.Print_Titles,"AAAAAH09/wA=")</f>
        <v>#VALUE!</v>
      </c>
    </row>
  </sheetData>
  <pageMargins left="0.7" right="0.7" top="0.75" bottom="0.75" header="0.3" footer="0.3"/>
  <customProperties>
    <customPr name="DVSECTION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11"/>
  <sheetViews>
    <sheetView workbookViewId="0">
      <selection activeCell="F16" sqref="F16"/>
    </sheetView>
  </sheetViews>
  <sheetFormatPr baseColWidth="10" defaultRowHeight="12.75"/>
  <cols>
    <col min="1" max="1" width="38.140625" bestFit="1" customWidth="1"/>
    <col min="2" max="2" width="22" bestFit="1" customWidth="1"/>
    <col min="3" max="3" width="14.5703125" customWidth="1"/>
  </cols>
  <sheetData>
    <row r="1" spans="1:3" ht="15.75">
      <c r="A1" s="789" t="s">
        <v>1107</v>
      </c>
      <c r="B1" s="790"/>
      <c r="C1" s="791"/>
    </row>
    <row r="2" spans="1:3" ht="15">
      <c r="A2" s="792"/>
      <c r="B2" s="793"/>
      <c r="C2" s="794"/>
    </row>
    <row r="3" spans="1:3" ht="15.75">
      <c r="A3" s="753" t="s">
        <v>373</v>
      </c>
      <c r="B3" s="795"/>
      <c r="C3" s="796"/>
    </row>
    <row r="4" spans="1:3" ht="49.5" customHeight="1">
      <c r="A4" s="750" t="s">
        <v>1110</v>
      </c>
      <c r="B4" s="751"/>
      <c r="C4" s="752"/>
    </row>
    <row r="5" spans="1:3" ht="15">
      <c r="A5" s="8"/>
      <c r="B5" s="8"/>
      <c r="C5" s="8"/>
    </row>
    <row r="6" spans="1:3" ht="15.75">
      <c r="A6" s="753" t="s">
        <v>318</v>
      </c>
      <c r="B6" s="754"/>
      <c r="C6" s="755"/>
    </row>
    <row r="7" spans="1:3" ht="21" customHeight="1">
      <c r="A7" s="195" t="s">
        <v>474</v>
      </c>
      <c r="B7" s="195" t="s">
        <v>921</v>
      </c>
      <c r="C7" s="195" t="s">
        <v>75</v>
      </c>
    </row>
    <row r="8" spans="1:3" ht="21.75" customHeight="1">
      <c r="A8" s="185" t="s">
        <v>1106</v>
      </c>
      <c r="B8" s="176" t="s">
        <v>1111</v>
      </c>
      <c r="C8" s="196">
        <v>4.2</v>
      </c>
    </row>
    <row r="9" spans="1:3" ht="15.75">
      <c r="A9" s="753" t="s">
        <v>125</v>
      </c>
      <c r="B9" s="754"/>
      <c r="C9" s="755"/>
    </row>
    <row r="10" spans="1:3" ht="21.75" customHeight="1">
      <c r="A10" s="195" t="s">
        <v>474</v>
      </c>
      <c r="B10" s="195" t="s">
        <v>921</v>
      </c>
      <c r="C10" s="195" t="s">
        <v>75</v>
      </c>
    </row>
    <row r="11" spans="1:3" ht="24.75" customHeight="1">
      <c r="A11" s="185" t="s">
        <v>1109</v>
      </c>
      <c r="B11" s="176" t="s">
        <v>1108</v>
      </c>
      <c r="C11" s="196">
        <v>6.5</v>
      </c>
    </row>
  </sheetData>
  <sheetProtection algorithmName="SHA-512" hashValue="cNTErY6JV0GGWtD1vcSduBDDZcyVflhPJ+MQfPxVliqn5GeC/qKPCL+ztqyTfB1IFHtUeE/uGE+ofatqi3e4wQ==" saltValue="CbaTbGIiVd1SH2/hg8g1gg==" spinCount="100000" sheet="1" objects="1" scenarios="1"/>
  <mergeCells count="6">
    <mergeCell ref="A9:C9"/>
    <mergeCell ref="A1:C1"/>
    <mergeCell ref="A2:C2"/>
    <mergeCell ref="A3:C3"/>
    <mergeCell ref="A4:C4"/>
    <mergeCell ref="A6:C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72"/>
  <sheetViews>
    <sheetView workbookViewId="0">
      <selection activeCell="F15" sqref="F15"/>
    </sheetView>
  </sheetViews>
  <sheetFormatPr baseColWidth="10" defaultRowHeight="12.75"/>
  <cols>
    <col min="1" max="1" width="66.7109375" customWidth="1"/>
    <col min="2" max="2" width="25.42578125" customWidth="1"/>
    <col min="3" max="3" width="14.7109375" customWidth="1"/>
    <col min="4" max="5" width="11.42578125" style="208"/>
  </cols>
  <sheetData>
    <row r="1" spans="1:5" ht="15">
      <c r="A1" s="680" t="s">
        <v>1623</v>
      </c>
      <c r="B1" s="680"/>
      <c r="C1" s="680"/>
    </row>
    <row r="2" spans="1:5" ht="15">
      <c r="A2" s="680" t="s">
        <v>1231</v>
      </c>
      <c r="B2" s="680"/>
      <c r="C2" s="680"/>
    </row>
    <row r="4" spans="1:5" ht="12.75" customHeight="1">
      <c r="A4" s="231" t="s">
        <v>49</v>
      </c>
      <c r="B4" s="231" t="s">
        <v>124</v>
      </c>
      <c r="C4" s="231" t="s">
        <v>75</v>
      </c>
      <c r="D4" s="207"/>
    </row>
    <row r="5" spans="1:5" ht="15">
      <c r="A5" s="231" t="s">
        <v>125</v>
      </c>
      <c r="B5" s="204"/>
      <c r="C5" s="232"/>
      <c r="D5" s="207"/>
    </row>
    <row r="6" spans="1:5">
      <c r="A6" s="209" t="s">
        <v>1153</v>
      </c>
      <c r="B6" s="209" t="s">
        <v>1154</v>
      </c>
      <c r="C6" s="210">
        <v>12</v>
      </c>
      <c r="D6" s="211"/>
      <c r="E6" s="212"/>
    </row>
    <row r="7" spans="1:5">
      <c r="A7" s="213" t="s">
        <v>1155</v>
      </c>
      <c r="B7" s="213" t="s">
        <v>1154</v>
      </c>
      <c r="C7" s="214">
        <v>7</v>
      </c>
      <c r="D7" s="211"/>
      <c r="E7" s="212"/>
    </row>
    <row r="8" spans="1:5">
      <c r="A8" s="213" t="s">
        <v>1156</v>
      </c>
      <c r="B8" s="213" t="s">
        <v>1154</v>
      </c>
      <c r="C8" s="214">
        <v>5</v>
      </c>
      <c r="D8" s="211"/>
      <c r="E8" s="212"/>
    </row>
    <row r="9" spans="1:5">
      <c r="A9" s="233"/>
      <c r="B9" s="215"/>
      <c r="C9" s="215"/>
      <c r="D9" s="211"/>
      <c r="E9" s="212"/>
    </row>
    <row r="10" spans="1:5" ht="15">
      <c r="A10" s="204" t="s">
        <v>777</v>
      </c>
      <c r="B10" s="205"/>
      <c r="C10" s="206"/>
      <c r="D10" s="211"/>
      <c r="E10" s="212"/>
    </row>
    <row r="11" spans="1:5">
      <c r="A11" s="209" t="s">
        <v>1157</v>
      </c>
      <c r="B11" s="209" t="s">
        <v>110</v>
      </c>
      <c r="C11" s="216">
        <v>95</v>
      </c>
      <c r="D11" s="211"/>
      <c r="E11" s="212"/>
    </row>
    <row r="12" spans="1:5">
      <c r="A12" s="213" t="s">
        <v>1158</v>
      </c>
      <c r="B12" s="213" t="s">
        <v>110</v>
      </c>
      <c r="C12" s="217">
        <v>22</v>
      </c>
      <c r="D12" s="211"/>
      <c r="E12" s="212"/>
    </row>
    <row r="13" spans="1:5">
      <c r="A13" s="213" t="s">
        <v>1159</v>
      </c>
      <c r="B13" s="213" t="s">
        <v>110</v>
      </c>
      <c r="C13" s="217">
        <v>130</v>
      </c>
      <c r="D13" s="211"/>
      <c r="E13" s="212"/>
    </row>
    <row r="14" spans="1:5">
      <c r="A14" s="213" t="s">
        <v>699</v>
      </c>
      <c r="B14" s="213" t="s">
        <v>110</v>
      </c>
      <c r="C14" s="217">
        <v>22</v>
      </c>
      <c r="D14" s="211"/>
      <c r="E14" s="212"/>
    </row>
    <row r="15" spans="1:5" ht="14.25">
      <c r="A15" s="218" t="s">
        <v>113</v>
      </c>
      <c r="B15" s="213" t="s">
        <v>1160</v>
      </c>
      <c r="C15" s="217">
        <v>5</v>
      </c>
      <c r="D15" s="211"/>
      <c r="E15" s="212"/>
    </row>
    <row r="16" spans="1:5" ht="14.25">
      <c r="A16" s="218" t="s">
        <v>1161</v>
      </c>
      <c r="B16" s="213" t="s">
        <v>1162</v>
      </c>
      <c r="C16" s="217">
        <v>4.5</v>
      </c>
      <c r="D16" s="211"/>
      <c r="E16" s="212"/>
    </row>
    <row r="17" spans="1:5">
      <c r="A17" s="218" t="s">
        <v>1163</v>
      </c>
      <c r="B17" s="213" t="s">
        <v>110</v>
      </c>
      <c r="C17" s="217">
        <v>60</v>
      </c>
      <c r="D17" s="211"/>
      <c r="E17" s="212"/>
    </row>
    <row r="18" spans="1:5">
      <c r="A18" s="218" t="s">
        <v>1164</v>
      </c>
      <c r="B18" s="213" t="s">
        <v>110</v>
      </c>
      <c r="C18" s="217">
        <v>85</v>
      </c>
      <c r="D18" s="211"/>
      <c r="E18" s="212"/>
    </row>
    <row r="19" spans="1:5">
      <c r="A19" s="218" t="s">
        <v>1165</v>
      </c>
      <c r="B19" s="213" t="s">
        <v>110</v>
      </c>
      <c r="C19" s="217">
        <v>150</v>
      </c>
      <c r="D19" s="211"/>
      <c r="E19" s="212"/>
    </row>
    <row r="20" spans="1:5">
      <c r="A20" s="218" t="s">
        <v>1166</v>
      </c>
      <c r="B20" s="213" t="s">
        <v>110</v>
      </c>
      <c r="C20" s="217">
        <v>150</v>
      </c>
      <c r="D20" s="211"/>
      <c r="E20" s="212"/>
    </row>
    <row r="21" spans="1:5">
      <c r="A21" s="218" t="s">
        <v>1167</v>
      </c>
      <c r="B21" s="213" t="s">
        <v>110</v>
      </c>
      <c r="C21" s="217">
        <v>150</v>
      </c>
      <c r="D21" s="211"/>
      <c r="E21" s="212"/>
    </row>
    <row r="22" spans="1:5">
      <c r="A22" s="219"/>
      <c r="B22" s="215"/>
      <c r="C22" s="215"/>
      <c r="D22" s="211"/>
      <c r="E22" s="212"/>
    </row>
    <row r="23" spans="1:5" ht="15">
      <c r="A23" s="205" t="s">
        <v>157</v>
      </c>
      <c r="B23" s="205"/>
      <c r="C23" s="206"/>
      <c r="D23" s="211"/>
      <c r="E23" s="212"/>
    </row>
    <row r="24" spans="1:5">
      <c r="A24" s="220" t="s">
        <v>1168</v>
      </c>
      <c r="B24" s="220"/>
      <c r="C24" s="220"/>
      <c r="D24" s="211"/>
      <c r="E24" s="212"/>
    </row>
    <row r="25" spans="1:5">
      <c r="A25" s="213" t="s">
        <v>1157</v>
      </c>
      <c r="B25" s="213" t="s">
        <v>110</v>
      </c>
      <c r="C25" s="217">
        <v>16</v>
      </c>
      <c r="D25" s="211"/>
      <c r="E25" s="212"/>
    </row>
    <row r="26" spans="1:5">
      <c r="A26" s="213" t="s">
        <v>1158</v>
      </c>
      <c r="B26" s="213" t="s">
        <v>110</v>
      </c>
      <c r="C26" s="217">
        <v>2.2999999999999998</v>
      </c>
      <c r="D26" s="211"/>
      <c r="E26" s="212"/>
    </row>
    <row r="27" spans="1:5">
      <c r="A27" s="213" t="s">
        <v>1159</v>
      </c>
      <c r="B27" s="213" t="s">
        <v>110</v>
      </c>
      <c r="C27" s="217">
        <v>25</v>
      </c>
      <c r="D27" s="211"/>
      <c r="E27" s="212"/>
    </row>
    <row r="28" spans="1:5">
      <c r="A28" s="213" t="s">
        <v>699</v>
      </c>
      <c r="B28" s="213" t="s">
        <v>110</v>
      </c>
      <c r="C28" s="217">
        <v>4</v>
      </c>
      <c r="D28" s="211"/>
      <c r="E28" s="212"/>
    </row>
    <row r="29" spans="1:5" ht="14.25">
      <c r="A29" s="213" t="s">
        <v>792</v>
      </c>
      <c r="B29" s="213" t="s">
        <v>1160</v>
      </c>
      <c r="C29" s="217">
        <v>1.6</v>
      </c>
      <c r="D29" s="211"/>
      <c r="E29" s="212"/>
    </row>
    <row r="30" spans="1:5" ht="14.25">
      <c r="A30" s="213" t="s">
        <v>794</v>
      </c>
      <c r="B30" s="213" t="s">
        <v>1160</v>
      </c>
      <c r="C30" s="221">
        <v>1.2</v>
      </c>
      <c r="D30" s="211"/>
      <c r="E30" s="212"/>
    </row>
    <row r="31" spans="1:5">
      <c r="A31" s="213" t="s">
        <v>317</v>
      </c>
      <c r="C31" s="221"/>
      <c r="D31" s="211"/>
      <c r="E31" s="212"/>
    </row>
    <row r="32" spans="1:5">
      <c r="A32" s="213" t="s">
        <v>1169</v>
      </c>
      <c r="B32" s="213" t="s">
        <v>1170</v>
      </c>
      <c r="C32" s="221"/>
      <c r="D32" s="211"/>
      <c r="E32" s="212"/>
    </row>
    <row r="33" spans="1:6">
      <c r="A33" s="213" t="s">
        <v>1171</v>
      </c>
      <c r="B33" s="213" t="s">
        <v>1172</v>
      </c>
      <c r="C33" s="221"/>
      <c r="D33" s="211"/>
      <c r="E33" s="212"/>
    </row>
    <row r="34" spans="1:6">
      <c r="A34" s="213" t="s">
        <v>1173</v>
      </c>
      <c r="B34" s="213" t="s">
        <v>1174</v>
      </c>
      <c r="C34" s="221"/>
      <c r="D34" s="211"/>
      <c r="E34" s="212"/>
    </row>
    <row r="35" spans="1:6">
      <c r="A35" s="213" t="s">
        <v>1175</v>
      </c>
      <c r="B35" s="213" t="s">
        <v>1176</v>
      </c>
      <c r="C35" s="221"/>
      <c r="D35" s="211"/>
      <c r="E35" s="212"/>
      <c r="F35" s="222"/>
    </row>
    <row r="36" spans="1:6">
      <c r="A36" s="218" t="s">
        <v>1163</v>
      </c>
      <c r="B36" s="213" t="s">
        <v>110</v>
      </c>
      <c r="C36" s="217">
        <v>4</v>
      </c>
      <c r="D36" s="211"/>
      <c r="E36" s="212"/>
    </row>
    <row r="37" spans="1:6">
      <c r="A37" s="218" t="s">
        <v>1164</v>
      </c>
      <c r="B37" s="213" t="s">
        <v>110</v>
      </c>
      <c r="C37" s="217">
        <v>7.5</v>
      </c>
      <c r="D37" s="211"/>
      <c r="E37" s="212"/>
    </row>
    <row r="38" spans="1:6">
      <c r="A38" s="218" t="s">
        <v>1165</v>
      </c>
      <c r="B38" s="213" t="s">
        <v>110</v>
      </c>
      <c r="C38" s="217">
        <v>14.5</v>
      </c>
      <c r="D38" s="211"/>
      <c r="E38" s="212"/>
    </row>
    <row r="39" spans="1:6">
      <c r="A39" s="218" t="s">
        <v>1166</v>
      </c>
      <c r="B39" s="213" t="s">
        <v>110</v>
      </c>
      <c r="C39" s="217">
        <v>12</v>
      </c>
      <c r="D39" s="211"/>
      <c r="E39" s="212"/>
    </row>
    <row r="40" spans="1:6">
      <c r="A40" s="218" t="s">
        <v>1177</v>
      </c>
      <c r="B40" s="213" t="s">
        <v>110</v>
      </c>
      <c r="C40" s="217">
        <v>12</v>
      </c>
      <c r="D40" s="211"/>
      <c r="E40" s="212"/>
    </row>
    <row r="41" spans="1:6">
      <c r="A41" s="219"/>
      <c r="B41" s="215"/>
      <c r="C41" s="215"/>
      <c r="D41" s="211"/>
      <c r="E41" s="212"/>
    </row>
    <row r="42" spans="1:6" ht="15">
      <c r="A42" s="205" t="s">
        <v>1178</v>
      </c>
      <c r="B42" s="205"/>
      <c r="C42" s="206"/>
      <c r="D42" s="211"/>
      <c r="E42" s="212"/>
    </row>
    <row r="43" spans="1:6">
      <c r="A43" s="209" t="s">
        <v>1157</v>
      </c>
      <c r="B43" s="209" t="s">
        <v>110</v>
      </c>
      <c r="C43" s="216">
        <v>18</v>
      </c>
      <c r="D43" s="211"/>
      <c r="E43" s="212"/>
    </row>
    <row r="44" spans="1:6">
      <c r="A44" s="213" t="s">
        <v>1158</v>
      </c>
      <c r="B44" s="213" t="s">
        <v>110</v>
      </c>
      <c r="C44" s="217">
        <v>5.5</v>
      </c>
      <c r="D44" s="211"/>
      <c r="E44" s="212"/>
    </row>
    <row r="45" spans="1:6">
      <c r="A45" s="213" t="s">
        <v>1159</v>
      </c>
      <c r="B45" s="213" t="s">
        <v>110</v>
      </c>
      <c r="C45" s="217">
        <v>19</v>
      </c>
      <c r="D45" s="211"/>
      <c r="E45" s="212"/>
    </row>
    <row r="46" spans="1:6">
      <c r="A46" s="213" t="s">
        <v>699</v>
      </c>
      <c r="B46" s="213" t="s">
        <v>110</v>
      </c>
      <c r="C46" s="217">
        <v>5.5</v>
      </c>
      <c r="D46" s="211"/>
      <c r="E46" s="212"/>
    </row>
    <row r="47" spans="1:6" ht="14.25">
      <c r="A47" s="213" t="s">
        <v>1179</v>
      </c>
      <c r="B47" s="213" t="s">
        <v>1160</v>
      </c>
      <c r="C47" s="217">
        <v>1.2</v>
      </c>
      <c r="D47" s="211"/>
      <c r="E47" s="212"/>
    </row>
    <row r="48" spans="1:6" ht="14.25">
      <c r="A48" s="213" t="s">
        <v>53</v>
      </c>
      <c r="B48" s="213" t="s">
        <v>1160</v>
      </c>
      <c r="C48" s="217">
        <v>1.2</v>
      </c>
      <c r="D48" s="211"/>
      <c r="E48" s="212"/>
    </row>
    <row r="49" spans="1:5">
      <c r="A49" s="218" t="s">
        <v>1163</v>
      </c>
      <c r="B49" s="213" t="s">
        <v>110</v>
      </c>
      <c r="C49" s="217">
        <v>1.5</v>
      </c>
      <c r="D49" s="211"/>
      <c r="E49" s="212"/>
    </row>
    <row r="50" spans="1:5">
      <c r="A50" s="218" t="s">
        <v>1164</v>
      </c>
      <c r="B50" s="213" t="s">
        <v>110</v>
      </c>
      <c r="C50" s="217">
        <v>6.5</v>
      </c>
      <c r="D50" s="211"/>
      <c r="E50" s="212"/>
    </row>
    <row r="51" spans="1:5">
      <c r="A51" s="218" t="s">
        <v>1165</v>
      </c>
      <c r="B51" s="213" t="s">
        <v>110</v>
      </c>
      <c r="C51" s="217">
        <v>13</v>
      </c>
      <c r="D51" s="211"/>
      <c r="E51" s="212"/>
    </row>
    <row r="52" spans="1:5">
      <c r="A52" s="218" t="s">
        <v>1166</v>
      </c>
      <c r="B52" s="213" t="s">
        <v>110</v>
      </c>
      <c r="C52" s="217">
        <v>50</v>
      </c>
      <c r="D52" s="211"/>
      <c r="E52" s="212"/>
    </row>
    <row r="53" spans="1:5">
      <c r="A53" s="218" t="s">
        <v>1167</v>
      </c>
      <c r="B53" s="213" t="s">
        <v>110</v>
      </c>
      <c r="C53" s="217">
        <v>50</v>
      </c>
      <c r="D53" s="211"/>
      <c r="E53" s="212"/>
    </row>
    <row r="54" spans="1:5">
      <c r="A54" s="223" t="s">
        <v>1180</v>
      </c>
      <c r="B54" s="213" t="s">
        <v>326</v>
      </c>
      <c r="C54" s="224">
        <v>80</v>
      </c>
    </row>
    <row r="55" spans="1:5">
      <c r="A55" s="223" t="s">
        <v>1181</v>
      </c>
      <c r="B55" s="213" t="s">
        <v>326</v>
      </c>
      <c r="C55" s="224">
        <v>110</v>
      </c>
    </row>
    <row r="56" spans="1:5">
      <c r="A56" s="213" t="s">
        <v>272</v>
      </c>
      <c r="B56" s="213" t="s">
        <v>1182</v>
      </c>
      <c r="C56" s="224">
        <v>1.2</v>
      </c>
    </row>
    <row r="57" spans="1:5">
      <c r="A57" s="213" t="s">
        <v>329</v>
      </c>
      <c r="B57" s="213" t="s">
        <v>1182</v>
      </c>
      <c r="C57" s="224">
        <v>5</v>
      </c>
    </row>
    <row r="58" spans="1:5">
      <c r="A58" s="1" t="s">
        <v>1183</v>
      </c>
      <c r="B58" s="213" t="s">
        <v>326</v>
      </c>
      <c r="C58" s="224">
        <v>220</v>
      </c>
    </row>
    <row r="59" spans="1:5">
      <c r="A59" s="1" t="s">
        <v>210</v>
      </c>
      <c r="B59" s="1" t="s">
        <v>1219</v>
      </c>
      <c r="C59" s="224">
        <v>12</v>
      </c>
    </row>
    <row r="60" spans="1:5">
      <c r="A60" s="1" t="s">
        <v>131</v>
      </c>
      <c r="B60" s="1" t="s">
        <v>324</v>
      </c>
      <c r="C60" s="224">
        <v>35</v>
      </c>
    </row>
    <row r="62" spans="1:5" ht="15">
      <c r="A62" s="720" t="s">
        <v>1184</v>
      </c>
      <c r="B62" s="714"/>
      <c r="C62" s="715"/>
    </row>
    <row r="63" spans="1:5" ht="15">
      <c r="A63" s="720" t="s">
        <v>1185</v>
      </c>
      <c r="B63" s="714"/>
      <c r="C63" s="715"/>
    </row>
    <row r="64" spans="1:5" ht="15">
      <c r="A64" s="205" t="s">
        <v>521</v>
      </c>
      <c r="B64" s="205" t="s">
        <v>1186</v>
      </c>
      <c r="C64" s="205" t="s">
        <v>186</v>
      </c>
    </row>
    <row r="65" spans="1:3">
      <c r="A65" s="225" t="s">
        <v>337</v>
      </c>
      <c r="B65" s="226" t="s">
        <v>338</v>
      </c>
      <c r="C65" s="227">
        <v>0.1</v>
      </c>
    </row>
    <row r="66" spans="1:3">
      <c r="A66" s="1" t="s">
        <v>339</v>
      </c>
      <c r="B66" s="228" t="s">
        <v>340</v>
      </c>
      <c r="C66" s="229">
        <v>0.25</v>
      </c>
    </row>
    <row r="67" spans="1:3">
      <c r="A67" s="1" t="s">
        <v>341</v>
      </c>
      <c r="B67" s="228" t="s">
        <v>1187</v>
      </c>
      <c r="C67" s="229">
        <v>0.3</v>
      </c>
    </row>
    <row r="69" spans="1:3" ht="15">
      <c r="A69" s="205" t="s">
        <v>53</v>
      </c>
      <c r="B69" s="205" t="s">
        <v>1186</v>
      </c>
      <c r="C69" s="205" t="s">
        <v>186</v>
      </c>
    </row>
    <row r="70" spans="1:3">
      <c r="A70" s="225" t="s">
        <v>337</v>
      </c>
      <c r="B70" s="230" t="s">
        <v>338</v>
      </c>
      <c r="C70" s="227">
        <v>0.1</v>
      </c>
    </row>
    <row r="71" spans="1:3">
      <c r="A71" s="1" t="s">
        <v>339</v>
      </c>
      <c r="B71" s="228" t="s">
        <v>340</v>
      </c>
      <c r="C71" s="229">
        <v>0.25</v>
      </c>
    </row>
    <row r="72" spans="1:3">
      <c r="A72" s="1" t="s">
        <v>341</v>
      </c>
      <c r="B72" s="228" t="s">
        <v>1187</v>
      </c>
      <c r="C72" s="229">
        <v>0.3</v>
      </c>
    </row>
  </sheetData>
  <sheetProtection algorithmName="SHA-512" hashValue="qF57LdAc7NEm+PFTqSEJ4f76Q3TddQ2Qluc+rpRELlWHqpZZGRJNrfi5Lcm3MZ/vCPx2ekOosl1OV43lim7FYA==" saltValue="bkAHo8fCTcKYp6WgJKRd0g==" spinCount="100000" sheet="1" objects="1" scenarios="1"/>
  <mergeCells count="4">
    <mergeCell ref="A62:C62"/>
    <mergeCell ref="A63:C63"/>
    <mergeCell ref="A1:C1"/>
    <mergeCell ref="A2:C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45"/>
  <sheetViews>
    <sheetView workbookViewId="0">
      <selection activeCell="D45" sqref="D45"/>
    </sheetView>
  </sheetViews>
  <sheetFormatPr baseColWidth="10" defaultColWidth="25.42578125" defaultRowHeight="14.25"/>
  <cols>
    <col min="1" max="1" width="61.42578125" style="17" customWidth="1"/>
    <col min="2" max="2" width="21.7109375" style="77" bestFit="1" customWidth="1"/>
    <col min="3" max="3" width="15.140625" style="173" customWidth="1"/>
    <col min="4" max="16384" width="25.42578125" style="17"/>
  </cols>
  <sheetData>
    <row r="1" spans="1:3" ht="15">
      <c r="A1" s="680" t="s">
        <v>1622</v>
      </c>
      <c r="B1" s="680"/>
      <c r="C1" s="680"/>
    </row>
    <row r="2" spans="1:3" ht="15">
      <c r="A2" s="680" t="s">
        <v>1148</v>
      </c>
      <c r="B2" s="680"/>
      <c r="C2" s="680"/>
    </row>
    <row r="3" spans="1:3">
      <c r="A3" s="799"/>
      <c r="B3" s="799"/>
      <c r="C3" s="799"/>
    </row>
    <row r="4" spans="1:3" s="74" customFormat="1" ht="17.25" customHeight="1">
      <c r="A4" s="241" t="s">
        <v>49</v>
      </c>
      <c r="B4" s="241" t="s">
        <v>124</v>
      </c>
      <c r="C4" s="242" t="s">
        <v>75</v>
      </c>
    </row>
    <row r="5" spans="1:3" ht="15">
      <c r="A5" s="800" t="s">
        <v>125</v>
      </c>
      <c r="B5" s="800"/>
      <c r="C5" s="198"/>
    </row>
    <row r="6" spans="1:3" ht="14.25" customHeight="1">
      <c r="A6" s="6" t="s">
        <v>1124</v>
      </c>
      <c r="B6" s="24" t="s">
        <v>642</v>
      </c>
      <c r="C6" s="148">
        <v>6.5</v>
      </c>
    </row>
    <row r="7" spans="1:3">
      <c r="A7" s="17" t="s">
        <v>1125</v>
      </c>
      <c r="B7" s="24" t="s">
        <v>642</v>
      </c>
      <c r="C7" s="148">
        <v>3.5</v>
      </c>
    </row>
    <row r="8" spans="1:3">
      <c r="A8" s="6" t="s">
        <v>1126</v>
      </c>
      <c r="B8" s="24" t="s">
        <v>1152</v>
      </c>
      <c r="C8" s="157">
        <v>50</v>
      </c>
    </row>
    <row r="9" spans="1:3">
      <c r="A9" s="6" t="s">
        <v>1127</v>
      </c>
      <c r="B9" s="24" t="s">
        <v>1152</v>
      </c>
      <c r="C9" s="157">
        <v>20</v>
      </c>
    </row>
    <row r="10" spans="1:3">
      <c r="A10" s="6" t="s">
        <v>137</v>
      </c>
      <c r="B10" s="24" t="s">
        <v>642</v>
      </c>
      <c r="C10" s="148">
        <v>1.6</v>
      </c>
    </row>
    <row r="11" spans="1:3" ht="15">
      <c r="A11" s="800" t="s">
        <v>1133</v>
      </c>
      <c r="B11" s="800"/>
      <c r="C11" s="200" t="s">
        <v>75</v>
      </c>
    </row>
    <row r="12" spans="1:3">
      <c r="A12" s="6" t="s">
        <v>316</v>
      </c>
      <c r="B12" s="24" t="s">
        <v>56</v>
      </c>
      <c r="C12" s="148">
        <v>4</v>
      </c>
    </row>
    <row r="13" spans="1:3">
      <c r="A13" s="6" t="s">
        <v>57</v>
      </c>
      <c r="B13" s="24" t="s">
        <v>56</v>
      </c>
      <c r="C13" s="148">
        <v>3.5</v>
      </c>
    </row>
    <row r="14" spans="1:3">
      <c r="A14" s="6" t="s">
        <v>1128</v>
      </c>
      <c r="B14" s="24" t="s">
        <v>110</v>
      </c>
      <c r="C14" s="148">
        <v>75</v>
      </c>
    </row>
    <row r="15" spans="1:3">
      <c r="A15" s="6" t="s">
        <v>1129</v>
      </c>
      <c r="B15" s="24" t="s">
        <v>110</v>
      </c>
      <c r="C15" s="148">
        <v>93</v>
      </c>
    </row>
    <row r="16" spans="1:3">
      <c r="A16" s="6" t="s">
        <v>643</v>
      </c>
      <c r="B16" s="24" t="s">
        <v>110</v>
      </c>
      <c r="C16" s="148">
        <v>18</v>
      </c>
    </row>
    <row r="17" spans="1:3">
      <c r="A17" s="6" t="s">
        <v>644</v>
      </c>
      <c r="B17" s="24" t="s">
        <v>110</v>
      </c>
      <c r="C17" s="148">
        <v>23</v>
      </c>
    </row>
    <row r="18" spans="1:3" ht="15">
      <c r="A18" s="720" t="s">
        <v>1143</v>
      </c>
      <c r="B18" s="714"/>
      <c r="C18" s="199" t="s">
        <v>695</v>
      </c>
    </row>
    <row r="19" spans="1:3">
      <c r="A19" s="6" t="s">
        <v>1144</v>
      </c>
      <c r="B19" s="201"/>
      <c r="C19" s="203">
        <v>0</v>
      </c>
    </row>
    <row r="20" spans="1:3">
      <c r="A20" s="6" t="s">
        <v>1145</v>
      </c>
      <c r="B20" s="201"/>
      <c r="C20" s="203">
        <v>0.25</v>
      </c>
    </row>
    <row r="21" spans="1:3">
      <c r="A21" s="6" t="s">
        <v>1229</v>
      </c>
      <c r="B21" s="201"/>
      <c r="C21" s="203">
        <v>0.5</v>
      </c>
    </row>
    <row r="22" spans="1:3">
      <c r="A22" s="66"/>
      <c r="B22" s="201"/>
      <c r="C22" s="203"/>
    </row>
    <row r="23" spans="1:3" ht="15">
      <c r="A23" s="797" t="s">
        <v>1134</v>
      </c>
      <c r="B23" s="798"/>
      <c r="C23" s="200" t="s">
        <v>75</v>
      </c>
    </row>
    <row r="24" spans="1:3">
      <c r="A24" s="6" t="s">
        <v>1136</v>
      </c>
      <c r="B24" s="24" t="s">
        <v>645</v>
      </c>
      <c r="C24" s="148">
        <v>0.4</v>
      </c>
    </row>
    <row r="25" spans="1:3">
      <c r="A25" s="6" t="s">
        <v>1135</v>
      </c>
      <c r="B25" s="24" t="s">
        <v>645</v>
      </c>
      <c r="C25" s="148">
        <v>1</v>
      </c>
    </row>
    <row r="26" spans="1:3">
      <c r="A26" s="6" t="s">
        <v>1137</v>
      </c>
      <c r="B26" s="24" t="s">
        <v>645</v>
      </c>
      <c r="C26" s="148">
        <v>0.15</v>
      </c>
    </row>
    <row r="27" spans="1:3">
      <c r="A27" s="6" t="s">
        <v>1138</v>
      </c>
      <c r="B27" s="24" t="s">
        <v>645</v>
      </c>
      <c r="C27" s="148">
        <v>0.3</v>
      </c>
    </row>
    <row r="28" spans="1:3">
      <c r="A28" s="6" t="s">
        <v>1139</v>
      </c>
      <c r="B28" s="24" t="s">
        <v>646</v>
      </c>
      <c r="C28" s="148">
        <v>10</v>
      </c>
    </row>
    <row r="29" spans="1:3">
      <c r="A29" s="6" t="s">
        <v>1141</v>
      </c>
      <c r="B29" s="24" t="s">
        <v>646</v>
      </c>
      <c r="C29" s="148">
        <v>14</v>
      </c>
    </row>
    <row r="30" spans="1:3">
      <c r="A30" s="6" t="s">
        <v>1140</v>
      </c>
      <c r="B30" s="24" t="s">
        <v>646</v>
      </c>
      <c r="C30" s="148">
        <v>1.5</v>
      </c>
    </row>
    <row r="31" spans="1:3">
      <c r="A31" s="6" t="s">
        <v>1142</v>
      </c>
      <c r="B31" s="24" t="s">
        <v>646</v>
      </c>
      <c r="C31" s="148">
        <v>2</v>
      </c>
    </row>
    <row r="32" spans="1:3" ht="15">
      <c r="A32" s="797" t="s">
        <v>647</v>
      </c>
      <c r="B32" s="798"/>
      <c r="C32" s="200" t="s">
        <v>75</v>
      </c>
    </row>
    <row r="33" spans="1:3">
      <c r="A33" s="6" t="s">
        <v>316</v>
      </c>
      <c r="B33" s="24" t="s">
        <v>56</v>
      </c>
      <c r="C33" s="148">
        <v>1</v>
      </c>
    </row>
    <row r="34" spans="1:3">
      <c r="A34" s="6" t="s">
        <v>57</v>
      </c>
      <c r="B34" s="24" t="s">
        <v>56</v>
      </c>
      <c r="C34" s="148">
        <v>1</v>
      </c>
    </row>
    <row r="35" spans="1:3">
      <c r="A35" s="6" t="s">
        <v>1128</v>
      </c>
      <c r="B35" s="24" t="s">
        <v>110</v>
      </c>
      <c r="C35" s="148">
        <v>15</v>
      </c>
    </row>
    <row r="36" spans="1:3">
      <c r="A36" s="6" t="s">
        <v>1129</v>
      </c>
      <c r="B36" s="24" t="s">
        <v>110</v>
      </c>
      <c r="C36" s="148">
        <v>19</v>
      </c>
    </row>
    <row r="37" spans="1:3">
      <c r="A37" s="6" t="s">
        <v>643</v>
      </c>
      <c r="B37" s="24" t="s">
        <v>110</v>
      </c>
      <c r="C37" s="148">
        <v>2.75</v>
      </c>
    </row>
    <row r="38" spans="1:3">
      <c r="A38" s="6" t="s">
        <v>644</v>
      </c>
      <c r="B38" s="24" t="s">
        <v>110</v>
      </c>
      <c r="C38" s="148">
        <v>4</v>
      </c>
    </row>
    <row r="39" spans="1:3">
      <c r="A39" s="6" t="s">
        <v>1130</v>
      </c>
      <c r="B39" s="24" t="s">
        <v>56</v>
      </c>
      <c r="C39" s="148">
        <v>0.2</v>
      </c>
    </row>
    <row r="40" spans="1:3">
      <c r="A40" s="6" t="s">
        <v>1131</v>
      </c>
      <c r="B40" s="24" t="s">
        <v>110</v>
      </c>
      <c r="C40" s="148">
        <v>2</v>
      </c>
    </row>
    <row r="41" spans="1:3">
      <c r="A41" s="6" t="s">
        <v>210</v>
      </c>
      <c r="B41" s="24" t="s">
        <v>1132</v>
      </c>
      <c r="C41" s="148">
        <v>10</v>
      </c>
    </row>
    <row r="42" spans="1:3">
      <c r="A42" s="6" t="s">
        <v>131</v>
      </c>
      <c r="B42" s="24" t="s">
        <v>1132</v>
      </c>
      <c r="C42" s="148">
        <v>30</v>
      </c>
    </row>
    <row r="43" spans="1:3" ht="15">
      <c r="A43" s="720" t="s">
        <v>586</v>
      </c>
      <c r="B43" s="714"/>
      <c r="C43" s="199" t="s">
        <v>695</v>
      </c>
    </row>
    <row r="44" spans="1:3">
      <c r="A44" s="6" t="s">
        <v>1146</v>
      </c>
      <c r="B44" s="24"/>
      <c r="C44" s="202">
        <v>0.25</v>
      </c>
    </row>
    <row r="45" spans="1:3">
      <c r="A45" s="6" t="s">
        <v>1147</v>
      </c>
      <c r="B45" s="24"/>
      <c r="C45" s="202">
        <v>0.4</v>
      </c>
    </row>
  </sheetData>
  <sheetProtection algorithmName="SHA-512" hashValue="fkU2emJxUqtoMQ5vML2AfcXVDfth0BQvsH8wcZ6PwdJgvy/U2Dk64WhtM7mI/UqPoXUWL2724pmtSniVf+tz6w==" saltValue="0KExRj/KmB0JjkoIbmizAw==" spinCount="100000" sheet="1" objects="1" scenarios="1"/>
  <mergeCells count="9">
    <mergeCell ref="A23:B23"/>
    <mergeCell ref="A32:B32"/>
    <mergeCell ref="A43:B43"/>
    <mergeCell ref="A1:C1"/>
    <mergeCell ref="A2:C2"/>
    <mergeCell ref="A3:C3"/>
    <mergeCell ref="A18:B18"/>
    <mergeCell ref="A5:B5"/>
    <mergeCell ref="A11:B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33"/>
  <sheetViews>
    <sheetView workbookViewId="0">
      <selection activeCell="B38" sqref="B38"/>
    </sheetView>
  </sheetViews>
  <sheetFormatPr baseColWidth="10" defaultRowHeight="12.75"/>
  <cols>
    <col min="1" max="1" width="69.7109375" customWidth="1"/>
    <col min="2" max="2" width="21.140625" customWidth="1"/>
    <col min="3" max="3" width="15" customWidth="1"/>
  </cols>
  <sheetData>
    <row r="1" spans="1:3" ht="15">
      <c r="A1" s="680" t="s">
        <v>1621</v>
      </c>
      <c r="B1" s="680"/>
      <c r="C1" s="680"/>
    </row>
    <row r="2" spans="1:3" ht="15">
      <c r="A2" s="680" t="s">
        <v>1238</v>
      </c>
      <c r="B2" s="680"/>
      <c r="C2" s="680"/>
    </row>
    <row r="3" spans="1:3" ht="15">
      <c r="A3" s="801" t="s">
        <v>1239</v>
      </c>
      <c r="B3" s="801"/>
      <c r="C3" s="801"/>
    </row>
    <row r="4" spans="1:3" ht="15">
      <c r="A4" s="231" t="s">
        <v>1199</v>
      </c>
      <c r="B4" s="231" t="s">
        <v>124</v>
      </c>
      <c r="C4" s="231" t="s">
        <v>1237</v>
      </c>
    </row>
    <row r="5" spans="1:3" ht="14.25">
      <c r="A5" s="255" t="s">
        <v>1201</v>
      </c>
      <c r="B5" s="255" t="s">
        <v>1200</v>
      </c>
      <c r="C5" s="256">
        <v>0.4</v>
      </c>
    </row>
    <row r="6" spans="1:3" ht="14.25">
      <c r="A6" s="235"/>
      <c r="B6" s="237"/>
      <c r="C6" s="236"/>
    </row>
    <row r="7" spans="1:3" ht="15">
      <c r="A7" s="231" t="s">
        <v>1188</v>
      </c>
      <c r="B7" s="231"/>
      <c r="C7" s="231" t="s">
        <v>220</v>
      </c>
    </row>
    <row r="8" spans="1:3" ht="14.25">
      <c r="A8" s="255" t="s">
        <v>904</v>
      </c>
      <c r="B8" s="255" t="s">
        <v>392</v>
      </c>
      <c r="C8" s="256">
        <v>4.5</v>
      </c>
    </row>
    <row r="9" spans="1:3" ht="14.25">
      <c r="A9" s="255" t="s">
        <v>1189</v>
      </c>
      <c r="B9" s="255" t="s">
        <v>392</v>
      </c>
      <c r="C9" s="256">
        <v>4.5</v>
      </c>
    </row>
    <row r="10" spans="1:3" ht="14.25">
      <c r="A10" s="255" t="s">
        <v>1232</v>
      </c>
      <c r="B10" s="255" t="s">
        <v>379</v>
      </c>
      <c r="C10" s="256">
        <v>93</v>
      </c>
    </row>
    <row r="11" spans="1:3" ht="14.25">
      <c r="A11" s="255" t="s">
        <v>1233</v>
      </c>
      <c r="B11" s="255" t="s">
        <v>379</v>
      </c>
      <c r="C11" s="256">
        <v>75</v>
      </c>
    </row>
    <row r="12" spans="1:3" ht="14.25">
      <c r="A12" s="255" t="s">
        <v>1190</v>
      </c>
      <c r="B12" s="255" t="s">
        <v>392</v>
      </c>
      <c r="C12" s="256">
        <v>4.5</v>
      </c>
    </row>
    <row r="13" spans="1:3">
      <c r="A13" s="235"/>
      <c r="B13" s="238"/>
    </row>
    <row r="14" spans="1:3" ht="15">
      <c r="A14" s="231" t="s">
        <v>1191</v>
      </c>
      <c r="B14" s="231"/>
      <c r="C14" s="231" t="s">
        <v>220</v>
      </c>
    </row>
    <row r="15" spans="1:3" ht="14.25">
      <c r="A15" s="255" t="s">
        <v>904</v>
      </c>
      <c r="B15" s="255" t="s">
        <v>392</v>
      </c>
      <c r="C15" s="256">
        <v>1.02</v>
      </c>
    </row>
    <row r="16" spans="1:3" ht="14.25">
      <c r="A16" s="255" t="s">
        <v>1189</v>
      </c>
      <c r="B16" s="255" t="s">
        <v>392</v>
      </c>
      <c r="C16" s="256">
        <v>1</v>
      </c>
    </row>
    <row r="17" spans="1:3" ht="14.25">
      <c r="A17" s="255" t="s">
        <v>1232</v>
      </c>
      <c r="B17" s="255" t="s">
        <v>379</v>
      </c>
      <c r="C17" s="256">
        <v>19.600000000000001</v>
      </c>
    </row>
    <row r="18" spans="1:3" ht="14.25">
      <c r="A18" s="255" t="s">
        <v>1233</v>
      </c>
      <c r="B18" s="255" t="s">
        <v>379</v>
      </c>
      <c r="C18" s="256">
        <v>18.5</v>
      </c>
    </row>
    <row r="19" spans="1:3" ht="14.25">
      <c r="A19" s="255" t="s">
        <v>407</v>
      </c>
      <c r="B19" s="255" t="s">
        <v>408</v>
      </c>
      <c r="C19" s="256">
        <v>10</v>
      </c>
    </row>
    <row r="20" spans="1:3" ht="14.25">
      <c r="A20" s="255" t="s">
        <v>1227</v>
      </c>
      <c r="B20" s="255" t="s">
        <v>408</v>
      </c>
      <c r="C20" s="256">
        <v>30</v>
      </c>
    </row>
    <row r="22" spans="1:3" ht="15">
      <c r="A22" s="231" t="s">
        <v>1192</v>
      </c>
      <c r="B22" s="231"/>
      <c r="C22" s="231" t="s">
        <v>220</v>
      </c>
    </row>
    <row r="23" spans="1:3" ht="14.25">
      <c r="A23" s="255" t="s">
        <v>904</v>
      </c>
      <c r="B23" s="255" t="s">
        <v>1202</v>
      </c>
      <c r="C23" s="256">
        <v>0.71</v>
      </c>
    </row>
    <row r="24" spans="1:3" ht="14.25">
      <c r="A24" s="255" t="s">
        <v>1193</v>
      </c>
      <c r="B24" s="255" t="s">
        <v>1202</v>
      </c>
      <c r="C24" s="256">
        <v>0.35</v>
      </c>
    </row>
    <row r="25" spans="1:3" ht="14.25">
      <c r="A25" s="255" t="s">
        <v>1234</v>
      </c>
      <c r="B25" s="255" t="s">
        <v>1203</v>
      </c>
      <c r="C25" s="256">
        <v>25</v>
      </c>
    </row>
    <row r="26" spans="1:3" ht="14.25">
      <c r="A26" s="255" t="s">
        <v>1235</v>
      </c>
      <c r="B26" s="255" t="s">
        <v>1203</v>
      </c>
      <c r="C26" s="256">
        <v>20</v>
      </c>
    </row>
    <row r="28" spans="1:3" ht="15">
      <c r="A28" s="231" t="s">
        <v>636</v>
      </c>
      <c r="B28" s="231"/>
      <c r="C28" s="231" t="s">
        <v>1236</v>
      </c>
    </row>
    <row r="29" spans="1:3" ht="14.25">
      <c r="A29" s="255" t="s">
        <v>1204</v>
      </c>
      <c r="B29" s="255" t="s">
        <v>1205</v>
      </c>
      <c r="C29" s="257" t="s">
        <v>1194</v>
      </c>
    </row>
    <row r="30" spans="1:3" ht="14.25">
      <c r="A30" s="255" t="s">
        <v>1206</v>
      </c>
      <c r="B30" s="255" t="s">
        <v>1207</v>
      </c>
      <c r="C30" s="257" t="s">
        <v>1195</v>
      </c>
    </row>
    <row r="31" spans="1:3" ht="14.25">
      <c r="A31" s="255" t="s">
        <v>1208</v>
      </c>
      <c r="B31" s="255" t="s">
        <v>1209</v>
      </c>
      <c r="C31" s="257" t="s">
        <v>1196</v>
      </c>
    </row>
    <row r="32" spans="1:3" ht="14.25">
      <c r="A32" s="255" t="s">
        <v>1210</v>
      </c>
      <c r="B32" s="255" t="s">
        <v>1207</v>
      </c>
      <c r="C32" s="257" t="s">
        <v>1197</v>
      </c>
    </row>
    <row r="33" spans="1:3" ht="14.25">
      <c r="A33" s="255" t="s">
        <v>1211</v>
      </c>
      <c r="B33" s="255" t="s">
        <v>1212</v>
      </c>
      <c r="C33" s="257" t="s">
        <v>1198</v>
      </c>
    </row>
  </sheetData>
  <sheetProtection algorithmName="SHA-512" hashValue="lcxOehz8IngBTx1eBXuYGUT4PD6XhthmViN0DaH6vBUDBvTwBoGm0lyN/2hiPnOU6W7z045NVXq0Sd1VGcdhOg==" saltValue="gNZpxyNONsxSLwzjmn19NA==" spinCount="100000" sheet="1" objects="1" scenarios="1"/>
  <mergeCells count="3">
    <mergeCell ref="A1:C1"/>
    <mergeCell ref="A2:C2"/>
    <mergeCell ref="A3:C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24"/>
  <sheetViews>
    <sheetView workbookViewId="0">
      <selection activeCell="G85" sqref="G85"/>
    </sheetView>
  </sheetViews>
  <sheetFormatPr baseColWidth="10" defaultRowHeight="12.75"/>
  <cols>
    <col min="1" max="1" width="48" bestFit="1" customWidth="1"/>
    <col min="2" max="2" width="18.140625" bestFit="1" customWidth="1"/>
    <col min="4" max="4" width="14.7109375" bestFit="1" customWidth="1"/>
  </cols>
  <sheetData>
    <row r="1" spans="1:5" ht="15">
      <c r="A1" s="680" t="s">
        <v>1624</v>
      </c>
      <c r="B1" s="680"/>
      <c r="C1" s="680"/>
      <c r="D1" s="680"/>
      <c r="E1" s="172"/>
    </row>
    <row r="2" spans="1:5" ht="15">
      <c r="A2" s="680" t="s">
        <v>1583</v>
      </c>
      <c r="B2" s="680"/>
      <c r="C2" s="680"/>
      <c r="D2" s="680"/>
      <c r="E2" s="172"/>
    </row>
    <row r="4" spans="1:5" ht="15.75">
      <c r="A4" s="856" t="s">
        <v>125</v>
      </c>
      <c r="B4" s="857"/>
      <c r="C4" s="857"/>
      <c r="D4" s="858"/>
    </row>
    <row r="5" spans="1:5">
      <c r="A5" s="270" t="s">
        <v>474</v>
      </c>
      <c r="B5" s="271" t="s">
        <v>1489</v>
      </c>
      <c r="C5" s="849" t="s">
        <v>475</v>
      </c>
      <c r="D5" s="849"/>
    </row>
    <row r="6" spans="1:5">
      <c r="A6" s="272" t="s">
        <v>1490</v>
      </c>
      <c r="B6" s="273"/>
      <c r="C6" s="274"/>
      <c r="D6" s="275"/>
    </row>
    <row r="7" spans="1:5">
      <c r="A7" s="276" t="s">
        <v>1491</v>
      </c>
      <c r="B7" s="273">
        <v>0.38</v>
      </c>
      <c r="C7" s="843" t="s">
        <v>1492</v>
      </c>
      <c r="D7" s="803"/>
    </row>
    <row r="8" spans="1:5">
      <c r="A8" s="276" t="s">
        <v>1493</v>
      </c>
      <c r="B8" s="273">
        <v>0.44</v>
      </c>
      <c r="C8" s="843" t="s">
        <v>1492</v>
      </c>
      <c r="D8" s="803"/>
    </row>
    <row r="9" spans="1:5">
      <c r="A9" s="276" t="s">
        <v>1494</v>
      </c>
      <c r="B9" s="273">
        <v>0.55000000000000004</v>
      </c>
      <c r="C9" s="843" t="s">
        <v>1492</v>
      </c>
      <c r="D9" s="803"/>
    </row>
    <row r="10" spans="1:5">
      <c r="A10" s="276" t="s">
        <v>1495</v>
      </c>
      <c r="B10" s="273">
        <v>0.6</v>
      </c>
      <c r="C10" s="843" t="s">
        <v>1492</v>
      </c>
      <c r="D10" s="803"/>
    </row>
    <row r="11" spans="1:5">
      <c r="A11" s="276"/>
      <c r="B11" s="273"/>
      <c r="C11" s="277"/>
      <c r="D11" s="278"/>
    </row>
    <row r="12" spans="1:5">
      <c r="A12" s="279" t="s">
        <v>1496</v>
      </c>
      <c r="B12" s="280"/>
      <c r="C12" s="277"/>
      <c r="D12" s="278"/>
    </row>
    <row r="13" spans="1:5">
      <c r="A13" s="276" t="s">
        <v>1497</v>
      </c>
      <c r="B13" s="281" t="s">
        <v>1498</v>
      </c>
      <c r="C13" s="277"/>
      <c r="D13" s="278"/>
    </row>
    <row r="14" spans="1:5">
      <c r="A14" s="276" t="s">
        <v>1499</v>
      </c>
      <c r="B14" s="281" t="s">
        <v>1500</v>
      </c>
      <c r="C14" s="277"/>
      <c r="D14" s="278"/>
    </row>
    <row r="15" spans="1:5">
      <c r="A15" s="276"/>
      <c r="B15" s="281"/>
      <c r="C15" s="277"/>
      <c r="D15" s="278"/>
    </row>
    <row r="16" spans="1:5">
      <c r="A16" s="282" t="s">
        <v>1501</v>
      </c>
      <c r="B16" s="283">
        <v>100</v>
      </c>
      <c r="C16" s="853" t="s">
        <v>654</v>
      </c>
      <c r="D16" s="854"/>
    </row>
    <row r="17" spans="1:4">
      <c r="A17" s="282" t="s">
        <v>131</v>
      </c>
      <c r="B17" s="283">
        <v>50</v>
      </c>
      <c r="C17" s="853" t="s">
        <v>1502</v>
      </c>
      <c r="D17" s="854"/>
    </row>
    <row r="18" spans="1:4">
      <c r="A18" s="282" t="s">
        <v>1503</v>
      </c>
      <c r="B18" s="283">
        <v>15</v>
      </c>
      <c r="C18" s="853" t="s">
        <v>828</v>
      </c>
      <c r="D18" s="854"/>
    </row>
    <row r="19" spans="1:4">
      <c r="A19" s="282" t="s">
        <v>1504</v>
      </c>
      <c r="B19" s="283">
        <v>20</v>
      </c>
      <c r="C19" s="853" t="s">
        <v>828</v>
      </c>
      <c r="D19" s="854"/>
    </row>
    <row r="20" spans="1:4">
      <c r="A20" s="284" t="s">
        <v>1505</v>
      </c>
      <c r="B20" s="285">
        <v>1.6</v>
      </c>
      <c r="C20" s="855" t="s">
        <v>1506</v>
      </c>
      <c r="D20" s="805"/>
    </row>
    <row r="21" spans="1:4" ht="15.75">
      <c r="A21" s="856"/>
      <c r="B21" s="857"/>
      <c r="C21" s="857"/>
      <c r="D21" s="858"/>
    </row>
    <row r="22" spans="1:4" ht="15.75">
      <c r="A22" s="856" t="s">
        <v>318</v>
      </c>
      <c r="B22" s="857"/>
      <c r="C22" s="857"/>
      <c r="D22" s="858"/>
    </row>
    <row r="23" spans="1:4">
      <c r="A23" s="270" t="s">
        <v>474</v>
      </c>
      <c r="B23" s="271" t="s">
        <v>1489</v>
      </c>
      <c r="C23" s="849" t="s">
        <v>475</v>
      </c>
      <c r="D23" s="849"/>
    </row>
    <row r="24" spans="1:4">
      <c r="A24" s="286" t="s">
        <v>113</v>
      </c>
      <c r="B24" s="287">
        <v>5</v>
      </c>
      <c r="C24" s="859" t="s">
        <v>74</v>
      </c>
      <c r="D24" s="833"/>
    </row>
    <row r="25" spans="1:4">
      <c r="A25" s="288" t="s">
        <v>343</v>
      </c>
      <c r="B25" s="289">
        <v>4.5</v>
      </c>
      <c r="C25" s="843" t="s">
        <v>74</v>
      </c>
      <c r="D25" s="803"/>
    </row>
    <row r="26" spans="1:4">
      <c r="A26" s="276" t="s">
        <v>144</v>
      </c>
      <c r="B26" s="289">
        <v>1.1399999999999999</v>
      </c>
      <c r="C26" s="843" t="s">
        <v>74</v>
      </c>
      <c r="D26" s="803"/>
    </row>
    <row r="27" spans="1:4">
      <c r="A27" s="276" t="s">
        <v>146</v>
      </c>
      <c r="B27" s="289">
        <v>1.43</v>
      </c>
      <c r="C27" s="843" t="s">
        <v>74</v>
      </c>
      <c r="D27" s="803"/>
    </row>
    <row r="28" spans="1:4">
      <c r="A28" s="276" t="s">
        <v>1507</v>
      </c>
      <c r="B28" s="289">
        <v>40</v>
      </c>
      <c r="C28" s="843" t="s">
        <v>110</v>
      </c>
      <c r="D28" s="803"/>
    </row>
    <row r="29" spans="1:4">
      <c r="A29" s="276" t="s">
        <v>1508</v>
      </c>
      <c r="B29" s="289">
        <v>60</v>
      </c>
      <c r="C29" s="843" t="s">
        <v>110</v>
      </c>
      <c r="D29" s="803"/>
    </row>
    <row r="30" spans="1:4">
      <c r="A30" s="276" t="s">
        <v>1509</v>
      </c>
      <c r="B30" s="289">
        <v>100</v>
      </c>
      <c r="C30" s="843" t="s">
        <v>110</v>
      </c>
      <c r="D30" s="803"/>
    </row>
    <row r="31" spans="1:4">
      <c r="A31" s="809" t="s">
        <v>1510</v>
      </c>
      <c r="B31" s="812"/>
      <c r="C31" s="812"/>
      <c r="D31" s="813"/>
    </row>
    <row r="32" spans="1:4">
      <c r="A32" s="290" t="s">
        <v>1511</v>
      </c>
      <c r="B32" s="287">
        <v>95</v>
      </c>
      <c r="C32" s="845" t="s">
        <v>110</v>
      </c>
      <c r="D32" s="845"/>
    </row>
    <row r="33" spans="1:4">
      <c r="A33" s="288" t="s">
        <v>1512</v>
      </c>
      <c r="B33" s="289">
        <v>125</v>
      </c>
      <c r="C33" s="826" t="s">
        <v>110</v>
      </c>
      <c r="D33" s="826"/>
    </row>
    <row r="34" spans="1:4">
      <c r="A34" s="288" t="s">
        <v>1513</v>
      </c>
      <c r="B34" s="289">
        <v>110</v>
      </c>
      <c r="C34" s="826" t="s">
        <v>110</v>
      </c>
      <c r="D34" s="826"/>
    </row>
    <row r="35" spans="1:4">
      <c r="A35" s="288" t="s">
        <v>1514</v>
      </c>
      <c r="B35" s="289">
        <v>145</v>
      </c>
      <c r="C35" s="826" t="s">
        <v>110</v>
      </c>
      <c r="D35" s="826"/>
    </row>
    <row r="36" spans="1:4">
      <c r="A36" s="288" t="s">
        <v>1515</v>
      </c>
      <c r="B36" s="289">
        <v>110</v>
      </c>
      <c r="C36" s="826" t="s">
        <v>110</v>
      </c>
      <c r="D36" s="826"/>
    </row>
    <row r="37" spans="1:4">
      <c r="A37" s="288" t="s">
        <v>1516</v>
      </c>
      <c r="B37" s="289">
        <v>145</v>
      </c>
      <c r="C37" s="826" t="s">
        <v>110</v>
      </c>
      <c r="D37" s="826"/>
    </row>
    <row r="38" spans="1:4">
      <c r="A38" s="288" t="s">
        <v>1517</v>
      </c>
      <c r="B38" s="289">
        <v>110</v>
      </c>
      <c r="C38" s="826" t="s">
        <v>110</v>
      </c>
      <c r="D38" s="826"/>
    </row>
    <row r="39" spans="1:4">
      <c r="A39" s="288" t="s">
        <v>1518</v>
      </c>
      <c r="B39" s="289">
        <v>145</v>
      </c>
      <c r="C39" s="826" t="s">
        <v>110</v>
      </c>
      <c r="D39" s="826"/>
    </row>
    <row r="40" spans="1:4">
      <c r="A40" s="288" t="s">
        <v>1519</v>
      </c>
      <c r="B40" s="289">
        <v>25</v>
      </c>
      <c r="C40" s="826" t="s">
        <v>110</v>
      </c>
      <c r="D40" s="826"/>
    </row>
    <row r="41" spans="1:4">
      <c r="A41" s="291" t="s">
        <v>1520</v>
      </c>
      <c r="B41" s="292">
        <v>25</v>
      </c>
      <c r="C41" s="844" t="s">
        <v>110</v>
      </c>
      <c r="D41" s="844"/>
    </row>
    <row r="42" spans="1:4">
      <c r="A42" s="809" t="s">
        <v>1521</v>
      </c>
      <c r="B42" s="812"/>
      <c r="C42" s="812"/>
      <c r="D42" s="813"/>
    </row>
    <row r="43" spans="1:4">
      <c r="A43" s="290" t="s">
        <v>1522</v>
      </c>
      <c r="B43" s="287">
        <v>38.5</v>
      </c>
      <c r="C43" s="845" t="s">
        <v>110</v>
      </c>
      <c r="D43" s="845"/>
    </row>
    <row r="44" spans="1:4">
      <c r="A44" s="288" t="s">
        <v>1523</v>
      </c>
      <c r="B44" s="289">
        <v>7.7</v>
      </c>
      <c r="C44" s="826" t="s">
        <v>110</v>
      </c>
      <c r="D44" s="826"/>
    </row>
    <row r="45" spans="1:4">
      <c r="A45" s="291" t="s">
        <v>521</v>
      </c>
      <c r="B45" s="292">
        <v>3.85</v>
      </c>
      <c r="C45" s="844" t="s">
        <v>108</v>
      </c>
      <c r="D45" s="844"/>
    </row>
    <row r="46" spans="1:4">
      <c r="A46" s="809" t="s">
        <v>1524</v>
      </c>
      <c r="B46" s="812"/>
      <c r="C46" s="812"/>
      <c r="D46" s="813"/>
    </row>
    <row r="47" spans="1:4">
      <c r="A47" s="290" t="s">
        <v>1525</v>
      </c>
      <c r="B47" s="287">
        <v>25</v>
      </c>
      <c r="C47" s="845" t="s">
        <v>110</v>
      </c>
      <c r="D47" s="845"/>
    </row>
    <row r="48" spans="1:4">
      <c r="A48" s="288" t="s">
        <v>1519</v>
      </c>
      <c r="B48" s="289">
        <v>15.4</v>
      </c>
      <c r="C48" s="826" t="s">
        <v>110</v>
      </c>
      <c r="D48" s="826"/>
    </row>
    <row r="49" spans="1:4">
      <c r="A49" s="288" t="s">
        <v>1520</v>
      </c>
      <c r="B49" s="289">
        <v>17.600000000000001</v>
      </c>
      <c r="C49" s="826" t="s">
        <v>110</v>
      </c>
      <c r="D49" s="826"/>
    </row>
    <row r="50" spans="1:4">
      <c r="A50" s="291" t="s">
        <v>316</v>
      </c>
      <c r="B50" s="292">
        <v>3.85</v>
      </c>
      <c r="C50" s="844" t="s">
        <v>108</v>
      </c>
      <c r="D50" s="844"/>
    </row>
    <row r="51" spans="1:4">
      <c r="A51" s="809" t="s">
        <v>1526</v>
      </c>
      <c r="B51" s="812"/>
      <c r="C51" s="812"/>
      <c r="D51" s="813"/>
    </row>
    <row r="52" spans="1:4">
      <c r="A52" s="290" t="s">
        <v>1527</v>
      </c>
      <c r="B52" s="287">
        <v>41.25</v>
      </c>
      <c r="C52" s="845" t="s">
        <v>110</v>
      </c>
      <c r="D52" s="845"/>
    </row>
    <row r="53" spans="1:4">
      <c r="A53" s="291" t="s">
        <v>1528</v>
      </c>
      <c r="B53" s="292">
        <v>51.424999999999997</v>
      </c>
      <c r="C53" s="844" t="s">
        <v>110</v>
      </c>
      <c r="D53" s="844"/>
    </row>
    <row r="54" spans="1:4">
      <c r="A54" s="809" t="s">
        <v>114</v>
      </c>
      <c r="B54" s="812"/>
      <c r="C54" s="812"/>
      <c r="D54" s="813"/>
    </row>
    <row r="55" spans="1:4">
      <c r="A55" s="846" t="s">
        <v>1529</v>
      </c>
      <c r="B55" s="847"/>
      <c r="C55" s="847"/>
      <c r="D55" s="848"/>
    </row>
    <row r="56" spans="1:4">
      <c r="A56" s="293"/>
      <c r="B56" s="294"/>
      <c r="C56" s="295"/>
      <c r="D56" s="296"/>
    </row>
    <row r="57" spans="1:4">
      <c r="A57" s="809" t="s">
        <v>112</v>
      </c>
      <c r="B57" s="812"/>
      <c r="C57" s="812"/>
      <c r="D57" s="813"/>
    </row>
    <row r="58" spans="1:4">
      <c r="A58" s="270" t="s">
        <v>474</v>
      </c>
      <c r="B58" s="271" t="s">
        <v>1489</v>
      </c>
      <c r="C58" s="849" t="s">
        <v>475</v>
      </c>
      <c r="D58" s="849"/>
    </row>
    <row r="59" spans="1:4">
      <c r="A59" s="297" t="s">
        <v>1530</v>
      </c>
      <c r="B59" s="298"/>
      <c r="C59" s="299"/>
      <c r="D59" s="300"/>
    </row>
    <row r="60" spans="1:4">
      <c r="A60" s="301" t="s">
        <v>1531</v>
      </c>
      <c r="B60" s="287">
        <v>1.1000000000000001</v>
      </c>
      <c r="C60" s="850" t="s">
        <v>205</v>
      </c>
      <c r="D60" s="815"/>
    </row>
    <row r="61" spans="1:4">
      <c r="A61" s="302" t="s">
        <v>1532</v>
      </c>
      <c r="B61" s="289">
        <v>20</v>
      </c>
      <c r="C61" s="851" t="s">
        <v>207</v>
      </c>
      <c r="D61" s="817"/>
    </row>
    <row r="62" spans="1:4">
      <c r="A62" s="302" t="s">
        <v>1533</v>
      </c>
      <c r="B62" s="289">
        <v>3.25</v>
      </c>
      <c r="C62" s="851" t="s">
        <v>207</v>
      </c>
      <c r="D62" s="817"/>
    </row>
    <row r="63" spans="1:4">
      <c r="A63" s="303" t="s">
        <v>1534</v>
      </c>
      <c r="B63" s="292">
        <v>0.28000000000000003</v>
      </c>
      <c r="C63" s="852" t="s">
        <v>207</v>
      </c>
      <c r="D63" s="828"/>
    </row>
    <row r="64" spans="1:4">
      <c r="A64" s="304" t="s">
        <v>1524</v>
      </c>
      <c r="B64" s="305"/>
      <c r="C64" s="306"/>
      <c r="D64" s="307"/>
    </row>
    <row r="65" spans="1:4">
      <c r="A65" s="288" t="s">
        <v>1535</v>
      </c>
      <c r="B65" s="289">
        <v>5.5</v>
      </c>
      <c r="C65" s="826" t="s">
        <v>207</v>
      </c>
      <c r="D65" s="826"/>
    </row>
    <row r="66" spans="1:4">
      <c r="A66" s="291" t="s">
        <v>1536</v>
      </c>
      <c r="B66" s="292">
        <v>3.0249999999999999</v>
      </c>
      <c r="C66" s="844" t="s">
        <v>207</v>
      </c>
      <c r="D66" s="844"/>
    </row>
    <row r="67" spans="1:4">
      <c r="A67" s="308" t="s">
        <v>1537</v>
      </c>
      <c r="B67" s="298"/>
      <c r="C67" s="309"/>
      <c r="D67" s="300"/>
    </row>
    <row r="68" spans="1:4">
      <c r="A68" s="310" t="s">
        <v>1538</v>
      </c>
      <c r="B68" s="311">
        <v>0.22</v>
      </c>
      <c r="C68" s="843" t="s">
        <v>205</v>
      </c>
      <c r="D68" s="803"/>
    </row>
    <row r="69" spans="1:4">
      <c r="A69" s="303" t="s">
        <v>1539</v>
      </c>
      <c r="B69" s="292">
        <v>2.2000000000000002</v>
      </c>
      <c r="C69" s="827" t="s">
        <v>207</v>
      </c>
      <c r="D69" s="828"/>
    </row>
    <row r="70" spans="1:4">
      <c r="A70" s="312" t="s">
        <v>1540</v>
      </c>
      <c r="B70" s="313"/>
      <c r="C70" s="314"/>
      <c r="D70" s="315"/>
    </row>
    <row r="71" spans="1:4">
      <c r="A71" s="310" t="s">
        <v>1538</v>
      </c>
      <c r="B71" s="311">
        <v>0.44</v>
      </c>
      <c r="C71" s="843" t="s">
        <v>205</v>
      </c>
      <c r="D71" s="803"/>
    </row>
    <row r="72" spans="1:4">
      <c r="A72" s="316" t="s">
        <v>1541</v>
      </c>
      <c r="B72" s="289">
        <v>6.6</v>
      </c>
      <c r="C72" s="816" t="s">
        <v>207</v>
      </c>
      <c r="D72" s="817"/>
    </row>
    <row r="73" spans="1:4">
      <c r="A73" s="316" t="s">
        <v>1542</v>
      </c>
      <c r="B73" s="289">
        <v>8.36</v>
      </c>
      <c r="C73" s="816" t="s">
        <v>207</v>
      </c>
      <c r="D73" s="817"/>
    </row>
    <row r="74" spans="1:4">
      <c r="A74" s="316" t="s">
        <v>1533</v>
      </c>
      <c r="B74" s="289">
        <v>1.1000000000000001</v>
      </c>
      <c r="C74" s="816" t="s">
        <v>207</v>
      </c>
      <c r="D74" s="817"/>
    </row>
    <row r="75" spans="1:4">
      <c r="A75" s="308" t="s">
        <v>1543</v>
      </c>
      <c r="B75" s="298"/>
      <c r="C75" s="309"/>
      <c r="D75" s="300"/>
    </row>
    <row r="76" spans="1:4">
      <c r="A76" s="310" t="s">
        <v>1538</v>
      </c>
      <c r="B76" s="311">
        <v>0.33</v>
      </c>
      <c r="C76" s="825" t="s">
        <v>205</v>
      </c>
      <c r="D76" s="825"/>
    </row>
    <row r="77" spans="1:4">
      <c r="A77" s="302" t="s">
        <v>1544</v>
      </c>
      <c r="B77" s="289">
        <v>4.95</v>
      </c>
      <c r="C77" s="826" t="s">
        <v>207</v>
      </c>
      <c r="D77" s="826"/>
    </row>
    <row r="78" spans="1:4">
      <c r="A78" s="302" t="s">
        <v>1533</v>
      </c>
      <c r="B78" s="289">
        <v>0.82499999999999996</v>
      </c>
      <c r="C78" s="826" t="s">
        <v>207</v>
      </c>
      <c r="D78" s="826"/>
    </row>
    <row r="79" spans="1:4">
      <c r="A79" s="317" t="s">
        <v>210</v>
      </c>
      <c r="B79" s="311">
        <v>11</v>
      </c>
      <c r="C79" s="802" t="s">
        <v>211</v>
      </c>
      <c r="D79" s="803"/>
    </row>
    <row r="80" spans="1:4">
      <c r="A80" s="317" t="s">
        <v>1545</v>
      </c>
      <c r="B80" s="311">
        <v>33</v>
      </c>
      <c r="C80" s="802" t="s">
        <v>211</v>
      </c>
      <c r="D80" s="803"/>
    </row>
    <row r="81" spans="1:4">
      <c r="A81" s="310" t="s">
        <v>1546</v>
      </c>
      <c r="B81" s="289">
        <v>1.25</v>
      </c>
      <c r="C81" s="818" t="s">
        <v>205</v>
      </c>
      <c r="D81" s="819"/>
    </row>
    <row r="82" spans="1:4">
      <c r="A82" s="310" t="s">
        <v>1547</v>
      </c>
      <c r="B82" s="289">
        <v>110</v>
      </c>
      <c r="C82" s="818" t="s">
        <v>1548</v>
      </c>
      <c r="D82" s="819"/>
    </row>
    <row r="83" spans="1:4">
      <c r="A83" s="310" t="s">
        <v>1549</v>
      </c>
      <c r="B83" s="289">
        <v>220</v>
      </c>
      <c r="C83" s="818" t="s">
        <v>1548</v>
      </c>
      <c r="D83" s="819"/>
    </row>
    <row r="84" spans="1:4">
      <c r="A84" s="318" t="s">
        <v>1550</v>
      </c>
      <c r="B84" s="319">
        <v>80</v>
      </c>
      <c r="C84" s="820" t="s">
        <v>1548</v>
      </c>
      <c r="D84" s="821"/>
    </row>
    <row r="85" spans="1:4">
      <c r="A85" s="320"/>
      <c r="B85" s="295"/>
      <c r="C85" s="295"/>
      <c r="D85" s="320"/>
    </row>
    <row r="86" spans="1:4">
      <c r="A86" s="809" t="s">
        <v>157</v>
      </c>
      <c r="B86" s="810"/>
      <c r="C86" s="810"/>
      <c r="D86" s="811"/>
    </row>
    <row r="87" spans="1:4">
      <c r="A87" s="321" t="s">
        <v>474</v>
      </c>
      <c r="B87" s="271" t="s">
        <v>1489</v>
      </c>
      <c r="C87" s="812" t="s">
        <v>475</v>
      </c>
      <c r="D87" s="813"/>
    </row>
    <row r="88" spans="1:4">
      <c r="A88" s="822" t="s">
        <v>521</v>
      </c>
      <c r="B88" s="823"/>
      <c r="C88" s="823"/>
      <c r="D88" s="824"/>
    </row>
    <row r="89" spans="1:4">
      <c r="A89" s="322" t="s">
        <v>1551</v>
      </c>
      <c r="B89" s="323">
        <v>0.88</v>
      </c>
      <c r="C89" s="832" t="s">
        <v>1552</v>
      </c>
      <c r="D89" s="833"/>
    </row>
    <row r="90" spans="1:4">
      <c r="A90" s="317" t="s">
        <v>1553</v>
      </c>
      <c r="B90" s="311">
        <v>0.66</v>
      </c>
      <c r="C90" s="802" t="s">
        <v>1552</v>
      </c>
      <c r="D90" s="803"/>
    </row>
    <row r="91" spans="1:4">
      <c r="A91" s="324" t="s">
        <v>1554</v>
      </c>
      <c r="B91" s="325"/>
      <c r="C91" s="325"/>
      <c r="D91" s="326"/>
    </row>
    <row r="92" spans="1:4" ht="25.5">
      <c r="A92" s="327" t="s">
        <v>1555</v>
      </c>
      <c r="B92" s="328" t="s">
        <v>1556</v>
      </c>
      <c r="C92" s="270"/>
      <c r="D92" s="327"/>
    </row>
    <row r="93" spans="1:4">
      <c r="A93" s="329" t="s">
        <v>1557</v>
      </c>
      <c r="B93" s="330">
        <v>8.8000000000000005E-3</v>
      </c>
      <c r="C93" s="331"/>
      <c r="D93" s="290"/>
    </row>
    <row r="94" spans="1:4">
      <c r="A94" s="332" t="s">
        <v>1558</v>
      </c>
      <c r="B94" s="333">
        <v>9.9000000000000008E-3</v>
      </c>
      <c r="C94" s="334"/>
      <c r="D94" s="288"/>
    </row>
    <row r="95" spans="1:4">
      <c r="A95" s="332" t="s">
        <v>1559</v>
      </c>
      <c r="B95" s="333">
        <v>1.1000000000000001E-2</v>
      </c>
      <c r="C95" s="334"/>
      <c r="D95" s="288"/>
    </row>
    <row r="96" spans="1:4">
      <c r="A96" s="335" t="s">
        <v>1560</v>
      </c>
      <c r="B96" s="336">
        <v>1.6500000000000001E-2</v>
      </c>
      <c r="C96" s="337"/>
      <c r="D96" s="291"/>
    </row>
    <row r="97" spans="1:4">
      <c r="A97" s="338" t="s">
        <v>1561</v>
      </c>
      <c r="B97" s="323">
        <v>4</v>
      </c>
      <c r="C97" s="834" t="s">
        <v>1562</v>
      </c>
      <c r="D97" s="835"/>
    </row>
    <row r="98" spans="1:4">
      <c r="A98" s="836" t="s">
        <v>165</v>
      </c>
      <c r="B98" s="837"/>
      <c r="C98" s="837"/>
      <c r="D98" s="838"/>
    </row>
    <row r="99" spans="1:4">
      <c r="A99" s="327" t="s">
        <v>474</v>
      </c>
      <c r="B99" s="271" t="s">
        <v>1563</v>
      </c>
      <c r="C99" s="270" t="s">
        <v>1564</v>
      </c>
      <c r="D99" s="327" t="s">
        <v>1565</v>
      </c>
    </row>
    <row r="100" spans="1:4">
      <c r="A100" s="290" t="s">
        <v>1541</v>
      </c>
      <c r="B100" s="287">
        <v>15</v>
      </c>
      <c r="C100" s="287">
        <v>20</v>
      </c>
      <c r="D100" s="287">
        <v>25</v>
      </c>
    </row>
    <row r="101" spans="1:4">
      <c r="A101" s="288" t="s">
        <v>1542</v>
      </c>
      <c r="B101" s="289">
        <v>25</v>
      </c>
      <c r="C101" s="289">
        <v>30</v>
      </c>
      <c r="D101" s="289">
        <v>40</v>
      </c>
    </row>
    <row r="102" spans="1:4">
      <c r="A102" s="288" t="s">
        <v>1566</v>
      </c>
      <c r="B102" s="289">
        <v>30</v>
      </c>
      <c r="C102" s="289">
        <v>40</v>
      </c>
      <c r="D102" s="289">
        <v>50</v>
      </c>
    </row>
    <row r="103" spans="1:4">
      <c r="A103" s="288" t="s">
        <v>1567</v>
      </c>
      <c r="B103" s="289">
        <v>30</v>
      </c>
      <c r="C103" s="289">
        <v>40</v>
      </c>
      <c r="D103" s="289">
        <v>50</v>
      </c>
    </row>
    <row r="104" spans="1:4">
      <c r="A104" s="288" t="s">
        <v>1568</v>
      </c>
      <c r="B104" s="289">
        <v>45</v>
      </c>
      <c r="C104" s="289">
        <v>55</v>
      </c>
      <c r="D104" s="289">
        <v>65</v>
      </c>
    </row>
    <row r="105" spans="1:4">
      <c r="A105" s="288" t="s">
        <v>1569</v>
      </c>
      <c r="B105" s="289">
        <v>30</v>
      </c>
      <c r="C105" s="289">
        <v>40</v>
      </c>
      <c r="D105" s="289">
        <v>50</v>
      </c>
    </row>
    <row r="106" spans="1:4">
      <c r="A106" s="288" t="s">
        <v>1570</v>
      </c>
      <c r="B106" s="289">
        <v>45</v>
      </c>
      <c r="C106" s="289">
        <v>55</v>
      </c>
      <c r="D106" s="289">
        <v>65</v>
      </c>
    </row>
    <row r="107" spans="1:4">
      <c r="A107" s="288" t="s">
        <v>1571</v>
      </c>
      <c r="B107" s="289">
        <v>2</v>
      </c>
      <c r="C107" s="289">
        <v>2</v>
      </c>
      <c r="D107" s="289">
        <v>2</v>
      </c>
    </row>
    <row r="108" spans="1:4">
      <c r="A108" s="288" t="s">
        <v>1572</v>
      </c>
      <c r="B108" s="289">
        <v>3</v>
      </c>
      <c r="C108" s="289">
        <v>3</v>
      </c>
      <c r="D108" s="289">
        <v>3</v>
      </c>
    </row>
    <row r="109" spans="1:4">
      <c r="A109" s="291" t="s">
        <v>1573</v>
      </c>
      <c r="B109" s="292">
        <v>22</v>
      </c>
      <c r="C109" s="839" t="s">
        <v>1574</v>
      </c>
      <c r="D109" s="840"/>
    </row>
    <row r="110" spans="1:4">
      <c r="A110" s="321" t="s">
        <v>1575</v>
      </c>
      <c r="B110" s="339"/>
      <c r="C110" s="841" t="s">
        <v>1576</v>
      </c>
      <c r="D110" s="842"/>
    </row>
    <row r="111" spans="1:4">
      <c r="A111" s="290" t="s">
        <v>1541</v>
      </c>
      <c r="B111" s="287">
        <v>8.8000000000000007</v>
      </c>
      <c r="C111" s="814" t="s">
        <v>207</v>
      </c>
      <c r="D111" s="815"/>
    </row>
    <row r="112" spans="1:4">
      <c r="A112" s="288" t="s">
        <v>1542</v>
      </c>
      <c r="B112" s="289">
        <v>13.2</v>
      </c>
      <c r="C112" s="816" t="s">
        <v>207</v>
      </c>
      <c r="D112" s="817"/>
    </row>
    <row r="113" spans="1:4">
      <c r="A113" s="288" t="s">
        <v>1571</v>
      </c>
      <c r="B113" s="289">
        <v>2</v>
      </c>
      <c r="C113" s="816" t="s">
        <v>207</v>
      </c>
      <c r="D113" s="817"/>
    </row>
    <row r="114" spans="1:4">
      <c r="A114" s="291" t="s">
        <v>1572</v>
      </c>
      <c r="B114" s="292">
        <v>3</v>
      </c>
      <c r="C114" s="827" t="s">
        <v>207</v>
      </c>
      <c r="D114" s="828"/>
    </row>
    <row r="115" spans="1:4">
      <c r="A115" s="829" t="s">
        <v>507</v>
      </c>
      <c r="B115" s="830"/>
      <c r="C115" s="830"/>
      <c r="D115" s="831"/>
    </row>
    <row r="116" spans="1:4">
      <c r="A116" s="317" t="s">
        <v>1577</v>
      </c>
      <c r="B116" s="323">
        <v>2.0350000000000001</v>
      </c>
      <c r="C116" s="802" t="s">
        <v>1578</v>
      </c>
      <c r="D116" s="803"/>
    </row>
    <row r="117" spans="1:4">
      <c r="A117" s="317" t="s">
        <v>1579</v>
      </c>
      <c r="B117" s="311">
        <v>3.41</v>
      </c>
      <c r="C117" s="802" t="s">
        <v>1578</v>
      </c>
      <c r="D117" s="803"/>
    </row>
    <row r="118" spans="1:4">
      <c r="A118" s="340" t="s">
        <v>1580</v>
      </c>
      <c r="B118" s="341">
        <v>7.15</v>
      </c>
      <c r="C118" s="804" t="s">
        <v>1578</v>
      </c>
      <c r="D118" s="805"/>
    </row>
    <row r="119" spans="1:4">
      <c r="A119" s="293"/>
      <c r="B119" s="293"/>
      <c r="C119" s="293"/>
      <c r="D119" s="293"/>
    </row>
    <row r="120" spans="1:4">
      <c r="A120" s="806" t="s">
        <v>1581</v>
      </c>
      <c r="B120" s="807"/>
      <c r="C120" s="807"/>
      <c r="D120" s="808"/>
    </row>
    <row r="121" spans="1:4">
      <c r="A121" s="320"/>
      <c r="B121" s="295"/>
      <c r="C121" s="295"/>
      <c r="D121" s="320"/>
    </row>
    <row r="122" spans="1:4">
      <c r="A122" s="809" t="s">
        <v>120</v>
      </c>
      <c r="B122" s="810"/>
      <c r="C122" s="810"/>
      <c r="D122" s="811"/>
    </row>
    <row r="123" spans="1:4">
      <c r="A123" s="321" t="s">
        <v>474</v>
      </c>
      <c r="B123" s="271" t="s">
        <v>1489</v>
      </c>
      <c r="C123" s="812" t="s">
        <v>475</v>
      </c>
      <c r="D123" s="813"/>
    </row>
    <row r="124" spans="1:4">
      <c r="A124" s="342" t="s">
        <v>1582</v>
      </c>
      <c r="B124" s="343">
        <v>4</v>
      </c>
      <c r="C124" s="344" t="s">
        <v>122</v>
      </c>
      <c r="D124" s="345"/>
    </row>
  </sheetData>
  <sheetProtection algorithmName="SHA-512" hashValue="+nQ9swpbDHGlnvyEXUjwU7b61VsC6iLFEhagPMIt5dJx50c7kt6+Bu1auw9S2AHJ+y9MpRrDHHH971Q+00yyzg==" saltValue="gUWR86y1salkj3tDwOUMHw==" spinCount="100000" sheet="1" objects="1" scenarios="1"/>
  <mergeCells count="91">
    <mergeCell ref="C10:D10"/>
    <mergeCell ref="A4:D4"/>
    <mergeCell ref="C5:D5"/>
    <mergeCell ref="C7:D7"/>
    <mergeCell ref="C8:D8"/>
    <mergeCell ref="C9:D9"/>
    <mergeCell ref="C27:D27"/>
    <mergeCell ref="C16:D16"/>
    <mergeCell ref="C17:D17"/>
    <mergeCell ref="C18:D18"/>
    <mergeCell ref="C19:D19"/>
    <mergeCell ref="C20:D20"/>
    <mergeCell ref="A21:D21"/>
    <mergeCell ref="A22:D22"/>
    <mergeCell ref="C23:D23"/>
    <mergeCell ref="C24:D24"/>
    <mergeCell ref="C25:D25"/>
    <mergeCell ref="C26:D26"/>
    <mergeCell ref="C39:D39"/>
    <mergeCell ref="C28:D28"/>
    <mergeCell ref="C29:D29"/>
    <mergeCell ref="C30:D30"/>
    <mergeCell ref="A31:D31"/>
    <mergeCell ref="C32:D32"/>
    <mergeCell ref="C33:D33"/>
    <mergeCell ref="C34:D34"/>
    <mergeCell ref="C35:D35"/>
    <mergeCell ref="C36:D36"/>
    <mergeCell ref="C37:D37"/>
    <mergeCell ref="C38:D38"/>
    <mergeCell ref="A51:D51"/>
    <mergeCell ref="C40:D40"/>
    <mergeCell ref="C41:D41"/>
    <mergeCell ref="A42:D42"/>
    <mergeCell ref="C43:D43"/>
    <mergeCell ref="C44:D44"/>
    <mergeCell ref="C45:D45"/>
    <mergeCell ref="A46:D46"/>
    <mergeCell ref="C47:D47"/>
    <mergeCell ref="C48:D48"/>
    <mergeCell ref="C49:D49"/>
    <mergeCell ref="C50:D50"/>
    <mergeCell ref="C66:D66"/>
    <mergeCell ref="C52:D52"/>
    <mergeCell ref="C53:D53"/>
    <mergeCell ref="A54:D54"/>
    <mergeCell ref="A55:D55"/>
    <mergeCell ref="A57:D57"/>
    <mergeCell ref="C58:D58"/>
    <mergeCell ref="C60:D60"/>
    <mergeCell ref="C61:D61"/>
    <mergeCell ref="C62:D62"/>
    <mergeCell ref="C63:D63"/>
    <mergeCell ref="C65:D65"/>
    <mergeCell ref="C81:D81"/>
    <mergeCell ref="C68:D68"/>
    <mergeCell ref="C69:D69"/>
    <mergeCell ref="C71:D71"/>
    <mergeCell ref="C72:D72"/>
    <mergeCell ref="C73:D73"/>
    <mergeCell ref="C74:D74"/>
    <mergeCell ref="C114:D114"/>
    <mergeCell ref="A115:D115"/>
    <mergeCell ref="C116:D116"/>
    <mergeCell ref="C89:D89"/>
    <mergeCell ref="C90:D90"/>
    <mergeCell ref="C97:D97"/>
    <mergeCell ref="A98:D98"/>
    <mergeCell ref="C109:D109"/>
    <mergeCell ref="C110:D110"/>
    <mergeCell ref="A1:D1"/>
    <mergeCell ref="A2:D2"/>
    <mergeCell ref="C111:D111"/>
    <mergeCell ref="C112:D112"/>
    <mergeCell ref="C113:D113"/>
    <mergeCell ref="C82:D82"/>
    <mergeCell ref="C83:D83"/>
    <mergeCell ref="C84:D84"/>
    <mergeCell ref="A86:D86"/>
    <mergeCell ref="C87:D87"/>
    <mergeCell ref="A88:D88"/>
    <mergeCell ref="C76:D76"/>
    <mergeCell ref="C77:D77"/>
    <mergeCell ref="C78:D78"/>
    <mergeCell ref="C79:D79"/>
    <mergeCell ref="C80:D80"/>
    <mergeCell ref="C117:D117"/>
    <mergeCell ref="C118:D118"/>
    <mergeCell ref="A120:D120"/>
    <mergeCell ref="A122:D122"/>
    <mergeCell ref="C123:D12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C36"/>
  <sheetViews>
    <sheetView workbookViewId="0">
      <selection activeCell="E25" sqref="E25"/>
    </sheetView>
  </sheetViews>
  <sheetFormatPr baseColWidth="10" defaultColWidth="25.42578125" defaultRowHeight="14.25"/>
  <cols>
    <col min="1" max="1" width="61.42578125" style="17" customWidth="1"/>
    <col min="2" max="2" width="21.7109375" style="77" bestFit="1" customWidth="1"/>
    <col min="3" max="3" width="15.140625" style="173" customWidth="1"/>
    <col min="4" max="16384" width="25.42578125" style="17"/>
  </cols>
  <sheetData>
    <row r="1" spans="1:3" ht="15">
      <c r="A1" s="680" t="s">
        <v>1620</v>
      </c>
      <c r="B1" s="680"/>
      <c r="C1" s="680"/>
    </row>
    <row r="2" spans="1:3" ht="15">
      <c r="A2" s="680" t="s">
        <v>1613</v>
      </c>
      <c r="B2" s="680"/>
      <c r="C2" s="680"/>
    </row>
    <row r="3" spans="1:3">
      <c r="A3" s="799"/>
      <c r="B3" s="799"/>
      <c r="C3" s="799"/>
    </row>
    <row r="4" spans="1:3" s="74" customFormat="1" ht="18.75" customHeight="1">
      <c r="A4" s="241" t="s">
        <v>49</v>
      </c>
      <c r="B4" s="241" t="s">
        <v>124</v>
      </c>
      <c r="C4" s="242" t="s">
        <v>75</v>
      </c>
    </row>
    <row r="5" spans="1:3" ht="15">
      <c r="A5" s="800" t="s">
        <v>125</v>
      </c>
      <c r="B5" s="800"/>
      <c r="C5" s="234"/>
    </row>
    <row r="6" spans="1:3" ht="14.25" customHeight="1">
      <c r="A6" s="6"/>
      <c r="B6" s="24"/>
      <c r="C6" s="148"/>
    </row>
    <row r="7" spans="1:3" ht="15">
      <c r="A7" s="800" t="s">
        <v>1133</v>
      </c>
      <c r="B7" s="800"/>
      <c r="C7" s="234" t="s">
        <v>75</v>
      </c>
    </row>
    <row r="8" spans="1:3">
      <c r="A8" s="6" t="s">
        <v>316</v>
      </c>
      <c r="B8" s="24" t="s">
        <v>56</v>
      </c>
      <c r="C8" s="148">
        <v>3.95</v>
      </c>
    </row>
    <row r="9" spans="1:3">
      <c r="A9" s="6" t="s">
        <v>1213</v>
      </c>
      <c r="B9" s="24" t="s">
        <v>56</v>
      </c>
      <c r="C9" s="148">
        <v>3.95</v>
      </c>
    </row>
    <row r="10" spans="1:3">
      <c r="A10" s="6" t="s">
        <v>1214</v>
      </c>
      <c r="B10" s="24" t="s">
        <v>56</v>
      </c>
      <c r="C10" s="148">
        <v>3.45</v>
      </c>
    </row>
    <row r="11" spans="1:3">
      <c r="A11" s="6" t="s">
        <v>1215</v>
      </c>
      <c r="B11" s="24" t="s">
        <v>56</v>
      </c>
      <c r="C11" s="148">
        <v>1.45</v>
      </c>
    </row>
    <row r="12" spans="1:3">
      <c r="A12" s="860"/>
      <c r="B12" s="861"/>
      <c r="C12" s="862"/>
    </row>
    <row r="13" spans="1:3" ht="15">
      <c r="A13" s="797" t="s">
        <v>1216</v>
      </c>
      <c r="B13" s="798"/>
      <c r="C13" s="234" t="s">
        <v>75</v>
      </c>
    </row>
    <row r="14" spans="1:3">
      <c r="A14" s="6" t="s">
        <v>316</v>
      </c>
      <c r="B14" s="24" t="s">
        <v>56</v>
      </c>
      <c r="C14" s="148">
        <v>0.27</v>
      </c>
    </row>
    <row r="15" spans="1:3">
      <c r="A15" s="6" t="s">
        <v>1213</v>
      </c>
      <c r="B15" s="24" t="s">
        <v>56</v>
      </c>
      <c r="C15" s="148">
        <v>0.27</v>
      </c>
    </row>
    <row r="16" spans="1:3">
      <c r="A16" s="6" t="s">
        <v>1214</v>
      </c>
      <c r="B16" s="24" t="s">
        <v>56</v>
      </c>
      <c r="C16" s="148">
        <v>0.27</v>
      </c>
    </row>
    <row r="17" spans="1:3">
      <c r="A17" s="6" t="s">
        <v>1215</v>
      </c>
      <c r="B17" s="24" t="s">
        <v>56</v>
      </c>
      <c r="C17" s="148">
        <v>0.42</v>
      </c>
    </row>
    <row r="18" spans="1:3">
      <c r="A18" s="860"/>
      <c r="B18" s="861"/>
      <c r="C18" s="862"/>
    </row>
    <row r="19" spans="1:3" ht="15">
      <c r="A19" s="720" t="s">
        <v>1217</v>
      </c>
      <c r="B19" s="714"/>
      <c r="C19" s="269" t="s">
        <v>75</v>
      </c>
    </row>
    <row r="20" spans="1:3">
      <c r="A20" s="6" t="s">
        <v>1218</v>
      </c>
      <c r="B20" s="24" t="s">
        <v>56</v>
      </c>
      <c r="C20" s="240">
        <v>0.64</v>
      </c>
    </row>
    <row r="21" spans="1:3">
      <c r="A21" s="860"/>
      <c r="B21" s="861"/>
      <c r="C21" s="862"/>
    </row>
    <row r="22" spans="1:3" ht="15">
      <c r="A22" s="720" t="s">
        <v>118</v>
      </c>
      <c r="B22" s="714"/>
      <c r="C22" s="269" t="s">
        <v>75</v>
      </c>
    </row>
    <row r="23" spans="1:3">
      <c r="A23" s="66" t="s">
        <v>1587</v>
      </c>
      <c r="B23" s="346" t="s">
        <v>1589</v>
      </c>
      <c r="C23" s="347">
        <v>0.6</v>
      </c>
    </row>
    <row r="24" spans="1:3">
      <c r="A24" s="66" t="s">
        <v>1588</v>
      </c>
      <c r="B24" s="346" t="s">
        <v>1589</v>
      </c>
      <c r="C24" s="347">
        <v>0.8</v>
      </c>
    </row>
    <row r="25" spans="1:3">
      <c r="A25" s="860"/>
      <c r="B25" s="861"/>
      <c r="C25" s="862"/>
    </row>
    <row r="26" spans="1:3" ht="15">
      <c r="A26" s="720" t="s">
        <v>1585</v>
      </c>
      <c r="B26" s="714"/>
      <c r="C26" s="715"/>
    </row>
    <row r="27" spans="1:3" ht="15">
      <c r="A27" s="720" t="s">
        <v>335</v>
      </c>
      <c r="B27" s="714"/>
      <c r="C27" s="715"/>
    </row>
    <row r="28" spans="1:3" ht="15">
      <c r="A28" s="349"/>
      <c r="B28" s="350"/>
      <c r="C28" s="351"/>
    </row>
    <row r="29" spans="1:3" ht="15">
      <c r="A29" s="232" t="s">
        <v>316</v>
      </c>
      <c r="B29" s="232" t="s">
        <v>1586</v>
      </c>
      <c r="C29" s="232" t="s">
        <v>186</v>
      </c>
    </row>
    <row r="30" spans="1:3">
      <c r="A30" s="6" t="s">
        <v>337</v>
      </c>
      <c r="B30" s="348" t="s">
        <v>338</v>
      </c>
      <c r="C30" s="202">
        <v>0.1</v>
      </c>
    </row>
    <row r="31" spans="1:3">
      <c r="A31" s="6" t="s">
        <v>339</v>
      </c>
      <c r="B31" s="24" t="s">
        <v>340</v>
      </c>
      <c r="C31" s="202">
        <v>0.25</v>
      </c>
    </row>
    <row r="32" spans="1:3">
      <c r="A32" s="6" t="s">
        <v>341</v>
      </c>
      <c r="B32" s="24" t="s">
        <v>1590</v>
      </c>
      <c r="C32" s="202">
        <v>0.3</v>
      </c>
    </row>
    <row r="33" spans="1:3" ht="15">
      <c r="A33" s="232" t="s">
        <v>316</v>
      </c>
      <c r="B33" s="232" t="s">
        <v>1586</v>
      </c>
      <c r="C33" s="232" t="s">
        <v>186</v>
      </c>
    </row>
    <row r="34" spans="1:3">
      <c r="A34" s="6" t="s">
        <v>337</v>
      </c>
      <c r="B34" s="348" t="s">
        <v>338</v>
      </c>
      <c r="C34" s="202">
        <v>0.1</v>
      </c>
    </row>
    <row r="35" spans="1:3">
      <c r="A35" s="6" t="s">
        <v>339</v>
      </c>
      <c r="B35" s="24" t="s">
        <v>340</v>
      </c>
      <c r="C35" s="202">
        <v>0.25</v>
      </c>
    </row>
    <row r="36" spans="1:3">
      <c r="A36" s="6" t="s">
        <v>341</v>
      </c>
      <c r="B36" s="24" t="s">
        <v>1590</v>
      </c>
      <c r="C36" s="202">
        <v>0.3</v>
      </c>
    </row>
  </sheetData>
  <sheetProtection algorithmName="SHA-512" hashValue="hI7y7RdQWCp2ArZonrZUL7rENMw13ywyFJUaasyP+lwGVZPS1ggSdEG1cq5ZGJm034KTImm5GoMUan5WT6qayA==" saltValue="MYF5VU4OX7Zpocj0FebO/w==" spinCount="100000" sheet="1" objects="1" scenarios="1"/>
  <mergeCells count="14">
    <mergeCell ref="A26:C26"/>
    <mergeCell ref="A27:C27"/>
    <mergeCell ref="A13:B13"/>
    <mergeCell ref="A19:B19"/>
    <mergeCell ref="A1:C1"/>
    <mergeCell ref="A2:C2"/>
    <mergeCell ref="A3:C3"/>
    <mergeCell ref="A5:B5"/>
    <mergeCell ref="A7:B7"/>
    <mergeCell ref="A22:B22"/>
    <mergeCell ref="A12:C12"/>
    <mergeCell ref="A18:C18"/>
    <mergeCell ref="A21:C21"/>
    <mergeCell ref="A25:C2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C10"/>
  <sheetViews>
    <sheetView workbookViewId="0">
      <selection activeCell="G12" sqref="G12:G13"/>
    </sheetView>
  </sheetViews>
  <sheetFormatPr baseColWidth="10" defaultRowHeight="12.75"/>
  <cols>
    <col min="1" max="1" width="36" customWidth="1"/>
    <col min="2" max="2" width="19.85546875" customWidth="1"/>
    <col min="3" max="3" width="13.140625" customWidth="1"/>
  </cols>
  <sheetData>
    <row r="2" spans="1:3" ht="15.75">
      <c r="A2" s="863" t="s">
        <v>1610</v>
      </c>
      <c r="B2" s="863"/>
      <c r="C2" s="863"/>
    </row>
    <row r="3" spans="1:3" ht="15">
      <c r="A3" s="680" t="s">
        <v>1617</v>
      </c>
      <c r="B3" s="680"/>
      <c r="C3" s="680"/>
    </row>
    <row r="5" spans="1:3" ht="15.75">
      <c r="A5" s="364" t="s">
        <v>125</v>
      </c>
      <c r="B5" s="364" t="s">
        <v>124</v>
      </c>
      <c r="C5" s="364" t="s">
        <v>220</v>
      </c>
    </row>
    <row r="6" spans="1:3" ht="24.75" customHeight="1">
      <c r="A6" s="361" t="s">
        <v>1603</v>
      </c>
      <c r="B6" s="361" t="s">
        <v>1611</v>
      </c>
      <c r="C6" s="365">
        <v>0.16667000000000001</v>
      </c>
    </row>
    <row r="7" spans="1:3" ht="15">
      <c r="A7" s="361"/>
      <c r="B7" s="361"/>
      <c r="C7" s="361"/>
    </row>
    <row r="8" spans="1:3" ht="15.75">
      <c r="A8" s="364" t="s">
        <v>1605</v>
      </c>
      <c r="B8" s="364" t="s">
        <v>124</v>
      </c>
      <c r="C8" s="364" t="s">
        <v>220</v>
      </c>
    </row>
    <row r="9" spans="1:3" ht="15">
      <c r="A9" s="361"/>
      <c r="B9" s="361"/>
      <c r="C9" s="362"/>
    </row>
    <row r="10" spans="1:3" ht="25.5" customHeight="1">
      <c r="A10" s="361" t="s">
        <v>1612</v>
      </c>
      <c r="B10" s="361" t="s">
        <v>219</v>
      </c>
      <c r="C10" s="362">
        <v>5.33</v>
      </c>
    </row>
  </sheetData>
  <sheetProtection algorithmName="SHA-512" hashValue="bk4Gk1EgPArFAF1z9tSWcZd+1vKfjnhiyFrPDKPLcyr9exsZOhFNQr5Z8E4fE38ckSpJVGjp6W4XJGPqZov69w==" saltValue="9u9TE3pnWU4mUf2OM7+AjA==" spinCount="100000" sheet="1" objects="1" scenarios="1"/>
  <mergeCells count="2">
    <mergeCell ref="A2:C2"/>
    <mergeCell ref="A3:C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F15"/>
  <sheetViews>
    <sheetView workbookViewId="0">
      <selection activeCell="C39" sqref="C39"/>
    </sheetView>
  </sheetViews>
  <sheetFormatPr baseColWidth="10" defaultRowHeight="12.75"/>
  <cols>
    <col min="1" max="1" width="36.85546875" customWidth="1"/>
    <col min="2" max="2" width="19.85546875" customWidth="1"/>
    <col min="3" max="3" width="17.140625" customWidth="1"/>
  </cols>
  <sheetData>
    <row r="1" spans="1:6" ht="15.75">
      <c r="A1" s="863" t="s">
        <v>1609</v>
      </c>
      <c r="B1" s="863"/>
      <c r="C1" s="863"/>
    </row>
    <row r="2" spans="1:6" ht="15">
      <c r="A2" s="680" t="s">
        <v>1616</v>
      </c>
      <c r="B2" s="680"/>
      <c r="C2" s="680"/>
    </row>
    <row r="4" spans="1:6" ht="15.75">
      <c r="A4" s="363" t="s">
        <v>125</v>
      </c>
      <c r="B4" s="363" t="s">
        <v>124</v>
      </c>
      <c r="C4" s="363" t="s">
        <v>220</v>
      </c>
    </row>
    <row r="5" spans="1:6" ht="15">
      <c r="A5" s="361" t="s">
        <v>1601</v>
      </c>
      <c r="B5" s="361" t="s">
        <v>1602</v>
      </c>
      <c r="C5" s="362">
        <v>0.68</v>
      </c>
    </row>
    <row r="6" spans="1:6" ht="15">
      <c r="A6" s="361" t="s">
        <v>1603</v>
      </c>
      <c r="B6" s="361" t="s">
        <v>1604</v>
      </c>
      <c r="C6" s="362">
        <v>25</v>
      </c>
    </row>
    <row r="7" spans="1:6" ht="15">
      <c r="A7" s="361"/>
      <c r="B7" s="361"/>
      <c r="C7" s="361"/>
    </row>
    <row r="8" spans="1:6" ht="15.75">
      <c r="A8" s="363" t="s">
        <v>1605</v>
      </c>
      <c r="B8" s="363" t="s">
        <v>124</v>
      </c>
      <c r="C8" s="363" t="s">
        <v>220</v>
      </c>
    </row>
    <row r="9" spans="1:6" ht="15">
      <c r="A9" s="361" t="s">
        <v>1606</v>
      </c>
      <c r="B9" s="361" t="s">
        <v>74</v>
      </c>
      <c r="C9" s="362">
        <v>4.0999999999999996</v>
      </c>
    </row>
    <row r="10" spans="1:6" ht="15">
      <c r="A10" s="361" t="s">
        <v>1607</v>
      </c>
      <c r="B10" s="361" t="s">
        <v>74</v>
      </c>
      <c r="C10" s="362">
        <v>1.1000000000000001</v>
      </c>
    </row>
    <row r="11" spans="1:6" ht="15">
      <c r="A11" s="7"/>
      <c r="B11" s="7"/>
      <c r="C11" s="7"/>
    </row>
    <row r="12" spans="1:6" ht="15">
      <c r="A12" s="7"/>
      <c r="B12" s="7"/>
      <c r="C12" s="7"/>
    </row>
    <row r="13" spans="1:6" ht="15.75">
      <c r="A13" s="864" t="s">
        <v>114</v>
      </c>
      <c r="B13" s="864"/>
      <c r="C13" s="864"/>
    </row>
    <row r="14" spans="1:6" ht="15">
      <c r="A14" s="865" t="s">
        <v>1608</v>
      </c>
      <c r="B14" s="865"/>
      <c r="C14" s="865"/>
      <c r="F14" s="17"/>
    </row>
    <row r="15" spans="1:6">
      <c r="A15" s="360"/>
      <c r="B15" s="360"/>
      <c r="C15" s="360"/>
    </row>
  </sheetData>
  <sheetProtection algorithmName="SHA-512" hashValue="nZjaBLm1foH84i7Ys4xdGEmdeRk3IiVsU8aKSYWzFVB9scwUaZnuhpMe1I+/f24hFeygYW0RbuRTGQEtWCuUYw==" saltValue="MIklvGoCsUDI+9YKmOilzw==" spinCount="100000" sheet="1" objects="1" scenarios="1"/>
  <mergeCells count="4">
    <mergeCell ref="A13:C13"/>
    <mergeCell ref="A14:C14"/>
    <mergeCell ref="A1:C1"/>
    <mergeCell ref="A2:C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D17"/>
  <sheetViews>
    <sheetView workbookViewId="0">
      <selection activeCell="A23" sqref="A23"/>
    </sheetView>
  </sheetViews>
  <sheetFormatPr baseColWidth="10" defaultRowHeight="12.75"/>
  <cols>
    <col min="1" max="1" width="65.85546875" bestFit="1" customWidth="1"/>
    <col min="2" max="2" width="16.140625" customWidth="1"/>
  </cols>
  <sheetData>
    <row r="1" spans="1:4" ht="15">
      <c r="A1" s="866" t="s">
        <v>1614</v>
      </c>
      <c r="B1" s="866"/>
    </row>
    <row r="2" spans="1:4" ht="15">
      <c r="A2" s="680" t="s">
        <v>1615</v>
      </c>
      <c r="B2" s="680"/>
      <c r="C2" s="172"/>
      <c r="D2" s="172"/>
    </row>
    <row r="4" spans="1:4" ht="15.75">
      <c r="A4" s="352" t="s">
        <v>474</v>
      </c>
      <c r="B4" s="352" t="s">
        <v>758</v>
      </c>
    </row>
    <row r="5" spans="1:4" ht="15.75">
      <c r="A5" s="352" t="s">
        <v>213</v>
      </c>
      <c r="B5" s="353"/>
    </row>
    <row r="6" spans="1:4" ht="15">
      <c r="A6" s="354" t="s">
        <v>1591</v>
      </c>
      <c r="B6" s="355">
        <v>1</v>
      </c>
    </row>
    <row r="7" spans="1:4" ht="15">
      <c r="A7" s="356" t="s">
        <v>1592</v>
      </c>
      <c r="B7" s="355">
        <v>0.38</v>
      </c>
    </row>
    <row r="8" spans="1:4" ht="15.75">
      <c r="A8" s="357" t="s">
        <v>1593</v>
      </c>
      <c r="B8" s="357" t="s">
        <v>758</v>
      </c>
    </row>
    <row r="9" spans="1:4" ht="15">
      <c r="A9" s="356" t="s">
        <v>1594</v>
      </c>
      <c r="B9" s="355">
        <v>3.2</v>
      </c>
    </row>
    <row r="10" spans="1:4" ht="15">
      <c r="A10" s="356" t="s">
        <v>1595</v>
      </c>
      <c r="B10" s="358">
        <v>0.25</v>
      </c>
    </row>
    <row r="11" spans="1:4" ht="15.75">
      <c r="A11" s="357" t="s">
        <v>1596</v>
      </c>
      <c r="B11" s="357" t="s">
        <v>758</v>
      </c>
    </row>
    <row r="12" spans="1:4" ht="15">
      <c r="A12" s="356" t="s">
        <v>1597</v>
      </c>
      <c r="B12" s="355">
        <v>0.8</v>
      </c>
    </row>
    <row r="13" spans="1:4" ht="15">
      <c r="A13" s="356" t="s">
        <v>1595</v>
      </c>
      <c r="B13" s="358">
        <v>0.25</v>
      </c>
    </row>
    <row r="14" spans="1:4" ht="15.75">
      <c r="A14" s="357" t="s">
        <v>1598</v>
      </c>
      <c r="B14" s="357" t="s">
        <v>758</v>
      </c>
    </row>
    <row r="15" spans="1:4" ht="15">
      <c r="A15" s="359" t="s">
        <v>1599</v>
      </c>
      <c r="B15" s="355">
        <v>4.1900000000000004</v>
      </c>
    </row>
    <row r="16" spans="1:4" ht="15">
      <c r="A16" s="359" t="s">
        <v>1625</v>
      </c>
      <c r="B16" s="355">
        <v>1.02</v>
      </c>
    </row>
    <row r="17" spans="1:2" ht="15">
      <c r="A17" s="359" t="s">
        <v>1600</v>
      </c>
      <c r="B17" s="355">
        <v>14.5</v>
      </c>
    </row>
  </sheetData>
  <sheetProtection algorithmName="SHA-512" hashValue="Cw+kgrEE+rHkjOmlhsd6yDQesNrpE8XJ6P5Vd656ZCIlR4waf80r2mXBemV33/GIq3NKajVJCoigyAvL+s8U4A==" saltValue="QllrMrZWiOaSCgp1qO+QmQ==" spinCount="100000" sheet="1" objects="1" scenarios="1"/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2" tint="-0.499984740745262"/>
  </sheetPr>
  <dimension ref="A1:GY201"/>
  <sheetViews>
    <sheetView workbookViewId="0">
      <selection activeCell="J5" sqref="J5"/>
    </sheetView>
  </sheetViews>
  <sheetFormatPr baseColWidth="10" defaultRowHeight="14.25"/>
  <cols>
    <col min="1" max="1" width="31.5703125" style="41" bestFit="1" customWidth="1"/>
    <col min="2" max="3" width="15.28515625" style="41" customWidth="1"/>
    <col min="4" max="4" width="15.5703125" style="41" customWidth="1"/>
    <col min="5" max="5" width="16" style="41" bestFit="1" customWidth="1"/>
    <col min="6" max="6" width="25.7109375" style="41" customWidth="1"/>
    <col min="7" max="16384" width="11.42578125" style="41"/>
  </cols>
  <sheetData>
    <row r="1" spans="1:6" ht="15">
      <c r="A1" s="707" t="s">
        <v>629</v>
      </c>
      <c r="B1" s="707"/>
      <c r="C1" s="707"/>
      <c r="D1" s="707"/>
      <c r="E1" s="707"/>
      <c r="F1" s="707"/>
    </row>
    <row r="2" spans="1:6" ht="15">
      <c r="A2" s="711"/>
      <c r="B2" s="711"/>
      <c r="C2" s="711"/>
      <c r="D2" s="711"/>
      <c r="E2" s="711"/>
      <c r="F2" s="711"/>
    </row>
    <row r="3" spans="1:6" ht="15">
      <c r="A3" s="700" t="s">
        <v>125</v>
      </c>
      <c r="B3" s="700"/>
      <c r="C3" s="700"/>
      <c r="D3" s="700"/>
      <c r="E3" s="700"/>
      <c r="F3" s="700"/>
    </row>
    <row r="4" spans="1:6" ht="114">
      <c r="A4" s="33" t="s">
        <v>126</v>
      </c>
      <c r="B4" s="33"/>
      <c r="C4" s="42" t="s">
        <v>291</v>
      </c>
      <c r="D4" s="43" t="s">
        <v>292</v>
      </c>
      <c r="E4" s="33" t="s">
        <v>107</v>
      </c>
      <c r="F4" s="44" t="s">
        <v>98</v>
      </c>
    </row>
    <row r="5" spans="1:6" ht="57">
      <c r="A5" s="33"/>
      <c r="B5" s="33"/>
      <c r="C5" s="42" t="s">
        <v>282</v>
      </c>
      <c r="D5" s="43"/>
      <c r="E5" s="33"/>
      <c r="F5" s="44"/>
    </row>
    <row r="6" spans="1:6" ht="15">
      <c r="A6" s="700" t="s">
        <v>99</v>
      </c>
      <c r="B6" s="700"/>
      <c r="C6" s="700"/>
      <c r="D6" s="700"/>
      <c r="E6" s="700"/>
      <c r="F6" s="700"/>
    </row>
    <row r="7" spans="1:6" ht="57">
      <c r="A7" s="33" t="s">
        <v>106</v>
      </c>
      <c r="B7" s="45" t="s">
        <v>104</v>
      </c>
      <c r="C7" s="33"/>
      <c r="D7" s="46"/>
      <c r="E7" s="33"/>
      <c r="F7" s="47" t="s">
        <v>105</v>
      </c>
    </row>
    <row r="8" spans="1:6">
      <c r="A8" s="33" t="s">
        <v>128</v>
      </c>
      <c r="B8" s="33"/>
      <c r="C8" s="33"/>
      <c r="D8" s="34">
        <v>100</v>
      </c>
      <c r="E8" s="33" t="s">
        <v>129</v>
      </c>
      <c r="F8" s="44"/>
    </row>
    <row r="9" spans="1:6" ht="15">
      <c r="A9" s="39" t="s">
        <v>130</v>
      </c>
      <c r="B9" s="39"/>
      <c r="C9" s="39"/>
      <c r="D9" s="39"/>
      <c r="E9" s="39"/>
      <c r="F9" s="39"/>
    </row>
    <row r="10" spans="1:6" ht="28.5">
      <c r="A10" s="33" t="s">
        <v>131</v>
      </c>
      <c r="B10" s="33"/>
      <c r="C10" s="33"/>
      <c r="D10" s="34">
        <v>50</v>
      </c>
      <c r="E10" s="33" t="s">
        <v>132</v>
      </c>
      <c r="F10" s="44" t="s">
        <v>133</v>
      </c>
    </row>
    <row r="11" spans="1:6" ht="42.75">
      <c r="A11" s="33" t="s">
        <v>134</v>
      </c>
      <c r="B11" s="33"/>
      <c r="C11" s="33"/>
      <c r="D11" s="34">
        <v>15</v>
      </c>
      <c r="E11" s="33" t="s">
        <v>135</v>
      </c>
      <c r="F11" s="44"/>
    </row>
    <row r="12" spans="1:6" ht="28.5">
      <c r="A12" s="33" t="s">
        <v>134</v>
      </c>
      <c r="B12" s="33"/>
      <c r="C12" s="33"/>
      <c r="D12" s="34">
        <v>20</v>
      </c>
      <c r="E12" s="33" t="s">
        <v>136</v>
      </c>
      <c r="F12" s="44"/>
    </row>
    <row r="13" spans="1:6">
      <c r="A13" s="33" t="s">
        <v>137</v>
      </c>
      <c r="B13" s="33"/>
      <c r="C13" s="33"/>
      <c r="D13" s="34">
        <v>1.6</v>
      </c>
      <c r="E13" s="33" t="s">
        <v>138</v>
      </c>
      <c r="F13" s="44"/>
    </row>
    <row r="14" spans="1:6" ht="15">
      <c r="A14" s="701" t="s">
        <v>139</v>
      </c>
      <c r="B14" s="702"/>
      <c r="C14" s="702"/>
      <c r="D14" s="702"/>
      <c r="E14" s="702"/>
      <c r="F14" s="703"/>
    </row>
    <row r="15" spans="1:6" ht="28.5">
      <c r="A15" s="33" t="s">
        <v>140</v>
      </c>
      <c r="B15" s="33"/>
      <c r="C15" s="33"/>
      <c r="D15" s="34">
        <v>5</v>
      </c>
      <c r="E15" s="33" t="s">
        <v>108</v>
      </c>
      <c r="F15" s="44" t="s">
        <v>133</v>
      </c>
    </row>
    <row r="16" spans="1:6" ht="28.5">
      <c r="A16" s="33" t="s">
        <v>141</v>
      </c>
      <c r="B16" s="33"/>
      <c r="C16" s="33"/>
      <c r="D16" s="34">
        <v>6.25</v>
      </c>
      <c r="E16" s="33" t="s">
        <v>108</v>
      </c>
      <c r="F16" s="47" t="s">
        <v>63</v>
      </c>
    </row>
    <row r="17" spans="1:6">
      <c r="A17" s="33" t="s">
        <v>142</v>
      </c>
      <c r="B17" s="33"/>
      <c r="C17" s="33"/>
      <c r="D17" s="34">
        <v>4.5</v>
      </c>
      <c r="E17" s="33" t="s">
        <v>108</v>
      </c>
      <c r="F17" s="47"/>
    </row>
    <row r="18" spans="1:6">
      <c r="A18" s="33" t="s">
        <v>143</v>
      </c>
      <c r="B18" s="33"/>
      <c r="C18" s="33"/>
      <c r="D18" s="34">
        <v>5.63</v>
      </c>
      <c r="E18" s="33" t="s">
        <v>108</v>
      </c>
      <c r="F18" s="44"/>
    </row>
    <row r="19" spans="1:6">
      <c r="A19" s="33" t="s">
        <v>144</v>
      </c>
      <c r="B19" s="33"/>
      <c r="C19" s="33"/>
      <c r="D19" s="34">
        <v>1.1399999999999999</v>
      </c>
      <c r="E19" s="33" t="s">
        <v>108</v>
      </c>
      <c r="F19" s="44"/>
    </row>
    <row r="20" spans="1:6">
      <c r="A20" s="33" t="s">
        <v>145</v>
      </c>
      <c r="B20" s="33"/>
      <c r="C20" s="33"/>
      <c r="D20" s="34">
        <v>1.43</v>
      </c>
      <c r="E20" s="33" t="s">
        <v>108</v>
      </c>
      <c r="F20" s="44"/>
    </row>
    <row r="21" spans="1:6">
      <c r="A21" s="33" t="s">
        <v>146</v>
      </c>
      <c r="B21" s="33"/>
      <c r="C21" s="33"/>
      <c r="D21" s="34">
        <v>1.43</v>
      </c>
      <c r="E21" s="33" t="s">
        <v>108</v>
      </c>
      <c r="F21" s="44"/>
    </row>
    <row r="22" spans="1:6">
      <c r="A22" s="33" t="s">
        <v>147</v>
      </c>
      <c r="B22" s="33"/>
      <c r="C22" s="33"/>
      <c r="D22" s="34">
        <v>1.79</v>
      </c>
      <c r="E22" s="33" t="s">
        <v>108</v>
      </c>
      <c r="F22" s="44"/>
    </row>
    <row r="23" spans="1:6" ht="15">
      <c r="A23" s="39" t="s">
        <v>148</v>
      </c>
      <c r="B23" s="39"/>
      <c r="C23" s="39"/>
      <c r="D23" s="39"/>
      <c r="E23" s="39"/>
      <c r="F23" s="39"/>
    </row>
    <row r="24" spans="1:6" ht="28.5">
      <c r="A24" s="33" t="s">
        <v>90</v>
      </c>
      <c r="B24" s="33"/>
      <c r="C24" s="33"/>
      <c r="D24" s="34">
        <v>40</v>
      </c>
      <c r="E24" s="45" t="s">
        <v>110</v>
      </c>
      <c r="F24" s="44" t="s">
        <v>133</v>
      </c>
    </row>
    <row r="25" spans="1:6">
      <c r="A25" s="33" t="s">
        <v>149</v>
      </c>
      <c r="B25" s="33"/>
      <c r="C25" s="33"/>
      <c r="D25" s="34">
        <v>60</v>
      </c>
      <c r="E25" s="45" t="s">
        <v>110</v>
      </c>
      <c r="F25" s="47" t="s">
        <v>63</v>
      </c>
    </row>
    <row r="26" spans="1:6">
      <c r="A26" s="33" t="s">
        <v>150</v>
      </c>
      <c r="B26" s="33"/>
      <c r="C26" s="33"/>
      <c r="D26" s="34">
        <v>100</v>
      </c>
      <c r="E26" s="45" t="s">
        <v>110</v>
      </c>
      <c r="F26" s="47"/>
    </row>
    <row r="27" spans="1:6" ht="15">
      <c r="A27" s="39" t="s">
        <v>109</v>
      </c>
      <c r="B27" s="39"/>
      <c r="C27" s="39"/>
      <c r="D27" s="39"/>
      <c r="E27" s="39"/>
      <c r="F27" s="39"/>
    </row>
    <row r="28" spans="1:6" ht="42.75">
      <c r="A28" s="33" t="s">
        <v>115</v>
      </c>
      <c r="B28" s="33"/>
      <c r="C28" s="33"/>
      <c r="D28" s="34">
        <v>95</v>
      </c>
      <c r="E28" s="45" t="s">
        <v>110</v>
      </c>
      <c r="F28" s="44" t="s">
        <v>276</v>
      </c>
    </row>
    <row r="29" spans="1:6" ht="42.75">
      <c r="A29" s="33" t="s">
        <v>151</v>
      </c>
      <c r="B29" s="33"/>
      <c r="C29" s="33"/>
      <c r="D29" s="34">
        <v>125</v>
      </c>
      <c r="E29" s="45" t="s">
        <v>110</v>
      </c>
      <c r="F29" s="44" t="s">
        <v>276</v>
      </c>
    </row>
    <row r="30" spans="1:6" ht="42.75">
      <c r="A30" s="33" t="s">
        <v>277</v>
      </c>
      <c r="B30" s="33"/>
      <c r="C30" s="33"/>
      <c r="D30" s="34">
        <v>145</v>
      </c>
      <c r="E30" s="45" t="s">
        <v>110</v>
      </c>
      <c r="F30" s="44" t="s">
        <v>276</v>
      </c>
    </row>
    <row r="31" spans="1:6" ht="42.75">
      <c r="A31" s="33" t="s">
        <v>279</v>
      </c>
      <c r="B31" s="33"/>
      <c r="C31" s="33"/>
      <c r="D31" s="34">
        <v>110</v>
      </c>
      <c r="E31" s="45" t="s">
        <v>110</v>
      </c>
      <c r="F31" s="44" t="s">
        <v>276</v>
      </c>
    </row>
    <row r="32" spans="1:6" ht="42.75">
      <c r="A32" s="33" t="s">
        <v>280</v>
      </c>
      <c r="B32" s="33"/>
      <c r="C32" s="33"/>
      <c r="D32" s="34">
        <v>145</v>
      </c>
      <c r="E32" s="45" t="s">
        <v>110</v>
      </c>
      <c r="F32" s="44" t="s">
        <v>276</v>
      </c>
    </row>
    <row r="33" spans="1:6" ht="42.75">
      <c r="A33" s="33" t="s">
        <v>278</v>
      </c>
      <c r="B33" s="33"/>
      <c r="C33" s="33"/>
      <c r="D33" s="34">
        <v>110</v>
      </c>
      <c r="E33" s="45" t="s">
        <v>110</v>
      </c>
      <c r="F33" s="44" t="s">
        <v>276</v>
      </c>
    </row>
    <row r="34" spans="1:6">
      <c r="A34" s="708" t="s">
        <v>281</v>
      </c>
      <c r="B34" s="709"/>
      <c r="C34" s="709"/>
      <c r="D34" s="709"/>
      <c r="E34" s="709"/>
      <c r="F34" s="48"/>
    </row>
    <row r="35" spans="1:6">
      <c r="A35" s="33" t="s">
        <v>152</v>
      </c>
      <c r="B35" s="33"/>
      <c r="C35" s="33"/>
      <c r="D35" s="34">
        <v>25</v>
      </c>
      <c r="E35" s="45" t="s">
        <v>110</v>
      </c>
      <c r="F35" s="44"/>
    </row>
    <row r="36" spans="1:6">
      <c r="A36" s="33" t="s">
        <v>153</v>
      </c>
      <c r="B36" s="33"/>
      <c r="C36" s="33"/>
      <c r="D36" s="34">
        <v>25</v>
      </c>
      <c r="E36" s="45" t="s">
        <v>110</v>
      </c>
      <c r="F36" s="44"/>
    </row>
    <row r="37" spans="1:6" ht="15">
      <c r="A37" s="39" t="s">
        <v>154</v>
      </c>
      <c r="B37" s="39"/>
      <c r="C37" s="39"/>
      <c r="D37" s="39"/>
      <c r="E37" s="39"/>
      <c r="F37" s="39"/>
    </row>
    <row r="38" spans="1:6" ht="28.5">
      <c r="A38" s="33" t="s">
        <v>155</v>
      </c>
      <c r="B38" s="33"/>
      <c r="C38" s="33"/>
      <c r="D38" s="34">
        <v>38.5</v>
      </c>
      <c r="E38" s="45" t="s">
        <v>110</v>
      </c>
      <c r="F38" s="33" t="s">
        <v>156</v>
      </c>
    </row>
    <row r="39" spans="1:6" ht="28.5">
      <c r="A39" s="33" t="s">
        <v>166</v>
      </c>
      <c r="B39" s="33"/>
      <c r="C39" s="33"/>
      <c r="D39" s="34">
        <v>48.13</v>
      </c>
      <c r="E39" s="45" t="s">
        <v>110</v>
      </c>
      <c r="F39" s="47" t="s">
        <v>63</v>
      </c>
    </row>
    <row r="40" spans="1:6">
      <c r="A40" s="33" t="s">
        <v>167</v>
      </c>
      <c r="B40" s="33"/>
      <c r="C40" s="33"/>
      <c r="D40" s="34">
        <v>7.7</v>
      </c>
      <c r="E40" s="45" t="s">
        <v>110</v>
      </c>
      <c r="F40" s="47"/>
    </row>
    <row r="41" spans="1:6">
      <c r="A41" s="33" t="s">
        <v>113</v>
      </c>
      <c r="B41" s="33"/>
      <c r="C41" s="33"/>
      <c r="D41" s="34">
        <v>3.85</v>
      </c>
      <c r="E41" s="45" t="s">
        <v>108</v>
      </c>
      <c r="F41" s="33"/>
    </row>
    <row r="42" spans="1:6">
      <c r="A42" s="33"/>
      <c r="B42" s="33"/>
      <c r="C42" s="33"/>
      <c r="D42" s="34"/>
      <c r="E42" s="33"/>
      <c r="F42" s="33"/>
    </row>
    <row r="43" spans="1:6" ht="15">
      <c r="A43" s="700" t="s">
        <v>100</v>
      </c>
      <c r="B43" s="700"/>
      <c r="C43" s="700"/>
      <c r="D43" s="700"/>
      <c r="E43" s="700"/>
      <c r="F43" s="700"/>
    </row>
    <row r="44" spans="1:6" ht="42.75">
      <c r="A44" s="33" t="s">
        <v>155</v>
      </c>
      <c r="B44" s="33"/>
      <c r="C44" s="33"/>
      <c r="D44" s="49">
        <v>25</v>
      </c>
      <c r="E44" s="33" t="s">
        <v>110</v>
      </c>
      <c r="F44" s="44" t="s">
        <v>103</v>
      </c>
    </row>
    <row r="45" spans="1:6" ht="28.5">
      <c r="A45" s="33" t="s">
        <v>166</v>
      </c>
      <c r="B45" s="33"/>
      <c r="C45" s="33"/>
      <c r="D45" s="49">
        <v>31.25</v>
      </c>
      <c r="E45" s="33" t="s">
        <v>110</v>
      </c>
      <c r="F45" s="44" t="s">
        <v>102</v>
      </c>
    </row>
    <row r="46" spans="1:6">
      <c r="A46" s="33" t="s">
        <v>152</v>
      </c>
      <c r="B46" s="33"/>
      <c r="C46" s="33"/>
      <c r="D46" s="34">
        <v>15.4</v>
      </c>
      <c r="E46" s="45" t="s">
        <v>110</v>
      </c>
      <c r="F46" s="710" t="s">
        <v>64</v>
      </c>
    </row>
    <row r="47" spans="1:6">
      <c r="A47" s="33" t="s">
        <v>153</v>
      </c>
      <c r="B47" s="33"/>
      <c r="C47" s="33"/>
      <c r="D47" s="34">
        <v>17.600000000000001</v>
      </c>
      <c r="E47" s="45" t="s">
        <v>110</v>
      </c>
      <c r="F47" s="710"/>
    </row>
    <row r="48" spans="1:6">
      <c r="A48" s="33" t="s">
        <v>113</v>
      </c>
      <c r="B48" s="33"/>
      <c r="C48" s="33"/>
      <c r="D48" s="34">
        <v>3.85</v>
      </c>
      <c r="E48" s="45" t="s">
        <v>108</v>
      </c>
      <c r="F48" s="710"/>
    </row>
    <row r="49" spans="1:6">
      <c r="A49" s="33"/>
      <c r="B49" s="33"/>
      <c r="C49" s="33"/>
      <c r="D49" s="34"/>
      <c r="E49" s="45"/>
      <c r="F49" s="50"/>
    </row>
    <row r="50" spans="1:6" ht="15">
      <c r="A50" s="39" t="s">
        <v>168</v>
      </c>
      <c r="B50" s="39"/>
      <c r="C50" s="39"/>
      <c r="D50" s="39"/>
      <c r="E50" s="39"/>
      <c r="F50" s="39"/>
    </row>
    <row r="51" spans="1:6" ht="28.5">
      <c r="A51" s="33" t="s">
        <v>169</v>
      </c>
      <c r="B51" s="33"/>
      <c r="C51" s="33"/>
      <c r="D51" s="34">
        <v>18</v>
      </c>
      <c r="E51" s="33" t="s">
        <v>110</v>
      </c>
      <c r="F51" s="44" t="s">
        <v>133</v>
      </c>
    </row>
    <row r="52" spans="1:6" ht="28.5">
      <c r="A52" s="33" t="s">
        <v>170</v>
      </c>
      <c r="B52" s="33"/>
      <c r="C52" s="33"/>
      <c r="D52" s="34">
        <v>23</v>
      </c>
      <c r="E52" s="33" t="s">
        <v>110</v>
      </c>
      <c r="F52" s="44"/>
    </row>
    <row r="53" spans="1:6">
      <c r="A53" s="33" t="s">
        <v>171</v>
      </c>
      <c r="B53" s="33"/>
      <c r="C53" s="33"/>
      <c r="D53" s="34">
        <v>14</v>
      </c>
      <c r="E53" s="33" t="s">
        <v>110</v>
      </c>
      <c r="F53" s="44"/>
    </row>
    <row r="54" spans="1:6">
      <c r="A54" s="33" t="s">
        <v>172</v>
      </c>
      <c r="B54" s="33"/>
      <c r="C54" s="33"/>
      <c r="D54" s="34">
        <v>16</v>
      </c>
      <c r="E54" s="33" t="s">
        <v>110</v>
      </c>
      <c r="F54" s="44"/>
    </row>
    <row r="55" spans="1:6" ht="28.5">
      <c r="A55" s="33" t="s">
        <v>173</v>
      </c>
      <c r="B55" s="33"/>
      <c r="C55" s="33"/>
      <c r="D55" s="34">
        <v>36</v>
      </c>
      <c r="E55" s="33" t="s">
        <v>110</v>
      </c>
      <c r="F55" s="44"/>
    </row>
    <row r="56" spans="1:6" ht="28.5">
      <c r="A56" s="33" t="s">
        <v>174</v>
      </c>
      <c r="B56" s="33"/>
      <c r="C56" s="33"/>
      <c r="D56" s="34">
        <v>46</v>
      </c>
      <c r="E56" s="33" t="s">
        <v>110</v>
      </c>
      <c r="F56" s="44"/>
    </row>
    <row r="57" spans="1:6" ht="28.5">
      <c r="A57" s="33" t="s">
        <v>175</v>
      </c>
      <c r="B57" s="33"/>
      <c r="C57" s="33"/>
      <c r="D57" s="34">
        <v>32</v>
      </c>
      <c r="E57" s="33" t="s">
        <v>110</v>
      </c>
      <c r="F57" s="44"/>
    </row>
    <row r="58" spans="1:6" ht="28.5">
      <c r="A58" s="33" t="s">
        <v>176</v>
      </c>
      <c r="B58" s="33"/>
      <c r="C58" s="33"/>
      <c r="D58" s="34">
        <v>39</v>
      </c>
      <c r="E58" s="33" t="s">
        <v>110</v>
      </c>
      <c r="F58" s="44"/>
    </row>
    <row r="59" spans="1:6" ht="28.5">
      <c r="A59" s="33" t="s">
        <v>177</v>
      </c>
      <c r="B59" s="33"/>
      <c r="C59" s="33"/>
      <c r="D59" s="34">
        <v>93</v>
      </c>
      <c r="E59" s="33" t="s">
        <v>110</v>
      </c>
      <c r="F59" s="44"/>
    </row>
    <row r="60" spans="1:6" ht="28.5">
      <c r="A60" s="33" t="s">
        <v>178</v>
      </c>
      <c r="B60" s="33"/>
      <c r="C60" s="33"/>
      <c r="D60" s="34">
        <v>116</v>
      </c>
      <c r="E60" s="33" t="s">
        <v>110</v>
      </c>
      <c r="F60" s="44"/>
    </row>
    <row r="61" spans="1:6">
      <c r="A61" s="33" t="s">
        <v>179</v>
      </c>
      <c r="B61" s="33"/>
      <c r="C61" s="33"/>
      <c r="D61" s="34">
        <v>79</v>
      </c>
      <c r="E61" s="33" t="s">
        <v>110</v>
      </c>
      <c r="F61" s="44"/>
    </row>
    <row r="62" spans="1:6">
      <c r="A62" s="33" t="s">
        <v>180</v>
      </c>
      <c r="B62" s="33"/>
      <c r="C62" s="33"/>
      <c r="D62" s="34">
        <v>95</v>
      </c>
      <c r="E62" s="33" t="s">
        <v>110</v>
      </c>
      <c r="F62" s="44"/>
    </row>
    <row r="63" spans="1:6">
      <c r="A63" s="33"/>
      <c r="B63" s="33"/>
      <c r="C63" s="33"/>
      <c r="D63" s="34"/>
      <c r="E63" s="33"/>
      <c r="F63" s="44"/>
    </row>
    <row r="64" spans="1:6" ht="15">
      <c r="A64" s="39" t="s">
        <v>181</v>
      </c>
      <c r="B64" s="39"/>
      <c r="C64" s="39"/>
      <c r="D64" s="39"/>
      <c r="E64" s="39"/>
      <c r="F64" s="39"/>
    </row>
    <row r="65" spans="1:6" ht="28.5">
      <c r="A65" s="33" t="s">
        <v>182</v>
      </c>
      <c r="B65" s="33"/>
      <c r="C65" s="33"/>
      <c r="D65" s="34">
        <v>41.25</v>
      </c>
      <c r="E65" s="45" t="s">
        <v>110</v>
      </c>
      <c r="F65" s="44" t="s">
        <v>133</v>
      </c>
    </row>
    <row r="66" spans="1:6">
      <c r="A66" s="33" t="s">
        <v>183</v>
      </c>
      <c r="B66" s="33"/>
      <c r="C66" s="33"/>
      <c r="D66" s="34">
        <v>51.43</v>
      </c>
      <c r="E66" s="45" t="s">
        <v>110</v>
      </c>
      <c r="F66" s="47" t="s">
        <v>63</v>
      </c>
    </row>
    <row r="67" spans="1:6">
      <c r="A67" s="33"/>
      <c r="B67" s="33"/>
      <c r="C67" s="33"/>
      <c r="D67" s="34"/>
      <c r="E67" s="33"/>
      <c r="F67" s="44"/>
    </row>
    <row r="68" spans="1:6" ht="15">
      <c r="A68" s="39" t="s">
        <v>184</v>
      </c>
      <c r="B68" s="39"/>
      <c r="C68" s="39"/>
      <c r="D68" s="39"/>
      <c r="E68" s="39"/>
      <c r="F68" s="39"/>
    </row>
    <row r="69" spans="1:6" ht="15">
      <c r="A69" s="39" t="s">
        <v>65</v>
      </c>
      <c r="B69" s="39"/>
      <c r="C69" s="39"/>
      <c r="D69" s="39"/>
      <c r="E69" s="39"/>
      <c r="F69" s="39"/>
    </row>
    <row r="70" spans="1:6" ht="28.5">
      <c r="A70" s="2" t="s">
        <v>185</v>
      </c>
      <c r="B70" s="2"/>
      <c r="C70" s="2"/>
      <c r="D70" s="697" t="s">
        <v>186</v>
      </c>
      <c r="E70" s="697"/>
      <c r="F70" s="44" t="s">
        <v>133</v>
      </c>
    </row>
    <row r="71" spans="1:6" ht="42.75">
      <c r="A71" s="33" t="s">
        <v>66</v>
      </c>
      <c r="B71" s="33"/>
      <c r="C71" s="33"/>
      <c r="D71" s="51" t="s">
        <v>287</v>
      </c>
      <c r="E71" s="45"/>
      <c r="F71" s="44" t="s">
        <v>276</v>
      </c>
    </row>
    <row r="72" spans="1:6" ht="42.75">
      <c r="A72" s="33" t="s">
        <v>67</v>
      </c>
      <c r="B72" s="33"/>
      <c r="C72" s="33"/>
      <c r="D72" s="51" t="s">
        <v>72</v>
      </c>
      <c r="E72" s="45"/>
      <c r="F72" s="44" t="s">
        <v>276</v>
      </c>
    </row>
    <row r="73" spans="1:6" ht="42.75">
      <c r="A73" s="33" t="s">
        <v>68</v>
      </c>
      <c r="B73" s="33"/>
      <c r="C73" s="33"/>
      <c r="D73" s="51" t="s">
        <v>97</v>
      </c>
      <c r="E73" s="45"/>
      <c r="F73" s="44" t="s">
        <v>276</v>
      </c>
    </row>
    <row r="74" spans="1:6">
      <c r="A74" s="33"/>
      <c r="B74" s="33"/>
      <c r="C74" s="33"/>
      <c r="D74" s="51"/>
      <c r="E74" s="33"/>
      <c r="F74" s="44"/>
    </row>
    <row r="75" spans="1:6" ht="15">
      <c r="A75" s="701" t="s">
        <v>69</v>
      </c>
      <c r="B75" s="702"/>
      <c r="C75" s="702"/>
      <c r="D75" s="702"/>
      <c r="E75" s="702"/>
      <c r="F75" s="703"/>
    </row>
    <row r="76" spans="1:6" ht="15">
      <c r="A76" s="2" t="s">
        <v>185</v>
      </c>
      <c r="B76" s="33"/>
      <c r="C76" s="2"/>
      <c r="D76" s="697" t="s">
        <v>186</v>
      </c>
      <c r="E76" s="697"/>
      <c r="F76" s="44"/>
    </row>
    <row r="77" spans="1:6" ht="42.75">
      <c r="A77" s="33" t="s">
        <v>70</v>
      </c>
      <c r="B77" s="33"/>
      <c r="C77" s="33"/>
      <c r="D77" s="51" t="s">
        <v>287</v>
      </c>
      <c r="E77" s="45" t="s">
        <v>110</v>
      </c>
      <c r="F77" s="44" t="s">
        <v>276</v>
      </c>
    </row>
    <row r="78" spans="1:6" ht="42.75">
      <c r="A78" s="33" t="s">
        <v>288</v>
      </c>
      <c r="B78" s="33"/>
      <c r="C78" s="33"/>
      <c r="D78" s="51" t="s">
        <v>72</v>
      </c>
      <c r="E78" s="45" t="s">
        <v>110</v>
      </c>
      <c r="F78" s="44" t="s">
        <v>276</v>
      </c>
    </row>
    <row r="79" spans="1:6" ht="42.75">
      <c r="A79" s="33" t="s">
        <v>73</v>
      </c>
      <c r="B79" s="33"/>
      <c r="C79" s="33"/>
      <c r="D79" s="51" t="s">
        <v>97</v>
      </c>
      <c r="E79" s="45" t="s">
        <v>110</v>
      </c>
      <c r="F79" s="44" t="s">
        <v>276</v>
      </c>
    </row>
    <row r="80" spans="1:6">
      <c r="A80" s="33"/>
      <c r="B80" s="33"/>
      <c r="C80" s="33"/>
      <c r="D80" s="33"/>
      <c r="E80" s="33"/>
      <c r="F80" s="33"/>
    </row>
    <row r="81" spans="1:6" ht="15">
      <c r="A81" s="39" t="s">
        <v>109</v>
      </c>
      <c r="B81" s="39"/>
      <c r="C81" s="39"/>
      <c r="D81" s="39"/>
      <c r="E81" s="39"/>
      <c r="F81" s="39"/>
    </row>
    <row r="82" spans="1:6" ht="28.5">
      <c r="A82" s="2" t="s">
        <v>77</v>
      </c>
      <c r="B82" s="2"/>
      <c r="C82" s="2"/>
      <c r="D82" s="697" t="s">
        <v>186</v>
      </c>
      <c r="E82" s="697"/>
      <c r="F82" s="44" t="s">
        <v>133</v>
      </c>
    </row>
    <row r="83" spans="1:6" ht="42.75">
      <c r="A83" s="33" t="s">
        <v>289</v>
      </c>
      <c r="B83" s="33"/>
      <c r="C83" s="33"/>
      <c r="D83" s="51" t="s">
        <v>287</v>
      </c>
      <c r="E83" s="45" t="s">
        <v>110</v>
      </c>
      <c r="F83" s="44" t="s">
        <v>276</v>
      </c>
    </row>
    <row r="84" spans="1:6" ht="42.75">
      <c r="A84" s="33" t="s">
        <v>290</v>
      </c>
      <c r="B84" s="33"/>
      <c r="C84" s="33"/>
      <c r="D84" s="51" t="s">
        <v>89</v>
      </c>
      <c r="E84" s="45" t="s">
        <v>110</v>
      </c>
      <c r="F84" s="44" t="s">
        <v>276</v>
      </c>
    </row>
    <row r="85" spans="1:6" ht="42.75">
      <c r="A85" s="33" t="s">
        <v>76</v>
      </c>
      <c r="B85" s="33"/>
      <c r="C85" s="33"/>
      <c r="D85" s="51" t="s">
        <v>71</v>
      </c>
      <c r="E85" s="45" t="s">
        <v>110</v>
      </c>
      <c r="F85" s="44" t="s">
        <v>276</v>
      </c>
    </row>
    <row r="86" spans="1:6">
      <c r="A86" s="33"/>
      <c r="B86" s="33"/>
      <c r="C86" s="33"/>
      <c r="D86" s="33"/>
      <c r="E86" s="33"/>
      <c r="F86" s="33"/>
    </row>
    <row r="87" spans="1:6" ht="15">
      <c r="A87" s="701" t="s">
        <v>81</v>
      </c>
      <c r="B87" s="702"/>
      <c r="C87" s="702"/>
      <c r="D87" s="702"/>
      <c r="E87" s="702"/>
      <c r="F87" s="703"/>
    </row>
    <row r="88" spans="1:6" ht="15">
      <c r="A88" s="2" t="s">
        <v>80</v>
      </c>
      <c r="B88" s="699" t="s">
        <v>82</v>
      </c>
      <c r="C88" s="699"/>
      <c r="D88" s="697" t="s">
        <v>186</v>
      </c>
      <c r="E88" s="697"/>
      <c r="F88" s="44"/>
    </row>
    <row r="89" spans="1:6">
      <c r="A89" s="706" t="s">
        <v>83</v>
      </c>
      <c r="B89" s="698" t="s">
        <v>84</v>
      </c>
      <c r="C89" s="698"/>
      <c r="D89" s="52">
        <v>0.05</v>
      </c>
      <c r="E89" s="45" t="s">
        <v>110</v>
      </c>
      <c r="F89" s="47" t="s">
        <v>63</v>
      </c>
    </row>
    <row r="90" spans="1:6">
      <c r="A90" s="706"/>
      <c r="B90" s="698" t="s">
        <v>85</v>
      </c>
      <c r="C90" s="698"/>
      <c r="D90" s="52">
        <v>0.2</v>
      </c>
      <c r="E90" s="45" t="s">
        <v>110</v>
      </c>
      <c r="F90" s="47"/>
    </row>
    <row r="91" spans="1:6">
      <c r="A91" s="706"/>
      <c r="B91" s="698" t="s">
        <v>86</v>
      </c>
      <c r="C91" s="698"/>
      <c r="D91" s="52">
        <v>0.35</v>
      </c>
      <c r="E91" s="45" t="s">
        <v>110</v>
      </c>
      <c r="F91" s="47"/>
    </row>
    <row r="92" spans="1:6">
      <c r="A92" s="706" t="s">
        <v>87</v>
      </c>
      <c r="B92" s="698" t="s">
        <v>84</v>
      </c>
      <c r="C92" s="698"/>
      <c r="D92" s="52">
        <v>0.15</v>
      </c>
      <c r="E92" s="45" t="s">
        <v>110</v>
      </c>
      <c r="F92" s="47" t="s">
        <v>63</v>
      </c>
    </row>
    <row r="93" spans="1:6">
      <c r="A93" s="706"/>
      <c r="B93" s="698" t="s">
        <v>85</v>
      </c>
      <c r="C93" s="698"/>
      <c r="D93" s="52">
        <v>0.25</v>
      </c>
      <c r="E93" s="45" t="s">
        <v>110</v>
      </c>
      <c r="F93" s="47"/>
    </row>
    <row r="94" spans="1:6">
      <c r="A94" s="706"/>
      <c r="B94" s="698" t="s">
        <v>86</v>
      </c>
      <c r="C94" s="698"/>
      <c r="D94" s="52">
        <v>0.4</v>
      </c>
      <c r="E94" s="45" t="s">
        <v>110</v>
      </c>
      <c r="F94" s="47"/>
    </row>
    <row r="95" spans="1:6">
      <c r="A95" s="706" t="s">
        <v>88</v>
      </c>
      <c r="B95" s="698" t="s">
        <v>84</v>
      </c>
      <c r="C95" s="698"/>
      <c r="D95" s="52">
        <v>0.1</v>
      </c>
      <c r="E95" s="45" t="s">
        <v>110</v>
      </c>
      <c r="F95" s="47" t="s">
        <v>63</v>
      </c>
    </row>
    <row r="96" spans="1:6">
      <c r="A96" s="706"/>
      <c r="B96" s="698" t="s">
        <v>85</v>
      </c>
      <c r="C96" s="698"/>
      <c r="D96" s="52">
        <v>0.2</v>
      </c>
      <c r="E96" s="45" t="s">
        <v>110</v>
      </c>
      <c r="F96" s="47"/>
    </row>
    <row r="97" spans="1:207">
      <c r="A97" s="706"/>
      <c r="B97" s="698" t="s">
        <v>86</v>
      </c>
      <c r="C97" s="698"/>
      <c r="D97" s="52">
        <v>0.4</v>
      </c>
      <c r="E97" s="45" t="s">
        <v>110</v>
      </c>
      <c r="F97" s="47"/>
    </row>
    <row r="98" spans="1:207">
      <c r="A98" s="33"/>
      <c r="B98" s="33"/>
      <c r="C98" s="33"/>
      <c r="D98" s="51"/>
      <c r="E98" s="33"/>
      <c r="F98" s="4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</row>
    <row r="99" spans="1:207" s="54" customFormat="1" ht="15">
      <c r="A99" s="39" t="s">
        <v>109</v>
      </c>
      <c r="B99" s="39"/>
      <c r="C99" s="39"/>
      <c r="D99" s="39"/>
      <c r="E99" s="39"/>
      <c r="F99" s="39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</row>
    <row r="100" spans="1:207" s="54" customFormat="1">
      <c r="A100" s="55"/>
      <c r="B100" s="55"/>
      <c r="C100" s="55"/>
      <c r="D100" s="56"/>
      <c r="E100" s="55"/>
      <c r="F100" s="57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</row>
    <row r="101" spans="1:207" s="54" customFormat="1">
      <c r="A101" s="55"/>
      <c r="B101" s="55"/>
      <c r="C101" s="55"/>
      <c r="D101" s="56"/>
      <c r="E101" s="55"/>
      <c r="F101" s="57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</row>
    <row r="102" spans="1:207" s="54" customFormat="1">
      <c r="A102" s="55"/>
      <c r="B102" s="55"/>
      <c r="C102" s="55"/>
      <c r="D102" s="56"/>
      <c r="E102" s="55"/>
      <c r="F102" s="57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</row>
    <row r="103" spans="1:207" s="54" customFormat="1">
      <c r="A103" s="55"/>
      <c r="B103" s="55"/>
      <c r="C103" s="55"/>
      <c r="D103" s="56"/>
      <c r="E103" s="55"/>
      <c r="F103" s="57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</row>
    <row r="104" spans="1:207" s="54" customFormat="1">
      <c r="A104" s="55"/>
      <c r="B104" s="55"/>
      <c r="C104" s="55"/>
      <c r="D104" s="56"/>
      <c r="E104" s="55"/>
      <c r="F104" s="57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</row>
    <row r="105" spans="1:207" s="54" customFormat="1">
      <c r="A105" s="55"/>
      <c r="B105" s="55"/>
      <c r="C105" s="55"/>
      <c r="D105" s="56"/>
      <c r="E105" s="55"/>
      <c r="F105" s="57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</row>
    <row r="106" spans="1:207" s="54" customFormat="1">
      <c r="A106" s="55"/>
      <c r="B106" s="55"/>
      <c r="C106" s="55"/>
      <c r="D106" s="56"/>
      <c r="E106" s="55"/>
      <c r="F106" s="57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</row>
    <row r="107" spans="1:207" s="54" customFormat="1" ht="15">
      <c r="A107" s="39" t="s">
        <v>111</v>
      </c>
      <c r="B107" s="39"/>
      <c r="C107" s="39"/>
      <c r="D107" s="39"/>
      <c r="E107" s="39"/>
      <c r="F107" s="39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</row>
    <row r="108" spans="1:207" s="54" customFormat="1" ht="28.5">
      <c r="A108" s="55" t="s">
        <v>188</v>
      </c>
      <c r="B108" s="55"/>
      <c r="C108" s="55"/>
      <c r="D108" s="56">
        <v>49.4</v>
      </c>
      <c r="E108" s="55" t="s">
        <v>110</v>
      </c>
      <c r="F108" s="57" t="s">
        <v>187</v>
      </c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</row>
    <row r="109" spans="1:207" s="54" customFormat="1" ht="28.5">
      <c r="A109" s="55" t="s">
        <v>189</v>
      </c>
      <c r="B109" s="55"/>
      <c r="C109" s="55"/>
      <c r="D109" s="56">
        <v>41.6</v>
      </c>
      <c r="E109" s="55" t="s">
        <v>110</v>
      </c>
      <c r="F109" s="57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</row>
    <row r="110" spans="1:207" s="54" customFormat="1" ht="28.5">
      <c r="A110" s="55" t="s">
        <v>190</v>
      </c>
      <c r="B110" s="55"/>
      <c r="C110" s="55"/>
      <c r="D110" s="56">
        <v>33.799999999999997</v>
      </c>
      <c r="E110" s="55" t="s">
        <v>110</v>
      </c>
      <c r="F110" s="57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</row>
    <row r="111" spans="1:207" s="54" customFormat="1" ht="28.5">
      <c r="A111" s="55" t="s">
        <v>191</v>
      </c>
      <c r="B111" s="55"/>
      <c r="C111" s="55"/>
      <c r="D111" s="56">
        <v>63.75</v>
      </c>
      <c r="E111" s="55" t="s">
        <v>110</v>
      </c>
      <c r="F111" s="57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</row>
    <row r="112" spans="1:207" s="54" customFormat="1" ht="28.5">
      <c r="A112" s="55" t="s">
        <v>192</v>
      </c>
      <c r="B112" s="55"/>
      <c r="C112" s="55"/>
      <c r="D112" s="56">
        <v>56.25</v>
      </c>
      <c r="E112" s="55" t="s">
        <v>110</v>
      </c>
      <c r="F112" s="57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</row>
    <row r="113" spans="1:207" s="54" customFormat="1" ht="28.5">
      <c r="A113" s="55" t="s">
        <v>193</v>
      </c>
      <c r="B113" s="55"/>
      <c r="C113" s="55"/>
      <c r="D113" s="56">
        <v>45</v>
      </c>
      <c r="E113" s="55" t="s">
        <v>110</v>
      </c>
      <c r="F113" s="57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</row>
    <row r="114" spans="1:207" s="54" customFormat="1" ht="28.5">
      <c r="A114" s="55" t="s">
        <v>194</v>
      </c>
      <c r="B114" s="55"/>
      <c r="C114" s="55"/>
      <c r="D114" s="56">
        <v>117</v>
      </c>
      <c r="E114" s="55" t="s">
        <v>110</v>
      </c>
      <c r="F114" s="57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</row>
    <row r="115" spans="1:207" s="54" customFormat="1" ht="28.5">
      <c r="A115" s="55" t="s">
        <v>195</v>
      </c>
      <c r="B115" s="55"/>
      <c r="C115" s="55"/>
      <c r="D115" s="56">
        <v>104</v>
      </c>
      <c r="E115" s="55" t="s">
        <v>110</v>
      </c>
      <c r="F115" s="57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</row>
    <row r="116" spans="1:207" s="54" customFormat="1" ht="28.5">
      <c r="A116" s="55" t="s">
        <v>196</v>
      </c>
      <c r="B116" s="55"/>
      <c r="C116" s="55"/>
      <c r="D116" s="56">
        <v>78</v>
      </c>
      <c r="E116" s="55" t="s">
        <v>110</v>
      </c>
      <c r="F116" s="57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</row>
    <row r="117" spans="1:207" s="58" customFormat="1" ht="15">
      <c r="A117" s="39" t="s">
        <v>112</v>
      </c>
      <c r="B117" s="39"/>
      <c r="C117" s="39"/>
      <c r="D117" s="39"/>
      <c r="E117" s="39"/>
      <c r="F117" s="39"/>
    </row>
    <row r="118" spans="1:207" ht="15">
      <c r="A118" s="39" t="s">
        <v>117</v>
      </c>
      <c r="B118" s="39"/>
      <c r="C118" s="39"/>
      <c r="D118" s="39"/>
      <c r="E118" s="39"/>
      <c r="F118" s="39"/>
    </row>
    <row r="119" spans="1:207" ht="28.5">
      <c r="A119" s="33" t="s">
        <v>197</v>
      </c>
      <c r="B119" s="33"/>
      <c r="C119" s="33"/>
      <c r="D119" s="49">
        <v>1.1000000000000001</v>
      </c>
      <c r="E119" s="33" t="s">
        <v>205</v>
      </c>
      <c r="F119" s="47" t="s">
        <v>63</v>
      </c>
    </row>
    <row r="120" spans="1:207">
      <c r="A120" s="33" t="s">
        <v>198</v>
      </c>
      <c r="B120" s="33"/>
      <c r="C120" s="33"/>
      <c r="D120" s="49">
        <v>20</v>
      </c>
      <c r="E120" s="33" t="s">
        <v>110</v>
      </c>
      <c r="F120" s="704" t="s">
        <v>102</v>
      </c>
    </row>
    <row r="121" spans="1:207">
      <c r="A121" s="33" t="s">
        <v>199</v>
      </c>
      <c r="B121" s="33"/>
      <c r="C121" s="33"/>
      <c r="D121" s="49">
        <v>20</v>
      </c>
      <c r="E121" s="33" t="s">
        <v>110</v>
      </c>
      <c r="F121" s="705"/>
    </row>
    <row r="122" spans="1:207">
      <c r="A122" s="33" t="s">
        <v>200</v>
      </c>
      <c r="B122" s="33"/>
      <c r="C122" s="33"/>
      <c r="D122" s="59">
        <v>3.25</v>
      </c>
      <c r="E122" s="33" t="s">
        <v>110</v>
      </c>
      <c r="F122" s="47" t="s">
        <v>63</v>
      </c>
    </row>
    <row r="123" spans="1:207">
      <c r="A123" s="33" t="s">
        <v>201</v>
      </c>
      <c r="B123" s="33"/>
      <c r="C123" s="33"/>
      <c r="D123" s="59">
        <v>0.28000000000000003</v>
      </c>
      <c r="E123" s="33" t="s">
        <v>110</v>
      </c>
      <c r="F123" s="47"/>
    </row>
    <row r="124" spans="1:207" ht="15">
      <c r="A124" s="39" t="s">
        <v>116</v>
      </c>
      <c r="B124" s="39"/>
      <c r="C124" s="39"/>
      <c r="D124" s="39"/>
      <c r="E124" s="39"/>
      <c r="F124" s="39"/>
    </row>
    <row r="125" spans="1:207" ht="28.5">
      <c r="A125" s="33" t="s">
        <v>202</v>
      </c>
      <c r="B125" s="33"/>
      <c r="C125" s="33"/>
      <c r="D125" s="49">
        <v>5.5</v>
      </c>
      <c r="E125" s="33" t="s">
        <v>110</v>
      </c>
      <c r="F125" s="44" t="s">
        <v>133</v>
      </c>
    </row>
    <row r="126" spans="1:207">
      <c r="A126" s="33" t="s">
        <v>167</v>
      </c>
      <c r="B126" s="33"/>
      <c r="C126" s="33"/>
      <c r="D126" s="49">
        <v>3.03</v>
      </c>
      <c r="E126" s="33" t="s">
        <v>110</v>
      </c>
      <c r="F126" s="47" t="s">
        <v>63</v>
      </c>
    </row>
    <row r="127" spans="1:207" ht="15">
      <c r="A127" s="39" t="s">
        <v>203</v>
      </c>
      <c r="B127" s="39"/>
      <c r="C127" s="39"/>
      <c r="D127" s="39"/>
      <c r="E127" s="39"/>
      <c r="F127" s="39"/>
    </row>
    <row r="128" spans="1:207" ht="28.5">
      <c r="A128" s="33" t="s">
        <v>204</v>
      </c>
      <c r="B128" s="33"/>
      <c r="C128" s="33"/>
      <c r="D128" s="49">
        <v>0.22</v>
      </c>
      <c r="E128" s="33" t="s">
        <v>205</v>
      </c>
      <c r="F128" s="44" t="s">
        <v>133</v>
      </c>
    </row>
    <row r="129" spans="1:6" ht="28.5">
      <c r="A129" s="33" t="s">
        <v>206</v>
      </c>
      <c r="B129" s="33"/>
      <c r="C129" s="33"/>
      <c r="D129" s="49">
        <v>2.2000000000000002</v>
      </c>
      <c r="E129" s="33" t="s">
        <v>207</v>
      </c>
      <c r="F129" s="47" t="s">
        <v>63</v>
      </c>
    </row>
    <row r="130" spans="1:6" ht="15">
      <c r="A130" s="39" t="s">
        <v>208</v>
      </c>
      <c r="B130" s="39"/>
      <c r="C130" s="39"/>
      <c r="D130" s="39"/>
      <c r="E130" s="39"/>
      <c r="F130" s="39"/>
    </row>
    <row r="131" spans="1:6" ht="28.5">
      <c r="A131" s="33" t="s">
        <v>91</v>
      </c>
      <c r="B131" s="33"/>
      <c r="C131" s="33"/>
      <c r="D131" s="49">
        <v>0.44</v>
      </c>
      <c r="E131" s="33" t="s">
        <v>205</v>
      </c>
      <c r="F131" s="44" t="s">
        <v>133</v>
      </c>
    </row>
    <row r="132" spans="1:6">
      <c r="A132" s="33" t="s">
        <v>209</v>
      </c>
      <c r="B132" s="33"/>
      <c r="C132" s="33"/>
      <c r="D132" s="49">
        <v>6.6</v>
      </c>
      <c r="E132" s="33" t="s">
        <v>207</v>
      </c>
      <c r="F132" s="47" t="s">
        <v>63</v>
      </c>
    </row>
    <row r="133" spans="1:6">
      <c r="A133" s="33" t="s">
        <v>199</v>
      </c>
      <c r="B133" s="33"/>
      <c r="C133" s="33"/>
      <c r="D133" s="49">
        <v>8.36</v>
      </c>
      <c r="E133" s="33" t="s">
        <v>207</v>
      </c>
      <c r="F133" s="44"/>
    </row>
    <row r="134" spans="1:6">
      <c r="A134" s="33" t="s">
        <v>200</v>
      </c>
      <c r="B134" s="33"/>
      <c r="C134" s="33"/>
      <c r="D134" s="49">
        <v>1.1000000000000001</v>
      </c>
      <c r="E134" s="33" t="s">
        <v>207</v>
      </c>
      <c r="F134" s="44"/>
    </row>
    <row r="135" spans="1:6">
      <c r="A135" s="33"/>
      <c r="B135" s="33"/>
      <c r="C135" s="33"/>
      <c r="D135" s="49"/>
      <c r="E135" s="33"/>
      <c r="F135" s="44"/>
    </row>
    <row r="136" spans="1:6" ht="15">
      <c r="A136" s="39" t="s">
        <v>130</v>
      </c>
      <c r="B136" s="39"/>
      <c r="C136" s="39"/>
      <c r="D136" s="39"/>
      <c r="E136" s="39"/>
      <c r="F136" s="39"/>
    </row>
    <row r="137" spans="1:6" ht="28.5">
      <c r="A137" s="33" t="s">
        <v>204</v>
      </c>
      <c r="B137" s="33"/>
      <c r="C137" s="33"/>
      <c r="D137" s="49">
        <v>0.33</v>
      </c>
      <c r="E137" s="33" t="s">
        <v>205</v>
      </c>
      <c r="F137" s="44" t="s">
        <v>133</v>
      </c>
    </row>
    <row r="138" spans="1:6">
      <c r="A138" s="33" t="s">
        <v>286</v>
      </c>
      <c r="B138" s="33"/>
      <c r="C138" s="33"/>
      <c r="D138" s="49">
        <v>4.95</v>
      </c>
      <c r="E138" s="33" t="s">
        <v>207</v>
      </c>
      <c r="F138" s="47" t="s">
        <v>63</v>
      </c>
    </row>
    <row r="139" spans="1:6">
      <c r="A139" s="33" t="s">
        <v>200</v>
      </c>
      <c r="B139" s="33"/>
      <c r="C139" s="33"/>
      <c r="D139" s="49">
        <v>0.83</v>
      </c>
      <c r="E139" s="33" t="s">
        <v>207</v>
      </c>
      <c r="F139" s="44"/>
    </row>
    <row r="140" spans="1:6">
      <c r="A140" s="33" t="s">
        <v>210</v>
      </c>
      <c r="B140" s="33"/>
      <c r="C140" s="33"/>
      <c r="D140" s="49">
        <v>11</v>
      </c>
      <c r="E140" s="33" t="s">
        <v>211</v>
      </c>
      <c r="F140" s="44"/>
    </row>
    <row r="141" spans="1:6">
      <c r="A141" s="33" t="s">
        <v>212</v>
      </c>
      <c r="B141" s="33"/>
      <c r="C141" s="33"/>
      <c r="D141" s="49">
        <v>33</v>
      </c>
      <c r="E141" s="33" t="s">
        <v>211</v>
      </c>
      <c r="F141" s="44"/>
    </row>
    <row r="142" spans="1:6" ht="15">
      <c r="A142" s="701" t="s">
        <v>216</v>
      </c>
      <c r="B142" s="702"/>
      <c r="C142" s="702"/>
      <c r="D142" s="702"/>
      <c r="E142" s="702"/>
      <c r="F142" s="703"/>
    </row>
    <row r="143" spans="1:6" ht="42.75">
      <c r="A143" s="33" t="s">
        <v>269</v>
      </c>
      <c r="B143" s="33"/>
      <c r="C143" s="33"/>
      <c r="D143" s="49">
        <v>80</v>
      </c>
      <c r="E143" s="33"/>
      <c r="F143" s="44" t="s">
        <v>276</v>
      </c>
    </row>
    <row r="144" spans="1:6" ht="42.75">
      <c r="A144" s="33" t="s">
        <v>270</v>
      </c>
      <c r="B144" s="33"/>
      <c r="C144" s="33"/>
      <c r="D144" s="49">
        <v>110</v>
      </c>
      <c r="E144" s="33"/>
      <c r="F144" s="44" t="s">
        <v>276</v>
      </c>
    </row>
    <row r="145" spans="1:6" ht="42.75">
      <c r="A145" s="33" t="s">
        <v>271</v>
      </c>
      <c r="B145" s="33"/>
      <c r="C145" s="33"/>
      <c r="D145" s="49">
        <v>220</v>
      </c>
      <c r="E145" s="33"/>
      <c r="F145" s="44" t="s">
        <v>276</v>
      </c>
    </row>
    <row r="146" spans="1:6" ht="42.75">
      <c r="A146" s="33" t="s">
        <v>272</v>
      </c>
      <c r="B146" s="33"/>
      <c r="C146" s="33"/>
      <c r="D146" s="49">
        <v>1.25</v>
      </c>
      <c r="E146" s="33"/>
      <c r="F146" s="44" t="s">
        <v>276</v>
      </c>
    </row>
    <row r="147" spans="1:6">
      <c r="A147" s="33"/>
      <c r="B147" s="33"/>
      <c r="C147" s="33"/>
      <c r="D147" s="49"/>
      <c r="E147" s="33"/>
      <c r="F147" s="44"/>
    </row>
    <row r="148" spans="1:6" ht="15">
      <c r="A148" s="39" t="s">
        <v>118</v>
      </c>
      <c r="B148" s="39"/>
      <c r="C148" s="39"/>
      <c r="D148" s="39"/>
      <c r="E148" s="39"/>
      <c r="F148" s="39"/>
    </row>
    <row r="149" spans="1:6" ht="15">
      <c r="A149" s="39" t="s">
        <v>0</v>
      </c>
      <c r="B149" s="39"/>
      <c r="C149" s="39"/>
      <c r="D149" s="39"/>
      <c r="E149" s="39"/>
      <c r="F149" s="39"/>
    </row>
    <row r="150" spans="1:6" ht="28.5">
      <c r="A150" s="33" t="s">
        <v>1</v>
      </c>
      <c r="B150" s="33"/>
      <c r="C150" s="33"/>
      <c r="D150" s="34">
        <v>0.8</v>
      </c>
      <c r="E150" s="33" t="s">
        <v>2</v>
      </c>
      <c r="F150" s="44" t="s">
        <v>127</v>
      </c>
    </row>
    <row r="151" spans="1:6" ht="28.5">
      <c r="A151" s="33" t="s">
        <v>3</v>
      </c>
      <c r="B151" s="33"/>
      <c r="C151" s="33"/>
      <c r="D151" s="34">
        <v>1</v>
      </c>
      <c r="E151" s="33" t="s">
        <v>4</v>
      </c>
      <c r="F151" s="44"/>
    </row>
    <row r="152" spans="1:6" ht="28.5">
      <c r="A152" s="33" t="s">
        <v>5</v>
      </c>
      <c r="B152" s="33"/>
      <c r="C152" s="33"/>
      <c r="D152" s="34">
        <v>0.6</v>
      </c>
      <c r="E152" s="33" t="s">
        <v>2</v>
      </c>
      <c r="F152" s="44"/>
    </row>
    <row r="153" spans="1:6" ht="28.5">
      <c r="A153" s="33" t="s">
        <v>6</v>
      </c>
      <c r="B153" s="33"/>
      <c r="C153" s="33"/>
      <c r="D153" s="34">
        <v>0.75</v>
      </c>
      <c r="E153" s="33" t="s">
        <v>4</v>
      </c>
      <c r="F153" s="44"/>
    </row>
    <row r="154" spans="1:6" ht="15">
      <c r="A154" s="60" t="s">
        <v>7</v>
      </c>
      <c r="B154" s="60"/>
      <c r="C154" s="60"/>
      <c r="D154" s="60"/>
      <c r="E154" s="60"/>
      <c r="F154" s="60"/>
    </row>
    <row r="155" spans="1:6" ht="28.5">
      <c r="A155" s="33" t="s">
        <v>1</v>
      </c>
      <c r="B155" s="33"/>
      <c r="C155" s="33"/>
      <c r="D155" s="34">
        <v>0.12</v>
      </c>
      <c r="E155" s="33" t="s">
        <v>8</v>
      </c>
      <c r="F155" s="44" t="s">
        <v>133</v>
      </c>
    </row>
    <row r="156" spans="1:6" ht="28.5">
      <c r="A156" s="33" t="s">
        <v>3</v>
      </c>
      <c r="B156" s="33"/>
      <c r="C156" s="33"/>
      <c r="D156" s="34">
        <v>0.18</v>
      </c>
      <c r="E156" s="33" t="s">
        <v>119</v>
      </c>
      <c r="F156" s="44"/>
    </row>
    <row r="157" spans="1:6" ht="28.5">
      <c r="A157" s="33" t="s">
        <v>5</v>
      </c>
      <c r="B157" s="33"/>
      <c r="C157" s="33"/>
      <c r="D157" s="34">
        <v>0.15</v>
      </c>
      <c r="E157" s="33" t="s">
        <v>8</v>
      </c>
      <c r="F157" s="44"/>
    </row>
    <row r="158" spans="1:6" ht="28.5">
      <c r="A158" s="33" t="s">
        <v>6</v>
      </c>
      <c r="B158" s="33"/>
      <c r="C158" s="33"/>
      <c r="D158" s="34">
        <v>0.23</v>
      </c>
      <c r="E158" s="33" t="s">
        <v>119</v>
      </c>
      <c r="F158" s="44"/>
    </row>
    <row r="159" spans="1:6" ht="15">
      <c r="A159" s="39" t="s">
        <v>9</v>
      </c>
      <c r="B159" s="39"/>
      <c r="C159" s="39"/>
      <c r="D159" s="39"/>
      <c r="E159" s="39"/>
      <c r="F159" s="39"/>
    </row>
    <row r="160" spans="1:6">
      <c r="A160" s="33" t="s">
        <v>10</v>
      </c>
      <c r="B160" s="33"/>
      <c r="C160" s="33"/>
      <c r="D160" s="34">
        <v>2.75</v>
      </c>
      <c r="E160" s="33" t="s">
        <v>11</v>
      </c>
      <c r="F160" s="33"/>
    </row>
    <row r="161" spans="1:6">
      <c r="A161" s="33" t="s">
        <v>12</v>
      </c>
      <c r="B161" s="33"/>
      <c r="C161" s="33"/>
      <c r="D161" s="34">
        <v>4.5</v>
      </c>
      <c r="E161" s="33" t="s">
        <v>11</v>
      </c>
      <c r="F161" s="33"/>
    </row>
    <row r="162" spans="1:6" ht="15">
      <c r="A162" s="39" t="s">
        <v>13</v>
      </c>
      <c r="B162" s="39"/>
      <c r="C162" s="39"/>
      <c r="D162" s="39"/>
      <c r="E162" s="39"/>
      <c r="F162" s="39"/>
    </row>
    <row r="163" spans="1:6">
      <c r="A163" s="33"/>
      <c r="B163" s="33"/>
      <c r="C163" s="33"/>
      <c r="D163" s="34" t="s">
        <v>14</v>
      </c>
      <c r="E163" s="33" t="s">
        <v>15</v>
      </c>
      <c r="F163" s="33" t="s">
        <v>123</v>
      </c>
    </row>
    <row r="164" spans="1:6">
      <c r="A164" s="33"/>
      <c r="B164" s="33"/>
      <c r="C164" s="33"/>
      <c r="D164" s="34" t="s">
        <v>16</v>
      </c>
      <c r="E164" s="33" t="s">
        <v>17</v>
      </c>
      <c r="F164" s="33"/>
    </row>
    <row r="165" spans="1:6">
      <c r="A165" s="33"/>
      <c r="B165" s="33"/>
      <c r="C165" s="33"/>
      <c r="D165" s="34" t="s">
        <v>18</v>
      </c>
      <c r="E165" s="33" t="s">
        <v>19</v>
      </c>
      <c r="F165" s="33"/>
    </row>
    <row r="166" spans="1:6">
      <c r="A166" s="33"/>
      <c r="B166" s="33"/>
      <c r="C166" s="33"/>
      <c r="D166" s="34" t="s">
        <v>20</v>
      </c>
      <c r="E166" s="33" t="s">
        <v>21</v>
      </c>
      <c r="F166" s="33"/>
    </row>
    <row r="167" spans="1:6">
      <c r="A167" s="33"/>
      <c r="B167" s="33"/>
      <c r="C167" s="33"/>
      <c r="D167" s="34"/>
      <c r="E167" s="33"/>
      <c r="F167" s="33"/>
    </row>
    <row r="168" spans="1:6" ht="15">
      <c r="A168" s="39" t="s">
        <v>109</v>
      </c>
      <c r="B168" s="39"/>
      <c r="C168" s="39"/>
      <c r="D168" s="39"/>
      <c r="E168" s="39"/>
      <c r="F168" s="39"/>
    </row>
    <row r="169" spans="1:6" ht="15">
      <c r="A169" s="61"/>
      <c r="B169" s="62" t="s">
        <v>283</v>
      </c>
      <c r="C169" s="62" t="s">
        <v>284</v>
      </c>
      <c r="D169" s="62" t="s">
        <v>246</v>
      </c>
      <c r="E169" s="62" t="s">
        <v>164</v>
      </c>
      <c r="F169" s="63"/>
    </row>
    <row r="170" spans="1:6" ht="42.75">
      <c r="A170" s="33" t="s">
        <v>115</v>
      </c>
      <c r="B170" s="35" t="s">
        <v>161</v>
      </c>
      <c r="C170" s="34">
        <v>15</v>
      </c>
      <c r="D170" s="34">
        <v>20</v>
      </c>
      <c r="E170" s="34">
        <v>25</v>
      </c>
      <c r="F170" s="44" t="s">
        <v>276</v>
      </c>
    </row>
    <row r="171" spans="1:6" ht="42.75">
      <c r="A171" s="33" t="s">
        <v>151</v>
      </c>
      <c r="B171" s="35" t="s">
        <v>161</v>
      </c>
      <c r="C171" s="34">
        <v>25</v>
      </c>
      <c r="D171" s="34">
        <v>30</v>
      </c>
      <c r="E171" s="34">
        <v>40</v>
      </c>
      <c r="F171" s="44" t="s">
        <v>276</v>
      </c>
    </row>
    <row r="172" spans="1:6" ht="42.75">
      <c r="A172" s="33" t="s">
        <v>277</v>
      </c>
      <c r="B172" s="35" t="s">
        <v>161</v>
      </c>
      <c r="C172" s="34">
        <v>30</v>
      </c>
      <c r="D172" s="34">
        <v>40</v>
      </c>
      <c r="E172" s="34">
        <v>50</v>
      </c>
      <c r="F172" s="44" t="s">
        <v>276</v>
      </c>
    </row>
    <row r="173" spans="1:6" ht="42.75">
      <c r="A173" s="33" t="s">
        <v>279</v>
      </c>
      <c r="B173" s="35" t="s">
        <v>161</v>
      </c>
      <c r="C173" s="34">
        <v>30</v>
      </c>
      <c r="D173" s="34">
        <v>40</v>
      </c>
      <c r="E173" s="34">
        <v>50</v>
      </c>
      <c r="F173" s="44" t="s">
        <v>276</v>
      </c>
    </row>
    <row r="174" spans="1:6" ht="42.75">
      <c r="A174" s="33" t="s">
        <v>280</v>
      </c>
      <c r="B174" s="35" t="s">
        <v>161</v>
      </c>
      <c r="C174" s="34">
        <v>45</v>
      </c>
      <c r="D174" s="34">
        <v>55</v>
      </c>
      <c r="E174" s="34">
        <v>65</v>
      </c>
      <c r="F174" s="44" t="s">
        <v>276</v>
      </c>
    </row>
    <row r="175" spans="1:6" ht="42.75">
      <c r="A175" s="33" t="s">
        <v>26</v>
      </c>
      <c r="B175" s="35" t="s">
        <v>161</v>
      </c>
      <c r="C175" s="34">
        <v>2</v>
      </c>
      <c r="D175" s="34">
        <v>2</v>
      </c>
      <c r="E175" s="34">
        <v>2</v>
      </c>
      <c r="F175" s="44" t="s">
        <v>276</v>
      </c>
    </row>
    <row r="176" spans="1:6" ht="42.75">
      <c r="A176" s="33" t="s">
        <v>27</v>
      </c>
      <c r="B176" s="35" t="s">
        <v>161</v>
      </c>
      <c r="C176" s="34">
        <v>3</v>
      </c>
      <c r="D176" s="34">
        <v>3</v>
      </c>
      <c r="E176" s="34">
        <v>3</v>
      </c>
      <c r="F176" s="44" t="s">
        <v>276</v>
      </c>
    </row>
    <row r="177" spans="1:6" ht="15">
      <c r="A177" s="701" t="s">
        <v>111</v>
      </c>
      <c r="B177" s="702"/>
      <c r="C177" s="702"/>
      <c r="D177" s="702"/>
      <c r="E177" s="702"/>
      <c r="F177" s="703"/>
    </row>
    <row r="178" spans="1:6" ht="28.5">
      <c r="A178" s="33" t="s">
        <v>28</v>
      </c>
      <c r="B178" s="33"/>
      <c r="C178" s="33"/>
      <c r="D178" s="34">
        <v>1.85</v>
      </c>
      <c r="E178" s="33" t="s">
        <v>22</v>
      </c>
      <c r="F178" s="44"/>
    </row>
    <row r="179" spans="1:6" ht="28.5">
      <c r="A179" s="33" t="s">
        <v>29</v>
      </c>
      <c r="B179" s="33"/>
      <c r="C179" s="33"/>
      <c r="D179" s="34">
        <v>3.1</v>
      </c>
      <c r="E179" s="33" t="s">
        <v>22</v>
      </c>
      <c r="F179" s="44"/>
    </row>
    <row r="180" spans="1:6" ht="28.5">
      <c r="A180" s="33" t="s">
        <v>30</v>
      </c>
      <c r="B180" s="33"/>
      <c r="C180" s="33"/>
      <c r="D180" s="34">
        <v>6.5</v>
      </c>
      <c r="E180" s="33" t="s">
        <v>22</v>
      </c>
      <c r="F180" s="44"/>
    </row>
    <row r="181" spans="1:6" ht="15">
      <c r="A181" s="701" t="s">
        <v>285</v>
      </c>
      <c r="B181" s="702"/>
      <c r="C181" s="702"/>
      <c r="D181" s="702"/>
      <c r="E181" s="702"/>
      <c r="F181" s="703"/>
    </row>
    <row r="182" spans="1:6" ht="28.5">
      <c r="A182" s="33" t="s">
        <v>209</v>
      </c>
      <c r="B182" s="33"/>
      <c r="C182" s="33"/>
      <c r="D182" s="34">
        <v>8</v>
      </c>
      <c r="E182" s="33" t="s">
        <v>31</v>
      </c>
      <c r="F182" s="44" t="s">
        <v>127</v>
      </c>
    </row>
    <row r="183" spans="1:6">
      <c r="A183" s="33" t="s">
        <v>199</v>
      </c>
      <c r="B183" s="33"/>
      <c r="C183" s="33"/>
      <c r="D183" s="34">
        <v>12</v>
      </c>
      <c r="E183" s="33" t="s">
        <v>207</v>
      </c>
      <c r="F183" s="44"/>
    </row>
    <row r="184" spans="1:6" ht="42.75">
      <c r="A184" s="33" t="s">
        <v>32</v>
      </c>
      <c r="B184" s="33"/>
      <c r="C184" s="33"/>
      <c r="D184" s="34">
        <v>2</v>
      </c>
      <c r="E184" s="33" t="s">
        <v>207</v>
      </c>
      <c r="F184" s="44" t="s">
        <v>276</v>
      </c>
    </row>
    <row r="185" spans="1:6" ht="42.75">
      <c r="A185" s="33" t="s">
        <v>27</v>
      </c>
      <c r="B185" s="33"/>
      <c r="C185" s="33"/>
      <c r="D185" s="34">
        <v>3</v>
      </c>
      <c r="E185" s="33" t="s">
        <v>207</v>
      </c>
      <c r="F185" s="44" t="s">
        <v>276</v>
      </c>
    </row>
    <row r="186" spans="1:6">
      <c r="A186" s="33"/>
      <c r="B186" s="33"/>
      <c r="C186" s="33"/>
      <c r="D186" s="35"/>
      <c r="E186" s="33"/>
      <c r="F186" s="44"/>
    </row>
    <row r="187" spans="1:6" ht="15">
      <c r="A187" s="39" t="s">
        <v>33</v>
      </c>
      <c r="B187" s="39"/>
      <c r="C187" s="39"/>
      <c r="D187" s="39"/>
      <c r="E187" s="39"/>
      <c r="F187" s="39"/>
    </row>
    <row r="188" spans="1:6" ht="42.75">
      <c r="A188" s="33" t="s">
        <v>209</v>
      </c>
      <c r="B188" s="33"/>
      <c r="C188" s="33"/>
      <c r="D188" s="34">
        <v>6.65</v>
      </c>
      <c r="E188" s="33" t="s">
        <v>22</v>
      </c>
      <c r="F188" s="44" t="s">
        <v>92</v>
      </c>
    </row>
    <row r="189" spans="1:6" ht="28.5">
      <c r="A189" s="33" t="s">
        <v>23</v>
      </c>
      <c r="B189" s="33"/>
      <c r="C189" s="33"/>
      <c r="D189" s="34">
        <v>8.31</v>
      </c>
      <c r="E189" s="33" t="s">
        <v>24</v>
      </c>
      <c r="F189" s="44"/>
    </row>
    <row r="190" spans="1:6" ht="28.5">
      <c r="A190" s="33" t="s">
        <v>199</v>
      </c>
      <c r="B190" s="33"/>
      <c r="C190" s="33"/>
      <c r="D190" s="34">
        <v>10.31</v>
      </c>
      <c r="E190" s="33" t="s">
        <v>22</v>
      </c>
      <c r="F190" s="33" t="s">
        <v>94</v>
      </c>
    </row>
    <row r="191" spans="1:6" ht="28.5">
      <c r="A191" s="33" t="s">
        <v>25</v>
      </c>
      <c r="B191" s="33"/>
      <c r="C191" s="33"/>
      <c r="D191" s="34">
        <f>10.31*25%+10.31</f>
        <v>12.887500000000001</v>
      </c>
      <c r="E191" s="33" t="s">
        <v>24</v>
      </c>
      <c r="F191" s="44"/>
    </row>
    <row r="192" spans="1:6" ht="28.5">
      <c r="A192" s="33" t="s">
        <v>34</v>
      </c>
      <c r="B192" s="33"/>
      <c r="C192" s="33"/>
      <c r="D192" s="34">
        <v>20</v>
      </c>
      <c r="E192" s="33" t="s">
        <v>35</v>
      </c>
      <c r="F192" s="33" t="s">
        <v>36</v>
      </c>
    </row>
    <row r="193" spans="1:6" ht="15">
      <c r="A193" s="39" t="s">
        <v>120</v>
      </c>
      <c r="B193" s="39"/>
      <c r="C193" s="39"/>
      <c r="D193" s="39"/>
      <c r="E193" s="39"/>
      <c r="F193" s="39"/>
    </row>
    <row r="194" spans="1:6" ht="28.5">
      <c r="A194" s="33" t="s">
        <v>37</v>
      </c>
      <c r="B194" s="33"/>
      <c r="C194" s="33"/>
      <c r="D194" s="33" t="s">
        <v>38</v>
      </c>
      <c r="E194" s="33" t="s">
        <v>121</v>
      </c>
      <c r="F194" s="44" t="s">
        <v>133</v>
      </c>
    </row>
    <row r="195" spans="1:6">
      <c r="A195" s="33" t="s">
        <v>39</v>
      </c>
      <c r="B195" s="33"/>
      <c r="C195" s="33"/>
      <c r="D195" s="33"/>
      <c r="E195" s="33" t="s">
        <v>122</v>
      </c>
      <c r="F195" s="44"/>
    </row>
    <row r="196" spans="1:6">
      <c r="A196" s="33" t="s">
        <v>40</v>
      </c>
      <c r="B196" s="33"/>
      <c r="C196" s="33"/>
      <c r="D196" s="33"/>
      <c r="E196" s="33" t="s">
        <v>41</v>
      </c>
      <c r="F196" s="44"/>
    </row>
    <row r="197" spans="1:6" ht="28.5">
      <c r="A197" s="33" t="s">
        <v>42</v>
      </c>
      <c r="B197" s="33"/>
      <c r="C197" s="33"/>
      <c r="D197" s="33"/>
      <c r="E197" s="33" t="s">
        <v>43</v>
      </c>
      <c r="F197" s="44"/>
    </row>
    <row r="198" spans="1:6" ht="15">
      <c r="A198" s="39" t="s">
        <v>44</v>
      </c>
      <c r="B198" s="39"/>
      <c r="C198" s="39"/>
      <c r="D198" s="39"/>
      <c r="E198" s="39"/>
      <c r="F198" s="39"/>
    </row>
    <row r="199" spans="1:6" ht="42.75">
      <c r="A199" s="33"/>
      <c r="B199" s="33"/>
      <c r="C199" s="33"/>
      <c r="D199" s="35">
        <v>480</v>
      </c>
      <c r="E199" s="33" t="s">
        <v>45</v>
      </c>
      <c r="F199" s="44" t="s">
        <v>93</v>
      </c>
    </row>
    <row r="200" spans="1:6" ht="28.5">
      <c r="A200" s="33" t="s">
        <v>46</v>
      </c>
      <c r="B200" s="33"/>
      <c r="C200" s="33"/>
      <c r="D200" s="35">
        <v>360</v>
      </c>
      <c r="E200" s="33" t="s">
        <v>47</v>
      </c>
      <c r="F200" s="44"/>
    </row>
    <row r="201" spans="1:6" ht="28.5">
      <c r="A201" s="33" t="s">
        <v>48</v>
      </c>
      <c r="B201" s="2"/>
      <c r="C201" s="2"/>
      <c r="D201" s="2"/>
      <c r="E201" s="2"/>
      <c r="F201" s="2"/>
    </row>
  </sheetData>
  <sheetProtection algorithmName="SHA-512" hashValue="l33KFSWn65DL9pki4iusoPUZ+m7XGRGQg3i7L2n0wmhBnUJJHT+LSRCuNKcn2LKgEEQF+7EvsoDAgCqTMh6YJA==" saltValue="ZJJXgV4TQLxDOrP/ni8u1Q==" spinCount="100000" sheet="1" objects="1" scenarios="1"/>
  <mergeCells count="31">
    <mergeCell ref="B90:C90"/>
    <mergeCell ref="B97:C97"/>
    <mergeCell ref="A89:A91"/>
    <mergeCell ref="B95:C95"/>
    <mergeCell ref="A177:F177"/>
    <mergeCell ref="B91:C91"/>
    <mergeCell ref="A1:F1"/>
    <mergeCell ref="A34:E34"/>
    <mergeCell ref="A75:F75"/>
    <mergeCell ref="A87:F87"/>
    <mergeCell ref="F46:F48"/>
    <mergeCell ref="A2:F2"/>
    <mergeCell ref="A3:F3"/>
    <mergeCell ref="A43:F43"/>
    <mergeCell ref="A14:F14"/>
    <mergeCell ref="A181:F181"/>
    <mergeCell ref="A142:F142"/>
    <mergeCell ref="F120:F121"/>
    <mergeCell ref="A92:A94"/>
    <mergeCell ref="B93:C93"/>
    <mergeCell ref="B94:C94"/>
    <mergeCell ref="B92:C92"/>
    <mergeCell ref="B96:C96"/>
    <mergeCell ref="A95:A97"/>
    <mergeCell ref="D88:E88"/>
    <mergeCell ref="B89:C89"/>
    <mergeCell ref="D70:E70"/>
    <mergeCell ref="B88:C88"/>
    <mergeCell ref="A6:F6"/>
    <mergeCell ref="D82:E82"/>
    <mergeCell ref="D76:E76"/>
  </mergeCells>
  <phoneticPr fontId="0" type="noConversion"/>
  <printOptions horizontalCentered="1"/>
  <pageMargins left="0.59055118110236227" right="0.75" top="0.59055118110236227" bottom="0.59055118110236227" header="0.19685039370078741" footer="0"/>
  <pageSetup paperSize="5" scale="90" orientation="portrait" r:id="rId1"/>
  <headerFooter alignWithMargins="0">
    <oddFooter>&amp;C&amp;P&amp;R&amp;D&amp;T</oddFooter>
  </headerFooter>
  <customProperties>
    <customPr name="DVSECTION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10"/>
  <sheetViews>
    <sheetView workbookViewId="0">
      <selection activeCell="E11" sqref="E11"/>
    </sheetView>
  </sheetViews>
  <sheetFormatPr baseColWidth="10" defaultRowHeight="12.75"/>
  <cols>
    <col min="1" max="1" width="61.28515625" bestFit="1" customWidth="1"/>
    <col min="2" max="2" width="22.140625" customWidth="1"/>
  </cols>
  <sheetData>
    <row r="1" spans="1:3" ht="21">
      <c r="A1" s="867" t="s">
        <v>2009</v>
      </c>
      <c r="B1" s="867"/>
    </row>
    <row r="2" spans="1:3" ht="23.25" customHeight="1">
      <c r="A2" s="869" t="s">
        <v>2010</v>
      </c>
      <c r="B2" s="869"/>
      <c r="C2" s="172"/>
    </row>
    <row r="3" spans="1:3" ht="15.75">
      <c r="A3" s="352" t="s">
        <v>474</v>
      </c>
      <c r="B3" s="352" t="s">
        <v>1489</v>
      </c>
    </row>
    <row r="4" spans="1:3" ht="15.75">
      <c r="A4" s="352" t="s">
        <v>213</v>
      </c>
      <c r="B4" s="353"/>
    </row>
    <row r="5" spans="1:3" ht="36.75" customHeight="1">
      <c r="A5" s="480" t="s">
        <v>2005</v>
      </c>
      <c r="B5" s="481">
        <v>0.2</v>
      </c>
    </row>
    <row r="6" spans="1:3" ht="15.75">
      <c r="A6" s="352" t="s">
        <v>2006</v>
      </c>
      <c r="B6" s="352" t="s">
        <v>758</v>
      </c>
    </row>
    <row r="7" spans="1:3" ht="35.25" customHeight="1">
      <c r="A7" s="480" t="s">
        <v>1594</v>
      </c>
      <c r="B7" s="481">
        <v>0.4</v>
      </c>
    </row>
    <row r="8" spans="1:3" ht="18.75" customHeight="1">
      <c r="A8" s="352" t="s">
        <v>2007</v>
      </c>
      <c r="B8" s="352" t="s">
        <v>758</v>
      </c>
    </row>
    <row r="9" spans="1:3" ht="32.25" customHeight="1">
      <c r="A9" s="480" t="s">
        <v>1597</v>
      </c>
      <c r="B9" s="481">
        <v>0.3</v>
      </c>
    </row>
    <row r="10" spans="1:3" ht="34.5" customHeight="1">
      <c r="A10" s="868" t="s">
        <v>2008</v>
      </c>
      <c r="B10" s="868"/>
    </row>
  </sheetData>
  <sheetProtection algorithmName="SHA-512" hashValue="EX3oAbfLqr8hkeMv6RkVz5yfH9PbtaiQMxBQiFAHXNzQKeskbloCG4RwnS5A48/HL/YCrhr2e23pe1E6VuyHxA==" saltValue="VSgQ9L3FyWrnRtkZtuLJVQ==" spinCount="100000" sheet="1" objects="1" scenarios="1"/>
  <mergeCells count="3">
    <mergeCell ref="A1:B1"/>
    <mergeCell ref="A10:B10"/>
    <mergeCell ref="A2: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61"/>
  <sheetViews>
    <sheetView workbookViewId="0">
      <selection activeCell="F32" sqref="F32"/>
    </sheetView>
  </sheetViews>
  <sheetFormatPr baseColWidth="10" defaultRowHeight="12.75"/>
  <cols>
    <col min="1" max="1" width="67.28515625" bestFit="1" customWidth="1"/>
    <col min="3" max="3" width="23.7109375" bestFit="1" customWidth="1"/>
  </cols>
  <sheetData>
    <row r="1" spans="1:3" ht="15.75">
      <c r="A1" s="863" t="s">
        <v>1993</v>
      </c>
      <c r="B1" s="863"/>
      <c r="C1" s="863"/>
    </row>
    <row r="2" spans="1:3" ht="15">
      <c r="A2" s="680" t="s">
        <v>2002</v>
      </c>
      <c r="B2" s="680"/>
      <c r="C2" s="680"/>
    </row>
    <row r="4" spans="1:3" ht="15">
      <c r="A4" s="231" t="s">
        <v>1946</v>
      </c>
      <c r="B4" s="231" t="s">
        <v>1237</v>
      </c>
      <c r="C4" s="231" t="s">
        <v>124</v>
      </c>
    </row>
    <row r="5" spans="1:3" ht="15">
      <c r="A5" s="720" t="s">
        <v>125</v>
      </c>
      <c r="B5" s="714"/>
      <c r="C5" s="714"/>
    </row>
    <row r="6" spans="1:3">
      <c r="A6" s="469" t="s">
        <v>1947</v>
      </c>
      <c r="B6" s="475">
        <v>0.39</v>
      </c>
      <c r="C6" s="469" t="s">
        <v>1948</v>
      </c>
    </row>
    <row r="7" spans="1:3">
      <c r="A7" s="469" t="s">
        <v>1949</v>
      </c>
      <c r="B7" s="475">
        <v>0.2</v>
      </c>
      <c r="C7" s="469" t="s">
        <v>1948</v>
      </c>
    </row>
    <row r="8" spans="1:3">
      <c r="A8" s="469" t="s">
        <v>1950</v>
      </c>
      <c r="B8" s="475">
        <v>0.2</v>
      </c>
      <c r="C8" s="469" t="s">
        <v>1948</v>
      </c>
    </row>
    <row r="9" spans="1:3" ht="15">
      <c r="A9" s="720" t="s">
        <v>1951</v>
      </c>
      <c r="B9" s="714"/>
      <c r="C9" s="714"/>
    </row>
    <row r="10" spans="1:3">
      <c r="A10" s="469" t="s">
        <v>1952</v>
      </c>
      <c r="B10" s="476">
        <v>4.45</v>
      </c>
      <c r="C10" s="469" t="s">
        <v>1953</v>
      </c>
    </row>
    <row r="11" spans="1:3">
      <c r="A11" s="469" t="s">
        <v>1954</v>
      </c>
      <c r="B11" s="476">
        <v>4</v>
      </c>
      <c r="C11" s="469" t="s">
        <v>1953</v>
      </c>
    </row>
    <row r="12" spans="1:3">
      <c r="A12" s="469" t="s">
        <v>1955</v>
      </c>
      <c r="B12" s="476">
        <v>2.11</v>
      </c>
      <c r="C12" s="469" t="s">
        <v>1953</v>
      </c>
    </row>
    <row r="13" spans="1:3">
      <c r="A13" s="469" t="s">
        <v>1956</v>
      </c>
      <c r="B13" s="476">
        <v>1.8</v>
      </c>
      <c r="C13" s="469" t="s">
        <v>1953</v>
      </c>
    </row>
    <row r="14" spans="1:3">
      <c r="A14" s="469" t="s">
        <v>1957</v>
      </c>
      <c r="B14" s="476"/>
      <c r="C14" s="469"/>
    </row>
    <row r="15" spans="1:3">
      <c r="A15" s="469" t="s">
        <v>316</v>
      </c>
      <c r="B15" s="476">
        <v>2.11</v>
      </c>
      <c r="C15" s="469" t="s">
        <v>1953</v>
      </c>
    </row>
    <row r="16" spans="1:3">
      <c r="A16" s="469" t="s">
        <v>1958</v>
      </c>
      <c r="B16" s="476">
        <v>1.8</v>
      </c>
      <c r="C16" s="469" t="s">
        <v>1953</v>
      </c>
    </row>
    <row r="17" spans="1:3">
      <c r="A17" s="469" t="s">
        <v>1959</v>
      </c>
      <c r="B17" s="476"/>
      <c r="C17" s="469"/>
    </row>
    <row r="18" spans="1:3">
      <c r="A18" s="469" t="s">
        <v>1994</v>
      </c>
      <c r="B18" s="476">
        <v>64.67</v>
      </c>
      <c r="C18" s="469" t="s">
        <v>1960</v>
      </c>
    </row>
    <row r="19" spans="1:3">
      <c r="A19" s="469" t="s">
        <v>1995</v>
      </c>
      <c r="B19" s="476">
        <v>84.8</v>
      </c>
      <c r="C19" s="469" t="s">
        <v>1960</v>
      </c>
    </row>
    <row r="20" spans="1:3">
      <c r="A20" s="469" t="s">
        <v>1996</v>
      </c>
      <c r="B20" s="476">
        <v>16.399999999999999</v>
      </c>
      <c r="C20" s="469" t="s">
        <v>1960</v>
      </c>
    </row>
    <row r="21" spans="1:3">
      <c r="A21" s="469" t="s">
        <v>1997</v>
      </c>
      <c r="B21" s="476">
        <v>16.93</v>
      </c>
      <c r="C21" s="469" t="s">
        <v>1960</v>
      </c>
    </row>
    <row r="22" spans="1:3">
      <c r="A22" s="469" t="s">
        <v>1961</v>
      </c>
      <c r="B22" s="476"/>
      <c r="C22" s="469"/>
    </row>
    <row r="23" spans="1:3">
      <c r="A23" s="471" t="s">
        <v>1962</v>
      </c>
      <c r="B23" s="476">
        <v>40.64</v>
      </c>
      <c r="C23" s="471" t="s">
        <v>1963</v>
      </c>
    </row>
    <row r="24" spans="1:3">
      <c r="A24" s="471" t="s">
        <v>1964</v>
      </c>
      <c r="B24" s="476">
        <v>56</v>
      </c>
      <c r="C24" s="471" t="s">
        <v>1963</v>
      </c>
    </row>
    <row r="25" spans="1:3" ht="15">
      <c r="A25" s="720" t="s">
        <v>55</v>
      </c>
      <c r="B25" s="714"/>
      <c r="C25" s="714"/>
    </row>
    <row r="26" spans="1:3">
      <c r="A26" s="469" t="s">
        <v>1965</v>
      </c>
      <c r="B26" s="476">
        <v>1</v>
      </c>
      <c r="C26" s="469" t="s">
        <v>1953</v>
      </c>
    </row>
    <row r="27" spans="1:3">
      <c r="A27" s="469" t="s">
        <v>1966</v>
      </c>
      <c r="B27" s="476">
        <v>1</v>
      </c>
      <c r="C27" s="469" t="s">
        <v>1953</v>
      </c>
    </row>
    <row r="28" spans="1:3">
      <c r="A28" s="469" t="s">
        <v>1967</v>
      </c>
      <c r="B28" s="476">
        <v>0</v>
      </c>
      <c r="C28" s="469" t="s">
        <v>1953</v>
      </c>
    </row>
    <row r="29" spans="1:3">
      <c r="A29" s="469" t="s">
        <v>109</v>
      </c>
      <c r="B29" s="476"/>
      <c r="C29" s="469"/>
    </row>
    <row r="30" spans="1:3">
      <c r="A30" s="469" t="s">
        <v>2001</v>
      </c>
      <c r="B30" s="476">
        <v>15.68</v>
      </c>
      <c r="C30" s="469" t="s">
        <v>1960</v>
      </c>
    </row>
    <row r="31" spans="1:3">
      <c r="A31" s="469" t="s">
        <v>1998</v>
      </c>
      <c r="B31" s="476">
        <v>15.68</v>
      </c>
      <c r="C31" s="469" t="s">
        <v>1960</v>
      </c>
    </row>
    <row r="32" spans="1:3">
      <c r="A32" s="469" t="s">
        <v>1999</v>
      </c>
      <c r="B32" s="476">
        <v>3.45</v>
      </c>
      <c r="C32" s="469" t="s">
        <v>1960</v>
      </c>
    </row>
    <row r="33" spans="1:3">
      <c r="A33" s="469" t="s">
        <v>2000</v>
      </c>
      <c r="B33" s="476">
        <v>5</v>
      </c>
      <c r="C33" s="469" t="s">
        <v>1960</v>
      </c>
    </row>
    <row r="34" spans="1:3">
      <c r="A34" s="469" t="s">
        <v>81</v>
      </c>
      <c r="B34" s="476"/>
      <c r="C34" s="469"/>
    </row>
    <row r="35" spans="1:3">
      <c r="A35" s="469" t="s">
        <v>1962</v>
      </c>
      <c r="B35" s="476">
        <v>0.8</v>
      </c>
      <c r="C35" s="469" t="s">
        <v>1963</v>
      </c>
    </row>
    <row r="36" spans="1:3">
      <c r="A36" s="469" t="s">
        <v>1964</v>
      </c>
      <c r="B36" s="476">
        <v>2</v>
      </c>
      <c r="C36" s="469" t="s">
        <v>1963</v>
      </c>
    </row>
    <row r="37" spans="1:3" ht="15">
      <c r="A37" s="720" t="s">
        <v>58</v>
      </c>
      <c r="B37" s="714"/>
      <c r="C37" s="714"/>
    </row>
    <row r="38" spans="1:3">
      <c r="A38" s="469" t="s">
        <v>1968</v>
      </c>
      <c r="B38" s="476">
        <v>0.2</v>
      </c>
      <c r="C38" s="469" t="s">
        <v>1969</v>
      </c>
    </row>
    <row r="39" spans="1:3">
      <c r="A39" s="469" t="s">
        <v>1970</v>
      </c>
      <c r="B39" s="476">
        <v>2</v>
      </c>
      <c r="C39" s="469" t="s">
        <v>1960</v>
      </c>
    </row>
    <row r="40" spans="1:3">
      <c r="A40" s="469" t="s">
        <v>1971</v>
      </c>
      <c r="B40" s="476">
        <v>1.23</v>
      </c>
      <c r="C40" s="469" t="s">
        <v>1960</v>
      </c>
    </row>
    <row r="41" spans="1:3" ht="15">
      <c r="A41" s="720" t="s">
        <v>1972</v>
      </c>
      <c r="B41" s="714"/>
      <c r="C41" s="714"/>
    </row>
    <row r="42" spans="1:3" ht="17.25" customHeight="1">
      <c r="A42" s="469" t="s">
        <v>1973</v>
      </c>
      <c r="B42" s="476">
        <v>53.25</v>
      </c>
      <c r="C42" s="469" t="s">
        <v>1974</v>
      </c>
    </row>
    <row r="43" spans="1:3" ht="15">
      <c r="A43" s="720" t="s">
        <v>1975</v>
      </c>
      <c r="B43" s="714"/>
      <c r="C43" s="714"/>
    </row>
    <row r="44" spans="1:3" ht="16.5" customHeight="1">
      <c r="A44" s="469" t="s">
        <v>1973</v>
      </c>
      <c r="B44" s="476">
        <v>22.75</v>
      </c>
      <c r="C44" s="469" t="s">
        <v>1974</v>
      </c>
    </row>
    <row r="45" spans="1:3" ht="15">
      <c r="A45" s="720" t="s">
        <v>1976</v>
      </c>
      <c r="B45" s="714"/>
      <c r="C45" s="714"/>
    </row>
    <row r="46" spans="1:3">
      <c r="A46" s="472" t="s">
        <v>1977</v>
      </c>
      <c r="B46" s="470"/>
      <c r="C46" s="469"/>
    </row>
    <row r="47" spans="1:3">
      <c r="A47" s="469" t="s">
        <v>1978</v>
      </c>
      <c r="B47" s="476">
        <v>1.04</v>
      </c>
      <c r="C47" s="469" t="s">
        <v>1979</v>
      </c>
    </row>
    <row r="48" spans="1:3">
      <c r="A48" s="469" t="s">
        <v>1980</v>
      </c>
      <c r="B48" s="477">
        <v>13500</v>
      </c>
      <c r="C48" s="469" t="s">
        <v>1981</v>
      </c>
    </row>
    <row r="49" spans="1:3">
      <c r="A49" s="469" t="s">
        <v>1982</v>
      </c>
      <c r="B49" s="477">
        <v>7500</v>
      </c>
      <c r="C49" s="469" t="s">
        <v>1981</v>
      </c>
    </row>
    <row r="50" spans="1:3">
      <c r="A50" s="472" t="s">
        <v>639</v>
      </c>
      <c r="B50" s="478"/>
      <c r="C50" s="469"/>
    </row>
    <row r="51" spans="1:3">
      <c r="A51" s="469" t="s">
        <v>1983</v>
      </c>
      <c r="B51" s="476">
        <v>0.71</v>
      </c>
      <c r="C51" s="469" t="s">
        <v>1984</v>
      </c>
    </row>
    <row r="52" spans="1:3">
      <c r="A52" s="472" t="s">
        <v>109</v>
      </c>
      <c r="B52" s="476"/>
      <c r="C52" s="469"/>
    </row>
    <row r="53" spans="1:3">
      <c r="A53" s="469" t="s">
        <v>1985</v>
      </c>
      <c r="B53" s="476">
        <v>15.81</v>
      </c>
      <c r="C53" s="469" t="s">
        <v>1960</v>
      </c>
    </row>
    <row r="54" spans="1:3">
      <c r="A54" s="469" t="s">
        <v>1986</v>
      </c>
      <c r="B54" s="476">
        <v>5</v>
      </c>
      <c r="C54" s="469" t="s">
        <v>1960</v>
      </c>
    </row>
    <row r="55" spans="1:3">
      <c r="A55" s="472" t="s">
        <v>81</v>
      </c>
      <c r="B55" s="476"/>
      <c r="C55" s="469"/>
    </row>
    <row r="56" spans="1:3">
      <c r="A56" s="469" t="s">
        <v>1987</v>
      </c>
      <c r="B56" s="476">
        <v>2.25</v>
      </c>
      <c r="C56" s="469" t="s">
        <v>1963</v>
      </c>
    </row>
    <row r="57" spans="1:3">
      <c r="A57" s="469" t="s">
        <v>1988</v>
      </c>
      <c r="B57" s="476">
        <v>4.43</v>
      </c>
      <c r="C57" s="469" t="s">
        <v>1963</v>
      </c>
    </row>
    <row r="58" spans="1:3" ht="15">
      <c r="A58" s="720" t="s">
        <v>638</v>
      </c>
      <c r="B58" s="714"/>
      <c r="C58" s="714"/>
    </row>
    <row r="59" spans="1:3" ht="17.25" customHeight="1">
      <c r="A59" s="473" t="s">
        <v>1989</v>
      </c>
      <c r="B59" s="479">
        <v>11000</v>
      </c>
      <c r="C59" s="474" t="s">
        <v>1990</v>
      </c>
    </row>
    <row r="60" spans="1:3" ht="16.5" customHeight="1">
      <c r="A60" s="473" t="s">
        <v>1991</v>
      </c>
      <c r="B60" s="479">
        <v>19000</v>
      </c>
      <c r="C60" s="474" t="s">
        <v>1990</v>
      </c>
    </row>
    <row r="61" spans="1:3" ht="16.5" customHeight="1">
      <c r="A61" s="473" t="s">
        <v>1992</v>
      </c>
      <c r="B61" s="479">
        <v>21000</v>
      </c>
      <c r="C61" s="474" t="s">
        <v>1990</v>
      </c>
    </row>
  </sheetData>
  <sheetProtection algorithmName="SHA-512" hashValue="LTSRzMj/QcxFacIeRPfXt3+9u6MChEIhvMwjkC3v2oFfZuXkkHL7B7JqZvXwQvIqJIq73pjif/VEan4cAKX6Uw==" saltValue="RNzwXc5zxqHJ1GKfgm3JLA==" spinCount="100000" sheet="1" objects="1" scenarios="1"/>
  <mergeCells count="10">
    <mergeCell ref="A45:C45"/>
    <mergeCell ref="A58:C58"/>
    <mergeCell ref="A1:C1"/>
    <mergeCell ref="A2:C2"/>
    <mergeCell ref="A5:C5"/>
    <mergeCell ref="A9:C9"/>
    <mergeCell ref="A25:C25"/>
    <mergeCell ref="A37:C37"/>
    <mergeCell ref="A41:C41"/>
    <mergeCell ref="A43:C43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83"/>
  <sheetViews>
    <sheetView workbookViewId="0">
      <selection activeCell="I5" sqref="I5"/>
    </sheetView>
  </sheetViews>
  <sheetFormatPr baseColWidth="10" defaultRowHeight="12"/>
  <cols>
    <col min="1" max="1" width="49.85546875" style="383" customWidth="1"/>
    <col min="2" max="2" width="11.7109375" style="383" customWidth="1"/>
    <col min="3" max="3" width="12.42578125" style="383" customWidth="1"/>
    <col min="4" max="4" width="11.42578125" style="383" customWidth="1"/>
    <col min="5" max="5" width="12.5703125" style="383" customWidth="1"/>
    <col min="6" max="16384" width="11.42578125" style="383"/>
  </cols>
  <sheetData>
    <row r="1" spans="1:5" ht="15.75">
      <c r="A1" s="863" t="s">
        <v>1721</v>
      </c>
      <c r="B1" s="863"/>
      <c r="C1" s="863"/>
      <c r="D1" s="863"/>
      <c r="E1" s="863"/>
    </row>
    <row r="2" spans="1:5" ht="15">
      <c r="A2" s="680" t="s">
        <v>1727</v>
      </c>
      <c r="B2" s="680"/>
      <c r="C2" s="680"/>
      <c r="D2" s="680"/>
      <c r="E2" s="680"/>
    </row>
    <row r="4" spans="1:5" ht="15.75">
      <c r="A4" s="382" t="s">
        <v>125</v>
      </c>
      <c r="B4" s="870" t="s">
        <v>1705</v>
      </c>
      <c r="C4" s="871"/>
      <c r="D4" s="870" t="s">
        <v>377</v>
      </c>
      <c r="E4" s="871"/>
    </row>
    <row r="5" spans="1:5">
      <c r="A5" s="389" t="s">
        <v>1723</v>
      </c>
      <c r="B5" s="888" t="s">
        <v>1706</v>
      </c>
      <c r="C5" s="888"/>
      <c r="D5" s="879">
        <v>0.72</v>
      </c>
      <c r="E5" s="879"/>
    </row>
    <row r="6" spans="1:5">
      <c r="A6" s="389" t="s">
        <v>1664</v>
      </c>
      <c r="B6" s="888" t="s">
        <v>1707</v>
      </c>
      <c r="C6" s="888"/>
      <c r="D6" s="879">
        <v>0.09</v>
      </c>
      <c r="E6" s="879"/>
    </row>
    <row r="7" spans="1:5">
      <c r="A7" s="387"/>
      <c r="B7" s="888"/>
      <c r="C7" s="888"/>
      <c r="D7" s="888"/>
      <c r="E7" s="888"/>
    </row>
    <row r="8" spans="1:5" ht="27" customHeight="1">
      <c r="A8" s="893" t="s">
        <v>293</v>
      </c>
      <c r="B8" s="893"/>
      <c r="C8" s="893"/>
      <c r="D8" s="893"/>
      <c r="E8" s="893"/>
    </row>
    <row r="9" spans="1:5">
      <c r="A9" s="888"/>
      <c r="B9" s="888"/>
      <c r="C9" s="888"/>
      <c r="D9" s="888"/>
      <c r="E9" s="888"/>
    </row>
    <row r="10" spans="1:5" ht="15.75">
      <c r="A10" s="396" t="s">
        <v>50</v>
      </c>
      <c r="B10" s="889" t="s">
        <v>1705</v>
      </c>
      <c r="C10" s="890"/>
      <c r="D10" s="894" t="s">
        <v>377</v>
      </c>
      <c r="E10" s="894"/>
    </row>
    <row r="11" spans="1:5">
      <c r="A11" s="390" t="s">
        <v>1691</v>
      </c>
      <c r="B11" s="873" t="s">
        <v>1708</v>
      </c>
      <c r="C11" s="875"/>
      <c r="D11" s="879">
        <v>110</v>
      </c>
      <c r="E11" s="879"/>
    </row>
    <row r="12" spans="1:5">
      <c r="A12" s="390" t="s">
        <v>1692</v>
      </c>
      <c r="B12" s="873" t="s">
        <v>1708</v>
      </c>
      <c r="C12" s="875"/>
      <c r="D12" s="879">
        <v>145</v>
      </c>
      <c r="E12" s="879"/>
    </row>
    <row r="13" spans="1:5">
      <c r="A13" s="390" t="s">
        <v>1693</v>
      </c>
      <c r="B13" s="873" t="s">
        <v>1708</v>
      </c>
      <c r="C13" s="875"/>
      <c r="D13" s="879">
        <v>165</v>
      </c>
      <c r="E13" s="879"/>
    </row>
    <row r="14" spans="1:5">
      <c r="A14" s="390" t="s">
        <v>1694</v>
      </c>
      <c r="B14" s="873" t="s">
        <v>1708</v>
      </c>
      <c r="C14" s="875"/>
      <c r="D14" s="879">
        <v>135</v>
      </c>
      <c r="E14" s="879"/>
    </row>
    <row r="15" spans="1:5">
      <c r="A15" s="390" t="s">
        <v>1695</v>
      </c>
      <c r="B15" s="873" t="s">
        <v>1708</v>
      </c>
      <c r="C15" s="875"/>
      <c r="D15" s="879">
        <v>186</v>
      </c>
      <c r="E15" s="879"/>
    </row>
    <row r="16" spans="1:5">
      <c r="A16" s="390" t="s">
        <v>1696</v>
      </c>
      <c r="B16" s="873" t="s">
        <v>1708</v>
      </c>
      <c r="C16" s="875"/>
      <c r="D16" s="879">
        <v>25</v>
      </c>
      <c r="E16" s="879"/>
    </row>
    <row r="17" spans="1:5">
      <c r="A17" s="390" t="s">
        <v>1665</v>
      </c>
      <c r="B17" s="873" t="s">
        <v>74</v>
      </c>
      <c r="C17" s="875"/>
      <c r="D17" s="879">
        <v>5.5</v>
      </c>
      <c r="E17" s="879"/>
    </row>
    <row r="18" spans="1:5">
      <c r="A18" s="389" t="s">
        <v>1684</v>
      </c>
      <c r="B18" s="873" t="s">
        <v>74</v>
      </c>
      <c r="C18" s="875"/>
      <c r="D18" s="879">
        <v>4.5</v>
      </c>
      <c r="E18" s="879"/>
    </row>
    <row r="19" spans="1:5">
      <c r="A19" s="389" t="s">
        <v>1681</v>
      </c>
      <c r="B19" s="873" t="s">
        <v>1709</v>
      </c>
      <c r="C19" s="875"/>
      <c r="D19" s="879">
        <v>61</v>
      </c>
      <c r="E19" s="879"/>
    </row>
    <row r="20" spans="1:5">
      <c r="A20" s="389" t="s">
        <v>1682</v>
      </c>
      <c r="B20" s="873" t="s">
        <v>1709</v>
      </c>
      <c r="C20" s="875"/>
      <c r="D20" s="879">
        <v>85</v>
      </c>
      <c r="E20" s="879"/>
    </row>
    <row r="21" spans="1:5">
      <c r="A21" s="389" t="s">
        <v>1683</v>
      </c>
      <c r="B21" s="873" t="s">
        <v>1709</v>
      </c>
      <c r="C21" s="875"/>
      <c r="D21" s="879">
        <v>152</v>
      </c>
      <c r="E21" s="879"/>
    </row>
    <row r="22" spans="1:5">
      <c r="A22" s="389" t="s">
        <v>1686</v>
      </c>
      <c r="B22" s="873" t="s">
        <v>1710</v>
      </c>
      <c r="C22" s="875"/>
      <c r="D22" s="879">
        <v>8.1300000000000008</v>
      </c>
      <c r="E22" s="879"/>
    </row>
    <row r="23" spans="1:5">
      <c r="A23" s="388" t="s">
        <v>1697</v>
      </c>
      <c r="B23" s="873" t="s">
        <v>1708</v>
      </c>
      <c r="C23" s="875"/>
      <c r="D23" s="879">
        <v>32</v>
      </c>
      <c r="E23" s="879"/>
    </row>
    <row r="24" spans="1:5">
      <c r="A24" s="388" t="s">
        <v>1698</v>
      </c>
      <c r="B24" s="873" t="s">
        <v>1708</v>
      </c>
      <c r="C24" s="875"/>
      <c r="D24" s="879">
        <v>35</v>
      </c>
      <c r="E24" s="879"/>
    </row>
    <row r="25" spans="1:5">
      <c r="A25" s="390" t="s">
        <v>1699</v>
      </c>
      <c r="B25" s="873" t="s">
        <v>1708</v>
      </c>
      <c r="C25" s="875"/>
      <c r="D25" s="879">
        <v>57</v>
      </c>
      <c r="E25" s="879"/>
    </row>
    <row r="26" spans="1:5">
      <c r="A26" s="390" t="s">
        <v>1724</v>
      </c>
      <c r="B26" s="873" t="s">
        <v>1708</v>
      </c>
      <c r="C26" s="875"/>
      <c r="D26" s="879">
        <v>32</v>
      </c>
      <c r="E26" s="879"/>
    </row>
    <row r="27" spans="1:5">
      <c r="A27" s="389" t="s">
        <v>1685</v>
      </c>
      <c r="B27" s="873" t="s">
        <v>74</v>
      </c>
      <c r="C27" s="875"/>
      <c r="D27" s="879">
        <v>5</v>
      </c>
      <c r="E27" s="879"/>
    </row>
    <row r="28" spans="1:5" ht="15.75">
      <c r="A28" s="870" t="s">
        <v>1666</v>
      </c>
      <c r="B28" s="871"/>
      <c r="C28" s="871"/>
      <c r="D28" s="871"/>
      <c r="E28" s="872"/>
    </row>
    <row r="29" spans="1:5">
      <c r="A29" s="873" t="s">
        <v>214</v>
      </c>
      <c r="B29" s="874"/>
      <c r="C29" s="874"/>
      <c r="D29" s="874"/>
      <c r="E29" s="875"/>
    </row>
    <row r="30" spans="1:5" ht="15.75">
      <c r="A30" s="870" t="s">
        <v>1667</v>
      </c>
      <c r="B30" s="871"/>
      <c r="C30" s="871"/>
      <c r="D30" s="871"/>
      <c r="E30" s="872"/>
    </row>
    <row r="31" spans="1:5">
      <c r="A31" s="873" t="s">
        <v>51</v>
      </c>
      <c r="B31" s="874"/>
      <c r="C31" s="874"/>
      <c r="D31" s="874"/>
      <c r="E31" s="875"/>
    </row>
    <row r="32" spans="1:5">
      <c r="A32" s="873" t="s">
        <v>52</v>
      </c>
      <c r="B32" s="874"/>
      <c r="C32" s="874"/>
      <c r="D32" s="874"/>
      <c r="E32" s="875"/>
    </row>
    <row r="33" spans="1:5">
      <c r="A33" s="873"/>
      <c r="B33" s="874"/>
      <c r="C33" s="874"/>
      <c r="D33" s="874"/>
      <c r="E33" s="875"/>
    </row>
    <row r="34" spans="1:5" ht="31.5">
      <c r="A34" s="395" t="s">
        <v>55</v>
      </c>
      <c r="B34" s="886" t="s">
        <v>1705</v>
      </c>
      <c r="C34" s="887"/>
      <c r="D34" s="884" t="s">
        <v>377</v>
      </c>
      <c r="E34" s="885"/>
    </row>
    <row r="35" spans="1:5">
      <c r="A35" s="389" t="s">
        <v>1700</v>
      </c>
      <c r="B35" s="873" t="s">
        <v>1708</v>
      </c>
      <c r="C35" s="875"/>
      <c r="D35" s="879">
        <v>18</v>
      </c>
      <c r="E35" s="879"/>
    </row>
    <row r="36" spans="1:5">
      <c r="A36" s="389" t="s">
        <v>1701</v>
      </c>
      <c r="B36" s="873" t="s">
        <v>1708</v>
      </c>
      <c r="C36" s="875"/>
      <c r="D36" s="879">
        <v>6</v>
      </c>
      <c r="E36" s="879"/>
    </row>
    <row r="37" spans="1:5">
      <c r="A37" s="389" t="s">
        <v>1702</v>
      </c>
      <c r="B37" s="873" t="s">
        <v>1708</v>
      </c>
      <c r="C37" s="875"/>
      <c r="D37" s="879">
        <v>5</v>
      </c>
      <c r="E37" s="879"/>
    </row>
    <row r="38" spans="1:5">
      <c r="A38" s="389" t="s">
        <v>1703</v>
      </c>
      <c r="B38" s="873" t="s">
        <v>1708</v>
      </c>
      <c r="C38" s="875"/>
      <c r="D38" s="879">
        <v>2</v>
      </c>
      <c r="E38" s="879"/>
    </row>
    <row r="39" spans="1:5">
      <c r="A39" s="394" t="s">
        <v>1687</v>
      </c>
      <c r="B39" s="873" t="s">
        <v>74</v>
      </c>
      <c r="C39" s="875"/>
      <c r="D39" s="879">
        <v>1</v>
      </c>
      <c r="E39" s="879"/>
    </row>
    <row r="40" spans="1:5">
      <c r="A40" s="394" t="s">
        <v>1704</v>
      </c>
      <c r="B40" s="873" t="s">
        <v>1708</v>
      </c>
      <c r="C40" s="875"/>
      <c r="D40" s="879">
        <v>4</v>
      </c>
      <c r="E40" s="879"/>
    </row>
    <row r="41" spans="1:5">
      <c r="A41" s="389" t="s">
        <v>78</v>
      </c>
      <c r="B41" s="873" t="s">
        <v>74</v>
      </c>
      <c r="C41" s="875"/>
      <c r="D41" s="879">
        <v>1.55</v>
      </c>
      <c r="E41" s="879"/>
    </row>
    <row r="42" spans="1:5">
      <c r="A42" s="389" t="s">
        <v>79</v>
      </c>
      <c r="B42" s="873" t="s">
        <v>295</v>
      </c>
      <c r="C42" s="875"/>
      <c r="D42" s="879">
        <v>94</v>
      </c>
      <c r="E42" s="879"/>
    </row>
    <row r="43" spans="1:5">
      <c r="A43" s="389" t="s">
        <v>1688</v>
      </c>
      <c r="B43" s="873" t="s">
        <v>295</v>
      </c>
      <c r="C43" s="875"/>
      <c r="D43" s="879">
        <v>115.5</v>
      </c>
      <c r="E43" s="879"/>
    </row>
    <row r="44" spans="1:5">
      <c r="A44" s="389" t="s">
        <v>1689</v>
      </c>
      <c r="B44" s="873" t="s">
        <v>295</v>
      </c>
      <c r="C44" s="875"/>
      <c r="D44" s="879">
        <v>250</v>
      </c>
      <c r="E44" s="879"/>
    </row>
    <row r="45" spans="1:5">
      <c r="A45" s="389" t="s">
        <v>61</v>
      </c>
      <c r="B45" s="873" t="s">
        <v>96</v>
      </c>
      <c r="C45" s="875"/>
      <c r="D45" s="879">
        <v>12</v>
      </c>
      <c r="E45" s="879"/>
    </row>
    <row r="46" spans="1:5">
      <c r="A46" s="389" t="s">
        <v>62</v>
      </c>
      <c r="B46" s="873" t="s">
        <v>96</v>
      </c>
      <c r="C46" s="875"/>
      <c r="D46" s="879">
        <v>35</v>
      </c>
      <c r="E46" s="879"/>
    </row>
    <row r="47" spans="1:5" ht="31.5">
      <c r="A47" s="386" t="s">
        <v>58</v>
      </c>
      <c r="B47" s="886" t="s">
        <v>1705</v>
      </c>
      <c r="C47" s="887"/>
      <c r="D47" s="883" t="s">
        <v>377</v>
      </c>
      <c r="E47" s="883"/>
    </row>
    <row r="48" spans="1:5">
      <c r="A48" s="389" t="s">
        <v>59</v>
      </c>
      <c r="B48" s="873" t="s">
        <v>74</v>
      </c>
      <c r="C48" s="875"/>
      <c r="D48" s="879">
        <v>0.2</v>
      </c>
      <c r="E48" s="879"/>
    </row>
    <row r="49" spans="1:5">
      <c r="A49" s="389" t="s">
        <v>60</v>
      </c>
      <c r="B49" s="873" t="s">
        <v>1708</v>
      </c>
      <c r="C49" s="875"/>
      <c r="D49" s="879">
        <v>2</v>
      </c>
      <c r="E49" s="879"/>
    </row>
    <row r="50" spans="1:5">
      <c r="A50" s="389" t="s">
        <v>215</v>
      </c>
      <c r="B50" s="873" t="s">
        <v>218</v>
      </c>
      <c r="C50" s="875"/>
      <c r="D50" s="879">
        <v>8</v>
      </c>
      <c r="E50" s="879"/>
    </row>
    <row r="51" spans="1:5" ht="11.25" customHeight="1">
      <c r="A51" s="392"/>
      <c r="B51" s="873"/>
      <c r="C51" s="875"/>
      <c r="D51" s="879"/>
      <c r="E51" s="879"/>
    </row>
    <row r="52" spans="1:5" ht="15.75">
      <c r="A52" s="864" t="s">
        <v>157</v>
      </c>
      <c r="B52" s="864"/>
      <c r="C52" s="864"/>
      <c r="D52" s="864"/>
      <c r="E52" s="864"/>
    </row>
    <row r="53" spans="1:5" ht="15.75">
      <c r="A53" s="385" t="s">
        <v>1668</v>
      </c>
      <c r="B53" s="876" t="s">
        <v>377</v>
      </c>
      <c r="C53" s="877"/>
      <c r="D53" s="877"/>
      <c r="E53" s="878"/>
    </row>
    <row r="54" spans="1:5" ht="15.75">
      <c r="A54" s="366" t="s">
        <v>1672</v>
      </c>
      <c r="B54" s="891" t="s">
        <v>158</v>
      </c>
      <c r="C54" s="892"/>
      <c r="D54" s="891" t="s">
        <v>159</v>
      </c>
      <c r="E54" s="892"/>
    </row>
    <row r="55" spans="1:5">
      <c r="A55" s="389" t="s">
        <v>1711</v>
      </c>
      <c r="B55" s="888" t="s">
        <v>161</v>
      </c>
      <c r="C55" s="888"/>
      <c r="D55" s="888" t="s">
        <v>161</v>
      </c>
      <c r="E55" s="888"/>
    </row>
    <row r="56" spans="1:5">
      <c r="A56" s="389" t="s">
        <v>1673</v>
      </c>
      <c r="B56" s="879">
        <v>1.9</v>
      </c>
      <c r="C56" s="879"/>
      <c r="D56" s="879">
        <v>1.25</v>
      </c>
      <c r="E56" s="879"/>
    </row>
    <row r="57" spans="1:5">
      <c r="A57" s="389" t="s">
        <v>1674</v>
      </c>
      <c r="B57" s="879">
        <v>2.6</v>
      </c>
      <c r="C57" s="879"/>
      <c r="D57" s="879">
        <v>1.75</v>
      </c>
      <c r="E57" s="879"/>
    </row>
    <row r="58" spans="1:5">
      <c r="A58" s="389" t="s">
        <v>1432</v>
      </c>
      <c r="B58" s="879">
        <v>3.2</v>
      </c>
      <c r="C58" s="879"/>
      <c r="D58" s="879">
        <v>2.2000000000000002</v>
      </c>
      <c r="E58" s="879"/>
    </row>
    <row r="59" spans="1:5" ht="15.75">
      <c r="A59" s="385" t="s">
        <v>1669</v>
      </c>
      <c r="B59" s="876" t="s">
        <v>377</v>
      </c>
      <c r="C59" s="877"/>
      <c r="D59" s="877"/>
      <c r="E59" s="878"/>
    </row>
    <row r="60" spans="1:5" ht="15.75">
      <c r="A60" s="366" t="s">
        <v>1675</v>
      </c>
      <c r="B60" s="366" t="s">
        <v>1676</v>
      </c>
      <c r="C60" s="366" t="s">
        <v>1677</v>
      </c>
      <c r="D60" s="366" t="s">
        <v>246</v>
      </c>
      <c r="E60" s="366" t="s">
        <v>1678</v>
      </c>
    </row>
    <row r="61" spans="1:5">
      <c r="A61" s="389" t="s">
        <v>247</v>
      </c>
      <c r="B61" s="391" t="s">
        <v>161</v>
      </c>
      <c r="C61" s="393">
        <v>20</v>
      </c>
      <c r="D61" s="393">
        <v>28</v>
      </c>
      <c r="E61" s="393">
        <v>35</v>
      </c>
    </row>
    <row r="62" spans="1:5">
      <c r="A62" s="389" t="s">
        <v>248</v>
      </c>
      <c r="B62" s="391" t="s">
        <v>161</v>
      </c>
      <c r="C62" s="393">
        <v>28</v>
      </c>
      <c r="D62" s="393">
        <v>40</v>
      </c>
      <c r="E62" s="393">
        <v>52</v>
      </c>
    </row>
    <row r="63" spans="1:5">
      <c r="A63" s="389" t="s">
        <v>1679</v>
      </c>
      <c r="B63" s="391" t="s">
        <v>161</v>
      </c>
      <c r="C63" s="393">
        <v>34</v>
      </c>
      <c r="D63" s="393">
        <v>50</v>
      </c>
      <c r="E63" s="393">
        <v>62</v>
      </c>
    </row>
    <row r="64" spans="1:5">
      <c r="A64" s="388" t="s">
        <v>1118</v>
      </c>
      <c r="B64" s="391" t="s">
        <v>161</v>
      </c>
      <c r="C64" s="393">
        <v>40</v>
      </c>
      <c r="D64" s="393">
        <v>50</v>
      </c>
      <c r="E64" s="393">
        <v>65</v>
      </c>
    </row>
    <row r="65" spans="1:9">
      <c r="A65" s="388" t="s">
        <v>1119</v>
      </c>
      <c r="B65" s="391" t="s">
        <v>161</v>
      </c>
      <c r="C65" s="393">
        <v>55</v>
      </c>
      <c r="D65" s="393">
        <v>68</v>
      </c>
      <c r="E65" s="393">
        <v>80</v>
      </c>
    </row>
    <row r="66" spans="1:9" ht="15.75">
      <c r="A66" s="388"/>
      <c r="B66" s="886" t="s">
        <v>1705</v>
      </c>
      <c r="C66" s="887"/>
      <c r="D66" s="883" t="s">
        <v>377</v>
      </c>
      <c r="E66" s="883"/>
    </row>
    <row r="67" spans="1:9">
      <c r="A67" s="389" t="s">
        <v>1712</v>
      </c>
      <c r="B67" s="888" t="s">
        <v>1714</v>
      </c>
      <c r="C67" s="888"/>
      <c r="D67" s="879">
        <v>1</v>
      </c>
      <c r="E67" s="879"/>
    </row>
    <row r="68" spans="1:9">
      <c r="A68" s="389" t="s">
        <v>1713</v>
      </c>
      <c r="B68" s="888" t="s">
        <v>1714</v>
      </c>
      <c r="C68" s="888"/>
      <c r="D68" s="879">
        <v>1.5</v>
      </c>
      <c r="E68" s="879"/>
    </row>
    <row r="69" spans="1:9">
      <c r="A69" s="389" t="s">
        <v>1702</v>
      </c>
      <c r="B69" s="888" t="s">
        <v>1715</v>
      </c>
      <c r="C69" s="888"/>
      <c r="D69" s="879">
        <v>10</v>
      </c>
      <c r="E69" s="879"/>
    </row>
    <row r="70" spans="1:9">
      <c r="A70" s="389" t="s">
        <v>1703</v>
      </c>
      <c r="B70" s="888" t="s">
        <v>1715</v>
      </c>
      <c r="C70" s="888"/>
      <c r="D70" s="879">
        <v>1</v>
      </c>
      <c r="E70" s="879"/>
    </row>
    <row r="71" spans="1:9">
      <c r="A71" s="388"/>
      <c r="B71" s="873"/>
      <c r="C71" s="875"/>
      <c r="D71" s="880"/>
      <c r="E71" s="881"/>
      <c r="H71" s="384"/>
    </row>
    <row r="72" spans="1:9" ht="15.75">
      <c r="A72" s="385" t="s">
        <v>1680</v>
      </c>
      <c r="B72" s="876" t="s">
        <v>377</v>
      </c>
      <c r="C72" s="877"/>
      <c r="D72" s="877"/>
      <c r="E72" s="878"/>
      <c r="H72" s="384"/>
    </row>
    <row r="73" spans="1:9" ht="15.75">
      <c r="A73" s="366" t="s">
        <v>1690</v>
      </c>
      <c r="B73" s="366" t="s">
        <v>1676</v>
      </c>
      <c r="C73" s="366" t="s">
        <v>1677</v>
      </c>
      <c r="D73" s="366" t="s">
        <v>246</v>
      </c>
      <c r="E73" s="366" t="s">
        <v>1678</v>
      </c>
    </row>
    <row r="74" spans="1:9">
      <c r="A74" s="389" t="s">
        <v>1681</v>
      </c>
      <c r="B74" s="391" t="s">
        <v>161</v>
      </c>
      <c r="C74" s="393">
        <v>3.5</v>
      </c>
      <c r="D74" s="393">
        <v>5.25</v>
      </c>
      <c r="E74" s="393">
        <v>7</v>
      </c>
    </row>
    <row r="75" spans="1:9">
      <c r="A75" s="389" t="s">
        <v>1682</v>
      </c>
      <c r="B75" s="391" t="s">
        <v>161</v>
      </c>
      <c r="C75" s="393">
        <v>6.5</v>
      </c>
      <c r="D75" s="393">
        <v>9.75</v>
      </c>
      <c r="E75" s="393">
        <v>13</v>
      </c>
    </row>
    <row r="76" spans="1:9">
      <c r="A76" s="389" t="s">
        <v>1683</v>
      </c>
      <c r="B76" s="391" t="s">
        <v>161</v>
      </c>
      <c r="C76" s="393">
        <v>12</v>
      </c>
      <c r="D76" s="393">
        <v>18</v>
      </c>
      <c r="E76" s="393">
        <v>24</v>
      </c>
    </row>
    <row r="77" spans="1:9">
      <c r="A77" s="387"/>
      <c r="B77" s="388"/>
      <c r="C77" s="388"/>
      <c r="D77" s="388"/>
      <c r="E77" s="388"/>
    </row>
    <row r="78" spans="1:9" ht="15.75">
      <c r="A78" s="864" t="s">
        <v>216</v>
      </c>
      <c r="B78" s="864"/>
      <c r="C78" s="864"/>
      <c r="D78" s="864"/>
      <c r="E78" s="864"/>
    </row>
    <row r="79" spans="1:9" ht="15.75">
      <c r="A79" s="366"/>
      <c r="B79" s="883" t="s">
        <v>1705</v>
      </c>
      <c r="C79" s="883"/>
      <c r="D79" s="883" t="s">
        <v>377</v>
      </c>
      <c r="E79" s="883"/>
    </row>
    <row r="80" spans="1:9">
      <c r="A80" s="389" t="s">
        <v>1670</v>
      </c>
      <c r="B80" s="873" t="s">
        <v>74</v>
      </c>
      <c r="C80" s="875"/>
      <c r="D80" s="880">
        <v>6.45</v>
      </c>
      <c r="E80" s="881"/>
      <c r="H80" s="882"/>
      <c r="I80" s="882"/>
    </row>
    <row r="81" spans="1:9">
      <c r="A81" s="389" t="s">
        <v>217</v>
      </c>
      <c r="B81" s="873" t="s">
        <v>1718</v>
      </c>
      <c r="C81" s="875"/>
      <c r="D81" s="880">
        <v>17</v>
      </c>
      <c r="E81" s="881"/>
      <c r="H81" s="882"/>
      <c r="I81" s="882"/>
    </row>
    <row r="82" spans="1:9">
      <c r="A82" s="388" t="s">
        <v>1671</v>
      </c>
      <c r="B82" s="388" t="s">
        <v>1719</v>
      </c>
      <c r="C82" s="388"/>
      <c r="D82" s="880" t="s">
        <v>1717</v>
      </c>
      <c r="E82" s="881"/>
      <c r="H82" s="882"/>
      <c r="I82" s="882"/>
    </row>
    <row r="83" spans="1:9">
      <c r="A83" s="388" t="s">
        <v>1716</v>
      </c>
      <c r="B83" s="873" t="s">
        <v>1720</v>
      </c>
      <c r="C83" s="875"/>
      <c r="D83" s="880">
        <v>4.5</v>
      </c>
      <c r="E83" s="881"/>
      <c r="H83" s="882"/>
      <c r="I83" s="882"/>
    </row>
  </sheetData>
  <sheetProtection algorithmName="SHA-512" hashValue="RFUSoOFw5dz4eSItnu7uBeL7ZCbSwGnWFDiB033FQtHAGKrjbYhLGRNOZX/+ID/RN0oRjrCy0RMeTzoRNkM5YA==" saltValue="X9TfGoKOXCqfKREsPhGOcg==" spinCount="100000" sheet="1" objects="1" scenarios="1"/>
  <mergeCells count="130">
    <mergeCell ref="D15:E15"/>
    <mergeCell ref="D16:E16"/>
    <mergeCell ref="D17:E17"/>
    <mergeCell ref="D18:E18"/>
    <mergeCell ref="D19:E19"/>
    <mergeCell ref="D27:E27"/>
    <mergeCell ref="D4:E4"/>
    <mergeCell ref="D5:E5"/>
    <mergeCell ref="D6:E6"/>
    <mergeCell ref="D7:E7"/>
    <mergeCell ref="A8:E8"/>
    <mergeCell ref="D14:E14"/>
    <mergeCell ref="D10:E10"/>
    <mergeCell ref="D11:E11"/>
    <mergeCell ref="A9:E9"/>
    <mergeCell ref="D12:E12"/>
    <mergeCell ref="D13:E13"/>
    <mergeCell ref="B11:C11"/>
    <mergeCell ref="B12:C12"/>
    <mergeCell ref="B13:C13"/>
    <mergeCell ref="B14:C14"/>
    <mergeCell ref="D26:E26"/>
    <mergeCell ref="B15:C15"/>
    <mergeCell ref="B4:C4"/>
    <mergeCell ref="D70:E70"/>
    <mergeCell ref="B71:C71"/>
    <mergeCell ref="B70:C70"/>
    <mergeCell ref="A52:E52"/>
    <mergeCell ref="D55:E55"/>
    <mergeCell ref="D37:E37"/>
    <mergeCell ref="D38:E38"/>
    <mergeCell ref="D39:E39"/>
    <mergeCell ref="B58:C58"/>
    <mergeCell ref="D56:E56"/>
    <mergeCell ref="B54:C54"/>
    <mergeCell ref="D54:E54"/>
    <mergeCell ref="B55:C55"/>
    <mergeCell ref="B56:C56"/>
    <mergeCell ref="B57:C57"/>
    <mergeCell ref="D57:E57"/>
    <mergeCell ref="D58:E58"/>
    <mergeCell ref="D47:E47"/>
    <mergeCell ref="D48:E48"/>
    <mergeCell ref="B10:C10"/>
    <mergeCell ref="B34:C34"/>
    <mergeCell ref="B47:C47"/>
    <mergeCell ref="B5:C5"/>
    <mergeCell ref="B6:C6"/>
    <mergeCell ref="B7:C7"/>
    <mergeCell ref="D40:E40"/>
    <mergeCell ref="D41:E41"/>
    <mergeCell ref="D42:E42"/>
    <mergeCell ref="D43:E43"/>
    <mergeCell ref="D44:E44"/>
    <mergeCell ref="D45:E45"/>
    <mergeCell ref="D35:E35"/>
    <mergeCell ref="D36:E36"/>
    <mergeCell ref="D20:E20"/>
    <mergeCell ref="B22:C22"/>
    <mergeCell ref="B23:C23"/>
    <mergeCell ref="B24:C24"/>
    <mergeCell ref="B25:C25"/>
    <mergeCell ref="B26:C26"/>
    <mergeCell ref="B43:C43"/>
    <mergeCell ref="B16:C16"/>
    <mergeCell ref="B17:C17"/>
    <mergeCell ref="B18:C18"/>
    <mergeCell ref="B19:C19"/>
    <mergeCell ref="B20:C20"/>
    <mergeCell ref="B21:C21"/>
    <mergeCell ref="A29:E29"/>
    <mergeCell ref="A30:E30"/>
    <mergeCell ref="A31:E31"/>
    <mergeCell ref="A32:E32"/>
    <mergeCell ref="D21:E21"/>
    <mergeCell ref="D22:E22"/>
    <mergeCell ref="D23:E23"/>
    <mergeCell ref="D24:E24"/>
    <mergeCell ref="D25:E25"/>
    <mergeCell ref="D34:E34"/>
    <mergeCell ref="B66:C66"/>
    <mergeCell ref="B51:C51"/>
    <mergeCell ref="D67:E67"/>
    <mergeCell ref="D68:E68"/>
    <mergeCell ref="D69:E69"/>
    <mergeCell ref="B67:C67"/>
    <mergeCell ref="B68:C68"/>
    <mergeCell ref="B69:C69"/>
    <mergeCell ref="D66:E66"/>
    <mergeCell ref="D51:E51"/>
    <mergeCell ref="B72:E72"/>
    <mergeCell ref="D71:E71"/>
    <mergeCell ref="H80:I80"/>
    <mergeCell ref="H81:I81"/>
    <mergeCell ref="H82:I82"/>
    <mergeCell ref="H83:I83"/>
    <mergeCell ref="B79:C79"/>
    <mergeCell ref="D79:E79"/>
    <mergeCell ref="D83:E83"/>
    <mergeCell ref="B80:C80"/>
    <mergeCell ref="B81:C81"/>
    <mergeCell ref="B83:C83"/>
    <mergeCell ref="D80:E80"/>
    <mergeCell ref="D81:E81"/>
    <mergeCell ref="D82:E82"/>
    <mergeCell ref="A78:E78"/>
    <mergeCell ref="A1:E1"/>
    <mergeCell ref="A2:E2"/>
    <mergeCell ref="A28:E28"/>
    <mergeCell ref="A33:E33"/>
    <mergeCell ref="B53:E53"/>
    <mergeCell ref="B59:E59"/>
    <mergeCell ref="B39:C39"/>
    <mergeCell ref="B40:C40"/>
    <mergeCell ref="B41:C41"/>
    <mergeCell ref="B42:C42"/>
    <mergeCell ref="B45:C45"/>
    <mergeCell ref="B46:C46"/>
    <mergeCell ref="B48:C48"/>
    <mergeCell ref="B49:C49"/>
    <mergeCell ref="B50:C50"/>
    <mergeCell ref="D49:E49"/>
    <mergeCell ref="D50:E50"/>
    <mergeCell ref="D46:E46"/>
    <mergeCell ref="B44:C44"/>
    <mergeCell ref="B27:C27"/>
    <mergeCell ref="B35:C35"/>
    <mergeCell ref="B36:C36"/>
    <mergeCell ref="B37:C37"/>
    <mergeCell ref="B38:C38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82"/>
  <sheetViews>
    <sheetView workbookViewId="0">
      <selection activeCell="H11" sqref="H11"/>
    </sheetView>
  </sheetViews>
  <sheetFormatPr baseColWidth="10" defaultRowHeight="12"/>
  <cols>
    <col min="1" max="1" width="61" style="383" customWidth="1"/>
    <col min="2" max="2" width="11.7109375" style="383" customWidth="1"/>
    <col min="3" max="3" width="12.42578125" style="383" customWidth="1"/>
    <col min="4" max="4" width="11.42578125" style="383" customWidth="1"/>
    <col min="5" max="5" width="12.5703125" style="383" customWidth="1"/>
    <col min="6" max="16384" width="11.42578125" style="383"/>
  </cols>
  <sheetData>
    <row r="1" spans="1:5" ht="15.75">
      <c r="A1" s="863" t="s">
        <v>1722</v>
      </c>
      <c r="B1" s="863"/>
      <c r="C1" s="863"/>
      <c r="D1" s="863"/>
      <c r="E1" s="863"/>
    </row>
    <row r="2" spans="1:5" ht="15">
      <c r="A2" s="680" t="s">
        <v>1726</v>
      </c>
      <c r="B2" s="680"/>
      <c r="C2" s="680"/>
      <c r="D2" s="680"/>
      <c r="E2" s="680"/>
    </row>
    <row r="4" spans="1:5" ht="15.75">
      <c r="A4" s="382" t="s">
        <v>125</v>
      </c>
      <c r="B4" s="870" t="s">
        <v>1705</v>
      </c>
      <c r="C4" s="871"/>
      <c r="D4" s="870" t="s">
        <v>377</v>
      </c>
      <c r="E4" s="871"/>
    </row>
    <row r="5" spans="1:5" ht="20.25" customHeight="1">
      <c r="A5" s="389" t="s">
        <v>1723</v>
      </c>
      <c r="B5" s="888" t="s">
        <v>1706</v>
      </c>
      <c r="C5" s="888"/>
      <c r="D5" s="879">
        <v>0.72</v>
      </c>
      <c r="E5" s="879"/>
    </row>
    <row r="6" spans="1:5">
      <c r="A6" s="389" t="s">
        <v>1664</v>
      </c>
      <c r="B6" s="888" t="s">
        <v>1707</v>
      </c>
      <c r="C6" s="888"/>
      <c r="D6" s="879">
        <v>0.09</v>
      </c>
      <c r="E6" s="879"/>
    </row>
    <row r="7" spans="1:5">
      <c r="A7" s="387"/>
      <c r="B7" s="888"/>
      <c r="C7" s="888"/>
      <c r="D7" s="888"/>
      <c r="E7" s="888"/>
    </row>
    <row r="8" spans="1:5" ht="27" customHeight="1">
      <c r="A8" s="893" t="s">
        <v>293</v>
      </c>
      <c r="B8" s="893"/>
      <c r="C8" s="893"/>
      <c r="D8" s="893"/>
      <c r="E8" s="893"/>
    </row>
    <row r="9" spans="1:5">
      <c r="A9" s="888"/>
      <c r="B9" s="888"/>
      <c r="C9" s="888"/>
      <c r="D9" s="888"/>
      <c r="E9" s="888"/>
    </row>
    <row r="10" spans="1:5" ht="15.75">
      <c r="A10" s="396" t="s">
        <v>50</v>
      </c>
      <c r="B10" s="889" t="s">
        <v>1705</v>
      </c>
      <c r="C10" s="890"/>
      <c r="D10" s="894" t="s">
        <v>377</v>
      </c>
      <c r="E10" s="894"/>
    </row>
    <row r="11" spans="1:5">
      <c r="A11" s="390" t="s">
        <v>1691</v>
      </c>
      <c r="B11" s="873" t="s">
        <v>1708</v>
      </c>
      <c r="C11" s="875"/>
      <c r="D11" s="879">
        <v>110</v>
      </c>
      <c r="E11" s="879"/>
    </row>
    <row r="12" spans="1:5">
      <c r="A12" s="390" t="s">
        <v>1692</v>
      </c>
      <c r="B12" s="873" t="s">
        <v>1708</v>
      </c>
      <c r="C12" s="875"/>
      <c r="D12" s="879">
        <v>145</v>
      </c>
      <c r="E12" s="879"/>
    </row>
    <row r="13" spans="1:5">
      <c r="A13" s="390" t="s">
        <v>1693</v>
      </c>
      <c r="B13" s="873" t="s">
        <v>1708</v>
      </c>
      <c r="C13" s="875"/>
      <c r="D13" s="879">
        <v>165</v>
      </c>
      <c r="E13" s="879"/>
    </row>
    <row r="14" spans="1:5">
      <c r="A14" s="390" t="s">
        <v>1694</v>
      </c>
      <c r="B14" s="873" t="s">
        <v>1708</v>
      </c>
      <c r="C14" s="875"/>
      <c r="D14" s="879">
        <v>135</v>
      </c>
      <c r="E14" s="879"/>
    </row>
    <row r="15" spans="1:5">
      <c r="A15" s="390" t="s">
        <v>1695</v>
      </c>
      <c r="B15" s="873" t="s">
        <v>1708</v>
      </c>
      <c r="C15" s="875"/>
      <c r="D15" s="879">
        <v>186</v>
      </c>
      <c r="E15" s="879"/>
    </row>
    <row r="16" spans="1:5">
      <c r="A16" s="390" t="s">
        <v>1696</v>
      </c>
      <c r="B16" s="873" t="s">
        <v>1708</v>
      </c>
      <c r="C16" s="875"/>
      <c r="D16" s="879">
        <v>25</v>
      </c>
      <c r="E16" s="879"/>
    </row>
    <row r="17" spans="1:5">
      <c r="A17" s="390" t="s">
        <v>1665</v>
      </c>
      <c r="B17" s="873" t="s">
        <v>74</v>
      </c>
      <c r="C17" s="875"/>
      <c r="D17" s="879">
        <v>5.5</v>
      </c>
      <c r="E17" s="879"/>
    </row>
    <row r="18" spans="1:5">
      <c r="A18" s="389" t="s">
        <v>1684</v>
      </c>
      <c r="B18" s="873" t="s">
        <v>74</v>
      </c>
      <c r="C18" s="875"/>
      <c r="D18" s="879">
        <v>4.5</v>
      </c>
      <c r="E18" s="879"/>
    </row>
    <row r="19" spans="1:5">
      <c r="A19" s="389" t="s">
        <v>1681</v>
      </c>
      <c r="B19" s="873" t="s">
        <v>1709</v>
      </c>
      <c r="C19" s="875"/>
      <c r="D19" s="879">
        <v>61</v>
      </c>
      <c r="E19" s="879"/>
    </row>
    <row r="20" spans="1:5">
      <c r="A20" s="389" t="s">
        <v>1682</v>
      </c>
      <c r="B20" s="873" t="s">
        <v>1709</v>
      </c>
      <c r="C20" s="875"/>
      <c r="D20" s="879">
        <v>85</v>
      </c>
      <c r="E20" s="879"/>
    </row>
    <row r="21" spans="1:5">
      <c r="A21" s="389" t="s">
        <v>1683</v>
      </c>
      <c r="B21" s="873" t="s">
        <v>1709</v>
      </c>
      <c r="C21" s="875"/>
      <c r="D21" s="879">
        <v>152</v>
      </c>
      <c r="E21" s="879"/>
    </row>
    <row r="22" spans="1:5">
      <c r="A22" s="388" t="s">
        <v>1697</v>
      </c>
      <c r="B22" s="873" t="s">
        <v>1708</v>
      </c>
      <c r="C22" s="875"/>
      <c r="D22" s="879">
        <v>32</v>
      </c>
      <c r="E22" s="879"/>
    </row>
    <row r="23" spans="1:5">
      <c r="A23" s="388" t="s">
        <v>1698</v>
      </c>
      <c r="B23" s="873" t="s">
        <v>1708</v>
      </c>
      <c r="C23" s="875"/>
      <c r="D23" s="879">
        <v>35</v>
      </c>
      <c r="E23" s="879"/>
    </row>
    <row r="24" spans="1:5">
      <c r="A24" s="390" t="s">
        <v>1699</v>
      </c>
      <c r="B24" s="873" t="s">
        <v>1708</v>
      </c>
      <c r="C24" s="875"/>
      <c r="D24" s="879">
        <v>57</v>
      </c>
      <c r="E24" s="879"/>
    </row>
    <row r="25" spans="1:5">
      <c r="A25" s="390" t="s">
        <v>1725</v>
      </c>
      <c r="B25" s="873" t="s">
        <v>1708</v>
      </c>
      <c r="C25" s="875"/>
      <c r="D25" s="879">
        <v>32</v>
      </c>
      <c r="E25" s="879"/>
    </row>
    <row r="26" spans="1:5">
      <c r="A26" s="389" t="s">
        <v>1685</v>
      </c>
      <c r="B26" s="873" t="s">
        <v>74</v>
      </c>
      <c r="C26" s="875"/>
      <c r="D26" s="879">
        <v>5</v>
      </c>
      <c r="E26" s="879"/>
    </row>
    <row r="27" spans="1:5" ht="15.75">
      <c r="A27" s="870" t="s">
        <v>1666</v>
      </c>
      <c r="B27" s="871"/>
      <c r="C27" s="871"/>
      <c r="D27" s="871"/>
      <c r="E27" s="872"/>
    </row>
    <row r="28" spans="1:5">
      <c r="A28" s="873" t="s">
        <v>214</v>
      </c>
      <c r="B28" s="874"/>
      <c r="C28" s="874"/>
      <c r="D28" s="874"/>
      <c r="E28" s="875"/>
    </row>
    <row r="29" spans="1:5" ht="15.75">
      <c r="A29" s="870" t="s">
        <v>1667</v>
      </c>
      <c r="B29" s="871"/>
      <c r="C29" s="871"/>
      <c r="D29" s="871"/>
      <c r="E29" s="872"/>
    </row>
    <row r="30" spans="1:5">
      <c r="A30" s="873" t="s">
        <v>51</v>
      </c>
      <c r="B30" s="874"/>
      <c r="C30" s="874"/>
      <c r="D30" s="874"/>
      <c r="E30" s="875"/>
    </row>
    <row r="31" spans="1:5">
      <c r="A31" s="873" t="s">
        <v>52</v>
      </c>
      <c r="B31" s="874"/>
      <c r="C31" s="874"/>
      <c r="D31" s="874"/>
      <c r="E31" s="875"/>
    </row>
    <row r="32" spans="1:5">
      <c r="A32" s="873"/>
      <c r="B32" s="874"/>
      <c r="C32" s="874"/>
      <c r="D32" s="874"/>
      <c r="E32" s="875"/>
    </row>
    <row r="33" spans="1:5" ht="31.5">
      <c r="A33" s="395" t="s">
        <v>55</v>
      </c>
      <c r="B33" s="886" t="s">
        <v>1705</v>
      </c>
      <c r="C33" s="887"/>
      <c r="D33" s="884" t="s">
        <v>377</v>
      </c>
      <c r="E33" s="885"/>
    </row>
    <row r="34" spans="1:5">
      <c r="A34" s="389" t="s">
        <v>1700</v>
      </c>
      <c r="B34" s="873" t="s">
        <v>1708</v>
      </c>
      <c r="C34" s="875"/>
      <c r="D34" s="879">
        <v>18</v>
      </c>
      <c r="E34" s="879"/>
    </row>
    <row r="35" spans="1:5">
      <c r="A35" s="389" t="s">
        <v>1701</v>
      </c>
      <c r="B35" s="873" t="s">
        <v>1708</v>
      </c>
      <c r="C35" s="875"/>
      <c r="D35" s="879">
        <v>6</v>
      </c>
      <c r="E35" s="879"/>
    </row>
    <row r="36" spans="1:5">
      <c r="A36" s="389" t="s">
        <v>1702</v>
      </c>
      <c r="B36" s="873" t="s">
        <v>1708</v>
      </c>
      <c r="C36" s="875"/>
      <c r="D36" s="879">
        <v>5</v>
      </c>
      <c r="E36" s="879"/>
    </row>
    <row r="37" spans="1:5">
      <c r="A37" s="389" t="s">
        <v>1703</v>
      </c>
      <c r="B37" s="873" t="s">
        <v>1708</v>
      </c>
      <c r="C37" s="875"/>
      <c r="D37" s="879">
        <v>2</v>
      </c>
      <c r="E37" s="879"/>
    </row>
    <row r="38" spans="1:5">
      <c r="A38" s="394" t="s">
        <v>1687</v>
      </c>
      <c r="B38" s="873" t="s">
        <v>74</v>
      </c>
      <c r="C38" s="875"/>
      <c r="D38" s="879">
        <v>1</v>
      </c>
      <c r="E38" s="879"/>
    </row>
    <row r="39" spans="1:5">
      <c r="A39" s="394" t="s">
        <v>1704</v>
      </c>
      <c r="B39" s="873" t="s">
        <v>1708</v>
      </c>
      <c r="C39" s="875"/>
      <c r="D39" s="879">
        <v>4</v>
      </c>
      <c r="E39" s="879"/>
    </row>
    <row r="40" spans="1:5">
      <c r="A40" s="389" t="s">
        <v>78</v>
      </c>
      <c r="B40" s="873" t="s">
        <v>74</v>
      </c>
      <c r="C40" s="875"/>
      <c r="D40" s="879">
        <v>1.55</v>
      </c>
      <c r="E40" s="879"/>
    </row>
    <row r="41" spans="1:5">
      <c r="A41" s="389" t="s">
        <v>79</v>
      </c>
      <c r="B41" s="873" t="s">
        <v>295</v>
      </c>
      <c r="C41" s="875"/>
      <c r="D41" s="879">
        <v>94</v>
      </c>
      <c r="E41" s="879"/>
    </row>
    <row r="42" spans="1:5">
      <c r="A42" s="389" t="s">
        <v>1688</v>
      </c>
      <c r="B42" s="873" t="s">
        <v>295</v>
      </c>
      <c r="C42" s="875"/>
      <c r="D42" s="879">
        <v>115.5</v>
      </c>
      <c r="E42" s="879"/>
    </row>
    <row r="43" spans="1:5">
      <c r="A43" s="389" t="s">
        <v>1689</v>
      </c>
      <c r="B43" s="873" t="s">
        <v>295</v>
      </c>
      <c r="C43" s="875"/>
      <c r="D43" s="879">
        <v>250</v>
      </c>
      <c r="E43" s="879"/>
    </row>
    <row r="44" spans="1:5">
      <c r="A44" s="389" t="s">
        <v>61</v>
      </c>
      <c r="B44" s="873" t="s">
        <v>96</v>
      </c>
      <c r="C44" s="875"/>
      <c r="D44" s="879">
        <v>12</v>
      </c>
      <c r="E44" s="879"/>
    </row>
    <row r="45" spans="1:5">
      <c r="A45" s="389" t="s">
        <v>62</v>
      </c>
      <c r="B45" s="873" t="s">
        <v>96</v>
      </c>
      <c r="C45" s="875"/>
      <c r="D45" s="879">
        <v>35</v>
      </c>
      <c r="E45" s="879"/>
    </row>
    <row r="46" spans="1:5" ht="31.5">
      <c r="A46" s="386" t="s">
        <v>58</v>
      </c>
      <c r="B46" s="886" t="s">
        <v>1705</v>
      </c>
      <c r="C46" s="887"/>
      <c r="D46" s="883" t="s">
        <v>377</v>
      </c>
      <c r="E46" s="883"/>
    </row>
    <row r="47" spans="1:5">
      <c r="A47" s="389" t="s">
        <v>59</v>
      </c>
      <c r="B47" s="873" t="s">
        <v>74</v>
      </c>
      <c r="C47" s="875"/>
      <c r="D47" s="879">
        <v>0.2</v>
      </c>
      <c r="E47" s="879"/>
    </row>
    <row r="48" spans="1:5">
      <c r="A48" s="389" t="s">
        <v>60</v>
      </c>
      <c r="B48" s="873" t="s">
        <v>1708</v>
      </c>
      <c r="C48" s="875"/>
      <c r="D48" s="879">
        <v>2</v>
      </c>
      <c r="E48" s="879"/>
    </row>
    <row r="49" spans="1:5">
      <c r="A49" s="389" t="s">
        <v>215</v>
      </c>
      <c r="B49" s="873" t="s">
        <v>218</v>
      </c>
      <c r="C49" s="875"/>
      <c r="D49" s="879">
        <v>8</v>
      </c>
      <c r="E49" s="879"/>
    </row>
    <row r="50" spans="1:5" ht="11.25" customHeight="1">
      <c r="A50" s="392"/>
      <c r="B50" s="873"/>
      <c r="C50" s="875"/>
      <c r="D50" s="879"/>
      <c r="E50" s="879"/>
    </row>
    <row r="51" spans="1:5" ht="15.75">
      <c r="A51" s="864" t="s">
        <v>157</v>
      </c>
      <c r="B51" s="864"/>
      <c r="C51" s="864"/>
      <c r="D51" s="864"/>
      <c r="E51" s="864"/>
    </row>
    <row r="52" spans="1:5" ht="15.75">
      <c r="A52" s="385" t="s">
        <v>1668</v>
      </c>
      <c r="B52" s="876" t="s">
        <v>377</v>
      </c>
      <c r="C52" s="877"/>
      <c r="D52" s="877"/>
      <c r="E52" s="878"/>
    </row>
    <row r="53" spans="1:5" ht="15.75">
      <c r="A53" s="366" t="s">
        <v>1672</v>
      </c>
      <c r="B53" s="891" t="s">
        <v>158</v>
      </c>
      <c r="C53" s="892"/>
      <c r="D53" s="891" t="s">
        <v>159</v>
      </c>
      <c r="E53" s="892"/>
    </row>
    <row r="54" spans="1:5">
      <c r="A54" s="389" t="s">
        <v>1711</v>
      </c>
      <c r="B54" s="888" t="s">
        <v>161</v>
      </c>
      <c r="C54" s="888"/>
      <c r="D54" s="888" t="s">
        <v>161</v>
      </c>
      <c r="E54" s="888"/>
    </row>
    <row r="55" spans="1:5">
      <c r="A55" s="389" t="s">
        <v>1673</v>
      </c>
      <c r="B55" s="879">
        <v>1.9</v>
      </c>
      <c r="C55" s="879"/>
      <c r="D55" s="879">
        <v>1.25</v>
      </c>
      <c r="E55" s="879"/>
    </row>
    <row r="56" spans="1:5">
      <c r="A56" s="389" t="s">
        <v>1674</v>
      </c>
      <c r="B56" s="879">
        <v>2.6</v>
      </c>
      <c r="C56" s="879"/>
      <c r="D56" s="879">
        <v>1.75</v>
      </c>
      <c r="E56" s="879"/>
    </row>
    <row r="57" spans="1:5">
      <c r="A57" s="389" t="s">
        <v>1432</v>
      </c>
      <c r="B57" s="879">
        <v>3.2</v>
      </c>
      <c r="C57" s="879"/>
      <c r="D57" s="879">
        <v>2.2000000000000002</v>
      </c>
      <c r="E57" s="879"/>
    </row>
    <row r="58" spans="1:5" ht="15.75">
      <c r="A58" s="385" t="s">
        <v>1669</v>
      </c>
      <c r="B58" s="876" t="s">
        <v>377</v>
      </c>
      <c r="C58" s="877"/>
      <c r="D58" s="877"/>
      <c r="E58" s="878"/>
    </row>
    <row r="59" spans="1:5" ht="15.75">
      <c r="A59" s="366" t="s">
        <v>1675</v>
      </c>
      <c r="B59" s="366" t="s">
        <v>1676</v>
      </c>
      <c r="C59" s="366" t="s">
        <v>1677</v>
      </c>
      <c r="D59" s="366" t="s">
        <v>246</v>
      </c>
      <c r="E59" s="366" t="s">
        <v>1678</v>
      </c>
    </row>
    <row r="60" spans="1:5">
      <c r="A60" s="389" t="s">
        <v>247</v>
      </c>
      <c r="B60" s="391" t="s">
        <v>161</v>
      </c>
      <c r="C60" s="393">
        <v>20</v>
      </c>
      <c r="D60" s="393">
        <v>28</v>
      </c>
      <c r="E60" s="393">
        <v>35</v>
      </c>
    </row>
    <row r="61" spans="1:5">
      <c r="A61" s="389" t="s">
        <v>248</v>
      </c>
      <c r="B61" s="391" t="s">
        <v>161</v>
      </c>
      <c r="C61" s="393">
        <v>28</v>
      </c>
      <c r="D61" s="393">
        <v>40</v>
      </c>
      <c r="E61" s="393">
        <v>52</v>
      </c>
    </row>
    <row r="62" spans="1:5">
      <c r="A62" s="389" t="s">
        <v>1679</v>
      </c>
      <c r="B62" s="391" t="s">
        <v>161</v>
      </c>
      <c r="C62" s="393">
        <v>34</v>
      </c>
      <c r="D62" s="393">
        <v>50</v>
      </c>
      <c r="E62" s="393">
        <v>62</v>
      </c>
    </row>
    <row r="63" spans="1:5">
      <c r="A63" s="388" t="s">
        <v>1118</v>
      </c>
      <c r="B63" s="391" t="s">
        <v>161</v>
      </c>
      <c r="C63" s="393">
        <v>40</v>
      </c>
      <c r="D63" s="393">
        <v>50</v>
      </c>
      <c r="E63" s="393">
        <v>65</v>
      </c>
    </row>
    <row r="64" spans="1:5">
      <c r="A64" s="388" t="s">
        <v>1119</v>
      </c>
      <c r="B64" s="391" t="s">
        <v>161</v>
      </c>
      <c r="C64" s="393">
        <v>55</v>
      </c>
      <c r="D64" s="393">
        <v>68</v>
      </c>
      <c r="E64" s="393">
        <v>80</v>
      </c>
    </row>
    <row r="65" spans="1:9" ht="15.75">
      <c r="A65" s="388"/>
      <c r="B65" s="886" t="s">
        <v>1705</v>
      </c>
      <c r="C65" s="887"/>
      <c r="D65" s="883" t="s">
        <v>377</v>
      </c>
      <c r="E65" s="883"/>
    </row>
    <row r="66" spans="1:9">
      <c r="A66" s="389" t="s">
        <v>1712</v>
      </c>
      <c r="B66" s="888" t="s">
        <v>1714</v>
      </c>
      <c r="C66" s="888"/>
      <c r="D66" s="879">
        <v>1</v>
      </c>
      <c r="E66" s="879"/>
    </row>
    <row r="67" spans="1:9">
      <c r="A67" s="389" t="s">
        <v>1713</v>
      </c>
      <c r="B67" s="888" t="s">
        <v>1714</v>
      </c>
      <c r="C67" s="888"/>
      <c r="D67" s="879">
        <v>1.5</v>
      </c>
      <c r="E67" s="879"/>
    </row>
    <row r="68" spans="1:9">
      <c r="A68" s="389" t="s">
        <v>1702</v>
      </c>
      <c r="B68" s="888" t="s">
        <v>1715</v>
      </c>
      <c r="C68" s="888"/>
      <c r="D68" s="879">
        <v>10</v>
      </c>
      <c r="E68" s="879"/>
    </row>
    <row r="69" spans="1:9">
      <c r="A69" s="389" t="s">
        <v>1703</v>
      </c>
      <c r="B69" s="888" t="s">
        <v>1715</v>
      </c>
      <c r="C69" s="888"/>
      <c r="D69" s="879">
        <v>1</v>
      </c>
      <c r="E69" s="879"/>
    </row>
    <row r="70" spans="1:9">
      <c r="A70" s="388"/>
      <c r="B70" s="873"/>
      <c r="C70" s="875"/>
      <c r="D70" s="880"/>
      <c r="E70" s="881"/>
      <c r="H70" s="384"/>
    </row>
    <row r="71" spans="1:9" ht="15.75">
      <c r="A71" s="385" t="s">
        <v>1680</v>
      </c>
      <c r="B71" s="876" t="s">
        <v>377</v>
      </c>
      <c r="C71" s="877"/>
      <c r="D71" s="877"/>
      <c r="E71" s="878"/>
      <c r="H71" s="384"/>
    </row>
    <row r="72" spans="1:9" ht="15.75">
      <c r="A72" s="366" t="s">
        <v>1690</v>
      </c>
      <c r="B72" s="366" t="s">
        <v>1676</v>
      </c>
      <c r="C72" s="366" t="s">
        <v>1677</v>
      </c>
      <c r="D72" s="366" t="s">
        <v>246</v>
      </c>
      <c r="E72" s="366" t="s">
        <v>1678</v>
      </c>
    </row>
    <row r="73" spans="1:9">
      <c r="A73" s="389" t="s">
        <v>1681</v>
      </c>
      <c r="B73" s="391" t="s">
        <v>161</v>
      </c>
      <c r="C73" s="393">
        <v>3.5</v>
      </c>
      <c r="D73" s="393">
        <v>5.25</v>
      </c>
      <c r="E73" s="393">
        <v>7</v>
      </c>
    </row>
    <row r="74" spans="1:9">
      <c r="A74" s="389" t="s">
        <v>1682</v>
      </c>
      <c r="B74" s="391" t="s">
        <v>161</v>
      </c>
      <c r="C74" s="393">
        <v>6.5</v>
      </c>
      <c r="D74" s="393">
        <v>9.75</v>
      </c>
      <c r="E74" s="393">
        <v>13</v>
      </c>
    </row>
    <row r="75" spans="1:9">
      <c r="A75" s="389" t="s">
        <v>1683</v>
      </c>
      <c r="B75" s="391" t="s">
        <v>161</v>
      </c>
      <c r="C75" s="393">
        <v>12</v>
      </c>
      <c r="D75" s="393">
        <v>18</v>
      </c>
      <c r="E75" s="393">
        <v>24</v>
      </c>
    </row>
    <row r="76" spans="1:9">
      <c r="A76" s="387"/>
      <c r="B76" s="388"/>
      <c r="C76" s="388"/>
      <c r="D76" s="388"/>
      <c r="E76" s="388"/>
    </row>
    <row r="77" spans="1:9" ht="15.75">
      <c r="A77" s="864" t="s">
        <v>216</v>
      </c>
      <c r="B77" s="864"/>
      <c r="C77" s="864"/>
      <c r="D77" s="864"/>
      <c r="E77" s="864"/>
    </row>
    <row r="78" spans="1:9" ht="15.75">
      <c r="A78" s="366"/>
      <c r="B78" s="883" t="s">
        <v>1705</v>
      </c>
      <c r="C78" s="883"/>
      <c r="D78" s="883" t="s">
        <v>377</v>
      </c>
      <c r="E78" s="883"/>
    </row>
    <row r="79" spans="1:9">
      <c r="A79" s="389" t="s">
        <v>1670</v>
      </c>
      <c r="B79" s="873" t="s">
        <v>74</v>
      </c>
      <c r="C79" s="875"/>
      <c r="D79" s="880">
        <v>6.45</v>
      </c>
      <c r="E79" s="881"/>
      <c r="H79" s="882"/>
      <c r="I79" s="882"/>
    </row>
    <row r="80" spans="1:9">
      <c r="A80" s="389" t="s">
        <v>217</v>
      </c>
      <c r="B80" s="873" t="s">
        <v>1718</v>
      </c>
      <c r="C80" s="875"/>
      <c r="D80" s="880">
        <v>17</v>
      </c>
      <c r="E80" s="881"/>
      <c r="H80" s="882"/>
      <c r="I80" s="882"/>
    </row>
    <row r="81" spans="1:9">
      <c r="A81" s="388" t="s">
        <v>1671</v>
      </c>
      <c r="B81" s="388" t="s">
        <v>1719</v>
      </c>
      <c r="C81" s="388"/>
      <c r="D81" s="880" t="s">
        <v>1717</v>
      </c>
      <c r="E81" s="881"/>
      <c r="H81" s="882"/>
      <c r="I81" s="882"/>
    </row>
    <row r="82" spans="1:9">
      <c r="A82" s="388" t="s">
        <v>1716</v>
      </c>
      <c r="B82" s="873" t="s">
        <v>1720</v>
      </c>
      <c r="C82" s="875"/>
      <c r="D82" s="880">
        <v>4.5</v>
      </c>
      <c r="E82" s="881"/>
      <c r="H82" s="882"/>
      <c r="I82" s="882"/>
    </row>
  </sheetData>
  <sheetProtection algorithmName="SHA-512" hashValue="AoZ3KmXR6S4EtU88h2aFnBF2whdDiSY57Ufy/bMvZjWYQxmTNzucNuB2F8kgtiJ3vZNBWkU+fhp7hmqVZ3DtBA==" saltValue="ZA/ypiNQHyBKZAVkz7himg==" spinCount="100000" sheet="1" objects="1" scenarios="1"/>
  <mergeCells count="128">
    <mergeCell ref="B6:C6"/>
    <mergeCell ref="D6:E6"/>
    <mergeCell ref="B7:C7"/>
    <mergeCell ref="D7:E7"/>
    <mergeCell ref="A8:E8"/>
    <mergeCell ref="A9:E9"/>
    <mergeCell ref="A1:E1"/>
    <mergeCell ref="A2:E2"/>
    <mergeCell ref="B4:C4"/>
    <mergeCell ref="D4:E4"/>
    <mergeCell ref="B5:C5"/>
    <mergeCell ref="D5:E5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25:C25"/>
    <mergeCell ref="D25:E25"/>
    <mergeCell ref="B26:C26"/>
    <mergeCell ref="D26:E26"/>
    <mergeCell ref="A27:E27"/>
    <mergeCell ref="A28:E28"/>
    <mergeCell ref="B22:C22"/>
    <mergeCell ref="D22:E22"/>
    <mergeCell ref="B23:C23"/>
    <mergeCell ref="D23:E23"/>
    <mergeCell ref="B24:C24"/>
    <mergeCell ref="D24:E24"/>
    <mergeCell ref="B34:C34"/>
    <mergeCell ref="D34:E34"/>
    <mergeCell ref="B35:C35"/>
    <mergeCell ref="D35:E35"/>
    <mergeCell ref="B36:C36"/>
    <mergeCell ref="D36:E36"/>
    <mergeCell ref="A29:E29"/>
    <mergeCell ref="A30:E30"/>
    <mergeCell ref="A31:E31"/>
    <mergeCell ref="A32:E32"/>
    <mergeCell ref="B33:C33"/>
    <mergeCell ref="D33:E33"/>
    <mergeCell ref="B40:C40"/>
    <mergeCell ref="D40:E40"/>
    <mergeCell ref="B41:C41"/>
    <mergeCell ref="D41:E41"/>
    <mergeCell ref="B42:C42"/>
    <mergeCell ref="D42:E42"/>
    <mergeCell ref="B37:C37"/>
    <mergeCell ref="D37:E37"/>
    <mergeCell ref="B38:C38"/>
    <mergeCell ref="D38:E38"/>
    <mergeCell ref="B39:C39"/>
    <mergeCell ref="D39:E39"/>
    <mergeCell ref="B48:C48"/>
    <mergeCell ref="D48:E48"/>
    <mergeCell ref="B49:C49"/>
    <mergeCell ref="D49:E49"/>
    <mergeCell ref="B43:C43"/>
    <mergeCell ref="D43:E43"/>
    <mergeCell ref="B44:C44"/>
    <mergeCell ref="D44:E44"/>
    <mergeCell ref="D50:E50"/>
    <mergeCell ref="B45:C45"/>
    <mergeCell ref="D45:E45"/>
    <mergeCell ref="B46:C46"/>
    <mergeCell ref="D46:E46"/>
    <mergeCell ref="B47:C47"/>
    <mergeCell ref="D47:E47"/>
    <mergeCell ref="B69:C69"/>
    <mergeCell ref="D69:E69"/>
    <mergeCell ref="B50:C50"/>
    <mergeCell ref="B65:C65"/>
    <mergeCell ref="D65:E65"/>
    <mergeCell ref="B66:C66"/>
    <mergeCell ref="D66:E66"/>
    <mergeCell ref="B55:C55"/>
    <mergeCell ref="D55:E55"/>
    <mergeCell ref="B56:C56"/>
    <mergeCell ref="D56:E56"/>
    <mergeCell ref="B57:C57"/>
    <mergeCell ref="A51:E51"/>
    <mergeCell ref="B53:C53"/>
    <mergeCell ref="D53:E53"/>
    <mergeCell ref="B54:C54"/>
    <mergeCell ref="D54:E54"/>
    <mergeCell ref="D81:E81"/>
    <mergeCell ref="H81:I81"/>
    <mergeCell ref="B82:C82"/>
    <mergeCell ref="D82:E82"/>
    <mergeCell ref="H82:I82"/>
    <mergeCell ref="B52:E52"/>
    <mergeCell ref="B58:E58"/>
    <mergeCell ref="B71:E71"/>
    <mergeCell ref="D70:E70"/>
    <mergeCell ref="B79:C79"/>
    <mergeCell ref="D79:E79"/>
    <mergeCell ref="H79:I79"/>
    <mergeCell ref="B80:C80"/>
    <mergeCell ref="D80:E80"/>
    <mergeCell ref="H80:I80"/>
    <mergeCell ref="B70:C70"/>
    <mergeCell ref="A77:E77"/>
    <mergeCell ref="B78:C78"/>
    <mergeCell ref="D78:E78"/>
    <mergeCell ref="D57:E57"/>
    <mergeCell ref="B67:C67"/>
    <mergeCell ref="D67:E67"/>
    <mergeCell ref="B68:C68"/>
    <mergeCell ref="D68:E6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E76"/>
  <sheetViews>
    <sheetView workbookViewId="0">
      <selection activeCell="H19" sqref="H19"/>
    </sheetView>
  </sheetViews>
  <sheetFormatPr baseColWidth="10" defaultRowHeight="12.75"/>
  <cols>
    <col min="1" max="1" width="47.42578125" customWidth="1"/>
    <col min="2" max="2" width="12.42578125" style="3" customWidth="1"/>
    <col min="3" max="4" width="9.5703125" bestFit="1" customWidth="1"/>
    <col min="5" max="5" width="12.140625" customWidth="1"/>
    <col min="257" max="257" width="47.42578125" customWidth="1"/>
    <col min="258" max="258" width="12.42578125" customWidth="1"/>
    <col min="259" max="260" width="9.5703125" bestFit="1" customWidth="1"/>
    <col min="261" max="261" width="12.140625" customWidth="1"/>
    <col min="513" max="513" width="47.42578125" customWidth="1"/>
    <col min="514" max="514" width="12.42578125" customWidth="1"/>
    <col min="515" max="516" width="9.5703125" bestFit="1" customWidth="1"/>
    <col min="517" max="517" width="12.140625" customWidth="1"/>
    <col min="769" max="769" width="47.42578125" customWidth="1"/>
    <col min="770" max="770" width="12.42578125" customWidth="1"/>
    <col min="771" max="772" width="9.5703125" bestFit="1" customWidth="1"/>
    <col min="773" max="773" width="12.140625" customWidth="1"/>
    <col min="1025" max="1025" width="47.42578125" customWidth="1"/>
    <col min="1026" max="1026" width="12.42578125" customWidth="1"/>
    <col min="1027" max="1028" width="9.5703125" bestFit="1" customWidth="1"/>
    <col min="1029" max="1029" width="12.140625" customWidth="1"/>
    <col min="1281" max="1281" width="47.42578125" customWidth="1"/>
    <col min="1282" max="1282" width="12.42578125" customWidth="1"/>
    <col min="1283" max="1284" width="9.5703125" bestFit="1" customWidth="1"/>
    <col min="1285" max="1285" width="12.140625" customWidth="1"/>
    <col min="1537" max="1537" width="47.42578125" customWidth="1"/>
    <col min="1538" max="1538" width="12.42578125" customWidth="1"/>
    <col min="1539" max="1540" width="9.5703125" bestFit="1" customWidth="1"/>
    <col min="1541" max="1541" width="12.140625" customWidth="1"/>
    <col min="1793" max="1793" width="47.42578125" customWidth="1"/>
    <col min="1794" max="1794" width="12.42578125" customWidth="1"/>
    <col min="1795" max="1796" width="9.5703125" bestFit="1" customWidth="1"/>
    <col min="1797" max="1797" width="12.140625" customWidth="1"/>
    <col min="2049" max="2049" width="47.42578125" customWidth="1"/>
    <col min="2050" max="2050" width="12.42578125" customWidth="1"/>
    <col min="2051" max="2052" width="9.5703125" bestFit="1" customWidth="1"/>
    <col min="2053" max="2053" width="12.140625" customWidth="1"/>
    <col min="2305" max="2305" width="47.42578125" customWidth="1"/>
    <col min="2306" max="2306" width="12.42578125" customWidth="1"/>
    <col min="2307" max="2308" width="9.5703125" bestFit="1" customWidth="1"/>
    <col min="2309" max="2309" width="12.140625" customWidth="1"/>
    <col min="2561" max="2561" width="47.42578125" customWidth="1"/>
    <col min="2562" max="2562" width="12.42578125" customWidth="1"/>
    <col min="2563" max="2564" width="9.5703125" bestFit="1" customWidth="1"/>
    <col min="2565" max="2565" width="12.140625" customWidth="1"/>
    <col min="2817" max="2817" width="47.42578125" customWidth="1"/>
    <col min="2818" max="2818" width="12.42578125" customWidth="1"/>
    <col min="2819" max="2820" width="9.5703125" bestFit="1" customWidth="1"/>
    <col min="2821" max="2821" width="12.140625" customWidth="1"/>
    <col min="3073" max="3073" width="47.42578125" customWidth="1"/>
    <col min="3074" max="3074" width="12.42578125" customWidth="1"/>
    <col min="3075" max="3076" width="9.5703125" bestFit="1" customWidth="1"/>
    <col min="3077" max="3077" width="12.140625" customWidth="1"/>
    <col min="3329" max="3329" width="47.42578125" customWidth="1"/>
    <col min="3330" max="3330" width="12.42578125" customWidth="1"/>
    <col min="3331" max="3332" width="9.5703125" bestFit="1" customWidth="1"/>
    <col min="3333" max="3333" width="12.140625" customWidth="1"/>
    <col min="3585" max="3585" width="47.42578125" customWidth="1"/>
    <col min="3586" max="3586" width="12.42578125" customWidth="1"/>
    <col min="3587" max="3588" width="9.5703125" bestFit="1" customWidth="1"/>
    <col min="3589" max="3589" width="12.140625" customWidth="1"/>
    <col min="3841" max="3841" width="47.42578125" customWidth="1"/>
    <col min="3842" max="3842" width="12.42578125" customWidth="1"/>
    <col min="3843" max="3844" width="9.5703125" bestFit="1" customWidth="1"/>
    <col min="3845" max="3845" width="12.140625" customWidth="1"/>
    <col min="4097" max="4097" width="47.42578125" customWidth="1"/>
    <col min="4098" max="4098" width="12.42578125" customWidth="1"/>
    <col min="4099" max="4100" width="9.5703125" bestFit="1" customWidth="1"/>
    <col min="4101" max="4101" width="12.140625" customWidth="1"/>
    <col min="4353" max="4353" width="47.42578125" customWidth="1"/>
    <col min="4354" max="4354" width="12.42578125" customWidth="1"/>
    <col min="4355" max="4356" width="9.5703125" bestFit="1" customWidth="1"/>
    <col min="4357" max="4357" width="12.140625" customWidth="1"/>
    <col min="4609" max="4609" width="47.42578125" customWidth="1"/>
    <col min="4610" max="4610" width="12.42578125" customWidth="1"/>
    <col min="4611" max="4612" width="9.5703125" bestFit="1" customWidth="1"/>
    <col min="4613" max="4613" width="12.140625" customWidth="1"/>
    <col min="4865" max="4865" width="47.42578125" customWidth="1"/>
    <col min="4866" max="4866" width="12.42578125" customWidth="1"/>
    <col min="4867" max="4868" width="9.5703125" bestFit="1" customWidth="1"/>
    <col min="4869" max="4869" width="12.140625" customWidth="1"/>
    <col min="5121" max="5121" width="47.42578125" customWidth="1"/>
    <col min="5122" max="5122" width="12.42578125" customWidth="1"/>
    <col min="5123" max="5124" width="9.5703125" bestFit="1" customWidth="1"/>
    <col min="5125" max="5125" width="12.140625" customWidth="1"/>
    <col min="5377" max="5377" width="47.42578125" customWidth="1"/>
    <col min="5378" max="5378" width="12.42578125" customWidth="1"/>
    <col min="5379" max="5380" width="9.5703125" bestFit="1" customWidth="1"/>
    <col min="5381" max="5381" width="12.140625" customWidth="1"/>
    <col min="5633" max="5633" width="47.42578125" customWidth="1"/>
    <col min="5634" max="5634" width="12.42578125" customWidth="1"/>
    <col min="5635" max="5636" width="9.5703125" bestFit="1" customWidth="1"/>
    <col min="5637" max="5637" width="12.140625" customWidth="1"/>
    <col min="5889" max="5889" width="47.42578125" customWidth="1"/>
    <col min="5890" max="5890" width="12.42578125" customWidth="1"/>
    <col min="5891" max="5892" width="9.5703125" bestFit="1" customWidth="1"/>
    <col min="5893" max="5893" width="12.140625" customWidth="1"/>
    <col min="6145" max="6145" width="47.42578125" customWidth="1"/>
    <col min="6146" max="6146" width="12.42578125" customWidth="1"/>
    <col min="6147" max="6148" width="9.5703125" bestFit="1" customWidth="1"/>
    <col min="6149" max="6149" width="12.140625" customWidth="1"/>
    <col min="6401" max="6401" width="47.42578125" customWidth="1"/>
    <col min="6402" max="6402" width="12.42578125" customWidth="1"/>
    <col min="6403" max="6404" width="9.5703125" bestFit="1" customWidth="1"/>
    <col min="6405" max="6405" width="12.140625" customWidth="1"/>
    <col min="6657" max="6657" width="47.42578125" customWidth="1"/>
    <col min="6658" max="6658" width="12.42578125" customWidth="1"/>
    <col min="6659" max="6660" width="9.5703125" bestFit="1" customWidth="1"/>
    <col min="6661" max="6661" width="12.140625" customWidth="1"/>
    <col min="6913" max="6913" width="47.42578125" customWidth="1"/>
    <col min="6914" max="6914" width="12.42578125" customWidth="1"/>
    <col min="6915" max="6916" width="9.5703125" bestFit="1" customWidth="1"/>
    <col min="6917" max="6917" width="12.140625" customWidth="1"/>
    <col min="7169" max="7169" width="47.42578125" customWidth="1"/>
    <col min="7170" max="7170" width="12.42578125" customWidth="1"/>
    <col min="7171" max="7172" width="9.5703125" bestFit="1" customWidth="1"/>
    <col min="7173" max="7173" width="12.140625" customWidth="1"/>
    <col min="7425" max="7425" width="47.42578125" customWidth="1"/>
    <col min="7426" max="7426" width="12.42578125" customWidth="1"/>
    <col min="7427" max="7428" width="9.5703125" bestFit="1" customWidth="1"/>
    <col min="7429" max="7429" width="12.140625" customWidth="1"/>
    <col min="7681" max="7681" width="47.42578125" customWidth="1"/>
    <col min="7682" max="7682" width="12.42578125" customWidth="1"/>
    <col min="7683" max="7684" width="9.5703125" bestFit="1" customWidth="1"/>
    <col min="7685" max="7685" width="12.140625" customWidth="1"/>
    <col min="7937" max="7937" width="47.42578125" customWidth="1"/>
    <col min="7938" max="7938" width="12.42578125" customWidth="1"/>
    <col min="7939" max="7940" width="9.5703125" bestFit="1" customWidth="1"/>
    <col min="7941" max="7941" width="12.140625" customWidth="1"/>
    <col min="8193" max="8193" width="47.42578125" customWidth="1"/>
    <col min="8194" max="8194" width="12.42578125" customWidth="1"/>
    <col min="8195" max="8196" width="9.5703125" bestFit="1" customWidth="1"/>
    <col min="8197" max="8197" width="12.140625" customWidth="1"/>
    <col min="8449" max="8449" width="47.42578125" customWidth="1"/>
    <col min="8450" max="8450" width="12.42578125" customWidth="1"/>
    <col min="8451" max="8452" width="9.5703125" bestFit="1" customWidth="1"/>
    <col min="8453" max="8453" width="12.140625" customWidth="1"/>
    <col min="8705" max="8705" width="47.42578125" customWidth="1"/>
    <col min="8706" max="8706" width="12.42578125" customWidth="1"/>
    <col min="8707" max="8708" width="9.5703125" bestFit="1" customWidth="1"/>
    <col min="8709" max="8709" width="12.140625" customWidth="1"/>
    <col min="8961" max="8961" width="47.42578125" customWidth="1"/>
    <col min="8962" max="8962" width="12.42578125" customWidth="1"/>
    <col min="8963" max="8964" width="9.5703125" bestFit="1" customWidth="1"/>
    <col min="8965" max="8965" width="12.140625" customWidth="1"/>
    <col min="9217" max="9217" width="47.42578125" customWidth="1"/>
    <col min="9218" max="9218" width="12.42578125" customWidth="1"/>
    <col min="9219" max="9220" width="9.5703125" bestFit="1" customWidth="1"/>
    <col min="9221" max="9221" width="12.140625" customWidth="1"/>
    <col min="9473" max="9473" width="47.42578125" customWidth="1"/>
    <col min="9474" max="9474" width="12.42578125" customWidth="1"/>
    <col min="9475" max="9476" width="9.5703125" bestFit="1" customWidth="1"/>
    <col min="9477" max="9477" width="12.140625" customWidth="1"/>
    <col min="9729" max="9729" width="47.42578125" customWidth="1"/>
    <col min="9730" max="9730" width="12.42578125" customWidth="1"/>
    <col min="9731" max="9732" width="9.5703125" bestFit="1" customWidth="1"/>
    <col min="9733" max="9733" width="12.140625" customWidth="1"/>
    <col min="9985" max="9985" width="47.42578125" customWidth="1"/>
    <col min="9986" max="9986" width="12.42578125" customWidth="1"/>
    <col min="9987" max="9988" width="9.5703125" bestFit="1" customWidth="1"/>
    <col min="9989" max="9989" width="12.140625" customWidth="1"/>
    <col min="10241" max="10241" width="47.42578125" customWidth="1"/>
    <col min="10242" max="10242" width="12.42578125" customWidth="1"/>
    <col min="10243" max="10244" width="9.5703125" bestFit="1" customWidth="1"/>
    <col min="10245" max="10245" width="12.140625" customWidth="1"/>
    <col min="10497" max="10497" width="47.42578125" customWidth="1"/>
    <col min="10498" max="10498" width="12.42578125" customWidth="1"/>
    <col min="10499" max="10500" width="9.5703125" bestFit="1" customWidth="1"/>
    <col min="10501" max="10501" width="12.140625" customWidth="1"/>
    <col min="10753" max="10753" width="47.42578125" customWidth="1"/>
    <col min="10754" max="10754" width="12.42578125" customWidth="1"/>
    <col min="10755" max="10756" width="9.5703125" bestFit="1" customWidth="1"/>
    <col min="10757" max="10757" width="12.140625" customWidth="1"/>
    <col min="11009" max="11009" width="47.42578125" customWidth="1"/>
    <col min="11010" max="11010" width="12.42578125" customWidth="1"/>
    <col min="11011" max="11012" width="9.5703125" bestFit="1" customWidth="1"/>
    <col min="11013" max="11013" width="12.140625" customWidth="1"/>
    <col min="11265" max="11265" width="47.42578125" customWidth="1"/>
    <col min="11266" max="11266" width="12.42578125" customWidth="1"/>
    <col min="11267" max="11268" width="9.5703125" bestFit="1" customWidth="1"/>
    <col min="11269" max="11269" width="12.140625" customWidth="1"/>
    <col min="11521" max="11521" width="47.42578125" customWidth="1"/>
    <col min="11522" max="11522" width="12.42578125" customWidth="1"/>
    <col min="11523" max="11524" width="9.5703125" bestFit="1" customWidth="1"/>
    <col min="11525" max="11525" width="12.140625" customWidth="1"/>
    <col min="11777" max="11777" width="47.42578125" customWidth="1"/>
    <col min="11778" max="11778" width="12.42578125" customWidth="1"/>
    <col min="11779" max="11780" width="9.5703125" bestFit="1" customWidth="1"/>
    <col min="11781" max="11781" width="12.140625" customWidth="1"/>
    <col min="12033" max="12033" width="47.42578125" customWidth="1"/>
    <col min="12034" max="12034" width="12.42578125" customWidth="1"/>
    <col min="12035" max="12036" width="9.5703125" bestFit="1" customWidth="1"/>
    <col min="12037" max="12037" width="12.140625" customWidth="1"/>
    <col min="12289" max="12289" width="47.42578125" customWidth="1"/>
    <col min="12290" max="12290" width="12.42578125" customWidth="1"/>
    <col min="12291" max="12292" width="9.5703125" bestFit="1" customWidth="1"/>
    <col min="12293" max="12293" width="12.140625" customWidth="1"/>
    <col min="12545" max="12545" width="47.42578125" customWidth="1"/>
    <col min="12546" max="12546" width="12.42578125" customWidth="1"/>
    <col min="12547" max="12548" width="9.5703125" bestFit="1" customWidth="1"/>
    <col min="12549" max="12549" width="12.140625" customWidth="1"/>
    <col min="12801" max="12801" width="47.42578125" customWidth="1"/>
    <col min="12802" max="12802" width="12.42578125" customWidth="1"/>
    <col min="12803" max="12804" width="9.5703125" bestFit="1" customWidth="1"/>
    <col min="12805" max="12805" width="12.140625" customWidth="1"/>
    <col min="13057" max="13057" width="47.42578125" customWidth="1"/>
    <col min="13058" max="13058" width="12.42578125" customWidth="1"/>
    <col min="13059" max="13060" width="9.5703125" bestFit="1" customWidth="1"/>
    <col min="13061" max="13061" width="12.140625" customWidth="1"/>
    <col min="13313" max="13313" width="47.42578125" customWidth="1"/>
    <col min="13314" max="13314" width="12.42578125" customWidth="1"/>
    <col min="13315" max="13316" width="9.5703125" bestFit="1" customWidth="1"/>
    <col min="13317" max="13317" width="12.140625" customWidth="1"/>
    <col min="13569" max="13569" width="47.42578125" customWidth="1"/>
    <col min="13570" max="13570" width="12.42578125" customWidth="1"/>
    <col min="13571" max="13572" width="9.5703125" bestFit="1" customWidth="1"/>
    <col min="13573" max="13573" width="12.140625" customWidth="1"/>
    <col min="13825" max="13825" width="47.42578125" customWidth="1"/>
    <col min="13826" max="13826" width="12.42578125" customWidth="1"/>
    <col min="13827" max="13828" width="9.5703125" bestFit="1" customWidth="1"/>
    <col min="13829" max="13829" width="12.140625" customWidth="1"/>
    <col min="14081" max="14081" width="47.42578125" customWidth="1"/>
    <col min="14082" max="14082" width="12.42578125" customWidth="1"/>
    <col min="14083" max="14084" width="9.5703125" bestFit="1" customWidth="1"/>
    <col min="14085" max="14085" width="12.140625" customWidth="1"/>
    <col min="14337" max="14337" width="47.42578125" customWidth="1"/>
    <col min="14338" max="14338" width="12.42578125" customWidth="1"/>
    <col min="14339" max="14340" width="9.5703125" bestFit="1" customWidth="1"/>
    <col min="14341" max="14341" width="12.140625" customWidth="1"/>
    <col min="14593" max="14593" width="47.42578125" customWidth="1"/>
    <col min="14594" max="14594" width="12.42578125" customWidth="1"/>
    <col min="14595" max="14596" width="9.5703125" bestFit="1" customWidth="1"/>
    <col min="14597" max="14597" width="12.140625" customWidth="1"/>
    <col min="14849" max="14849" width="47.42578125" customWidth="1"/>
    <col min="14850" max="14850" width="12.42578125" customWidth="1"/>
    <col min="14851" max="14852" width="9.5703125" bestFit="1" customWidth="1"/>
    <col min="14853" max="14853" width="12.140625" customWidth="1"/>
    <col min="15105" max="15105" width="47.42578125" customWidth="1"/>
    <col min="15106" max="15106" width="12.42578125" customWidth="1"/>
    <col min="15107" max="15108" width="9.5703125" bestFit="1" customWidth="1"/>
    <col min="15109" max="15109" width="12.140625" customWidth="1"/>
    <col min="15361" max="15361" width="47.42578125" customWidth="1"/>
    <col min="15362" max="15362" width="12.42578125" customWidth="1"/>
    <col min="15363" max="15364" width="9.5703125" bestFit="1" customWidth="1"/>
    <col min="15365" max="15365" width="12.140625" customWidth="1"/>
    <col min="15617" max="15617" width="47.42578125" customWidth="1"/>
    <col min="15618" max="15618" width="12.42578125" customWidth="1"/>
    <col min="15619" max="15620" width="9.5703125" bestFit="1" customWidth="1"/>
    <col min="15621" max="15621" width="12.140625" customWidth="1"/>
    <col min="15873" max="15873" width="47.42578125" customWidth="1"/>
    <col min="15874" max="15874" width="12.42578125" customWidth="1"/>
    <col min="15875" max="15876" width="9.5703125" bestFit="1" customWidth="1"/>
    <col min="15877" max="15877" width="12.140625" customWidth="1"/>
    <col min="16129" max="16129" width="47.42578125" customWidth="1"/>
    <col min="16130" max="16130" width="12.42578125" customWidth="1"/>
    <col min="16131" max="16132" width="9.5703125" bestFit="1" customWidth="1"/>
    <col min="16133" max="16133" width="12.140625" customWidth="1"/>
  </cols>
  <sheetData>
    <row r="2" spans="1:5">
      <c r="A2" s="902" t="s">
        <v>1897</v>
      </c>
      <c r="B2" s="902"/>
      <c r="C2" s="902"/>
      <c r="D2" s="902"/>
      <c r="E2" s="902"/>
    </row>
    <row r="3" spans="1:5" ht="16.5">
      <c r="A3" s="903" t="s">
        <v>1898</v>
      </c>
      <c r="B3" s="903"/>
      <c r="C3" s="903"/>
      <c r="D3" s="903"/>
      <c r="E3" s="903"/>
    </row>
    <row r="4" spans="1:5" ht="16.5">
      <c r="A4" s="401"/>
      <c r="B4" s="401"/>
      <c r="C4" s="401"/>
      <c r="D4" s="401"/>
      <c r="E4" s="401"/>
    </row>
    <row r="5" spans="1:5" ht="15.75">
      <c r="A5" s="895" t="s">
        <v>1728</v>
      </c>
      <c r="B5" s="896"/>
      <c r="C5" s="896"/>
      <c r="D5" s="896"/>
      <c r="E5" s="897"/>
    </row>
    <row r="6" spans="1:5" ht="15.75">
      <c r="A6" s="239"/>
      <c r="B6" s="898" t="s">
        <v>1729</v>
      </c>
      <c r="C6" s="898"/>
      <c r="D6" s="898" t="s">
        <v>124</v>
      </c>
      <c r="E6" s="898"/>
    </row>
    <row r="7" spans="1:5" ht="23.25" customHeight="1">
      <c r="A7" s="402" t="s">
        <v>221</v>
      </c>
      <c r="B7" s="904">
        <v>0.56000000000000005</v>
      </c>
      <c r="C7" s="904"/>
      <c r="D7" s="905" t="s">
        <v>107</v>
      </c>
      <c r="E7" s="905"/>
    </row>
    <row r="8" spans="1:5" ht="15.75">
      <c r="A8" s="895" t="s">
        <v>1730</v>
      </c>
      <c r="B8" s="896"/>
      <c r="C8" s="896"/>
      <c r="D8" s="896"/>
      <c r="E8" s="897"/>
    </row>
    <row r="9" spans="1:5" ht="15.75">
      <c r="A9" s="403"/>
      <c r="B9" s="898" t="s">
        <v>1729</v>
      </c>
      <c r="C9" s="898"/>
      <c r="D9" s="898" t="s">
        <v>124</v>
      </c>
      <c r="E9" s="898"/>
    </row>
    <row r="10" spans="1:5">
      <c r="A10" s="27" t="s">
        <v>222</v>
      </c>
      <c r="B10" s="899">
        <v>94</v>
      </c>
      <c r="C10" s="900"/>
      <c r="D10" s="901" t="s">
        <v>110</v>
      </c>
      <c r="E10" s="901"/>
    </row>
    <row r="11" spans="1:5">
      <c r="A11" s="28" t="s">
        <v>223</v>
      </c>
      <c r="B11" s="899">
        <v>118.4</v>
      </c>
      <c r="C11" s="900"/>
      <c r="D11" s="901" t="s">
        <v>110</v>
      </c>
      <c r="E11" s="901"/>
    </row>
    <row r="12" spans="1:5">
      <c r="A12" s="28" t="s">
        <v>224</v>
      </c>
      <c r="B12" s="899">
        <v>194</v>
      </c>
      <c r="C12" s="900"/>
      <c r="D12" s="901" t="s">
        <v>110</v>
      </c>
      <c r="E12" s="901"/>
    </row>
    <row r="13" spans="1:5">
      <c r="A13" s="28" t="s">
        <v>225</v>
      </c>
      <c r="B13" s="899">
        <v>104</v>
      </c>
      <c r="C13" s="900"/>
      <c r="D13" s="901" t="s">
        <v>110</v>
      </c>
      <c r="E13" s="901"/>
    </row>
    <row r="14" spans="1:5">
      <c r="A14" s="28" t="s">
        <v>226</v>
      </c>
      <c r="B14" s="899">
        <v>146</v>
      </c>
      <c r="C14" s="900"/>
      <c r="D14" s="901" t="s">
        <v>110</v>
      </c>
      <c r="E14" s="901"/>
    </row>
    <row r="15" spans="1:5">
      <c r="A15" s="28" t="s">
        <v>227</v>
      </c>
      <c r="B15" s="899">
        <v>95</v>
      </c>
      <c r="C15" s="900"/>
      <c r="D15" s="901" t="s">
        <v>110</v>
      </c>
      <c r="E15" s="901"/>
    </row>
    <row r="16" spans="1:5">
      <c r="A16" s="28" t="s">
        <v>228</v>
      </c>
      <c r="B16" s="899">
        <v>118.4</v>
      </c>
      <c r="C16" s="900"/>
      <c r="D16" s="901" t="s">
        <v>110</v>
      </c>
      <c r="E16" s="901"/>
    </row>
    <row r="17" spans="1:5">
      <c r="A17" s="28" t="s">
        <v>229</v>
      </c>
      <c r="B17" s="899">
        <v>123.6</v>
      </c>
      <c r="C17" s="900"/>
      <c r="D17" s="901" t="s">
        <v>110</v>
      </c>
      <c r="E17" s="901"/>
    </row>
    <row r="18" spans="1:5">
      <c r="A18" s="28" t="s">
        <v>230</v>
      </c>
      <c r="B18" s="899">
        <v>21</v>
      </c>
      <c r="C18" s="900"/>
      <c r="D18" s="901" t="s">
        <v>110</v>
      </c>
      <c r="E18" s="901"/>
    </row>
    <row r="19" spans="1:5">
      <c r="A19" s="28" t="s">
        <v>231</v>
      </c>
      <c r="B19" s="899">
        <v>21</v>
      </c>
      <c r="C19" s="900"/>
      <c r="D19" s="901" t="s">
        <v>110</v>
      </c>
      <c r="E19" s="901"/>
    </row>
    <row r="20" spans="1:5">
      <c r="A20" s="27" t="s">
        <v>232</v>
      </c>
      <c r="B20" s="899">
        <v>5</v>
      </c>
      <c r="C20" s="900"/>
      <c r="D20" s="901" t="s">
        <v>74</v>
      </c>
      <c r="E20" s="901"/>
    </row>
    <row r="21" spans="1:5">
      <c r="A21" s="27" t="s">
        <v>233</v>
      </c>
      <c r="B21" s="899">
        <v>4</v>
      </c>
      <c r="C21" s="900"/>
      <c r="D21" s="901" t="s">
        <v>74</v>
      </c>
      <c r="E21" s="901"/>
    </row>
    <row r="22" spans="1:5">
      <c r="A22" s="27" t="s">
        <v>234</v>
      </c>
      <c r="B22" s="899">
        <v>58</v>
      </c>
      <c r="C22" s="900"/>
      <c r="D22" s="901" t="s">
        <v>110</v>
      </c>
      <c r="E22" s="901"/>
    </row>
    <row r="23" spans="1:5">
      <c r="A23" s="27" t="s">
        <v>235</v>
      </c>
      <c r="B23" s="899">
        <v>76</v>
      </c>
      <c r="C23" s="900"/>
      <c r="D23" s="901" t="s">
        <v>110</v>
      </c>
      <c r="E23" s="901"/>
    </row>
    <row r="24" spans="1:5">
      <c r="A24" s="27" t="s">
        <v>236</v>
      </c>
      <c r="B24" s="899">
        <v>140</v>
      </c>
      <c r="C24" s="900"/>
      <c r="D24" s="901" t="s">
        <v>110</v>
      </c>
      <c r="E24" s="901"/>
    </row>
    <row r="25" spans="1:5">
      <c r="A25" s="404" t="s">
        <v>237</v>
      </c>
      <c r="B25" s="907"/>
      <c r="C25" s="907"/>
      <c r="D25" s="908"/>
      <c r="E25" s="908"/>
    </row>
    <row r="26" spans="1:5">
      <c r="A26" s="28" t="s">
        <v>238</v>
      </c>
      <c r="B26" s="906">
        <v>57</v>
      </c>
      <c r="C26" s="906"/>
      <c r="D26" s="901" t="s">
        <v>110</v>
      </c>
      <c r="E26" s="901"/>
    </row>
    <row r="27" spans="1:5">
      <c r="A27" s="28" t="s">
        <v>239</v>
      </c>
      <c r="B27" s="906">
        <v>57</v>
      </c>
      <c r="C27" s="906"/>
      <c r="D27" s="901" t="s">
        <v>110</v>
      </c>
      <c r="E27" s="901"/>
    </row>
    <row r="28" spans="1:5">
      <c r="A28" s="27" t="s">
        <v>240</v>
      </c>
      <c r="B28" s="906">
        <v>32</v>
      </c>
      <c r="C28" s="906"/>
      <c r="D28" s="901" t="s">
        <v>110</v>
      </c>
      <c r="E28" s="901"/>
    </row>
    <row r="29" spans="1:5">
      <c r="A29" s="27" t="s">
        <v>241</v>
      </c>
      <c r="B29" s="906">
        <v>32</v>
      </c>
      <c r="C29" s="906"/>
      <c r="D29" s="901" t="s">
        <v>110</v>
      </c>
      <c r="E29" s="901"/>
    </row>
    <row r="30" spans="1:5">
      <c r="A30" s="27" t="s">
        <v>242</v>
      </c>
      <c r="B30" s="906">
        <v>4.5</v>
      </c>
      <c r="C30" s="906"/>
      <c r="D30" s="901" t="s">
        <v>74</v>
      </c>
      <c r="E30" s="901"/>
    </row>
    <row r="31" spans="1:5">
      <c r="A31" s="27" t="s">
        <v>243</v>
      </c>
      <c r="B31" s="906">
        <v>4</v>
      </c>
      <c r="C31" s="906"/>
      <c r="D31" s="901" t="s">
        <v>74</v>
      </c>
      <c r="E31" s="901"/>
    </row>
    <row r="32" spans="1:5">
      <c r="A32" s="27" t="s">
        <v>234</v>
      </c>
      <c r="B32" s="906">
        <v>58</v>
      </c>
      <c r="C32" s="906"/>
      <c r="D32" s="901" t="s">
        <v>110</v>
      </c>
      <c r="E32" s="901"/>
    </row>
    <row r="33" spans="1:5">
      <c r="A33" s="27" t="s">
        <v>235</v>
      </c>
      <c r="B33" s="906">
        <v>76</v>
      </c>
      <c r="C33" s="906"/>
      <c r="D33" s="901" t="s">
        <v>110</v>
      </c>
      <c r="E33" s="901"/>
    </row>
    <row r="34" spans="1:5">
      <c r="A34" s="27" t="s">
        <v>236</v>
      </c>
      <c r="B34" s="906">
        <v>140</v>
      </c>
      <c r="C34" s="906"/>
      <c r="D34" s="901" t="s">
        <v>110</v>
      </c>
      <c r="E34" s="901"/>
    </row>
    <row r="35" spans="1:5" ht="15.75">
      <c r="A35" s="896" t="s">
        <v>1731</v>
      </c>
      <c r="B35" s="896"/>
      <c r="C35" s="896"/>
      <c r="D35" s="896"/>
      <c r="E35" s="896"/>
    </row>
    <row r="36" spans="1:5">
      <c r="A36" s="405"/>
      <c r="B36" s="909" t="s">
        <v>1729</v>
      </c>
      <c r="C36" s="910"/>
      <c r="D36" s="910"/>
      <c r="E36" s="911"/>
    </row>
    <row r="37" spans="1:5">
      <c r="A37" s="29" t="s">
        <v>275</v>
      </c>
      <c r="B37" s="30" t="s">
        <v>245</v>
      </c>
      <c r="C37" s="30" t="s">
        <v>246</v>
      </c>
      <c r="D37" s="30" t="s">
        <v>1732</v>
      </c>
      <c r="E37" s="30" t="s">
        <v>1733</v>
      </c>
    </row>
    <row r="38" spans="1:5">
      <c r="A38" s="27" t="s">
        <v>247</v>
      </c>
      <c r="B38" s="5">
        <v>20</v>
      </c>
      <c r="C38" s="5">
        <v>25</v>
      </c>
      <c r="D38" s="5">
        <v>45</v>
      </c>
      <c r="E38" s="5">
        <v>55</v>
      </c>
    </row>
    <row r="39" spans="1:5">
      <c r="A39" s="27" t="s">
        <v>248</v>
      </c>
      <c r="B39" s="5">
        <v>22</v>
      </c>
      <c r="C39" s="5">
        <v>30</v>
      </c>
      <c r="D39" s="5">
        <v>51</v>
      </c>
      <c r="E39" s="5">
        <v>65</v>
      </c>
    </row>
    <row r="40" spans="1:5">
      <c r="A40" s="28" t="s">
        <v>249</v>
      </c>
      <c r="B40" s="5">
        <v>26</v>
      </c>
      <c r="C40" s="5">
        <v>30</v>
      </c>
      <c r="D40" s="5">
        <v>40</v>
      </c>
      <c r="E40" s="5">
        <v>50</v>
      </c>
    </row>
    <row r="41" spans="1:5">
      <c r="A41" s="28" t="s">
        <v>250</v>
      </c>
      <c r="B41" s="5">
        <v>30</v>
      </c>
      <c r="C41" s="5">
        <v>35</v>
      </c>
      <c r="D41" s="5">
        <v>45</v>
      </c>
      <c r="E41" s="5">
        <v>55</v>
      </c>
    </row>
    <row r="42" spans="1:5">
      <c r="A42" s="1"/>
      <c r="B42" s="31"/>
      <c r="C42" s="31"/>
      <c r="D42" s="31"/>
      <c r="E42" s="31"/>
    </row>
    <row r="43" spans="1:5">
      <c r="A43" s="27" t="s">
        <v>251</v>
      </c>
      <c r="B43" s="5">
        <v>1.4</v>
      </c>
      <c r="C43" s="5">
        <v>1.65</v>
      </c>
      <c r="D43" s="5">
        <v>3.3</v>
      </c>
      <c r="E43" s="5">
        <v>4.05</v>
      </c>
    </row>
    <row r="44" spans="1:5">
      <c r="A44" s="27" t="s">
        <v>252</v>
      </c>
      <c r="B44" s="5">
        <v>1</v>
      </c>
      <c r="C44" s="5">
        <v>1.3</v>
      </c>
      <c r="D44" s="5">
        <v>2.6</v>
      </c>
      <c r="E44" s="5">
        <v>3.15</v>
      </c>
    </row>
    <row r="45" spans="1:5">
      <c r="A45" s="27"/>
      <c r="B45" s="1"/>
      <c r="C45" s="1"/>
      <c r="D45" s="1"/>
      <c r="E45" s="1"/>
    </row>
    <row r="46" spans="1:5">
      <c r="A46" s="27" t="s">
        <v>253</v>
      </c>
      <c r="B46" s="5">
        <v>18.149999999999999</v>
      </c>
      <c r="C46" s="5">
        <v>24.2</v>
      </c>
      <c r="D46" s="5">
        <v>30</v>
      </c>
      <c r="E46" s="5">
        <v>45</v>
      </c>
    </row>
    <row r="47" spans="1:5">
      <c r="A47" s="27" t="s">
        <v>254</v>
      </c>
      <c r="B47" s="5">
        <v>20.45</v>
      </c>
      <c r="C47" s="5">
        <v>26.4</v>
      </c>
      <c r="D47" s="5">
        <v>35</v>
      </c>
      <c r="E47" s="5">
        <v>50.4</v>
      </c>
    </row>
    <row r="48" spans="1:5">
      <c r="A48" s="27" t="s">
        <v>255</v>
      </c>
      <c r="B48" s="5">
        <v>8.8000000000000007</v>
      </c>
      <c r="C48" s="5">
        <v>10.4</v>
      </c>
      <c r="D48" s="5">
        <v>15</v>
      </c>
      <c r="E48" s="5">
        <v>21.6</v>
      </c>
    </row>
    <row r="49" spans="1:5">
      <c r="A49" s="27" t="s">
        <v>256</v>
      </c>
      <c r="B49" s="5">
        <v>13.2</v>
      </c>
      <c r="C49" s="5">
        <v>15.6</v>
      </c>
      <c r="D49" s="5">
        <v>21</v>
      </c>
      <c r="E49" s="5">
        <v>30.6</v>
      </c>
    </row>
    <row r="50" spans="1:5" ht="15.75">
      <c r="A50" s="896" t="s">
        <v>1734</v>
      </c>
      <c r="B50" s="896"/>
      <c r="C50" s="896"/>
      <c r="D50" s="896"/>
      <c r="E50" s="896"/>
    </row>
    <row r="51" spans="1:5" ht="15">
      <c r="A51" s="406" t="s">
        <v>257</v>
      </c>
      <c r="B51" s="898" t="s">
        <v>1729</v>
      </c>
      <c r="C51" s="898"/>
      <c r="D51" s="898" t="s">
        <v>124</v>
      </c>
      <c r="E51" s="898"/>
    </row>
    <row r="52" spans="1:5">
      <c r="A52" s="27" t="s">
        <v>258</v>
      </c>
      <c r="B52" s="906">
        <v>18</v>
      </c>
      <c r="C52" s="906"/>
      <c r="D52" s="912" t="s">
        <v>1735</v>
      </c>
      <c r="E52" s="912"/>
    </row>
    <row r="53" spans="1:5">
      <c r="A53" s="27" t="s">
        <v>259</v>
      </c>
      <c r="B53" s="906">
        <v>24</v>
      </c>
      <c r="C53" s="906"/>
      <c r="D53" s="912" t="s">
        <v>1735</v>
      </c>
      <c r="E53" s="912"/>
    </row>
    <row r="54" spans="1:5">
      <c r="A54" s="27" t="s">
        <v>260</v>
      </c>
      <c r="B54" s="906">
        <v>5.6</v>
      </c>
      <c r="C54" s="906"/>
      <c r="D54" s="912" t="s">
        <v>1735</v>
      </c>
      <c r="E54" s="912"/>
    </row>
    <row r="55" spans="1:5">
      <c r="A55" s="27" t="s">
        <v>238</v>
      </c>
      <c r="B55" s="906">
        <v>5</v>
      </c>
      <c r="C55" s="906"/>
      <c r="D55" s="912" t="s">
        <v>1735</v>
      </c>
      <c r="E55" s="912"/>
    </row>
    <row r="56" spans="1:5">
      <c r="A56" s="27" t="s">
        <v>261</v>
      </c>
      <c r="B56" s="906">
        <v>10</v>
      </c>
      <c r="C56" s="906"/>
      <c r="D56" s="912" t="s">
        <v>1735</v>
      </c>
      <c r="E56" s="912"/>
    </row>
    <row r="57" spans="1:5">
      <c r="A57" s="27" t="s">
        <v>255</v>
      </c>
      <c r="B57" s="906">
        <v>2.5</v>
      </c>
      <c r="C57" s="906"/>
      <c r="D57" s="912" t="s">
        <v>1735</v>
      </c>
      <c r="E57" s="912"/>
    </row>
    <row r="58" spans="1:5">
      <c r="A58" s="27" t="s">
        <v>262</v>
      </c>
      <c r="B58" s="906">
        <v>4</v>
      </c>
      <c r="C58" s="906"/>
      <c r="D58" s="912" t="s">
        <v>1735</v>
      </c>
      <c r="E58" s="912"/>
    </row>
    <row r="59" spans="1:5">
      <c r="A59" s="27" t="s">
        <v>1802</v>
      </c>
      <c r="B59" s="899">
        <v>4</v>
      </c>
      <c r="C59" s="900"/>
      <c r="D59" s="912" t="s">
        <v>110</v>
      </c>
      <c r="E59" s="912"/>
    </row>
    <row r="60" spans="1:5">
      <c r="A60" s="28" t="s">
        <v>263</v>
      </c>
      <c r="B60" s="906">
        <v>1.3</v>
      </c>
      <c r="C60" s="906"/>
      <c r="D60" s="912" t="s">
        <v>74</v>
      </c>
      <c r="E60" s="912"/>
    </row>
    <row r="61" spans="1:5">
      <c r="A61" s="28" t="s">
        <v>264</v>
      </c>
      <c r="B61" s="906">
        <v>1.3</v>
      </c>
      <c r="C61" s="906"/>
      <c r="D61" s="912" t="s">
        <v>74</v>
      </c>
      <c r="E61" s="912"/>
    </row>
    <row r="62" spans="1:5">
      <c r="A62" s="27" t="s">
        <v>210</v>
      </c>
      <c r="B62" s="906">
        <v>10</v>
      </c>
      <c r="C62" s="906"/>
      <c r="D62" s="912" t="s">
        <v>96</v>
      </c>
      <c r="E62" s="912"/>
    </row>
    <row r="63" spans="1:5">
      <c r="A63" s="27" t="s">
        <v>131</v>
      </c>
      <c r="B63" s="906">
        <v>30</v>
      </c>
      <c r="C63" s="906"/>
      <c r="D63" s="912" t="s">
        <v>96</v>
      </c>
      <c r="E63" s="912"/>
    </row>
    <row r="64" spans="1:5" ht="15">
      <c r="A64" s="406" t="s">
        <v>265</v>
      </c>
      <c r="B64" s="898"/>
      <c r="C64" s="898"/>
      <c r="D64" s="898"/>
      <c r="E64" s="898"/>
    </row>
    <row r="65" spans="1:5">
      <c r="A65" s="27" t="s">
        <v>266</v>
      </c>
      <c r="B65" s="906">
        <v>0.25</v>
      </c>
      <c r="C65" s="906"/>
      <c r="D65" s="912" t="s">
        <v>74</v>
      </c>
      <c r="E65" s="912"/>
    </row>
    <row r="66" spans="1:5">
      <c r="A66" s="27" t="s">
        <v>267</v>
      </c>
      <c r="B66" s="906">
        <v>2.5</v>
      </c>
      <c r="C66" s="906"/>
      <c r="D66" s="912" t="s">
        <v>110</v>
      </c>
      <c r="E66" s="912"/>
    </row>
    <row r="67" spans="1:5">
      <c r="A67" s="27" t="s">
        <v>268</v>
      </c>
      <c r="B67" s="906">
        <v>2</v>
      </c>
      <c r="C67" s="906"/>
      <c r="D67" s="912" t="s">
        <v>110</v>
      </c>
      <c r="E67" s="912"/>
    </row>
    <row r="68" spans="1:5" ht="15.75">
      <c r="A68" s="913" t="s">
        <v>1736</v>
      </c>
      <c r="B68" s="913"/>
      <c r="C68" s="913"/>
      <c r="D68" s="913"/>
      <c r="E68" s="913"/>
    </row>
    <row r="69" spans="1:5" ht="15.75">
      <c r="A69" s="407"/>
      <c r="B69" s="898" t="s">
        <v>1729</v>
      </c>
      <c r="C69" s="898"/>
      <c r="D69" s="898" t="s">
        <v>124</v>
      </c>
      <c r="E69" s="898"/>
    </row>
    <row r="70" spans="1:5">
      <c r="A70" s="28" t="s">
        <v>269</v>
      </c>
      <c r="B70" s="906">
        <v>75</v>
      </c>
      <c r="C70" s="906"/>
      <c r="D70" s="914" t="s">
        <v>295</v>
      </c>
      <c r="E70" s="912"/>
    </row>
    <row r="71" spans="1:5">
      <c r="A71" s="28" t="s">
        <v>270</v>
      </c>
      <c r="B71" s="906">
        <v>100</v>
      </c>
      <c r="C71" s="906"/>
      <c r="D71" s="914" t="s">
        <v>295</v>
      </c>
      <c r="E71" s="912"/>
    </row>
    <row r="72" spans="1:5">
      <c r="A72" s="28" t="s">
        <v>271</v>
      </c>
      <c r="B72" s="906">
        <v>200</v>
      </c>
      <c r="C72" s="906"/>
      <c r="D72" s="914" t="s">
        <v>295</v>
      </c>
      <c r="E72" s="912"/>
    </row>
    <row r="73" spans="1:5">
      <c r="A73" s="28" t="s">
        <v>272</v>
      </c>
      <c r="B73" s="906">
        <v>1.5</v>
      </c>
      <c r="C73" s="906"/>
      <c r="D73" s="914" t="s">
        <v>74</v>
      </c>
      <c r="E73" s="912"/>
    </row>
    <row r="74" spans="1:5" ht="15.75">
      <c r="A74" s="915" t="s">
        <v>1737</v>
      </c>
      <c r="B74" s="915"/>
      <c r="C74" s="915"/>
      <c r="D74" s="915"/>
      <c r="E74" s="915"/>
    </row>
    <row r="75" spans="1:5">
      <c r="A75" s="28" t="s">
        <v>273</v>
      </c>
      <c r="B75" s="916">
        <v>0.25</v>
      </c>
      <c r="C75" s="916"/>
      <c r="D75" s="912"/>
      <c r="E75" s="912"/>
    </row>
    <row r="76" spans="1:5">
      <c r="A76" s="28" t="s">
        <v>274</v>
      </c>
      <c r="B76" s="916">
        <v>0.4</v>
      </c>
      <c r="C76" s="916"/>
      <c r="D76" s="912"/>
      <c r="E76" s="912"/>
    </row>
  </sheetData>
  <sheetProtection algorithmName="SHA-512" hashValue="sCHTW4ZFbL7zNv1mtfFnXb/MKqUN9WKbVF/x2Q6WqhSt5E3NzyrlTVYZo7do4Kon7B7rZx7j2KVXcsZsDyB9IQ==" saltValue="XgFBP2PcS9sqZTE/jPdudQ==" spinCount="100000" sheet="1" objects="1" scenarios="1"/>
  <mergeCells count="113">
    <mergeCell ref="A74:E74"/>
    <mergeCell ref="B75:C75"/>
    <mergeCell ref="D75:E75"/>
    <mergeCell ref="B76:C76"/>
    <mergeCell ref="D76:E76"/>
    <mergeCell ref="B71:C71"/>
    <mergeCell ref="D71:E71"/>
    <mergeCell ref="B72:C72"/>
    <mergeCell ref="D72:E72"/>
    <mergeCell ref="B73:C73"/>
    <mergeCell ref="D73:E73"/>
    <mergeCell ref="B67:C67"/>
    <mergeCell ref="D67:E67"/>
    <mergeCell ref="A68:E68"/>
    <mergeCell ref="B69:C69"/>
    <mergeCell ref="D69:E69"/>
    <mergeCell ref="B70:C70"/>
    <mergeCell ref="D70:E70"/>
    <mergeCell ref="B64:C64"/>
    <mergeCell ref="D64:E64"/>
    <mergeCell ref="B65:C65"/>
    <mergeCell ref="D65:E65"/>
    <mergeCell ref="B66:C66"/>
    <mergeCell ref="D66:E66"/>
    <mergeCell ref="B61:C61"/>
    <mergeCell ref="D61:E61"/>
    <mergeCell ref="B62:C62"/>
    <mergeCell ref="D62:E62"/>
    <mergeCell ref="B63:C63"/>
    <mergeCell ref="D63:E63"/>
    <mergeCell ref="B57:C57"/>
    <mergeCell ref="D57:E57"/>
    <mergeCell ref="B58:C58"/>
    <mergeCell ref="D58:E58"/>
    <mergeCell ref="B60:C60"/>
    <mergeCell ref="D60:E60"/>
    <mergeCell ref="B59:C59"/>
    <mergeCell ref="D59:E59"/>
    <mergeCell ref="B54:C54"/>
    <mergeCell ref="D54:E54"/>
    <mergeCell ref="B55:C55"/>
    <mergeCell ref="D55:E55"/>
    <mergeCell ref="B56:C56"/>
    <mergeCell ref="D56:E56"/>
    <mergeCell ref="A50:E50"/>
    <mergeCell ref="B51:C51"/>
    <mergeCell ref="D51:E51"/>
    <mergeCell ref="B52:C52"/>
    <mergeCell ref="D52:E52"/>
    <mergeCell ref="B53:C53"/>
    <mergeCell ref="D53:E53"/>
    <mergeCell ref="B33:C33"/>
    <mergeCell ref="D33:E33"/>
    <mergeCell ref="B34:C34"/>
    <mergeCell ref="D34:E34"/>
    <mergeCell ref="A35:E35"/>
    <mergeCell ref="B36:E36"/>
    <mergeCell ref="B30:C30"/>
    <mergeCell ref="D30:E30"/>
    <mergeCell ref="B31:C31"/>
    <mergeCell ref="D31:E31"/>
    <mergeCell ref="B32:C32"/>
    <mergeCell ref="D32:E32"/>
    <mergeCell ref="B27:C27"/>
    <mergeCell ref="D27:E27"/>
    <mergeCell ref="B28:C28"/>
    <mergeCell ref="D28:E28"/>
    <mergeCell ref="B29:C29"/>
    <mergeCell ref="D29:E29"/>
    <mergeCell ref="B24:C24"/>
    <mergeCell ref="D24:E24"/>
    <mergeCell ref="B25:C25"/>
    <mergeCell ref="D25:E25"/>
    <mergeCell ref="B26:C26"/>
    <mergeCell ref="D26:E26"/>
    <mergeCell ref="B21:C21"/>
    <mergeCell ref="D21:E21"/>
    <mergeCell ref="B22:C22"/>
    <mergeCell ref="D22:E22"/>
    <mergeCell ref="B23:C23"/>
    <mergeCell ref="D23:E23"/>
    <mergeCell ref="B18:C18"/>
    <mergeCell ref="D18:E18"/>
    <mergeCell ref="B19:C19"/>
    <mergeCell ref="D19:E19"/>
    <mergeCell ref="B20:C20"/>
    <mergeCell ref="D20:E20"/>
    <mergeCell ref="B15:C15"/>
    <mergeCell ref="D15:E15"/>
    <mergeCell ref="B16:C16"/>
    <mergeCell ref="D16:E16"/>
    <mergeCell ref="B17:C17"/>
    <mergeCell ref="D17:E17"/>
    <mergeCell ref="B12:C12"/>
    <mergeCell ref="D12:E12"/>
    <mergeCell ref="B13:C13"/>
    <mergeCell ref="D13:E13"/>
    <mergeCell ref="B14:C14"/>
    <mergeCell ref="D14:E14"/>
    <mergeCell ref="A8:E8"/>
    <mergeCell ref="B9:C9"/>
    <mergeCell ref="D9:E9"/>
    <mergeCell ref="B10:C10"/>
    <mergeCell ref="D10:E10"/>
    <mergeCell ref="B11:C11"/>
    <mergeCell ref="D11:E11"/>
    <mergeCell ref="A2:E2"/>
    <mergeCell ref="A3:E3"/>
    <mergeCell ref="A5:E5"/>
    <mergeCell ref="B6:C6"/>
    <mergeCell ref="D6:E6"/>
    <mergeCell ref="B7:C7"/>
    <mergeCell ref="D7:E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66"/>
  <sheetViews>
    <sheetView workbookViewId="0">
      <selection activeCell="G9" sqref="G9"/>
    </sheetView>
  </sheetViews>
  <sheetFormatPr baseColWidth="10" defaultRowHeight="14.25"/>
  <cols>
    <col min="1" max="1" width="62" style="78" customWidth="1"/>
    <col min="2" max="2" width="14.5703125" style="78" bestFit="1" customWidth="1"/>
    <col min="3" max="3" width="14.5703125" style="78" customWidth="1"/>
    <col min="4" max="4" width="14.42578125" style="78" customWidth="1"/>
    <col min="5" max="5" width="13.7109375" style="78" customWidth="1"/>
    <col min="6" max="256" width="11.42578125" style="78"/>
    <col min="257" max="257" width="64.85546875" style="78" customWidth="1"/>
    <col min="258" max="258" width="14.5703125" style="78" bestFit="1" customWidth="1"/>
    <col min="259" max="259" width="14.5703125" style="78" customWidth="1"/>
    <col min="260" max="260" width="14.42578125" style="78" customWidth="1"/>
    <col min="261" max="261" width="13.7109375" style="78" customWidth="1"/>
    <col min="262" max="512" width="11.42578125" style="78"/>
    <col min="513" max="513" width="64.85546875" style="78" customWidth="1"/>
    <col min="514" max="514" width="14.5703125" style="78" bestFit="1" customWidth="1"/>
    <col min="515" max="515" width="14.5703125" style="78" customWidth="1"/>
    <col min="516" max="516" width="14.42578125" style="78" customWidth="1"/>
    <col min="517" max="517" width="13.7109375" style="78" customWidth="1"/>
    <col min="518" max="768" width="11.42578125" style="78"/>
    <col min="769" max="769" width="64.85546875" style="78" customWidth="1"/>
    <col min="770" max="770" width="14.5703125" style="78" bestFit="1" customWidth="1"/>
    <col min="771" max="771" width="14.5703125" style="78" customWidth="1"/>
    <col min="772" max="772" width="14.42578125" style="78" customWidth="1"/>
    <col min="773" max="773" width="13.7109375" style="78" customWidth="1"/>
    <col min="774" max="1024" width="11.42578125" style="78"/>
    <col min="1025" max="1025" width="64.85546875" style="78" customWidth="1"/>
    <col min="1026" max="1026" width="14.5703125" style="78" bestFit="1" customWidth="1"/>
    <col min="1027" max="1027" width="14.5703125" style="78" customWidth="1"/>
    <col min="1028" max="1028" width="14.42578125" style="78" customWidth="1"/>
    <col min="1029" max="1029" width="13.7109375" style="78" customWidth="1"/>
    <col min="1030" max="1280" width="11.42578125" style="78"/>
    <col min="1281" max="1281" width="64.85546875" style="78" customWidth="1"/>
    <col min="1282" max="1282" width="14.5703125" style="78" bestFit="1" customWidth="1"/>
    <col min="1283" max="1283" width="14.5703125" style="78" customWidth="1"/>
    <col min="1284" max="1284" width="14.42578125" style="78" customWidth="1"/>
    <col min="1285" max="1285" width="13.7109375" style="78" customWidth="1"/>
    <col min="1286" max="1536" width="11.42578125" style="78"/>
    <col min="1537" max="1537" width="64.85546875" style="78" customWidth="1"/>
    <col min="1538" max="1538" width="14.5703125" style="78" bestFit="1" customWidth="1"/>
    <col min="1539" max="1539" width="14.5703125" style="78" customWidth="1"/>
    <col min="1540" max="1540" width="14.42578125" style="78" customWidth="1"/>
    <col min="1541" max="1541" width="13.7109375" style="78" customWidth="1"/>
    <col min="1542" max="1792" width="11.42578125" style="78"/>
    <col min="1793" max="1793" width="64.85546875" style="78" customWidth="1"/>
    <col min="1794" max="1794" width="14.5703125" style="78" bestFit="1" customWidth="1"/>
    <col min="1795" max="1795" width="14.5703125" style="78" customWidth="1"/>
    <col min="1796" max="1796" width="14.42578125" style="78" customWidth="1"/>
    <col min="1797" max="1797" width="13.7109375" style="78" customWidth="1"/>
    <col min="1798" max="2048" width="11.42578125" style="78"/>
    <col min="2049" max="2049" width="64.85546875" style="78" customWidth="1"/>
    <col min="2050" max="2050" width="14.5703125" style="78" bestFit="1" customWidth="1"/>
    <col min="2051" max="2051" width="14.5703125" style="78" customWidth="1"/>
    <col min="2052" max="2052" width="14.42578125" style="78" customWidth="1"/>
    <col min="2053" max="2053" width="13.7109375" style="78" customWidth="1"/>
    <col min="2054" max="2304" width="11.42578125" style="78"/>
    <col min="2305" max="2305" width="64.85546875" style="78" customWidth="1"/>
    <col min="2306" max="2306" width="14.5703125" style="78" bestFit="1" customWidth="1"/>
    <col min="2307" max="2307" width="14.5703125" style="78" customWidth="1"/>
    <col min="2308" max="2308" width="14.42578125" style="78" customWidth="1"/>
    <col min="2309" max="2309" width="13.7109375" style="78" customWidth="1"/>
    <col min="2310" max="2560" width="11.42578125" style="78"/>
    <col min="2561" max="2561" width="64.85546875" style="78" customWidth="1"/>
    <col min="2562" max="2562" width="14.5703125" style="78" bestFit="1" customWidth="1"/>
    <col min="2563" max="2563" width="14.5703125" style="78" customWidth="1"/>
    <col min="2564" max="2564" width="14.42578125" style="78" customWidth="1"/>
    <col min="2565" max="2565" width="13.7109375" style="78" customWidth="1"/>
    <col min="2566" max="2816" width="11.42578125" style="78"/>
    <col min="2817" max="2817" width="64.85546875" style="78" customWidth="1"/>
    <col min="2818" max="2818" width="14.5703125" style="78" bestFit="1" customWidth="1"/>
    <col min="2819" max="2819" width="14.5703125" style="78" customWidth="1"/>
    <col min="2820" max="2820" width="14.42578125" style="78" customWidth="1"/>
    <col min="2821" max="2821" width="13.7109375" style="78" customWidth="1"/>
    <col min="2822" max="3072" width="11.42578125" style="78"/>
    <col min="3073" max="3073" width="64.85546875" style="78" customWidth="1"/>
    <col min="3074" max="3074" width="14.5703125" style="78" bestFit="1" customWidth="1"/>
    <col min="3075" max="3075" width="14.5703125" style="78" customWidth="1"/>
    <col min="3076" max="3076" width="14.42578125" style="78" customWidth="1"/>
    <col min="3077" max="3077" width="13.7109375" style="78" customWidth="1"/>
    <col min="3078" max="3328" width="11.42578125" style="78"/>
    <col min="3329" max="3329" width="64.85546875" style="78" customWidth="1"/>
    <col min="3330" max="3330" width="14.5703125" style="78" bestFit="1" customWidth="1"/>
    <col min="3331" max="3331" width="14.5703125" style="78" customWidth="1"/>
    <col min="3332" max="3332" width="14.42578125" style="78" customWidth="1"/>
    <col min="3333" max="3333" width="13.7109375" style="78" customWidth="1"/>
    <col min="3334" max="3584" width="11.42578125" style="78"/>
    <col min="3585" max="3585" width="64.85546875" style="78" customWidth="1"/>
    <col min="3586" max="3586" width="14.5703125" style="78" bestFit="1" customWidth="1"/>
    <col min="3587" max="3587" width="14.5703125" style="78" customWidth="1"/>
    <col min="3588" max="3588" width="14.42578125" style="78" customWidth="1"/>
    <col min="3589" max="3589" width="13.7109375" style="78" customWidth="1"/>
    <col min="3590" max="3840" width="11.42578125" style="78"/>
    <col min="3841" max="3841" width="64.85546875" style="78" customWidth="1"/>
    <col min="3842" max="3842" width="14.5703125" style="78" bestFit="1" customWidth="1"/>
    <col min="3843" max="3843" width="14.5703125" style="78" customWidth="1"/>
    <col min="3844" max="3844" width="14.42578125" style="78" customWidth="1"/>
    <col min="3845" max="3845" width="13.7109375" style="78" customWidth="1"/>
    <col min="3846" max="4096" width="11.42578125" style="78"/>
    <col min="4097" max="4097" width="64.85546875" style="78" customWidth="1"/>
    <col min="4098" max="4098" width="14.5703125" style="78" bestFit="1" customWidth="1"/>
    <col min="4099" max="4099" width="14.5703125" style="78" customWidth="1"/>
    <col min="4100" max="4100" width="14.42578125" style="78" customWidth="1"/>
    <col min="4101" max="4101" width="13.7109375" style="78" customWidth="1"/>
    <col min="4102" max="4352" width="11.42578125" style="78"/>
    <col min="4353" max="4353" width="64.85546875" style="78" customWidth="1"/>
    <col min="4354" max="4354" width="14.5703125" style="78" bestFit="1" customWidth="1"/>
    <col min="4355" max="4355" width="14.5703125" style="78" customWidth="1"/>
    <col min="4356" max="4356" width="14.42578125" style="78" customWidth="1"/>
    <col min="4357" max="4357" width="13.7109375" style="78" customWidth="1"/>
    <col min="4358" max="4608" width="11.42578125" style="78"/>
    <col min="4609" max="4609" width="64.85546875" style="78" customWidth="1"/>
    <col min="4610" max="4610" width="14.5703125" style="78" bestFit="1" customWidth="1"/>
    <col min="4611" max="4611" width="14.5703125" style="78" customWidth="1"/>
    <col min="4612" max="4612" width="14.42578125" style="78" customWidth="1"/>
    <col min="4613" max="4613" width="13.7109375" style="78" customWidth="1"/>
    <col min="4614" max="4864" width="11.42578125" style="78"/>
    <col min="4865" max="4865" width="64.85546875" style="78" customWidth="1"/>
    <col min="4866" max="4866" width="14.5703125" style="78" bestFit="1" customWidth="1"/>
    <col min="4867" max="4867" width="14.5703125" style="78" customWidth="1"/>
    <col min="4868" max="4868" width="14.42578125" style="78" customWidth="1"/>
    <col min="4869" max="4869" width="13.7109375" style="78" customWidth="1"/>
    <col min="4870" max="5120" width="11.42578125" style="78"/>
    <col min="5121" max="5121" width="64.85546875" style="78" customWidth="1"/>
    <col min="5122" max="5122" width="14.5703125" style="78" bestFit="1" customWidth="1"/>
    <col min="5123" max="5123" width="14.5703125" style="78" customWidth="1"/>
    <col min="5124" max="5124" width="14.42578125" style="78" customWidth="1"/>
    <col min="5125" max="5125" width="13.7109375" style="78" customWidth="1"/>
    <col min="5126" max="5376" width="11.42578125" style="78"/>
    <col min="5377" max="5377" width="64.85546875" style="78" customWidth="1"/>
    <col min="5378" max="5378" width="14.5703125" style="78" bestFit="1" customWidth="1"/>
    <col min="5379" max="5379" width="14.5703125" style="78" customWidth="1"/>
    <col min="5380" max="5380" width="14.42578125" style="78" customWidth="1"/>
    <col min="5381" max="5381" width="13.7109375" style="78" customWidth="1"/>
    <col min="5382" max="5632" width="11.42578125" style="78"/>
    <col min="5633" max="5633" width="64.85546875" style="78" customWidth="1"/>
    <col min="5634" max="5634" width="14.5703125" style="78" bestFit="1" customWidth="1"/>
    <col min="5635" max="5635" width="14.5703125" style="78" customWidth="1"/>
    <col min="5636" max="5636" width="14.42578125" style="78" customWidth="1"/>
    <col min="5637" max="5637" width="13.7109375" style="78" customWidth="1"/>
    <col min="5638" max="5888" width="11.42578125" style="78"/>
    <col min="5889" max="5889" width="64.85546875" style="78" customWidth="1"/>
    <col min="5890" max="5890" width="14.5703125" style="78" bestFit="1" customWidth="1"/>
    <col min="5891" max="5891" width="14.5703125" style="78" customWidth="1"/>
    <col min="5892" max="5892" width="14.42578125" style="78" customWidth="1"/>
    <col min="5893" max="5893" width="13.7109375" style="78" customWidth="1"/>
    <col min="5894" max="6144" width="11.42578125" style="78"/>
    <col min="6145" max="6145" width="64.85546875" style="78" customWidth="1"/>
    <col min="6146" max="6146" width="14.5703125" style="78" bestFit="1" customWidth="1"/>
    <col min="6147" max="6147" width="14.5703125" style="78" customWidth="1"/>
    <col min="6148" max="6148" width="14.42578125" style="78" customWidth="1"/>
    <col min="6149" max="6149" width="13.7109375" style="78" customWidth="1"/>
    <col min="6150" max="6400" width="11.42578125" style="78"/>
    <col min="6401" max="6401" width="64.85546875" style="78" customWidth="1"/>
    <col min="6402" max="6402" width="14.5703125" style="78" bestFit="1" customWidth="1"/>
    <col min="6403" max="6403" width="14.5703125" style="78" customWidth="1"/>
    <col min="6404" max="6404" width="14.42578125" style="78" customWidth="1"/>
    <col min="6405" max="6405" width="13.7109375" style="78" customWidth="1"/>
    <col min="6406" max="6656" width="11.42578125" style="78"/>
    <col min="6657" max="6657" width="64.85546875" style="78" customWidth="1"/>
    <col min="6658" max="6658" width="14.5703125" style="78" bestFit="1" customWidth="1"/>
    <col min="6659" max="6659" width="14.5703125" style="78" customWidth="1"/>
    <col min="6660" max="6660" width="14.42578125" style="78" customWidth="1"/>
    <col min="6661" max="6661" width="13.7109375" style="78" customWidth="1"/>
    <col min="6662" max="6912" width="11.42578125" style="78"/>
    <col min="6913" max="6913" width="64.85546875" style="78" customWidth="1"/>
    <col min="6914" max="6914" width="14.5703125" style="78" bestFit="1" customWidth="1"/>
    <col min="6915" max="6915" width="14.5703125" style="78" customWidth="1"/>
    <col min="6916" max="6916" width="14.42578125" style="78" customWidth="1"/>
    <col min="6917" max="6917" width="13.7109375" style="78" customWidth="1"/>
    <col min="6918" max="7168" width="11.42578125" style="78"/>
    <col min="7169" max="7169" width="64.85546875" style="78" customWidth="1"/>
    <col min="7170" max="7170" width="14.5703125" style="78" bestFit="1" customWidth="1"/>
    <col min="7171" max="7171" width="14.5703125" style="78" customWidth="1"/>
    <col min="7172" max="7172" width="14.42578125" style="78" customWidth="1"/>
    <col min="7173" max="7173" width="13.7109375" style="78" customWidth="1"/>
    <col min="7174" max="7424" width="11.42578125" style="78"/>
    <col min="7425" max="7425" width="64.85546875" style="78" customWidth="1"/>
    <col min="7426" max="7426" width="14.5703125" style="78" bestFit="1" customWidth="1"/>
    <col min="7427" max="7427" width="14.5703125" style="78" customWidth="1"/>
    <col min="7428" max="7428" width="14.42578125" style="78" customWidth="1"/>
    <col min="7429" max="7429" width="13.7109375" style="78" customWidth="1"/>
    <col min="7430" max="7680" width="11.42578125" style="78"/>
    <col min="7681" max="7681" width="64.85546875" style="78" customWidth="1"/>
    <col min="7682" max="7682" width="14.5703125" style="78" bestFit="1" customWidth="1"/>
    <col min="7683" max="7683" width="14.5703125" style="78" customWidth="1"/>
    <col min="7684" max="7684" width="14.42578125" style="78" customWidth="1"/>
    <col min="7685" max="7685" width="13.7109375" style="78" customWidth="1"/>
    <col min="7686" max="7936" width="11.42578125" style="78"/>
    <col min="7937" max="7937" width="64.85546875" style="78" customWidth="1"/>
    <col min="7938" max="7938" width="14.5703125" style="78" bestFit="1" customWidth="1"/>
    <col min="7939" max="7939" width="14.5703125" style="78" customWidth="1"/>
    <col min="7940" max="7940" width="14.42578125" style="78" customWidth="1"/>
    <col min="7941" max="7941" width="13.7109375" style="78" customWidth="1"/>
    <col min="7942" max="8192" width="11.42578125" style="78"/>
    <col min="8193" max="8193" width="64.85546875" style="78" customWidth="1"/>
    <col min="8194" max="8194" width="14.5703125" style="78" bestFit="1" customWidth="1"/>
    <col min="8195" max="8195" width="14.5703125" style="78" customWidth="1"/>
    <col min="8196" max="8196" width="14.42578125" style="78" customWidth="1"/>
    <col min="8197" max="8197" width="13.7109375" style="78" customWidth="1"/>
    <col min="8198" max="8448" width="11.42578125" style="78"/>
    <col min="8449" max="8449" width="64.85546875" style="78" customWidth="1"/>
    <col min="8450" max="8450" width="14.5703125" style="78" bestFit="1" customWidth="1"/>
    <col min="8451" max="8451" width="14.5703125" style="78" customWidth="1"/>
    <col min="8452" max="8452" width="14.42578125" style="78" customWidth="1"/>
    <col min="8453" max="8453" width="13.7109375" style="78" customWidth="1"/>
    <col min="8454" max="8704" width="11.42578125" style="78"/>
    <col min="8705" max="8705" width="64.85546875" style="78" customWidth="1"/>
    <col min="8706" max="8706" width="14.5703125" style="78" bestFit="1" customWidth="1"/>
    <col min="8707" max="8707" width="14.5703125" style="78" customWidth="1"/>
    <col min="8708" max="8708" width="14.42578125" style="78" customWidth="1"/>
    <col min="8709" max="8709" width="13.7109375" style="78" customWidth="1"/>
    <col min="8710" max="8960" width="11.42578125" style="78"/>
    <col min="8961" max="8961" width="64.85546875" style="78" customWidth="1"/>
    <col min="8962" max="8962" width="14.5703125" style="78" bestFit="1" customWidth="1"/>
    <col min="8963" max="8963" width="14.5703125" style="78" customWidth="1"/>
    <col min="8964" max="8964" width="14.42578125" style="78" customWidth="1"/>
    <col min="8965" max="8965" width="13.7109375" style="78" customWidth="1"/>
    <col min="8966" max="9216" width="11.42578125" style="78"/>
    <col min="9217" max="9217" width="64.85546875" style="78" customWidth="1"/>
    <col min="9218" max="9218" width="14.5703125" style="78" bestFit="1" customWidth="1"/>
    <col min="9219" max="9219" width="14.5703125" style="78" customWidth="1"/>
    <col min="9220" max="9220" width="14.42578125" style="78" customWidth="1"/>
    <col min="9221" max="9221" width="13.7109375" style="78" customWidth="1"/>
    <col min="9222" max="9472" width="11.42578125" style="78"/>
    <col min="9473" max="9473" width="64.85546875" style="78" customWidth="1"/>
    <col min="9474" max="9474" width="14.5703125" style="78" bestFit="1" customWidth="1"/>
    <col min="9475" max="9475" width="14.5703125" style="78" customWidth="1"/>
    <col min="9476" max="9476" width="14.42578125" style="78" customWidth="1"/>
    <col min="9477" max="9477" width="13.7109375" style="78" customWidth="1"/>
    <col min="9478" max="9728" width="11.42578125" style="78"/>
    <col min="9729" max="9729" width="64.85546875" style="78" customWidth="1"/>
    <col min="9730" max="9730" width="14.5703125" style="78" bestFit="1" customWidth="1"/>
    <col min="9731" max="9731" width="14.5703125" style="78" customWidth="1"/>
    <col min="9732" max="9732" width="14.42578125" style="78" customWidth="1"/>
    <col min="9733" max="9733" width="13.7109375" style="78" customWidth="1"/>
    <col min="9734" max="9984" width="11.42578125" style="78"/>
    <col min="9985" max="9985" width="64.85546875" style="78" customWidth="1"/>
    <col min="9986" max="9986" width="14.5703125" style="78" bestFit="1" customWidth="1"/>
    <col min="9987" max="9987" width="14.5703125" style="78" customWidth="1"/>
    <col min="9988" max="9988" width="14.42578125" style="78" customWidth="1"/>
    <col min="9989" max="9989" width="13.7109375" style="78" customWidth="1"/>
    <col min="9990" max="10240" width="11.42578125" style="78"/>
    <col min="10241" max="10241" width="64.85546875" style="78" customWidth="1"/>
    <col min="10242" max="10242" width="14.5703125" style="78" bestFit="1" customWidth="1"/>
    <col min="10243" max="10243" width="14.5703125" style="78" customWidth="1"/>
    <col min="10244" max="10244" width="14.42578125" style="78" customWidth="1"/>
    <col min="10245" max="10245" width="13.7109375" style="78" customWidth="1"/>
    <col min="10246" max="10496" width="11.42578125" style="78"/>
    <col min="10497" max="10497" width="64.85546875" style="78" customWidth="1"/>
    <col min="10498" max="10498" width="14.5703125" style="78" bestFit="1" customWidth="1"/>
    <col min="10499" max="10499" width="14.5703125" style="78" customWidth="1"/>
    <col min="10500" max="10500" width="14.42578125" style="78" customWidth="1"/>
    <col min="10501" max="10501" width="13.7109375" style="78" customWidth="1"/>
    <col min="10502" max="10752" width="11.42578125" style="78"/>
    <col min="10753" max="10753" width="64.85546875" style="78" customWidth="1"/>
    <col min="10754" max="10754" width="14.5703125" style="78" bestFit="1" customWidth="1"/>
    <col min="10755" max="10755" width="14.5703125" style="78" customWidth="1"/>
    <col min="10756" max="10756" width="14.42578125" style="78" customWidth="1"/>
    <col min="10757" max="10757" width="13.7109375" style="78" customWidth="1"/>
    <col min="10758" max="11008" width="11.42578125" style="78"/>
    <col min="11009" max="11009" width="64.85546875" style="78" customWidth="1"/>
    <col min="11010" max="11010" width="14.5703125" style="78" bestFit="1" customWidth="1"/>
    <col min="11011" max="11011" width="14.5703125" style="78" customWidth="1"/>
    <col min="11012" max="11012" width="14.42578125" style="78" customWidth="1"/>
    <col min="11013" max="11013" width="13.7109375" style="78" customWidth="1"/>
    <col min="11014" max="11264" width="11.42578125" style="78"/>
    <col min="11265" max="11265" width="64.85546875" style="78" customWidth="1"/>
    <col min="11266" max="11266" width="14.5703125" style="78" bestFit="1" customWidth="1"/>
    <col min="11267" max="11267" width="14.5703125" style="78" customWidth="1"/>
    <col min="11268" max="11268" width="14.42578125" style="78" customWidth="1"/>
    <col min="11269" max="11269" width="13.7109375" style="78" customWidth="1"/>
    <col min="11270" max="11520" width="11.42578125" style="78"/>
    <col min="11521" max="11521" width="64.85546875" style="78" customWidth="1"/>
    <col min="11522" max="11522" width="14.5703125" style="78" bestFit="1" customWidth="1"/>
    <col min="11523" max="11523" width="14.5703125" style="78" customWidth="1"/>
    <col min="11524" max="11524" width="14.42578125" style="78" customWidth="1"/>
    <col min="11525" max="11525" width="13.7109375" style="78" customWidth="1"/>
    <col min="11526" max="11776" width="11.42578125" style="78"/>
    <col min="11777" max="11777" width="64.85546875" style="78" customWidth="1"/>
    <col min="11778" max="11778" width="14.5703125" style="78" bestFit="1" customWidth="1"/>
    <col min="11779" max="11779" width="14.5703125" style="78" customWidth="1"/>
    <col min="11780" max="11780" width="14.42578125" style="78" customWidth="1"/>
    <col min="11781" max="11781" width="13.7109375" style="78" customWidth="1"/>
    <col min="11782" max="12032" width="11.42578125" style="78"/>
    <col min="12033" max="12033" width="64.85546875" style="78" customWidth="1"/>
    <col min="12034" max="12034" width="14.5703125" style="78" bestFit="1" customWidth="1"/>
    <col min="12035" max="12035" width="14.5703125" style="78" customWidth="1"/>
    <col min="12036" max="12036" width="14.42578125" style="78" customWidth="1"/>
    <col min="12037" max="12037" width="13.7109375" style="78" customWidth="1"/>
    <col min="12038" max="12288" width="11.42578125" style="78"/>
    <col min="12289" max="12289" width="64.85546875" style="78" customWidth="1"/>
    <col min="12290" max="12290" width="14.5703125" style="78" bestFit="1" customWidth="1"/>
    <col min="12291" max="12291" width="14.5703125" style="78" customWidth="1"/>
    <col min="12292" max="12292" width="14.42578125" style="78" customWidth="1"/>
    <col min="12293" max="12293" width="13.7109375" style="78" customWidth="1"/>
    <col min="12294" max="12544" width="11.42578125" style="78"/>
    <col min="12545" max="12545" width="64.85546875" style="78" customWidth="1"/>
    <col min="12546" max="12546" width="14.5703125" style="78" bestFit="1" customWidth="1"/>
    <col min="12547" max="12547" width="14.5703125" style="78" customWidth="1"/>
    <col min="12548" max="12548" width="14.42578125" style="78" customWidth="1"/>
    <col min="12549" max="12549" width="13.7109375" style="78" customWidth="1"/>
    <col min="12550" max="12800" width="11.42578125" style="78"/>
    <col min="12801" max="12801" width="64.85546875" style="78" customWidth="1"/>
    <col min="12802" max="12802" width="14.5703125" style="78" bestFit="1" customWidth="1"/>
    <col min="12803" max="12803" width="14.5703125" style="78" customWidth="1"/>
    <col min="12804" max="12804" width="14.42578125" style="78" customWidth="1"/>
    <col min="12805" max="12805" width="13.7109375" style="78" customWidth="1"/>
    <col min="12806" max="13056" width="11.42578125" style="78"/>
    <col min="13057" max="13057" width="64.85546875" style="78" customWidth="1"/>
    <col min="13058" max="13058" width="14.5703125" style="78" bestFit="1" customWidth="1"/>
    <col min="13059" max="13059" width="14.5703125" style="78" customWidth="1"/>
    <col min="13060" max="13060" width="14.42578125" style="78" customWidth="1"/>
    <col min="13061" max="13061" width="13.7109375" style="78" customWidth="1"/>
    <col min="13062" max="13312" width="11.42578125" style="78"/>
    <col min="13313" max="13313" width="64.85546875" style="78" customWidth="1"/>
    <col min="13314" max="13314" width="14.5703125" style="78" bestFit="1" customWidth="1"/>
    <col min="13315" max="13315" width="14.5703125" style="78" customWidth="1"/>
    <col min="13316" max="13316" width="14.42578125" style="78" customWidth="1"/>
    <col min="13317" max="13317" width="13.7109375" style="78" customWidth="1"/>
    <col min="13318" max="13568" width="11.42578125" style="78"/>
    <col min="13569" max="13569" width="64.85546875" style="78" customWidth="1"/>
    <col min="13570" max="13570" width="14.5703125" style="78" bestFit="1" customWidth="1"/>
    <col min="13571" max="13571" width="14.5703125" style="78" customWidth="1"/>
    <col min="13572" max="13572" width="14.42578125" style="78" customWidth="1"/>
    <col min="13573" max="13573" width="13.7109375" style="78" customWidth="1"/>
    <col min="13574" max="13824" width="11.42578125" style="78"/>
    <col min="13825" max="13825" width="64.85546875" style="78" customWidth="1"/>
    <col min="13826" max="13826" width="14.5703125" style="78" bestFit="1" customWidth="1"/>
    <col min="13827" max="13827" width="14.5703125" style="78" customWidth="1"/>
    <col min="13828" max="13828" width="14.42578125" style="78" customWidth="1"/>
    <col min="13829" max="13829" width="13.7109375" style="78" customWidth="1"/>
    <col min="13830" max="14080" width="11.42578125" style="78"/>
    <col min="14081" max="14081" width="64.85546875" style="78" customWidth="1"/>
    <col min="14082" max="14082" width="14.5703125" style="78" bestFit="1" customWidth="1"/>
    <col min="14083" max="14083" width="14.5703125" style="78" customWidth="1"/>
    <col min="14084" max="14084" width="14.42578125" style="78" customWidth="1"/>
    <col min="14085" max="14085" width="13.7109375" style="78" customWidth="1"/>
    <col min="14086" max="14336" width="11.42578125" style="78"/>
    <col min="14337" max="14337" width="64.85546875" style="78" customWidth="1"/>
    <col min="14338" max="14338" width="14.5703125" style="78" bestFit="1" customWidth="1"/>
    <col min="14339" max="14339" width="14.5703125" style="78" customWidth="1"/>
    <col min="14340" max="14340" width="14.42578125" style="78" customWidth="1"/>
    <col min="14341" max="14341" width="13.7109375" style="78" customWidth="1"/>
    <col min="14342" max="14592" width="11.42578125" style="78"/>
    <col min="14593" max="14593" width="64.85546875" style="78" customWidth="1"/>
    <col min="14594" max="14594" width="14.5703125" style="78" bestFit="1" customWidth="1"/>
    <col min="14595" max="14595" width="14.5703125" style="78" customWidth="1"/>
    <col min="14596" max="14596" width="14.42578125" style="78" customWidth="1"/>
    <col min="14597" max="14597" width="13.7109375" style="78" customWidth="1"/>
    <col min="14598" max="14848" width="11.42578125" style="78"/>
    <col min="14849" max="14849" width="64.85546875" style="78" customWidth="1"/>
    <col min="14850" max="14850" width="14.5703125" style="78" bestFit="1" customWidth="1"/>
    <col min="14851" max="14851" width="14.5703125" style="78" customWidth="1"/>
    <col min="14852" max="14852" width="14.42578125" style="78" customWidth="1"/>
    <col min="14853" max="14853" width="13.7109375" style="78" customWidth="1"/>
    <col min="14854" max="15104" width="11.42578125" style="78"/>
    <col min="15105" max="15105" width="64.85546875" style="78" customWidth="1"/>
    <col min="15106" max="15106" width="14.5703125" style="78" bestFit="1" customWidth="1"/>
    <col min="15107" max="15107" width="14.5703125" style="78" customWidth="1"/>
    <col min="15108" max="15108" width="14.42578125" style="78" customWidth="1"/>
    <col min="15109" max="15109" width="13.7109375" style="78" customWidth="1"/>
    <col min="15110" max="15360" width="11.42578125" style="78"/>
    <col min="15361" max="15361" width="64.85546875" style="78" customWidth="1"/>
    <col min="15362" max="15362" width="14.5703125" style="78" bestFit="1" customWidth="1"/>
    <col min="15363" max="15363" width="14.5703125" style="78" customWidth="1"/>
    <col min="15364" max="15364" width="14.42578125" style="78" customWidth="1"/>
    <col min="15365" max="15365" width="13.7109375" style="78" customWidth="1"/>
    <col min="15366" max="15616" width="11.42578125" style="78"/>
    <col min="15617" max="15617" width="64.85546875" style="78" customWidth="1"/>
    <col min="15618" max="15618" width="14.5703125" style="78" bestFit="1" customWidth="1"/>
    <col min="15619" max="15619" width="14.5703125" style="78" customWidth="1"/>
    <col min="15620" max="15620" width="14.42578125" style="78" customWidth="1"/>
    <col min="15621" max="15621" width="13.7109375" style="78" customWidth="1"/>
    <col min="15622" max="15872" width="11.42578125" style="78"/>
    <col min="15873" max="15873" width="64.85546875" style="78" customWidth="1"/>
    <col min="15874" max="15874" width="14.5703125" style="78" bestFit="1" customWidth="1"/>
    <col min="15875" max="15875" width="14.5703125" style="78" customWidth="1"/>
    <col min="15876" max="15876" width="14.42578125" style="78" customWidth="1"/>
    <col min="15877" max="15877" width="13.7109375" style="78" customWidth="1"/>
    <col min="15878" max="16128" width="11.42578125" style="78"/>
    <col min="16129" max="16129" width="64.85546875" style="78" customWidth="1"/>
    <col min="16130" max="16130" width="14.5703125" style="78" bestFit="1" customWidth="1"/>
    <col min="16131" max="16131" width="14.5703125" style="78" customWidth="1"/>
    <col min="16132" max="16132" width="14.42578125" style="78" customWidth="1"/>
    <col min="16133" max="16133" width="13.7109375" style="78" customWidth="1"/>
    <col min="16134" max="16384" width="11.42578125" style="78"/>
  </cols>
  <sheetData>
    <row r="1" spans="1:6" ht="15">
      <c r="A1" s="917" t="s">
        <v>1738</v>
      </c>
      <c r="B1" s="917"/>
      <c r="C1" s="917"/>
      <c r="D1" s="917"/>
      <c r="E1" s="917"/>
    </row>
    <row r="2" spans="1:6" ht="15">
      <c r="A2" s="680" t="s">
        <v>1804</v>
      </c>
      <c r="B2" s="680"/>
      <c r="C2" s="680"/>
      <c r="D2" s="680"/>
      <c r="E2" s="680"/>
      <c r="F2" s="680"/>
    </row>
    <row r="3" spans="1:6">
      <c r="A3" s="398"/>
      <c r="B3" s="398"/>
      <c r="C3" s="398"/>
      <c r="D3" s="398"/>
    </row>
    <row r="4" spans="1:6" ht="15">
      <c r="A4" s="922" t="s">
        <v>648</v>
      </c>
      <c r="B4" s="922"/>
      <c r="C4" s="922"/>
      <c r="D4" s="922"/>
      <c r="E4" s="922"/>
    </row>
    <row r="5" spans="1:6" ht="15.75" customHeight="1">
      <c r="A5" s="408" t="s">
        <v>511</v>
      </c>
      <c r="B5" s="922" t="s">
        <v>75</v>
      </c>
      <c r="C5" s="922"/>
      <c r="D5" s="923" t="s">
        <v>124</v>
      </c>
      <c r="E5" s="923"/>
    </row>
    <row r="6" spans="1:6" ht="15">
      <c r="A6" s="408" t="s">
        <v>649</v>
      </c>
      <c r="B6" s="924"/>
      <c r="C6" s="925"/>
      <c r="D6" s="924"/>
      <c r="E6" s="925"/>
    </row>
    <row r="7" spans="1:6" ht="15.95" customHeight="1">
      <c r="A7" s="409" t="s">
        <v>650</v>
      </c>
      <c r="B7" s="918">
        <v>0.38</v>
      </c>
      <c r="C7" s="919"/>
      <c r="D7" s="901" t="s">
        <v>107</v>
      </c>
      <c r="E7" s="901"/>
    </row>
    <row r="8" spans="1:6" ht="15.95" customHeight="1">
      <c r="A8" s="410" t="s">
        <v>1739</v>
      </c>
      <c r="B8" s="920">
        <v>0.44</v>
      </c>
      <c r="C8" s="921"/>
      <c r="D8" s="901" t="s">
        <v>107</v>
      </c>
      <c r="E8" s="901"/>
    </row>
    <row r="9" spans="1:6" ht="15.95" customHeight="1">
      <c r="A9" s="410" t="s">
        <v>651</v>
      </c>
      <c r="B9" s="920">
        <v>0.55000000000000004</v>
      </c>
      <c r="C9" s="921"/>
      <c r="D9" s="901" t="s">
        <v>107</v>
      </c>
      <c r="E9" s="901"/>
    </row>
    <row r="10" spans="1:6" ht="15.95" customHeight="1">
      <c r="A10" s="410" t="s">
        <v>652</v>
      </c>
      <c r="B10" s="920">
        <v>0.6</v>
      </c>
      <c r="C10" s="921"/>
      <c r="D10" s="901" t="s">
        <v>107</v>
      </c>
      <c r="E10" s="901"/>
    </row>
    <row r="11" spans="1:6" ht="15.95" customHeight="1">
      <c r="A11" s="410" t="s">
        <v>653</v>
      </c>
      <c r="B11" s="927">
        <v>100</v>
      </c>
      <c r="C11" s="928"/>
      <c r="D11" s="901" t="s">
        <v>654</v>
      </c>
      <c r="E11" s="901"/>
    </row>
    <row r="12" spans="1:6">
      <c r="A12" s="411" t="s">
        <v>655</v>
      </c>
      <c r="B12" s="929"/>
      <c r="C12" s="930"/>
      <c r="D12" s="931"/>
      <c r="E12" s="932"/>
    </row>
    <row r="13" spans="1:6">
      <c r="A13" s="410" t="s">
        <v>656</v>
      </c>
      <c r="B13" s="918">
        <v>25</v>
      </c>
      <c r="C13" s="919"/>
      <c r="D13" s="901" t="s">
        <v>110</v>
      </c>
      <c r="E13" s="901"/>
    </row>
    <row r="14" spans="1:6">
      <c r="A14" s="410" t="s">
        <v>657</v>
      </c>
      <c r="B14" s="918">
        <v>25</v>
      </c>
      <c r="C14" s="919"/>
      <c r="D14" s="901" t="s">
        <v>110</v>
      </c>
      <c r="E14" s="901"/>
    </row>
    <row r="15" spans="1:6" ht="15">
      <c r="A15" s="412" t="s">
        <v>658</v>
      </c>
      <c r="B15" s="924"/>
      <c r="C15" s="925"/>
      <c r="D15" s="924"/>
      <c r="E15" s="926"/>
    </row>
    <row r="16" spans="1:6">
      <c r="A16" s="410" t="s">
        <v>155</v>
      </c>
      <c r="B16" s="918">
        <v>38.5</v>
      </c>
      <c r="C16" s="919"/>
      <c r="D16" s="901" t="s">
        <v>110</v>
      </c>
      <c r="E16" s="901"/>
    </row>
    <row r="17" spans="1:5">
      <c r="A17" s="410" t="s">
        <v>166</v>
      </c>
      <c r="B17" s="918">
        <v>48.13</v>
      </c>
      <c r="C17" s="919"/>
      <c r="D17" s="901" t="s">
        <v>110</v>
      </c>
      <c r="E17" s="901"/>
    </row>
    <row r="18" spans="1:5">
      <c r="A18" s="410" t="s">
        <v>167</v>
      </c>
      <c r="B18" s="918">
        <v>7.7</v>
      </c>
      <c r="C18" s="919"/>
      <c r="D18" s="901" t="s">
        <v>110</v>
      </c>
      <c r="E18" s="901"/>
    </row>
    <row r="19" spans="1:5">
      <c r="A19" s="410" t="s">
        <v>113</v>
      </c>
      <c r="B19" s="918">
        <v>3.85</v>
      </c>
      <c r="C19" s="919"/>
      <c r="D19" s="901" t="s">
        <v>108</v>
      </c>
      <c r="E19" s="901"/>
    </row>
    <row r="20" spans="1:5" ht="15">
      <c r="A20" s="412" t="s">
        <v>659</v>
      </c>
      <c r="B20" s="924"/>
      <c r="C20" s="925"/>
      <c r="D20" s="933"/>
      <c r="E20" s="934"/>
    </row>
    <row r="21" spans="1:5">
      <c r="A21" s="410" t="s">
        <v>155</v>
      </c>
      <c r="B21" s="918">
        <v>25</v>
      </c>
      <c r="C21" s="919"/>
      <c r="D21" s="901" t="s">
        <v>110</v>
      </c>
      <c r="E21" s="901"/>
    </row>
    <row r="22" spans="1:5">
      <c r="A22" s="410" t="s">
        <v>166</v>
      </c>
      <c r="B22" s="918">
        <v>31.25</v>
      </c>
      <c r="C22" s="919"/>
      <c r="D22" s="901" t="s">
        <v>110</v>
      </c>
      <c r="E22" s="901"/>
    </row>
    <row r="23" spans="1:5">
      <c r="A23" s="410" t="s">
        <v>660</v>
      </c>
      <c r="B23" s="918">
        <v>15.4</v>
      </c>
      <c r="C23" s="919"/>
      <c r="D23" s="901" t="s">
        <v>110</v>
      </c>
      <c r="E23" s="901"/>
    </row>
    <row r="24" spans="1:5">
      <c r="A24" s="410" t="s">
        <v>661</v>
      </c>
      <c r="B24" s="918">
        <v>17.600000000000001</v>
      </c>
      <c r="C24" s="919"/>
      <c r="D24" s="901" t="s">
        <v>110</v>
      </c>
      <c r="E24" s="901"/>
    </row>
    <row r="25" spans="1:5">
      <c r="A25" s="410" t="s">
        <v>113</v>
      </c>
      <c r="B25" s="918">
        <v>3.85</v>
      </c>
      <c r="C25" s="919"/>
      <c r="D25" s="901" t="s">
        <v>108</v>
      </c>
      <c r="E25" s="901"/>
    </row>
    <row r="26" spans="1:5" ht="15">
      <c r="A26" s="412" t="s">
        <v>662</v>
      </c>
      <c r="B26" s="924"/>
      <c r="C26" s="925"/>
      <c r="D26" s="933"/>
      <c r="E26" s="934"/>
    </row>
    <row r="27" spans="1:5">
      <c r="A27" s="410" t="s">
        <v>663</v>
      </c>
      <c r="B27" s="918">
        <v>41.25</v>
      </c>
      <c r="C27" s="919"/>
      <c r="D27" s="901" t="s">
        <v>110</v>
      </c>
      <c r="E27" s="901"/>
    </row>
    <row r="28" spans="1:5">
      <c r="A28" s="410" t="s">
        <v>664</v>
      </c>
      <c r="B28" s="918">
        <v>51.43</v>
      </c>
      <c r="C28" s="919"/>
      <c r="D28" s="901" t="s">
        <v>110</v>
      </c>
      <c r="E28" s="901"/>
    </row>
    <row r="29" spans="1:5" ht="15">
      <c r="A29" s="412" t="s">
        <v>1740</v>
      </c>
      <c r="B29" s="924"/>
      <c r="C29" s="925"/>
      <c r="D29" s="922"/>
      <c r="E29" s="922"/>
    </row>
    <row r="30" spans="1:5" ht="15">
      <c r="A30" s="412" t="s">
        <v>116</v>
      </c>
      <c r="B30" s="924" t="s">
        <v>75</v>
      </c>
      <c r="C30" s="925"/>
      <c r="D30" s="923" t="s">
        <v>124</v>
      </c>
      <c r="E30" s="923"/>
    </row>
    <row r="31" spans="1:5">
      <c r="A31" s="426" t="s">
        <v>1741</v>
      </c>
      <c r="B31" s="935">
        <v>8.8000000000000007</v>
      </c>
      <c r="C31" s="936"/>
      <c r="D31" s="937" t="s">
        <v>110</v>
      </c>
      <c r="E31" s="937"/>
    </row>
    <row r="32" spans="1:5">
      <c r="A32" s="426" t="s">
        <v>1742</v>
      </c>
      <c r="B32" s="935">
        <v>13.2</v>
      </c>
      <c r="C32" s="936"/>
      <c r="D32" s="937" t="s">
        <v>110</v>
      </c>
      <c r="E32" s="937"/>
    </row>
    <row r="33" spans="1:5">
      <c r="A33" s="426" t="s">
        <v>1743</v>
      </c>
      <c r="B33" s="935">
        <v>2</v>
      </c>
      <c r="C33" s="936"/>
      <c r="D33" s="937" t="s">
        <v>110</v>
      </c>
      <c r="E33" s="937"/>
    </row>
    <row r="34" spans="1:5">
      <c r="A34" s="426" t="s">
        <v>1744</v>
      </c>
      <c r="B34" s="935">
        <v>3</v>
      </c>
      <c r="C34" s="936"/>
      <c r="D34" s="937" t="s">
        <v>110</v>
      </c>
      <c r="E34" s="937"/>
    </row>
    <row r="35" spans="1:5" ht="17.25" customHeight="1">
      <c r="A35" s="922" t="s">
        <v>665</v>
      </c>
      <c r="B35" s="922"/>
      <c r="C35" s="922"/>
      <c r="D35" s="922"/>
      <c r="E35" s="922"/>
    </row>
    <row r="36" spans="1:5" ht="15.75" customHeight="1">
      <c r="A36" s="412" t="s">
        <v>655</v>
      </c>
      <c r="B36" s="924" t="s">
        <v>75</v>
      </c>
      <c r="C36" s="925"/>
      <c r="D36" s="923" t="s">
        <v>124</v>
      </c>
      <c r="E36" s="923"/>
    </row>
    <row r="37" spans="1:5">
      <c r="A37" s="409" t="s">
        <v>140</v>
      </c>
      <c r="B37" s="918">
        <v>5</v>
      </c>
      <c r="C37" s="919"/>
      <c r="D37" s="901" t="s">
        <v>108</v>
      </c>
      <c r="E37" s="901"/>
    </row>
    <row r="38" spans="1:5">
      <c r="A38" s="410" t="s">
        <v>141</v>
      </c>
      <c r="B38" s="918">
        <v>6.25</v>
      </c>
      <c r="C38" s="919"/>
      <c r="D38" s="901" t="s">
        <v>108</v>
      </c>
      <c r="E38" s="901"/>
    </row>
    <row r="39" spans="1:5">
      <c r="A39" s="410" t="s">
        <v>142</v>
      </c>
      <c r="B39" s="918">
        <v>4.5</v>
      </c>
      <c r="C39" s="919"/>
      <c r="D39" s="901" t="s">
        <v>108</v>
      </c>
      <c r="E39" s="901"/>
    </row>
    <row r="40" spans="1:5">
      <c r="A40" s="410" t="s">
        <v>143</v>
      </c>
      <c r="B40" s="918">
        <v>5.63</v>
      </c>
      <c r="C40" s="919"/>
      <c r="D40" s="901" t="s">
        <v>108</v>
      </c>
      <c r="E40" s="901"/>
    </row>
    <row r="41" spans="1:5">
      <c r="A41" s="410" t="s">
        <v>666</v>
      </c>
      <c r="B41" s="918">
        <v>4</v>
      </c>
      <c r="C41" s="919"/>
      <c r="D41" s="901" t="s">
        <v>108</v>
      </c>
      <c r="E41" s="901"/>
    </row>
    <row r="42" spans="1:5">
      <c r="A42" s="410" t="s">
        <v>144</v>
      </c>
      <c r="B42" s="918">
        <v>1.1399999999999999</v>
      </c>
      <c r="C42" s="919"/>
      <c r="D42" s="901" t="s">
        <v>108</v>
      </c>
      <c r="E42" s="901"/>
    </row>
    <row r="43" spans="1:5">
      <c r="A43" s="410" t="s">
        <v>145</v>
      </c>
      <c r="B43" s="918">
        <v>1.43</v>
      </c>
      <c r="C43" s="919"/>
      <c r="D43" s="901" t="s">
        <v>108</v>
      </c>
      <c r="E43" s="901"/>
    </row>
    <row r="44" spans="1:5" ht="15">
      <c r="A44" s="412" t="s">
        <v>667</v>
      </c>
      <c r="B44" s="924"/>
      <c r="C44" s="925"/>
      <c r="D44" s="924"/>
      <c r="E44" s="926"/>
    </row>
    <row r="45" spans="1:5">
      <c r="A45" s="410" t="s">
        <v>668</v>
      </c>
      <c r="B45" s="918">
        <v>40</v>
      </c>
      <c r="C45" s="919"/>
      <c r="D45" s="901" t="s">
        <v>110</v>
      </c>
      <c r="E45" s="901"/>
    </row>
    <row r="46" spans="1:5">
      <c r="A46" s="410" t="s">
        <v>149</v>
      </c>
      <c r="B46" s="918">
        <v>60</v>
      </c>
      <c r="C46" s="919"/>
      <c r="D46" s="901" t="s">
        <v>110</v>
      </c>
      <c r="E46" s="901"/>
    </row>
    <row r="47" spans="1:5">
      <c r="A47" s="410" t="s">
        <v>150</v>
      </c>
      <c r="B47" s="918">
        <v>100</v>
      </c>
      <c r="C47" s="919"/>
      <c r="D47" s="901" t="s">
        <v>110</v>
      </c>
      <c r="E47" s="901"/>
    </row>
    <row r="48" spans="1:5" ht="15">
      <c r="A48" s="412" t="s">
        <v>669</v>
      </c>
      <c r="B48" s="924"/>
      <c r="C48" s="925"/>
      <c r="D48" s="924"/>
      <c r="E48" s="926"/>
    </row>
    <row r="49" spans="1:5">
      <c r="A49" s="426" t="s">
        <v>115</v>
      </c>
      <c r="B49" s="935">
        <v>95</v>
      </c>
      <c r="C49" s="936"/>
      <c r="D49" s="937" t="s">
        <v>110</v>
      </c>
      <c r="E49" s="937"/>
    </row>
    <row r="50" spans="1:5">
      <c r="A50" s="426" t="s">
        <v>670</v>
      </c>
      <c r="B50" s="935">
        <v>125</v>
      </c>
      <c r="C50" s="936"/>
      <c r="D50" s="937" t="s">
        <v>110</v>
      </c>
      <c r="E50" s="937"/>
    </row>
    <row r="51" spans="1:5">
      <c r="A51" s="426" t="s">
        <v>656</v>
      </c>
      <c r="B51" s="935">
        <v>25</v>
      </c>
      <c r="C51" s="936"/>
      <c r="D51" s="937" t="s">
        <v>110</v>
      </c>
      <c r="E51" s="937"/>
    </row>
    <row r="52" spans="1:5">
      <c r="A52" s="426" t="s">
        <v>657</v>
      </c>
      <c r="B52" s="935">
        <v>25</v>
      </c>
      <c r="C52" s="936"/>
      <c r="D52" s="937" t="s">
        <v>110</v>
      </c>
      <c r="E52" s="937"/>
    </row>
    <row r="53" spans="1:5">
      <c r="A53" s="426" t="s">
        <v>1745</v>
      </c>
      <c r="B53" s="935">
        <v>110</v>
      </c>
      <c r="C53" s="936"/>
      <c r="D53" s="937" t="s">
        <v>110</v>
      </c>
      <c r="E53" s="937"/>
    </row>
    <row r="54" spans="1:5">
      <c r="A54" s="426" t="s">
        <v>1746</v>
      </c>
      <c r="B54" s="935">
        <v>145</v>
      </c>
      <c r="C54" s="936"/>
      <c r="D54" s="937" t="s">
        <v>110</v>
      </c>
      <c r="E54" s="937"/>
    </row>
    <row r="55" spans="1:5">
      <c r="A55" s="426" t="s">
        <v>1747</v>
      </c>
      <c r="B55" s="935">
        <v>110</v>
      </c>
      <c r="C55" s="936"/>
      <c r="D55" s="937" t="s">
        <v>110</v>
      </c>
      <c r="E55" s="937"/>
    </row>
    <row r="56" spans="1:5">
      <c r="A56" s="426" t="s">
        <v>1748</v>
      </c>
      <c r="B56" s="935">
        <v>145</v>
      </c>
      <c r="C56" s="936"/>
      <c r="D56" s="937" t="s">
        <v>110</v>
      </c>
      <c r="E56" s="937"/>
    </row>
    <row r="57" spans="1:5">
      <c r="A57" s="426" t="s">
        <v>1749</v>
      </c>
      <c r="B57" s="935">
        <v>110</v>
      </c>
      <c r="C57" s="936"/>
      <c r="D57" s="937" t="s">
        <v>110</v>
      </c>
      <c r="E57" s="937"/>
    </row>
    <row r="58" spans="1:5">
      <c r="A58" s="426" t="s">
        <v>1750</v>
      </c>
      <c r="B58" s="935">
        <v>145</v>
      </c>
      <c r="C58" s="936"/>
      <c r="D58" s="937" t="s">
        <v>110</v>
      </c>
      <c r="E58" s="937"/>
    </row>
    <row r="59" spans="1:5" ht="15">
      <c r="A59" s="922" t="s">
        <v>671</v>
      </c>
      <c r="B59" s="922"/>
      <c r="C59" s="922"/>
      <c r="D59" s="922"/>
      <c r="E59" s="922"/>
    </row>
    <row r="60" spans="1:5" ht="15">
      <c r="A60" s="412" t="s">
        <v>672</v>
      </c>
      <c r="B60" s="922" t="s">
        <v>75</v>
      </c>
      <c r="C60" s="922"/>
      <c r="D60" s="923" t="s">
        <v>124</v>
      </c>
      <c r="E60" s="923"/>
    </row>
    <row r="61" spans="1:5">
      <c r="A61" s="410" t="s">
        <v>197</v>
      </c>
      <c r="B61" s="918">
        <v>1</v>
      </c>
      <c r="C61" s="919"/>
      <c r="D61" s="901" t="s">
        <v>74</v>
      </c>
      <c r="E61" s="901"/>
    </row>
    <row r="62" spans="1:5">
      <c r="A62" s="410" t="s">
        <v>673</v>
      </c>
      <c r="B62" s="918">
        <v>20</v>
      </c>
      <c r="C62" s="919"/>
      <c r="D62" s="901" t="s">
        <v>110</v>
      </c>
      <c r="E62" s="901"/>
    </row>
    <row r="63" spans="1:5">
      <c r="A63" s="410" t="s">
        <v>199</v>
      </c>
      <c r="B63" s="918">
        <v>20</v>
      </c>
      <c r="C63" s="919"/>
      <c r="D63" s="901" t="s">
        <v>110</v>
      </c>
      <c r="E63" s="901"/>
    </row>
    <row r="64" spans="1:5">
      <c r="A64" s="410" t="s">
        <v>674</v>
      </c>
      <c r="B64" s="918">
        <v>3.25</v>
      </c>
      <c r="C64" s="919"/>
      <c r="D64" s="901" t="s">
        <v>110</v>
      </c>
      <c r="E64" s="901"/>
    </row>
    <row r="65" spans="1:5">
      <c r="A65" s="410" t="s">
        <v>201</v>
      </c>
      <c r="B65" s="918">
        <v>0.28000000000000003</v>
      </c>
      <c r="C65" s="919"/>
      <c r="D65" s="901" t="s">
        <v>110</v>
      </c>
      <c r="E65" s="901"/>
    </row>
    <row r="66" spans="1:5" ht="15">
      <c r="A66" s="412" t="s">
        <v>675</v>
      </c>
      <c r="B66" s="924"/>
      <c r="C66" s="925"/>
      <c r="D66" s="924"/>
      <c r="E66" s="926"/>
    </row>
    <row r="67" spans="1:5">
      <c r="A67" s="410" t="s">
        <v>202</v>
      </c>
      <c r="B67" s="918">
        <v>5.5</v>
      </c>
      <c r="C67" s="919"/>
      <c r="D67" s="901" t="s">
        <v>110</v>
      </c>
      <c r="E67" s="901"/>
    </row>
    <row r="68" spans="1:5">
      <c r="A68" s="410" t="s">
        <v>167</v>
      </c>
      <c r="B68" s="918">
        <v>3.03</v>
      </c>
      <c r="C68" s="919"/>
      <c r="D68" s="901" t="s">
        <v>110</v>
      </c>
      <c r="E68" s="901"/>
    </row>
    <row r="69" spans="1:5" ht="15">
      <c r="A69" s="412" t="s">
        <v>676</v>
      </c>
      <c r="B69" s="924"/>
      <c r="C69" s="925"/>
      <c r="D69" s="924"/>
      <c r="E69" s="926"/>
    </row>
    <row r="70" spans="1:5">
      <c r="A70" s="410" t="s">
        <v>204</v>
      </c>
      <c r="B70" s="918">
        <v>0.22</v>
      </c>
      <c r="C70" s="919"/>
      <c r="D70" s="901" t="s">
        <v>205</v>
      </c>
      <c r="E70" s="901"/>
    </row>
    <row r="71" spans="1:5">
      <c r="A71" s="410" t="s">
        <v>206</v>
      </c>
      <c r="B71" s="918">
        <v>2.2000000000000002</v>
      </c>
      <c r="C71" s="919"/>
      <c r="D71" s="901" t="s">
        <v>207</v>
      </c>
      <c r="E71" s="901"/>
    </row>
    <row r="72" spans="1:5" ht="15">
      <c r="A72" s="412" t="s">
        <v>677</v>
      </c>
      <c r="B72" s="924"/>
      <c r="C72" s="925"/>
      <c r="D72" s="924"/>
      <c r="E72" s="926"/>
    </row>
    <row r="73" spans="1:5">
      <c r="A73" s="410" t="s">
        <v>678</v>
      </c>
      <c r="B73" s="918">
        <v>0.44</v>
      </c>
      <c r="C73" s="919"/>
      <c r="D73" s="901" t="s">
        <v>205</v>
      </c>
      <c r="E73" s="901"/>
    </row>
    <row r="74" spans="1:5">
      <c r="A74" s="410" t="s">
        <v>679</v>
      </c>
      <c r="B74" s="918">
        <v>6.6</v>
      </c>
      <c r="C74" s="919"/>
      <c r="D74" s="901" t="s">
        <v>207</v>
      </c>
      <c r="E74" s="901"/>
    </row>
    <row r="75" spans="1:5">
      <c r="A75" s="410" t="s">
        <v>680</v>
      </c>
      <c r="B75" s="918">
        <v>8.36</v>
      </c>
      <c r="C75" s="919"/>
      <c r="D75" s="901" t="s">
        <v>207</v>
      </c>
      <c r="E75" s="901"/>
    </row>
    <row r="76" spans="1:5">
      <c r="A76" s="413" t="s">
        <v>1751</v>
      </c>
      <c r="B76" s="918">
        <v>1.1000000000000001</v>
      </c>
      <c r="C76" s="919"/>
      <c r="D76" s="901" t="s">
        <v>207</v>
      </c>
      <c r="E76" s="901"/>
    </row>
    <row r="77" spans="1:5" ht="15">
      <c r="A77" s="412" t="s">
        <v>681</v>
      </c>
      <c r="B77" s="924"/>
      <c r="C77" s="925"/>
      <c r="D77" s="933"/>
      <c r="E77" s="934"/>
    </row>
    <row r="78" spans="1:5">
      <c r="A78" s="410" t="s">
        <v>682</v>
      </c>
      <c r="B78" s="918">
        <v>11</v>
      </c>
      <c r="C78" s="919"/>
      <c r="D78" s="901" t="s">
        <v>683</v>
      </c>
      <c r="E78" s="901"/>
    </row>
    <row r="79" spans="1:5">
      <c r="A79" s="410" t="s">
        <v>684</v>
      </c>
      <c r="B79" s="918">
        <v>33</v>
      </c>
      <c r="C79" s="919"/>
      <c r="D79" s="901" t="s">
        <v>683</v>
      </c>
      <c r="E79" s="901"/>
    </row>
    <row r="80" spans="1:5" ht="15">
      <c r="A80" s="922" t="s">
        <v>685</v>
      </c>
      <c r="B80" s="922"/>
      <c r="C80" s="922"/>
      <c r="D80" s="922"/>
      <c r="E80" s="922"/>
    </row>
    <row r="81" spans="1:6" ht="15">
      <c r="A81" s="412" t="s">
        <v>686</v>
      </c>
      <c r="B81" s="922" t="s">
        <v>75</v>
      </c>
      <c r="C81" s="922"/>
      <c r="D81" s="923" t="s">
        <v>124</v>
      </c>
      <c r="E81" s="923"/>
    </row>
    <row r="82" spans="1:6">
      <c r="A82" s="409" t="s">
        <v>687</v>
      </c>
      <c r="B82" s="918">
        <v>0.88</v>
      </c>
      <c r="C82" s="919"/>
      <c r="D82" s="901" t="s">
        <v>688</v>
      </c>
      <c r="E82" s="901"/>
    </row>
    <row r="83" spans="1:6">
      <c r="A83" s="410" t="s">
        <v>689</v>
      </c>
      <c r="B83" s="918">
        <v>1.1000000000000001</v>
      </c>
      <c r="C83" s="919"/>
      <c r="D83" s="901" t="s">
        <v>690</v>
      </c>
      <c r="E83" s="901"/>
    </row>
    <row r="84" spans="1:6">
      <c r="A84" s="410" t="s">
        <v>691</v>
      </c>
      <c r="B84" s="918">
        <v>0.66</v>
      </c>
      <c r="C84" s="919"/>
      <c r="D84" s="901" t="s">
        <v>692</v>
      </c>
      <c r="E84" s="901"/>
    </row>
    <row r="85" spans="1:6">
      <c r="A85" s="410" t="s">
        <v>693</v>
      </c>
      <c r="B85" s="918">
        <v>0.83</v>
      </c>
      <c r="C85" s="919"/>
      <c r="D85" s="901" t="s">
        <v>690</v>
      </c>
      <c r="E85" s="901"/>
    </row>
    <row r="86" spans="1:6" ht="15" customHeight="1">
      <c r="A86" s="414" t="s">
        <v>694</v>
      </c>
      <c r="B86" s="415"/>
      <c r="C86" s="415"/>
      <c r="D86" s="415"/>
      <c r="E86" s="415"/>
    </row>
    <row r="87" spans="1:6">
      <c r="A87" s="416"/>
      <c r="B87" s="939" t="s">
        <v>695</v>
      </c>
      <c r="C87" s="940"/>
      <c r="D87" s="938"/>
      <c r="E87" s="938"/>
    </row>
    <row r="88" spans="1:6">
      <c r="A88" s="410" t="s">
        <v>696</v>
      </c>
      <c r="B88" s="927">
        <v>0.88</v>
      </c>
      <c r="C88" s="928"/>
      <c r="D88" s="938"/>
      <c r="E88" s="938"/>
    </row>
    <row r="89" spans="1:6">
      <c r="A89" s="410" t="s">
        <v>697</v>
      </c>
      <c r="B89" s="927">
        <v>0.99</v>
      </c>
      <c r="C89" s="928"/>
      <c r="D89" s="938"/>
      <c r="E89" s="938"/>
    </row>
    <row r="90" spans="1:6">
      <c r="A90" s="410" t="s">
        <v>698</v>
      </c>
      <c r="B90" s="927">
        <v>1.1000000000000001</v>
      </c>
      <c r="C90" s="928"/>
      <c r="D90" s="938"/>
      <c r="E90" s="938"/>
    </row>
    <row r="91" spans="1:6">
      <c r="A91" s="410" t="s">
        <v>20</v>
      </c>
      <c r="B91" s="927">
        <v>1.65</v>
      </c>
      <c r="C91" s="928"/>
      <c r="D91" s="938"/>
      <c r="E91" s="938"/>
    </row>
    <row r="92" spans="1:6" ht="25.5" customHeight="1">
      <c r="A92" s="417" t="s">
        <v>109</v>
      </c>
      <c r="B92" s="418" t="s">
        <v>1752</v>
      </c>
      <c r="C92" s="418" t="s">
        <v>1677</v>
      </c>
      <c r="D92" s="418" t="s">
        <v>1753</v>
      </c>
      <c r="E92" s="419" t="s">
        <v>1754</v>
      </c>
    </row>
    <row r="93" spans="1:6">
      <c r="A93" s="432" t="s">
        <v>1755</v>
      </c>
      <c r="B93" s="433" t="s">
        <v>161</v>
      </c>
      <c r="C93" s="433">
        <v>15</v>
      </c>
      <c r="D93" s="433">
        <v>20</v>
      </c>
      <c r="E93" s="433">
        <v>25</v>
      </c>
    </row>
    <row r="94" spans="1:6">
      <c r="A94" s="426" t="s">
        <v>1756</v>
      </c>
      <c r="B94" s="433" t="s">
        <v>161</v>
      </c>
      <c r="C94" s="434">
        <v>25</v>
      </c>
      <c r="D94" s="433">
        <v>30</v>
      </c>
      <c r="E94" s="433">
        <v>40</v>
      </c>
      <c r="F94" s="420"/>
    </row>
    <row r="95" spans="1:6">
      <c r="A95" s="426" t="s">
        <v>1757</v>
      </c>
      <c r="B95" s="433" t="s">
        <v>161</v>
      </c>
      <c r="C95" s="434">
        <v>30</v>
      </c>
      <c r="D95" s="433">
        <v>40</v>
      </c>
      <c r="E95" s="433">
        <v>50</v>
      </c>
      <c r="F95" s="420"/>
    </row>
    <row r="96" spans="1:6">
      <c r="A96" s="426" t="s">
        <v>1758</v>
      </c>
      <c r="B96" s="433" t="s">
        <v>161</v>
      </c>
      <c r="C96" s="434">
        <v>30</v>
      </c>
      <c r="D96" s="433">
        <v>40</v>
      </c>
      <c r="E96" s="433">
        <v>50</v>
      </c>
    </row>
    <row r="97" spans="1:5">
      <c r="A97" s="426" t="s">
        <v>1759</v>
      </c>
      <c r="B97" s="433" t="s">
        <v>161</v>
      </c>
      <c r="C97" s="434">
        <v>45</v>
      </c>
      <c r="D97" s="433">
        <v>55</v>
      </c>
      <c r="E97" s="433">
        <v>65</v>
      </c>
    </row>
    <row r="98" spans="1:5">
      <c r="A98" s="426" t="s">
        <v>1760</v>
      </c>
      <c r="B98" s="433" t="s">
        <v>161</v>
      </c>
      <c r="C98" s="434">
        <v>30</v>
      </c>
      <c r="D98" s="433">
        <v>40</v>
      </c>
      <c r="E98" s="433">
        <v>50</v>
      </c>
    </row>
    <row r="99" spans="1:5">
      <c r="A99" s="426" t="s">
        <v>1761</v>
      </c>
      <c r="B99" s="433" t="s">
        <v>161</v>
      </c>
      <c r="C99" s="434">
        <v>45</v>
      </c>
      <c r="D99" s="433">
        <v>55</v>
      </c>
      <c r="E99" s="433">
        <v>66</v>
      </c>
    </row>
    <row r="100" spans="1:5">
      <c r="A100" s="411" t="s">
        <v>700</v>
      </c>
      <c r="B100" s="941"/>
      <c r="C100" s="942"/>
      <c r="D100" s="931"/>
      <c r="E100" s="932"/>
    </row>
    <row r="101" spans="1:5">
      <c r="A101" s="410" t="s">
        <v>701</v>
      </c>
      <c r="B101" s="927">
        <v>2.04</v>
      </c>
      <c r="C101" s="928"/>
      <c r="D101" s="901" t="s">
        <v>110</v>
      </c>
      <c r="E101" s="901"/>
    </row>
    <row r="102" spans="1:5">
      <c r="A102" s="410" t="s">
        <v>702</v>
      </c>
      <c r="B102" s="927">
        <v>3.41</v>
      </c>
      <c r="C102" s="928"/>
      <c r="D102" s="901" t="s">
        <v>110</v>
      </c>
      <c r="E102" s="901"/>
    </row>
    <row r="103" spans="1:5">
      <c r="A103" s="410" t="s">
        <v>703</v>
      </c>
      <c r="B103" s="927">
        <v>7.15</v>
      </c>
      <c r="C103" s="928"/>
      <c r="D103" s="901" t="s">
        <v>110</v>
      </c>
      <c r="E103" s="901"/>
    </row>
    <row r="104" spans="1:5" ht="15">
      <c r="A104" s="412" t="s">
        <v>704</v>
      </c>
      <c r="B104" s="924"/>
      <c r="C104" s="925"/>
      <c r="D104" s="933"/>
      <c r="E104" s="934"/>
    </row>
    <row r="105" spans="1:5">
      <c r="A105" s="410" t="s">
        <v>1762</v>
      </c>
      <c r="B105" s="927">
        <v>3.03</v>
      </c>
      <c r="C105" s="928"/>
      <c r="D105" s="901" t="s">
        <v>705</v>
      </c>
      <c r="E105" s="901"/>
    </row>
    <row r="106" spans="1:5">
      <c r="A106" s="410" t="s">
        <v>1763</v>
      </c>
      <c r="B106" s="927">
        <v>4.95</v>
      </c>
      <c r="C106" s="928"/>
      <c r="D106" s="901" t="s">
        <v>705</v>
      </c>
      <c r="E106" s="901"/>
    </row>
    <row r="107" spans="1:5" ht="15">
      <c r="A107" s="922" t="s">
        <v>130</v>
      </c>
      <c r="B107" s="922"/>
      <c r="C107" s="922"/>
      <c r="D107" s="922"/>
      <c r="E107" s="922"/>
    </row>
    <row r="108" spans="1:5" ht="15">
      <c r="A108" s="411" t="s">
        <v>706</v>
      </c>
      <c r="B108" s="922" t="s">
        <v>75</v>
      </c>
      <c r="C108" s="922"/>
      <c r="D108" s="923" t="s">
        <v>124</v>
      </c>
      <c r="E108" s="923"/>
    </row>
    <row r="109" spans="1:5">
      <c r="A109" s="409" t="s">
        <v>131</v>
      </c>
      <c r="B109" s="927">
        <v>50</v>
      </c>
      <c r="C109" s="928"/>
      <c r="D109" s="901" t="s">
        <v>1764</v>
      </c>
      <c r="E109" s="901"/>
    </row>
    <row r="110" spans="1:5">
      <c r="A110" s="410" t="s">
        <v>1765</v>
      </c>
      <c r="B110" s="927">
        <v>15</v>
      </c>
      <c r="C110" s="928"/>
      <c r="D110" s="901" t="s">
        <v>1766</v>
      </c>
      <c r="E110" s="901"/>
    </row>
    <row r="111" spans="1:5">
      <c r="A111" s="410" t="s">
        <v>1767</v>
      </c>
      <c r="B111" s="927">
        <v>20</v>
      </c>
      <c r="C111" s="928"/>
      <c r="D111" s="901" t="s">
        <v>1766</v>
      </c>
      <c r="E111" s="901"/>
    </row>
    <row r="112" spans="1:5">
      <c r="A112" s="410" t="s">
        <v>137</v>
      </c>
      <c r="B112" s="927">
        <v>1.6</v>
      </c>
      <c r="C112" s="928"/>
      <c r="D112" s="901" t="s">
        <v>707</v>
      </c>
      <c r="E112" s="901"/>
    </row>
    <row r="113" spans="1:5" ht="15">
      <c r="A113" s="412" t="s">
        <v>708</v>
      </c>
      <c r="B113" s="924"/>
      <c r="C113" s="925"/>
      <c r="D113" s="933"/>
      <c r="E113" s="934"/>
    </row>
    <row r="114" spans="1:5">
      <c r="A114" s="410" t="s">
        <v>146</v>
      </c>
      <c r="B114" s="927">
        <v>1.43</v>
      </c>
      <c r="C114" s="928"/>
      <c r="D114" s="901" t="s">
        <v>709</v>
      </c>
      <c r="E114" s="901"/>
    </row>
    <row r="115" spans="1:5">
      <c r="A115" s="413" t="s">
        <v>710</v>
      </c>
      <c r="B115" s="927">
        <v>1.79</v>
      </c>
      <c r="C115" s="928"/>
      <c r="D115" s="901" t="s">
        <v>54</v>
      </c>
      <c r="E115" s="901"/>
    </row>
    <row r="116" spans="1:5" ht="15">
      <c r="A116" s="412" t="s">
        <v>711</v>
      </c>
      <c r="B116" s="924"/>
      <c r="C116" s="925"/>
      <c r="D116" s="933"/>
      <c r="E116" s="934"/>
    </row>
    <row r="117" spans="1:5">
      <c r="A117" s="410" t="s">
        <v>678</v>
      </c>
      <c r="B117" s="927">
        <v>0.33</v>
      </c>
      <c r="C117" s="928"/>
      <c r="D117" s="901" t="s">
        <v>74</v>
      </c>
      <c r="E117" s="901"/>
    </row>
    <row r="118" spans="1:5">
      <c r="A118" s="410" t="s">
        <v>1768</v>
      </c>
      <c r="B118" s="927">
        <v>4.95</v>
      </c>
      <c r="C118" s="928"/>
      <c r="D118" s="901" t="s">
        <v>110</v>
      </c>
      <c r="E118" s="901"/>
    </row>
    <row r="119" spans="1:5">
      <c r="A119" s="410" t="s">
        <v>1769</v>
      </c>
      <c r="B119" s="927">
        <v>0.83</v>
      </c>
      <c r="C119" s="928"/>
      <c r="D119" s="901" t="s">
        <v>110</v>
      </c>
      <c r="E119" s="901"/>
    </row>
    <row r="120" spans="1:5" ht="15">
      <c r="A120" s="922" t="s">
        <v>712</v>
      </c>
      <c r="B120" s="922"/>
      <c r="C120" s="922"/>
      <c r="D120" s="922"/>
      <c r="E120" s="922"/>
    </row>
    <row r="121" spans="1:5">
      <c r="A121" s="421" t="s">
        <v>120</v>
      </c>
      <c r="B121" s="945"/>
      <c r="C121" s="946"/>
      <c r="D121" s="947"/>
      <c r="E121" s="947"/>
    </row>
    <row r="122" spans="1:5">
      <c r="A122" s="410" t="s">
        <v>713</v>
      </c>
      <c r="B122" s="943" t="s">
        <v>714</v>
      </c>
      <c r="C122" s="944"/>
      <c r="D122" s="901" t="s">
        <v>121</v>
      </c>
      <c r="E122" s="901"/>
    </row>
    <row r="123" spans="1:5">
      <c r="A123" s="410" t="s">
        <v>39</v>
      </c>
      <c r="B123" s="943" t="s">
        <v>714</v>
      </c>
      <c r="C123" s="944"/>
      <c r="D123" s="901" t="s">
        <v>715</v>
      </c>
      <c r="E123" s="901"/>
    </row>
    <row r="124" spans="1:5">
      <c r="A124" s="410" t="s">
        <v>716</v>
      </c>
      <c r="B124" s="943" t="s">
        <v>714</v>
      </c>
      <c r="C124" s="944"/>
      <c r="D124" s="901" t="s">
        <v>41</v>
      </c>
      <c r="E124" s="901"/>
    </row>
    <row r="125" spans="1:5">
      <c r="A125" s="410" t="s">
        <v>42</v>
      </c>
      <c r="B125" s="943" t="s">
        <v>714</v>
      </c>
      <c r="C125" s="944"/>
      <c r="D125" s="901" t="s">
        <v>717</v>
      </c>
      <c r="E125" s="901"/>
    </row>
    <row r="126" spans="1:5">
      <c r="A126" s="411" t="s">
        <v>718</v>
      </c>
      <c r="B126" s="950"/>
      <c r="C126" s="951"/>
      <c r="D126" s="931"/>
      <c r="E126" s="932"/>
    </row>
    <row r="127" spans="1:5">
      <c r="A127" s="410" t="s">
        <v>719</v>
      </c>
      <c r="B127" s="927">
        <v>480</v>
      </c>
      <c r="C127" s="928"/>
      <c r="D127" s="901" t="s">
        <v>720</v>
      </c>
      <c r="E127" s="901"/>
    </row>
    <row r="128" spans="1:5">
      <c r="A128" s="410" t="s">
        <v>719</v>
      </c>
      <c r="B128" s="927">
        <v>360</v>
      </c>
      <c r="C128" s="928"/>
      <c r="D128" s="901" t="s">
        <v>721</v>
      </c>
      <c r="E128" s="901"/>
    </row>
    <row r="129" spans="1:5" ht="15">
      <c r="A129" s="922" t="s">
        <v>722</v>
      </c>
      <c r="B129" s="922"/>
      <c r="C129" s="922"/>
      <c r="D129" s="922"/>
      <c r="E129" s="922"/>
    </row>
    <row r="130" spans="1:5" ht="15">
      <c r="A130" s="412" t="s">
        <v>723</v>
      </c>
      <c r="B130" s="922"/>
      <c r="C130" s="922"/>
      <c r="D130" s="922"/>
      <c r="E130" s="922"/>
    </row>
    <row r="131" spans="1:5" ht="15">
      <c r="A131" s="422" t="s">
        <v>1770</v>
      </c>
      <c r="B131" s="948" t="s">
        <v>186</v>
      </c>
      <c r="C131" s="949"/>
      <c r="D131" s="931"/>
      <c r="E131" s="932"/>
    </row>
    <row r="132" spans="1:5">
      <c r="A132" s="410" t="s">
        <v>724</v>
      </c>
      <c r="B132" s="954" t="s">
        <v>725</v>
      </c>
      <c r="C132" s="955"/>
      <c r="D132" s="901"/>
      <c r="E132" s="901"/>
    </row>
    <row r="133" spans="1:5">
      <c r="A133" s="410" t="s">
        <v>67</v>
      </c>
      <c r="B133" s="954" t="s">
        <v>726</v>
      </c>
      <c r="C133" s="955"/>
      <c r="D133" s="901"/>
      <c r="E133" s="901"/>
    </row>
    <row r="134" spans="1:5">
      <c r="A134" s="410" t="s">
        <v>727</v>
      </c>
      <c r="B134" s="954" t="s">
        <v>728</v>
      </c>
      <c r="C134" s="955"/>
      <c r="D134" s="901"/>
      <c r="E134" s="901"/>
    </row>
    <row r="135" spans="1:5">
      <c r="A135" s="411" t="s">
        <v>729</v>
      </c>
      <c r="B135" s="952"/>
      <c r="C135" s="953"/>
      <c r="D135" s="931"/>
      <c r="E135" s="932"/>
    </row>
    <row r="136" spans="1:5">
      <c r="A136" s="410" t="s">
        <v>730</v>
      </c>
      <c r="B136" s="954" t="s">
        <v>731</v>
      </c>
      <c r="C136" s="955"/>
      <c r="D136" s="901"/>
      <c r="E136" s="901"/>
    </row>
    <row r="137" spans="1:5">
      <c r="A137" s="410" t="s">
        <v>732</v>
      </c>
      <c r="B137" s="954" t="s">
        <v>733</v>
      </c>
      <c r="C137" s="955"/>
      <c r="D137" s="901"/>
      <c r="E137" s="901"/>
    </row>
    <row r="138" spans="1:5">
      <c r="A138" s="410" t="s">
        <v>345</v>
      </c>
      <c r="B138" s="954" t="s">
        <v>726</v>
      </c>
      <c r="C138" s="955"/>
      <c r="D138" s="901"/>
      <c r="E138" s="901"/>
    </row>
    <row r="139" spans="1:5">
      <c r="A139" s="410" t="s">
        <v>734</v>
      </c>
      <c r="B139" s="954" t="s">
        <v>735</v>
      </c>
      <c r="C139" s="955"/>
      <c r="D139" s="901"/>
      <c r="E139" s="901"/>
    </row>
    <row r="140" spans="1:5" ht="15">
      <c r="A140" s="411" t="s">
        <v>736</v>
      </c>
      <c r="B140" s="956" t="s">
        <v>737</v>
      </c>
      <c r="C140" s="957"/>
      <c r="D140" s="931"/>
      <c r="E140" s="932"/>
    </row>
    <row r="141" spans="1:5">
      <c r="A141" s="410" t="s">
        <v>738</v>
      </c>
      <c r="B141" s="954" t="s">
        <v>739</v>
      </c>
      <c r="C141" s="955"/>
      <c r="D141" s="901"/>
      <c r="E141" s="901"/>
    </row>
    <row r="142" spans="1:5">
      <c r="A142" s="410" t="s">
        <v>740</v>
      </c>
      <c r="B142" s="954" t="s">
        <v>72</v>
      </c>
      <c r="C142" s="955"/>
      <c r="D142" s="901"/>
      <c r="E142" s="901"/>
    </row>
    <row r="143" spans="1:5">
      <c r="A143" s="410" t="s">
        <v>741</v>
      </c>
      <c r="B143" s="954" t="s">
        <v>97</v>
      </c>
      <c r="C143" s="955"/>
      <c r="D143" s="901"/>
      <c r="E143" s="901"/>
    </row>
    <row r="144" spans="1:5" ht="15">
      <c r="A144" s="423" t="s">
        <v>742</v>
      </c>
      <c r="B144" s="922"/>
      <c r="C144" s="922"/>
      <c r="D144" s="922"/>
      <c r="E144" s="922"/>
    </row>
    <row r="145" spans="1:5" ht="15">
      <c r="A145" s="177" t="s">
        <v>743</v>
      </c>
      <c r="B145" s="922"/>
      <c r="C145" s="922"/>
      <c r="D145" s="922"/>
      <c r="E145" s="922"/>
    </row>
    <row r="146" spans="1:5">
      <c r="A146" s="426" t="s">
        <v>1771</v>
      </c>
      <c r="B146" s="935" t="s">
        <v>1772</v>
      </c>
      <c r="C146" s="936"/>
      <c r="D146" s="937" t="s">
        <v>110</v>
      </c>
      <c r="E146" s="937"/>
    </row>
    <row r="147" spans="1:5">
      <c r="A147" s="426" t="s">
        <v>744</v>
      </c>
      <c r="B147" s="958" t="s">
        <v>725</v>
      </c>
      <c r="C147" s="959"/>
      <c r="D147" s="937" t="s">
        <v>110</v>
      </c>
      <c r="E147" s="937"/>
    </row>
    <row r="148" spans="1:5">
      <c r="A148" s="426" t="s">
        <v>746</v>
      </c>
      <c r="B148" s="958" t="s">
        <v>1773</v>
      </c>
      <c r="C148" s="959"/>
      <c r="D148" s="937" t="s">
        <v>110</v>
      </c>
      <c r="E148" s="937"/>
    </row>
    <row r="149" spans="1:5" ht="15">
      <c r="A149" s="412" t="s">
        <v>747</v>
      </c>
      <c r="B149" s="924"/>
      <c r="C149" s="925"/>
      <c r="D149" s="922"/>
      <c r="E149" s="922"/>
    </row>
    <row r="150" spans="1:5" ht="15">
      <c r="A150" s="177" t="s">
        <v>748</v>
      </c>
      <c r="B150" s="924"/>
      <c r="C150" s="925"/>
      <c r="D150" s="922"/>
      <c r="E150" s="922"/>
    </row>
    <row r="151" spans="1:5">
      <c r="A151" s="416" t="s">
        <v>83</v>
      </c>
      <c r="B151" s="939"/>
      <c r="C151" s="940"/>
      <c r="D151" s="938"/>
      <c r="E151" s="938"/>
    </row>
    <row r="152" spans="1:5">
      <c r="A152" s="413" t="s">
        <v>347</v>
      </c>
      <c r="B152" s="954" t="s">
        <v>749</v>
      </c>
      <c r="C152" s="955"/>
      <c r="D152" s="938"/>
      <c r="E152" s="938"/>
    </row>
    <row r="153" spans="1:5">
      <c r="A153" s="413" t="s">
        <v>348</v>
      </c>
      <c r="B153" s="954" t="s">
        <v>731</v>
      </c>
      <c r="C153" s="955"/>
      <c r="D153" s="938"/>
      <c r="E153" s="938"/>
    </row>
    <row r="154" spans="1:5">
      <c r="A154" s="410" t="s">
        <v>750</v>
      </c>
      <c r="B154" s="954" t="s">
        <v>751</v>
      </c>
      <c r="C154" s="955"/>
      <c r="D154" s="938"/>
      <c r="E154" s="938"/>
    </row>
    <row r="155" spans="1:5">
      <c r="A155" s="424" t="s">
        <v>752</v>
      </c>
      <c r="B155" s="927"/>
      <c r="C155" s="928"/>
      <c r="D155" s="901"/>
      <c r="E155" s="901"/>
    </row>
    <row r="156" spans="1:5">
      <c r="A156" s="410" t="s">
        <v>347</v>
      </c>
      <c r="B156" s="954" t="s">
        <v>725</v>
      </c>
      <c r="C156" s="955"/>
      <c r="D156" s="938"/>
      <c r="E156" s="938"/>
    </row>
    <row r="157" spans="1:5">
      <c r="A157" s="410" t="s">
        <v>348</v>
      </c>
      <c r="B157" s="954" t="s">
        <v>745</v>
      </c>
      <c r="C157" s="955"/>
      <c r="D157" s="938"/>
      <c r="E157" s="938"/>
    </row>
    <row r="158" spans="1:5">
      <c r="A158" s="410" t="s">
        <v>753</v>
      </c>
      <c r="B158" s="954" t="s">
        <v>726</v>
      </c>
      <c r="C158" s="955"/>
      <c r="D158" s="938"/>
      <c r="E158" s="938"/>
    </row>
    <row r="159" spans="1:5">
      <c r="A159" s="424" t="s">
        <v>754</v>
      </c>
      <c r="B159" s="927"/>
      <c r="C159" s="928"/>
      <c r="D159" s="938"/>
      <c r="E159" s="938"/>
    </row>
    <row r="160" spans="1:5">
      <c r="A160" s="410" t="s">
        <v>347</v>
      </c>
      <c r="B160" s="954" t="s">
        <v>755</v>
      </c>
      <c r="C160" s="955"/>
      <c r="D160" s="938"/>
      <c r="E160" s="938"/>
    </row>
    <row r="161" spans="1:5">
      <c r="A161" s="410" t="s">
        <v>348</v>
      </c>
      <c r="B161" s="954" t="s">
        <v>731</v>
      </c>
      <c r="C161" s="955"/>
      <c r="D161" s="938"/>
      <c r="E161" s="938"/>
    </row>
    <row r="162" spans="1:5">
      <c r="A162" s="410" t="s">
        <v>753</v>
      </c>
      <c r="B162" s="954" t="s">
        <v>726</v>
      </c>
      <c r="C162" s="955"/>
      <c r="D162" s="938"/>
      <c r="E162" s="938"/>
    </row>
    <row r="163" spans="1:5">
      <c r="A163" s="414" t="s">
        <v>756</v>
      </c>
      <c r="B163" s="963"/>
      <c r="C163" s="964"/>
      <c r="D163" s="963"/>
      <c r="E163" s="964"/>
    </row>
    <row r="164" spans="1:5" ht="15">
      <c r="A164" s="425" t="s">
        <v>757</v>
      </c>
      <c r="B164" s="922"/>
      <c r="C164" s="922"/>
      <c r="D164" s="922"/>
      <c r="E164" s="922"/>
    </row>
    <row r="165" spans="1:5" ht="15.95" customHeight="1">
      <c r="A165" s="426" t="s">
        <v>759</v>
      </c>
      <c r="B165" s="960">
        <v>0.1</v>
      </c>
      <c r="C165" s="961"/>
      <c r="D165" s="962" t="s">
        <v>760</v>
      </c>
      <c r="E165" s="962"/>
    </row>
    <row r="166" spans="1:5" ht="15.95" customHeight="1">
      <c r="A166" s="426" t="s">
        <v>761</v>
      </c>
      <c r="B166" s="960">
        <v>0.15</v>
      </c>
      <c r="C166" s="961"/>
      <c r="D166" s="962" t="s">
        <v>760</v>
      </c>
      <c r="E166" s="962"/>
    </row>
  </sheetData>
  <sheetProtection algorithmName="SHA-512" hashValue="BkPO/AJdt8NeBK9nLWXthsF+rw0qWdxotwrwBjLislnIhzcS4SwgjoxFoijCunWcgCkX/w21xSNRQ8EZAurqig==" saltValue="UQKiGGg5Usq2DxJoQrfrYw==" spinCount="100000" sheet="1" objects="1" scenarios="1"/>
  <mergeCells count="303">
    <mergeCell ref="B165:C165"/>
    <mergeCell ref="D165:E165"/>
    <mergeCell ref="B166:C166"/>
    <mergeCell ref="D166:E166"/>
    <mergeCell ref="B162:C162"/>
    <mergeCell ref="D162:E162"/>
    <mergeCell ref="B163:C163"/>
    <mergeCell ref="D163:E163"/>
    <mergeCell ref="B164:C164"/>
    <mergeCell ref="D164:E164"/>
    <mergeCell ref="B159:C159"/>
    <mergeCell ref="D159:E159"/>
    <mergeCell ref="B160:C160"/>
    <mergeCell ref="D160:E160"/>
    <mergeCell ref="B161:C161"/>
    <mergeCell ref="D161:E161"/>
    <mergeCell ref="B156:C156"/>
    <mergeCell ref="D156:E156"/>
    <mergeCell ref="B157:C157"/>
    <mergeCell ref="D157:E157"/>
    <mergeCell ref="B158:C158"/>
    <mergeCell ref="D158:E158"/>
    <mergeCell ref="B153:C153"/>
    <mergeCell ref="D153:E153"/>
    <mergeCell ref="B154:C154"/>
    <mergeCell ref="D154:E154"/>
    <mergeCell ref="B155:C155"/>
    <mergeCell ref="D155:E155"/>
    <mergeCell ref="B150:C150"/>
    <mergeCell ref="D150:E150"/>
    <mergeCell ref="B151:C151"/>
    <mergeCell ref="D151:E151"/>
    <mergeCell ref="B152:C152"/>
    <mergeCell ref="D152:E152"/>
    <mergeCell ref="B147:C147"/>
    <mergeCell ref="D147:E147"/>
    <mergeCell ref="B148:C148"/>
    <mergeCell ref="D148:E148"/>
    <mergeCell ref="B149:C149"/>
    <mergeCell ref="D149:E149"/>
    <mergeCell ref="B144:C144"/>
    <mergeCell ref="D144:E144"/>
    <mergeCell ref="B145:C145"/>
    <mergeCell ref="D145:E145"/>
    <mergeCell ref="B146:C146"/>
    <mergeCell ref="D146:E146"/>
    <mergeCell ref="B141:C141"/>
    <mergeCell ref="D141:E141"/>
    <mergeCell ref="B142:C142"/>
    <mergeCell ref="D142:E142"/>
    <mergeCell ref="B143:C143"/>
    <mergeCell ref="D143:E143"/>
    <mergeCell ref="B138:C138"/>
    <mergeCell ref="D138:E138"/>
    <mergeCell ref="B139:C139"/>
    <mergeCell ref="D139:E139"/>
    <mergeCell ref="B140:C140"/>
    <mergeCell ref="D140:E140"/>
    <mergeCell ref="B135:C135"/>
    <mergeCell ref="D135:E135"/>
    <mergeCell ref="B136:C136"/>
    <mergeCell ref="D136:E136"/>
    <mergeCell ref="B137:C137"/>
    <mergeCell ref="D137:E137"/>
    <mergeCell ref="B132:C132"/>
    <mergeCell ref="D132:E132"/>
    <mergeCell ref="B133:C133"/>
    <mergeCell ref="D133:E133"/>
    <mergeCell ref="B134:C134"/>
    <mergeCell ref="D134:E134"/>
    <mergeCell ref="B128:C128"/>
    <mergeCell ref="D128:E128"/>
    <mergeCell ref="A129:E129"/>
    <mergeCell ref="B130:C130"/>
    <mergeCell ref="D130:E130"/>
    <mergeCell ref="B131:C131"/>
    <mergeCell ref="D131:E131"/>
    <mergeCell ref="B125:C125"/>
    <mergeCell ref="D125:E125"/>
    <mergeCell ref="B126:C126"/>
    <mergeCell ref="D126:E126"/>
    <mergeCell ref="B127:C127"/>
    <mergeCell ref="D127:E127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B119:C119"/>
    <mergeCell ref="D119:E119"/>
    <mergeCell ref="A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12:C112"/>
    <mergeCell ref="D112:E112"/>
    <mergeCell ref="B113:C113"/>
    <mergeCell ref="D113:E113"/>
    <mergeCell ref="B114:C114"/>
    <mergeCell ref="D114:E114"/>
    <mergeCell ref="B109:C109"/>
    <mergeCell ref="D109:E109"/>
    <mergeCell ref="B110:C110"/>
    <mergeCell ref="D110:E110"/>
    <mergeCell ref="B111:C111"/>
    <mergeCell ref="D111:E111"/>
    <mergeCell ref="B105:C105"/>
    <mergeCell ref="D105:E105"/>
    <mergeCell ref="B106:C106"/>
    <mergeCell ref="D106:E106"/>
    <mergeCell ref="A107:E107"/>
    <mergeCell ref="B108:C108"/>
    <mergeCell ref="D108:E108"/>
    <mergeCell ref="B102:C102"/>
    <mergeCell ref="D102:E102"/>
    <mergeCell ref="B103:C103"/>
    <mergeCell ref="D103:E103"/>
    <mergeCell ref="B104:C104"/>
    <mergeCell ref="D104:E104"/>
    <mergeCell ref="B100:C100"/>
    <mergeCell ref="D100:E100"/>
    <mergeCell ref="B101:C101"/>
    <mergeCell ref="D101:E101"/>
    <mergeCell ref="B89:C89"/>
    <mergeCell ref="D89:E89"/>
    <mergeCell ref="B90:C90"/>
    <mergeCell ref="D90:E90"/>
    <mergeCell ref="B91:C91"/>
    <mergeCell ref="D91:E91"/>
    <mergeCell ref="B85:C85"/>
    <mergeCell ref="D85:E85"/>
    <mergeCell ref="B87:C87"/>
    <mergeCell ref="D87:E87"/>
    <mergeCell ref="B88:C88"/>
    <mergeCell ref="D88:E88"/>
    <mergeCell ref="B82:C82"/>
    <mergeCell ref="D82:E82"/>
    <mergeCell ref="B83:C83"/>
    <mergeCell ref="D83:E83"/>
    <mergeCell ref="B84:C84"/>
    <mergeCell ref="D84:E84"/>
    <mergeCell ref="B78:C78"/>
    <mergeCell ref="D78:E78"/>
    <mergeCell ref="B79:C79"/>
    <mergeCell ref="D79:E79"/>
    <mergeCell ref="A80:E80"/>
    <mergeCell ref="B81:C81"/>
    <mergeCell ref="D81:E81"/>
    <mergeCell ref="B75:C75"/>
    <mergeCell ref="D75:E75"/>
    <mergeCell ref="B76:C76"/>
    <mergeCell ref="D76:E76"/>
    <mergeCell ref="B77:C77"/>
    <mergeCell ref="D77:E77"/>
    <mergeCell ref="B72:C72"/>
    <mergeCell ref="D72:E72"/>
    <mergeCell ref="B73:C73"/>
    <mergeCell ref="D73:E73"/>
    <mergeCell ref="B74:C74"/>
    <mergeCell ref="D74:E74"/>
    <mergeCell ref="B69:C69"/>
    <mergeCell ref="D69:E69"/>
    <mergeCell ref="B70:C70"/>
    <mergeCell ref="D70:E70"/>
    <mergeCell ref="B71:C71"/>
    <mergeCell ref="D71:E71"/>
    <mergeCell ref="B66:C66"/>
    <mergeCell ref="D66:E66"/>
    <mergeCell ref="B67:C67"/>
    <mergeCell ref="D67:E67"/>
    <mergeCell ref="B68:C68"/>
    <mergeCell ref="D68:E68"/>
    <mergeCell ref="B63:C63"/>
    <mergeCell ref="D63:E63"/>
    <mergeCell ref="B64:C64"/>
    <mergeCell ref="D64:E64"/>
    <mergeCell ref="B65:C65"/>
    <mergeCell ref="D65:E65"/>
    <mergeCell ref="A59:E59"/>
    <mergeCell ref="B60:C60"/>
    <mergeCell ref="D60:E60"/>
    <mergeCell ref="B61:C61"/>
    <mergeCell ref="D61:E61"/>
    <mergeCell ref="B62:C62"/>
    <mergeCell ref="D62:E62"/>
    <mergeCell ref="B56:C56"/>
    <mergeCell ref="D56:E56"/>
    <mergeCell ref="B57:C57"/>
    <mergeCell ref="D57:E57"/>
    <mergeCell ref="B58:C58"/>
    <mergeCell ref="D58:E58"/>
    <mergeCell ref="B53:C53"/>
    <mergeCell ref="D53:E53"/>
    <mergeCell ref="B54:C54"/>
    <mergeCell ref="D54:E54"/>
    <mergeCell ref="B55:C55"/>
    <mergeCell ref="D55:E55"/>
    <mergeCell ref="B50:C50"/>
    <mergeCell ref="D50:E50"/>
    <mergeCell ref="B51:C51"/>
    <mergeCell ref="D51:E51"/>
    <mergeCell ref="B52:C52"/>
    <mergeCell ref="D52:E52"/>
    <mergeCell ref="B47:C47"/>
    <mergeCell ref="D47:E47"/>
    <mergeCell ref="B48:C48"/>
    <mergeCell ref="D48:E48"/>
    <mergeCell ref="B49:C49"/>
    <mergeCell ref="D49:E49"/>
    <mergeCell ref="B44:C44"/>
    <mergeCell ref="D44:E44"/>
    <mergeCell ref="B45:C45"/>
    <mergeCell ref="D45:E45"/>
    <mergeCell ref="B46:C46"/>
    <mergeCell ref="D46:E46"/>
    <mergeCell ref="B41:C41"/>
    <mergeCell ref="D41:E41"/>
    <mergeCell ref="B42:C42"/>
    <mergeCell ref="D42:E42"/>
    <mergeCell ref="B43:C43"/>
    <mergeCell ref="D43:E43"/>
    <mergeCell ref="B38:C38"/>
    <mergeCell ref="D38:E38"/>
    <mergeCell ref="B39:C39"/>
    <mergeCell ref="D39:E39"/>
    <mergeCell ref="B40:C40"/>
    <mergeCell ref="D40:E40"/>
    <mergeCell ref="B34:C34"/>
    <mergeCell ref="D34:E34"/>
    <mergeCell ref="A35:E35"/>
    <mergeCell ref="B36:C36"/>
    <mergeCell ref="D36:E36"/>
    <mergeCell ref="B37:C37"/>
    <mergeCell ref="D37:E37"/>
    <mergeCell ref="B31:C31"/>
    <mergeCell ref="D31:E31"/>
    <mergeCell ref="B32:C32"/>
    <mergeCell ref="D32:E32"/>
    <mergeCell ref="B33:C33"/>
    <mergeCell ref="D33:E33"/>
    <mergeCell ref="B28:C28"/>
    <mergeCell ref="D28:E28"/>
    <mergeCell ref="B29:C29"/>
    <mergeCell ref="D29:E29"/>
    <mergeCell ref="B30:C30"/>
    <mergeCell ref="D30:E30"/>
    <mergeCell ref="B25:C25"/>
    <mergeCell ref="D25:E25"/>
    <mergeCell ref="B26:C26"/>
    <mergeCell ref="D26:E26"/>
    <mergeCell ref="B27:C27"/>
    <mergeCell ref="D27:E27"/>
    <mergeCell ref="B22:C22"/>
    <mergeCell ref="D22:E22"/>
    <mergeCell ref="B23:C23"/>
    <mergeCell ref="D23:E23"/>
    <mergeCell ref="B24:C24"/>
    <mergeCell ref="D24:E24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A1:E1"/>
    <mergeCell ref="B7:C7"/>
    <mergeCell ref="D7:E7"/>
    <mergeCell ref="B8:C8"/>
    <mergeCell ref="D8:E8"/>
    <mergeCell ref="B9:C9"/>
    <mergeCell ref="D9:E9"/>
    <mergeCell ref="A2:F2"/>
    <mergeCell ref="A4:E4"/>
    <mergeCell ref="B5:C5"/>
    <mergeCell ref="D5:E5"/>
    <mergeCell ref="B6:C6"/>
    <mergeCell ref="D6:E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78"/>
  <sheetViews>
    <sheetView workbookViewId="0">
      <selection activeCell="F9" sqref="F9"/>
    </sheetView>
  </sheetViews>
  <sheetFormatPr baseColWidth="10" defaultRowHeight="12.75"/>
  <cols>
    <col min="1" max="1" width="66.7109375" customWidth="1"/>
    <col min="2" max="2" width="25.42578125" customWidth="1"/>
    <col min="3" max="3" width="14.7109375" customWidth="1"/>
    <col min="4" max="5" width="11.42578125" style="208"/>
  </cols>
  <sheetData>
    <row r="1" spans="1:5" ht="15">
      <c r="A1" s="680" t="s">
        <v>1774</v>
      </c>
      <c r="B1" s="680"/>
      <c r="C1" s="680"/>
    </row>
    <row r="2" spans="1:5" ht="15">
      <c r="A2" s="680" t="s">
        <v>1803</v>
      </c>
      <c r="B2" s="680"/>
      <c r="C2" s="680"/>
    </row>
    <row r="4" spans="1:5" ht="15">
      <c r="A4" s="231" t="s">
        <v>49</v>
      </c>
      <c r="B4" s="231" t="s">
        <v>124</v>
      </c>
      <c r="C4" s="231" t="s">
        <v>75</v>
      </c>
      <c r="D4" s="207"/>
    </row>
    <row r="5" spans="1:5" ht="15">
      <c r="A5" s="231" t="s">
        <v>125</v>
      </c>
      <c r="B5" s="397"/>
      <c r="C5" s="232"/>
      <c r="D5" s="207"/>
    </row>
    <row r="6" spans="1:5">
      <c r="A6" s="209" t="s">
        <v>1775</v>
      </c>
      <c r="B6" s="209" t="s">
        <v>1916</v>
      </c>
      <c r="C6" s="210">
        <v>0.55000000000000004</v>
      </c>
      <c r="D6" s="211"/>
      <c r="E6" s="212"/>
    </row>
    <row r="7" spans="1:5">
      <c r="A7" s="213" t="s">
        <v>1777</v>
      </c>
      <c r="B7" s="213" t="s">
        <v>1776</v>
      </c>
      <c r="C7" s="214">
        <v>20</v>
      </c>
      <c r="D7" s="211"/>
      <c r="E7" s="212"/>
    </row>
    <row r="8" spans="1:5">
      <c r="A8" s="213" t="s">
        <v>1778</v>
      </c>
      <c r="B8" s="213" t="s">
        <v>1776</v>
      </c>
      <c r="C8" s="214">
        <v>50</v>
      </c>
      <c r="D8" s="211"/>
      <c r="E8" s="212"/>
    </row>
    <row r="9" spans="1:5">
      <c r="A9" s="233"/>
      <c r="B9" s="215"/>
      <c r="C9" s="215"/>
      <c r="D9" s="211"/>
      <c r="E9" s="212"/>
    </row>
    <row r="10" spans="1:5" ht="15">
      <c r="A10" s="397" t="s">
        <v>777</v>
      </c>
      <c r="B10" s="400"/>
      <c r="C10" s="399"/>
      <c r="D10" s="211"/>
      <c r="E10" s="212"/>
    </row>
    <row r="11" spans="1:5">
      <c r="A11" s="209" t="s">
        <v>1779</v>
      </c>
      <c r="B11" s="209" t="s">
        <v>74</v>
      </c>
      <c r="C11" s="216">
        <v>5</v>
      </c>
      <c r="D11" s="211"/>
      <c r="E11" s="212"/>
    </row>
    <row r="12" spans="1:5">
      <c r="A12" s="209" t="s">
        <v>1780</v>
      </c>
      <c r="B12" s="209" t="s">
        <v>74</v>
      </c>
      <c r="C12" s="216">
        <v>4.5</v>
      </c>
      <c r="D12" s="211"/>
      <c r="E12" s="212"/>
    </row>
    <row r="13" spans="1:5">
      <c r="A13" s="209" t="s">
        <v>1781</v>
      </c>
      <c r="B13" s="209" t="s">
        <v>74</v>
      </c>
      <c r="C13" s="216">
        <v>4.5</v>
      </c>
      <c r="D13" s="211"/>
      <c r="E13" s="212"/>
    </row>
    <row r="14" spans="1:5">
      <c r="A14" s="209" t="s">
        <v>1157</v>
      </c>
      <c r="B14" s="209" t="s">
        <v>110</v>
      </c>
      <c r="C14" s="216">
        <v>95</v>
      </c>
      <c r="D14" s="211"/>
      <c r="E14" s="212"/>
    </row>
    <row r="15" spans="1:5">
      <c r="A15" s="213" t="s">
        <v>1158</v>
      </c>
      <c r="B15" s="213" t="s">
        <v>110</v>
      </c>
      <c r="C15" s="217">
        <v>25</v>
      </c>
      <c r="D15" s="211"/>
      <c r="E15" s="212"/>
    </row>
    <row r="16" spans="1:5">
      <c r="A16" s="213" t="s">
        <v>1159</v>
      </c>
      <c r="B16" s="213" t="s">
        <v>110</v>
      </c>
      <c r="C16" s="217">
        <v>125</v>
      </c>
      <c r="D16" s="211"/>
      <c r="E16" s="212"/>
    </row>
    <row r="17" spans="1:6">
      <c r="A17" s="213" t="s">
        <v>699</v>
      </c>
      <c r="B17" s="213" t="s">
        <v>110</v>
      </c>
      <c r="C17" s="217">
        <v>25</v>
      </c>
      <c r="D17" s="211"/>
      <c r="E17" s="212"/>
    </row>
    <row r="18" spans="1:6">
      <c r="A18" s="218" t="s">
        <v>1782</v>
      </c>
      <c r="B18" s="213" t="s">
        <v>110</v>
      </c>
      <c r="C18" s="217">
        <v>145</v>
      </c>
      <c r="D18" s="211"/>
      <c r="E18" s="212"/>
    </row>
    <row r="19" spans="1:6">
      <c r="A19" s="218" t="s">
        <v>1783</v>
      </c>
      <c r="B19" s="213" t="s">
        <v>110</v>
      </c>
      <c r="C19" s="217">
        <v>110</v>
      </c>
      <c r="D19" s="211"/>
      <c r="E19" s="212"/>
    </row>
    <row r="20" spans="1:6">
      <c r="A20" s="218" t="s">
        <v>1784</v>
      </c>
      <c r="B20" s="213" t="s">
        <v>110</v>
      </c>
      <c r="C20" s="217">
        <v>145</v>
      </c>
      <c r="D20" s="211"/>
      <c r="E20" s="212"/>
    </row>
    <row r="21" spans="1:6">
      <c r="A21" s="218" t="s">
        <v>1785</v>
      </c>
      <c r="B21" s="213" t="s">
        <v>110</v>
      </c>
      <c r="C21" s="217">
        <v>110</v>
      </c>
      <c r="D21" s="211"/>
      <c r="E21" s="212"/>
    </row>
    <row r="22" spans="1:6">
      <c r="A22" s="218" t="s">
        <v>1786</v>
      </c>
      <c r="B22" s="213" t="s">
        <v>74</v>
      </c>
      <c r="C22" s="217">
        <v>4.5</v>
      </c>
      <c r="D22" s="211"/>
      <c r="E22" s="212"/>
      <c r="F22" s="360" t="s">
        <v>1093</v>
      </c>
    </row>
    <row r="23" spans="1:6">
      <c r="A23" s="218" t="s">
        <v>1787</v>
      </c>
      <c r="B23" s="213" t="s">
        <v>74</v>
      </c>
      <c r="C23" s="217">
        <v>4.5</v>
      </c>
      <c r="D23" s="211"/>
      <c r="E23" s="212"/>
    </row>
    <row r="24" spans="1:6">
      <c r="A24" s="218" t="s">
        <v>146</v>
      </c>
      <c r="B24" s="213" t="s">
        <v>74</v>
      </c>
      <c r="C24" s="217">
        <v>1.43</v>
      </c>
      <c r="D24" s="211"/>
      <c r="E24" s="212"/>
    </row>
    <row r="25" spans="1:6">
      <c r="A25" s="218" t="s">
        <v>1788</v>
      </c>
      <c r="B25" s="213" t="s">
        <v>110</v>
      </c>
      <c r="C25" s="217">
        <v>40</v>
      </c>
      <c r="D25" s="211"/>
      <c r="E25" s="212"/>
    </row>
    <row r="26" spans="1:6">
      <c r="A26" s="218" t="s">
        <v>1789</v>
      </c>
      <c r="B26" s="213" t="s">
        <v>110</v>
      </c>
      <c r="C26" s="217">
        <v>60</v>
      </c>
      <c r="D26" s="211"/>
      <c r="E26" s="212"/>
    </row>
    <row r="27" spans="1:6">
      <c r="A27" s="218" t="s">
        <v>1790</v>
      </c>
      <c r="B27" s="213" t="s">
        <v>110</v>
      </c>
      <c r="C27" s="217">
        <v>100</v>
      </c>
      <c r="D27" s="211"/>
      <c r="E27" s="212"/>
    </row>
    <row r="28" spans="1:6" ht="15">
      <c r="A28" s="400" t="s">
        <v>157</v>
      </c>
      <c r="B28" s="400"/>
      <c r="C28" s="399"/>
      <c r="D28" s="211"/>
      <c r="E28" s="212"/>
    </row>
    <row r="29" spans="1:6">
      <c r="A29" s="220" t="s">
        <v>1168</v>
      </c>
      <c r="B29" s="220"/>
      <c r="C29" s="220"/>
      <c r="D29" s="211"/>
      <c r="E29" s="212"/>
    </row>
    <row r="30" spans="1:6">
      <c r="A30" s="213" t="s">
        <v>792</v>
      </c>
      <c r="B30" s="213" t="s">
        <v>74</v>
      </c>
      <c r="C30" s="217">
        <v>1.2</v>
      </c>
      <c r="D30" s="211"/>
      <c r="E30" s="212"/>
    </row>
    <row r="31" spans="1:6">
      <c r="A31" s="213" t="s">
        <v>794</v>
      </c>
      <c r="B31" s="213" t="s">
        <v>74</v>
      </c>
      <c r="C31" s="221">
        <v>0.8</v>
      </c>
      <c r="D31" s="211"/>
      <c r="E31" s="212"/>
    </row>
    <row r="32" spans="1:6">
      <c r="A32" s="427" t="s">
        <v>317</v>
      </c>
      <c r="C32" s="220"/>
      <c r="D32" s="211"/>
      <c r="E32" s="212"/>
    </row>
    <row r="33" spans="1:5">
      <c r="A33" s="213" t="s">
        <v>1169</v>
      </c>
      <c r="B33" s="213" t="s">
        <v>1794</v>
      </c>
      <c r="C33" s="220"/>
      <c r="D33" s="211"/>
      <c r="E33" s="212"/>
    </row>
    <row r="34" spans="1:5">
      <c r="A34" s="213" t="s">
        <v>1171</v>
      </c>
      <c r="B34" s="213" t="s">
        <v>1795</v>
      </c>
      <c r="C34" s="220"/>
      <c r="D34" s="211"/>
      <c r="E34" s="212"/>
    </row>
    <row r="35" spans="1:5">
      <c r="A35" s="213" t="s">
        <v>1173</v>
      </c>
      <c r="B35" s="213" t="s">
        <v>1796</v>
      </c>
      <c r="C35" s="220"/>
      <c r="D35" s="211"/>
      <c r="E35" s="212"/>
    </row>
    <row r="36" spans="1:5">
      <c r="A36" s="213" t="s">
        <v>1175</v>
      </c>
      <c r="B36" s="213" t="s">
        <v>1797</v>
      </c>
      <c r="C36" s="220"/>
      <c r="D36" s="211"/>
      <c r="E36" s="212"/>
    </row>
    <row r="37" spans="1:5">
      <c r="A37" s="213" t="s">
        <v>1214</v>
      </c>
      <c r="B37" s="213" t="s">
        <v>74</v>
      </c>
      <c r="C37" s="221">
        <v>1.2</v>
      </c>
      <c r="D37" s="211"/>
      <c r="E37" s="212"/>
    </row>
    <row r="38" spans="1:5">
      <c r="A38" s="213" t="s">
        <v>1157</v>
      </c>
      <c r="B38" s="213" t="s">
        <v>110</v>
      </c>
      <c r="C38" s="217">
        <v>18</v>
      </c>
      <c r="D38" s="211"/>
      <c r="E38" s="212"/>
    </row>
    <row r="39" spans="1:5">
      <c r="A39" s="213" t="s">
        <v>1158</v>
      </c>
      <c r="B39" s="213" t="s">
        <v>110</v>
      </c>
      <c r="C39" s="217">
        <v>3.2</v>
      </c>
      <c r="D39" s="211"/>
      <c r="E39" s="212"/>
    </row>
    <row r="40" spans="1:5">
      <c r="A40" s="213" t="s">
        <v>1159</v>
      </c>
      <c r="B40" s="213" t="s">
        <v>110</v>
      </c>
      <c r="C40" s="217">
        <v>19</v>
      </c>
      <c r="D40" s="211"/>
      <c r="E40" s="212"/>
    </row>
    <row r="41" spans="1:5">
      <c r="A41" s="213" t="s">
        <v>699</v>
      </c>
      <c r="B41" s="213" t="s">
        <v>110</v>
      </c>
      <c r="C41" s="217">
        <v>3.2</v>
      </c>
      <c r="D41" s="211"/>
      <c r="E41" s="212"/>
    </row>
    <row r="42" spans="1:5">
      <c r="A42" s="213" t="s">
        <v>1782</v>
      </c>
      <c r="B42" s="213" t="s">
        <v>110</v>
      </c>
      <c r="C42" s="217">
        <v>30</v>
      </c>
      <c r="D42" s="211"/>
      <c r="E42" s="212"/>
    </row>
    <row r="43" spans="1:5">
      <c r="A43" s="218" t="s">
        <v>1783</v>
      </c>
      <c r="B43" s="213" t="s">
        <v>110</v>
      </c>
      <c r="C43" s="217">
        <v>30</v>
      </c>
      <c r="D43" s="211"/>
      <c r="E43" s="212"/>
    </row>
    <row r="44" spans="1:5">
      <c r="A44" s="218" t="s">
        <v>1784</v>
      </c>
      <c r="B44" s="213" t="s">
        <v>110</v>
      </c>
      <c r="C44" s="217">
        <v>40</v>
      </c>
      <c r="D44" s="211"/>
      <c r="E44" s="212"/>
    </row>
    <row r="45" spans="1:5">
      <c r="A45" s="218" t="s">
        <v>1785</v>
      </c>
      <c r="B45" s="213" t="s">
        <v>110</v>
      </c>
      <c r="C45" s="217">
        <v>18</v>
      </c>
      <c r="D45" s="211"/>
      <c r="E45" s="212"/>
    </row>
    <row r="46" spans="1:5">
      <c r="A46" s="218" t="s">
        <v>1787</v>
      </c>
      <c r="B46" s="213" t="s">
        <v>1798</v>
      </c>
      <c r="C46" s="217">
        <v>3</v>
      </c>
      <c r="D46" s="211"/>
      <c r="E46" s="212"/>
    </row>
    <row r="47" spans="1:5">
      <c r="A47" s="218" t="s">
        <v>1163</v>
      </c>
      <c r="B47" s="213" t="s">
        <v>110</v>
      </c>
      <c r="C47" s="217">
        <v>3</v>
      </c>
      <c r="D47" s="211"/>
      <c r="E47" s="212"/>
    </row>
    <row r="48" spans="1:5">
      <c r="A48" s="218" t="s">
        <v>1164</v>
      </c>
      <c r="B48" s="213" t="s">
        <v>110</v>
      </c>
      <c r="C48" s="217">
        <v>7</v>
      </c>
      <c r="D48" s="211"/>
      <c r="E48" s="212"/>
    </row>
    <row r="49" spans="1:5">
      <c r="A49" s="218" t="s">
        <v>1165</v>
      </c>
      <c r="B49" s="213" t="s">
        <v>110</v>
      </c>
      <c r="C49" s="217">
        <v>14</v>
      </c>
      <c r="D49" s="211"/>
      <c r="E49" s="212"/>
    </row>
    <row r="50" spans="1:5">
      <c r="A50" s="428"/>
      <c r="B50" s="429"/>
      <c r="C50" s="430"/>
      <c r="D50" s="211"/>
      <c r="E50" s="212"/>
    </row>
    <row r="51" spans="1:5" ht="15">
      <c r="A51" s="400" t="s">
        <v>1178</v>
      </c>
      <c r="B51" s="400"/>
      <c r="C51" s="399"/>
      <c r="D51" s="211"/>
      <c r="E51" s="212"/>
    </row>
    <row r="52" spans="1:5">
      <c r="A52" s="209" t="s">
        <v>1779</v>
      </c>
      <c r="B52" s="213" t="s">
        <v>74</v>
      </c>
      <c r="C52" s="216">
        <v>1.1000000000000001</v>
      </c>
      <c r="D52" s="211"/>
      <c r="E52" s="212"/>
    </row>
    <row r="53" spans="1:5">
      <c r="A53" s="209" t="s">
        <v>1780</v>
      </c>
      <c r="B53" s="213" t="s">
        <v>74</v>
      </c>
      <c r="C53" s="216">
        <v>1.1000000000000001</v>
      </c>
      <c r="D53" s="211"/>
      <c r="E53" s="212"/>
    </row>
    <row r="54" spans="1:5">
      <c r="A54" s="209" t="s">
        <v>1781</v>
      </c>
      <c r="B54" s="213" t="s">
        <v>74</v>
      </c>
      <c r="C54" s="216">
        <v>1.1000000000000001</v>
      </c>
      <c r="D54" s="211"/>
      <c r="E54" s="212"/>
    </row>
    <row r="55" spans="1:5">
      <c r="A55" s="209" t="s">
        <v>1157</v>
      </c>
      <c r="B55" s="209" t="s">
        <v>110</v>
      </c>
      <c r="C55" s="216">
        <v>20</v>
      </c>
      <c r="D55" s="211"/>
      <c r="E55" s="212"/>
    </row>
    <row r="56" spans="1:5">
      <c r="A56" s="213" t="s">
        <v>1158</v>
      </c>
      <c r="B56" s="213" t="s">
        <v>110</v>
      </c>
      <c r="C56" s="217">
        <v>3.25</v>
      </c>
      <c r="D56" s="211"/>
      <c r="E56" s="212"/>
    </row>
    <row r="57" spans="1:5">
      <c r="A57" s="213" t="s">
        <v>1159</v>
      </c>
      <c r="B57" s="213" t="s">
        <v>110</v>
      </c>
      <c r="C57" s="217">
        <v>20</v>
      </c>
      <c r="D57" s="211"/>
      <c r="E57" s="212"/>
    </row>
    <row r="58" spans="1:5">
      <c r="A58" s="213" t="s">
        <v>699</v>
      </c>
      <c r="B58" s="213" t="s">
        <v>110</v>
      </c>
      <c r="C58" s="217">
        <v>3.25</v>
      </c>
      <c r="D58" s="211"/>
      <c r="E58" s="212"/>
    </row>
    <row r="59" spans="1:5">
      <c r="A59" s="1" t="s">
        <v>210</v>
      </c>
      <c r="B59" s="1" t="s">
        <v>1219</v>
      </c>
      <c r="C59" s="224">
        <v>12</v>
      </c>
      <c r="D59" s="211"/>
      <c r="E59" s="212"/>
    </row>
    <row r="60" spans="1:5">
      <c r="A60" s="1" t="s">
        <v>131</v>
      </c>
      <c r="B60" s="1" t="s">
        <v>324</v>
      </c>
      <c r="C60" s="224">
        <v>35</v>
      </c>
      <c r="D60" s="211"/>
      <c r="E60" s="212"/>
    </row>
    <row r="61" spans="1:5">
      <c r="A61" s="218" t="s">
        <v>1791</v>
      </c>
      <c r="B61" s="213" t="s">
        <v>110</v>
      </c>
      <c r="C61" s="217">
        <v>2</v>
      </c>
      <c r="D61" s="211"/>
      <c r="E61" s="212"/>
    </row>
    <row r="62" spans="1:5">
      <c r="A62" s="218" t="s">
        <v>1792</v>
      </c>
      <c r="B62" s="213" t="s">
        <v>110</v>
      </c>
      <c r="C62" s="217">
        <v>8</v>
      </c>
      <c r="D62" s="211"/>
      <c r="E62" s="212"/>
    </row>
    <row r="63" spans="1:5">
      <c r="A63" s="218" t="s">
        <v>1793</v>
      </c>
      <c r="B63" s="213" t="s">
        <v>110</v>
      </c>
      <c r="C63" s="217">
        <v>16</v>
      </c>
      <c r="D63" s="211"/>
      <c r="E63" s="212"/>
    </row>
    <row r="65" spans="1:3" ht="15">
      <c r="A65" s="720" t="s">
        <v>1184</v>
      </c>
      <c r="B65" s="714"/>
      <c r="C65" s="715"/>
    </row>
    <row r="66" spans="1:3" ht="15">
      <c r="A66" s="720" t="s">
        <v>1185</v>
      </c>
      <c r="B66" s="714"/>
      <c r="C66" s="715"/>
    </row>
    <row r="67" spans="1:3" ht="15">
      <c r="A67" s="400" t="s">
        <v>521</v>
      </c>
      <c r="B67" s="400" t="s">
        <v>1186</v>
      </c>
      <c r="C67" s="400" t="s">
        <v>186</v>
      </c>
    </row>
    <row r="68" spans="1:3">
      <c r="A68" s="225" t="s">
        <v>337</v>
      </c>
      <c r="B68" s="226" t="s">
        <v>338</v>
      </c>
      <c r="C68" s="227">
        <v>0.1</v>
      </c>
    </row>
    <row r="69" spans="1:3">
      <c r="A69" s="1" t="s">
        <v>339</v>
      </c>
      <c r="B69" s="228" t="s">
        <v>340</v>
      </c>
      <c r="C69" s="229">
        <v>0.25</v>
      </c>
    </row>
    <row r="70" spans="1:3">
      <c r="A70" s="1" t="s">
        <v>341</v>
      </c>
      <c r="B70" s="252" t="s">
        <v>1187</v>
      </c>
      <c r="C70" s="229">
        <v>0.5</v>
      </c>
    </row>
    <row r="71" spans="1:3" ht="15">
      <c r="A71" s="400" t="s">
        <v>53</v>
      </c>
      <c r="B71" s="400" t="s">
        <v>1186</v>
      </c>
      <c r="C71" s="400" t="s">
        <v>186</v>
      </c>
    </row>
    <row r="72" spans="1:3">
      <c r="A72" s="225" t="s">
        <v>337</v>
      </c>
      <c r="B72" s="226" t="s">
        <v>344</v>
      </c>
      <c r="C72" s="227">
        <v>0.1</v>
      </c>
    </row>
    <row r="73" spans="1:3">
      <c r="A73" s="1" t="s">
        <v>339</v>
      </c>
      <c r="B73" s="252" t="s">
        <v>345</v>
      </c>
      <c r="C73" s="229">
        <v>0.25</v>
      </c>
    </row>
    <row r="74" spans="1:3">
      <c r="A74" s="1" t="s">
        <v>341</v>
      </c>
      <c r="B74" s="252" t="s">
        <v>1187</v>
      </c>
      <c r="C74" s="229">
        <v>0.5</v>
      </c>
    </row>
    <row r="75" spans="1:3" ht="15">
      <c r="A75" s="400" t="s">
        <v>165</v>
      </c>
      <c r="B75" s="400" t="s">
        <v>1799</v>
      </c>
      <c r="C75" s="400" t="s">
        <v>186</v>
      </c>
    </row>
    <row r="76" spans="1:3">
      <c r="A76" s="225" t="s">
        <v>337</v>
      </c>
      <c r="B76" s="226" t="s">
        <v>1800</v>
      </c>
      <c r="C76" s="227">
        <v>0.1</v>
      </c>
    </row>
    <row r="77" spans="1:3">
      <c r="A77" s="1" t="s">
        <v>339</v>
      </c>
      <c r="B77" s="252" t="s">
        <v>744</v>
      </c>
      <c r="C77" s="229">
        <v>0.15</v>
      </c>
    </row>
    <row r="78" spans="1:3">
      <c r="A78" s="1" t="s">
        <v>341</v>
      </c>
      <c r="B78" s="252" t="s">
        <v>1801</v>
      </c>
      <c r="C78" s="229">
        <v>0.2</v>
      </c>
    </row>
  </sheetData>
  <sheetProtection algorithmName="SHA-512" hashValue="6G3EhfHeeraOmGsGR7sfjfh7li2muyOKgpE1g+OH2w7T7jPmqwBScdgrm9+EdNDyO3M4PNVDRq6QV0f3GM6oIA==" saltValue="Z/W5ohpkxJ7rOryFyGNg4Q==" spinCount="100000" sheet="1" objects="1" scenarios="1"/>
  <mergeCells count="4">
    <mergeCell ref="A1:C1"/>
    <mergeCell ref="A2:C2"/>
    <mergeCell ref="A65:C65"/>
    <mergeCell ref="A66:C66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146"/>
  <sheetViews>
    <sheetView workbookViewId="0">
      <selection activeCell="G23" sqref="G23"/>
    </sheetView>
  </sheetViews>
  <sheetFormatPr baseColWidth="10" defaultRowHeight="12.75"/>
  <cols>
    <col min="1" max="1" width="61.5703125" style="360" customWidth="1"/>
    <col min="2" max="2" width="12.85546875" style="439" customWidth="1"/>
    <col min="3" max="3" width="11.7109375" style="439" customWidth="1"/>
    <col min="4" max="4" width="12.5703125" style="443" customWidth="1"/>
    <col min="5" max="5" width="12.140625" style="443" customWidth="1"/>
    <col min="6" max="16384" width="11.42578125" style="360"/>
  </cols>
  <sheetData>
    <row r="1" spans="1:6">
      <c r="A1" s="902" t="s">
        <v>1892</v>
      </c>
      <c r="B1" s="902"/>
      <c r="C1" s="902"/>
      <c r="D1" s="902"/>
      <c r="E1" s="902"/>
    </row>
    <row r="2" spans="1:6" s="431" customFormat="1">
      <c r="A2" s="902" t="s">
        <v>1915</v>
      </c>
      <c r="B2" s="902"/>
      <c r="C2" s="902"/>
      <c r="D2" s="902"/>
      <c r="E2" s="902"/>
    </row>
    <row r="3" spans="1:6" s="431" customFormat="1">
      <c r="A3" s="440"/>
      <c r="B3" s="440"/>
      <c r="C3" s="440"/>
      <c r="D3" s="440"/>
      <c r="E3" s="440"/>
    </row>
    <row r="4" spans="1:6">
      <c r="A4" s="965" t="s">
        <v>125</v>
      </c>
      <c r="B4" s="965"/>
      <c r="C4" s="965"/>
      <c r="D4" s="965"/>
      <c r="E4" s="965"/>
    </row>
    <row r="5" spans="1:6">
      <c r="A5" s="445"/>
      <c r="B5" s="965" t="s">
        <v>1729</v>
      </c>
      <c r="C5" s="965"/>
      <c r="D5" s="965" t="s">
        <v>124</v>
      </c>
      <c r="E5" s="965"/>
    </row>
    <row r="6" spans="1:6">
      <c r="A6" s="446" t="s">
        <v>1899</v>
      </c>
      <c r="B6" s="445"/>
      <c r="C6" s="445"/>
      <c r="D6" s="445"/>
      <c r="E6" s="445"/>
    </row>
    <row r="7" spans="1:6" ht="18.75" customHeight="1">
      <c r="A7" s="448" t="s">
        <v>1805</v>
      </c>
      <c r="B7" s="966">
        <v>0.38</v>
      </c>
      <c r="C7" s="967"/>
      <c r="D7" s="968" t="s">
        <v>107</v>
      </c>
      <c r="E7" s="969"/>
      <c r="F7" s="444"/>
    </row>
    <row r="8" spans="1:6">
      <c r="A8" s="435"/>
      <c r="B8" s="436"/>
      <c r="C8" s="436"/>
      <c r="D8" s="442"/>
      <c r="E8" s="442"/>
    </row>
    <row r="9" spans="1:6">
      <c r="A9" s="447" t="s">
        <v>1806</v>
      </c>
      <c r="B9" s="974" t="s">
        <v>220</v>
      </c>
      <c r="C9" s="975"/>
      <c r="D9" s="974"/>
      <c r="E9" s="975"/>
    </row>
    <row r="10" spans="1:6">
      <c r="A10" s="435" t="s">
        <v>1807</v>
      </c>
      <c r="B10" s="970">
        <v>0.12</v>
      </c>
      <c r="C10" s="971"/>
      <c r="D10" s="972" t="s">
        <v>1900</v>
      </c>
      <c r="E10" s="973"/>
    </row>
    <row r="11" spans="1:6">
      <c r="A11" s="435"/>
      <c r="B11" s="970"/>
      <c r="C11" s="971"/>
      <c r="D11" s="972"/>
      <c r="E11" s="973"/>
    </row>
    <row r="12" spans="1:6">
      <c r="A12" s="447" t="s">
        <v>1808</v>
      </c>
      <c r="B12" s="974" t="s">
        <v>220</v>
      </c>
      <c r="C12" s="975"/>
      <c r="D12" s="974"/>
      <c r="E12" s="975"/>
    </row>
    <row r="13" spans="1:6">
      <c r="A13" s="435" t="s">
        <v>1809</v>
      </c>
      <c r="B13" s="970">
        <v>50</v>
      </c>
      <c r="C13" s="971"/>
      <c r="D13" s="972" t="s">
        <v>110</v>
      </c>
      <c r="E13" s="973"/>
    </row>
    <row r="14" spans="1:6">
      <c r="A14" s="435" t="s">
        <v>1810</v>
      </c>
      <c r="B14" s="970">
        <v>12</v>
      </c>
      <c r="C14" s="971"/>
      <c r="D14" s="972" t="s">
        <v>1604</v>
      </c>
      <c r="E14" s="973"/>
    </row>
    <row r="15" spans="1:6">
      <c r="A15" s="435" t="s">
        <v>1811</v>
      </c>
      <c r="B15" s="970">
        <v>17</v>
      </c>
      <c r="C15" s="971"/>
      <c r="D15" s="972" t="s">
        <v>1604</v>
      </c>
      <c r="E15" s="973"/>
    </row>
    <row r="16" spans="1:6">
      <c r="A16" s="447" t="s">
        <v>1812</v>
      </c>
      <c r="B16" s="974" t="s">
        <v>220</v>
      </c>
      <c r="C16" s="975"/>
      <c r="D16" s="974"/>
      <c r="E16" s="975"/>
    </row>
    <row r="17" spans="1:5">
      <c r="A17" s="437" t="s">
        <v>1813</v>
      </c>
      <c r="B17" s="970">
        <v>1000</v>
      </c>
      <c r="C17" s="971"/>
      <c r="D17" s="972" t="s">
        <v>1901</v>
      </c>
      <c r="E17" s="973"/>
    </row>
    <row r="18" spans="1:5">
      <c r="A18" s="437" t="s">
        <v>1814</v>
      </c>
      <c r="B18" s="970">
        <v>500</v>
      </c>
      <c r="C18" s="971"/>
      <c r="D18" s="972" t="s">
        <v>1901</v>
      </c>
      <c r="E18" s="973"/>
    </row>
    <row r="19" spans="1:5">
      <c r="A19" s="437" t="s">
        <v>1815</v>
      </c>
      <c r="B19" s="970">
        <v>300</v>
      </c>
      <c r="C19" s="971"/>
      <c r="D19" s="972" t="s">
        <v>1901</v>
      </c>
      <c r="E19" s="973"/>
    </row>
    <row r="20" spans="1:5">
      <c r="A20" s="974" t="s">
        <v>318</v>
      </c>
      <c r="B20" s="976"/>
      <c r="C20" s="976"/>
      <c r="D20" s="976"/>
      <c r="E20" s="975"/>
    </row>
    <row r="21" spans="1:5">
      <c r="A21" s="437" t="s">
        <v>1816</v>
      </c>
      <c r="B21" s="970">
        <v>4.5</v>
      </c>
      <c r="C21" s="971"/>
      <c r="D21" s="972" t="s">
        <v>74</v>
      </c>
      <c r="E21" s="973"/>
    </row>
    <row r="22" spans="1:5">
      <c r="A22" s="437" t="s">
        <v>1817</v>
      </c>
      <c r="B22" s="970">
        <v>6</v>
      </c>
      <c r="C22" s="971"/>
      <c r="D22" s="972" t="s">
        <v>74</v>
      </c>
      <c r="E22" s="973"/>
    </row>
    <row r="23" spans="1:5">
      <c r="A23" s="437" t="s">
        <v>1818</v>
      </c>
      <c r="B23" s="970">
        <v>5</v>
      </c>
      <c r="C23" s="971"/>
      <c r="D23" s="972" t="s">
        <v>74</v>
      </c>
      <c r="E23" s="973"/>
    </row>
    <row r="24" spans="1:5">
      <c r="A24" s="437" t="s">
        <v>1819</v>
      </c>
      <c r="B24" s="970">
        <v>5</v>
      </c>
      <c r="C24" s="971"/>
      <c r="D24" s="972" t="s">
        <v>1718</v>
      </c>
      <c r="E24" s="973"/>
    </row>
    <row r="25" spans="1:5">
      <c r="A25" s="437" t="s">
        <v>895</v>
      </c>
      <c r="B25" s="970">
        <v>4.7</v>
      </c>
      <c r="C25" s="971"/>
      <c r="D25" s="972" t="s">
        <v>74</v>
      </c>
      <c r="E25" s="973"/>
    </row>
    <row r="26" spans="1:5">
      <c r="A26" s="437" t="s">
        <v>1820</v>
      </c>
      <c r="B26" s="970">
        <v>20</v>
      </c>
      <c r="C26" s="971"/>
      <c r="D26" s="972" t="s">
        <v>110</v>
      </c>
      <c r="E26" s="973"/>
    </row>
    <row r="27" spans="1:5">
      <c r="A27" s="437" t="s">
        <v>1821</v>
      </c>
      <c r="B27" s="970">
        <v>25</v>
      </c>
      <c r="C27" s="971"/>
      <c r="D27" s="972" t="s">
        <v>110</v>
      </c>
      <c r="E27" s="973"/>
    </row>
    <row r="28" spans="1:5">
      <c r="A28" s="437" t="s">
        <v>1822</v>
      </c>
      <c r="B28" s="970">
        <v>75</v>
      </c>
      <c r="C28" s="971"/>
      <c r="D28" s="972" t="s">
        <v>110</v>
      </c>
      <c r="E28" s="973"/>
    </row>
    <row r="29" spans="1:5">
      <c r="A29" s="437" t="s">
        <v>1823</v>
      </c>
      <c r="B29" s="970">
        <v>90</v>
      </c>
      <c r="C29" s="971"/>
      <c r="D29" s="972" t="s">
        <v>110</v>
      </c>
      <c r="E29" s="973"/>
    </row>
    <row r="30" spans="1:5">
      <c r="A30" s="437" t="s">
        <v>1824</v>
      </c>
      <c r="B30" s="970">
        <v>45</v>
      </c>
      <c r="C30" s="971"/>
      <c r="D30" s="972" t="s">
        <v>110</v>
      </c>
      <c r="E30" s="973"/>
    </row>
    <row r="31" spans="1:5">
      <c r="A31" s="437" t="s">
        <v>1825</v>
      </c>
      <c r="B31" s="970">
        <v>56</v>
      </c>
      <c r="C31" s="971"/>
      <c r="D31" s="972" t="s">
        <v>110</v>
      </c>
      <c r="E31" s="973"/>
    </row>
    <row r="32" spans="1:5">
      <c r="A32" s="437" t="s">
        <v>1826</v>
      </c>
      <c r="B32" s="970">
        <v>99</v>
      </c>
      <c r="C32" s="971"/>
      <c r="D32" s="972" t="s">
        <v>110</v>
      </c>
      <c r="E32" s="973"/>
    </row>
    <row r="33" spans="1:5">
      <c r="A33" s="447" t="s">
        <v>1896</v>
      </c>
      <c r="B33" s="974" t="s">
        <v>220</v>
      </c>
      <c r="C33" s="975"/>
      <c r="D33" s="974"/>
      <c r="E33" s="975"/>
    </row>
    <row r="34" spans="1:5">
      <c r="A34" s="437" t="s">
        <v>1827</v>
      </c>
      <c r="B34" s="970">
        <v>2.2000000000000002</v>
      </c>
      <c r="C34" s="971"/>
      <c r="D34" s="972" t="s">
        <v>74</v>
      </c>
      <c r="E34" s="973"/>
    </row>
    <row r="35" spans="1:5">
      <c r="A35" s="437" t="s">
        <v>895</v>
      </c>
      <c r="B35" s="970">
        <v>2.5</v>
      </c>
      <c r="C35" s="971"/>
      <c r="D35" s="972" t="s">
        <v>74</v>
      </c>
      <c r="E35" s="973"/>
    </row>
    <row r="36" spans="1:5">
      <c r="A36" s="437" t="s">
        <v>1828</v>
      </c>
      <c r="B36" s="970">
        <v>2.8</v>
      </c>
      <c r="C36" s="971"/>
      <c r="D36" s="972" t="s">
        <v>74</v>
      </c>
      <c r="E36" s="973"/>
    </row>
    <row r="37" spans="1:5">
      <c r="A37" s="437" t="s">
        <v>1829</v>
      </c>
      <c r="B37" s="970">
        <v>45</v>
      </c>
      <c r="C37" s="971"/>
      <c r="D37" s="972" t="s">
        <v>110</v>
      </c>
      <c r="E37" s="973"/>
    </row>
    <row r="38" spans="1:5">
      <c r="A38" s="437" t="s">
        <v>1830</v>
      </c>
      <c r="B38" s="970">
        <v>60</v>
      </c>
      <c r="C38" s="971"/>
      <c r="D38" s="972" t="s">
        <v>110</v>
      </c>
      <c r="E38" s="973"/>
    </row>
    <row r="39" spans="1:5">
      <c r="A39" s="437" t="s">
        <v>1831</v>
      </c>
      <c r="B39" s="970">
        <v>10</v>
      </c>
      <c r="C39" s="971"/>
      <c r="D39" s="972" t="s">
        <v>110</v>
      </c>
      <c r="E39" s="973"/>
    </row>
    <row r="40" spans="1:5">
      <c r="A40" s="437" t="s">
        <v>1832</v>
      </c>
      <c r="B40" s="970">
        <v>15</v>
      </c>
      <c r="C40" s="971"/>
      <c r="D40" s="972" t="s">
        <v>110</v>
      </c>
      <c r="E40" s="973"/>
    </row>
    <row r="41" spans="1:5">
      <c r="A41" s="437" t="s">
        <v>1833</v>
      </c>
      <c r="B41" s="970">
        <v>1.0999999999999999E-2</v>
      </c>
      <c r="C41" s="971"/>
      <c r="D41" s="972" t="s">
        <v>1902</v>
      </c>
      <c r="E41" s="973"/>
    </row>
    <row r="42" spans="1:5">
      <c r="A42" s="974" t="s">
        <v>1834</v>
      </c>
      <c r="B42" s="976"/>
      <c r="C42" s="976"/>
      <c r="D42" s="976"/>
      <c r="E42" s="975"/>
    </row>
    <row r="43" spans="1:5">
      <c r="A43" s="437" t="s">
        <v>895</v>
      </c>
      <c r="B43" s="970">
        <v>1</v>
      </c>
      <c r="C43" s="971"/>
      <c r="D43" s="972" t="s">
        <v>74</v>
      </c>
      <c r="E43" s="973"/>
    </row>
    <row r="44" spans="1:5">
      <c r="A44" s="437" t="s">
        <v>1835</v>
      </c>
      <c r="B44" s="970">
        <v>0.8</v>
      </c>
      <c r="C44" s="971"/>
      <c r="D44" s="972" t="s">
        <v>74</v>
      </c>
      <c r="E44" s="973"/>
    </row>
    <row r="45" spans="1:5">
      <c r="A45" s="437" t="s">
        <v>1836</v>
      </c>
      <c r="B45" s="970">
        <v>3.5</v>
      </c>
      <c r="C45" s="971"/>
      <c r="D45" s="972" t="s">
        <v>110</v>
      </c>
      <c r="E45" s="973"/>
    </row>
    <row r="46" spans="1:5">
      <c r="A46" s="437" t="s">
        <v>1837</v>
      </c>
      <c r="B46" s="970">
        <v>20</v>
      </c>
      <c r="C46" s="971"/>
      <c r="D46" s="972" t="s">
        <v>110</v>
      </c>
      <c r="E46" s="973"/>
    </row>
    <row r="47" spans="1:5">
      <c r="A47" s="437" t="s">
        <v>1838</v>
      </c>
      <c r="B47" s="970">
        <v>1</v>
      </c>
      <c r="C47" s="971"/>
      <c r="D47" s="972" t="s">
        <v>110</v>
      </c>
      <c r="E47" s="973"/>
    </row>
    <row r="48" spans="1:5">
      <c r="A48" s="437" t="s">
        <v>1839</v>
      </c>
      <c r="B48" s="970">
        <v>2.2000000000000002</v>
      </c>
      <c r="C48" s="971"/>
      <c r="D48" s="972" t="s">
        <v>110</v>
      </c>
      <c r="E48" s="973"/>
    </row>
    <row r="49" spans="1:5">
      <c r="A49" s="437" t="s">
        <v>1840</v>
      </c>
      <c r="B49" s="970">
        <v>3.8</v>
      </c>
      <c r="C49" s="971"/>
      <c r="D49" s="972" t="s">
        <v>110</v>
      </c>
      <c r="E49" s="973"/>
    </row>
    <row r="50" spans="1:5">
      <c r="A50" s="974" t="s">
        <v>1841</v>
      </c>
      <c r="B50" s="976"/>
      <c r="C50" s="976"/>
      <c r="D50" s="976"/>
      <c r="E50" s="975"/>
    </row>
    <row r="51" spans="1:5">
      <c r="A51" s="435" t="s">
        <v>895</v>
      </c>
      <c r="B51" s="970">
        <v>0.8</v>
      </c>
      <c r="C51" s="971"/>
      <c r="D51" s="972" t="s">
        <v>74</v>
      </c>
      <c r="E51" s="973"/>
    </row>
    <row r="52" spans="1:5">
      <c r="A52" s="435" t="s">
        <v>1835</v>
      </c>
      <c r="B52" s="970">
        <v>0.5</v>
      </c>
      <c r="C52" s="971"/>
      <c r="D52" s="972" t="s">
        <v>74</v>
      </c>
      <c r="E52" s="973"/>
    </row>
    <row r="53" spans="1:5">
      <c r="A53" s="435" t="s">
        <v>1836</v>
      </c>
      <c r="B53" s="970">
        <v>3</v>
      </c>
      <c r="C53" s="971"/>
      <c r="D53" s="972" t="s">
        <v>110</v>
      </c>
      <c r="E53" s="973"/>
    </row>
    <row r="54" spans="1:5">
      <c r="A54" s="435" t="s">
        <v>1837</v>
      </c>
      <c r="B54" s="970">
        <v>15</v>
      </c>
      <c r="C54" s="971"/>
      <c r="D54" s="972" t="s">
        <v>110</v>
      </c>
      <c r="E54" s="973"/>
    </row>
    <row r="55" spans="1:5">
      <c r="A55" s="974" t="s">
        <v>1842</v>
      </c>
      <c r="B55" s="976"/>
      <c r="C55" s="976"/>
      <c r="D55" s="976"/>
      <c r="E55" s="975"/>
    </row>
    <row r="56" spans="1:5">
      <c r="A56" s="435" t="s">
        <v>895</v>
      </c>
      <c r="B56" s="970">
        <v>0.2</v>
      </c>
      <c r="C56" s="971"/>
      <c r="D56" s="972" t="s">
        <v>74</v>
      </c>
      <c r="E56" s="973"/>
    </row>
    <row r="57" spans="1:5">
      <c r="A57" s="435" t="s">
        <v>1843</v>
      </c>
      <c r="B57" s="970">
        <v>0.5</v>
      </c>
      <c r="C57" s="971"/>
      <c r="D57" s="972" t="s">
        <v>110</v>
      </c>
      <c r="E57" s="973"/>
    </row>
    <row r="58" spans="1:5">
      <c r="A58" s="435" t="s">
        <v>1837</v>
      </c>
      <c r="B58" s="970">
        <v>2</v>
      </c>
      <c r="C58" s="971"/>
      <c r="D58" s="972" t="s">
        <v>110</v>
      </c>
      <c r="E58" s="973"/>
    </row>
    <row r="59" spans="1:5">
      <c r="A59" s="974" t="s">
        <v>1844</v>
      </c>
      <c r="B59" s="976"/>
      <c r="C59" s="976"/>
      <c r="D59" s="976"/>
      <c r="E59" s="975"/>
    </row>
    <row r="60" spans="1:5">
      <c r="A60" s="435" t="s">
        <v>61</v>
      </c>
      <c r="B60" s="970">
        <v>20</v>
      </c>
      <c r="C60" s="971"/>
      <c r="D60" s="972" t="s">
        <v>96</v>
      </c>
      <c r="E60" s="973"/>
    </row>
    <row r="61" spans="1:5">
      <c r="A61" s="435" t="s">
        <v>62</v>
      </c>
      <c r="B61" s="970">
        <v>50</v>
      </c>
      <c r="C61" s="971"/>
      <c r="D61" s="972" t="s">
        <v>96</v>
      </c>
      <c r="E61" s="973"/>
    </row>
    <row r="62" spans="1:5" ht="15">
      <c r="A62" s="720" t="s">
        <v>157</v>
      </c>
      <c r="B62" s="714"/>
      <c r="C62" s="714"/>
      <c r="D62" s="714"/>
      <c r="E62" s="715"/>
    </row>
    <row r="63" spans="1:5" ht="15">
      <c r="A63" s="447" t="s">
        <v>113</v>
      </c>
      <c r="B63" s="441" t="s">
        <v>1905</v>
      </c>
      <c r="C63" s="441" t="s">
        <v>1906</v>
      </c>
      <c r="D63" s="720" t="s">
        <v>613</v>
      </c>
      <c r="E63" s="715"/>
    </row>
    <row r="64" spans="1:5">
      <c r="A64" s="213" t="s">
        <v>1907</v>
      </c>
      <c r="B64" s="450" t="s">
        <v>161</v>
      </c>
      <c r="C64" s="450">
        <v>1.6</v>
      </c>
      <c r="D64" s="452">
        <v>2.75</v>
      </c>
      <c r="E64" s="442"/>
    </row>
    <row r="65" spans="1:5">
      <c r="A65" s="213" t="s">
        <v>1908</v>
      </c>
      <c r="B65" s="450" t="s">
        <v>161</v>
      </c>
      <c r="C65" s="450">
        <v>1.1100000000000001</v>
      </c>
      <c r="D65" s="452">
        <v>2.5</v>
      </c>
      <c r="E65" s="442"/>
    </row>
    <row r="66" spans="1:5">
      <c r="A66" s="213" t="s">
        <v>1910</v>
      </c>
      <c r="B66" s="450" t="s">
        <v>161</v>
      </c>
      <c r="C66" s="450">
        <v>4</v>
      </c>
      <c r="D66" s="452"/>
      <c r="E66" s="449"/>
    </row>
    <row r="67" spans="1:5" ht="15">
      <c r="A67" s="447" t="s">
        <v>165</v>
      </c>
      <c r="B67" s="441"/>
      <c r="C67" s="441"/>
      <c r="D67" s="720"/>
      <c r="E67" s="715"/>
    </row>
    <row r="68" spans="1:5">
      <c r="A68" s="213" t="s">
        <v>1157</v>
      </c>
      <c r="B68" s="436" t="s">
        <v>161</v>
      </c>
      <c r="C68" s="436">
        <v>10</v>
      </c>
      <c r="D68" s="436">
        <v>14</v>
      </c>
      <c r="E68" s="436"/>
    </row>
    <row r="69" spans="1:5">
      <c r="A69" s="213" t="s">
        <v>1158</v>
      </c>
      <c r="B69" s="436" t="s">
        <v>161</v>
      </c>
      <c r="C69" s="436">
        <v>8</v>
      </c>
      <c r="D69" s="436">
        <v>12</v>
      </c>
      <c r="E69" s="436"/>
    </row>
    <row r="70" spans="1:5">
      <c r="A70" s="213" t="s">
        <v>1159</v>
      </c>
      <c r="B70" s="436" t="s">
        <v>161</v>
      </c>
      <c r="C70" s="436">
        <v>15</v>
      </c>
      <c r="D70" s="436">
        <v>20</v>
      </c>
      <c r="E70" s="436"/>
    </row>
    <row r="71" spans="1:5">
      <c r="A71" s="213" t="s">
        <v>699</v>
      </c>
      <c r="B71" s="436" t="s">
        <v>161</v>
      </c>
      <c r="C71" s="436">
        <v>14</v>
      </c>
      <c r="D71" s="436">
        <v>18</v>
      </c>
      <c r="E71" s="436"/>
    </row>
    <row r="72" spans="1:5" ht="15" customHeight="1">
      <c r="A72" s="447" t="s">
        <v>507</v>
      </c>
      <c r="B72" s="441"/>
      <c r="C72" s="441"/>
      <c r="D72" s="720"/>
      <c r="E72" s="715"/>
    </row>
    <row r="73" spans="1:5">
      <c r="A73" s="218" t="s">
        <v>1163</v>
      </c>
      <c r="B73" s="436" t="s">
        <v>161</v>
      </c>
      <c r="C73" s="450">
        <v>2.25</v>
      </c>
      <c r="D73" s="450">
        <v>2.85</v>
      </c>
      <c r="E73" s="436"/>
    </row>
    <row r="74" spans="1:5">
      <c r="A74" s="218" t="s">
        <v>1164</v>
      </c>
      <c r="B74" s="436" t="s">
        <v>161</v>
      </c>
      <c r="C74" s="450">
        <v>4.45</v>
      </c>
      <c r="D74" s="450">
        <v>5.75</v>
      </c>
      <c r="E74" s="436"/>
    </row>
    <row r="75" spans="1:5">
      <c r="A75" s="218" t="s">
        <v>1165</v>
      </c>
      <c r="B75" s="436" t="s">
        <v>161</v>
      </c>
      <c r="C75" s="450">
        <v>8.5</v>
      </c>
      <c r="D75" s="450">
        <v>10.5</v>
      </c>
      <c r="E75" s="436"/>
    </row>
    <row r="76" spans="1:5" ht="15">
      <c r="A76" s="447" t="s">
        <v>317</v>
      </c>
      <c r="B76" s="441"/>
      <c r="C76" s="441"/>
      <c r="D76" s="720"/>
      <c r="E76" s="715"/>
    </row>
    <row r="77" spans="1:5">
      <c r="A77" s="213" t="s">
        <v>1907</v>
      </c>
      <c r="B77" s="450" t="s">
        <v>161</v>
      </c>
      <c r="C77" s="450">
        <v>1.6</v>
      </c>
      <c r="D77" s="452">
        <v>2.75</v>
      </c>
      <c r="E77" s="436"/>
    </row>
    <row r="78" spans="1:5">
      <c r="A78" s="213" t="s">
        <v>1908</v>
      </c>
      <c r="B78" s="450" t="s">
        <v>161</v>
      </c>
      <c r="C78" s="450">
        <v>1.1100000000000001</v>
      </c>
      <c r="D78" s="452">
        <v>2.5</v>
      </c>
      <c r="E78" s="436"/>
    </row>
    <row r="79" spans="1:5" ht="15">
      <c r="A79" s="447" t="s">
        <v>1215</v>
      </c>
      <c r="B79" s="441"/>
      <c r="C79" s="441"/>
      <c r="D79" s="720"/>
      <c r="E79" s="715"/>
    </row>
    <row r="80" spans="1:5">
      <c r="A80" s="213" t="s">
        <v>1911</v>
      </c>
      <c r="B80" s="437" t="s">
        <v>161</v>
      </c>
      <c r="C80" s="436">
        <v>0.8</v>
      </c>
      <c r="D80" s="436">
        <v>1</v>
      </c>
      <c r="E80" s="436"/>
    </row>
    <row r="81" spans="1:5">
      <c r="A81" s="213" t="s">
        <v>1912</v>
      </c>
      <c r="B81" s="437" t="s">
        <v>161</v>
      </c>
      <c r="C81" s="436">
        <v>0.6</v>
      </c>
      <c r="D81" s="436">
        <v>0.8</v>
      </c>
      <c r="E81" s="436"/>
    </row>
    <row r="82" spans="1:5">
      <c r="A82" s="451" t="s">
        <v>1913</v>
      </c>
      <c r="B82" s="437" t="s">
        <v>161</v>
      </c>
      <c r="C82" s="436">
        <v>1.5</v>
      </c>
      <c r="D82" s="436">
        <v>2.5</v>
      </c>
      <c r="E82" s="436"/>
    </row>
    <row r="83" spans="1:5">
      <c r="A83" s="451" t="s">
        <v>1914</v>
      </c>
      <c r="B83" s="437" t="s">
        <v>161</v>
      </c>
      <c r="C83" s="436">
        <v>0.5</v>
      </c>
      <c r="D83" s="436">
        <v>0.7</v>
      </c>
      <c r="E83" s="436"/>
    </row>
    <row r="84" spans="1:5" ht="15.75" customHeight="1">
      <c r="A84" s="974" t="s">
        <v>1845</v>
      </c>
      <c r="B84" s="976"/>
      <c r="C84" s="976"/>
      <c r="D84" s="976"/>
      <c r="E84" s="975"/>
    </row>
    <row r="85" spans="1:5">
      <c r="A85" s="447" t="s">
        <v>1846</v>
      </c>
      <c r="B85" s="974" t="s">
        <v>220</v>
      </c>
      <c r="C85" s="975"/>
      <c r="D85" s="974"/>
      <c r="E85" s="975"/>
    </row>
    <row r="86" spans="1:5">
      <c r="A86" s="437" t="s">
        <v>895</v>
      </c>
      <c r="B86" s="970">
        <v>3.5</v>
      </c>
      <c r="C86" s="971"/>
      <c r="D86" s="972" t="s">
        <v>74</v>
      </c>
      <c r="E86" s="973"/>
    </row>
    <row r="87" spans="1:5">
      <c r="A87" s="437" t="s">
        <v>1893</v>
      </c>
      <c r="B87" s="970">
        <v>18</v>
      </c>
      <c r="C87" s="971"/>
      <c r="D87" s="972" t="s">
        <v>110</v>
      </c>
      <c r="E87" s="973"/>
    </row>
    <row r="88" spans="1:5">
      <c r="A88" s="437" t="s">
        <v>1894</v>
      </c>
      <c r="B88" s="970">
        <v>18</v>
      </c>
      <c r="C88" s="971"/>
      <c r="D88" s="972" t="s">
        <v>110</v>
      </c>
      <c r="E88" s="973"/>
    </row>
    <row r="89" spans="1:5">
      <c r="A89" s="437" t="s">
        <v>1822</v>
      </c>
      <c r="B89" s="970">
        <v>40.32</v>
      </c>
      <c r="C89" s="971"/>
      <c r="D89" s="972" t="s">
        <v>110</v>
      </c>
      <c r="E89" s="973"/>
    </row>
    <row r="90" spans="1:5">
      <c r="A90" s="437" t="s">
        <v>1823</v>
      </c>
      <c r="B90" s="970">
        <v>45.12</v>
      </c>
      <c r="C90" s="971"/>
      <c r="D90" s="972" t="s">
        <v>110</v>
      </c>
      <c r="E90" s="973"/>
    </row>
    <row r="91" spans="1:5">
      <c r="A91" s="437" t="s">
        <v>1847</v>
      </c>
      <c r="B91" s="970">
        <v>40</v>
      </c>
      <c r="C91" s="971"/>
      <c r="D91" s="972" t="s">
        <v>110</v>
      </c>
      <c r="E91" s="973"/>
    </row>
    <row r="92" spans="1:5">
      <c r="A92" s="437" t="s">
        <v>1848</v>
      </c>
      <c r="B92" s="970">
        <v>50</v>
      </c>
      <c r="C92" s="971"/>
      <c r="D92" s="972" t="s">
        <v>110</v>
      </c>
      <c r="E92" s="973"/>
    </row>
    <row r="93" spans="1:5">
      <c r="A93" s="437" t="s">
        <v>1849</v>
      </c>
      <c r="B93" s="970">
        <v>60</v>
      </c>
      <c r="C93" s="971"/>
      <c r="D93" s="972" t="s">
        <v>110</v>
      </c>
      <c r="E93" s="973"/>
    </row>
    <row r="94" spans="1:5">
      <c r="A94" s="447" t="s">
        <v>1607</v>
      </c>
      <c r="B94" s="974" t="s">
        <v>220</v>
      </c>
      <c r="C94" s="975"/>
      <c r="D94" s="974"/>
      <c r="E94" s="975"/>
    </row>
    <row r="95" spans="1:5">
      <c r="A95" s="437" t="s">
        <v>895</v>
      </c>
      <c r="B95" s="970">
        <v>0.8</v>
      </c>
      <c r="C95" s="971"/>
      <c r="D95" s="972" t="s">
        <v>74</v>
      </c>
      <c r="E95" s="973"/>
    </row>
    <row r="96" spans="1:5">
      <c r="A96" s="437" t="s">
        <v>1850</v>
      </c>
      <c r="B96" s="970">
        <v>5.8</v>
      </c>
      <c r="C96" s="971"/>
      <c r="D96" s="972" t="s">
        <v>110</v>
      </c>
      <c r="E96" s="973"/>
    </row>
    <row r="97" spans="1:5">
      <c r="A97" s="437" t="s">
        <v>1851</v>
      </c>
      <c r="B97" s="970">
        <v>4.8</v>
      </c>
      <c r="C97" s="971"/>
      <c r="D97" s="972" t="s">
        <v>110</v>
      </c>
      <c r="E97" s="973"/>
    </row>
    <row r="98" spans="1:5">
      <c r="A98" s="437" t="s">
        <v>1852</v>
      </c>
      <c r="B98" s="970">
        <v>5.8</v>
      </c>
      <c r="C98" s="971"/>
      <c r="D98" s="972" t="s">
        <v>110</v>
      </c>
      <c r="E98" s="973"/>
    </row>
    <row r="99" spans="1:5">
      <c r="A99" s="437" t="s">
        <v>1826</v>
      </c>
      <c r="B99" s="970">
        <v>6.8</v>
      </c>
      <c r="C99" s="971"/>
      <c r="D99" s="972" t="s">
        <v>110</v>
      </c>
      <c r="E99" s="973"/>
    </row>
    <row r="100" spans="1:5">
      <c r="A100" s="974" t="s">
        <v>543</v>
      </c>
      <c r="B100" s="976"/>
      <c r="C100" s="976"/>
      <c r="D100" s="976"/>
      <c r="E100" s="975"/>
    </row>
    <row r="101" spans="1:5">
      <c r="A101" s="437" t="s">
        <v>362</v>
      </c>
      <c r="B101" s="970">
        <v>400</v>
      </c>
      <c r="C101" s="971"/>
      <c r="D101" s="972" t="s">
        <v>295</v>
      </c>
      <c r="E101" s="973"/>
    </row>
    <row r="102" spans="1:5">
      <c r="A102" s="437" t="s">
        <v>1853</v>
      </c>
      <c r="B102" s="970">
        <v>35</v>
      </c>
      <c r="C102" s="971"/>
      <c r="D102" s="972" t="s">
        <v>1718</v>
      </c>
      <c r="E102" s="973"/>
    </row>
    <row r="103" spans="1:5">
      <c r="A103" s="437"/>
      <c r="B103" s="970"/>
      <c r="C103" s="971"/>
      <c r="D103" s="972"/>
      <c r="E103" s="973"/>
    </row>
    <row r="104" spans="1:5">
      <c r="A104" s="438" t="s">
        <v>1854</v>
      </c>
      <c r="B104" s="970"/>
      <c r="C104" s="971"/>
      <c r="D104" s="972"/>
      <c r="E104" s="973"/>
    </row>
    <row r="105" spans="1:5">
      <c r="A105" s="437" t="s">
        <v>1855</v>
      </c>
      <c r="B105" s="970">
        <v>35</v>
      </c>
      <c r="C105" s="971"/>
      <c r="D105" s="972" t="s">
        <v>1152</v>
      </c>
      <c r="E105" s="973"/>
    </row>
    <row r="106" spans="1:5">
      <c r="A106" s="437"/>
      <c r="B106" s="970"/>
      <c r="C106" s="971"/>
      <c r="D106" s="972"/>
      <c r="E106" s="973"/>
    </row>
    <row r="107" spans="1:5">
      <c r="A107" s="438" t="s">
        <v>1856</v>
      </c>
      <c r="B107" s="970"/>
      <c r="C107" s="971"/>
      <c r="D107" s="972"/>
      <c r="E107" s="973"/>
    </row>
    <row r="108" spans="1:5">
      <c r="A108" s="437" t="s">
        <v>1909</v>
      </c>
      <c r="B108" s="970">
        <v>100</v>
      </c>
      <c r="C108" s="971"/>
      <c r="D108" s="972" t="s">
        <v>1903</v>
      </c>
      <c r="E108" s="973"/>
    </row>
    <row r="109" spans="1:5">
      <c r="A109" s="437" t="s">
        <v>1857</v>
      </c>
      <c r="B109" s="970">
        <v>50</v>
      </c>
      <c r="C109" s="971"/>
      <c r="D109" s="972" t="s">
        <v>1903</v>
      </c>
      <c r="E109" s="973"/>
    </row>
    <row r="110" spans="1:5">
      <c r="A110" s="437" t="s">
        <v>1858</v>
      </c>
      <c r="B110" s="970">
        <v>40</v>
      </c>
      <c r="C110" s="971"/>
      <c r="D110" s="972" t="s">
        <v>1904</v>
      </c>
      <c r="E110" s="973"/>
    </row>
    <row r="111" spans="1:5">
      <c r="A111" s="974" t="s">
        <v>555</v>
      </c>
      <c r="B111" s="976"/>
      <c r="C111" s="976"/>
      <c r="D111" s="976"/>
      <c r="E111" s="975"/>
    </row>
    <row r="112" spans="1:5">
      <c r="A112" s="447" t="s">
        <v>1859</v>
      </c>
      <c r="B112" s="974" t="s">
        <v>220</v>
      </c>
      <c r="C112" s="975"/>
      <c r="D112" s="974"/>
      <c r="E112" s="975"/>
    </row>
    <row r="113" spans="1:5">
      <c r="A113" s="437" t="s">
        <v>1860</v>
      </c>
      <c r="B113" s="970">
        <v>4.5</v>
      </c>
      <c r="C113" s="971"/>
      <c r="D113" s="972" t="s">
        <v>74</v>
      </c>
      <c r="E113" s="973"/>
    </row>
    <row r="114" spans="1:5">
      <c r="A114" s="437" t="s">
        <v>1861</v>
      </c>
      <c r="B114" s="970">
        <v>4.2</v>
      </c>
      <c r="C114" s="971"/>
      <c r="D114" s="972" t="s">
        <v>74</v>
      </c>
      <c r="E114" s="973"/>
    </row>
    <row r="115" spans="1:5">
      <c r="A115" s="437" t="s">
        <v>1862</v>
      </c>
      <c r="B115" s="970">
        <v>4.0999999999999996</v>
      </c>
      <c r="C115" s="971"/>
      <c r="D115" s="972" t="s">
        <v>74</v>
      </c>
      <c r="E115" s="973"/>
    </row>
    <row r="116" spans="1:5">
      <c r="A116" s="437" t="s">
        <v>1863</v>
      </c>
      <c r="B116" s="970">
        <v>3.8</v>
      </c>
      <c r="C116" s="971"/>
      <c r="D116" s="972" t="s">
        <v>74</v>
      </c>
      <c r="E116" s="973"/>
    </row>
    <row r="117" spans="1:5">
      <c r="A117" s="437" t="s">
        <v>1864</v>
      </c>
      <c r="B117" s="970">
        <v>3.7</v>
      </c>
      <c r="C117" s="971"/>
      <c r="D117" s="972" t="s">
        <v>74</v>
      </c>
      <c r="E117" s="973"/>
    </row>
    <row r="118" spans="1:5">
      <c r="A118" s="437" t="s">
        <v>1865</v>
      </c>
      <c r="B118" s="970">
        <v>3.1</v>
      </c>
      <c r="C118" s="971"/>
      <c r="D118" s="972" t="s">
        <v>74</v>
      </c>
      <c r="E118" s="973"/>
    </row>
    <row r="119" spans="1:5">
      <c r="A119" s="437" t="s">
        <v>1866</v>
      </c>
      <c r="B119" s="970">
        <v>2.7</v>
      </c>
      <c r="C119" s="971"/>
      <c r="D119" s="972" t="s">
        <v>74</v>
      </c>
      <c r="E119" s="973"/>
    </row>
    <row r="120" spans="1:5">
      <c r="A120" s="437" t="s">
        <v>1867</v>
      </c>
      <c r="B120" s="970">
        <v>2.2999999999999998</v>
      </c>
      <c r="C120" s="971"/>
      <c r="D120" s="972" t="s">
        <v>74</v>
      </c>
      <c r="E120" s="973"/>
    </row>
    <row r="121" spans="1:5">
      <c r="A121" s="447" t="s">
        <v>1868</v>
      </c>
      <c r="B121" s="974"/>
      <c r="C121" s="975"/>
      <c r="D121" s="974"/>
      <c r="E121" s="975"/>
    </row>
    <row r="122" spans="1:5">
      <c r="A122" s="437" t="s">
        <v>1869</v>
      </c>
      <c r="B122" s="972"/>
      <c r="C122" s="973"/>
      <c r="D122" s="972"/>
      <c r="E122" s="973"/>
    </row>
    <row r="123" spans="1:5">
      <c r="A123" s="437" t="s">
        <v>1870</v>
      </c>
      <c r="B123" s="972"/>
      <c r="C123" s="973"/>
      <c r="D123" s="972"/>
      <c r="E123" s="973"/>
    </row>
    <row r="124" spans="1:5">
      <c r="A124" s="437" t="s">
        <v>1871</v>
      </c>
      <c r="B124" s="972"/>
      <c r="C124" s="973"/>
      <c r="D124" s="972"/>
      <c r="E124" s="973"/>
    </row>
    <row r="125" spans="1:5">
      <c r="A125" s="437" t="s">
        <v>1872</v>
      </c>
      <c r="B125" s="972"/>
      <c r="C125" s="973"/>
      <c r="D125" s="972"/>
      <c r="E125" s="973"/>
    </row>
    <row r="126" spans="1:5">
      <c r="A126" s="437" t="s">
        <v>1873</v>
      </c>
      <c r="B126" s="972"/>
      <c r="C126" s="973"/>
      <c r="D126" s="972"/>
      <c r="E126" s="973"/>
    </row>
    <row r="127" spans="1:5">
      <c r="A127" s="447" t="s">
        <v>1874</v>
      </c>
      <c r="B127" s="974"/>
      <c r="C127" s="975"/>
      <c r="D127" s="974"/>
      <c r="E127" s="975"/>
    </row>
    <row r="128" spans="1:5">
      <c r="A128" s="437" t="s">
        <v>1875</v>
      </c>
      <c r="B128" s="972"/>
      <c r="C128" s="973"/>
      <c r="D128" s="972"/>
      <c r="E128" s="973"/>
    </row>
    <row r="129" spans="1:5">
      <c r="A129" s="437" t="s">
        <v>1876</v>
      </c>
      <c r="B129" s="972"/>
      <c r="C129" s="973"/>
      <c r="D129" s="972"/>
      <c r="E129" s="973"/>
    </row>
    <row r="130" spans="1:5">
      <c r="A130" s="447" t="s">
        <v>1877</v>
      </c>
      <c r="B130" s="974"/>
      <c r="C130" s="975"/>
      <c r="D130" s="974"/>
      <c r="E130" s="975"/>
    </row>
    <row r="131" spans="1:5">
      <c r="A131" s="437" t="s">
        <v>1878</v>
      </c>
      <c r="B131" s="972"/>
      <c r="C131" s="973"/>
      <c r="D131" s="972"/>
      <c r="E131" s="973"/>
    </row>
    <row r="132" spans="1:5">
      <c r="A132" s="437" t="s">
        <v>1879</v>
      </c>
      <c r="B132" s="972"/>
      <c r="C132" s="973"/>
      <c r="D132" s="972"/>
      <c r="E132" s="973"/>
    </row>
    <row r="133" spans="1:5">
      <c r="A133" s="437" t="s">
        <v>1880</v>
      </c>
      <c r="B133" s="972"/>
      <c r="C133" s="973"/>
      <c r="D133" s="972"/>
      <c r="E133" s="973"/>
    </row>
    <row r="134" spans="1:5">
      <c r="A134" s="447" t="s">
        <v>1881</v>
      </c>
      <c r="B134" s="974"/>
      <c r="C134" s="975"/>
      <c r="D134" s="974"/>
      <c r="E134" s="975"/>
    </row>
    <row r="135" spans="1:5">
      <c r="A135" s="437" t="s">
        <v>1882</v>
      </c>
      <c r="B135" s="972"/>
      <c r="C135" s="973"/>
      <c r="D135" s="972"/>
      <c r="E135" s="973"/>
    </row>
    <row r="136" spans="1:5">
      <c r="A136" s="437" t="s">
        <v>1883</v>
      </c>
      <c r="B136" s="972"/>
      <c r="C136" s="973"/>
      <c r="D136" s="972"/>
      <c r="E136" s="973"/>
    </row>
    <row r="137" spans="1:5">
      <c r="A137" s="437" t="s">
        <v>1884</v>
      </c>
      <c r="B137" s="972"/>
      <c r="C137" s="973"/>
      <c r="D137" s="972"/>
      <c r="E137" s="973"/>
    </row>
    <row r="138" spans="1:5">
      <c r="A138" s="437" t="s">
        <v>1885</v>
      </c>
      <c r="B138" s="972"/>
      <c r="C138" s="973"/>
      <c r="D138" s="972"/>
      <c r="E138" s="973"/>
    </row>
    <row r="139" spans="1:5">
      <c r="A139" s="447" t="s">
        <v>1886</v>
      </c>
      <c r="B139" s="974"/>
      <c r="C139" s="975"/>
      <c r="D139" s="974"/>
      <c r="E139" s="975"/>
    </row>
    <row r="140" spans="1:5">
      <c r="A140" s="437" t="s">
        <v>1887</v>
      </c>
      <c r="B140" s="970">
        <v>0.8</v>
      </c>
      <c r="C140" s="971"/>
      <c r="D140" s="972" t="s">
        <v>74</v>
      </c>
      <c r="E140" s="973"/>
    </row>
    <row r="141" spans="1:5">
      <c r="A141" s="437" t="s">
        <v>1888</v>
      </c>
      <c r="B141" s="970">
        <v>0.7</v>
      </c>
      <c r="C141" s="971"/>
      <c r="D141" s="972" t="s">
        <v>74</v>
      </c>
      <c r="E141" s="973"/>
    </row>
    <row r="142" spans="1:5">
      <c r="A142" s="437" t="s">
        <v>1889</v>
      </c>
      <c r="B142" s="970">
        <v>0.6</v>
      </c>
      <c r="C142" s="971"/>
      <c r="D142" s="972" t="s">
        <v>74</v>
      </c>
      <c r="E142" s="973"/>
    </row>
    <row r="143" spans="1:5">
      <c r="A143" s="437" t="s">
        <v>1890</v>
      </c>
      <c r="B143" s="970">
        <v>0.5</v>
      </c>
      <c r="C143" s="971"/>
      <c r="D143" s="972" t="s">
        <v>74</v>
      </c>
      <c r="E143" s="973"/>
    </row>
    <row r="144" spans="1:5">
      <c r="A144" s="445" t="s">
        <v>586</v>
      </c>
      <c r="B144" s="974"/>
      <c r="C144" s="975"/>
      <c r="D144" s="974"/>
      <c r="E144" s="975"/>
    </row>
    <row r="145" spans="1:5">
      <c r="A145" s="437" t="s">
        <v>1891</v>
      </c>
      <c r="B145" s="972"/>
      <c r="C145" s="973"/>
      <c r="D145" s="972"/>
      <c r="E145" s="973"/>
    </row>
    <row r="146" spans="1:5">
      <c r="A146" s="437" t="s">
        <v>1895</v>
      </c>
      <c r="B146" s="972"/>
      <c r="C146" s="973"/>
      <c r="D146" s="972"/>
      <c r="E146" s="973"/>
    </row>
  </sheetData>
  <sheetProtection algorithmName="SHA-512" hashValue="byCVb5z/UALtoSmXIRYGTjg8MxQfbzst0USxxjQXQ1DALc7SpyjzC4h0X1YpHHGo8RxwG1rFOqTbbNcdYZw1TQ==" saltValue="YSQw535B2ghun8Tv3Dv/PA==" spinCount="100000" sheet="1" objects="1" scenarios="1"/>
  <mergeCells count="237">
    <mergeCell ref="A1:E1"/>
    <mergeCell ref="A2:E2"/>
    <mergeCell ref="B146:C146"/>
    <mergeCell ref="D146:E146"/>
    <mergeCell ref="A62:E62"/>
    <mergeCell ref="D63:E63"/>
    <mergeCell ref="D67:E67"/>
    <mergeCell ref="D76:E76"/>
    <mergeCell ref="D79:E79"/>
    <mergeCell ref="D72:E72"/>
    <mergeCell ref="B139:C139"/>
    <mergeCell ref="D139:E139"/>
    <mergeCell ref="B144:C144"/>
    <mergeCell ref="D144:E144"/>
    <mergeCell ref="B145:C145"/>
    <mergeCell ref="D145:E145"/>
    <mergeCell ref="B140:C140"/>
    <mergeCell ref="B141:C141"/>
    <mergeCell ref="B142:C142"/>
    <mergeCell ref="B143:C143"/>
    <mergeCell ref="D140:E140"/>
    <mergeCell ref="D141:E141"/>
    <mergeCell ref="D142:E142"/>
    <mergeCell ref="D143:E143"/>
    <mergeCell ref="B138:C138"/>
    <mergeCell ref="D135:E135"/>
    <mergeCell ref="D136:E136"/>
    <mergeCell ref="D137:E137"/>
    <mergeCell ref="D138:E138"/>
    <mergeCell ref="B134:C134"/>
    <mergeCell ref="D134:E134"/>
    <mergeCell ref="B135:C135"/>
    <mergeCell ref="B136:C136"/>
    <mergeCell ref="B137:C137"/>
    <mergeCell ref="B130:C130"/>
    <mergeCell ref="D130:E130"/>
    <mergeCell ref="B131:C131"/>
    <mergeCell ref="B132:C132"/>
    <mergeCell ref="B133:C133"/>
    <mergeCell ref="D131:E131"/>
    <mergeCell ref="D132:E132"/>
    <mergeCell ref="D133:E133"/>
    <mergeCell ref="B127:C127"/>
    <mergeCell ref="D127:E127"/>
    <mergeCell ref="B128:C128"/>
    <mergeCell ref="B129:C129"/>
    <mergeCell ref="D128:E128"/>
    <mergeCell ref="D129:E129"/>
    <mergeCell ref="B125:C125"/>
    <mergeCell ref="D125:E125"/>
    <mergeCell ref="B126:C126"/>
    <mergeCell ref="D126:E126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18:C118"/>
    <mergeCell ref="B119:C119"/>
    <mergeCell ref="B120:C120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B113:C113"/>
    <mergeCell ref="B114:C114"/>
    <mergeCell ref="B115:C115"/>
    <mergeCell ref="B116:C116"/>
    <mergeCell ref="B117:C117"/>
    <mergeCell ref="D110:E110"/>
    <mergeCell ref="A111:E111"/>
    <mergeCell ref="B110:C110"/>
    <mergeCell ref="B112:C112"/>
    <mergeCell ref="D112:E112"/>
    <mergeCell ref="D105:E105"/>
    <mergeCell ref="D106:E106"/>
    <mergeCell ref="D107:E107"/>
    <mergeCell ref="D108:E108"/>
    <mergeCell ref="D109:E109"/>
    <mergeCell ref="B105:C105"/>
    <mergeCell ref="B106:C106"/>
    <mergeCell ref="B107:C107"/>
    <mergeCell ref="B108:C108"/>
    <mergeCell ref="B109:C109"/>
    <mergeCell ref="A100:E100"/>
    <mergeCell ref="B101:C101"/>
    <mergeCell ref="B102:C102"/>
    <mergeCell ref="B103:C103"/>
    <mergeCell ref="B104:C104"/>
    <mergeCell ref="D101:E101"/>
    <mergeCell ref="D102:E102"/>
    <mergeCell ref="D103:E103"/>
    <mergeCell ref="D104:E104"/>
    <mergeCell ref="D95:E95"/>
    <mergeCell ref="D96:E96"/>
    <mergeCell ref="D97:E97"/>
    <mergeCell ref="D98:E98"/>
    <mergeCell ref="D99:E99"/>
    <mergeCell ref="B85:C85"/>
    <mergeCell ref="D85:E85"/>
    <mergeCell ref="A84:E84"/>
    <mergeCell ref="B94:C94"/>
    <mergeCell ref="D94:E94"/>
    <mergeCell ref="B95:C95"/>
    <mergeCell ref="B96:C96"/>
    <mergeCell ref="B97:C97"/>
    <mergeCell ref="B98:C98"/>
    <mergeCell ref="B99:C99"/>
    <mergeCell ref="B91:C91"/>
    <mergeCell ref="B92:C92"/>
    <mergeCell ref="B93:C93"/>
    <mergeCell ref="D86:E86"/>
    <mergeCell ref="D87:E87"/>
    <mergeCell ref="D88:E88"/>
    <mergeCell ref="D89:E89"/>
    <mergeCell ref="D90:E90"/>
    <mergeCell ref="D91:E91"/>
    <mergeCell ref="D92:E92"/>
    <mergeCell ref="D93:E93"/>
    <mergeCell ref="B86:C86"/>
    <mergeCell ref="B87:C87"/>
    <mergeCell ref="B88:C88"/>
    <mergeCell ref="B89:C89"/>
    <mergeCell ref="B90:C90"/>
    <mergeCell ref="A55:E55"/>
    <mergeCell ref="A59:E59"/>
    <mergeCell ref="B60:C60"/>
    <mergeCell ref="B61:C61"/>
    <mergeCell ref="D60:E60"/>
    <mergeCell ref="D61:E61"/>
    <mergeCell ref="B56:C56"/>
    <mergeCell ref="B57:C57"/>
    <mergeCell ref="B58:C58"/>
    <mergeCell ref="D56:E56"/>
    <mergeCell ref="D57:E57"/>
    <mergeCell ref="D58:E58"/>
    <mergeCell ref="A50:E50"/>
    <mergeCell ref="B51:C51"/>
    <mergeCell ref="B52:C52"/>
    <mergeCell ref="B53:C53"/>
    <mergeCell ref="B54:C54"/>
    <mergeCell ref="D51:E51"/>
    <mergeCell ref="D52:E52"/>
    <mergeCell ref="D53:E53"/>
    <mergeCell ref="D54:E54"/>
    <mergeCell ref="B49:C49"/>
    <mergeCell ref="D43:E43"/>
    <mergeCell ref="D44:E44"/>
    <mergeCell ref="D45:E45"/>
    <mergeCell ref="D46:E46"/>
    <mergeCell ref="D47:E47"/>
    <mergeCell ref="D48:E48"/>
    <mergeCell ref="D49:E49"/>
    <mergeCell ref="B44:C44"/>
    <mergeCell ref="B45:C45"/>
    <mergeCell ref="B46:C46"/>
    <mergeCell ref="B47:C47"/>
    <mergeCell ref="B48:C48"/>
    <mergeCell ref="B33:C33"/>
    <mergeCell ref="D33:E33"/>
    <mergeCell ref="A20:E20"/>
    <mergeCell ref="A42:E42"/>
    <mergeCell ref="B43:C43"/>
    <mergeCell ref="B39:C39"/>
    <mergeCell ref="B40:C40"/>
    <mergeCell ref="B41:C41"/>
    <mergeCell ref="D34:E34"/>
    <mergeCell ref="D35:E35"/>
    <mergeCell ref="D36:E36"/>
    <mergeCell ref="D37:E37"/>
    <mergeCell ref="D38:E38"/>
    <mergeCell ref="D39:E39"/>
    <mergeCell ref="D40:E40"/>
    <mergeCell ref="D41:E41"/>
    <mergeCell ref="B34:C34"/>
    <mergeCell ref="B35:C35"/>
    <mergeCell ref="B36:C36"/>
    <mergeCell ref="B37:C37"/>
    <mergeCell ref="B38:C38"/>
    <mergeCell ref="B31:C31"/>
    <mergeCell ref="B32:C32"/>
    <mergeCell ref="D21:E21"/>
    <mergeCell ref="D31:E31"/>
    <mergeCell ref="D32:E32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B17:C17"/>
    <mergeCell ref="B18:C18"/>
    <mergeCell ref="B19:C19"/>
    <mergeCell ref="D17:E17"/>
    <mergeCell ref="D18:E18"/>
    <mergeCell ref="D19:E19"/>
    <mergeCell ref="D14:E14"/>
    <mergeCell ref="D15:E15"/>
    <mergeCell ref="B9:C9"/>
    <mergeCell ref="D9:E9"/>
    <mergeCell ref="B16:C16"/>
    <mergeCell ref="D16:E16"/>
    <mergeCell ref="B12:C12"/>
    <mergeCell ref="D12:E12"/>
    <mergeCell ref="B13:C13"/>
    <mergeCell ref="B14:C14"/>
    <mergeCell ref="B15:C15"/>
    <mergeCell ref="D13:E13"/>
    <mergeCell ref="A4:E4"/>
    <mergeCell ref="B5:C5"/>
    <mergeCell ref="D5:E5"/>
    <mergeCell ref="B7:C7"/>
    <mergeCell ref="D7:E7"/>
    <mergeCell ref="B10:C10"/>
    <mergeCell ref="D10:E10"/>
    <mergeCell ref="B11:C11"/>
    <mergeCell ref="D11:E11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C00000"/>
  </sheetPr>
  <dimension ref="A1:G78"/>
  <sheetViews>
    <sheetView workbookViewId="0">
      <selection activeCell="G6" sqref="G6"/>
    </sheetView>
  </sheetViews>
  <sheetFormatPr baseColWidth="10" defaultRowHeight="14.25"/>
  <cols>
    <col min="1" max="1" width="48.5703125" style="78" customWidth="1"/>
    <col min="2" max="2" width="18.5703125" style="78" customWidth="1"/>
    <col min="3" max="3" width="17.42578125" style="78" customWidth="1"/>
    <col min="4" max="4" width="15.42578125" style="80" customWidth="1"/>
    <col min="5" max="5" width="16" style="80" customWidth="1"/>
    <col min="6" max="16384" width="11.42578125" style="78"/>
  </cols>
  <sheetData>
    <row r="1" spans="1:5" ht="15">
      <c r="A1" s="992" t="s">
        <v>628</v>
      </c>
      <c r="B1" s="992"/>
      <c r="C1" s="992"/>
      <c r="D1" s="992"/>
      <c r="E1" s="992"/>
    </row>
    <row r="2" spans="1:5" ht="15">
      <c r="A2" s="993" t="s">
        <v>2003</v>
      </c>
      <c r="B2" s="993"/>
      <c r="C2" s="993"/>
      <c r="D2" s="993"/>
      <c r="E2" s="993"/>
    </row>
    <row r="3" spans="1:5" ht="15">
      <c r="A3" s="988" t="s">
        <v>294</v>
      </c>
      <c r="B3" s="988"/>
      <c r="C3" s="988"/>
      <c r="D3" s="988"/>
      <c r="E3" s="988"/>
    </row>
    <row r="4" spans="1:5" ht="15">
      <c r="A4" s="79" t="s">
        <v>295</v>
      </c>
      <c r="B4" s="982" t="s">
        <v>296</v>
      </c>
      <c r="C4" s="983"/>
      <c r="D4" s="980" t="s">
        <v>297</v>
      </c>
      <c r="E4" s="980"/>
    </row>
    <row r="5" spans="1:5" ht="24.75" customHeight="1">
      <c r="A5" s="461" t="s">
        <v>298</v>
      </c>
      <c r="B5" s="994" t="s">
        <v>299</v>
      </c>
      <c r="C5" s="995"/>
      <c r="D5" s="986">
        <v>0.7</v>
      </c>
      <c r="E5" s="986"/>
    </row>
    <row r="6" spans="1:5" ht="15">
      <c r="A6" s="988" t="s">
        <v>300</v>
      </c>
      <c r="B6" s="988"/>
      <c r="C6" s="988"/>
      <c r="D6" s="988"/>
      <c r="E6" s="988"/>
    </row>
    <row r="7" spans="1:5">
      <c r="A7" s="459" t="s">
        <v>301</v>
      </c>
      <c r="B7" s="994" t="s">
        <v>54</v>
      </c>
      <c r="C7" s="995"/>
      <c r="D7" s="986">
        <v>5.5</v>
      </c>
      <c r="E7" s="986"/>
    </row>
    <row r="8" spans="1:5">
      <c r="A8" s="459" t="s">
        <v>302</v>
      </c>
      <c r="B8" s="994" t="s">
        <v>54</v>
      </c>
      <c r="C8" s="995"/>
      <c r="D8" s="986">
        <v>4.5</v>
      </c>
      <c r="E8" s="986"/>
    </row>
    <row r="9" spans="1:5">
      <c r="A9" s="459" t="s">
        <v>165</v>
      </c>
      <c r="B9" s="994" t="s">
        <v>303</v>
      </c>
      <c r="C9" s="995"/>
      <c r="D9" s="986">
        <v>110</v>
      </c>
      <c r="E9" s="986"/>
    </row>
    <row r="10" spans="1:5">
      <c r="A10" s="459" t="s">
        <v>165</v>
      </c>
      <c r="B10" s="994" t="s">
        <v>304</v>
      </c>
      <c r="C10" s="995"/>
      <c r="D10" s="986">
        <v>25</v>
      </c>
      <c r="E10" s="986"/>
    </row>
    <row r="11" spans="1:5">
      <c r="A11" s="459" t="s">
        <v>165</v>
      </c>
      <c r="B11" s="994" t="s">
        <v>305</v>
      </c>
      <c r="C11" s="995"/>
      <c r="D11" s="986">
        <v>145</v>
      </c>
      <c r="E11" s="986"/>
    </row>
    <row r="12" spans="1:5">
      <c r="A12" s="459" t="s">
        <v>165</v>
      </c>
      <c r="B12" s="994" t="s">
        <v>306</v>
      </c>
      <c r="C12" s="995"/>
      <c r="D12" s="986">
        <v>25</v>
      </c>
      <c r="E12" s="986"/>
    </row>
    <row r="13" spans="1:5" ht="16.5" customHeight="1">
      <c r="A13" s="459" t="s">
        <v>165</v>
      </c>
      <c r="B13" s="994" t="s">
        <v>319</v>
      </c>
      <c r="C13" s="995"/>
      <c r="D13" s="986">
        <v>165</v>
      </c>
      <c r="E13" s="986"/>
    </row>
    <row r="14" spans="1:5" ht="15.75" customHeight="1">
      <c r="A14" s="459" t="s">
        <v>165</v>
      </c>
      <c r="B14" s="994" t="s">
        <v>320</v>
      </c>
      <c r="C14" s="995"/>
      <c r="D14" s="986">
        <v>130</v>
      </c>
      <c r="E14" s="986"/>
    </row>
    <row r="15" spans="1:5" ht="14.25" customHeight="1">
      <c r="A15" s="459" t="s">
        <v>165</v>
      </c>
      <c r="B15" s="994" t="s">
        <v>321</v>
      </c>
      <c r="C15" s="995"/>
      <c r="D15" s="986">
        <v>185</v>
      </c>
      <c r="E15" s="986"/>
    </row>
    <row r="16" spans="1:5">
      <c r="A16" s="459" t="s">
        <v>165</v>
      </c>
      <c r="B16" s="994" t="s">
        <v>322</v>
      </c>
      <c r="C16" s="995"/>
      <c r="D16" s="986">
        <v>130</v>
      </c>
      <c r="E16" s="986"/>
    </row>
    <row r="17" spans="1:5" ht="15" customHeight="1">
      <c r="A17" s="459" t="s">
        <v>165</v>
      </c>
      <c r="B17" s="994" t="s">
        <v>1922</v>
      </c>
      <c r="C17" s="995"/>
      <c r="D17" s="986">
        <v>57</v>
      </c>
      <c r="E17" s="986"/>
    </row>
    <row r="18" spans="1:5">
      <c r="A18" s="459" t="s">
        <v>101</v>
      </c>
      <c r="B18" s="994" t="s">
        <v>307</v>
      </c>
      <c r="C18" s="995"/>
      <c r="D18" s="986">
        <v>60</v>
      </c>
      <c r="E18" s="986"/>
    </row>
    <row r="19" spans="1:5">
      <c r="A19" s="459" t="s">
        <v>101</v>
      </c>
      <c r="B19" s="994" t="s">
        <v>308</v>
      </c>
      <c r="C19" s="995"/>
      <c r="D19" s="986">
        <v>85</v>
      </c>
      <c r="E19" s="986"/>
    </row>
    <row r="20" spans="1:5" ht="15.75" customHeight="1">
      <c r="A20" s="459" t="s">
        <v>101</v>
      </c>
      <c r="B20" s="994" t="s">
        <v>309</v>
      </c>
      <c r="C20" s="995"/>
      <c r="D20" s="986">
        <v>150</v>
      </c>
      <c r="E20" s="986"/>
    </row>
    <row r="21" spans="1:5" ht="15" customHeight="1">
      <c r="A21" s="459" t="s">
        <v>310</v>
      </c>
      <c r="B21" s="994" t="s">
        <v>311</v>
      </c>
      <c r="C21" s="995"/>
      <c r="D21" s="986">
        <v>150</v>
      </c>
      <c r="E21" s="986"/>
    </row>
    <row r="22" spans="1:5">
      <c r="A22" s="459" t="s">
        <v>310</v>
      </c>
      <c r="B22" s="994" t="s">
        <v>312</v>
      </c>
      <c r="C22" s="995"/>
      <c r="D22" s="986">
        <v>150</v>
      </c>
      <c r="E22" s="986"/>
    </row>
    <row r="23" spans="1:5" ht="15">
      <c r="A23" s="988" t="s">
        <v>313</v>
      </c>
      <c r="B23" s="988"/>
      <c r="C23" s="988"/>
      <c r="D23" s="988"/>
      <c r="E23" s="988"/>
    </row>
    <row r="24" spans="1:5" ht="14.25" customHeight="1">
      <c r="A24" s="459" t="s">
        <v>314</v>
      </c>
      <c r="B24" s="994" t="s">
        <v>54</v>
      </c>
      <c r="C24" s="995"/>
      <c r="D24" s="986">
        <v>1.2</v>
      </c>
      <c r="E24" s="986"/>
    </row>
    <row r="25" spans="1:5">
      <c r="A25" s="459" t="s">
        <v>315</v>
      </c>
      <c r="B25" s="994" t="s">
        <v>54</v>
      </c>
      <c r="C25" s="995"/>
      <c r="D25" s="986">
        <v>1.2</v>
      </c>
      <c r="E25" s="986"/>
    </row>
    <row r="26" spans="1:5">
      <c r="A26" s="459" t="s">
        <v>165</v>
      </c>
      <c r="B26" s="994" t="s">
        <v>303</v>
      </c>
      <c r="C26" s="995"/>
      <c r="D26" s="986">
        <v>18</v>
      </c>
      <c r="E26" s="986"/>
    </row>
    <row r="27" spans="1:5">
      <c r="A27" s="459" t="s">
        <v>165</v>
      </c>
      <c r="B27" s="994" t="s">
        <v>304</v>
      </c>
      <c r="C27" s="995"/>
      <c r="D27" s="986">
        <v>6</v>
      </c>
      <c r="E27" s="986"/>
    </row>
    <row r="28" spans="1:5">
      <c r="A28" s="459" t="s">
        <v>165</v>
      </c>
      <c r="B28" s="994" t="s">
        <v>305</v>
      </c>
      <c r="C28" s="995"/>
      <c r="D28" s="986">
        <v>20</v>
      </c>
      <c r="E28" s="986"/>
    </row>
    <row r="29" spans="1:5">
      <c r="A29" s="459" t="s">
        <v>165</v>
      </c>
      <c r="B29" s="994" t="s">
        <v>306</v>
      </c>
      <c r="C29" s="995"/>
      <c r="D29" s="986">
        <v>6</v>
      </c>
      <c r="E29" s="986"/>
    </row>
    <row r="30" spans="1:5">
      <c r="A30" s="459" t="s">
        <v>101</v>
      </c>
      <c r="B30" s="994" t="s">
        <v>307</v>
      </c>
      <c r="C30" s="995"/>
      <c r="D30" s="986">
        <v>2</v>
      </c>
      <c r="E30" s="986"/>
    </row>
    <row r="31" spans="1:5">
      <c r="A31" s="459" t="s">
        <v>101</v>
      </c>
      <c r="B31" s="994" t="s">
        <v>308</v>
      </c>
      <c r="C31" s="995"/>
      <c r="D31" s="986">
        <v>8</v>
      </c>
      <c r="E31" s="986"/>
    </row>
    <row r="32" spans="1:5" ht="15" customHeight="1">
      <c r="A32" s="459" t="s">
        <v>101</v>
      </c>
      <c r="B32" s="994" t="s">
        <v>309</v>
      </c>
      <c r="C32" s="995"/>
      <c r="D32" s="986">
        <v>16</v>
      </c>
      <c r="E32" s="986"/>
    </row>
    <row r="33" spans="1:7" ht="15.75" customHeight="1">
      <c r="A33" s="459" t="s">
        <v>310</v>
      </c>
      <c r="B33" s="994" t="s">
        <v>311</v>
      </c>
      <c r="C33" s="995"/>
      <c r="D33" s="986">
        <v>60</v>
      </c>
      <c r="E33" s="986"/>
    </row>
    <row r="34" spans="1:7">
      <c r="A34" s="459" t="s">
        <v>310</v>
      </c>
      <c r="B34" s="994" t="s">
        <v>312</v>
      </c>
      <c r="C34" s="995"/>
      <c r="D34" s="986">
        <v>60</v>
      </c>
      <c r="E34" s="986"/>
    </row>
    <row r="35" spans="1:7">
      <c r="A35" s="460" t="s">
        <v>323</v>
      </c>
      <c r="B35" s="994" t="s">
        <v>54</v>
      </c>
      <c r="C35" s="995"/>
      <c r="D35" s="986">
        <v>1.5</v>
      </c>
      <c r="E35" s="986"/>
    </row>
    <row r="36" spans="1:7">
      <c r="A36" s="460" t="s">
        <v>210</v>
      </c>
      <c r="B36" s="994" t="s">
        <v>324</v>
      </c>
      <c r="C36" s="995"/>
      <c r="D36" s="986">
        <v>12</v>
      </c>
      <c r="E36" s="986"/>
    </row>
    <row r="37" spans="1:7">
      <c r="A37" s="460" t="s">
        <v>131</v>
      </c>
      <c r="B37" s="994" t="s">
        <v>324</v>
      </c>
      <c r="C37" s="995"/>
      <c r="D37" s="986">
        <v>35</v>
      </c>
      <c r="E37" s="986"/>
    </row>
    <row r="38" spans="1:7">
      <c r="A38" s="459" t="s">
        <v>325</v>
      </c>
      <c r="B38" s="994" t="s">
        <v>326</v>
      </c>
      <c r="C38" s="995"/>
      <c r="D38" s="986">
        <v>90</v>
      </c>
      <c r="E38" s="986"/>
    </row>
    <row r="39" spans="1:7">
      <c r="A39" s="459" t="s">
        <v>327</v>
      </c>
      <c r="B39" s="994" t="s">
        <v>326</v>
      </c>
      <c r="C39" s="995"/>
      <c r="D39" s="986">
        <v>110</v>
      </c>
      <c r="E39" s="986"/>
    </row>
    <row r="40" spans="1:7">
      <c r="A40" s="459" t="s">
        <v>328</v>
      </c>
      <c r="B40" s="994" t="s">
        <v>326</v>
      </c>
      <c r="C40" s="995"/>
      <c r="D40" s="986">
        <v>240</v>
      </c>
      <c r="E40" s="986"/>
    </row>
    <row r="41" spans="1:7">
      <c r="A41" s="459" t="s">
        <v>329</v>
      </c>
      <c r="B41" s="994" t="s">
        <v>330</v>
      </c>
      <c r="C41" s="995"/>
      <c r="D41" s="986">
        <v>6</v>
      </c>
      <c r="E41" s="986"/>
    </row>
    <row r="42" spans="1:7" ht="13.5" customHeight="1">
      <c r="A42" s="459" t="s">
        <v>331</v>
      </c>
      <c r="B42" s="994" t="s">
        <v>332</v>
      </c>
      <c r="C42" s="995"/>
      <c r="D42" s="986">
        <v>8</v>
      </c>
      <c r="E42" s="986"/>
    </row>
    <row r="43" spans="1:7" ht="14.25" customHeight="1">
      <c r="A43" s="459" t="s">
        <v>333</v>
      </c>
      <c r="B43" s="994" t="s">
        <v>332</v>
      </c>
      <c r="C43" s="995"/>
      <c r="D43" s="986">
        <v>2</v>
      </c>
      <c r="E43" s="986"/>
    </row>
    <row r="44" spans="1:7" ht="18.75" customHeight="1">
      <c r="A44" s="989" t="s">
        <v>1934</v>
      </c>
      <c r="B44" s="990"/>
      <c r="C44" s="990"/>
      <c r="D44" s="990"/>
      <c r="E44" s="991"/>
    </row>
    <row r="45" spans="1:7" ht="24" customHeight="1">
      <c r="A45" s="462" t="s">
        <v>1923</v>
      </c>
      <c r="B45" s="419" t="s">
        <v>1926</v>
      </c>
      <c r="C45" s="419" t="s">
        <v>608</v>
      </c>
      <c r="D45" s="419" t="s">
        <v>1927</v>
      </c>
      <c r="E45" s="463" t="s">
        <v>1928</v>
      </c>
    </row>
    <row r="46" spans="1:7" ht="14.25" customHeight="1">
      <c r="A46" s="459" t="s">
        <v>1924</v>
      </c>
      <c r="B46" s="465" t="s">
        <v>161</v>
      </c>
      <c r="C46" s="466">
        <v>1.9</v>
      </c>
      <c r="D46" s="466">
        <v>2.5</v>
      </c>
      <c r="E46" s="466">
        <v>3</v>
      </c>
      <c r="F46" s="987"/>
      <c r="G46" s="987"/>
    </row>
    <row r="47" spans="1:7" ht="14.25" customHeight="1">
      <c r="A47" s="459" t="s">
        <v>1925</v>
      </c>
      <c r="B47" s="465" t="s">
        <v>161</v>
      </c>
      <c r="C47" s="466">
        <v>1.25</v>
      </c>
      <c r="D47" s="466">
        <v>1.7</v>
      </c>
      <c r="E47" s="466">
        <v>2.1</v>
      </c>
      <c r="F47" s="987"/>
      <c r="G47" s="987"/>
    </row>
    <row r="48" spans="1:7" ht="24.75" customHeight="1">
      <c r="A48" s="462" t="s">
        <v>1929</v>
      </c>
      <c r="B48" s="419" t="s">
        <v>1930</v>
      </c>
      <c r="C48" s="419" t="s">
        <v>1931</v>
      </c>
      <c r="D48" s="419" t="s">
        <v>1932</v>
      </c>
      <c r="E48" s="463" t="s">
        <v>1933</v>
      </c>
    </row>
    <row r="49" spans="1:7" ht="27" customHeight="1">
      <c r="A49" s="464" t="s">
        <v>1935</v>
      </c>
      <c r="B49" s="467">
        <v>8.0000000000000002E-3</v>
      </c>
      <c r="C49" s="467">
        <v>8.9999999999999993E-3</v>
      </c>
      <c r="D49" s="467">
        <v>0.01</v>
      </c>
      <c r="E49" s="467">
        <v>1.4999999999999999E-2</v>
      </c>
    </row>
    <row r="50" spans="1:7" ht="24.75" customHeight="1">
      <c r="A50" s="462" t="s">
        <v>1936</v>
      </c>
      <c r="B50" s="419" t="s">
        <v>1926</v>
      </c>
      <c r="C50" s="419" t="s">
        <v>608</v>
      </c>
      <c r="D50" s="419" t="s">
        <v>1927</v>
      </c>
      <c r="E50" s="463" t="s">
        <v>1928</v>
      </c>
    </row>
    <row r="51" spans="1:7" ht="14.25" customHeight="1">
      <c r="A51" s="459" t="s">
        <v>247</v>
      </c>
      <c r="B51" s="465" t="s">
        <v>161</v>
      </c>
      <c r="C51" s="466">
        <v>20</v>
      </c>
      <c r="D51" s="466">
        <v>27</v>
      </c>
      <c r="E51" s="466">
        <v>34</v>
      </c>
    </row>
    <row r="52" spans="1:7" ht="14.25" customHeight="1">
      <c r="A52" s="459" t="s">
        <v>248</v>
      </c>
      <c r="B52" s="465" t="s">
        <v>161</v>
      </c>
      <c r="C52" s="466">
        <v>27</v>
      </c>
      <c r="D52" s="466">
        <v>38</v>
      </c>
      <c r="E52" s="466">
        <v>50</v>
      </c>
    </row>
    <row r="53" spans="1:7" ht="14.25" customHeight="1">
      <c r="A53" s="459" t="s">
        <v>1679</v>
      </c>
      <c r="B53" s="465" t="s">
        <v>161</v>
      </c>
      <c r="C53" s="466">
        <v>34</v>
      </c>
      <c r="D53" s="466">
        <v>50</v>
      </c>
      <c r="E53" s="466">
        <v>60</v>
      </c>
    </row>
    <row r="54" spans="1:7" ht="14.25" customHeight="1">
      <c r="A54" s="459" t="s">
        <v>1937</v>
      </c>
      <c r="B54" s="465" t="s">
        <v>161</v>
      </c>
      <c r="C54" s="466">
        <v>40</v>
      </c>
      <c r="D54" s="466">
        <v>50</v>
      </c>
      <c r="E54" s="466">
        <v>60</v>
      </c>
    </row>
    <row r="55" spans="1:7" ht="14.25" customHeight="1">
      <c r="A55" s="459" t="s">
        <v>1938</v>
      </c>
      <c r="B55" s="465" t="s">
        <v>161</v>
      </c>
      <c r="C55" s="466">
        <v>50</v>
      </c>
      <c r="D55" s="466">
        <v>60</v>
      </c>
      <c r="E55" s="466">
        <v>75</v>
      </c>
    </row>
    <row r="56" spans="1:7" ht="14.25" customHeight="1">
      <c r="A56" s="459" t="s">
        <v>1939</v>
      </c>
      <c r="B56" s="465" t="s">
        <v>161</v>
      </c>
      <c r="C56" s="466">
        <v>2.2999999999999998</v>
      </c>
      <c r="D56" s="466">
        <v>2.2999999999999998</v>
      </c>
      <c r="E56" s="466">
        <v>2.2999999999999998</v>
      </c>
    </row>
    <row r="57" spans="1:7" ht="14.25" customHeight="1">
      <c r="A57" s="459" t="s">
        <v>1940</v>
      </c>
      <c r="B57" s="465" t="s">
        <v>161</v>
      </c>
      <c r="C57" s="466">
        <v>4</v>
      </c>
      <c r="D57" s="466">
        <v>4</v>
      </c>
      <c r="E57" s="466">
        <v>4</v>
      </c>
    </row>
    <row r="58" spans="1:7" ht="25.5" customHeight="1">
      <c r="A58" s="462" t="s">
        <v>2004</v>
      </c>
      <c r="B58" s="419" t="s">
        <v>1926</v>
      </c>
      <c r="C58" s="419" t="s">
        <v>608</v>
      </c>
      <c r="D58" s="419" t="s">
        <v>1927</v>
      </c>
      <c r="E58" s="463" t="s">
        <v>1928</v>
      </c>
    </row>
    <row r="59" spans="1:7" ht="14.25" customHeight="1">
      <c r="A59" s="459" t="s">
        <v>1941</v>
      </c>
      <c r="B59" s="465" t="s">
        <v>161</v>
      </c>
      <c r="C59" s="466">
        <v>4</v>
      </c>
      <c r="D59" s="466">
        <v>5</v>
      </c>
      <c r="E59" s="466">
        <v>7</v>
      </c>
      <c r="F59" s="987"/>
      <c r="G59" s="987"/>
    </row>
    <row r="60" spans="1:7" ht="14.25" customHeight="1">
      <c r="A60" s="459" t="s">
        <v>1942</v>
      </c>
      <c r="B60" s="465" t="s">
        <v>161</v>
      </c>
      <c r="C60" s="466">
        <v>8</v>
      </c>
      <c r="D60" s="466">
        <v>9.5</v>
      </c>
      <c r="E60" s="466">
        <v>13</v>
      </c>
      <c r="F60" s="987"/>
      <c r="G60" s="987"/>
    </row>
    <row r="61" spans="1:7" ht="14.25" customHeight="1">
      <c r="A61" s="459" t="s">
        <v>1943</v>
      </c>
      <c r="B61" s="465" t="s">
        <v>161</v>
      </c>
      <c r="C61" s="466">
        <v>16</v>
      </c>
      <c r="D61" s="466">
        <v>18</v>
      </c>
      <c r="E61" s="466">
        <v>24</v>
      </c>
      <c r="F61" s="987"/>
      <c r="G61" s="987"/>
    </row>
    <row r="62" spans="1:7" ht="14.25" customHeight="1">
      <c r="A62" s="459" t="s">
        <v>1944</v>
      </c>
      <c r="B62" s="465" t="s">
        <v>161</v>
      </c>
      <c r="C62" s="466">
        <v>12</v>
      </c>
      <c r="D62" s="466">
        <v>14</v>
      </c>
      <c r="E62" s="466">
        <v>20</v>
      </c>
      <c r="F62" s="987"/>
      <c r="G62" s="987"/>
    </row>
    <row r="63" spans="1:7" ht="15" customHeight="1">
      <c r="A63" s="982" t="s">
        <v>334</v>
      </c>
      <c r="B63" s="996"/>
      <c r="C63" s="996"/>
      <c r="D63" s="996"/>
      <c r="E63" s="983"/>
    </row>
    <row r="64" spans="1:7" ht="15">
      <c r="A64" s="982" t="s">
        <v>335</v>
      </c>
      <c r="B64" s="996"/>
      <c r="C64" s="996"/>
      <c r="D64" s="996"/>
      <c r="E64" s="983"/>
    </row>
    <row r="65" spans="1:5" ht="15">
      <c r="A65" s="79" t="s">
        <v>113</v>
      </c>
      <c r="B65" s="982" t="s">
        <v>336</v>
      </c>
      <c r="C65" s="983"/>
      <c r="D65" s="980" t="s">
        <v>186</v>
      </c>
      <c r="E65" s="980"/>
    </row>
    <row r="66" spans="1:5">
      <c r="A66" s="468" t="s">
        <v>337</v>
      </c>
      <c r="B66" s="977" t="s">
        <v>338</v>
      </c>
      <c r="C66" s="978"/>
      <c r="D66" s="981">
        <v>0.1</v>
      </c>
      <c r="E66" s="981"/>
    </row>
    <row r="67" spans="1:5">
      <c r="A67" s="468" t="s">
        <v>339</v>
      </c>
      <c r="B67" s="977" t="s">
        <v>340</v>
      </c>
      <c r="C67" s="978"/>
      <c r="D67" s="981">
        <v>0.25</v>
      </c>
      <c r="E67" s="981"/>
    </row>
    <row r="68" spans="1:5">
      <c r="A68" s="468" t="s">
        <v>341</v>
      </c>
      <c r="B68" s="977" t="s">
        <v>342</v>
      </c>
      <c r="C68" s="978"/>
      <c r="D68" s="981">
        <v>0.5</v>
      </c>
      <c r="E68" s="981"/>
    </row>
    <row r="69" spans="1:5" ht="15">
      <c r="A69" s="79" t="s">
        <v>343</v>
      </c>
      <c r="B69" s="982" t="s">
        <v>336</v>
      </c>
      <c r="C69" s="983"/>
      <c r="D69" s="980" t="s">
        <v>186</v>
      </c>
      <c r="E69" s="980"/>
    </row>
    <row r="70" spans="1:5">
      <c r="A70" s="468" t="s">
        <v>337</v>
      </c>
      <c r="B70" s="977" t="s">
        <v>344</v>
      </c>
      <c r="C70" s="978"/>
      <c r="D70" s="981">
        <v>0.1</v>
      </c>
      <c r="E70" s="981"/>
    </row>
    <row r="71" spans="1:5">
      <c r="A71" s="468" t="s">
        <v>339</v>
      </c>
      <c r="B71" s="977" t="s">
        <v>345</v>
      </c>
      <c r="C71" s="978"/>
      <c r="D71" s="981">
        <v>0.25</v>
      </c>
      <c r="E71" s="981"/>
    </row>
    <row r="72" spans="1:5">
      <c r="A72" s="468" t="s">
        <v>341</v>
      </c>
      <c r="B72" s="977" t="s">
        <v>342</v>
      </c>
      <c r="C72" s="978"/>
      <c r="D72" s="981">
        <v>0.5</v>
      </c>
      <c r="E72" s="981"/>
    </row>
    <row r="73" spans="1:5" ht="22.5" customHeight="1">
      <c r="A73" s="456" t="s">
        <v>165</v>
      </c>
      <c r="B73" s="984" t="s">
        <v>346</v>
      </c>
      <c r="C73" s="985"/>
      <c r="D73" s="779" t="s">
        <v>186</v>
      </c>
      <c r="E73" s="779"/>
    </row>
    <row r="74" spans="1:5">
      <c r="A74" s="468" t="s">
        <v>337</v>
      </c>
      <c r="B74" s="977" t="s">
        <v>347</v>
      </c>
      <c r="C74" s="978"/>
      <c r="D74" s="981">
        <v>0.1</v>
      </c>
      <c r="E74" s="981"/>
    </row>
    <row r="75" spans="1:5">
      <c r="A75" s="468" t="s">
        <v>339</v>
      </c>
      <c r="B75" s="977" t="s">
        <v>348</v>
      </c>
      <c r="C75" s="978"/>
      <c r="D75" s="981">
        <v>0.25</v>
      </c>
      <c r="E75" s="981"/>
    </row>
    <row r="76" spans="1:5">
      <c r="A76" s="468" t="s">
        <v>341</v>
      </c>
      <c r="B76" s="977" t="s">
        <v>349</v>
      </c>
      <c r="C76" s="978"/>
      <c r="D76" s="981">
        <v>0.5</v>
      </c>
      <c r="E76" s="981"/>
    </row>
    <row r="78" spans="1:5" ht="15.75">
      <c r="A78" s="979" t="s">
        <v>1945</v>
      </c>
      <c r="B78" s="979"/>
      <c r="C78" s="979"/>
      <c r="D78" s="979"/>
      <c r="E78" s="979"/>
    </row>
  </sheetData>
  <sheetProtection algorithmName="SHA-512" hashValue="c0cL4BruNo/ApByhUp4M0muwU1RRcavB/SCXnSRoMjN0BvpniYvEVaEIohPe+Unp680BFQRt4XZo8xUQsG2HkQ==" saltValue="24dT3kDFPMWCuBLskNzsew==" spinCount="100000" sheet="1" objects="1" scenarios="1"/>
  <mergeCells count="115">
    <mergeCell ref="B4:C4"/>
    <mergeCell ref="A3:E3"/>
    <mergeCell ref="B65:C65"/>
    <mergeCell ref="B66:C66"/>
    <mergeCell ref="A63:E63"/>
    <mergeCell ref="A64:E64"/>
    <mergeCell ref="B43:C43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7:C27"/>
    <mergeCell ref="B28:C28"/>
    <mergeCell ref="B29:C29"/>
    <mergeCell ref="B30:C30"/>
    <mergeCell ref="B31:C31"/>
    <mergeCell ref="B21:C21"/>
    <mergeCell ref="B32:C32"/>
    <mergeCell ref="D28:E28"/>
    <mergeCell ref="B11:C11"/>
    <mergeCell ref="B12:C12"/>
    <mergeCell ref="B13:C13"/>
    <mergeCell ref="B14:C14"/>
    <mergeCell ref="B15:C15"/>
    <mergeCell ref="B5:C5"/>
    <mergeCell ref="B7:C7"/>
    <mergeCell ref="B8:C8"/>
    <mergeCell ref="B9:C9"/>
    <mergeCell ref="B10:C10"/>
    <mergeCell ref="B22:C22"/>
    <mergeCell ref="B24:C24"/>
    <mergeCell ref="B25:C25"/>
    <mergeCell ref="B26:C26"/>
    <mergeCell ref="B16:C16"/>
    <mergeCell ref="B17:C17"/>
    <mergeCell ref="B18:C18"/>
    <mergeCell ref="B19:C19"/>
    <mergeCell ref="B20:C20"/>
    <mergeCell ref="D42:E42"/>
    <mergeCell ref="D43:E43"/>
    <mergeCell ref="D15:E15"/>
    <mergeCell ref="D16:E16"/>
    <mergeCell ref="D17:E17"/>
    <mergeCell ref="D35:E35"/>
    <mergeCell ref="D36:E36"/>
    <mergeCell ref="D27:E27"/>
    <mergeCell ref="A1:E1"/>
    <mergeCell ref="D19:E19"/>
    <mergeCell ref="D4:E4"/>
    <mergeCell ref="D5:E5"/>
    <mergeCell ref="A6:E6"/>
    <mergeCell ref="D7:E7"/>
    <mergeCell ref="D8:E8"/>
    <mergeCell ref="D9:E9"/>
    <mergeCell ref="D10:E10"/>
    <mergeCell ref="D11:E11"/>
    <mergeCell ref="A2:E2"/>
    <mergeCell ref="D21:E21"/>
    <mergeCell ref="D13:E13"/>
    <mergeCell ref="D14:E14"/>
    <mergeCell ref="D31:E31"/>
    <mergeCell ref="D34:E34"/>
    <mergeCell ref="D29:E29"/>
    <mergeCell ref="D30:E30"/>
    <mergeCell ref="D32:E32"/>
    <mergeCell ref="D33:E33"/>
    <mergeCell ref="F61:G61"/>
    <mergeCell ref="F62:G62"/>
    <mergeCell ref="D12:E12"/>
    <mergeCell ref="D18:E18"/>
    <mergeCell ref="D22:E22"/>
    <mergeCell ref="D20:E20"/>
    <mergeCell ref="A23:E23"/>
    <mergeCell ref="D24:E24"/>
    <mergeCell ref="D25:E25"/>
    <mergeCell ref="D26:E26"/>
    <mergeCell ref="F59:G59"/>
    <mergeCell ref="F60:G60"/>
    <mergeCell ref="A44:E44"/>
    <mergeCell ref="F46:G46"/>
    <mergeCell ref="F47:G47"/>
    <mergeCell ref="D37:E37"/>
    <mergeCell ref="D38:E38"/>
    <mergeCell ref="D39:E39"/>
    <mergeCell ref="D40:E40"/>
    <mergeCell ref="D41:E41"/>
    <mergeCell ref="B74:C74"/>
    <mergeCell ref="B75:C75"/>
    <mergeCell ref="A78:E78"/>
    <mergeCell ref="D65:E65"/>
    <mergeCell ref="D66:E66"/>
    <mergeCell ref="B67:C67"/>
    <mergeCell ref="B68:C68"/>
    <mergeCell ref="B69:C69"/>
    <mergeCell ref="B70:C70"/>
    <mergeCell ref="B71:C71"/>
    <mergeCell ref="B72:C72"/>
    <mergeCell ref="B73:C73"/>
    <mergeCell ref="D76:E7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B76:C76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55"/>
  <sheetViews>
    <sheetView workbookViewId="0">
      <selection activeCell="F57" sqref="F57"/>
    </sheetView>
  </sheetViews>
  <sheetFormatPr baseColWidth="10" defaultRowHeight="12.75"/>
  <cols>
    <col min="1" max="1" width="52.140625" customWidth="1"/>
    <col min="2" max="2" width="15" customWidth="1"/>
    <col min="3" max="3" width="13.7109375" customWidth="1"/>
    <col min="4" max="4" width="14.7109375" customWidth="1"/>
  </cols>
  <sheetData>
    <row r="1" spans="1:4" ht="18.75" customHeight="1">
      <c r="A1" s="707" t="s">
        <v>2064</v>
      </c>
      <c r="B1" s="707"/>
      <c r="C1" s="707"/>
      <c r="D1" s="707"/>
    </row>
    <row r="2" spans="1:4" ht="16.5" customHeight="1">
      <c r="A2" s="711" t="s">
        <v>2056</v>
      </c>
      <c r="B2" s="711"/>
      <c r="C2" s="711"/>
      <c r="D2" s="711"/>
    </row>
    <row r="3" spans="1:4" ht="12.75" customHeight="1">
      <c r="A3" s="509"/>
      <c r="B3" s="509"/>
      <c r="C3" s="509"/>
      <c r="D3" s="509"/>
    </row>
    <row r="4" spans="1:4" ht="15.75">
      <c r="A4" s="997" t="s">
        <v>2011</v>
      </c>
      <c r="B4" s="998"/>
      <c r="C4" s="998"/>
      <c r="D4" s="999"/>
    </row>
    <row r="5" spans="1:4" ht="20.25" customHeight="1">
      <c r="A5" s="498" t="s">
        <v>511</v>
      </c>
      <c r="B5" s="504" t="s">
        <v>2012</v>
      </c>
      <c r="C5" s="505"/>
      <c r="D5" s="505"/>
    </row>
    <row r="6" spans="1:4">
      <c r="A6" s="488" t="s">
        <v>2013</v>
      </c>
      <c r="B6" s="490">
        <v>4</v>
      </c>
      <c r="C6" s="493"/>
      <c r="D6" s="493"/>
    </row>
    <row r="7" spans="1:4">
      <c r="A7" s="488" t="s">
        <v>2055</v>
      </c>
      <c r="B7" s="491">
        <v>4</v>
      </c>
      <c r="C7" s="484"/>
      <c r="D7" s="484"/>
    </row>
    <row r="8" spans="1:4">
      <c r="A8" s="483"/>
      <c r="B8" s="492"/>
      <c r="C8" s="484"/>
      <c r="D8" s="484"/>
    </row>
    <row r="9" spans="1:4" ht="15.75">
      <c r="A9" s="997" t="s">
        <v>2014</v>
      </c>
      <c r="B9" s="998"/>
      <c r="C9" s="998"/>
      <c r="D9" s="999"/>
    </row>
    <row r="10" spans="1:4" ht="18" customHeight="1">
      <c r="A10" s="498" t="s">
        <v>511</v>
      </c>
      <c r="B10" s="504" t="s">
        <v>2012</v>
      </c>
      <c r="C10" s="505"/>
      <c r="D10" s="505"/>
    </row>
    <row r="11" spans="1:4">
      <c r="A11" s="488" t="s">
        <v>2015</v>
      </c>
      <c r="B11" s="490">
        <v>1.1000000000000001</v>
      </c>
      <c r="C11" s="493"/>
      <c r="D11" s="493"/>
    </row>
    <row r="12" spans="1:4">
      <c r="A12" s="488" t="s">
        <v>2054</v>
      </c>
      <c r="B12" s="490">
        <v>1.1000000000000001</v>
      </c>
      <c r="C12" s="484"/>
      <c r="D12" s="484"/>
    </row>
    <row r="13" spans="1:4">
      <c r="A13" s="486"/>
      <c r="B13" s="486"/>
      <c r="C13" s="486"/>
      <c r="D13" s="486"/>
    </row>
    <row r="14" spans="1:4" ht="15.75">
      <c r="A14" s="997" t="s">
        <v>125</v>
      </c>
      <c r="B14" s="998"/>
      <c r="C14" s="998"/>
      <c r="D14" s="999"/>
    </row>
    <row r="15" spans="1:4" ht="22.5">
      <c r="A15" s="498" t="s">
        <v>511</v>
      </c>
      <c r="B15" s="497" t="s">
        <v>2016</v>
      </c>
      <c r="C15" s="482"/>
      <c r="D15" s="482"/>
    </row>
    <row r="16" spans="1:4">
      <c r="A16" s="488" t="s">
        <v>2017</v>
      </c>
      <c r="B16" s="490">
        <v>0.6</v>
      </c>
      <c r="C16" s="484"/>
      <c r="D16" s="484"/>
    </row>
    <row r="17" spans="1:4">
      <c r="A17" s="486"/>
      <c r="B17" s="486"/>
      <c r="C17" s="486"/>
      <c r="D17" s="486"/>
    </row>
    <row r="18" spans="1:4" ht="15.75">
      <c r="A18" s="997" t="s">
        <v>2018</v>
      </c>
      <c r="B18" s="998"/>
      <c r="C18" s="998"/>
      <c r="D18" s="999"/>
    </row>
    <row r="19" spans="1:4" ht="22.5">
      <c r="A19" s="498" t="s">
        <v>511</v>
      </c>
      <c r="B19" s="498" t="s">
        <v>186</v>
      </c>
      <c r="C19" s="504" t="s">
        <v>2019</v>
      </c>
      <c r="D19" s="498" t="s">
        <v>2012</v>
      </c>
    </row>
    <row r="20" spans="1:4">
      <c r="A20" s="488" t="s">
        <v>2020</v>
      </c>
      <c r="B20" s="494">
        <v>0</v>
      </c>
      <c r="C20" s="437">
        <v>0</v>
      </c>
      <c r="D20" s="495">
        <f>+$B$6-C20</f>
        <v>4</v>
      </c>
    </row>
    <row r="21" spans="1:4">
      <c r="A21" s="488" t="s">
        <v>2021</v>
      </c>
      <c r="B21" s="496">
        <v>0.2</v>
      </c>
      <c r="C21" s="437">
        <f>+B6*B21</f>
        <v>0.8</v>
      </c>
      <c r="D21" s="495">
        <f>+$B$6-C21</f>
        <v>3.2</v>
      </c>
    </row>
    <row r="22" spans="1:4">
      <c r="A22" s="488" t="s">
        <v>2022</v>
      </c>
      <c r="B22" s="496">
        <v>0.3</v>
      </c>
      <c r="C22" s="437">
        <f>+$B$7*B22</f>
        <v>1.2</v>
      </c>
      <c r="D22" s="495">
        <f>+$B$6-C22</f>
        <v>2.8</v>
      </c>
    </row>
    <row r="23" spans="1:4">
      <c r="A23" s="488" t="s">
        <v>2023</v>
      </c>
      <c r="B23" s="496">
        <v>0.4</v>
      </c>
      <c r="C23" s="437">
        <f>+$B$7*B23</f>
        <v>1.6</v>
      </c>
      <c r="D23" s="495">
        <f>+$B$6-C23</f>
        <v>2.4</v>
      </c>
    </row>
    <row r="24" spans="1:4">
      <c r="A24" s="488" t="s">
        <v>2024</v>
      </c>
      <c r="B24" s="496">
        <v>0.45</v>
      </c>
      <c r="C24" s="437">
        <f>+$B$7*B24</f>
        <v>1.8</v>
      </c>
      <c r="D24" s="495">
        <f>+$B$6-C24</f>
        <v>2.2000000000000002</v>
      </c>
    </row>
    <row r="25" spans="1:4">
      <c r="A25" s="486"/>
      <c r="B25" s="486"/>
      <c r="C25" s="486"/>
      <c r="D25" s="486"/>
    </row>
    <row r="26" spans="1:4" ht="15.75">
      <c r="A26" s="997" t="s">
        <v>2025</v>
      </c>
      <c r="B26" s="998"/>
      <c r="C26" s="998"/>
      <c r="D26" s="999"/>
    </row>
    <row r="27" spans="1:4" ht="22.5">
      <c r="A27" s="498" t="s">
        <v>511</v>
      </c>
      <c r="B27" s="498" t="s">
        <v>186</v>
      </c>
      <c r="C27" s="504" t="s">
        <v>2026</v>
      </c>
      <c r="D27" s="504" t="s">
        <v>2016</v>
      </c>
    </row>
    <row r="28" spans="1:4">
      <c r="A28" s="437" t="s">
        <v>2052</v>
      </c>
      <c r="B28" s="496">
        <v>0.3</v>
      </c>
      <c r="C28" s="437">
        <f>+$B$16*B28</f>
        <v>0.18</v>
      </c>
      <c r="D28" s="494">
        <f>+$B$16-C28</f>
        <v>0.42</v>
      </c>
    </row>
    <row r="29" spans="1:4">
      <c r="A29" s="499" t="s">
        <v>2027</v>
      </c>
      <c r="B29" s="496">
        <v>0.25</v>
      </c>
      <c r="C29" s="437">
        <f>+$B$16*B29</f>
        <v>0.15</v>
      </c>
      <c r="D29" s="494">
        <f>+$B$16-C29</f>
        <v>0.44999999999999996</v>
      </c>
    </row>
    <row r="30" spans="1:4">
      <c r="A30" s="499" t="s">
        <v>2028</v>
      </c>
      <c r="B30" s="496">
        <v>0.2</v>
      </c>
      <c r="C30" s="437">
        <f>+$B$16*B30</f>
        <v>0.12</v>
      </c>
      <c r="D30" s="494">
        <f>+$B$16-C30</f>
        <v>0.48</v>
      </c>
    </row>
    <row r="31" spans="1:4">
      <c r="A31" s="499" t="s">
        <v>2029</v>
      </c>
      <c r="B31" s="500">
        <v>0</v>
      </c>
      <c r="C31" s="437">
        <f>+$B$16*B31</f>
        <v>0</v>
      </c>
      <c r="D31" s="494">
        <f>+$B$16-C31</f>
        <v>0.6</v>
      </c>
    </row>
    <row r="32" spans="1:4">
      <c r="A32" s="486"/>
      <c r="B32" s="486"/>
      <c r="C32" s="486"/>
      <c r="D32" s="486"/>
    </row>
    <row r="33" spans="1:4" ht="15.75">
      <c r="A33" s="997" t="s">
        <v>2053</v>
      </c>
      <c r="B33" s="998"/>
      <c r="C33" s="998"/>
      <c r="D33" s="999"/>
    </row>
    <row r="34" spans="1:4" ht="22.5">
      <c r="A34" s="498" t="s">
        <v>511</v>
      </c>
      <c r="B34" s="498" t="s">
        <v>2030</v>
      </c>
      <c r="C34" s="504" t="s">
        <v>2031</v>
      </c>
      <c r="D34" s="504"/>
    </row>
    <row r="35" spans="1:4">
      <c r="A35" s="437" t="s">
        <v>2032</v>
      </c>
      <c r="B35" s="501">
        <v>15</v>
      </c>
      <c r="C35" s="500">
        <v>0</v>
      </c>
      <c r="D35" s="485"/>
    </row>
    <row r="36" spans="1:4">
      <c r="A36" s="499" t="s">
        <v>2033</v>
      </c>
      <c r="B36" s="496"/>
      <c r="C36" s="502">
        <v>0.01</v>
      </c>
      <c r="D36" s="485"/>
    </row>
    <row r="37" spans="1:4">
      <c r="A37" s="499" t="s">
        <v>2034</v>
      </c>
      <c r="B37" s="496"/>
      <c r="C37" s="502">
        <v>0.02</v>
      </c>
      <c r="D37" s="485"/>
    </row>
    <row r="38" spans="1:4">
      <c r="A38" s="486"/>
      <c r="B38" s="487"/>
      <c r="C38" s="486"/>
      <c r="D38" s="486"/>
    </row>
    <row r="39" spans="1:4" ht="15.75">
      <c r="A39" s="997" t="s">
        <v>2035</v>
      </c>
      <c r="B39" s="998"/>
      <c r="C39" s="998"/>
      <c r="D39" s="999"/>
    </row>
    <row r="40" spans="1:4" ht="22.5">
      <c r="A40" s="498" t="s">
        <v>511</v>
      </c>
      <c r="B40" s="498" t="s">
        <v>2030</v>
      </c>
      <c r="C40" s="504" t="s">
        <v>2031</v>
      </c>
      <c r="D40" s="506"/>
    </row>
    <row r="41" spans="1:4">
      <c r="A41" s="437" t="s">
        <v>2032</v>
      </c>
      <c r="B41" s="501">
        <v>7</v>
      </c>
      <c r="C41" s="500">
        <v>0</v>
      </c>
      <c r="D41" s="494"/>
    </row>
    <row r="42" spans="1:4">
      <c r="A42" s="499" t="s">
        <v>2036</v>
      </c>
      <c r="B42" s="496"/>
      <c r="C42" s="503">
        <v>6.0000000000000001E-3</v>
      </c>
      <c r="D42" s="494"/>
    </row>
    <row r="43" spans="1:4">
      <c r="A43" s="499" t="s">
        <v>2037</v>
      </c>
      <c r="B43" s="496"/>
      <c r="C43" s="503">
        <v>7.4999999999999997E-3</v>
      </c>
      <c r="D43" s="494"/>
    </row>
    <row r="44" spans="1:4">
      <c r="A44" s="499" t="s">
        <v>2038</v>
      </c>
      <c r="B44" s="496"/>
      <c r="C44" s="503">
        <v>0.01</v>
      </c>
      <c r="D44" s="494"/>
    </row>
    <row r="45" spans="1:4">
      <c r="A45" s="499" t="s">
        <v>2039</v>
      </c>
      <c r="B45" s="496"/>
      <c r="C45" s="503">
        <v>1.2999999999999999E-2</v>
      </c>
      <c r="D45" s="494"/>
    </row>
    <row r="46" spans="1:4">
      <c r="A46" s="486"/>
      <c r="B46" s="487"/>
      <c r="C46" s="486"/>
      <c r="D46" s="486"/>
    </row>
    <row r="47" spans="1:4" ht="15.75">
      <c r="A47" s="997" t="s">
        <v>2040</v>
      </c>
      <c r="B47" s="998"/>
      <c r="C47" s="998"/>
      <c r="D47" s="999"/>
    </row>
    <row r="48" spans="1:4" ht="22.5" customHeight="1">
      <c r="A48" s="498" t="s">
        <v>511</v>
      </c>
      <c r="B48" s="498" t="s">
        <v>379</v>
      </c>
      <c r="C48" s="504" t="s">
        <v>2041</v>
      </c>
      <c r="D48" s="506"/>
    </row>
    <row r="49" spans="1:4">
      <c r="A49" s="437" t="s">
        <v>2042</v>
      </c>
      <c r="B49" s="501" t="s">
        <v>2043</v>
      </c>
      <c r="C49" s="489">
        <v>4.8</v>
      </c>
      <c r="D49" s="494"/>
    </row>
    <row r="50" spans="1:4">
      <c r="A50" s="499" t="s">
        <v>2044</v>
      </c>
      <c r="B50" s="496" t="s">
        <v>2045</v>
      </c>
      <c r="C50" s="489">
        <v>0.3</v>
      </c>
      <c r="D50" s="494"/>
    </row>
    <row r="51" spans="1:4">
      <c r="A51" s="499" t="s">
        <v>2046</v>
      </c>
      <c r="B51" s="496" t="s">
        <v>2043</v>
      </c>
      <c r="C51" s="489">
        <v>20</v>
      </c>
      <c r="D51" s="494"/>
    </row>
    <row r="52" spans="1:4">
      <c r="A52" s="499" t="s">
        <v>2047</v>
      </c>
      <c r="B52" s="496" t="s">
        <v>787</v>
      </c>
      <c r="C52" s="489">
        <v>1.5</v>
      </c>
      <c r="D52" s="494"/>
    </row>
    <row r="53" spans="1:4">
      <c r="A53" s="499" t="s">
        <v>2048</v>
      </c>
      <c r="B53" s="496" t="s">
        <v>2049</v>
      </c>
      <c r="C53" s="489">
        <v>10</v>
      </c>
      <c r="D53" s="494"/>
    </row>
    <row r="54" spans="1:4">
      <c r="A54" s="499" t="s">
        <v>2050</v>
      </c>
      <c r="B54" s="496" t="s">
        <v>2049</v>
      </c>
      <c r="C54" s="489">
        <v>20</v>
      </c>
      <c r="D54" s="494"/>
    </row>
    <row r="55" spans="1:4">
      <c r="A55" s="499" t="s">
        <v>2051</v>
      </c>
      <c r="B55" s="496" t="s">
        <v>787</v>
      </c>
      <c r="C55" s="489">
        <v>30</v>
      </c>
      <c r="D55" s="494"/>
    </row>
  </sheetData>
  <sheetProtection algorithmName="SHA-512" hashValue="ZQg9vfaDekMhm5RkD8LA4P3o8DQwQ7sEOuqBYWBxmB1syY/QDevDoYOKR6J7tRfxlQq9yiO7rOLHoaP6LAZcVQ==" saltValue="YBCzclAEj93xEpqjAItpyw==" spinCount="100000" sheet="1" objects="1" scenarios="1"/>
  <mergeCells count="10">
    <mergeCell ref="A39:D39"/>
    <mergeCell ref="A47:D47"/>
    <mergeCell ref="A1:D1"/>
    <mergeCell ref="A2:D2"/>
    <mergeCell ref="A4:D4"/>
    <mergeCell ref="A9:D9"/>
    <mergeCell ref="A14:D14"/>
    <mergeCell ref="A18:D18"/>
    <mergeCell ref="A26:D26"/>
    <mergeCell ref="A33:D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</sheetPr>
  <dimension ref="A1:F28"/>
  <sheetViews>
    <sheetView view="pageBreakPreview" zoomScaleNormal="100" zoomScaleSheetLayoutView="100" workbookViewId="0">
      <selection activeCell="D21" sqref="D21"/>
    </sheetView>
  </sheetViews>
  <sheetFormatPr baseColWidth="10" defaultRowHeight="14.25"/>
  <cols>
    <col min="1" max="1" width="57.7109375" style="17" bestFit="1" customWidth="1"/>
    <col min="2" max="2" width="12.85546875" style="17" bestFit="1" customWidth="1"/>
    <col min="3" max="3" width="7.7109375" style="17" customWidth="1"/>
    <col min="4" max="4" width="17.85546875" style="17" bestFit="1" customWidth="1"/>
    <col min="5" max="5" width="9.140625" style="17" customWidth="1"/>
    <col min="6" max="6" width="12.5703125" style="73" customWidth="1"/>
    <col min="7" max="16384" width="11.42578125" style="17"/>
  </cols>
  <sheetData>
    <row r="1" spans="1:6" ht="15">
      <c r="A1" s="718" t="s">
        <v>350</v>
      </c>
      <c r="B1" s="718"/>
      <c r="C1" s="718"/>
      <c r="D1" s="718"/>
      <c r="E1" s="718"/>
      <c r="F1" s="718"/>
    </row>
    <row r="2" spans="1:6" ht="15">
      <c r="A2" s="719" t="s">
        <v>351</v>
      </c>
      <c r="B2" s="719"/>
      <c r="C2" s="719"/>
      <c r="D2" s="719"/>
      <c r="E2" s="719"/>
      <c r="F2" s="719"/>
    </row>
    <row r="3" spans="1:6" ht="15">
      <c r="A3" s="81"/>
      <c r="B3" s="82" t="s">
        <v>49</v>
      </c>
      <c r="C3" s="83"/>
      <c r="D3" s="81" t="s">
        <v>124</v>
      </c>
      <c r="E3" s="83"/>
      <c r="F3" s="84" t="s">
        <v>352</v>
      </c>
    </row>
    <row r="4" spans="1:6" ht="15">
      <c r="A4" s="93" t="s">
        <v>634</v>
      </c>
      <c r="B4" s="94"/>
      <c r="C4" s="95"/>
      <c r="D4" s="66"/>
      <c r="E4" s="67"/>
      <c r="F4" s="68"/>
    </row>
    <row r="5" spans="1:6" ht="15">
      <c r="A5" s="85"/>
      <c r="B5" s="86" t="s">
        <v>125</v>
      </c>
      <c r="C5" s="87"/>
      <c r="D5" s="66"/>
      <c r="E5" s="67"/>
      <c r="F5" s="69"/>
    </row>
    <row r="6" spans="1:6">
      <c r="A6" s="66" t="s">
        <v>353</v>
      </c>
      <c r="B6" s="70"/>
      <c r="C6" s="67"/>
      <c r="D6" s="712" t="s">
        <v>354</v>
      </c>
      <c r="E6" s="713"/>
      <c r="F6" s="69">
        <v>0.25</v>
      </c>
    </row>
    <row r="7" spans="1:6">
      <c r="A7" s="66"/>
      <c r="B7" s="70"/>
      <c r="C7" s="67"/>
      <c r="D7" s="88"/>
      <c r="E7" s="89"/>
      <c r="F7" s="69"/>
    </row>
    <row r="8" spans="1:6" ht="15">
      <c r="A8" s="720" t="s">
        <v>50</v>
      </c>
      <c r="B8" s="714"/>
      <c r="C8" s="715"/>
      <c r="D8" s="90"/>
      <c r="E8" s="91"/>
      <c r="F8" s="69"/>
    </row>
    <row r="9" spans="1:6">
      <c r="A9" s="71" t="s">
        <v>355</v>
      </c>
      <c r="B9" s="70"/>
      <c r="C9" s="67"/>
      <c r="D9" s="90" t="s">
        <v>356</v>
      </c>
      <c r="E9" s="91"/>
      <c r="F9" s="69">
        <v>5</v>
      </c>
    </row>
    <row r="10" spans="1:6">
      <c r="A10" s="66"/>
      <c r="B10" s="70"/>
      <c r="C10" s="67"/>
      <c r="D10" s="90"/>
      <c r="E10" s="91"/>
      <c r="F10" s="69"/>
    </row>
    <row r="11" spans="1:6" ht="15">
      <c r="A11" s="720" t="s">
        <v>357</v>
      </c>
      <c r="B11" s="714"/>
      <c r="C11" s="715"/>
      <c r="D11" s="90"/>
      <c r="E11" s="91"/>
      <c r="F11" s="69"/>
    </row>
    <row r="12" spans="1:6">
      <c r="A12" s="66" t="s">
        <v>358</v>
      </c>
      <c r="B12" s="70"/>
      <c r="C12" s="67"/>
      <c r="D12" s="90"/>
      <c r="E12" s="91"/>
      <c r="F12" s="69"/>
    </row>
    <row r="13" spans="1:6">
      <c r="A13" s="66" t="s">
        <v>359</v>
      </c>
      <c r="B13" s="70"/>
      <c r="C13" s="67"/>
      <c r="D13" s="90" t="s">
        <v>108</v>
      </c>
      <c r="E13" s="91"/>
      <c r="F13" s="69">
        <v>1</v>
      </c>
    </row>
    <row r="14" spans="1:6">
      <c r="A14" s="66" t="s">
        <v>360</v>
      </c>
      <c r="B14" s="70"/>
      <c r="C14" s="67"/>
      <c r="D14" s="90" t="s">
        <v>108</v>
      </c>
      <c r="E14" s="91"/>
      <c r="F14" s="69">
        <v>0.8</v>
      </c>
    </row>
    <row r="15" spans="1:6">
      <c r="A15" s="66"/>
      <c r="B15" s="70"/>
      <c r="C15" s="67"/>
      <c r="D15" s="90"/>
      <c r="E15" s="91"/>
      <c r="F15" s="69"/>
    </row>
    <row r="16" spans="1:6" ht="15">
      <c r="A16" s="81" t="s">
        <v>112</v>
      </c>
      <c r="B16" s="82"/>
      <c r="C16" s="83"/>
      <c r="D16" s="90"/>
      <c r="E16" s="91"/>
      <c r="F16" s="69"/>
    </row>
    <row r="17" spans="1:6">
      <c r="A17" s="66" t="s">
        <v>355</v>
      </c>
      <c r="B17" s="70"/>
      <c r="C17" s="67"/>
      <c r="D17" s="90" t="s">
        <v>108</v>
      </c>
      <c r="E17" s="91"/>
      <c r="F17" s="69">
        <v>1</v>
      </c>
    </row>
    <row r="18" spans="1:6">
      <c r="A18" s="66"/>
      <c r="B18" s="70"/>
      <c r="C18" s="67"/>
      <c r="D18" s="90"/>
      <c r="E18" s="91"/>
      <c r="F18" s="69"/>
    </row>
    <row r="19" spans="1:6" ht="15">
      <c r="A19" s="720" t="s">
        <v>361</v>
      </c>
      <c r="B19" s="714"/>
      <c r="C19" s="715"/>
      <c r="D19" s="90"/>
      <c r="E19" s="91"/>
      <c r="F19" s="69"/>
    </row>
    <row r="20" spans="1:6">
      <c r="A20" s="66" t="s">
        <v>362</v>
      </c>
      <c r="B20" s="70"/>
      <c r="C20" s="67"/>
      <c r="D20" s="90" t="s">
        <v>326</v>
      </c>
      <c r="E20" s="91"/>
      <c r="F20" s="69">
        <v>65</v>
      </c>
    </row>
    <row r="21" spans="1:6">
      <c r="A21" s="66" t="s">
        <v>363</v>
      </c>
      <c r="B21" s="70"/>
      <c r="C21" s="67"/>
      <c r="D21" s="90" t="s">
        <v>364</v>
      </c>
      <c r="E21" s="91"/>
      <c r="F21" s="69">
        <v>5.5</v>
      </c>
    </row>
    <row r="22" spans="1:6">
      <c r="A22" s="66" t="s">
        <v>365</v>
      </c>
      <c r="B22" s="70"/>
      <c r="C22" s="67"/>
      <c r="D22" s="90" t="s">
        <v>366</v>
      </c>
      <c r="E22" s="91"/>
      <c r="F22" s="69">
        <v>10</v>
      </c>
    </row>
    <row r="23" spans="1:6">
      <c r="A23" s="66"/>
      <c r="B23" s="70"/>
      <c r="C23" s="67"/>
      <c r="D23" s="90"/>
      <c r="E23" s="91"/>
      <c r="F23" s="69"/>
    </row>
    <row r="24" spans="1:6" ht="15">
      <c r="A24" s="714" t="s">
        <v>367</v>
      </c>
      <c r="B24" s="714"/>
      <c r="C24" s="715"/>
      <c r="D24" s="90"/>
      <c r="E24" s="91"/>
      <c r="F24" s="69"/>
    </row>
    <row r="25" spans="1:6">
      <c r="A25" s="66" t="s">
        <v>368</v>
      </c>
      <c r="B25" s="70"/>
      <c r="C25" s="67"/>
      <c r="D25" s="90" t="s">
        <v>369</v>
      </c>
      <c r="E25" s="91"/>
      <c r="F25" s="69">
        <v>4</v>
      </c>
    </row>
    <row r="26" spans="1:6">
      <c r="A26" s="66" t="s">
        <v>272</v>
      </c>
      <c r="B26" s="70"/>
      <c r="C26" s="67"/>
      <c r="D26" s="92" t="s">
        <v>370</v>
      </c>
      <c r="E26" s="91"/>
      <c r="F26" s="72">
        <v>3.0000000000000001E-3</v>
      </c>
    </row>
    <row r="27" spans="1:6">
      <c r="A27" s="66" t="s">
        <v>633</v>
      </c>
      <c r="B27" s="70"/>
      <c r="C27" s="67"/>
      <c r="D27" s="716" t="s">
        <v>326</v>
      </c>
      <c r="E27" s="717"/>
      <c r="F27" s="69">
        <v>110</v>
      </c>
    </row>
    <row r="28" spans="1:6">
      <c r="A28" s="66"/>
      <c r="B28" s="70"/>
      <c r="C28" s="67"/>
      <c r="D28" s="66"/>
      <c r="E28" s="67"/>
      <c r="F28" s="69"/>
    </row>
  </sheetData>
  <sheetProtection algorithmName="SHA-512" hashValue="aTOCEASl9Oy7XRkRH5sjH0Awv7N1idqBR41ZEO3xunRMz4HeZnPQVfu5wD9nj+uGduhUphCOXmDvZ4eK22dIhw==" saltValue="LkntktrEVh4czo/pndCqjg==" spinCount="100000" sheet="1" objects="1" scenarios="1"/>
  <mergeCells count="8">
    <mergeCell ref="D6:E6"/>
    <mergeCell ref="A24:C24"/>
    <mergeCell ref="D27:E27"/>
    <mergeCell ref="A1:F1"/>
    <mergeCell ref="A2:F2"/>
    <mergeCell ref="A11:C11"/>
    <mergeCell ref="A8:C8"/>
    <mergeCell ref="A19:C19"/>
  </mergeCells>
  <pageMargins left="0.70866141732283472" right="0.70866141732283472" top="0.74803149606299213" bottom="0.74803149606299213" header="0.31496062992125984" footer="0.31496062992125984"/>
  <pageSetup scale="75" orientation="portrait" horizontalDpi="300" verticalDpi="300" r:id="rId1"/>
  <customProperties>
    <customPr name="DVSECTION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17"/>
  <sheetViews>
    <sheetView workbookViewId="0">
      <selection activeCell="G11" sqref="G11"/>
    </sheetView>
  </sheetViews>
  <sheetFormatPr baseColWidth="10" defaultRowHeight="12.75"/>
  <cols>
    <col min="1" max="1" width="45.85546875" customWidth="1"/>
    <col min="2" max="2" width="27.140625" customWidth="1"/>
    <col min="3" max="3" width="26" customWidth="1"/>
    <col min="257" max="257" width="45.85546875" customWidth="1"/>
    <col min="258" max="258" width="27.140625" customWidth="1"/>
    <col min="259" max="259" width="26" customWidth="1"/>
    <col min="513" max="513" width="45.85546875" customWidth="1"/>
    <col min="514" max="514" width="27.140625" customWidth="1"/>
    <col min="515" max="515" width="26" customWidth="1"/>
    <col min="769" max="769" width="45.85546875" customWidth="1"/>
    <col min="770" max="770" width="27.140625" customWidth="1"/>
    <col min="771" max="771" width="26" customWidth="1"/>
    <col min="1025" max="1025" width="45.85546875" customWidth="1"/>
    <col min="1026" max="1026" width="27.140625" customWidth="1"/>
    <col min="1027" max="1027" width="26" customWidth="1"/>
    <col min="1281" max="1281" width="45.85546875" customWidth="1"/>
    <col min="1282" max="1282" width="27.140625" customWidth="1"/>
    <col min="1283" max="1283" width="26" customWidth="1"/>
    <col min="1537" max="1537" width="45.85546875" customWidth="1"/>
    <col min="1538" max="1538" width="27.140625" customWidth="1"/>
    <col min="1539" max="1539" width="26" customWidth="1"/>
    <col min="1793" max="1793" width="45.85546875" customWidth="1"/>
    <col min="1794" max="1794" width="27.140625" customWidth="1"/>
    <col min="1795" max="1795" width="26" customWidth="1"/>
    <col min="2049" max="2049" width="45.85546875" customWidth="1"/>
    <col min="2050" max="2050" width="27.140625" customWidth="1"/>
    <col min="2051" max="2051" width="26" customWidth="1"/>
    <col min="2305" max="2305" width="45.85546875" customWidth="1"/>
    <col min="2306" max="2306" width="27.140625" customWidth="1"/>
    <col min="2307" max="2307" width="26" customWidth="1"/>
    <col min="2561" max="2561" width="45.85546875" customWidth="1"/>
    <col min="2562" max="2562" width="27.140625" customWidth="1"/>
    <col min="2563" max="2563" width="26" customWidth="1"/>
    <col min="2817" max="2817" width="45.85546875" customWidth="1"/>
    <col min="2818" max="2818" width="27.140625" customWidth="1"/>
    <col min="2819" max="2819" width="26" customWidth="1"/>
    <col min="3073" max="3073" width="45.85546875" customWidth="1"/>
    <col min="3074" max="3074" width="27.140625" customWidth="1"/>
    <col min="3075" max="3075" width="26" customWidth="1"/>
    <col min="3329" max="3329" width="45.85546875" customWidth="1"/>
    <col min="3330" max="3330" width="27.140625" customWidth="1"/>
    <col min="3331" max="3331" width="26" customWidth="1"/>
    <col min="3585" max="3585" width="45.85546875" customWidth="1"/>
    <col min="3586" max="3586" width="27.140625" customWidth="1"/>
    <col min="3587" max="3587" width="26" customWidth="1"/>
    <col min="3841" max="3841" width="45.85546875" customWidth="1"/>
    <col min="3842" max="3842" width="27.140625" customWidth="1"/>
    <col min="3843" max="3843" width="26" customWidth="1"/>
    <col min="4097" max="4097" width="45.85546875" customWidth="1"/>
    <col min="4098" max="4098" width="27.140625" customWidth="1"/>
    <col min="4099" max="4099" width="26" customWidth="1"/>
    <col min="4353" max="4353" width="45.85546875" customWidth="1"/>
    <col min="4354" max="4354" width="27.140625" customWidth="1"/>
    <col min="4355" max="4355" width="26" customWidth="1"/>
    <col min="4609" max="4609" width="45.85546875" customWidth="1"/>
    <col min="4610" max="4610" width="27.140625" customWidth="1"/>
    <col min="4611" max="4611" width="26" customWidth="1"/>
    <col min="4865" max="4865" width="45.85546875" customWidth="1"/>
    <col min="4866" max="4866" width="27.140625" customWidth="1"/>
    <col min="4867" max="4867" width="26" customWidth="1"/>
    <col min="5121" max="5121" width="45.85546875" customWidth="1"/>
    <col min="5122" max="5122" width="27.140625" customWidth="1"/>
    <col min="5123" max="5123" width="26" customWidth="1"/>
    <col min="5377" max="5377" width="45.85546875" customWidth="1"/>
    <col min="5378" max="5378" width="27.140625" customWidth="1"/>
    <col min="5379" max="5379" width="26" customWidth="1"/>
    <col min="5633" max="5633" width="45.85546875" customWidth="1"/>
    <col min="5634" max="5634" width="27.140625" customWidth="1"/>
    <col min="5635" max="5635" width="26" customWidth="1"/>
    <col min="5889" max="5889" width="45.85546875" customWidth="1"/>
    <col min="5890" max="5890" width="27.140625" customWidth="1"/>
    <col min="5891" max="5891" width="26" customWidth="1"/>
    <col min="6145" max="6145" width="45.85546875" customWidth="1"/>
    <col min="6146" max="6146" width="27.140625" customWidth="1"/>
    <col min="6147" max="6147" width="26" customWidth="1"/>
    <col min="6401" max="6401" width="45.85546875" customWidth="1"/>
    <col min="6402" max="6402" width="27.140625" customWidth="1"/>
    <col min="6403" max="6403" width="26" customWidth="1"/>
    <col min="6657" max="6657" width="45.85546875" customWidth="1"/>
    <col min="6658" max="6658" width="27.140625" customWidth="1"/>
    <col min="6659" max="6659" width="26" customWidth="1"/>
    <col min="6913" max="6913" width="45.85546875" customWidth="1"/>
    <col min="6914" max="6914" width="27.140625" customWidth="1"/>
    <col min="6915" max="6915" width="26" customWidth="1"/>
    <col min="7169" max="7169" width="45.85546875" customWidth="1"/>
    <col min="7170" max="7170" width="27.140625" customWidth="1"/>
    <col min="7171" max="7171" width="26" customWidth="1"/>
    <col min="7425" max="7425" width="45.85546875" customWidth="1"/>
    <col min="7426" max="7426" width="27.140625" customWidth="1"/>
    <col min="7427" max="7427" width="26" customWidth="1"/>
    <col min="7681" max="7681" width="45.85546875" customWidth="1"/>
    <col min="7682" max="7682" width="27.140625" customWidth="1"/>
    <col min="7683" max="7683" width="26" customWidth="1"/>
    <col min="7937" max="7937" width="45.85546875" customWidth="1"/>
    <col min="7938" max="7938" width="27.140625" customWidth="1"/>
    <col min="7939" max="7939" width="26" customWidth="1"/>
    <col min="8193" max="8193" width="45.85546875" customWidth="1"/>
    <col min="8194" max="8194" width="27.140625" customWidth="1"/>
    <col min="8195" max="8195" width="26" customWidth="1"/>
    <col min="8449" max="8449" width="45.85546875" customWidth="1"/>
    <col min="8450" max="8450" width="27.140625" customWidth="1"/>
    <col min="8451" max="8451" width="26" customWidth="1"/>
    <col min="8705" max="8705" width="45.85546875" customWidth="1"/>
    <col min="8706" max="8706" width="27.140625" customWidth="1"/>
    <col min="8707" max="8707" width="26" customWidth="1"/>
    <col min="8961" max="8961" width="45.85546875" customWidth="1"/>
    <col min="8962" max="8962" width="27.140625" customWidth="1"/>
    <col min="8963" max="8963" width="26" customWidth="1"/>
    <col min="9217" max="9217" width="45.85546875" customWidth="1"/>
    <col min="9218" max="9218" width="27.140625" customWidth="1"/>
    <col min="9219" max="9219" width="26" customWidth="1"/>
    <col min="9473" max="9473" width="45.85546875" customWidth="1"/>
    <col min="9474" max="9474" width="27.140625" customWidth="1"/>
    <col min="9475" max="9475" width="26" customWidth="1"/>
    <col min="9729" max="9729" width="45.85546875" customWidth="1"/>
    <col min="9730" max="9730" width="27.140625" customWidth="1"/>
    <col min="9731" max="9731" width="26" customWidth="1"/>
    <col min="9985" max="9985" width="45.85546875" customWidth="1"/>
    <col min="9986" max="9986" width="27.140625" customWidth="1"/>
    <col min="9987" max="9987" width="26" customWidth="1"/>
    <col min="10241" max="10241" width="45.85546875" customWidth="1"/>
    <col min="10242" max="10242" width="27.140625" customWidth="1"/>
    <col min="10243" max="10243" width="26" customWidth="1"/>
    <col min="10497" max="10497" width="45.85546875" customWidth="1"/>
    <col min="10498" max="10498" width="27.140625" customWidth="1"/>
    <col min="10499" max="10499" width="26" customWidth="1"/>
    <col min="10753" max="10753" width="45.85546875" customWidth="1"/>
    <col min="10754" max="10754" width="27.140625" customWidth="1"/>
    <col min="10755" max="10755" width="26" customWidth="1"/>
    <col min="11009" max="11009" width="45.85546875" customWidth="1"/>
    <col min="11010" max="11010" width="27.140625" customWidth="1"/>
    <col min="11011" max="11011" width="26" customWidth="1"/>
    <col min="11265" max="11265" width="45.85546875" customWidth="1"/>
    <col min="11266" max="11266" width="27.140625" customWidth="1"/>
    <col min="11267" max="11267" width="26" customWidth="1"/>
    <col min="11521" max="11521" width="45.85546875" customWidth="1"/>
    <col min="11522" max="11522" width="27.140625" customWidth="1"/>
    <col min="11523" max="11523" width="26" customWidth="1"/>
    <col min="11777" max="11777" width="45.85546875" customWidth="1"/>
    <col min="11778" max="11778" width="27.140625" customWidth="1"/>
    <col min="11779" max="11779" width="26" customWidth="1"/>
    <col min="12033" max="12033" width="45.85546875" customWidth="1"/>
    <col min="12034" max="12034" width="27.140625" customWidth="1"/>
    <col min="12035" max="12035" width="26" customWidth="1"/>
    <col min="12289" max="12289" width="45.85546875" customWidth="1"/>
    <col min="12290" max="12290" width="27.140625" customWidth="1"/>
    <col min="12291" max="12291" width="26" customWidth="1"/>
    <col min="12545" max="12545" width="45.85546875" customWidth="1"/>
    <col min="12546" max="12546" width="27.140625" customWidth="1"/>
    <col min="12547" max="12547" width="26" customWidth="1"/>
    <col min="12801" max="12801" width="45.85546875" customWidth="1"/>
    <col min="12802" max="12802" width="27.140625" customWidth="1"/>
    <col min="12803" max="12803" width="26" customWidth="1"/>
    <col min="13057" max="13057" width="45.85546875" customWidth="1"/>
    <col min="13058" max="13058" width="27.140625" customWidth="1"/>
    <col min="13059" max="13059" width="26" customWidth="1"/>
    <col min="13313" max="13313" width="45.85546875" customWidth="1"/>
    <col min="13314" max="13314" width="27.140625" customWidth="1"/>
    <col min="13315" max="13315" width="26" customWidth="1"/>
    <col min="13569" max="13569" width="45.85546875" customWidth="1"/>
    <col min="13570" max="13570" width="27.140625" customWidth="1"/>
    <col min="13571" max="13571" width="26" customWidth="1"/>
    <col min="13825" max="13825" width="45.85546875" customWidth="1"/>
    <col min="13826" max="13826" width="27.140625" customWidth="1"/>
    <col min="13827" max="13827" width="26" customWidth="1"/>
    <col min="14081" max="14081" width="45.85546875" customWidth="1"/>
    <col min="14082" max="14082" width="27.140625" customWidth="1"/>
    <col min="14083" max="14083" width="26" customWidth="1"/>
    <col min="14337" max="14337" width="45.85546875" customWidth="1"/>
    <col min="14338" max="14338" width="27.140625" customWidth="1"/>
    <col min="14339" max="14339" width="26" customWidth="1"/>
    <col min="14593" max="14593" width="45.85546875" customWidth="1"/>
    <col min="14594" max="14594" width="27.140625" customWidth="1"/>
    <col min="14595" max="14595" width="26" customWidth="1"/>
    <col min="14849" max="14849" width="45.85546875" customWidth="1"/>
    <col min="14850" max="14850" width="27.140625" customWidth="1"/>
    <col min="14851" max="14851" width="26" customWidth="1"/>
    <col min="15105" max="15105" width="45.85546875" customWidth="1"/>
    <col min="15106" max="15106" width="27.140625" customWidth="1"/>
    <col min="15107" max="15107" width="26" customWidth="1"/>
    <col min="15361" max="15361" width="45.85546875" customWidth="1"/>
    <col min="15362" max="15362" width="27.140625" customWidth="1"/>
    <col min="15363" max="15363" width="26" customWidth="1"/>
    <col min="15617" max="15617" width="45.85546875" customWidth="1"/>
    <col min="15618" max="15618" width="27.140625" customWidth="1"/>
    <col min="15619" max="15619" width="26" customWidth="1"/>
    <col min="15873" max="15873" width="45.85546875" customWidth="1"/>
    <col min="15874" max="15874" width="27.140625" customWidth="1"/>
    <col min="15875" max="15875" width="26" customWidth="1"/>
    <col min="16129" max="16129" width="45.85546875" customWidth="1"/>
    <col min="16130" max="16130" width="27.140625" customWidth="1"/>
    <col min="16131" max="16131" width="26" customWidth="1"/>
  </cols>
  <sheetData>
    <row r="1" spans="1:3" ht="15">
      <c r="A1" s="680" t="s">
        <v>2057</v>
      </c>
      <c r="B1" s="680"/>
      <c r="C1" s="680"/>
    </row>
    <row r="2" spans="1:3" ht="15">
      <c r="A2" s="680" t="s">
        <v>2058</v>
      </c>
      <c r="B2" s="680"/>
      <c r="C2" s="680"/>
    </row>
    <row r="3" spans="1:3" ht="14.25">
      <c r="A3" s="799"/>
      <c r="B3" s="799"/>
      <c r="C3" s="799"/>
    </row>
    <row r="4" spans="1:3" ht="21" customHeight="1">
      <c r="A4" s="510" t="s">
        <v>49</v>
      </c>
      <c r="B4" s="510" t="s">
        <v>124</v>
      </c>
      <c r="C4" s="511" t="s">
        <v>75</v>
      </c>
    </row>
    <row r="5" spans="1:3" ht="15">
      <c r="A5" s="512" t="s">
        <v>125</v>
      </c>
      <c r="B5" s="169"/>
      <c r="C5" s="507"/>
    </row>
    <row r="6" spans="1:3" ht="14.25">
      <c r="A6" s="6" t="s">
        <v>213</v>
      </c>
      <c r="B6" s="508" t="s">
        <v>2059</v>
      </c>
      <c r="C6" s="148">
        <v>0.52</v>
      </c>
    </row>
    <row r="7" spans="1:3">
      <c r="A7" s="1000" t="s">
        <v>2060</v>
      </c>
      <c r="B7" s="1000"/>
      <c r="C7" s="513" t="s">
        <v>75</v>
      </c>
    </row>
    <row r="8" spans="1:3" ht="14.25">
      <c r="A8" s="6" t="s">
        <v>2061</v>
      </c>
      <c r="B8" s="508" t="s">
        <v>56</v>
      </c>
      <c r="C8" s="148">
        <v>4.5</v>
      </c>
    </row>
    <row r="9" spans="1:3" ht="14.25">
      <c r="A9" s="860"/>
      <c r="B9" s="861"/>
      <c r="C9" s="862"/>
    </row>
    <row r="10" spans="1:3" ht="15">
      <c r="A10" s="1000" t="s">
        <v>2062</v>
      </c>
      <c r="B10" s="1000"/>
      <c r="C10" s="507" t="s">
        <v>75</v>
      </c>
    </row>
    <row r="11" spans="1:3" ht="14.25">
      <c r="A11" s="6" t="s">
        <v>2061</v>
      </c>
      <c r="B11" s="508" t="s">
        <v>56</v>
      </c>
      <c r="C11" s="148">
        <v>1</v>
      </c>
    </row>
    <row r="12" spans="1:3" ht="14.25">
      <c r="A12" s="6" t="s">
        <v>210</v>
      </c>
      <c r="B12" s="508" t="s">
        <v>96</v>
      </c>
      <c r="C12" s="148">
        <v>50</v>
      </c>
    </row>
    <row r="13" spans="1:3" ht="14.25">
      <c r="A13" s="6" t="s">
        <v>131</v>
      </c>
      <c r="B13" s="508" t="s">
        <v>96</v>
      </c>
      <c r="C13" s="148">
        <v>90</v>
      </c>
    </row>
    <row r="14" spans="1:3" ht="14.25">
      <c r="A14" s="860"/>
      <c r="B14" s="861"/>
      <c r="C14" s="862"/>
    </row>
    <row r="15" spans="1:3">
      <c r="A15" s="974" t="s">
        <v>2063</v>
      </c>
      <c r="B15" s="976"/>
      <c r="C15" s="513" t="s">
        <v>75</v>
      </c>
    </row>
    <row r="16" spans="1:3" ht="14.25">
      <c r="A16" s="6" t="s">
        <v>2061</v>
      </c>
      <c r="B16" s="508" t="s">
        <v>1589</v>
      </c>
      <c r="C16" s="347">
        <v>0.3</v>
      </c>
    </row>
    <row r="17" spans="1:3" ht="14.25">
      <c r="A17" s="860"/>
      <c r="B17" s="861"/>
      <c r="C17" s="862"/>
    </row>
  </sheetData>
  <sheetProtection algorithmName="SHA-512" hashValue="39DLW+3TLnXuRs44gYady8OH8xmNk39Zl+CONR5TefUFFnTvyX0AMnMiI2D0TAKIWfvIUhoksh73nudgRcMNPw==" saltValue="PFou7Mt6N3FTUyZfSweZfg==" spinCount="100000" sheet="1" objects="1" scenarios="1"/>
  <mergeCells count="9">
    <mergeCell ref="A14:C14"/>
    <mergeCell ref="A15:B15"/>
    <mergeCell ref="A17:C17"/>
    <mergeCell ref="A1:C1"/>
    <mergeCell ref="A2:C2"/>
    <mergeCell ref="A3:C3"/>
    <mergeCell ref="A7:B7"/>
    <mergeCell ref="A9:C9"/>
    <mergeCell ref="A10:B1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73"/>
  <sheetViews>
    <sheetView workbookViewId="0">
      <selection activeCell="J7" sqref="J7"/>
    </sheetView>
  </sheetViews>
  <sheetFormatPr baseColWidth="10" defaultRowHeight="14.25"/>
  <cols>
    <col min="1" max="1" width="58.42578125" style="123" customWidth="1"/>
    <col min="2" max="2" width="17.140625" style="123" bestFit="1" customWidth="1"/>
    <col min="3" max="3" width="25.85546875" style="123" customWidth="1"/>
    <col min="4" max="4" width="15" style="131" hidden="1" customWidth="1"/>
    <col min="5" max="5" width="27.85546875" style="123" hidden="1" customWidth="1"/>
    <col min="6" max="6" width="11.42578125" style="123"/>
    <col min="7" max="7" width="22.5703125" style="123" customWidth="1"/>
    <col min="8" max="16384" width="11.42578125" style="123"/>
  </cols>
  <sheetData>
    <row r="1" spans="1:10" ht="15">
      <c r="A1" s="1012" t="s">
        <v>2302</v>
      </c>
      <c r="B1" s="1012"/>
      <c r="C1" s="1012"/>
      <c r="D1" s="1012"/>
      <c r="E1" s="122"/>
    </row>
    <row r="2" spans="1:10">
      <c r="A2" s="1013" t="s">
        <v>446</v>
      </c>
      <c r="B2" s="1013"/>
      <c r="C2" s="1013"/>
      <c r="D2" s="1013"/>
      <c r="E2" s="122"/>
    </row>
    <row r="3" spans="1:10" ht="15">
      <c r="A3" s="1012" t="s">
        <v>373</v>
      </c>
      <c r="B3" s="1012"/>
      <c r="C3" s="1012"/>
      <c r="D3" s="1012"/>
      <c r="E3" s="122"/>
    </row>
    <row r="4" spans="1:10" ht="15">
      <c r="A4" s="1004" t="s">
        <v>2325</v>
      </c>
      <c r="B4" s="1004"/>
      <c r="C4" s="1004"/>
      <c r="D4" s="1004"/>
      <c r="E4" s="1004"/>
    </row>
    <row r="5" spans="1:10" ht="15">
      <c r="A5" s="1001" t="s">
        <v>294</v>
      </c>
      <c r="B5" s="1001"/>
      <c r="C5" s="1001"/>
      <c r="D5" s="1001"/>
      <c r="E5" s="1011" t="s">
        <v>2303</v>
      </c>
      <c r="F5" s="1011" t="s">
        <v>2304</v>
      </c>
      <c r="G5" s="1011" t="s">
        <v>447</v>
      </c>
    </row>
    <row r="6" spans="1:10" ht="15">
      <c r="A6" s="1001" t="s">
        <v>2305</v>
      </c>
      <c r="B6" s="1001"/>
      <c r="C6" s="1001"/>
      <c r="D6" s="1001"/>
      <c r="E6" s="1011"/>
      <c r="F6" s="1011"/>
      <c r="G6" s="1011"/>
    </row>
    <row r="7" spans="1:10" ht="15">
      <c r="A7" s="1001" t="s">
        <v>2306</v>
      </c>
      <c r="B7" s="1001"/>
      <c r="C7" s="573" t="s">
        <v>376</v>
      </c>
      <c r="D7" s="574" t="s">
        <v>377</v>
      </c>
      <c r="E7" s="1011"/>
      <c r="F7" s="1011"/>
      <c r="G7" s="1011"/>
    </row>
    <row r="8" spans="1:10" ht="15">
      <c r="A8" s="575" t="s">
        <v>419</v>
      </c>
      <c r="B8" s="576">
        <v>37</v>
      </c>
      <c r="C8" s="577" t="s">
        <v>420</v>
      </c>
      <c r="D8" s="578">
        <v>40</v>
      </c>
      <c r="E8" s="579">
        <v>4.3799999999999999E-2</v>
      </c>
      <c r="F8" s="580">
        <f t="shared" ref="F8:F16" si="0">D8*(1+E8)</f>
        <v>41.752000000000002</v>
      </c>
      <c r="G8" s="126"/>
    </row>
    <row r="9" spans="1:10" ht="15">
      <c r="A9" s="575" t="s">
        <v>421</v>
      </c>
      <c r="B9" s="576" t="s">
        <v>422</v>
      </c>
      <c r="C9" s="577" t="s">
        <v>420</v>
      </c>
      <c r="D9" s="578">
        <v>90</v>
      </c>
      <c r="E9" s="579">
        <v>4.3799999999999999E-2</v>
      </c>
      <c r="F9" s="580">
        <f t="shared" si="0"/>
        <v>93.942000000000007</v>
      </c>
      <c r="G9" s="126"/>
    </row>
    <row r="10" spans="1:10" ht="15">
      <c r="A10" s="575" t="s">
        <v>421</v>
      </c>
      <c r="B10" s="576" t="s">
        <v>423</v>
      </c>
      <c r="C10" s="577" t="s">
        <v>420</v>
      </c>
      <c r="D10" s="578">
        <v>138</v>
      </c>
      <c r="E10" s="579">
        <v>4.3799999999999999E-2</v>
      </c>
      <c r="F10" s="580">
        <f t="shared" si="0"/>
        <v>144.0444</v>
      </c>
      <c r="G10" s="126"/>
    </row>
    <row r="11" spans="1:10" ht="15">
      <c r="A11" s="575" t="s">
        <v>421</v>
      </c>
      <c r="B11" s="576" t="s">
        <v>424</v>
      </c>
      <c r="C11" s="577" t="s">
        <v>420</v>
      </c>
      <c r="D11" s="578">
        <v>173</v>
      </c>
      <c r="E11" s="579">
        <v>4.3799999999999999E-2</v>
      </c>
      <c r="F11" s="580">
        <f t="shared" si="0"/>
        <v>180.57740000000001</v>
      </c>
      <c r="G11" s="126"/>
    </row>
    <row r="12" spans="1:10" ht="15">
      <c r="A12" s="575" t="s">
        <v>421</v>
      </c>
      <c r="B12" s="576" t="s">
        <v>425</v>
      </c>
      <c r="C12" s="577" t="s">
        <v>420</v>
      </c>
      <c r="D12" s="578">
        <v>200</v>
      </c>
      <c r="E12" s="579">
        <v>4.3799999999999999E-2</v>
      </c>
      <c r="F12" s="580">
        <f t="shared" si="0"/>
        <v>208.76000000000002</v>
      </c>
      <c r="G12" s="126"/>
      <c r="J12" s="581"/>
    </row>
    <row r="13" spans="1:10" ht="15">
      <c r="A13" s="575" t="s">
        <v>421</v>
      </c>
      <c r="B13" s="576" t="s">
        <v>426</v>
      </c>
      <c r="C13" s="577" t="s">
        <v>420</v>
      </c>
      <c r="D13" s="578">
        <v>238</v>
      </c>
      <c r="E13" s="579">
        <v>4.3799999999999999E-2</v>
      </c>
      <c r="F13" s="580">
        <f t="shared" si="0"/>
        <v>248.42440000000002</v>
      </c>
      <c r="G13" s="126"/>
    </row>
    <row r="14" spans="1:10" ht="15">
      <c r="A14" s="575" t="s">
        <v>421</v>
      </c>
      <c r="B14" s="576" t="s">
        <v>427</v>
      </c>
      <c r="C14" s="577" t="s">
        <v>420</v>
      </c>
      <c r="D14" s="578">
        <v>263</v>
      </c>
      <c r="E14" s="579">
        <v>4.3799999999999999E-2</v>
      </c>
      <c r="F14" s="580">
        <f t="shared" si="0"/>
        <v>274.51940000000002</v>
      </c>
      <c r="G14" s="126"/>
    </row>
    <row r="15" spans="1:10" ht="15">
      <c r="A15" s="575" t="s">
        <v>428</v>
      </c>
      <c r="B15" s="576">
        <v>37</v>
      </c>
      <c r="C15" s="577" t="s">
        <v>420</v>
      </c>
      <c r="D15" s="578">
        <v>93</v>
      </c>
      <c r="E15" s="579">
        <v>4.3799999999999999E-2</v>
      </c>
      <c r="F15" s="580">
        <f t="shared" si="0"/>
        <v>97.073400000000007</v>
      </c>
      <c r="G15" s="126"/>
    </row>
    <row r="16" spans="1:10" ht="15">
      <c r="A16" s="575" t="s">
        <v>428</v>
      </c>
      <c r="B16" s="576" t="s">
        <v>429</v>
      </c>
      <c r="C16" s="577" t="s">
        <v>420</v>
      </c>
      <c r="D16" s="578">
        <v>126</v>
      </c>
      <c r="E16" s="579">
        <v>4.3799999999999999E-2</v>
      </c>
      <c r="F16" s="580">
        <f t="shared" si="0"/>
        <v>131.5188</v>
      </c>
      <c r="G16" s="126"/>
    </row>
    <row r="17" spans="1:7" ht="15">
      <c r="A17" s="1001" t="s">
        <v>2307</v>
      </c>
      <c r="B17" s="1001"/>
      <c r="C17" s="1001"/>
      <c r="D17" s="1001"/>
      <c r="E17" s="582"/>
      <c r="F17" s="582"/>
      <c r="G17" s="126"/>
    </row>
    <row r="18" spans="1:7" ht="15">
      <c r="A18" s="587" t="s">
        <v>419</v>
      </c>
      <c r="B18" s="608">
        <v>37</v>
      </c>
      <c r="C18" s="588" t="s">
        <v>420</v>
      </c>
      <c r="D18" s="578">
        <v>40</v>
      </c>
      <c r="E18" s="587"/>
      <c r="F18" s="578">
        <f>F8*1.1</f>
        <v>45.927200000000006</v>
      </c>
      <c r="G18" s="126"/>
    </row>
    <row r="19" spans="1:7" ht="15">
      <c r="A19" s="587" t="s">
        <v>421</v>
      </c>
      <c r="B19" s="608" t="s">
        <v>422</v>
      </c>
      <c r="C19" s="588" t="s">
        <v>420</v>
      </c>
      <c r="D19" s="578">
        <v>90</v>
      </c>
      <c r="E19" s="587"/>
      <c r="F19" s="578">
        <f t="shared" ref="F19:F24" si="1">F9*1.1</f>
        <v>103.33620000000002</v>
      </c>
      <c r="G19" s="126"/>
    </row>
    <row r="20" spans="1:7" ht="15">
      <c r="A20" s="587" t="s">
        <v>421</v>
      </c>
      <c r="B20" s="608" t="s">
        <v>423</v>
      </c>
      <c r="C20" s="588" t="s">
        <v>420</v>
      </c>
      <c r="D20" s="578">
        <v>138</v>
      </c>
      <c r="E20" s="587"/>
      <c r="F20" s="578">
        <f t="shared" si="1"/>
        <v>158.44884000000002</v>
      </c>
      <c r="G20" s="126"/>
    </row>
    <row r="21" spans="1:7" ht="15">
      <c r="A21" s="587" t="s">
        <v>421</v>
      </c>
      <c r="B21" s="608" t="s">
        <v>424</v>
      </c>
      <c r="C21" s="588" t="s">
        <v>420</v>
      </c>
      <c r="D21" s="578">
        <v>173</v>
      </c>
      <c r="E21" s="587"/>
      <c r="F21" s="578">
        <f t="shared" si="1"/>
        <v>198.63514000000004</v>
      </c>
      <c r="G21" s="126"/>
    </row>
    <row r="22" spans="1:7" ht="15">
      <c r="A22" s="587" t="s">
        <v>421</v>
      </c>
      <c r="B22" s="608" t="s">
        <v>425</v>
      </c>
      <c r="C22" s="588" t="s">
        <v>420</v>
      </c>
      <c r="D22" s="578">
        <v>200</v>
      </c>
      <c r="E22" s="587"/>
      <c r="F22" s="578">
        <f t="shared" si="1"/>
        <v>229.63600000000005</v>
      </c>
      <c r="G22" s="126"/>
    </row>
    <row r="23" spans="1:7" ht="15">
      <c r="A23" s="587" t="s">
        <v>421</v>
      </c>
      <c r="B23" s="608" t="s">
        <v>426</v>
      </c>
      <c r="C23" s="588" t="s">
        <v>420</v>
      </c>
      <c r="D23" s="578">
        <v>238</v>
      </c>
      <c r="E23" s="587"/>
      <c r="F23" s="578">
        <f t="shared" si="1"/>
        <v>273.26684000000006</v>
      </c>
      <c r="G23" s="126"/>
    </row>
    <row r="24" spans="1:7" ht="15">
      <c r="A24" s="587" t="s">
        <v>421</v>
      </c>
      <c r="B24" s="608" t="s">
        <v>427</v>
      </c>
      <c r="C24" s="588" t="s">
        <v>420</v>
      </c>
      <c r="D24" s="578">
        <v>263</v>
      </c>
      <c r="E24" s="587"/>
      <c r="F24" s="578">
        <f t="shared" si="1"/>
        <v>301.97134000000005</v>
      </c>
      <c r="G24" s="126"/>
    </row>
    <row r="25" spans="1:7">
      <c r="A25" s="545"/>
      <c r="B25" s="545"/>
      <c r="C25" s="545"/>
      <c r="D25" s="545"/>
      <c r="E25" s="124"/>
      <c r="F25" s="124"/>
      <c r="G25" s="126"/>
    </row>
    <row r="26" spans="1:7" ht="21" customHeight="1">
      <c r="A26" s="1008" t="s">
        <v>2308</v>
      </c>
      <c r="B26" s="1008"/>
      <c r="C26" s="1008"/>
      <c r="D26" s="1008"/>
      <c r="E26" s="124"/>
      <c r="F26" s="124"/>
      <c r="G26" s="126"/>
    </row>
    <row r="27" spans="1:7" ht="15" customHeight="1">
      <c r="A27" s="583"/>
      <c r="B27" s="583"/>
      <c r="C27" s="583"/>
      <c r="D27" s="584"/>
      <c r="E27" s="124"/>
      <c r="F27" s="124"/>
      <c r="G27" s="126"/>
    </row>
    <row r="28" spans="1:7" ht="15">
      <c r="A28" s="1001" t="s">
        <v>2309</v>
      </c>
      <c r="B28" s="1001"/>
      <c r="C28" s="1001"/>
      <c r="D28" s="1001"/>
      <c r="E28" s="582"/>
      <c r="F28" s="582"/>
      <c r="G28" s="126"/>
    </row>
    <row r="29" spans="1:7" ht="15">
      <c r="A29" s="1005" t="s">
        <v>2310</v>
      </c>
      <c r="B29" s="1006"/>
      <c r="C29" s="1006"/>
      <c r="D29" s="1007"/>
      <c r="E29" s="582"/>
      <c r="F29" s="582"/>
      <c r="G29" s="126"/>
    </row>
    <row r="30" spans="1:7" ht="15">
      <c r="A30" s="1001" t="s">
        <v>2306</v>
      </c>
      <c r="B30" s="1001"/>
      <c r="C30" s="573" t="s">
        <v>376</v>
      </c>
      <c r="D30" s="574" t="s">
        <v>377</v>
      </c>
      <c r="E30" s="582"/>
      <c r="F30" s="582"/>
      <c r="G30" s="126"/>
    </row>
    <row r="31" spans="1:7" ht="15">
      <c r="A31" s="575" t="s">
        <v>448</v>
      </c>
      <c r="B31" s="575"/>
      <c r="C31" s="577" t="s">
        <v>379</v>
      </c>
      <c r="D31" s="585">
        <v>39.409999999999997</v>
      </c>
      <c r="E31" s="579">
        <v>4.3799999999999999E-2</v>
      </c>
      <c r="F31" s="580">
        <f>D31*(1+E31)</f>
        <v>41.136158000000002</v>
      </c>
      <c r="G31" s="586"/>
    </row>
    <row r="32" spans="1:7" ht="15">
      <c r="A32" s="575" t="s">
        <v>2311</v>
      </c>
      <c r="B32" s="575"/>
      <c r="C32" s="577" t="s">
        <v>379</v>
      </c>
      <c r="D32" s="585">
        <v>85</v>
      </c>
      <c r="E32" s="579">
        <v>4.3799999999999999E-2</v>
      </c>
      <c r="F32" s="580">
        <f>D32*(1+E32)</f>
        <v>88.722999999999999</v>
      </c>
      <c r="G32" s="586"/>
    </row>
    <row r="33" spans="1:7" ht="15">
      <c r="A33" s="575" t="s">
        <v>380</v>
      </c>
      <c r="B33" s="575"/>
      <c r="C33" s="577" t="s">
        <v>379</v>
      </c>
      <c r="D33" s="585">
        <v>115</v>
      </c>
      <c r="E33" s="579">
        <v>4.3799999999999999E-2</v>
      </c>
      <c r="F33" s="580">
        <f>D33*(1+E33)</f>
        <v>120.03700000000001</v>
      </c>
      <c r="G33" s="586"/>
    </row>
    <row r="34" spans="1:7" ht="15">
      <c r="A34" s="587" t="s">
        <v>2312</v>
      </c>
      <c r="B34" s="587"/>
      <c r="C34" s="588" t="s">
        <v>379</v>
      </c>
      <c r="D34" s="585"/>
      <c r="E34" s="589"/>
      <c r="F34" s="578">
        <v>125</v>
      </c>
      <c r="G34" s="586"/>
    </row>
    <row r="35" spans="1:7" ht="15">
      <c r="A35" s="587" t="s">
        <v>449</v>
      </c>
      <c r="B35" s="587"/>
      <c r="C35" s="588" t="s">
        <v>379</v>
      </c>
      <c r="D35" s="585">
        <v>9.8800000000000008</v>
      </c>
      <c r="E35" s="589">
        <v>4.3799999999999999E-2</v>
      </c>
      <c r="F35" s="578">
        <f t="shared" ref="F35:F55" si="2">D35*(1+E35)</f>
        <v>10.312744000000002</v>
      </c>
      <c r="G35" s="586"/>
    </row>
    <row r="36" spans="1:7" ht="15">
      <c r="A36" s="587" t="s">
        <v>381</v>
      </c>
      <c r="B36" s="587"/>
      <c r="C36" s="588" t="s">
        <v>379</v>
      </c>
      <c r="D36" s="585">
        <v>19.760000000000002</v>
      </c>
      <c r="E36" s="589">
        <v>4.3799999999999999E-2</v>
      </c>
      <c r="F36" s="578">
        <f t="shared" si="2"/>
        <v>20.625488000000004</v>
      </c>
      <c r="G36" s="586"/>
    </row>
    <row r="37" spans="1:7" ht="15">
      <c r="A37" s="587" t="s">
        <v>382</v>
      </c>
      <c r="B37" s="587"/>
      <c r="C37" s="588" t="s">
        <v>379</v>
      </c>
      <c r="D37" s="585">
        <v>23.12</v>
      </c>
      <c r="E37" s="589">
        <v>4.3799999999999999E-2</v>
      </c>
      <c r="F37" s="578">
        <f t="shared" si="2"/>
        <v>24.132656000000001</v>
      </c>
      <c r="G37" s="586"/>
    </row>
    <row r="38" spans="1:7" ht="15">
      <c r="A38" s="587" t="s">
        <v>2313</v>
      </c>
      <c r="B38" s="587"/>
      <c r="C38" s="588" t="s">
        <v>379</v>
      </c>
      <c r="D38" s="585"/>
      <c r="E38" s="589"/>
      <c r="F38" s="578">
        <v>25</v>
      </c>
      <c r="G38" s="586"/>
    </row>
    <row r="39" spans="1:7" ht="15">
      <c r="A39" s="587" t="s">
        <v>450</v>
      </c>
      <c r="B39" s="587"/>
      <c r="C39" s="588" t="s">
        <v>379</v>
      </c>
      <c r="D39" s="585">
        <v>78.81</v>
      </c>
      <c r="E39" s="589"/>
      <c r="F39" s="578">
        <f t="shared" si="2"/>
        <v>78.81</v>
      </c>
      <c r="G39" s="586"/>
    </row>
    <row r="40" spans="1:7" ht="15">
      <c r="A40" s="587" t="s">
        <v>451</v>
      </c>
      <c r="B40" s="587"/>
      <c r="C40" s="588" t="s">
        <v>379</v>
      </c>
      <c r="D40" s="585">
        <v>78.81</v>
      </c>
      <c r="E40" s="589"/>
      <c r="F40" s="578">
        <f t="shared" si="2"/>
        <v>78.81</v>
      </c>
      <c r="G40" s="586"/>
    </row>
    <row r="41" spans="1:7" ht="15">
      <c r="A41" s="587" t="s">
        <v>452</v>
      </c>
      <c r="B41" s="587" t="s">
        <v>453</v>
      </c>
      <c r="C41" s="588" t="s">
        <v>379</v>
      </c>
      <c r="D41" s="585">
        <v>140</v>
      </c>
      <c r="E41" s="589">
        <v>4.3799999999999999E-2</v>
      </c>
      <c r="F41" s="578">
        <f t="shared" si="2"/>
        <v>146.13200000000001</v>
      </c>
      <c r="G41" s="586"/>
    </row>
    <row r="42" spans="1:7" ht="15">
      <c r="A42" s="587" t="s">
        <v>452</v>
      </c>
      <c r="B42" s="587" t="s">
        <v>454</v>
      </c>
      <c r="C42" s="588" t="s">
        <v>379</v>
      </c>
      <c r="D42" s="585">
        <v>7.36</v>
      </c>
      <c r="E42" s="589">
        <v>4.3799999999999999E-2</v>
      </c>
      <c r="F42" s="578">
        <f t="shared" si="2"/>
        <v>7.6823680000000012</v>
      </c>
      <c r="G42" s="611" t="s">
        <v>2314</v>
      </c>
    </row>
    <row r="43" spans="1:7" ht="15">
      <c r="A43" s="587" t="s">
        <v>2315</v>
      </c>
      <c r="B43" s="587"/>
      <c r="C43" s="588" t="s">
        <v>379</v>
      </c>
      <c r="D43" s="585"/>
      <c r="E43" s="589"/>
      <c r="F43" s="578">
        <v>52</v>
      </c>
      <c r="G43" s="586"/>
    </row>
    <row r="44" spans="1:7" ht="15">
      <c r="A44" s="587" t="s">
        <v>389</v>
      </c>
      <c r="B44" s="587"/>
      <c r="C44" s="588" t="s">
        <v>379</v>
      </c>
      <c r="D44" s="585">
        <v>28.27</v>
      </c>
      <c r="E44" s="589">
        <v>4.3799999999999999E-2</v>
      </c>
      <c r="F44" s="578">
        <f t="shared" si="2"/>
        <v>29.508226000000001</v>
      </c>
      <c r="G44" s="586"/>
    </row>
    <row r="45" spans="1:7" ht="15">
      <c r="A45" s="587" t="s">
        <v>390</v>
      </c>
      <c r="B45" s="587"/>
      <c r="C45" s="588" t="s">
        <v>379</v>
      </c>
      <c r="D45" s="585">
        <v>39.409999999999997</v>
      </c>
      <c r="E45" s="589">
        <v>4.3799999999999999E-2</v>
      </c>
      <c r="F45" s="578">
        <f t="shared" si="2"/>
        <v>41.136158000000002</v>
      </c>
      <c r="G45" s="586"/>
    </row>
    <row r="46" spans="1:7" ht="15">
      <c r="A46" s="587" t="s">
        <v>391</v>
      </c>
      <c r="B46" s="587"/>
      <c r="C46" s="588" t="s">
        <v>455</v>
      </c>
      <c r="D46" s="590">
        <v>7.4000000000000003E-3</v>
      </c>
      <c r="E46" s="589"/>
      <c r="F46" s="591">
        <f t="shared" si="2"/>
        <v>7.4000000000000003E-3</v>
      </c>
      <c r="G46" s="592"/>
    </row>
    <row r="47" spans="1:7" ht="15">
      <c r="A47" s="587" t="s">
        <v>13</v>
      </c>
      <c r="B47" s="587"/>
      <c r="C47" s="588" t="s">
        <v>455</v>
      </c>
      <c r="D47" s="593">
        <v>4.7999999999999996E-3</v>
      </c>
      <c r="E47" s="589"/>
      <c r="F47" s="591">
        <f t="shared" si="2"/>
        <v>4.7999999999999996E-3</v>
      </c>
      <c r="G47" s="592"/>
    </row>
    <row r="48" spans="1:7" ht="15">
      <c r="A48" s="587" t="s">
        <v>393</v>
      </c>
      <c r="B48" s="587" t="s">
        <v>394</v>
      </c>
      <c r="C48" s="588" t="s">
        <v>379</v>
      </c>
      <c r="D48" s="585">
        <v>85</v>
      </c>
      <c r="E48" s="589">
        <v>4.3799999999999999E-2</v>
      </c>
      <c r="F48" s="578">
        <f t="shared" si="2"/>
        <v>88.722999999999999</v>
      </c>
      <c r="G48" s="586"/>
    </row>
    <row r="49" spans="1:7" ht="15">
      <c r="A49" s="587" t="s">
        <v>393</v>
      </c>
      <c r="B49" s="587" t="s">
        <v>395</v>
      </c>
      <c r="C49" s="588" t="s">
        <v>379</v>
      </c>
      <c r="D49" s="585">
        <v>115</v>
      </c>
      <c r="E49" s="589">
        <v>4.3799999999999999E-2</v>
      </c>
      <c r="F49" s="578">
        <f t="shared" si="2"/>
        <v>120.03700000000001</v>
      </c>
      <c r="G49" s="586"/>
    </row>
    <row r="50" spans="1:7" ht="15">
      <c r="A50" s="587" t="s">
        <v>393</v>
      </c>
      <c r="B50" s="587" t="s">
        <v>396</v>
      </c>
      <c r="C50" s="588" t="s">
        <v>379</v>
      </c>
      <c r="D50" s="585">
        <v>262.70999999999998</v>
      </c>
      <c r="E50" s="589">
        <v>4.3799999999999999E-2</v>
      </c>
      <c r="F50" s="578">
        <f t="shared" si="2"/>
        <v>274.21669800000001</v>
      </c>
      <c r="G50" s="586"/>
    </row>
    <row r="51" spans="1:7" ht="15">
      <c r="A51" s="587" t="s">
        <v>397</v>
      </c>
      <c r="B51" s="587"/>
      <c r="C51" s="587" t="s">
        <v>456</v>
      </c>
      <c r="D51" s="585">
        <v>12.08</v>
      </c>
      <c r="E51" s="589">
        <v>4.3799999999999999E-2</v>
      </c>
      <c r="F51" s="578">
        <f t="shared" si="2"/>
        <v>12.609104</v>
      </c>
      <c r="G51" s="586"/>
    </row>
    <row r="52" spans="1:7" ht="15">
      <c r="A52" s="587"/>
      <c r="B52" s="587"/>
      <c r="C52" s="587" t="s">
        <v>398</v>
      </c>
      <c r="D52" s="585">
        <v>22.07</v>
      </c>
      <c r="E52" s="589">
        <v>4.3799999999999999E-2</v>
      </c>
      <c r="F52" s="578">
        <f t="shared" si="2"/>
        <v>23.036666</v>
      </c>
      <c r="G52" s="586"/>
    </row>
    <row r="53" spans="1:7" ht="15">
      <c r="A53" s="575"/>
      <c r="B53" s="575"/>
      <c r="C53" s="575" t="s">
        <v>399</v>
      </c>
      <c r="D53" s="585">
        <v>43.08</v>
      </c>
      <c r="E53" s="579">
        <v>4.3799999999999999E-2</v>
      </c>
      <c r="F53" s="580">
        <f t="shared" si="2"/>
        <v>44.966904</v>
      </c>
      <c r="G53" s="586"/>
    </row>
    <row r="54" spans="1:7" ht="15">
      <c r="A54" s="575" t="s">
        <v>400</v>
      </c>
      <c r="B54" s="575"/>
      <c r="C54" s="577" t="s">
        <v>455</v>
      </c>
      <c r="D54" s="593">
        <v>2.0999999999999999E-3</v>
      </c>
      <c r="E54" s="579">
        <v>4.3799999999999999E-2</v>
      </c>
      <c r="F54" s="594">
        <f t="shared" si="2"/>
        <v>2.1919800000000001E-3</v>
      </c>
      <c r="G54" s="586"/>
    </row>
    <row r="55" spans="1:7" ht="15">
      <c r="A55" s="575" t="s">
        <v>401</v>
      </c>
      <c r="B55" s="575"/>
      <c r="C55" s="577" t="s">
        <v>379</v>
      </c>
      <c r="D55" s="585">
        <v>7.36</v>
      </c>
      <c r="E55" s="579">
        <v>4.3799999999999999E-2</v>
      </c>
      <c r="F55" s="580">
        <f t="shared" si="2"/>
        <v>7.6823680000000012</v>
      </c>
      <c r="G55" s="586"/>
    </row>
    <row r="56" spans="1:7" ht="15">
      <c r="A56" s="615" t="s">
        <v>2336</v>
      </c>
      <c r="B56" s="609"/>
      <c r="C56" s="609" t="s">
        <v>2316</v>
      </c>
      <c r="D56" s="610">
        <v>7.5</v>
      </c>
      <c r="E56" s="587"/>
      <c r="F56" s="610">
        <v>7.5</v>
      </c>
      <c r="G56" s="586"/>
    </row>
    <row r="57" spans="1:7" ht="15">
      <c r="A57" s="615" t="s">
        <v>2337</v>
      </c>
      <c r="B57" s="609"/>
      <c r="C57" s="609" t="s">
        <v>2316</v>
      </c>
      <c r="D57" s="610">
        <v>2</v>
      </c>
      <c r="E57" s="587"/>
      <c r="F57" s="610">
        <v>2</v>
      </c>
      <c r="G57" s="586"/>
    </row>
    <row r="58" spans="1:7" ht="15">
      <c r="A58" s="1001" t="s">
        <v>2317</v>
      </c>
      <c r="B58" s="1001"/>
      <c r="C58" s="1001"/>
      <c r="D58" s="1001"/>
      <c r="E58" s="582"/>
      <c r="F58" s="582"/>
      <c r="G58" s="126"/>
    </row>
    <row r="59" spans="1:7" ht="15">
      <c r="A59" s="1001" t="s">
        <v>2306</v>
      </c>
      <c r="B59" s="1001"/>
      <c r="C59" s="573" t="s">
        <v>376</v>
      </c>
      <c r="D59" s="574" t="s">
        <v>377</v>
      </c>
      <c r="E59" s="582"/>
      <c r="F59" s="582"/>
      <c r="G59" s="126"/>
    </row>
    <row r="60" spans="1:7" ht="15">
      <c r="A60" s="575" t="s">
        <v>13</v>
      </c>
      <c r="B60" s="575"/>
      <c r="C60" s="577" t="s">
        <v>455</v>
      </c>
      <c r="D60" s="595">
        <v>1E-3</v>
      </c>
      <c r="E60" s="579">
        <v>4.3799999999999999E-2</v>
      </c>
      <c r="F60" s="596">
        <f t="shared" ref="F60:F79" si="3">D60*(1+E60)</f>
        <v>1.0438000000000001E-3</v>
      </c>
      <c r="G60" s="126"/>
    </row>
    <row r="61" spans="1:7" ht="15">
      <c r="A61" s="575" t="s">
        <v>403</v>
      </c>
      <c r="B61" s="575"/>
      <c r="C61" s="577" t="s">
        <v>455</v>
      </c>
      <c r="D61" s="595">
        <v>1E-3</v>
      </c>
      <c r="E61" s="579">
        <v>4.3799999999999999E-2</v>
      </c>
      <c r="F61" s="596">
        <f t="shared" si="3"/>
        <v>1.0438000000000001E-3</v>
      </c>
      <c r="G61" s="126"/>
    </row>
    <row r="62" spans="1:7" ht="15">
      <c r="A62" s="575" t="s">
        <v>448</v>
      </c>
      <c r="B62" s="575"/>
      <c r="C62" s="577" t="s">
        <v>379</v>
      </c>
      <c r="D62" s="585">
        <v>3.33</v>
      </c>
      <c r="E62" s="579">
        <v>4.3799999999999999E-2</v>
      </c>
      <c r="F62" s="580">
        <f t="shared" si="3"/>
        <v>3.4758540000000004</v>
      </c>
      <c r="G62" s="126"/>
    </row>
    <row r="63" spans="1:7" ht="15">
      <c r="A63" s="575" t="s">
        <v>378</v>
      </c>
      <c r="B63" s="575"/>
      <c r="C63" s="577" t="s">
        <v>379</v>
      </c>
      <c r="D63" s="585">
        <v>18</v>
      </c>
      <c r="E63" s="579">
        <v>4.3799999999999999E-2</v>
      </c>
      <c r="F63" s="580">
        <f t="shared" si="3"/>
        <v>18.788400000000003</v>
      </c>
      <c r="G63" s="126"/>
    </row>
    <row r="64" spans="1:7" ht="15">
      <c r="A64" s="575" t="s">
        <v>380</v>
      </c>
      <c r="B64" s="575"/>
      <c r="C64" s="577" t="s">
        <v>379</v>
      </c>
      <c r="D64" s="585">
        <v>21</v>
      </c>
      <c r="E64" s="579">
        <v>4.3799999999999999E-2</v>
      </c>
      <c r="F64" s="580">
        <f t="shared" si="3"/>
        <v>21.919800000000002</v>
      </c>
      <c r="G64" s="126"/>
    </row>
    <row r="65" spans="1:7" ht="15">
      <c r="A65" s="587" t="s">
        <v>2312</v>
      </c>
      <c r="B65" s="587"/>
      <c r="C65" s="588" t="s">
        <v>379</v>
      </c>
      <c r="D65" s="585"/>
      <c r="E65" s="589"/>
      <c r="F65" s="578">
        <v>21.92</v>
      </c>
      <c r="G65" s="126"/>
    </row>
    <row r="66" spans="1:7" ht="15">
      <c r="A66" s="587" t="s">
        <v>449</v>
      </c>
      <c r="B66" s="587"/>
      <c r="C66" s="588" t="s">
        <v>379</v>
      </c>
      <c r="D66" s="585">
        <v>1.1100000000000001</v>
      </c>
      <c r="E66" s="589">
        <v>4.3799999999999999E-2</v>
      </c>
      <c r="F66" s="578">
        <f t="shared" si="3"/>
        <v>1.1586180000000001</v>
      </c>
      <c r="G66" s="126"/>
    </row>
    <row r="67" spans="1:7" ht="15">
      <c r="A67" s="587" t="s">
        <v>381</v>
      </c>
      <c r="B67" s="587"/>
      <c r="C67" s="588" t="s">
        <v>379</v>
      </c>
      <c r="D67" s="585">
        <v>3</v>
      </c>
      <c r="E67" s="589">
        <v>4.3799999999999999E-2</v>
      </c>
      <c r="F67" s="578">
        <f t="shared" si="3"/>
        <v>3.1314000000000002</v>
      </c>
      <c r="G67" s="126"/>
    </row>
    <row r="68" spans="1:7" ht="15">
      <c r="A68" s="587" t="s">
        <v>382</v>
      </c>
      <c r="B68" s="587"/>
      <c r="C68" s="588" t="s">
        <v>379</v>
      </c>
      <c r="D68" s="585">
        <v>4.5</v>
      </c>
      <c r="E68" s="589">
        <v>4.3799999999999999E-2</v>
      </c>
      <c r="F68" s="578">
        <f t="shared" si="3"/>
        <v>4.6971000000000007</v>
      </c>
      <c r="G68" s="126"/>
    </row>
    <row r="69" spans="1:7" ht="15">
      <c r="A69" s="587" t="s">
        <v>2313</v>
      </c>
      <c r="B69" s="587"/>
      <c r="C69" s="588" t="s">
        <v>379</v>
      </c>
      <c r="D69" s="585"/>
      <c r="E69" s="589"/>
      <c r="F69" s="578">
        <v>4.7</v>
      </c>
      <c r="G69" s="126"/>
    </row>
    <row r="70" spans="1:7" ht="15">
      <c r="A70" s="587" t="s">
        <v>450</v>
      </c>
      <c r="B70" s="597"/>
      <c r="C70" s="588" t="s">
        <v>379</v>
      </c>
      <c r="D70" s="585">
        <v>1.5</v>
      </c>
      <c r="E70" s="589"/>
      <c r="F70" s="578">
        <f t="shared" si="3"/>
        <v>1.5</v>
      </c>
      <c r="G70" s="126"/>
    </row>
    <row r="71" spans="1:7" ht="15">
      <c r="A71" s="587" t="s">
        <v>457</v>
      </c>
      <c r="B71" s="587"/>
      <c r="C71" s="588" t="s">
        <v>379</v>
      </c>
      <c r="D71" s="585">
        <v>4.43</v>
      </c>
      <c r="E71" s="589">
        <v>4.3799999999999999E-2</v>
      </c>
      <c r="F71" s="578">
        <f t="shared" si="3"/>
        <v>4.624034</v>
      </c>
      <c r="G71" s="126"/>
    </row>
    <row r="72" spans="1:7" ht="15">
      <c r="A72" s="587" t="s">
        <v>458</v>
      </c>
      <c r="B72" s="587"/>
      <c r="C72" s="588" t="s">
        <v>379</v>
      </c>
      <c r="D72" s="585">
        <v>4.43</v>
      </c>
      <c r="E72" s="589">
        <v>4.3799999999999999E-2</v>
      </c>
      <c r="F72" s="578">
        <f t="shared" si="3"/>
        <v>4.624034</v>
      </c>
      <c r="G72" s="126"/>
    </row>
    <row r="73" spans="1:7" ht="15">
      <c r="A73" s="587" t="s">
        <v>451</v>
      </c>
      <c r="B73" s="587"/>
      <c r="C73" s="588" t="s">
        <v>379</v>
      </c>
      <c r="D73" s="585">
        <v>1.66</v>
      </c>
      <c r="E73" s="589"/>
      <c r="F73" s="578">
        <f t="shared" si="3"/>
        <v>1.66</v>
      </c>
      <c r="G73" s="126"/>
    </row>
    <row r="74" spans="1:7" s="599" customFormat="1" ht="15">
      <c r="A74" s="587" t="s">
        <v>2315</v>
      </c>
      <c r="B74" s="587"/>
      <c r="C74" s="588" t="s">
        <v>379</v>
      </c>
      <c r="D74" s="585"/>
      <c r="E74" s="589"/>
      <c r="F74" s="578">
        <v>1.5</v>
      </c>
      <c r="G74" s="598"/>
    </row>
    <row r="75" spans="1:7" ht="15">
      <c r="A75" s="575" t="s">
        <v>390</v>
      </c>
      <c r="B75" s="575"/>
      <c r="C75" s="577" t="s">
        <v>379</v>
      </c>
      <c r="D75" s="585">
        <v>1.33</v>
      </c>
      <c r="E75" s="579">
        <v>4.3799999999999999E-2</v>
      </c>
      <c r="F75" s="580">
        <f t="shared" si="3"/>
        <v>1.3882540000000001</v>
      </c>
      <c r="G75" s="126"/>
    </row>
    <row r="76" spans="1:7" ht="15">
      <c r="A76" s="575" t="s">
        <v>389</v>
      </c>
      <c r="B76" s="575"/>
      <c r="C76" s="577" t="s">
        <v>379</v>
      </c>
      <c r="D76" s="585">
        <v>1.1100000000000001</v>
      </c>
      <c r="E76" s="579">
        <v>4.3799999999999999E-2</v>
      </c>
      <c r="F76" s="580">
        <f t="shared" si="3"/>
        <v>1.1586180000000001</v>
      </c>
      <c r="G76" s="126"/>
    </row>
    <row r="77" spans="1:7" ht="15">
      <c r="A77" s="575" t="s">
        <v>393</v>
      </c>
      <c r="B77" s="575" t="s">
        <v>394</v>
      </c>
      <c r="C77" s="577" t="s">
        <v>379</v>
      </c>
      <c r="D77" s="585">
        <v>4.43</v>
      </c>
      <c r="E77" s="579">
        <v>4.3799999999999999E-2</v>
      </c>
      <c r="F77" s="580">
        <f t="shared" si="3"/>
        <v>4.624034</v>
      </c>
      <c r="G77" s="126"/>
    </row>
    <row r="78" spans="1:7" ht="15">
      <c r="A78" s="575" t="s">
        <v>393</v>
      </c>
      <c r="B78" s="575" t="s">
        <v>395</v>
      </c>
      <c r="C78" s="577" t="s">
        <v>379</v>
      </c>
      <c r="D78" s="585">
        <v>5.55</v>
      </c>
      <c r="E78" s="579">
        <v>4.3799999999999999E-2</v>
      </c>
      <c r="F78" s="580">
        <f t="shared" si="3"/>
        <v>5.7930900000000003</v>
      </c>
      <c r="G78" s="126"/>
    </row>
    <row r="79" spans="1:7" ht="15">
      <c r="A79" s="575" t="s">
        <v>393</v>
      </c>
      <c r="B79" s="575" t="s">
        <v>396</v>
      </c>
      <c r="C79" s="577" t="s">
        <v>379</v>
      </c>
      <c r="D79" s="585">
        <v>8.41</v>
      </c>
      <c r="E79" s="579">
        <v>4.3799999999999999E-2</v>
      </c>
      <c r="F79" s="580">
        <f t="shared" si="3"/>
        <v>8.7783580000000008</v>
      </c>
      <c r="G79" s="126"/>
    </row>
    <row r="80" spans="1:7">
      <c r="A80" s="124"/>
      <c r="B80" s="124"/>
      <c r="C80" s="124"/>
      <c r="D80" s="125"/>
      <c r="E80" s="124"/>
      <c r="F80" s="124"/>
      <c r="G80" s="126"/>
    </row>
    <row r="81" spans="1:7" ht="15">
      <c r="A81" s="1001" t="s">
        <v>2318</v>
      </c>
      <c r="B81" s="1001"/>
      <c r="C81" s="1001"/>
      <c r="D81" s="1001"/>
      <c r="E81" s="582"/>
      <c r="F81" s="582"/>
      <c r="G81" s="126"/>
    </row>
    <row r="82" spans="1:7" ht="15">
      <c r="A82" s="1001" t="s">
        <v>2306</v>
      </c>
      <c r="B82" s="1001"/>
      <c r="C82" s="573" t="s">
        <v>376</v>
      </c>
      <c r="D82" s="574" t="s">
        <v>377</v>
      </c>
      <c r="E82" s="582"/>
      <c r="F82" s="582"/>
      <c r="G82" s="126"/>
    </row>
    <row r="83" spans="1:7" ht="15">
      <c r="A83" s="575" t="s">
        <v>13</v>
      </c>
      <c r="B83" s="575"/>
      <c r="C83" s="577" t="s">
        <v>455</v>
      </c>
      <c r="D83" s="595">
        <v>2.9999999999999997E-4</v>
      </c>
      <c r="E83" s="579">
        <v>4.3799999999999999E-2</v>
      </c>
      <c r="F83" s="600">
        <f t="shared" ref="F83:F91" si="4">D83*(1+E83)</f>
        <v>3.1314E-4</v>
      </c>
      <c r="G83" s="601"/>
    </row>
    <row r="84" spans="1:7" ht="15">
      <c r="A84" s="575" t="s">
        <v>403</v>
      </c>
      <c r="B84" s="575"/>
      <c r="C84" s="577" t="s">
        <v>455</v>
      </c>
      <c r="D84" s="595">
        <v>5.0000000000000001E-4</v>
      </c>
      <c r="E84" s="579">
        <v>4.3799999999999999E-2</v>
      </c>
      <c r="F84" s="600">
        <f t="shared" si="4"/>
        <v>5.2190000000000005E-4</v>
      </c>
      <c r="G84" s="601"/>
    </row>
    <row r="85" spans="1:7" ht="15">
      <c r="A85" s="575" t="s">
        <v>448</v>
      </c>
      <c r="B85" s="575"/>
      <c r="C85" s="577" t="s">
        <v>379</v>
      </c>
      <c r="D85" s="578">
        <v>1</v>
      </c>
      <c r="E85" s="579">
        <v>4.3799999999999999E-2</v>
      </c>
      <c r="F85" s="580">
        <f t="shared" si="4"/>
        <v>1.0438000000000001</v>
      </c>
      <c r="G85" s="586"/>
    </row>
    <row r="86" spans="1:7" ht="15">
      <c r="A86" s="575" t="s">
        <v>378</v>
      </c>
      <c r="B86" s="575"/>
      <c r="C86" s="577" t="s">
        <v>379</v>
      </c>
      <c r="D86" s="578">
        <v>2</v>
      </c>
      <c r="E86" s="579">
        <v>4.3799999999999999E-2</v>
      </c>
      <c r="F86" s="580">
        <f t="shared" si="4"/>
        <v>2.0876000000000001</v>
      </c>
      <c r="G86" s="586"/>
    </row>
    <row r="87" spans="1:7" ht="15">
      <c r="A87" s="575" t="s">
        <v>380</v>
      </c>
      <c r="B87" s="575"/>
      <c r="C87" s="577" t="s">
        <v>379</v>
      </c>
      <c r="D87" s="578">
        <v>2.2999999999999998</v>
      </c>
      <c r="E87" s="579">
        <v>4.3799999999999999E-2</v>
      </c>
      <c r="F87" s="580">
        <f t="shared" si="4"/>
        <v>2.4007399999999999</v>
      </c>
      <c r="G87" s="586"/>
    </row>
    <row r="88" spans="1:7" ht="15">
      <c r="A88" s="587" t="s">
        <v>2312</v>
      </c>
      <c r="B88" s="587"/>
      <c r="C88" s="588" t="s">
        <v>379</v>
      </c>
      <c r="D88" s="578"/>
      <c r="E88" s="589"/>
      <c r="F88" s="578">
        <v>2.4</v>
      </c>
      <c r="G88" s="586"/>
    </row>
    <row r="89" spans="1:7" ht="15">
      <c r="A89" s="587" t="s">
        <v>449</v>
      </c>
      <c r="B89" s="587"/>
      <c r="C89" s="588" t="s">
        <v>379</v>
      </c>
      <c r="D89" s="578">
        <v>0.5</v>
      </c>
      <c r="E89" s="589">
        <v>4.3799999999999999E-2</v>
      </c>
      <c r="F89" s="578">
        <f t="shared" si="4"/>
        <v>0.52190000000000003</v>
      </c>
      <c r="G89" s="586"/>
    </row>
    <row r="90" spans="1:7" ht="15">
      <c r="A90" s="587" t="s">
        <v>381</v>
      </c>
      <c r="B90" s="587"/>
      <c r="C90" s="588" t="s">
        <v>379</v>
      </c>
      <c r="D90" s="578">
        <v>1</v>
      </c>
      <c r="E90" s="589">
        <v>4.3799999999999999E-2</v>
      </c>
      <c r="F90" s="578">
        <f t="shared" si="4"/>
        <v>1.0438000000000001</v>
      </c>
      <c r="G90" s="586"/>
    </row>
    <row r="91" spans="1:7" ht="15">
      <c r="A91" s="587" t="s">
        <v>382</v>
      </c>
      <c r="B91" s="587"/>
      <c r="C91" s="588" t="s">
        <v>379</v>
      </c>
      <c r="D91" s="578">
        <v>1.3</v>
      </c>
      <c r="E91" s="589">
        <v>4.3799999999999999E-2</v>
      </c>
      <c r="F91" s="578">
        <f t="shared" si="4"/>
        <v>1.35694</v>
      </c>
      <c r="G91" s="586"/>
    </row>
    <row r="92" spans="1:7" ht="15">
      <c r="A92" s="587" t="s">
        <v>2313</v>
      </c>
      <c r="B92" s="587"/>
      <c r="C92" s="588" t="s">
        <v>379</v>
      </c>
      <c r="D92" s="578"/>
      <c r="E92" s="589"/>
      <c r="F92" s="578">
        <v>1.4</v>
      </c>
      <c r="G92" s="586"/>
    </row>
    <row r="93" spans="1:7" ht="15">
      <c r="A93" s="587" t="s">
        <v>450</v>
      </c>
      <c r="B93" s="597"/>
      <c r="C93" s="588" t="s">
        <v>379</v>
      </c>
      <c r="D93" s="585"/>
      <c r="E93" s="589"/>
      <c r="F93" s="578">
        <v>0.2</v>
      </c>
      <c r="G93" s="586"/>
    </row>
    <row r="94" spans="1:7" ht="15">
      <c r="A94" s="587" t="s">
        <v>457</v>
      </c>
      <c r="B94" s="587"/>
      <c r="C94" s="588" t="s">
        <v>379</v>
      </c>
      <c r="D94" s="585"/>
      <c r="E94" s="589"/>
      <c r="F94" s="578">
        <v>0.2</v>
      </c>
      <c r="G94" s="586"/>
    </row>
    <row r="95" spans="1:7" ht="15">
      <c r="A95" s="587" t="s">
        <v>458</v>
      </c>
      <c r="B95" s="587"/>
      <c r="C95" s="588" t="s">
        <v>379</v>
      </c>
      <c r="D95" s="585"/>
      <c r="E95" s="589"/>
      <c r="F95" s="578">
        <v>0.2</v>
      </c>
      <c r="G95" s="586"/>
    </row>
    <row r="96" spans="1:7" ht="15">
      <c r="A96" s="587" t="s">
        <v>451</v>
      </c>
      <c r="B96" s="587"/>
      <c r="C96" s="588" t="s">
        <v>379</v>
      </c>
      <c r="D96" s="585"/>
      <c r="E96" s="589"/>
      <c r="F96" s="578">
        <v>0.2</v>
      </c>
      <c r="G96" s="586"/>
    </row>
    <row r="97" spans="1:7" ht="15">
      <c r="A97" s="587" t="s">
        <v>2315</v>
      </c>
      <c r="B97" s="587"/>
      <c r="C97" s="588" t="s">
        <v>379</v>
      </c>
      <c r="D97" s="585"/>
      <c r="E97" s="589"/>
      <c r="F97" s="578">
        <v>0.2</v>
      </c>
      <c r="G97" s="586"/>
    </row>
    <row r="98" spans="1:7" ht="15">
      <c r="A98" s="587" t="s">
        <v>390</v>
      </c>
      <c r="B98" s="587"/>
      <c r="C98" s="588" t="s">
        <v>379</v>
      </c>
      <c r="D98" s="585"/>
      <c r="E98" s="589"/>
      <c r="F98" s="578">
        <v>0.2</v>
      </c>
      <c r="G98" s="586"/>
    </row>
    <row r="99" spans="1:7" ht="15">
      <c r="A99" s="587" t="s">
        <v>389</v>
      </c>
      <c r="B99" s="587"/>
      <c r="C99" s="588" t="s">
        <v>379</v>
      </c>
      <c r="D99" s="585"/>
      <c r="E99" s="589"/>
      <c r="F99" s="578">
        <v>0.2</v>
      </c>
      <c r="G99" s="586"/>
    </row>
    <row r="100" spans="1:7">
      <c r="A100" s="124"/>
      <c r="B100" s="124"/>
      <c r="C100" s="1010"/>
      <c r="D100" s="1010"/>
      <c r="E100" s="124"/>
      <c r="F100" s="124"/>
      <c r="G100" s="126"/>
    </row>
    <row r="101" spans="1:7" ht="15">
      <c r="A101" s="1001" t="s">
        <v>2319</v>
      </c>
      <c r="B101" s="1001"/>
      <c r="C101" s="1001"/>
      <c r="D101" s="1001"/>
      <c r="E101" s="582"/>
      <c r="F101" s="582"/>
      <c r="G101" s="126"/>
    </row>
    <row r="102" spans="1:7" ht="15">
      <c r="A102" s="1001" t="s">
        <v>2306</v>
      </c>
      <c r="B102" s="1001"/>
      <c r="C102" s="573" t="s">
        <v>376</v>
      </c>
      <c r="D102" s="574" t="s">
        <v>377</v>
      </c>
      <c r="E102" s="582"/>
      <c r="F102" s="582"/>
      <c r="G102" s="126"/>
    </row>
    <row r="103" spans="1:7" ht="15">
      <c r="A103" s="575" t="s">
        <v>459</v>
      </c>
      <c r="B103" s="575"/>
      <c r="C103" s="577" t="s">
        <v>460</v>
      </c>
      <c r="D103" s="585">
        <v>110.86</v>
      </c>
      <c r="E103" s="579">
        <v>4.3799999999999999E-2</v>
      </c>
      <c r="F103" s="580">
        <f t="shared" ref="F103:F110" si="5">D103*(1+E103)</f>
        <v>115.71566800000001</v>
      </c>
      <c r="G103" s="126"/>
    </row>
    <row r="104" spans="1:7" ht="15">
      <c r="A104" s="575" t="s">
        <v>461</v>
      </c>
      <c r="B104" s="575"/>
      <c r="C104" s="577" t="s">
        <v>460</v>
      </c>
      <c r="D104" s="585">
        <v>110.86</v>
      </c>
      <c r="E104" s="579">
        <v>4.3799999999999999E-2</v>
      </c>
      <c r="F104" s="580">
        <f t="shared" si="5"/>
        <v>115.71566800000001</v>
      </c>
      <c r="G104" s="126"/>
    </row>
    <row r="105" spans="1:7" ht="15">
      <c r="A105" s="575" t="s">
        <v>462</v>
      </c>
      <c r="B105" s="575"/>
      <c r="C105" s="577" t="s">
        <v>460</v>
      </c>
      <c r="D105" s="585">
        <v>110.86</v>
      </c>
      <c r="E105" s="579">
        <v>4.3799999999999999E-2</v>
      </c>
      <c r="F105" s="580">
        <f t="shared" si="5"/>
        <v>115.71566800000001</v>
      </c>
      <c r="G105" s="126"/>
    </row>
    <row r="106" spans="1:7" ht="15">
      <c r="A106" s="575" t="s">
        <v>463</v>
      </c>
      <c r="B106" s="575"/>
      <c r="C106" s="577" t="s">
        <v>460</v>
      </c>
      <c r="D106" s="585">
        <v>55.43</v>
      </c>
      <c r="E106" s="579">
        <v>4.3799999999999999E-2</v>
      </c>
      <c r="F106" s="580">
        <f t="shared" si="5"/>
        <v>57.857834000000004</v>
      </c>
      <c r="G106" s="126"/>
    </row>
    <row r="107" spans="1:7" ht="15">
      <c r="A107" s="575" t="s">
        <v>464</v>
      </c>
      <c r="B107" s="575"/>
      <c r="C107" s="577" t="s">
        <v>465</v>
      </c>
      <c r="D107" s="585">
        <v>16.63</v>
      </c>
      <c r="E107" s="579">
        <v>4.3799999999999999E-2</v>
      </c>
      <c r="F107" s="580">
        <f t="shared" si="5"/>
        <v>17.358394000000001</v>
      </c>
      <c r="G107" s="126"/>
    </row>
    <row r="108" spans="1:7" ht="15">
      <c r="A108" s="575" t="s">
        <v>407</v>
      </c>
      <c r="B108" s="575"/>
      <c r="C108" s="577" t="s">
        <v>408</v>
      </c>
      <c r="D108" s="585">
        <v>15.76</v>
      </c>
      <c r="E108" s="579">
        <v>4.3799999999999999E-2</v>
      </c>
      <c r="F108" s="580">
        <f t="shared" si="5"/>
        <v>16.450288</v>
      </c>
      <c r="G108" s="126"/>
    </row>
    <row r="109" spans="1:7" ht="15">
      <c r="A109" s="575" t="s">
        <v>466</v>
      </c>
      <c r="B109" s="575"/>
      <c r="C109" s="577" t="s">
        <v>408</v>
      </c>
      <c r="D109" s="585">
        <v>31.53</v>
      </c>
      <c r="E109" s="579">
        <v>4.3799999999999999E-2</v>
      </c>
      <c r="F109" s="580">
        <f t="shared" si="5"/>
        <v>32.911014000000002</v>
      </c>
      <c r="G109" s="126"/>
    </row>
    <row r="110" spans="1:7" ht="15">
      <c r="A110" s="575" t="s">
        <v>467</v>
      </c>
      <c r="B110" s="575"/>
      <c r="C110" s="577" t="s">
        <v>408</v>
      </c>
      <c r="D110" s="585">
        <v>10.51</v>
      </c>
      <c r="E110" s="579">
        <v>4.3799999999999999E-2</v>
      </c>
      <c r="F110" s="580">
        <f t="shared" si="5"/>
        <v>10.970338</v>
      </c>
      <c r="G110" s="126"/>
    </row>
    <row r="111" spans="1:7">
      <c r="A111" s="124"/>
      <c r="B111" s="124"/>
      <c r="C111" s="124"/>
      <c r="D111" s="125"/>
      <c r="E111" s="124"/>
      <c r="F111" s="124"/>
      <c r="G111" s="126"/>
    </row>
    <row r="112" spans="1:7" ht="15">
      <c r="A112" s="1001" t="s">
        <v>2320</v>
      </c>
      <c r="B112" s="1001"/>
      <c r="C112" s="1001"/>
      <c r="D112" s="1001"/>
      <c r="E112" s="582"/>
      <c r="F112" s="582"/>
      <c r="G112" s="126"/>
    </row>
    <row r="113" spans="1:7" ht="15">
      <c r="A113" s="1001" t="s">
        <v>2306</v>
      </c>
      <c r="B113" s="1001"/>
      <c r="C113" s="573" t="s">
        <v>376</v>
      </c>
      <c r="D113" s="574" t="s">
        <v>377</v>
      </c>
      <c r="E113" s="582"/>
      <c r="F113" s="582"/>
      <c r="G113" s="126"/>
    </row>
    <row r="114" spans="1:7" ht="15">
      <c r="A114" s="575" t="s">
        <v>448</v>
      </c>
      <c r="B114" s="575"/>
      <c r="C114" s="577" t="s">
        <v>412</v>
      </c>
      <c r="D114" s="585">
        <v>12.08</v>
      </c>
      <c r="E114" s="579">
        <v>4.3799999999999999E-2</v>
      </c>
      <c r="F114" s="580">
        <f t="shared" ref="F114:F124" si="6">D114*(1+E114)</f>
        <v>12.609104</v>
      </c>
      <c r="G114" s="126"/>
    </row>
    <row r="115" spans="1:7" ht="15">
      <c r="A115" s="575" t="s">
        <v>378</v>
      </c>
      <c r="B115" s="575"/>
      <c r="C115" s="577" t="s">
        <v>412</v>
      </c>
      <c r="D115" s="585">
        <v>22.07</v>
      </c>
      <c r="E115" s="579">
        <v>4.3799999999999999E-2</v>
      </c>
      <c r="F115" s="580">
        <f t="shared" si="6"/>
        <v>23.036666</v>
      </c>
      <c r="G115" s="126"/>
    </row>
    <row r="116" spans="1:7" ht="15">
      <c r="A116" s="575" t="s">
        <v>380</v>
      </c>
      <c r="B116" s="575"/>
      <c r="C116" s="577" t="s">
        <v>412</v>
      </c>
      <c r="D116" s="585">
        <v>43.08</v>
      </c>
      <c r="E116" s="579">
        <v>4.3799999999999999E-2</v>
      </c>
      <c r="F116" s="580">
        <f t="shared" si="6"/>
        <v>44.966904</v>
      </c>
      <c r="G116" s="126"/>
    </row>
    <row r="117" spans="1:7" ht="15">
      <c r="A117" s="575" t="s">
        <v>449</v>
      </c>
      <c r="B117" s="575"/>
      <c r="C117" s="577" t="s">
        <v>412</v>
      </c>
      <c r="D117" s="585">
        <v>6.04</v>
      </c>
      <c r="E117" s="579">
        <v>4.3799999999999999E-2</v>
      </c>
      <c r="F117" s="580">
        <f t="shared" si="6"/>
        <v>6.3045520000000002</v>
      </c>
      <c r="G117" s="126"/>
    </row>
    <row r="118" spans="1:7" ht="15">
      <c r="A118" s="575" t="s">
        <v>381</v>
      </c>
      <c r="B118" s="575"/>
      <c r="C118" s="577" t="s">
        <v>412</v>
      </c>
      <c r="D118" s="585">
        <v>11.03</v>
      </c>
      <c r="E118" s="579">
        <v>4.3799999999999999E-2</v>
      </c>
      <c r="F118" s="580">
        <f t="shared" si="6"/>
        <v>11.513114</v>
      </c>
      <c r="G118" s="126"/>
    </row>
    <row r="119" spans="1:7" ht="15">
      <c r="A119" s="575" t="s">
        <v>382</v>
      </c>
      <c r="B119" s="575"/>
      <c r="C119" s="577" t="s">
        <v>412</v>
      </c>
      <c r="D119" s="585">
        <v>21.54</v>
      </c>
      <c r="E119" s="579">
        <v>4.3799999999999999E-2</v>
      </c>
      <c r="F119" s="580">
        <f t="shared" si="6"/>
        <v>22.483452</v>
      </c>
      <c r="G119" s="126"/>
    </row>
    <row r="120" spans="1:7" ht="15">
      <c r="A120" s="575" t="s">
        <v>403</v>
      </c>
      <c r="B120" s="575"/>
      <c r="C120" s="577" t="s">
        <v>412</v>
      </c>
      <c r="D120" s="585">
        <v>10.52</v>
      </c>
      <c r="E120" s="579">
        <v>4.3799999999999999E-2</v>
      </c>
      <c r="F120" s="580">
        <f t="shared" si="6"/>
        <v>10.980776000000001</v>
      </c>
      <c r="G120" s="126"/>
    </row>
    <row r="121" spans="1:7" ht="15">
      <c r="A121" s="575" t="s">
        <v>450</v>
      </c>
      <c r="B121" s="575"/>
      <c r="C121" s="577" t="s">
        <v>412</v>
      </c>
      <c r="D121" s="585">
        <v>22.07</v>
      </c>
      <c r="E121" s="579">
        <v>4.3799999999999999E-2</v>
      </c>
      <c r="F121" s="580">
        <f t="shared" si="6"/>
        <v>23.036666</v>
      </c>
      <c r="G121" s="126"/>
    </row>
    <row r="122" spans="1:7" ht="15">
      <c r="A122" s="575" t="s">
        <v>457</v>
      </c>
      <c r="B122" s="575"/>
      <c r="C122" s="577" t="s">
        <v>412</v>
      </c>
      <c r="D122" s="585">
        <v>43.08</v>
      </c>
      <c r="E122" s="579">
        <v>4.3799999999999999E-2</v>
      </c>
      <c r="F122" s="580">
        <f t="shared" si="6"/>
        <v>44.966904</v>
      </c>
      <c r="G122" s="126"/>
    </row>
    <row r="123" spans="1:7" ht="15">
      <c r="A123" s="575" t="s">
        <v>458</v>
      </c>
      <c r="B123" s="575"/>
      <c r="C123" s="577" t="s">
        <v>412</v>
      </c>
      <c r="D123" s="585">
        <v>43.08</v>
      </c>
      <c r="E123" s="579">
        <v>4.3799999999999999E-2</v>
      </c>
      <c r="F123" s="580">
        <f t="shared" si="6"/>
        <v>44.966904</v>
      </c>
      <c r="G123" s="126"/>
    </row>
    <row r="124" spans="1:7" ht="15">
      <c r="A124" s="575" t="s">
        <v>393</v>
      </c>
      <c r="B124" s="575"/>
      <c r="C124" s="577" t="s">
        <v>412</v>
      </c>
      <c r="D124" s="585">
        <v>43.08</v>
      </c>
      <c r="E124" s="579">
        <v>4.3799999999999999E-2</v>
      </c>
      <c r="F124" s="580">
        <f t="shared" si="6"/>
        <v>44.966904</v>
      </c>
      <c r="G124" s="126"/>
    </row>
    <row r="125" spans="1:7" ht="15">
      <c r="A125" s="575"/>
      <c r="B125" s="575"/>
      <c r="C125" s="575"/>
      <c r="D125" s="585"/>
      <c r="E125" s="575"/>
      <c r="F125" s="575"/>
      <c r="G125" s="126"/>
    </row>
    <row r="126" spans="1:7" ht="15">
      <c r="A126" s="1001" t="s">
        <v>2321</v>
      </c>
      <c r="B126" s="1001"/>
      <c r="C126" s="1001"/>
      <c r="D126" s="1001"/>
      <c r="E126" s="582"/>
      <c r="F126" s="582"/>
      <c r="G126" s="1009" t="s">
        <v>2322</v>
      </c>
    </row>
    <row r="127" spans="1:7" ht="15">
      <c r="A127" s="1001" t="s">
        <v>2306</v>
      </c>
      <c r="B127" s="1001"/>
      <c r="C127" s="573" t="s">
        <v>376</v>
      </c>
      <c r="D127" s="574" t="s">
        <v>377</v>
      </c>
      <c r="E127" s="582"/>
      <c r="F127" s="582"/>
      <c r="G127" s="1009"/>
    </row>
    <row r="128" spans="1:7" ht="15">
      <c r="A128" s="575" t="s">
        <v>448</v>
      </c>
      <c r="B128" s="575"/>
      <c r="C128" s="577" t="s">
        <v>414</v>
      </c>
      <c r="D128" s="585">
        <v>5</v>
      </c>
      <c r="E128" s="579">
        <v>4.3799999999999999E-2</v>
      </c>
      <c r="F128" s="580">
        <f t="shared" ref="F128:F148" si="7">D128*(1+E128)</f>
        <v>5.2190000000000003</v>
      </c>
      <c r="G128" s="1009"/>
    </row>
    <row r="129" spans="1:7" ht="15">
      <c r="A129" s="575" t="s">
        <v>378</v>
      </c>
      <c r="B129" s="575"/>
      <c r="C129" s="577" t="s">
        <v>414</v>
      </c>
      <c r="D129" s="585">
        <v>8</v>
      </c>
      <c r="E129" s="579">
        <v>4.3799999999999999E-2</v>
      </c>
      <c r="F129" s="580">
        <f t="shared" si="7"/>
        <v>8.3504000000000005</v>
      </c>
      <c r="G129" s="1009"/>
    </row>
    <row r="130" spans="1:7" ht="15">
      <c r="A130" s="575" t="s">
        <v>380</v>
      </c>
      <c r="B130" s="575"/>
      <c r="C130" s="577" t="s">
        <v>414</v>
      </c>
      <c r="D130" s="585">
        <v>12</v>
      </c>
      <c r="E130" s="579">
        <v>4.3799999999999999E-2</v>
      </c>
      <c r="F130" s="580">
        <f t="shared" si="7"/>
        <v>12.525600000000001</v>
      </c>
      <c r="G130" s="1009"/>
    </row>
    <row r="131" spans="1:7" ht="15">
      <c r="A131" s="587" t="s">
        <v>2312</v>
      </c>
      <c r="B131" s="587"/>
      <c r="C131" s="588" t="s">
        <v>1209</v>
      </c>
      <c r="D131" s="585"/>
      <c r="E131" s="589"/>
      <c r="F131" s="578">
        <v>14</v>
      </c>
      <c r="G131" s="1009"/>
    </row>
    <row r="132" spans="1:7" ht="15">
      <c r="A132" s="587" t="s">
        <v>449</v>
      </c>
      <c r="B132" s="587"/>
      <c r="C132" s="588" t="s">
        <v>414</v>
      </c>
      <c r="D132" s="585">
        <v>4</v>
      </c>
      <c r="E132" s="589">
        <v>4.3799999999999999E-2</v>
      </c>
      <c r="F132" s="578">
        <f t="shared" si="7"/>
        <v>4.1752000000000002</v>
      </c>
      <c r="G132" s="1009"/>
    </row>
    <row r="133" spans="1:7" ht="15">
      <c r="A133" s="587" t="s">
        <v>381</v>
      </c>
      <c r="B133" s="587"/>
      <c r="C133" s="588" t="s">
        <v>414</v>
      </c>
      <c r="D133" s="585">
        <v>4.43</v>
      </c>
      <c r="E133" s="589"/>
      <c r="F133" s="578">
        <f t="shared" si="7"/>
        <v>4.43</v>
      </c>
      <c r="G133" s="1009"/>
    </row>
    <row r="134" spans="1:7" ht="15">
      <c r="A134" s="587" t="s">
        <v>382</v>
      </c>
      <c r="B134" s="587"/>
      <c r="C134" s="588" t="s">
        <v>414</v>
      </c>
      <c r="D134" s="585">
        <v>6.65</v>
      </c>
      <c r="E134" s="589"/>
      <c r="F134" s="578">
        <f t="shared" si="7"/>
        <v>6.65</v>
      </c>
      <c r="G134" s="1009"/>
    </row>
    <row r="135" spans="1:7" ht="15">
      <c r="A135" s="587" t="s">
        <v>2313</v>
      </c>
      <c r="B135" s="587"/>
      <c r="C135" s="588" t="s">
        <v>1209</v>
      </c>
      <c r="D135" s="585"/>
      <c r="E135" s="589"/>
      <c r="F135" s="578">
        <v>6.65</v>
      </c>
      <c r="G135" s="1009"/>
    </row>
    <row r="136" spans="1:7" ht="15">
      <c r="A136" s="587" t="s">
        <v>415</v>
      </c>
      <c r="B136" s="587"/>
      <c r="C136" s="588" t="s">
        <v>468</v>
      </c>
      <c r="D136" s="595">
        <v>1.5E-3</v>
      </c>
      <c r="E136" s="589">
        <v>4.3799999999999999E-2</v>
      </c>
      <c r="F136" s="602">
        <f t="shared" si="7"/>
        <v>1.5657000000000002E-3</v>
      </c>
      <c r="G136" s="1009"/>
    </row>
    <row r="137" spans="1:7" ht="15">
      <c r="A137" s="587" t="s">
        <v>416</v>
      </c>
      <c r="B137" s="587"/>
      <c r="C137" s="588" t="s">
        <v>468</v>
      </c>
      <c r="D137" s="595">
        <v>1.3699999999999999E-3</v>
      </c>
      <c r="E137" s="589"/>
      <c r="F137" s="602">
        <f t="shared" si="7"/>
        <v>1.3699999999999999E-3</v>
      </c>
      <c r="G137" s="1009"/>
    </row>
    <row r="138" spans="1:7" ht="15">
      <c r="A138" s="587" t="s">
        <v>417</v>
      </c>
      <c r="B138" s="587"/>
      <c r="C138" s="588" t="s">
        <v>468</v>
      </c>
      <c r="D138" s="595">
        <v>1E-3</v>
      </c>
      <c r="E138" s="589"/>
      <c r="F138" s="602">
        <f t="shared" si="7"/>
        <v>1E-3</v>
      </c>
      <c r="G138" s="1009"/>
    </row>
    <row r="139" spans="1:7" ht="15">
      <c r="A139" s="587" t="s">
        <v>450</v>
      </c>
      <c r="B139" s="587"/>
      <c r="C139" s="588" t="s">
        <v>414</v>
      </c>
      <c r="D139" s="585">
        <v>4.43</v>
      </c>
      <c r="E139" s="589"/>
      <c r="F139" s="578">
        <f t="shared" si="7"/>
        <v>4.43</v>
      </c>
      <c r="G139" s="1009"/>
    </row>
    <row r="140" spans="1:7" ht="15">
      <c r="A140" s="587" t="s">
        <v>457</v>
      </c>
      <c r="B140" s="587"/>
      <c r="C140" s="588" t="s">
        <v>414</v>
      </c>
      <c r="D140" s="585">
        <v>10.51</v>
      </c>
      <c r="E140" s="589">
        <v>4.3799999999999999E-2</v>
      </c>
      <c r="F140" s="578">
        <f t="shared" si="7"/>
        <v>10.970338</v>
      </c>
      <c r="G140" s="1009"/>
    </row>
    <row r="141" spans="1:7" ht="15">
      <c r="A141" s="587" t="s">
        <v>458</v>
      </c>
      <c r="B141" s="587"/>
      <c r="C141" s="588" t="s">
        <v>414</v>
      </c>
      <c r="D141" s="585">
        <v>10.51</v>
      </c>
      <c r="E141" s="589">
        <v>4.3799999999999999E-2</v>
      </c>
      <c r="F141" s="578">
        <f t="shared" si="7"/>
        <v>10.970338</v>
      </c>
      <c r="G141" s="1009"/>
    </row>
    <row r="142" spans="1:7" ht="15">
      <c r="A142" s="587" t="s">
        <v>451</v>
      </c>
      <c r="B142" s="587"/>
      <c r="C142" s="588" t="s">
        <v>414</v>
      </c>
      <c r="D142" s="585">
        <v>5.49</v>
      </c>
      <c r="E142" s="589"/>
      <c r="F142" s="578">
        <f t="shared" si="7"/>
        <v>5.49</v>
      </c>
      <c r="G142" s="1009"/>
    </row>
    <row r="143" spans="1:7" s="599" customFormat="1" ht="15">
      <c r="A143" s="587" t="s">
        <v>2315</v>
      </c>
      <c r="B143" s="587"/>
      <c r="C143" s="588" t="s">
        <v>1209</v>
      </c>
      <c r="D143" s="585"/>
      <c r="E143" s="589"/>
      <c r="F143" s="578">
        <v>4.2</v>
      </c>
      <c r="G143" s="1009"/>
    </row>
    <row r="144" spans="1:7" ht="15">
      <c r="A144" s="587" t="s">
        <v>390</v>
      </c>
      <c r="B144" s="587"/>
      <c r="C144" s="588" t="s">
        <v>414</v>
      </c>
      <c r="D144" s="585">
        <v>3.42</v>
      </c>
      <c r="E144" s="589">
        <v>4.3799999999999999E-2</v>
      </c>
      <c r="F144" s="578">
        <f t="shared" si="7"/>
        <v>3.5697960000000002</v>
      </c>
      <c r="G144" s="1009"/>
    </row>
    <row r="145" spans="1:7" ht="15">
      <c r="A145" s="587" t="s">
        <v>389</v>
      </c>
      <c r="B145" s="587"/>
      <c r="C145" s="588" t="s">
        <v>414</v>
      </c>
      <c r="D145" s="585">
        <v>2.36</v>
      </c>
      <c r="E145" s="589">
        <v>4.3799999999999999E-2</v>
      </c>
      <c r="F145" s="578">
        <f t="shared" si="7"/>
        <v>2.463368</v>
      </c>
      <c r="G145" s="1009"/>
    </row>
    <row r="146" spans="1:7" ht="15">
      <c r="A146" s="587" t="s">
        <v>393</v>
      </c>
      <c r="B146" s="587" t="s">
        <v>394</v>
      </c>
      <c r="C146" s="588" t="s">
        <v>414</v>
      </c>
      <c r="D146" s="585">
        <v>6.65</v>
      </c>
      <c r="E146" s="589">
        <v>4.3799999999999999E-2</v>
      </c>
      <c r="F146" s="578">
        <f t="shared" si="7"/>
        <v>6.9412700000000012</v>
      </c>
      <c r="G146" s="1009"/>
    </row>
    <row r="147" spans="1:7" ht="15">
      <c r="A147" s="575" t="s">
        <v>393</v>
      </c>
      <c r="B147" s="575" t="s">
        <v>395</v>
      </c>
      <c r="C147" s="577" t="s">
        <v>414</v>
      </c>
      <c r="D147" s="585">
        <v>8.8699999999999992</v>
      </c>
      <c r="E147" s="579">
        <v>4.3799999999999999E-2</v>
      </c>
      <c r="F147" s="580">
        <f t="shared" si="7"/>
        <v>9.2585060000000006</v>
      </c>
      <c r="G147" s="1009"/>
    </row>
    <row r="148" spans="1:7" ht="15">
      <c r="A148" s="575" t="s">
        <v>393</v>
      </c>
      <c r="B148" s="575" t="s">
        <v>396</v>
      </c>
      <c r="C148" s="577" t="s">
        <v>414</v>
      </c>
      <c r="D148" s="585">
        <v>10.51</v>
      </c>
      <c r="E148" s="579">
        <v>4.3799999999999999E-2</v>
      </c>
      <c r="F148" s="580">
        <f t="shared" si="7"/>
        <v>10.970338</v>
      </c>
      <c r="G148" s="1009"/>
    </row>
    <row r="149" spans="1:7">
      <c r="A149" s="124"/>
      <c r="B149" s="124"/>
      <c r="C149" s="124"/>
      <c r="D149" s="125"/>
      <c r="E149" s="124"/>
      <c r="F149" s="124"/>
      <c r="G149" s="1009"/>
    </row>
    <row r="150" spans="1:7" ht="15">
      <c r="A150" s="1001" t="s">
        <v>2323</v>
      </c>
      <c r="B150" s="1001"/>
      <c r="C150" s="1001"/>
      <c r="D150" s="1001"/>
      <c r="E150" s="582"/>
      <c r="F150" s="582"/>
      <c r="G150" s="126"/>
    </row>
    <row r="151" spans="1:7" ht="15">
      <c r="A151" s="1001" t="s">
        <v>2306</v>
      </c>
      <c r="B151" s="1001"/>
      <c r="C151" s="573" t="s">
        <v>376</v>
      </c>
      <c r="D151" s="574" t="s">
        <v>377</v>
      </c>
      <c r="E151" s="582"/>
      <c r="F151" s="582"/>
      <c r="G151" s="126"/>
    </row>
    <row r="152" spans="1:7" ht="15">
      <c r="A152" s="575" t="s">
        <v>433</v>
      </c>
      <c r="B152" s="575"/>
      <c r="C152" s="577" t="s">
        <v>434</v>
      </c>
      <c r="D152" s="585">
        <v>52.54</v>
      </c>
      <c r="E152" s="579">
        <v>4.3799999999999999E-2</v>
      </c>
      <c r="F152" s="580">
        <f t="shared" ref="F152:F156" si="8">D152*(1+E152)</f>
        <v>54.841252000000004</v>
      </c>
      <c r="G152" s="126"/>
    </row>
    <row r="153" spans="1:7" ht="15">
      <c r="A153" s="575" t="s">
        <v>469</v>
      </c>
      <c r="B153" s="575"/>
      <c r="C153" s="577" t="s">
        <v>434</v>
      </c>
      <c r="D153" s="585">
        <v>26.27</v>
      </c>
      <c r="E153" s="579">
        <v>4.3799999999999999E-2</v>
      </c>
      <c r="F153" s="580">
        <f t="shared" si="8"/>
        <v>27.420626000000002</v>
      </c>
      <c r="G153" s="126"/>
    </row>
    <row r="154" spans="1:7" ht="15">
      <c r="A154" s="575" t="s">
        <v>435</v>
      </c>
      <c r="B154" s="575"/>
      <c r="C154" s="577" t="s">
        <v>408</v>
      </c>
      <c r="D154" s="585">
        <v>52.54</v>
      </c>
      <c r="E154" s="579">
        <v>4.3799999999999999E-2</v>
      </c>
      <c r="F154" s="580">
        <f t="shared" si="8"/>
        <v>54.841252000000004</v>
      </c>
      <c r="G154" s="126"/>
    </row>
    <row r="155" spans="1:7" ht="15">
      <c r="A155" s="575" t="s">
        <v>436</v>
      </c>
      <c r="B155" s="575"/>
      <c r="C155" s="577" t="s">
        <v>437</v>
      </c>
      <c r="D155" s="585">
        <v>6</v>
      </c>
      <c r="E155" s="579">
        <v>4.3799999999999999E-2</v>
      </c>
      <c r="F155" s="580">
        <f t="shared" si="8"/>
        <v>6.2628000000000004</v>
      </c>
      <c r="G155" s="126"/>
    </row>
    <row r="156" spans="1:7" ht="15">
      <c r="A156" s="575"/>
      <c r="B156" s="575"/>
      <c r="C156" s="577" t="s">
        <v>470</v>
      </c>
      <c r="D156" s="585">
        <v>52.54</v>
      </c>
      <c r="E156" s="579">
        <v>4.3799999999999999E-2</v>
      </c>
      <c r="F156" s="580">
        <f t="shared" si="8"/>
        <v>54.841252000000004</v>
      </c>
      <c r="G156" s="126"/>
    </row>
    <row r="157" spans="1:7" ht="45">
      <c r="A157" s="603" t="s">
        <v>441</v>
      </c>
      <c r="B157" s="603" t="s">
        <v>442</v>
      </c>
      <c r="C157" s="604" t="s">
        <v>2324</v>
      </c>
      <c r="D157" s="604"/>
      <c r="E157" s="575"/>
      <c r="F157" s="575"/>
      <c r="G157" s="126"/>
    </row>
    <row r="158" spans="1:7">
      <c r="A158" s="124"/>
      <c r="B158" s="124"/>
      <c r="C158" s="124"/>
      <c r="D158" s="125"/>
      <c r="E158" s="124"/>
      <c r="F158" s="124"/>
      <c r="G158" s="126"/>
    </row>
    <row r="159" spans="1:7" ht="15">
      <c r="A159" s="1002" t="s">
        <v>471</v>
      </c>
      <c r="B159" s="1002"/>
      <c r="C159" s="1002"/>
      <c r="D159" s="1002"/>
      <c r="E159" s="582"/>
      <c r="F159" s="582"/>
      <c r="G159" s="126"/>
    </row>
    <row r="160" spans="1:7" ht="15">
      <c r="A160" s="1003" t="s">
        <v>472</v>
      </c>
      <c r="B160" s="1003"/>
      <c r="C160" s="1003"/>
      <c r="D160" s="605">
        <v>0.6</v>
      </c>
      <c r="E160" s="124"/>
      <c r="F160" s="124"/>
      <c r="G160" s="126"/>
    </row>
    <row r="161" spans="1:7" ht="15">
      <c r="A161" s="606" t="s">
        <v>443</v>
      </c>
      <c r="B161" s="575"/>
      <c r="C161" s="575"/>
      <c r="D161" s="585"/>
      <c r="E161" s="124"/>
      <c r="F161" s="124"/>
      <c r="G161" s="126"/>
    </row>
    <row r="162" spans="1:7" ht="15">
      <c r="A162" s="576" t="s">
        <v>444</v>
      </c>
      <c r="B162" s="607">
        <v>0.25</v>
      </c>
      <c r="C162" s="575"/>
      <c r="D162" s="585"/>
      <c r="E162" s="124"/>
      <c r="F162" s="124"/>
      <c r="G162" s="126"/>
    </row>
    <row r="163" spans="1:7" ht="15">
      <c r="A163" s="576" t="s">
        <v>445</v>
      </c>
      <c r="B163" s="607">
        <v>0.4</v>
      </c>
      <c r="C163" s="575"/>
      <c r="D163" s="585"/>
      <c r="E163" s="124"/>
      <c r="F163" s="124"/>
      <c r="G163" s="128"/>
    </row>
    <row r="164" spans="1:7">
      <c r="A164" s="127"/>
      <c r="B164" s="127"/>
      <c r="C164" s="127"/>
      <c r="D164" s="129"/>
    </row>
    <row r="165" spans="1:7" ht="15">
      <c r="A165" s="132"/>
      <c r="B165" s="127"/>
      <c r="C165" s="127"/>
      <c r="D165" s="129"/>
    </row>
    <row r="166" spans="1:7">
      <c r="A166" s="127"/>
      <c r="B166" s="127"/>
      <c r="C166" s="127"/>
      <c r="D166" s="129"/>
    </row>
    <row r="167" spans="1:7">
      <c r="A167" s="130"/>
      <c r="B167" s="127"/>
      <c r="C167" s="127"/>
      <c r="D167" s="129"/>
    </row>
    <row r="168" spans="1:7">
      <c r="A168" s="127"/>
      <c r="B168" s="127"/>
      <c r="C168" s="127"/>
      <c r="D168" s="129"/>
    </row>
    <row r="169" spans="1:7">
      <c r="A169" s="127"/>
      <c r="B169" s="127"/>
      <c r="C169" s="127"/>
      <c r="D169" s="129"/>
    </row>
    <row r="170" spans="1:7">
      <c r="A170" s="127"/>
      <c r="B170" s="127"/>
      <c r="C170" s="127"/>
      <c r="D170" s="129"/>
    </row>
    <row r="171" spans="1:7">
      <c r="A171" s="127"/>
      <c r="B171" s="127"/>
      <c r="C171" s="127"/>
      <c r="D171" s="129"/>
    </row>
    <row r="172" spans="1:7">
      <c r="A172" s="127"/>
      <c r="B172" s="127"/>
      <c r="C172" s="127"/>
      <c r="D172" s="129"/>
    </row>
    <row r="173" spans="1:7">
      <c r="A173" s="127"/>
      <c r="B173" s="127"/>
      <c r="C173" s="127"/>
      <c r="D173" s="129"/>
    </row>
  </sheetData>
  <sheetProtection algorithmName="SHA-512" hashValue="KKW91YZqhf5g/v5tIiotLtTeDsjS2cJvXf94s6JIL6XJ3RYYFg3zoHjnhszaqtOW89RfzJTCM2EcWcroETCJVw==" saltValue="j3tsXVy/rfEwyZ7MWgr93w==" spinCount="100000" sheet="1" objects="1" scenarios="1"/>
  <mergeCells count="31">
    <mergeCell ref="A1:D1"/>
    <mergeCell ref="A2:D2"/>
    <mergeCell ref="A3:D3"/>
    <mergeCell ref="A5:D5"/>
    <mergeCell ref="E5:E7"/>
    <mergeCell ref="F5:F7"/>
    <mergeCell ref="G5:G7"/>
    <mergeCell ref="A6:D6"/>
    <mergeCell ref="A7:B7"/>
    <mergeCell ref="A17:D17"/>
    <mergeCell ref="G126:G149"/>
    <mergeCell ref="A127:B127"/>
    <mergeCell ref="A150:D150"/>
    <mergeCell ref="A59:B59"/>
    <mergeCell ref="A81:D81"/>
    <mergeCell ref="A82:B82"/>
    <mergeCell ref="C100:D100"/>
    <mergeCell ref="A101:D101"/>
    <mergeCell ref="A102:B102"/>
    <mergeCell ref="A151:B151"/>
    <mergeCell ref="A159:D159"/>
    <mergeCell ref="A160:C160"/>
    <mergeCell ref="A4:E4"/>
    <mergeCell ref="A112:D112"/>
    <mergeCell ref="A113:B113"/>
    <mergeCell ref="A126:D126"/>
    <mergeCell ref="A28:D28"/>
    <mergeCell ref="A29:D29"/>
    <mergeCell ref="A30:B30"/>
    <mergeCell ref="A58:D58"/>
    <mergeCell ref="A26:D26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117"/>
  <sheetViews>
    <sheetView workbookViewId="0">
      <selection activeCell="I15" sqref="I15"/>
    </sheetView>
  </sheetViews>
  <sheetFormatPr baseColWidth="10" defaultRowHeight="12.75"/>
  <cols>
    <col min="1" max="1" width="5.7109375" bestFit="1" customWidth="1"/>
    <col min="2" max="2" width="48.140625" bestFit="1" customWidth="1"/>
    <col min="4" max="4" width="9.140625" bestFit="1" customWidth="1"/>
    <col min="5" max="5" width="18.42578125" customWidth="1"/>
    <col min="6" max="6" width="13" bestFit="1" customWidth="1"/>
  </cols>
  <sheetData>
    <row r="1" spans="1:7" ht="15">
      <c r="A1" s="680" t="s">
        <v>2227</v>
      </c>
      <c r="B1" s="680"/>
      <c r="C1" s="680"/>
      <c r="D1" s="680"/>
      <c r="E1" s="680"/>
      <c r="F1" s="680"/>
      <c r="G1" s="680"/>
    </row>
    <row r="2" spans="1:7" ht="15">
      <c r="A2" s="680" t="s">
        <v>2300</v>
      </c>
      <c r="B2" s="680"/>
      <c r="C2" s="680"/>
      <c r="D2" s="680"/>
      <c r="E2" s="680"/>
      <c r="F2" s="680"/>
      <c r="G2" s="680"/>
    </row>
    <row r="3" spans="1:7" ht="13.5" thickBot="1"/>
    <row r="4" spans="1:7" ht="15.75" thickBot="1">
      <c r="A4" s="1016" t="s">
        <v>294</v>
      </c>
      <c r="B4" s="1017"/>
      <c r="C4" s="1017"/>
      <c r="D4" s="1017"/>
      <c r="E4" s="1017"/>
      <c r="F4" s="1017"/>
      <c r="G4" s="1018"/>
    </row>
    <row r="5" spans="1:7">
      <c r="A5" s="514"/>
      <c r="B5" s="515"/>
      <c r="C5" s="515"/>
      <c r="D5" s="515"/>
      <c r="E5" s="515"/>
      <c r="F5" s="515"/>
      <c r="G5" s="516"/>
    </row>
    <row r="6" spans="1:7">
      <c r="A6" s="1019" t="s">
        <v>511</v>
      </c>
      <c r="B6" s="1020"/>
      <c r="C6" s="1020"/>
      <c r="D6" s="1020"/>
      <c r="E6" s="1020"/>
      <c r="F6" s="517" t="s">
        <v>2065</v>
      </c>
      <c r="G6" s="518"/>
    </row>
    <row r="7" spans="1:7">
      <c r="A7" s="519" t="s">
        <v>2066</v>
      </c>
      <c r="B7" s="1022" t="s">
        <v>2067</v>
      </c>
      <c r="C7" s="1022"/>
      <c r="D7" s="1022"/>
      <c r="E7" s="1022"/>
      <c r="F7" s="520">
        <v>0.72</v>
      </c>
      <c r="G7" s="518"/>
    </row>
    <row r="8" spans="1:7">
      <c r="A8" s="519" t="s">
        <v>2068</v>
      </c>
      <c r="B8" s="1022" t="s">
        <v>2069</v>
      </c>
      <c r="C8" s="1022"/>
      <c r="D8" s="1022"/>
      <c r="E8" s="1022"/>
      <c r="F8" s="521">
        <v>0.5</v>
      </c>
      <c r="G8" s="518"/>
    </row>
    <row r="9" spans="1:7" ht="13.5" thickBot="1">
      <c r="A9" s="522"/>
      <c r="B9" s="523"/>
      <c r="C9" s="523"/>
      <c r="D9" s="523"/>
      <c r="E9" s="523"/>
      <c r="F9" s="524"/>
      <c r="G9" s="518"/>
    </row>
    <row r="10" spans="1:7" ht="15.75" thickBot="1">
      <c r="A10" s="1016" t="s">
        <v>300</v>
      </c>
      <c r="B10" s="1017"/>
      <c r="C10" s="1017"/>
      <c r="D10" s="1017"/>
      <c r="E10" s="1017"/>
      <c r="F10" s="1017"/>
      <c r="G10" s="1018"/>
    </row>
    <row r="11" spans="1:7">
      <c r="A11" s="514"/>
      <c r="B11" s="515"/>
      <c r="C11" s="515"/>
      <c r="D11" s="515"/>
      <c r="E11" s="515"/>
      <c r="F11" s="515"/>
      <c r="G11" s="516"/>
    </row>
    <row r="12" spans="1:7">
      <c r="A12" s="1019" t="s">
        <v>511</v>
      </c>
      <c r="B12" s="1020"/>
      <c r="C12" s="1020"/>
      <c r="D12" s="1020"/>
      <c r="E12" s="1020"/>
      <c r="F12" s="525" t="s">
        <v>2065</v>
      </c>
      <c r="G12" s="526"/>
    </row>
    <row r="13" spans="1:7">
      <c r="A13" s="519" t="s">
        <v>2070</v>
      </c>
      <c r="B13" s="1014" t="s">
        <v>2071</v>
      </c>
      <c r="C13" s="1014"/>
      <c r="D13" s="1014"/>
      <c r="E13" s="1014"/>
      <c r="F13" s="521">
        <v>5</v>
      </c>
      <c r="G13" s="518"/>
    </row>
    <row r="14" spans="1:7" ht="38.25">
      <c r="A14" s="522"/>
      <c r="B14" s="527"/>
      <c r="C14" s="527" t="s">
        <v>2072</v>
      </c>
      <c r="D14" s="523" t="s">
        <v>2073</v>
      </c>
      <c r="E14" s="527"/>
      <c r="F14" s="524"/>
      <c r="G14" s="518"/>
    </row>
    <row r="15" spans="1:7" ht="38.25">
      <c r="A15" s="522"/>
      <c r="B15" s="527"/>
      <c r="C15" s="527"/>
      <c r="D15" s="523" t="s">
        <v>2074</v>
      </c>
      <c r="E15" s="527"/>
      <c r="F15" s="524"/>
      <c r="G15" s="518"/>
    </row>
    <row r="16" spans="1:7" ht="38.25" customHeight="1">
      <c r="A16" s="522"/>
      <c r="B16" s="527"/>
      <c r="C16" s="527" t="s">
        <v>1666</v>
      </c>
      <c r="D16" s="1025" t="s">
        <v>2075</v>
      </c>
      <c r="E16" s="1025"/>
      <c r="F16" s="528">
        <v>0.1</v>
      </c>
      <c r="G16" s="518"/>
    </row>
    <row r="17" spans="1:7">
      <c r="A17" s="522"/>
      <c r="B17" s="527"/>
      <c r="C17" s="527"/>
      <c r="D17" s="1024"/>
      <c r="E17" s="1024"/>
      <c r="F17" s="524"/>
      <c r="G17" s="518"/>
    </row>
    <row r="18" spans="1:7">
      <c r="A18" s="519" t="s">
        <v>2076</v>
      </c>
      <c r="B18" s="1014" t="s">
        <v>2077</v>
      </c>
      <c r="C18" s="1014"/>
      <c r="D18" s="1014"/>
      <c r="E18" s="1014"/>
      <c r="F18" s="529">
        <v>6.5</v>
      </c>
      <c r="G18" s="518"/>
    </row>
    <row r="19" spans="1:7">
      <c r="A19" s="530" t="s">
        <v>2078</v>
      </c>
      <c r="B19" s="1022" t="s">
        <v>2079</v>
      </c>
      <c r="C19" s="1022"/>
      <c r="D19" s="1022"/>
      <c r="E19" s="1022"/>
      <c r="F19" s="529">
        <v>95</v>
      </c>
      <c r="G19" s="531"/>
    </row>
    <row r="20" spans="1:7">
      <c r="A20" s="532" t="s">
        <v>2080</v>
      </c>
      <c r="B20" s="1014" t="s">
        <v>2081</v>
      </c>
      <c r="C20" s="1014"/>
      <c r="D20" s="1014"/>
      <c r="E20" s="1014"/>
      <c r="F20" s="521">
        <v>125</v>
      </c>
      <c r="G20" s="518"/>
    </row>
    <row r="21" spans="1:7">
      <c r="A21" s="532" t="s">
        <v>2082</v>
      </c>
      <c r="B21" s="1014" t="s">
        <v>2083</v>
      </c>
      <c r="C21" s="1014"/>
      <c r="D21" s="1014"/>
      <c r="E21" s="1014"/>
      <c r="F21" s="520">
        <v>53.09</v>
      </c>
      <c r="G21" s="518"/>
    </row>
    <row r="22" spans="1:7">
      <c r="A22" s="532" t="s">
        <v>2084</v>
      </c>
      <c r="B22" s="1014" t="s">
        <v>2085</v>
      </c>
      <c r="C22" s="1014"/>
      <c r="D22" s="1014"/>
      <c r="E22" s="1014"/>
      <c r="F22" s="521">
        <v>27.5</v>
      </c>
      <c r="G22" s="518"/>
    </row>
    <row r="23" spans="1:7">
      <c r="A23" s="532" t="s">
        <v>2086</v>
      </c>
      <c r="B23" s="1014" t="s">
        <v>2087</v>
      </c>
      <c r="C23" s="1014"/>
      <c r="D23" s="1014"/>
      <c r="E23" s="1014"/>
      <c r="F23" s="521">
        <v>25</v>
      </c>
      <c r="G23" s="518"/>
    </row>
    <row r="24" spans="1:7">
      <c r="A24" s="532" t="s">
        <v>2088</v>
      </c>
      <c r="B24" s="1014" t="s">
        <v>2089</v>
      </c>
      <c r="C24" s="1014"/>
      <c r="D24" s="1014"/>
      <c r="E24" s="1014"/>
      <c r="F24" s="521">
        <v>110</v>
      </c>
      <c r="G24" s="518"/>
    </row>
    <row r="25" spans="1:7">
      <c r="A25" s="532" t="s">
        <v>2090</v>
      </c>
      <c r="B25" s="1014" t="s">
        <v>2091</v>
      </c>
      <c r="C25" s="1014"/>
      <c r="D25" s="1014"/>
      <c r="E25" s="1014"/>
      <c r="F25" s="521">
        <v>155</v>
      </c>
      <c r="G25" s="518"/>
    </row>
    <row r="26" spans="1:7">
      <c r="A26" s="533" t="s">
        <v>2092</v>
      </c>
      <c r="B26" s="1014" t="s">
        <v>2093</v>
      </c>
      <c r="C26" s="1014"/>
      <c r="D26" s="1014"/>
      <c r="E26" s="1014"/>
      <c r="F26" s="524">
        <v>25</v>
      </c>
      <c r="G26" s="518"/>
    </row>
    <row r="27" spans="1:7">
      <c r="A27" s="532" t="s">
        <v>2094</v>
      </c>
      <c r="B27" s="1014" t="s">
        <v>2095</v>
      </c>
      <c r="C27" s="1014"/>
      <c r="D27" s="1014"/>
      <c r="E27" s="1014"/>
      <c r="F27" s="521">
        <v>110</v>
      </c>
      <c r="G27" s="518"/>
    </row>
    <row r="28" spans="1:7">
      <c r="A28" s="532" t="s">
        <v>2096</v>
      </c>
      <c r="B28" s="1014" t="s">
        <v>2097</v>
      </c>
      <c r="C28" s="1014"/>
      <c r="D28" s="1014"/>
      <c r="E28" s="1014"/>
      <c r="F28" s="521">
        <v>150</v>
      </c>
      <c r="G28" s="518"/>
    </row>
    <row r="29" spans="1:7">
      <c r="A29" s="530" t="s">
        <v>2098</v>
      </c>
      <c r="B29" s="1022" t="s">
        <v>2099</v>
      </c>
      <c r="C29" s="1022"/>
      <c r="D29" s="1022"/>
      <c r="E29" s="1022"/>
      <c r="F29" s="534">
        <v>25</v>
      </c>
      <c r="G29" s="518"/>
    </row>
    <row r="30" spans="1:7">
      <c r="A30" s="522" t="s">
        <v>2100</v>
      </c>
      <c r="B30" s="1014" t="s">
        <v>2101</v>
      </c>
      <c r="C30" s="1014"/>
      <c r="D30" s="1014"/>
      <c r="E30" s="1014"/>
      <c r="F30" s="520">
        <v>43.66</v>
      </c>
      <c r="G30" s="518"/>
    </row>
    <row r="31" spans="1:7">
      <c r="A31" s="522" t="s">
        <v>2102</v>
      </c>
      <c r="B31" s="1014" t="s">
        <v>2103</v>
      </c>
      <c r="C31" s="1014"/>
      <c r="D31" s="1014"/>
      <c r="E31" s="1014"/>
      <c r="F31" s="520">
        <v>24.13</v>
      </c>
      <c r="G31" s="518"/>
    </row>
    <row r="32" spans="1:7" ht="38.25">
      <c r="A32" s="532"/>
      <c r="B32" s="527"/>
      <c r="C32" s="523" t="s">
        <v>2072</v>
      </c>
      <c r="D32" s="523" t="s">
        <v>2073</v>
      </c>
      <c r="E32" s="523"/>
      <c r="F32" s="524"/>
      <c r="G32" s="518"/>
    </row>
    <row r="33" spans="1:7" ht="38.25">
      <c r="A33" s="532"/>
      <c r="B33" s="527"/>
      <c r="C33" s="523"/>
      <c r="D33" s="523" t="s">
        <v>2074</v>
      </c>
      <c r="E33" s="523"/>
      <c r="F33" s="524"/>
      <c r="G33" s="518"/>
    </row>
    <row r="34" spans="1:7">
      <c r="A34" s="532"/>
      <c r="B34" s="527"/>
      <c r="C34" s="523" t="s">
        <v>1666</v>
      </c>
      <c r="D34" s="1024" t="s">
        <v>2104</v>
      </c>
      <c r="E34" s="1024"/>
      <c r="F34" s="535">
        <v>0.1</v>
      </c>
      <c r="G34" s="518"/>
    </row>
    <row r="35" spans="1:7">
      <c r="A35" s="532"/>
      <c r="B35" s="527"/>
      <c r="C35" s="523"/>
      <c r="D35" s="1014"/>
      <c r="E35" s="1014"/>
      <c r="F35" s="524"/>
      <c r="G35" s="518"/>
    </row>
    <row r="36" spans="1:7">
      <c r="A36" s="532" t="s">
        <v>2100</v>
      </c>
      <c r="B36" s="1014" t="s">
        <v>2105</v>
      </c>
      <c r="C36" s="1014"/>
      <c r="D36" s="1014"/>
      <c r="E36" s="1014"/>
      <c r="F36" s="521">
        <v>5</v>
      </c>
      <c r="G36" s="518"/>
    </row>
    <row r="37" spans="1:7">
      <c r="A37" s="532" t="s">
        <v>2106</v>
      </c>
      <c r="B37" s="1014" t="s">
        <v>2107</v>
      </c>
      <c r="C37" s="1014"/>
      <c r="D37" s="1014"/>
      <c r="E37" s="1014"/>
      <c r="F37" s="521">
        <v>5</v>
      </c>
      <c r="G37" s="518"/>
    </row>
    <row r="38" spans="1:7">
      <c r="A38" s="532" t="s">
        <v>2108</v>
      </c>
      <c r="B38" s="1014" t="s">
        <v>2109</v>
      </c>
      <c r="C38" s="1014"/>
      <c r="D38" s="1014"/>
      <c r="E38" s="1014"/>
      <c r="F38" s="520">
        <v>5.41</v>
      </c>
      <c r="G38" s="518"/>
    </row>
    <row r="39" spans="1:7">
      <c r="A39" s="530" t="s">
        <v>2110</v>
      </c>
      <c r="B39" s="1022" t="s">
        <v>2111</v>
      </c>
      <c r="C39" s="1022"/>
      <c r="D39" s="1022"/>
      <c r="E39" s="1022"/>
      <c r="F39" s="529">
        <v>5</v>
      </c>
      <c r="G39" s="518"/>
    </row>
    <row r="40" spans="1:7">
      <c r="A40" s="532" t="s">
        <v>2112</v>
      </c>
      <c r="B40" s="1014" t="s">
        <v>2113</v>
      </c>
      <c r="C40" s="1014"/>
      <c r="D40" s="1014"/>
      <c r="E40" s="1014"/>
      <c r="F40" s="520">
        <v>4.38</v>
      </c>
      <c r="G40" s="518"/>
    </row>
    <row r="41" spans="1:7" ht="38.25">
      <c r="A41" s="532"/>
      <c r="B41" s="527"/>
      <c r="C41" s="523" t="s">
        <v>2072</v>
      </c>
      <c r="D41" s="523" t="s">
        <v>2073</v>
      </c>
      <c r="E41" s="523"/>
      <c r="F41" s="524"/>
      <c r="G41" s="518"/>
    </row>
    <row r="42" spans="1:7" ht="38.25">
      <c r="A42" s="532"/>
      <c r="B42" s="527"/>
      <c r="C42" s="523"/>
      <c r="D42" s="523" t="s">
        <v>2074</v>
      </c>
      <c r="E42" s="523"/>
      <c r="F42" s="524"/>
      <c r="G42" s="518"/>
    </row>
    <row r="43" spans="1:7">
      <c r="A43" s="532"/>
      <c r="B43" s="527"/>
      <c r="C43" s="523" t="s">
        <v>1666</v>
      </c>
      <c r="D43" s="1024" t="s">
        <v>2075</v>
      </c>
      <c r="E43" s="1024"/>
      <c r="F43" s="536">
        <v>0.1</v>
      </c>
      <c r="G43" s="518"/>
    </row>
    <row r="44" spans="1:7">
      <c r="A44" s="532"/>
      <c r="B44" s="527"/>
      <c r="C44" s="523"/>
      <c r="D44" s="1014"/>
      <c r="E44" s="1014"/>
      <c r="F44" s="524"/>
      <c r="G44" s="518"/>
    </row>
    <row r="45" spans="1:7">
      <c r="A45" s="532" t="s">
        <v>2114</v>
      </c>
      <c r="B45" s="1014" t="s">
        <v>2115</v>
      </c>
      <c r="C45" s="1014"/>
      <c r="D45" s="1014"/>
      <c r="E45" s="1014"/>
      <c r="F45" s="521">
        <v>45</v>
      </c>
      <c r="G45" s="518"/>
    </row>
    <row r="46" spans="1:7">
      <c r="A46" s="533" t="s">
        <v>2116</v>
      </c>
      <c r="B46" s="1014" t="s">
        <v>2117</v>
      </c>
      <c r="C46" s="1014"/>
      <c r="D46" s="1014"/>
      <c r="E46" s="1014"/>
      <c r="F46" s="521">
        <v>70</v>
      </c>
      <c r="G46" s="518"/>
    </row>
    <row r="47" spans="1:7">
      <c r="A47" s="532" t="s">
        <v>2118</v>
      </c>
      <c r="B47" s="1014" t="s">
        <v>2119</v>
      </c>
      <c r="C47" s="1014"/>
      <c r="D47" s="1014"/>
      <c r="E47" s="1014"/>
      <c r="F47" s="521">
        <v>155</v>
      </c>
      <c r="G47" s="518"/>
    </row>
    <row r="48" spans="1:7">
      <c r="A48" s="532" t="s">
        <v>2120</v>
      </c>
      <c r="B48" s="1014" t="s">
        <v>2121</v>
      </c>
      <c r="C48" s="1014"/>
      <c r="D48" s="1014"/>
      <c r="E48" s="1014"/>
      <c r="F48" s="521">
        <v>6.5</v>
      </c>
      <c r="G48" s="518"/>
    </row>
    <row r="49" spans="1:7">
      <c r="A49" s="532"/>
      <c r="B49" s="1014"/>
      <c r="C49" s="1014"/>
      <c r="D49" s="1014"/>
      <c r="E49" s="1014"/>
      <c r="F49" s="524"/>
      <c r="G49" s="518"/>
    </row>
    <row r="50" spans="1:7" ht="13.5" thickBot="1">
      <c r="A50" s="537"/>
      <c r="B50" s="538"/>
      <c r="C50" s="538"/>
      <c r="D50" s="538"/>
      <c r="E50" s="538"/>
      <c r="F50" s="539"/>
      <c r="G50" s="540"/>
    </row>
    <row r="51" spans="1:7" ht="15.75" thickBot="1">
      <c r="A51" s="1016" t="s">
        <v>313</v>
      </c>
      <c r="B51" s="1017"/>
      <c r="C51" s="1017"/>
      <c r="D51" s="1017"/>
      <c r="E51" s="1017"/>
      <c r="F51" s="1017"/>
      <c r="G51" s="1018"/>
    </row>
    <row r="52" spans="1:7">
      <c r="A52" s="514"/>
      <c r="B52" s="515"/>
      <c r="C52" s="515"/>
      <c r="D52" s="515"/>
      <c r="E52" s="515"/>
      <c r="F52" s="515"/>
      <c r="G52" s="516"/>
    </row>
    <row r="53" spans="1:7">
      <c r="A53" s="1019" t="s">
        <v>511</v>
      </c>
      <c r="B53" s="1020"/>
      <c r="C53" s="1020"/>
      <c r="D53" s="1020"/>
      <c r="E53" s="1020"/>
      <c r="F53" s="525" t="s">
        <v>2065</v>
      </c>
      <c r="G53" s="526"/>
    </row>
    <row r="54" spans="1:7">
      <c r="A54" s="519" t="s">
        <v>2122</v>
      </c>
      <c r="B54" s="1014" t="s">
        <v>2123</v>
      </c>
      <c r="C54" s="1014"/>
      <c r="D54" s="1014"/>
      <c r="E54" s="1014"/>
      <c r="F54" s="521">
        <v>1.2</v>
      </c>
      <c r="G54" s="518"/>
    </row>
    <row r="55" spans="1:7">
      <c r="A55" s="519" t="s">
        <v>2124</v>
      </c>
      <c r="B55" s="1014" t="s">
        <v>2125</v>
      </c>
      <c r="C55" s="1014"/>
      <c r="D55" s="1014"/>
      <c r="E55" s="1014"/>
      <c r="F55" s="521">
        <v>0.25</v>
      </c>
      <c r="G55" s="518"/>
    </row>
    <row r="56" spans="1:7">
      <c r="A56" s="519" t="s">
        <v>2126</v>
      </c>
      <c r="B56" s="1014" t="s">
        <v>2127</v>
      </c>
      <c r="C56" s="1014"/>
      <c r="D56" s="1014"/>
      <c r="E56" s="1014"/>
      <c r="F56" s="521">
        <v>1.2</v>
      </c>
      <c r="G56" s="518"/>
    </row>
    <row r="57" spans="1:7">
      <c r="A57" s="519" t="s">
        <v>2128</v>
      </c>
      <c r="B57" s="1014" t="s">
        <v>2129</v>
      </c>
      <c r="C57" s="1014"/>
      <c r="D57" s="1014"/>
      <c r="E57" s="1014"/>
      <c r="F57" s="521">
        <v>0.25</v>
      </c>
      <c r="G57" s="518"/>
    </row>
    <row r="58" spans="1:7">
      <c r="A58" s="519" t="s">
        <v>2130</v>
      </c>
      <c r="B58" s="541" t="s">
        <v>2131</v>
      </c>
      <c r="C58" s="541"/>
      <c r="D58" s="541"/>
      <c r="E58" s="523"/>
      <c r="F58" s="521">
        <v>18</v>
      </c>
      <c r="G58" s="518"/>
    </row>
    <row r="59" spans="1:7">
      <c r="A59" s="519" t="s">
        <v>2132</v>
      </c>
      <c r="B59" s="1014" t="s">
        <v>2133</v>
      </c>
      <c r="C59" s="1014"/>
      <c r="D59" s="1014"/>
      <c r="E59" s="1014"/>
      <c r="F59" s="520">
        <v>5.49</v>
      </c>
      <c r="G59" s="518"/>
    </row>
    <row r="60" spans="1:7">
      <c r="A60" s="519" t="s">
        <v>2134</v>
      </c>
      <c r="B60" s="1014" t="s">
        <v>2135</v>
      </c>
      <c r="C60" s="1014"/>
      <c r="D60" s="1014"/>
      <c r="E60" s="1014"/>
      <c r="F60" s="520">
        <v>6.93</v>
      </c>
      <c r="G60" s="518"/>
    </row>
    <row r="61" spans="1:7">
      <c r="A61" s="519" t="s">
        <v>2136</v>
      </c>
      <c r="B61" s="1014" t="s">
        <v>2137</v>
      </c>
      <c r="C61" s="1014"/>
      <c r="D61" s="1014"/>
      <c r="E61" s="1014"/>
      <c r="F61" s="521">
        <v>3</v>
      </c>
      <c r="G61" s="518"/>
    </row>
    <row r="62" spans="1:7">
      <c r="A62" s="519" t="s">
        <v>2138</v>
      </c>
      <c r="B62" s="1014" t="s">
        <v>2139</v>
      </c>
      <c r="C62" s="1014"/>
      <c r="D62" s="1014"/>
      <c r="E62" s="1014"/>
      <c r="F62" s="521">
        <v>7</v>
      </c>
      <c r="G62" s="518"/>
    </row>
    <row r="63" spans="1:7">
      <c r="A63" s="542" t="s">
        <v>2140</v>
      </c>
      <c r="B63" s="1022" t="s">
        <v>2141</v>
      </c>
      <c r="C63" s="1022"/>
      <c r="D63" s="1022"/>
      <c r="E63" s="1022"/>
      <c r="F63" s="520">
        <v>2.0699999999999998</v>
      </c>
      <c r="G63" s="518"/>
    </row>
    <row r="64" spans="1:7">
      <c r="A64" s="519" t="s">
        <v>2142</v>
      </c>
      <c r="B64" s="1023" t="s">
        <v>2143</v>
      </c>
      <c r="C64" s="1023"/>
      <c r="D64" s="1023"/>
      <c r="E64" s="1023"/>
      <c r="F64" s="521">
        <v>6</v>
      </c>
      <c r="G64" s="518"/>
    </row>
    <row r="65" spans="1:7">
      <c r="A65" s="519" t="s">
        <v>2144</v>
      </c>
      <c r="B65" s="1014" t="s">
        <v>2145</v>
      </c>
      <c r="C65" s="1014"/>
      <c r="D65" s="1014"/>
      <c r="E65" s="1014"/>
      <c r="F65" s="521">
        <v>4.0999999999999996</v>
      </c>
      <c r="G65" s="518"/>
    </row>
    <row r="66" spans="1:7">
      <c r="A66" s="519" t="s">
        <v>2146</v>
      </c>
      <c r="B66" s="1014" t="s">
        <v>2147</v>
      </c>
      <c r="C66" s="1014"/>
      <c r="D66" s="1014"/>
      <c r="E66" s="1014"/>
      <c r="F66" s="521">
        <v>4.0999999999999996</v>
      </c>
      <c r="G66" s="518"/>
    </row>
    <row r="67" spans="1:7">
      <c r="A67" s="519" t="s">
        <v>2148</v>
      </c>
      <c r="B67" s="1014" t="s">
        <v>2149</v>
      </c>
      <c r="C67" s="1014"/>
      <c r="D67" s="1014"/>
      <c r="E67" s="1014"/>
      <c r="F67" s="521">
        <v>100</v>
      </c>
      <c r="G67" s="518"/>
    </row>
    <row r="68" spans="1:7">
      <c r="A68" s="519" t="s">
        <v>2150</v>
      </c>
      <c r="B68" s="1014" t="s">
        <v>2151</v>
      </c>
      <c r="C68" s="1014"/>
      <c r="D68" s="1014"/>
      <c r="E68" s="1014"/>
      <c r="F68" s="521">
        <v>100</v>
      </c>
      <c r="G68" s="518"/>
    </row>
    <row r="69" spans="1:7">
      <c r="A69" s="519" t="s">
        <v>2152</v>
      </c>
      <c r="B69" s="1014" t="s">
        <v>2153</v>
      </c>
      <c r="C69" s="1014"/>
      <c r="D69" s="1014"/>
      <c r="E69" s="1014"/>
      <c r="F69" s="521">
        <v>300</v>
      </c>
      <c r="G69" s="518"/>
    </row>
    <row r="70" spans="1:7">
      <c r="A70" s="519" t="s">
        <v>2154</v>
      </c>
      <c r="B70" s="1014" t="s">
        <v>2155</v>
      </c>
      <c r="C70" s="1014"/>
      <c r="D70" s="1014"/>
      <c r="E70" s="1014"/>
      <c r="F70" s="521">
        <v>15</v>
      </c>
      <c r="G70" s="518"/>
    </row>
    <row r="71" spans="1:7">
      <c r="A71" s="519" t="s">
        <v>2156</v>
      </c>
      <c r="B71" s="1014" t="s">
        <v>2157</v>
      </c>
      <c r="C71" s="1014"/>
      <c r="D71" s="1014"/>
      <c r="E71" s="1014"/>
      <c r="F71" s="521">
        <v>40</v>
      </c>
      <c r="G71" s="518"/>
    </row>
    <row r="72" spans="1:7" ht="13.5" thickBot="1">
      <c r="A72" s="522"/>
      <c r="B72" s="523"/>
      <c r="C72" s="523"/>
      <c r="D72" s="523"/>
      <c r="E72" s="523"/>
      <c r="F72" s="524"/>
      <c r="G72" s="518"/>
    </row>
    <row r="73" spans="1:7" ht="15.75" thickBot="1">
      <c r="A73" s="1016" t="s">
        <v>2158</v>
      </c>
      <c r="B73" s="1017"/>
      <c r="C73" s="1017"/>
      <c r="D73" s="1017"/>
      <c r="E73" s="1017"/>
      <c r="F73" s="1017"/>
      <c r="G73" s="1018"/>
    </row>
    <row r="74" spans="1:7">
      <c r="A74" s="514"/>
      <c r="B74" s="515"/>
      <c r="C74" s="515"/>
      <c r="D74" s="515"/>
      <c r="E74" s="515"/>
      <c r="F74" s="515"/>
      <c r="G74" s="516"/>
    </row>
    <row r="75" spans="1:7">
      <c r="A75" s="1019" t="s">
        <v>511</v>
      </c>
      <c r="B75" s="1020"/>
      <c r="C75" s="1020"/>
      <c r="D75" s="1020"/>
      <c r="E75" s="1020"/>
      <c r="F75" s="525" t="s">
        <v>2065</v>
      </c>
      <c r="G75" s="526"/>
    </row>
    <row r="76" spans="1:7">
      <c r="A76" s="519" t="s">
        <v>2159</v>
      </c>
      <c r="B76" s="1014" t="s">
        <v>2160</v>
      </c>
      <c r="C76" s="1014"/>
      <c r="D76" s="1014"/>
      <c r="E76" s="1014"/>
      <c r="F76" s="521">
        <v>1.8</v>
      </c>
      <c r="G76" s="543"/>
    </row>
    <row r="77" spans="1:7">
      <c r="A77" s="519" t="s">
        <v>2161</v>
      </c>
      <c r="B77" s="1014" t="s">
        <v>2162</v>
      </c>
      <c r="C77" s="1014"/>
      <c r="D77" s="1014"/>
      <c r="E77" s="1014"/>
      <c r="F77" s="521">
        <v>1.5</v>
      </c>
      <c r="G77" s="543"/>
    </row>
    <row r="78" spans="1:7">
      <c r="A78" s="519" t="s">
        <v>2163</v>
      </c>
      <c r="B78" s="1014" t="s">
        <v>2164</v>
      </c>
      <c r="C78" s="1014"/>
      <c r="D78" s="1014"/>
      <c r="E78" s="1014"/>
      <c r="F78" s="520">
        <v>0.79</v>
      </c>
      <c r="G78" s="543"/>
    </row>
    <row r="79" spans="1:7">
      <c r="A79" s="519" t="s">
        <v>2165</v>
      </c>
      <c r="B79" s="1014" t="s">
        <v>2166</v>
      </c>
      <c r="C79" s="1014"/>
      <c r="D79" s="1014"/>
      <c r="E79" s="1014"/>
      <c r="F79" s="521">
        <v>18</v>
      </c>
      <c r="G79" s="543"/>
    </row>
    <row r="80" spans="1:7">
      <c r="A80" s="519" t="s">
        <v>2167</v>
      </c>
      <c r="B80" s="1014" t="s">
        <v>2168</v>
      </c>
      <c r="C80" s="1014"/>
      <c r="D80" s="1014"/>
      <c r="E80" s="1014"/>
      <c r="F80" s="520">
        <v>26.42</v>
      </c>
      <c r="G80" s="543"/>
    </row>
    <row r="81" spans="1:7">
      <c r="A81" s="519" t="s">
        <v>2169</v>
      </c>
      <c r="B81" s="1014" t="s">
        <v>2170</v>
      </c>
      <c r="C81" s="1014"/>
      <c r="D81" s="1014"/>
      <c r="E81" s="1014"/>
      <c r="F81" s="520">
        <v>4.0199999999999996</v>
      </c>
      <c r="G81" s="543"/>
    </row>
    <row r="82" spans="1:7">
      <c r="A82" s="519" t="s">
        <v>2171</v>
      </c>
      <c r="B82" s="1014" t="s">
        <v>2172</v>
      </c>
      <c r="C82" s="1014"/>
      <c r="D82" s="1014"/>
      <c r="E82" s="1014"/>
      <c r="F82" s="521">
        <v>4</v>
      </c>
      <c r="G82" s="543"/>
    </row>
    <row r="83" spans="1:7">
      <c r="A83" s="519" t="s">
        <v>2173</v>
      </c>
      <c r="B83" s="1014" t="s">
        <v>2174</v>
      </c>
      <c r="C83" s="1014"/>
      <c r="D83" s="1014"/>
      <c r="E83" s="1014"/>
      <c r="F83" s="521">
        <v>30</v>
      </c>
      <c r="G83" s="543"/>
    </row>
    <row r="84" spans="1:7">
      <c r="A84" s="519" t="s">
        <v>2175</v>
      </c>
      <c r="B84" s="1014" t="s">
        <v>2176</v>
      </c>
      <c r="C84" s="1014"/>
      <c r="D84" s="1014"/>
      <c r="E84" s="1014"/>
      <c r="F84" s="521">
        <v>30</v>
      </c>
      <c r="G84" s="543"/>
    </row>
    <row r="85" spans="1:7">
      <c r="A85" s="519" t="s">
        <v>2177</v>
      </c>
      <c r="B85" s="1014" t="s">
        <v>2178</v>
      </c>
      <c r="C85" s="1014"/>
      <c r="D85" s="1014"/>
      <c r="E85" s="1014"/>
      <c r="F85" s="521">
        <v>50</v>
      </c>
      <c r="G85" s="543"/>
    </row>
    <row r="86" spans="1:7">
      <c r="A86" s="519" t="s">
        <v>2179</v>
      </c>
      <c r="B86" s="1014" t="s">
        <v>2180</v>
      </c>
      <c r="C86" s="1014"/>
      <c r="D86" s="1014"/>
      <c r="E86" s="1014"/>
      <c r="F86" s="520">
        <v>3.43</v>
      </c>
      <c r="G86" s="543"/>
    </row>
    <row r="87" spans="1:7">
      <c r="A87" s="519" t="s">
        <v>2175</v>
      </c>
      <c r="B87" s="1014" t="s">
        <v>2181</v>
      </c>
      <c r="C87" s="1014"/>
      <c r="D87" s="1014"/>
      <c r="E87" s="1014"/>
      <c r="F87" s="520">
        <v>7</v>
      </c>
      <c r="G87" s="543"/>
    </row>
    <row r="88" spans="1:7">
      <c r="A88" s="519" t="s">
        <v>2182</v>
      </c>
      <c r="B88" s="1014" t="s">
        <v>2183</v>
      </c>
      <c r="C88" s="1014"/>
      <c r="D88" s="1014"/>
      <c r="E88" s="1014"/>
      <c r="F88" s="520">
        <v>12.97</v>
      </c>
      <c r="G88" s="543"/>
    </row>
    <row r="89" spans="1:7">
      <c r="A89" s="519" t="s">
        <v>2184</v>
      </c>
      <c r="B89" s="1014" t="s">
        <v>2185</v>
      </c>
      <c r="C89" s="1014"/>
      <c r="D89" s="1014"/>
      <c r="E89" s="1014"/>
      <c r="F89" s="521">
        <v>15</v>
      </c>
      <c r="G89" s="518"/>
    </row>
    <row r="90" spans="1:7">
      <c r="A90" s="519" t="s">
        <v>2186</v>
      </c>
      <c r="B90" s="1014" t="s">
        <v>2187</v>
      </c>
      <c r="C90" s="1014"/>
      <c r="D90" s="1014"/>
      <c r="E90" s="1014"/>
      <c r="F90" s="521">
        <v>0.2</v>
      </c>
      <c r="G90" s="518"/>
    </row>
    <row r="91" spans="1:7">
      <c r="A91" s="522"/>
      <c r="B91" s="523"/>
      <c r="C91" s="527" t="s">
        <v>2072</v>
      </c>
      <c r="D91" s="1014" t="s">
        <v>2188</v>
      </c>
      <c r="E91" s="1014"/>
      <c r="F91" s="1014"/>
      <c r="G91" s="1021"/>
    </row>
    <row r="92" spans="1:7">
      <c r="A92" s="522"/>
      <c r="B92" s="523"/>
      <c r="C92" s="523"/>
      <c r="D92" s="1014" t="s">
        <v>2189</v>
      </c>
      <c r="E92" s="1014"/>
      <c r="F92" s="1014"/>
      <c r="G92" s="1021"/>
    </row>
    <row r="93" spans="1:7">
      <c r="A93" s="522"/>
      <c r="B93" s="523"/>
      <c r="C93" s="523"/>
      <c r="D93" s="1022" t="s">
        <v>2190</v>
      </c>
      <c r="E93" s="1022"/>
      <c r="F93" s="1014"/>
      <c r="G93" s="1021"/>
    </row>
    <row r="94" spans="1:7" ht="13.5" thickBot="1">
      <c r="A94" s="522"/>
      <c r="B94" s="523"/>
      <c r="C94" s="523"/>
      <c r="D94" s="527"/>
      <c r="E94" s="523"/>
      <c r="F94" s="524"/>
      <c r="G94" s="518"/>
    </row>
    <row r="95" spans="1:7" ht="15.75" thickBot="1">
      <c r="A95" s="1016" t="s">
        <v>2191</v>
      </c>
      <c r="B95" s="1017"/>
      <c r="C95" s="1017"/>
      <c r="D95" s="1017"/>
      <c r="E95" s="1017"/>
      <c r="F95" s="1017"/>
      <c r="G95" s="1018"/>
    </row>
    <row r="96" spans="1:7">
      <c r="A96" s="514"/>
      <c r="B96" s="515"/>
      <c r="C96" s="515"/>
      <c r="D96" s="515"/>
      <c r="E96" s="515"/>
      <c r="F96" s="515"/>
      <c r="G96" s="516"/>
    </row>
    <row r="97" spans="1:7">
      <c r="A97" s="1019" t="s">
        <v>511</v>
      </c>
      <c r="B97" s="1020"/>
      <c r="C97" s="1020"/>
      <c r="D97" s="1020"/>
      <c r="E97" s="1020"/>
      <c r="F97" s="525" t="s">
        <v>2065</v>
      </c>
      <c r="G97" s="526"/>
    </row>
    <row r="98" spans="1:7">
      <c r="A98" s="519" t="s">
        <v>2192</v>
      </c>
      <c r="B98" s="1014" t="s">
        <v>2193</v>
      </c>
      <c r="C98" s="1014"/>
      <c r="D98" s="1014"/>
      <c r="E98" s="1014"/>
      <c r="F98" s="521">
        <v>2</v>
      </c>
      <c r="G98" s="518"/>
    </row>
    <row r="99" spans="1:7">
      <c r="A99" s="519" t="s">
        <v>2194</v>
      </c>
      <c r="B99" s="1014" t="s">
        <v>2195</v>
      </c>
      <c r="C99" s="1014"/>
      <c r="D99" s="1014"/>
      <c r="E99" s="1014"/>
      <c r="F99" s="521">
        <v>8</v>
      </c>
      <c r="G99" s="518"/>
    </row>
    <row r="100" spans="1:7">
      <c r="A100" s="519" t="s">
        <v>2196</v>
      </c>
      <c r="B100" s="1014" t="s">
        <v>2197</v>
      </c>
      <c r="C100" s="1014"/>
      <c r="D100" s="1014"/>
      <c r="E100" s="1014"/>
      <c r="F100" s="521">
        <v>14</v>
      </c>
      <c r="G100" s="518"/>
    </row>
    <row r="101" spans="1:7">
      <c r="A101" s="519" t="s">
        <v>2198</v>
      </c>
      <c r="B101" s="1014" t="s">
        <v>2199</v>
      </c>
      <c r="C101" s="1014"/>
      <c r="D101" s="1014"/>
      <c r="E101" s="1014"/>
      <c r="F101" s="521">
        <v>10</v>
      </c>
      <c r="G101" s="518"/>
    </row>
    <row r="102" spans="1:7">
      <c r="A102" s="519" t="s">
        <v>2200</v>
      </c>
      <c r="B102" s="1014" t="s">
        <v>2201</v>
      </c>
      <c r="C102" s="1014"/>
      <c r="D102" s="1014"/>
      <c r="E102" s="1014"/>
      <c r="F102" s="521">
        <v>300</v>
      </c>
      <c r="G102" s="518"/>
    </row>
    <row r="103" spans="1:7">
      <c r="A103" s="519" t="s">
        <v>2202</v>
      </c>
      <c r="B103" s="1014" t="s">
        <v>2203</v>
      </c>
      <c r="C103" s="1014"/>
      <c r="D103" s="1014"/>
      <c r="E103" s="1014"/>
      <c r="F103" s="521">
        <v>50</v>
      </c>
      <c r="G103" s="518"/>
    </row>
    <row r="104" spans="1:7">
      <c r="A104" s="519" t="s">
        <v>2204</v>
      </c>
      <c r="B104" s="1014" t="s">
        <v>2205</v>
      </c>
      <c r="C104" s="1014"/>
      <c r="D104" s="1014"/>
      <c r="E104" s="1014"/>
      <c r="F104" s="521">
        <v>50</v>
      </c>
      <c r="G104" s="518"/>
    </row>
    <row r="105" spans="1:7">
      <c r="A105" s="519" t="s">
        <v>2206</v>
      </c>
      <c r="B105" s="1014" t="s">
        <v>2207</v>
      </c>
      <c r="C105" s="1014"/>
      <c r="D105" s="1014"/>
      <c r="E105" s="1014"/>
      <c r="F105" s="521">
        <v>1000</v>
      </c>
      <c r="G105" s="518"/>
    </row>
    <row r="106" spans="1:7">
      <c r="A106" s="519" t="s">
        <v>2208</v>
      </c>
      <c r="B106" s="1014" t="s">
        <v>2209</v>
      </c>
      <c r="C106" s="1014"/>
      <c r="D106" s="1014"/>
      <c r="E106" s="1014"/>
      <c r="F106" s="521">
        <v>200</v>
      </c>
      <c r="G106" s="518"/>
    </row>
    <row r="107" spans="1:7">
      <c r="A107" s="519" t="s">
        <v>2210</v>
      </c>
      <c r="B107" s="1014" t="s">
        <v>2211</v>
      </c>
      <c r="C107" s="1014"/>
      <c r="D107" s="1014"/>
      <c r="E107" s="1014"/>
      <c r="F107" s="521">
        <v>6</v>
      </c>
      <c r="G107" s="518"/>
    </row>
    <row r="108" spans="1:7">
      <c r="A108" s="519" t="s">
        <v>2212</v>
      </c>
      <c r="B108" s="1014" t="s">
        <v>2213</v>
      </c>
      <c r="C108" s="1014"/>
      <c r="D108" s="1014"/>
      <c r="E108" s="1014"/>
      <c r="F108" s="521">
        <v>60</v>
      </c>
      <c r="G108" s="518"/>
    </row>
    <row r="109" spans="1:7">
      <c r="A109" s="519" t="s">
        <v>2214</v>
      </c>
      <c r="B109" s="1014" t="s">
        <v>2215</v>
      </c>
      <c r="C109" s="1014"/>
      <c r="D109" s="1014"/>
      <c r="E109" s="1014"/>
      <c r="F109" s="521">
        <v>100</v>
      </c>
      <c r="G109" s="518"/>
    </row>
    <row r="110" spans="1:7">
      <c r="A110" s="519"/>
      <c r="B110" s="1014" t="s">
        <v>2216</v>
      </c>
      <c r="C110" s="1014"/>
      <c r="D110" s="1014"/>
      <c r="E110" s="1014"/>
      <c r="F110" s="521">
        <v>50</v>
      </c>
      <c r="G110" s="518"/>
    </row>
    <row r="111" spans="1:7">
      <c r="A111" s="519" t="s">
        <v>2217</v>
      </c>
      <c r="B111" s="1014" t="s">
        <v>2218</v>
      </c>
      <c r="C111" s="1014"/>
      <c r="D111" s="1014"/>
      <c r="E111" s="1014"/>
      <c r="F111" s="521">
        <v>50</v>
      </c>
      <c r="G111" s="518"/>
    </row>
    <row r="112" spans="1:7">
      <c r="A112" s="519" t="s">
        <v>2219</v>
      </c>
      <c r="B112" s="1014" t="s">
        <v>2220</v>
      </c>
      <c r="C112" s="1014"/>
      <c r="D112" s="1014"/>
      <c r="E112" s="1014"/>
      <c r="F112" s="521">
        <v>1100</v>
      </c>
      <c r="G112" s="518"/>
    </row>
    <row r="113" spans="1:7">
      <c r="A113" s="519"/>
      <c r="B113" s="1014" t="s">
        <v>2221</v>
      </c>
      <c r="C113" s="1014"/>
      <c r="D113" s="1014"/>
      <c r="E113" s="1014"/>
      <c r="F113" s="521">
        <v>250</v>
      </c>
      <c r="G113" s="518"/>
    </row>
    <row r="114" spans="1:7">
      <c r="A114" s="519" t="s">
        <v>2222</v>
      </c>
      <c r="B114" s="1014" t="s">
        <v>2223</v>
      </c>
      <c r="C114" s="1014"/>
      <c r="D114" s="1014"/>
      <c r="E114" s="1014"/>
      <c r="F114" s="521">
        <v>100</v>
      </c>
      <c r="G114" s="518"/>
    </row>
    <row r="115" spans="1:7">
      <c r="A115" s="519"/>
      <c r="B115" s="1014" t="s">
        <v>2224</v>
      </c>
      <c r="C115" s="1014"/>
      <c r="D115" s="1014"/>
      <c r="E115" s="1014"/>
      <c r="F115" s="521">
        <v>300</v>
      </c>
      <c r="G115" s="518"/>
    </row>
    <row r="116" spans="1:7">
      <c r="A116" s="519"/>
      <c r="B116" s="1014" t="s">
        <v>2225</v>
      </c>
      <c r="C116" s="1014"/>
      <c r="D116" s="1014"/>
      <c r="E116" s="1014"/>
      <c r="F116" s="521">
        <v>250</v>
      </c>
      <c r="G116" s="518"/>
    </row>
    <row r="117" spans="1:7" ht="13.5" thickBot="1">
      <c r="A117" s="544"/>
      <c r="B117" s="1015" t="s">
        <v>2226</v>
      </c>
      <c r="C117" s="1015"/>
      <c r="D117" s="1015"/>
      <c r="E117" s="1015"/>
      <c r="F117" s="539">
        <v>250</v>
      </c>
      <c r="G117" s="540"/>
    </row>
  </sheetData>
  <sheetProtection algorithmName="SHA-512" hashValue="kZoRNJz1/Mn4ety8si5oqoEmUraZ94SqZs5hjEoN3Ivs5AU5eQZ+WIZHzJgstoUWLSUnvUGHw0OF6tFxn5GvGw==" saltValue="DvWoOGjpLxoCopLQD1xsBw==" spinCount="100000" sheet="1" objects="1" scenarios="1"/>
  <mergeCells count="103">
    <mergeCell ref="A4:G4"/>
    <mergeCell ref="A6:E6"/>
    <mergeCell ref="B7:E7"/>
    <mergeCell ref="B8:E8"/>
    <mergeCell ref="A10:G10"/>
    <mergeCell ref="A12:E12"/>
    <mergeCell ref="B21:E21"/>
    <mergeCell ref="B22:E22"/>
    <mergeCell ref="B23:E23"/>
    <mergeCell ref="B24:E24"/>
    <mergeCell ref="B25:E25"/>
    <mergeCell ref="B26:E26"/>
    <mergeCell ref="B13:E13"/>
    <mergeCell ref="D16:E16"/>
    <mergeCell ref="D17:E17"/>
    <mergeCell ref="B18:E18"/>
    <mergeCell ref="B19:E19"/>
    <mergeCell ref="B20:E20"/>
    <mergeCell ref="D35:E35"/>
    <mergeCell ref="B36:E36"/>
    <mergeCell ref="B37:E37"/>
    <mergeCell ref="B38:E38"/>
    <mergeCell ref="B39:E39"/>
    <mergeCell ref="B40:E40"/>
    <mergeCell ref="B27:E27"/>
    <mergeCell ref="B28:E28"/>
    <mergeCell ref="B29:E29"/>
    <mergeCell ref="B30:E30"/>
    <mergeCell ref="B31:E31"/>
    <mergeCell ref="D34:E34"/>
    <mergeCell ref="B49:E49"/>
    <mergeCell ref="A51:G51"/>
    <mergeCell ref="A53:E53"/>
    <mergeCell ref="B54:E54"/>
    <mergeCell ref="B55:E55"/>
    <mergeCell ref="B56:E56"/>
    <mergeCell ref="D43:E43"/>
    <mergeCell ref="D44:E44"/>
    <mergeCell ref="B45:E45"/>
    <mergeCell ref="B46:E46"/>
    <mergeCell ref="B47:E47"/>
    <mergeCell ref="B48:E48"/>
    <mergeCell ref="B64:E64"/>
    <mergeCell ref="B65:E65"/>
    <mergeCell ref="B66:E66"/>
    <mergeCell ref="B67:E67"/>
    <mergeCell ref="B68:E68"/>
    <mergeCell ref="B69:E69"/>
    <mergeCell ref="B57:E57"/>
    <mergeCell ref="B59:E59"/>
    <mergeCell ref="B60:E60"/>
    <mergeCell ref="B61:E61"/>
    <mergeCell ref="B62:E62"/>
    <mergeCell ref="B63:E63"/>
    <mergeCell ref="B78:E78"/>
    <mergeCell ref="B79:E79"/>
    <mergeCell ref="B80:E80"/>
    <mergeCell ref="B81:E81"/>
    <mergeCell ref="B82:E82"/>
    <mergeCell ref="B83:E83"/>
    <mergeCell ref="B70:E70"/>
    <mergeCell ref="B71:E71"/>
    <mergeCell ref="A73:G73"/>
    <mergeCell ref="A75:E75"/>
    <mergeCell ref="B76:E76"/>
    <mergeCell ref="B77:E77"/>
    <mergeCell ref="B90:E90"/>
    <mergeCell ref="D91:E91"/>
    <mergeCell ref="F91:G91"/>
    <mergeCell ref="D92:E92"/>
    <mergeCell ref="F92:G92"/>
    <mergeCell ref="D93:E93"/>
    <mergeCell ref="F93:G93"/>
    <mergeCell ref="B84:E84"/>
    <mergeCell ref="B85:E85"/>
    <mergeCell ref="B86:E86"/>
    <mergeCell ref="B87:E87"/>
    <mergeCell ref="B88:E88"/>
    <mergeCell ref="B89:E89"/>
    <mergeCell ref="A1:G1"/>
    <mergeCell ref="A2:G2"/>
    <mergeCell ref="B114:E114"/>
    <mergeCell ref="B115:E115"/>
    <mergeCell ref="B116:E116"/>
    <mergeCell ref="B117:E117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A95:G95"/>
    <mergeCell ref="A97:E97"/>
    <mergeCell ref="B98:E98"/>
    <mergeCell ref="B99:E99"/>
    <mergeCell ref="B100:E100"/>
    <mergeCell ref="B101:E101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103"/>
  <sheetViews>
    <sheetView workbookViewId="0">
      <selection activeCell="H12" sqref="H12"/>
    </sheetView>
  </sheetViews>
  <sheetFormatPr baseColWidth="10" defaultRowHeight="12.75"/>
  <cols>
    <col min="1" max="1" width="52.85546875" bestFit="1" customWidth="1"/>
    <col min="2" max="2" width="14.85546875" customWidth="1"/>
    <col min="3" max="3" width="13.42578125" customWidth="1"/>
    <col min="4" max="4" width="13.85546875" customWidth="1"/>
    <col min="5" max="5" width="13.7109375" customWidth="1"/>
  </cols>
  <sheetData>
    <row r="1" spans="1:5" ht="15">
      <c r="A1" s="707" t="s">
        <v>2228</v>
      </c>
      <c r="B1" s="707"/>
      <c r="C1" s="707"/>
      <c r="D1" s="707"/>
      <c r="E1" s="707"/>
    </row>
    <row r="2" spans="1:5" ht="15">
      <c r="A2" s="711" t="s">
        <v>2301</v>
      </c>
      <c r="B2" s="711"/>
      <c r="C2" s="711"/>
      <c r="D2" s="711"/>
      <c r="E2" s="711"/>
    </row>
    <row r="3" spans="1:5">
      <c r="A3" s="546"/>
      <c r="B3" s="547"/>
      <c r="C3" s="548"/>
      <c r="D3" s="548"/>
      <c r="E3" s="548"/>
    </row>
    <row r="4" spans="1:5" ht="15.75">
      <c r="A4" s="997" t="s">
        <v>294</v>
      </c>
      <c r="B4" s="998"/>
      <c r="C4" s="998"/>
      <c r="D4" s="998"/>
      <c r="E4" s="999"/>
    </row>
    <row r="5" spans="1:5" ht="15.75">
      <c r="A5" s="352" t="s">
        <v>296</v>
      </c>
      <c r="B5" s="352" t="s">
        <v>2229</v>
      </c>
      <c r="C5" s="997" t="s">
        <v>110</v>
      </c>
      <c r="D5" s="998"/>
      <c r="E5" s="999"/>
    </row>
    <row r="6" spans="1:5">
      <c r="A6" s="549"/>
      <c r="B6" s="450"/>
      <c r="C6" s="1029"/>
      <c r="D6" s="1030"/>
      <c r="E6" s="1031"/>
    </row>
    <row r="7" spans="1:5">
      <c r="A7" s="549" t="s">
        <v>2230</v>
      </c>
      <c r="B7" s="450">
        <v>0.68</v>
      </c>
      <c r="C7" s="550" t="s">
        <v>2231</v>
      </c>
      <c r="D7" s="550"/>
      <c r="E7" s="551"/>
    </row>
    <row r="8" spans="1:5">
      <c r="A8" s="549" t="s">
        <v>2232</v>
      </c>
      <c r="B8" s="450">
        <v>0.08</v>
      </c>
      <c r="C8" s="550" t="s">
        <v>2231</v>
      </c>
      <c r="D8" s="550"/>
      <c r="E8" s="550"/>
    </row>
    <row r="9" spans="1:5">
      <c r="A9" s="549"/>
      <c r="B9" s="450"/>
      <c r="C9" s="1029"/>
      <c r="D9" s="1030"/>
      <c r="E9" s="1031"/>
    </row>
    <row r="10" spans="1:5" ht="15.75">
      <c r="A10" s="997" t="s">
        <v>300</v>
      </c>
      <c r="B10" s="998"/>
      <c r="C10" s="998"/>
      <c r="D10" s="998"/>
      <c r="E10" s="999"/>
    </row>
    <row r="11" spans="1:5" ht="15.75">
      <c r="A11" s="352" t="s">
        <v>296</v>
      </c>
      <c r="B11" s="352" t="s">
        <v>2229</v>
      </c>
      <c r="C11" s="997" t="s">
        <v>110</v>
      </c>
      <c r="D11" s="998"/>
      <c r="E11" s="999"/>
    </row>
    <row r="12" spans="1:5">
      <c r="A12" s="552" t="s">
        <v>2233</v>
      </c>
      <c r="B12" s="450">
        <v>60</v>
      </c>
      <c r="C12" s="1026" t="s">
        <v>2234</v>
      </c>
      <c r="D12" s="1027"/>
      <c r="E12" s="1028"/>
    </row>
    <row r="13" spans="1:5">
      <c r="A13" s="552" t="s">
        <v>2235</v>
      </c>
      <c r="B13" s="450">
        <v>80</v>
      </c>
      <c r="C13" s="1026" t="s">
        <v>2234</v>
      </c>
      <c r="D13" s="1027"/>
      <c r="E13" s="1028"/>
    </row>
    <row r="14" spans="1:5">
      <c r="A14" s="552" t="s">
        <v>2236</v>
      </c>
      <c r="B14" s="450">
        <v>150</v>
      </c>
      <c r="C14" s="1026" t="s">
        <v>2234</v>
      </c>
      <c r="D14" s="1027"/>
      <c r="E14" s="1028"/>
    </row>
    <row r="15" spans="1:5" ht="15.75" customHeight="1">
      <c r="A15" s="553" t="s">
        <v>2237</v>
      </c>
      <c r="B15" s="554">
        <v>150</v>
      </c>
      <c r="C15" s="1026" t="s">
        <v>2234</v>
      </c>
      <c r="D15" s="1027"/>
      <c r="E15" s="1028"/>
    </row>
    <row r="16" spans="1:5">
      <c r="A16" s="552"/>
      <c r="B16" s="450"/>
      <c r="C16" s="1026"/>
      <c r="D16" s="1027"/>
      <c r="E16" s="1028"/>
    </row>
    <row r="17" spans="1:5">
      <c r="A17" s="555" t="s">
        <v>1214</v>
      </c>
      <c r="B17" s="450">
        <v>4</v>
      </c>
      <c r="C17" s="1026" t="s">
        <v>787</v>
      </c>
      <c r="D17" s="1027"/>
      <c r="E17" s="1028"/>
    </row>
    <row r="18" spans="1:5">
      <c r="A18" s="552"/>
      <c r="B18" s="450"/>
      <c r="C18" s="1026"/>
      <c r="D18" s="1027"/>
      <c r="E18" s="1028"/>
    </row>
    <row r="19" spans="1:5">
      <c r="A19" s="549" t="s">
        <v>2238</v>
      </c>
      <c r="B19" s="450">
        <v>4.5</v>
      </c>
      <c r="C19" s="1026" t="s">
        <v>787</v>
      </c>
      <c r="D19" s="1027"/>
      <c r="E19" s="1028"/>
    </row>
    <row r="20" spans="1:5">
      <c r="A20" s="549"/>
      <c r="B20" s="450"/>
      <c r="C20" s="1026"/>
      <c r="D20" s="1027"/>
      <c r="E20" s="1028"/>
    </row>
    <row r="21" spans="1:5">
      <c r="A21" s="549" t="s">
        <v>113</v>
      </c>
      <c r="B21" s="450">
        <v>5.5</v>
      </c>
      <c r="C21" s="1026" t="s">
        <v>787</v>
      </c>
      <c r="D21" s="1027"/>
      <c r="E21" s="1028"/>
    </row>
    <row r="22" spans="1:5">
      <c r="A22" s="549"/>
      <c r="B22" s="450"/>
      <c r="C22" s="1026"/>
      <c r="D22" s="1027"/>
      <c r="E22" s="1028"/>
    </row>
    <row r="23" spans="1:5">
      <c r="A23" s="552" t="s">
        <v>2239</v>
      </c>
      <c r="B23" s="450">
        <v>98</v>
      </c>
      <c r="C23" s="1026" t="s">
        <v>2234</v>
      </c>
      <c r="D23" s="1027"/>
      <c r="E23" s="1028"/>
    </row>
    <row r="24" spans="1:5">
      <c r="A24" s="552" t="s">
        <v>2240</v>
      </c>
      <c r="B24" s="450">
        <v>130</v>
      </c>
      <c r="C24" s="1026" t="s">
        <v>2234</v>
      </c>
      <c r="D24" s="1027"/>
      <c r="E24" s="1028"/>
    </row>
    <row r="25" spans="1:5">
      <c r="A25" s="552" t="s">
        <v>2241</v>
      </c>
      <c r="B25" s="450">
        <v>165</v>
      </c>
      <c r="C25" s="1026" t="s">
        <v>2234</v>
      </c>
      <c r="D25" s="1027"/>
      <c r="E25" s="1028"/>
    </row>
    <row r="26" spans="1:5">
      <c r="A26" s="552"/>
      <c r="B26" s="450"/>
      <c r="C26" s="1026"/>
      <c r="D26" s="1027"/>
      <c r="E26" s="1028"/>
    </row>
    <row r="27" spans="1:5">
      <c r="A27" s="552" t="s">
        <v>2242</v>
      </c>
      <c r="B27" s="450">
        <v>20</v>
      </c>
      <c r="C27" s="1026" t="s">
        <v>2234</v>
      </c>
      <c r="D27" s="1027"/>
      <c r="E27" s="1028"/>
    </row>
    <row r="28" spans="1:5">
      <c r="A28" s="552" t="s">
        <v>2243</v>
      </c>
      <c r="B28" s="450">
        <v>25</v>
      </c>
      <c r="C28" s="1026" t="s">
        <v>2234</v>
      </c>
      <c r="D28" s="1027"/>
      <c r="E28" s="1028"/>
    </row>
    <row r="29" spans="1:5">
      <c r="A29" s="552"/>
      <c r="B29" s="450"/>
      <c r="C29" s="1026"/>
      <c r="D29" s="1027"/>
      <c r="E29" s="1028"/>
    </row>
    <row r="30" spans="1:5">
      <c r="A30" s="552" t="s">
        <v>2244</v>
      </c>
      <c r="B30" s="450">
        <v>135</v>
      </c>
      <c r="C30" s="1026" t="s">
        <v>2234</v>
      </c>
      <c r="D30" s="1027"/>
      <c r="E30" s="1028"/>
    </row>
    <row r="31" spans="1:5">
      <c r="A31" s="552" t="s">
        <v>2245</v>
      </c>
      <c r="B31" s="450">
        <v>186</v>
      </c>
      <c r="C31" s="1026" t="s">
        <v>2234</v>
      </c>
      <c r="D31" s="1027"/>
      <c r="E31" s="1028"/>
    </row>
    <row r="32" spans="1:5">
      <c r="A32" s="552" t="s">
        <v>2246</v>
      </c>
      <c r="B32" s="450">
        <v>135</v>
      </c>
      <c r="C32" s="1026" t="s">
        <v>2234</v>
      </c>
      <c r="D32" s="1027"/>
      <c r="E32" s="1028"/>
    </row>
    <row r="33" spans="1:5">
      <c r="A33" s="550"/>
      <c r="B33" s="551"/>
      <c r="C33" s="1026"/>
      <c r="D33" s="1027"/>
      <c r="E33" s="1028"/>
    </row>
    <row r="34" spans="1:5">
      <c r="A34" s="552" t="s">
        <v>2247</v>
      </c>
      <c r="B34" s="556">
        <v>0.25</v>
      </c>
      <c r="C34" s="1026" t="s">
        <v>2248</v>
      </c>
      <c r="D34" s="1027"/>
      <c r="E34" s="1028"/>
    </row>
    <row r="35" spans="1:5">
      <c r="A35" s="552"/>
      <c r="B35" s="556">
        <v>0.4</v>
      </c>
      <c r="C35" s="1026" t="s">
        <v>635</v>
      </c>
      <c r="D35" s="1027"/>
      <c r="E35" s="1028"/>
    </row>
    <row r="36" spans="1:5">
      <c r="A36" s="552"/>
      <c r="B36" s="556"/>
      <c r="C36" s="1026"/>
      <c r="D36" s="1027"/>
      <c r="E36" s="1028"/>
    </row>
    <row r="37" spans="1:5" ht="15.75">
      <c r="A37" s="997" t="s">
        <v>2249</v>
      </c>
      <c r="B37" s="998"/>
      <c r="C37" s="998"/>
      <c r="D37" s="998"/>
      <c r="E37" s="999"/>
    </row>
    <row r="38" spans="1:5" ht="15.75">
      <c r="A38" s="352" t="s">
        <v>296</v>
      </c>
      <c r="B38" s="352" t="s">
        <v>2229</v>
      </c>
      <c r="C38" s="997" t="s">
        <v>110</v>
      </c>
      <c r="D38" s="998"/>
      <c r="E38" s="999"/>
    </row>
    <row r="39" spans="1:5">
      <c r="A39" s="557"/>
      <c r="B39" s="452"/>
      <c r="C39" s="1026"/>
      <c r="D39" s="1027"/>
      <c r="E39" s="1028"/>
    </row>
    <row r="40" spans="1:5">
      <c r="A40" s="549" t="s">
        <v>2250</v>
      </c>
      <c r="B40" s="558">
        <v>2</v>
      </c>
      <c r="C40" s="1026" t="s">
        <v>2234</v>
      </c>
      <c r="D40" s="1027"/>
      <c r="E40" s="1028"/>
    </row>
    <row r="41" spans="1:5">
      <c r="A41" s="549" t="s">
        <v>2251</v>
      </c>
      <c r="B41" s="558">
        <v>8</v>
      </c>
      <c r="C41" s="1026" t="s">
        <v>2234</v>
      </c>
      <c r="D41" s="1027"/>
      <c r="E41" s="1028"/>
    </row>
    <row r="42" spans="1:5">
      <c r="A42" s="549" t="s">
        <v>2252</v>
      </c>
      <c r="B42" s="558">
        <v>16</v>
      </c>
      <c r="C42" s="1026" t="s">
        <v>2234</v>
      </c>
      <c r="D42" s="1027"/>
      <c r="E42" s="1028"/>
    </row>
    <row r="43" spans="1:5" ht="13.5" customHeight="1">
      <c r="A43" s="559" t="s">
        <v>2253</v>
      </c>
      <c r="B43" s="554">
        <v>16</v>
      </c>
      <c r="C43" s="1026" t="s">
        <v>2234</v>
      </c>
      <c r="D43" s="1027"/>
      <c r="E43" s="1028"/>
    </row>
    <row r="44" spans="1:5">
      <c r="A44" s="557"/>
      <c r="B44" s="452"/>
      <c r="C44" s="1026"/>
      <c r="D44" s="1027"/>
      <c r="E44" s="1028"/>
    </row>
    <row r="45" spans="1:5">
      <c r="A45" s="552" t="s">
        <v>2254</v>
      </c>
      <c r="B45" s="450">
        <v>1</v>
      </c>
      <c r="C45" s="1026" t="s">
        <v>787</v>
      </c>
      <c r="D45" s="1027"/>
      <c r="E45" s="1028"/>
    </row>
    <row r="46" spans="1:5">
      <c r="A46" s="552" t="s">
        <v>2255</v>
      </c>
      <c r="B46" s="450">
        <v>0.1</v>
      </c>
      <c r="C46" s="1026" t="s">
        <v>787</v>
      </c>
      <c r="D46" s="1027"/>
      <c r="E46" s="1028"/>
    </row>
    <row r="47" spans="1:5">
      <c r="A47" s="557"/>
      <c r="B47" s="560"/>
      <c r="C47" s="1026"/>
      <c r="D47" s="1027"/>
      <c r="E47" s="1028"/>
    </row>
    <row r="48" spans="1:5">
      <c r="A48" s="552" t="s">
        <v>2256</v>
      </c>
      <c r="B48" s="450">
        <v>1</v>
      </c>
      <c r="C48" s="1026" t="s">
        <v>787</v>
      </c>
      <c r="D48" s="1027"/>
      <c r="E48" s="1028"/>
    </row>
    <row r="49" spans="1:5">
      <c r="A49" s="552" t="s">
        <v>2257</v>
      </c>
      <c r="B49" s="450">
        <v>0.2</v>
      </c>
      <c r="C49" s="1026" t="s">
        <v>787</v>
      </c>
      <c r="D49" s="1027"/>
      <c r="E49" s="1028"/>
    </row>
    <row r="50" spans="1:5">
      <c r="A50" s="557"/>
      <c r="B50" s="452"/>
      <c r="C50" s="1026"/>
      <c r="D50" s="1027"/>
      <c r="E50" s="1028"/>
    </row>
    <row r="51" spans="1:5">
      <c r="A51" s="552" t="s">
        <v>2258</v>
      </c>
      <c r="B51" s="450">
        <v>1.1000000000000001</v>
      </c>
      <c r="C51" s="1026" t="s">
        <v>787</v>
      </c>
      <c r="D51" s="1027"/>
      <c r="E51" s="1028"/>
    </row>
    <row r="52" spans="1:5">
      <c r="A52" s="552" t="s">
        <v>2259</v>
      </c>
      <c r="B52" s="450">
        <v>0.2</v>
      </c>
      <c r="C52" s="1026" t="s">
        <v>787</v>
      </c>
      <c r="D52" s="1027"/>
      <c r="E52" s="1028"/>
    </row>
    <row r="53" spans="1:5">
      <c r="A53" s="550"/>
      <c r="B53" s="561"/>
      <c r="C53" s="1026"/>
      <c r="D53" s="1027"/>
      <c r="E53" s="1028"/>
    </row>
    <row r="54" spans="1:5">
      <c r="A54" s="552" t="s">
        <v>2260</v>
      </c>
      <c r="B54" s="450">
        <v>18</v>
      </c>
      <c r="C54" s="1026" t="s">
        <v>2234</v>
      </c>
      <c r="D54" s="1027"/>
      <c r="E54" s="1028"/>
    </row>
    <row r="55" spans="1:5">
      <c r="A55" s="552" t="s">
        <v>2261</v>
      </c>
      <c r="B55" s="450">
        <v>2</v>
      </c>
      <c r="C55" s="1026" t="s">
        <v>2234</v>
      </c>
      <c r="D55" s="1027"/>
      <c r="E55" s="1028"/>
    </row>
    <row r="56" spans="1:5">
      <c r="A56" s="552" t="s">
        <v>2262</v>
      </c>
      <c r="B56" s="450">
        <v>8</v>
      </c>
      <c r="C56" s="1026" t="s">
        <v>2234</v>
      </c>
      <c r="D56" s="1027"/>
      <c r="E56" s="1028"/>
    </row>
    <row r="57" spans="1:5">
      <c r="A57" s="552" t="s">
        <v>2263</v>
      </c>
      <c r="B57" s="450">
        <v>6</v>
      </c>
      <c r="C57" s="1026" t="s">
        <v>2234</v>
      </c>
      <c r="D57" s="1027"/>
      <c r="E57" s="1028"/>
    </row>
    <row r="58" spans="1:5">
      <c r="A58" s="550"/>
      <c r="B58" s="561"/>
      <c r="C58" s="1026"/>
      <c r="D58" s="1027"/>
      <c r="E58" s="1028"/>
    </row>
    <row r="59" spans="1:5">
      <c r="A59" s="552" t="s">
        <v>2264</v>
      </c>
      <c r="B59" s="450">
        <v>12</v>
      </c>
      <c r="C59" s="1026" t="s">
        <v>96</v>
      </c>
      <c r="D59" s="1027"/>
      <c r="E59" s="1028"/>
    </row>
    <row r="60" spans="1:5">
      <c r="A60" s="552" t="s">
        <v>2265</v>
      </c>
      <c r="B60" s="450">
        <v>30</v>
      </c>
      <c r="C60" s="1026" t="s">
        <v>96</v>
      </c>
      <c r="D60" s="1027"/>
      <c r="E60" s="1028"/>
    </row>
    <row r="61" spans="1:5">
      <c r="A61" s="562"/>
      <c r="B61" s="450"/>
      <c r="C61" s="1026"/>
      <c r="D61" s="1027"/>
      <c r="E61" s="1028"/>
    </row>
    <row r="62" spans="1:5">
      <c r="A62" s="552" t="s">
        <v>2266</v>
      </c>
      <c r="B62" s="450">
        <v>3.65</v>
      </c>
      <c r="C62" s="1026" t="s">
        <v>787</v>
      </c>
      <c r="D62" s="1027"/>
      <c r="E62" s="1028"/>
    </row>
    <row r="63" spans="1:5">
      <c r="A63" s="552" t="s">
        <v>2267</v>
      </c>
      <c r="B63" s="450">
        <v>85</v>
      </c>
      <c r="C63" s="1026" t="s">
        <v>2268</v>
      </c>
      <c r="D63" s="1027"/>
      <c r="E63" s="1028"/>
    </row>
    <row r="64" spans="1:5">
      <c r="A64" s="552" t="s">
        <v>2269</v>
      </c>
      <c r="B64" s="450">
        <v>100</v>
      </c>
      <c r="C64" s="1026" t="s">
        <v>2268</v>
      </c>
      <c r="D64" s="1027"/>
      <c r="E64" s="1028"/>
    </row>
    <row r="65" spans="1:5">
      <c r="A65" s="552" t="s">
        <v>2270</v>
      </c>
      <c r="B65" s="450">
        <v>240</v>
      </c>
      <c r="C65" s="1026" t="s">
        <v>2268</v>
      </c>
      <c r="D65" s="1027"/>
      <c r="E65" s="1028"/>
    </row>
    <row r="66" spans="1:5">
      <c r="A66" s="552" t="s">
        <v>2271</v>
      </c>
      <c r="B66" s="450">
        <v>5.5</v>
      </c>
      <c r="C66" s="1026" t="s">
        <v>787</v>
      </c>
      <c r="D66" s="1027"/>
      <c r="E66" s="1028"/>
    </row>
    <row r="67" spans="1:5">
      <c r="A67" s="549" t="s">
        <v>2272</v>
      </c>
      <c r="B67" s="450">
        <v>16</v>
      </c>
      <c r="C67" s="1026" t="s">
        <v>2273</v>
      </c>
      <c r="D67" s="1027"/>
      <c r="E67" s="1028"/>
    </row>
    <row r="68" spans="1:5">
      <c r="A68" s="552"/>
      <c r="B68" s="556"/>
      <c r="C68" s="1026"/>
      <c r="D68" s="1027"/>
      <c r="E68" s="1028"/>
    </row>
    <row r="69" spans="1:5" ht="15.75">
      <c r="A69" s="1036" t="s">
        <v>2274</v>
      </c>
      <c r="B69" s="1036"/>
      <c r="C69" s="1036"/>
      <c r="D69" s="1036"/>
      <c r="E69" s="1036"/>
    </row>
    <row r="70" spans="1:5" ht="15.75">
      <c r="A70" s="352" t="s">
        <v>296</v>
      </c>
      <c r="B70" s="997"/>
      <c r="C70" s="998"/>
      <c r="D70" s="998"/>
      <c r="E70" s="999"/>
    </row>
    <row r="71" spans="1:5">
      <c r="A71" s="549" t="s">
        <v>2275</v>
      </c>
      <c r="B71" s="1033">
        <v>3</v>
      </c>
      <c r="C71" s="1034"/>
      <c r="D71" s="1034"/>
      <c r="E71" s="1035"/>
    </row>
    <row r="72" spans="1:5">
      <c r="A72" s="549"/>
      <c r="B72" s="1033"/>
      <c r="C72" s="1034"/>
      <c r="D72" s="1034"/>
      <c r="E72" s="1035"/>
    </row>
    <row r="73" spans="1:5">
      <c r="A73" s="549"/>
      <c r="B73" s="570" t="s">
        <v>2276</v>
      </c>
      <c r="C73" s="571" t="s">
        <v>2277</v>
      </c>
      <c r="D73" s="571" t="s">
        <v>2278</v>
      </c>
      <c r="E73" s="563"/>
    </row>
    <row r="74" spans="1:5">
      <c r="A74" s="549" t="s">
        <v>2279</v>
      </c>
      <c r="B74" s="450">
        <v>3.5</v>
      </c>
      <c r="C74" s="450">
        <v>5</v>
      </c>
      <c r="D74" s="450">
        <v>7</v>
      </c>
      <c r="E74" s="563" t="s">
        <v>2280</v>
      </c>
    </row>
    <row r="75" spans="1:5">
      <c r="A75" s="549" t="s">
        <v>2281</v>
      </c>
      <c r="B75" s="450">
        <v>6.5</v>
      </c>
      <c r="C75" s="450">
        <v>9.5</v>
      </c>
      <c r="D75" s="450">
        <v>12.5</v>
      </c>
      <c r="E75" s="563" t="s">
        <v>2280</v>
      </c>
    </row>
    <row r="76" spans="1:5">
      <c r="A76" s="549" t="s">
        <v>2282</v>
      </c>
      <c r="B76" s="450">
        <v>12</v>
      </c>
      <c r="C76" s="450">
        <v>17.5</v>
      </c>
      <c r="D76" s="450">
        <v>22</v>
      </c>
      <c r="E76" s="563" t="s">
        <v>2280</v>
      </c>
    </row>
    <row r="77" spans="1:5" ht="16.5" customHeight="1">
      <c r="A77" s="559" t="s">
        <v>2237</v>
      </c>
      <c r="B77" s="554">
        <v>12</v>
      </c>
      <c r="C77" s="450">
        <v>17.5</v>
      </c>
      <c r="D77" s="450">
        <v>22</v>
      </c>
      <c r="E77" s="563" t="s">
        <v>2280</v>
      </c>
    </row>
    <row r="78" spans="1:5">
      <c r="A78" s="550"/>
      <c r="B78" s="561"/>
      <c r="C78" s="561"/>
      <c r="D78" s="561"/>
      <c r="E78" s="563"/>
    </row>
    <row r="79" spans="1:5">
      <c r="A79" s="550"/>
      <c r="B79" s="570" t="s">
        <v>2276</v>
      </c>
      <c r="C79" s="571" t="s">
        <v>2277</v>
      </c>
      <c r="D79" s="571" t="s">
        <v>2278</v>
      </c>
      <c r="E79" s="563"/>
    </row>
    <row r="80" spans="1:5">
      <c r="A80" s="549" t="s">
        <v>2283</v>
      </c>
      <c r="B80" s="450">
        <v>1.9</v>
      </c>
      <c r="C80" s="450">
        <v>2.5</v>
      </c>
      <c r="D80" s="450">
        <v>3</v>
      </c>
      <c r="E80" s="564" t="s">
        <v>2284</v>
      </c>
    </row>
    <row r="81" spans="1:5">
      <c r="A81" s="549" t="s">
        <v>2285</v>
      </c>
      <c r="B81" s="450">
        <v>1.25</v>
      </c>
      <c r="C81" s="450">
        <v>1.7</v>
      </c>
      <c r="D81" s="450">
        <v>2.1</v>
      </c>
      <c r="E81" s="564" t="s">
        <v>2284</v>
      </c>
    </row>
    <row r="82" spans="1:5">
      <c r="A82" s="550"/>
      <c r="B82" s="561"/>
      <c r="C82" s="561"/>
      <c r="D82" s="561"/>
      <c r="E82" s="563"/>
    </row>
    <row r="83" spans="1:5">
      <c r="A83" s="549"/>
      <c r="B83" s="570" t="s">
        <v>2276</v>
      </c>
      <c r="C83" s="571" t="s">
        <v>2277</v>
      </c>
      <c r="D83" s="571" t="s">
        <v>2278</v>
      </c>
      <c r="E83" s="563"/>
    </row>
    <row r="84" spans="1:5">
      <c r="A84" s="552" t="s">
        <v>2286</v>
      </c>
      <c r="B84" s="450">
        <v>18</v>
      </c>
      <c r="C84" s="450">
        <v>22</v>
      </c>
      <c r="D84" s="450">
        <v>26</v>
      </c>
      <c r="E84" s="563" t="s">
        <v>2287</v>
      </c>
    </row>
    <row r="85" spans="1:5">
      <c r="A85" s="552" t="s">
        <v>2288</v>
      </c>
      <c r="B85" s="450">
        <v>25</v>
      </c>
      <c r="C85" s="450">
        <v>32</v>
      </c>
      <c r="D85" s="450">
        <v>40</v>
      </c>
      <c r="E85" s="563" t="s">
        <v>2289</v>
      </c>
    </row>
    <row r="86" spans="1:5">
      <c r="A86" s="552" t="s">
        <v>2290</v>
      </c>
      <c r="B86" s="450">
        <v>29</v>
      </c>
      <c r="C86" s="450">
        <v>38</v>
      </c>
      <c r="D86" s="450">
        <v>42</v>
      </c>
      <c r="E86" s="563" t="s">
        <v>2287</v>
      </c>
    </row>
    <row r="87" spans="1:5">
      <c r="A87" s="555" t="s">
        <v>2291</v>
      </c>
      <c r="B87" s="450">
        <v>30</v>
      </c>
      <c r="C87" s="450">
        <v>35</v>
      </c>
      <c r="D87" s="450">
        <v>40</v>
      </c>
      <c r="E87" s="563" t="s">
        <v>2287</v>
      </c>
    </row>
    <row r="88" spans="1:5">
      <c r="A88" s="555" t="s">
        <v>2292</v>
      </c>
      <c r="B88" s="450">
        <v>30</v>
      </c>
      <c r="C88" s="450">
        <v>35</v>
      </c>
      <c r="D88" s="450">
        <v>40</v>
      </c>
      <c r="E88" s="563"/>
    </row>
    <row r="89" spans="1:5">
      <c r="A89" s="552" t="s">
        <v>2293</v>
      </c>
      <c r="B89" s="450">
        <v>40</v>
      </c>
      <c r="C89" s="450">
        <v>45</v>
      </c>
      <c r="D89" s="450">
        <v>50</v>
      </c>
      <c r="E89" s="563" t="s">
        <v>2287</v>
      </c>
    </row>
    <row r="90" spans="1:5">
      <c r="A90" s="552" t="s">
        <v>2294</v>
      </c>
      <c r="B90" s="450">
        <v>40</v>
      </c>
      <c r="C90" s="450">
        <v>45</v>
      </c>
      <c r="D90" s="450">
        <v>50</v>
      </c>
      <c r="E90" s="563" t="s">
        <v>2287</v>
      </c>
    </row>
    <row r="91" spans="1:5">
      <c r="A91" s="552" t="s">
        <v>2295</v>
      </c>
      <c r="B91" s="450">
        <v>1.8</v>
      </c>
      <c r="C91" s="450">
        <v>1.8</v>
      </c>
      <c r="D91" s="450">
        <v>1.8</v>
      </c>
      <c r="E91" s="563" t="s">
        <v>2287</v>
      </c>
    </row>
    <row r="92" spans="1:5">
      <c r="A92" s="552" t="s">
        <v>2296</v>
      </c>
      <c r="B92" s="450">
        <v>3</v>
      </c>
      <c r="C92" s="450">
        <v>3</v>
      </c>
      <c r="D92" s="450">
        <v>3</v>
      </c>
      <c r="E92" s="563" t="s">
        <v>2287</v>
      </c>
    </row>
    <row r="93" spans="1:5">
      <c r="A93" s="565"/>
      <c r="B93" s="566"/>
      <c r="C93" s="567"/>
      <c r="D93" s="567"/>
      <c r="E93" s="567"/>
    </row>
    <row r="94" spans="1:5">
      <c r="A94" s="565"/>
      <c r="B94" s="570" t="s">
        <v>2276</v>
      </c>
      <c r="C94" s="571" t="s">
        <v>2277</v>
      </c>
      <c r="D94" s="571" t="s">
        <v>2297</v>
      </c>
      <c r="E94" s="571" t="s">
        <v>2298</v>
      </c>
    </row>
    <row r="95" spans="1:5">
      <c r="A95" s="568" t="s">
        <v>2299</v>
      </c>
      <c r="B95" s="569">
        <v>8.8000000000000005E-3</v>
      </c>
      <c r="C95" s="569">
        <v>0.01</v>
      </c>
      <c r="D95" s="569">
        <v>1.0999999999999999E-2</v>
      </c>
      <c r="E95" s="569">
        <v>1.4999999999999999E-2</v>
      </c>
    </row>
    <row r="96" spans="1:5">
      <c r="A96" s="568"/>
      <c r="B96" s="569"/>
      <c r="C96" s="569"/>
      <c r="D96" s="569"/>
      <c r="E96" s="569"/>
    </row>
    <row r="97" spans="1:5" ht="15.75">
      <c r="A97" s="1036" t="s">
        <v>2335</v>
      </c>
      <c r="B97" s="1036"/>
      <c r="C97" s="1036"/>
      <c r="D97" s="1036"/>
      <c r="E97" s="1036"/>
    </row>
    <row r="98" spans="1:5" ht="15.75">
      <c r="A98" s="572" t="s">
        <v>296</v>
      </c>
      <c r="B98" s="997"/>
      <c r="C98" s="998"/>
      <c r="D98" s="998"/>
      <c r="E98" s="999"/>
    </row>
    <row r="99" spans="1:5" ht="32.25" customHeight="1">
      <c r="A99" s="612" t="s">
        <v>213</v>
      </c>
      <c r="B99" s="1032" t="s">
        <v>2326</v>
      </c>
      <c r="C99" s="1032"/>
      <c r="D99" s="1032"/>
      <c r="E99" s="1032"/>
    </row>
    <row r="100" spans="1:5" ht="44.25" customHeight="1">
      <c r="A100" s="613" t="s">
        <v>2327</v>
      </c>
      <c r="B100" s="1032" t="s">
        <v>2328</v>
      </c>
      <c r="C100" s="1032"/>
      <c r="D100" s="1032"/>
      <c r="E100" s="1032"/>
    </row>
    <row r="101" spans="1:5" ht="36.75" customHeight="1">
      <c r="A101" s="613" t="s">
        <v>2329</v>
      </c>
      <c r="B101" s="1032" t="s">
        <v>2330</v>
      </c>
      <c r="C101" s="1032"/>
      <c r="D101" s="1032"/>
      <c r="E101" s="1032"/>
    </row>
    <row r="102" spans="1:5" ht="56.25" customHeight="1">
      <c r="A102" s="613" t="s">
        <v>2331</v>
      </c>
      <c r="B102" s="1032" t="s">
        <v>2332</v>
      </c>
      <c r="C102" s="1032"/>
      <c r="D102" s="1032"/>
      <c r="E102" s="1032"/>
    </row>
    <row r="103" spans="1:5" ht="55.5" customHeight="1">
      <c r="A103" s="613" t="s">
        <v>2333</v>
      </c>
      <c r="B103" s="1032" t="s">
        <v>2334</v>
      </c>
      <c r="C103" s="1032"/>
      <c r="D103" s="1032"/>
      <c r="E103" s="1032"/>
    </row>
  </sheetData>
  <sheetProtection algorithmName="SHA-512" hashValue="7Ro48C46cclouAbP+hb65+SndVsw6ZXbxjHtuVmQVetQkldsefLNwOMfI9SWG/p8cv2aWA4om28G8pqzmC7Afw==" saltValue="KP+HaRzhyViR5/Y+Leo2TQ==" spinCount="100000" sheet="1" objects="1" scenarios="1"/>
  <mergeCells count="76">
    <mergeCell ref="C68:E68"/>
    <mergeCell ref="B102:E102"/>
    <mergeCell ref="B103:E103"/>
    <mergeCell ref="B70:E70"/>
    <mergeCell ref="B71:E71"/>
    <mergeCell ref="B72:E72"/>
    <mergeCell ref="A97:E97"/>
    <mergeCell ref="B98:E98"/>
    <mergeCell ref="B99:E99"/>
    <mergeCell ref="B100:E100"/>
    <mergeCell ref="B101:E101"/>
    <mergeCell ref="A69:E69"/>
    <mergeCell ref="C59:E59"/>
    <mergeCell ref="C60:E60"/>
    <mergeCell ref="C61:E61"/>
    <mergeCell ref="C62:E62"/>
    <mergeCell ref="C67:E67"/>
    <mergeCell ref="C64:E64"/>
    <mergeCell ref="C65:E65"/>
    <mergeCell ref="C66:E66"/>
    <mergeCell ref="C63:E63"/>
    <mergeCell ref="C54:E54"/>
    <mergeCell ref="C55:E55"/>
    <mergeCell ref="C56:E56"/>
    <mergeCell ref="C57:E57"/>
    <mergeCell ref="C58:E58"/>
    <mergeCell ref="C46:E46"/>
    <mergeCell ref="C47:E47"/>
    <mergeCell ref="C48:E48"/>
    <mergeCell ref="C49:E49"/>
    <mergeCell ref="C50:E50"/>
    <mergeCell ref="C41:E41"/>
    <mergeCell ref="C42:E42"/>
    <mergeCell ref="C43:E43"/>
    <mergeCell ref="C44:E44"/>
    <mergeCell ref="C45:E45"/>
    <mergeCell ref="C52:E52"/>
    <mergeCell ref="C53:E53"/>
    <mergeCell ref="C39:E39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A37:E37"/>
    <mergeCell ref="C38:E38"/>
    <mergeCell ref="C51:E51"/>
    <mergeCell ref="C40:E40"/>
    <mergeCell ref="C27:E27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15:E15"/>
    <mergeCell ref="A1:E1"/>
    <mergeCell ref="A2:E2"/>
    <mergeCell ref="A4:E4"/>
    <mergeCell ref="C5:E5"/>
    <mergeCell ref="C6:E6"/>
    <mergeCell ref="C9:E9"/>
    <mergeCell ref="A10:E10"/>
    <mergeCell ref="C11:E11"/>
    <mergeCell ref="C12:E12"/>
    <mergeCell ref="C13:E13"/>
    <mergeCell ref="C14:E1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F39"/>
  <sheetViews>
    <sheetView workbookViewId="0">
      <selection activeCell="I19" sqref="I19"/>
    </sheetView>
  </sheetViews>
  <sheetFormatPr baseColWidth="10" defaultRowHeight="12.75"/>
  <cols>
    <col min="1" max="1" width="3.85546875" customWidth="1"/>
    <col min="2" max="2" width="5.7109375" customWidth="1"/>
    <col min="3" max="3" width="50.7109375" customWidth="1"/>
    <col min="4" max="4" width="14.140625" customWidth="1"/>
    <col min="5" max="5" width="14.5703125" customWidth="1"/>
    <col min="6" max="6" width="13.140625" customWidth="1"/>
    <col min="7" max="7" width="20.85546875" customWidth="1"/>
    <col min="8" max="8" width="13.85546875" bestFit="1" customWidth="1"/>
    <col min="9" max="9" width="16" bestFit="1" customWidth="1"/>
    <col min="12" max="13" width="12.140625" bestFit="1" customWidth="1"/>
  </cols>
  <sheetData>
    <row r="2" spans="2:6" ht="15.75">
      <c r="B2" s="863" t="s">
        <v>1626</v>
      </c>
      <c r="C2" s="863"/>
      <c r="D2" s="863"/>
      <c r="E2" s="863"/>
      <c r="F2" s="863"/>
    </row>
    <row r="3" spans="2:6" ht="15">
      <c r="B3" s="680" t="s">
        <v>2342</v>
      </c>
      <c r="C3" s="680"/>
      <c r="D3" s="680"/>
      <c r="E3" s="680"/>
      <c r="F3" s="680"/>
    </row>
    <row r="4" spans="2:6" ht="15">
      <c r="B4" s="616"/>
      <c r="C4" s="616"/>
      <c r="D4" s="616"/>
      <c r="E4" s="616"/>
      <c r="F4" s="616"/>
    </row>
    <row r="5" spans="2:6" ht="15.75">
      <c r="B5" s="864" t="s">
        <v>1627</v>
      </c>
      <c r="C5" s="864"/>
      <c r="D5" s="864" t="s">
        <v>475</v>
      </c>
      <c r="E5" s="864"/>
      <c r="F5" s="617" t="s">
        <v>1628</v>
      </c>
    </row>
    <row r="6" spans="2:6" ht="15.75">
      <c r="B6" s="367" t="s">
        <v>1629</v>
      </c>
      <c r="C6" s="617" t="s">
        <v>213</v>
      </c>
      <c r="D6" s="367"/>
      <c r="E6" s="367"/>
      <c r="F6" s="367"/>
    </row>
    <row r="7" spans="2:6" ht="15">
      <c r="B7" s="368" t="s">
        <v>1630</v>
      </c>
      <c r="C7" s="369" t="s">
        <v>1631</v>
      </c>
      <c r="D7" s="370" t="s">
        <v>1632</v>
      </c>
      <c r="E7" s="1"/>
      <c r="F7" s="371">
        <f>+'[2]Modelo Fin'!F141</f>
        <v>0.55000000000000004</v>
      </c>
    </row>
    <row r="8" spans="2:6">
      <c r="B8" s="368" t="s">
        <v>1633</v>
      </c>
      <c r="C8" s="372" t="s">
        <v>1634</v>
      </c>
      <c r="D8" s="370"/>
      <c r="E8" s="370"/>
      <c r="F8" s="373"/>
    </row>
    <row r="9" spans="2:6" ht="15">
      <c r="B9" s="368" t="s">
        <v>1635</v>
      </c>
      <c r="C9" s="374" t="s">
        <v>773</v>
      </c>
      <c r="D9" s="370" t="s">
        <v>1636</v>
      </c>
      <c r="E9" s="1"/>
      <c r="F9" s="375">
        <f>+'[2]Modelo Fin'!F143</f>
        <v>1000</v>
      </c>
    </row>
    <row r="10" spans="2:6" ht="15">
      <c r="B10" s="368" t="s">
        <v>1637</v>
      </c>
      <c r="C10" s="374" t="s">
        <v>515</v>
      </c>
      <c r="D10" s="370" t="s">
        <v>1636</v>
      </c>
      <c r="E10" s="1"/>
      <c r="F10" s="375">
        <f>+'[2]Modelo Fin'!F144</f>
        <v>100</v>
      </c>
    </row>
    <row r="11" spans="2:6" ht="15.75">
      <c r="B11" s="367" t="s">
        <v>1638</v>
      </c>
      <c r="C11" s="617" t="s">
        <v>1639</v>
      </c>
      <c r="D11" s="367"/>
      <c r="E11" s="367"/>
      <c r="F11" s="367"/>
    </row>
    <row r="12" spans="2:6" ht="15">
      <c r="B12" s="368" t="s">
        <v>1640</v>
      </c>
      <c r="C12" s="369" t="s">
        <v>1641</v>
      </c>
      <c r="D12" s="370" t="s">
        <v>1642</v>
      </c>
      <c r="E12" s="1"/>
      <c r="F12" s="371">
        <f>+'[2]Modelo Fin'!F148</f>
        <v>4.5</v>
      </c>
    </row>
    <row r="13" spans="2:6" ht="15">
      <c r="B13" s="368" t="s">
        <v>1643</v>
      </c>
      <c r="C13" s="372" t="s">
        <v>1644</v>
      </c>
      <c r="D13" s="370" t="s">
        <v>1642</v>
      </c>
      <c r="E13" s="1"/>
      <c r="F13" s="371">
        <f>+'[2]Modelo Fin'!F149</f>
        <v>1</v>
      </c>
    </row>
    <row r="14" spans="2:6" ht="15">
      <c r="B14" s="368" t="s">
        <v>1645</v>
      </c>
      <c r="C14" s="372" t="s">
        <v>1646</v>
      </c>
      <c r="D14" s="370" t="s">
        <v>1642</v>
      </c>
      <c r="E14" s="1"/>
      <c r="F14" s="371">
        <f>+'[2]Modelo Fin'!F150</f>
        <v>0.2</v>
      </c>
    </row>
    <row r="15" spans="2:6" ht="15">
      <c r="B15" s="368" t="s">
        <v>1647</v>
      </c>
      <c r="C15" s="369" t="s">
        <v>1648</v>
      </c>
      <c r="D15" s="370" t="s">
        <v>1649</v>
      </c>
      <c r="E15" s="1"/>
      <c r="F15" s="371">
        <f>+'[2]Modelo Fin'!F151</f>
        <v>90</v>
      </c>
    </row>
    <row r="16" spans="2:6" ht="15">
      <c r="B16" s="368" t="s">
        <v>1650</v>
      </c>
      <c r="C16" s="369" t="s">
        <v>1651</v>
      </c>
      <c r="D16" s="1037" t="s">
        <v>1652</v>
      </c>
      <c r="E16" s="1037"/>
      <c r="F16" s="371">
        <f>+'[2]Modelo Fin'!F152</f>
        <v>50</v>
      </c>
    </row>
    <row r="17" spans="2:6" ht="15">
      <c r="B17" s="368"/>
      <c r="C17" s="369"/>
      <c r="D17" s="370"/>
      <c r="E17" s="1"/>
      <c r="F17" s="371"/>
    </row>
    <row r="18" spans="2:6" ht="15.75">
      <c r="B18" s="367"/>
      <c r="C18" s="617" t="s">
        <v>1653</v>
      </c>
      <c r="D18" s="617" t="s">
        <v>1654</v>
      </c>
      <c r="E18" s="617" t="s">
        <v>1655</v>
      </c>
      <c r="F18" s="367"/>
    </row>
    <row r="19" spans="2:6" ht="15.75">
      <c r="B19" s="618"/>
      <c r="C19" s="372" t="s">
        <v>1656</v>
      </c>
      <c r="D19" s="376"/>
      <c r="E19" s="376">
        <v>500000</v>
      </c>
      <c r="F19" s="377">
        <v>0</v>
      </c>
    </row>
    <row r="20" spans="2:6" ht="15.75">
      <c r="B20" s="618"/>
      <c r="C20" s="372" t="s">
        <v>1656</v>
      </c>
      <c r="D20" s="376">
        <v>500001</v>
      </c>
      <c r="E20" s="376">
        <v>1000000</v>
      </c>
      <c r="F20" s="377">
        <v>0.03</v>
      </c>
    </row>
    <row r="21" spans="2:6" ht="15.75">
      <c r="B21" s="618"/>
      <c r="C21" s="372" t="s">
        <v>1656</v>
      </c>
      <c r="D21" s="376">
        <v>1000001</v>
      </c>
      <c r="E21" s="376">
        <v>2500000</v>
      </c>
      <c r="F21" s="377">
        <v>0.06</v>
      </c>
    </row>
    <row r="22" spans="2:6" ht="15.75">
      <c r="B22" s="618"/>
      <c r="C22" s="372" t="s">
        <v>1656</v>
      </c>
      <c r="D22" s="376">
        <v>2500001</v>
      </c>
      <c r="E22" s="376">
        <v>5000000</v>
      </c>
      <c r="F22" s="377">
        <v>0.08</v>
      </c>
    </row>
    <row r="23" spans="2:6" ht="15">
      <c r="B23" s="368"/>
      <c r="C23" s="372" t="s">
        <v>1656</v>
      </c>
      <c r="D23" s="376">
        <v>5000001</v>
      </c>
      <c r="E23" s="376">
        <v>7500000</v>
      </c>
      <c r="F23" s="377">
        <f>+'[2]Modelo Fin'!F156</f>
        <v>0.1</v>
      </c>
    </row>
    <row r="24" spans="2:6" ht="15">
      <c r="B24" s="368"/>
      <c r="C24" s="372" t="s">
        <v>1656</v>
      </c>
      <c r="D24" s="376">
        <f>+E23+1</f>
        <v>7500001</v>
      </c>
      <c r="E24" s="376">
        <f>+E23+2500000</f>
        <v>10000000</v>
      </c>
      <c r="F24" s="377">
        <f>+'[2]Modelo Fin'!F157</f>
        <v>0.12</v>
      </c>
    </row>
    <row r="25" spans="2:6" ht="15">
      <c r="B25" s="368"/>
      <c r="C25" s="372" t="s">
        <v>1656</v>
      </c>
      <c r="D25" s="376">
        <f t="shared" ref="D25:D29" si="0">+E24+1</f>
        <v>10000001</v>
      </c>
      <c r="E25" s="376">
        <f>+E24+2500000</f>
        <v>12500000</v>
      </c>
      <c r="F25" s="377">
        <f>+'[2]Modelo Fin'!F158</f>
        <v>0.15</v>
      </c>
    </row>
    <row r="26" spans="2:6" ht="15">
      <c r="B26" s="368"/>
      <c r="C26" s="372" t="s">
        <v>1656</v>
      </c>
      <c r="D26" s="376">
        <f t="shared" si="0"/>
        <v>12500001</v>
      </c>
      <c r="E26" s="376">
        <f>+E25+2500000</f>
        <v>15000000</v>
      </c>
      <c r="F26" s="377">
        <f>+'[2]Modelo Fin'!F159</f>
        <v>0.2</v>
      </c>
    </row>
    <row r="27" spans="2:6" ht="15">
      <c r="B27" s="368"/>
      <c r="C27" s="372" t="s">
        <v>1656</v>
      </c>
      <c r="D27" s="376">
        <f t="shared" si="0"/>
        <v>15000001</v>
      </c>
      <c r="E27" s="376">
        <f>+E26+2500000</f>
        <v>17500000</v>
      </c>
      <c r="F27" s="377">
        <f>+'[2]Modelo Fin'!F160</f>
        <v>0.3</v>
      </c>
    </row>
    <row r="28" spans="2:6" ht="15">
      <c r="B28" s="368"/>
      <c r="C28" s="372" t="s">
        <v>1656</v>
      </c>
      <c r="D28" s="376">
        <f t="shared" si="0"/>
        <v>17500001</v>
      </c>
      <c r="E28" s="376">
        <f>+E27+2500000</f>
        <v>20000000</v>
      </c>
      <c r="F28" s="377">
        <f>+'[2]Modelo Fin'!F161</f>
        <v>0.4</v>
      </c>
    </row>
    <row r="29" spans="2:6" ht="15">
      <c r="B29" s="368"/>
      <c r="C29" s="372" t="s">
        <v>1656</v>
      </c>
      <c r="D29" s="376">
        <f t="shared" si="0"/>
        <v>20000001</v>
      </c>
      <c r="E29" s="378"/>
      <c r="F29" s="377">
        <f>+'[2]Modelo Fin'!F162</f>
        <v>0.5</v>
      </c>
    </row>
    <row r="30" spans="2:6" ht="15.75">
      <c r="B30" s="367" t="s">
        <v>1657</v>
      </c>
      <c r="C30" s="617" t="s">
        <v>244</v>
      </c>
      <c r="D30" s="617"/>
      <c r="E30" s="617"/>
      <c r="F30" s="367"/>
    </row>
    <row r="31" spans="2:6" ht="15">
      <c r="B31" s="368"/>
      <c r="C31" s="619" t="s">
        <v>2340</v>
      </c>
      <c r="D31" s="370" t="s">
        <v>1658</v>
      </c>
      <c r="E31" s="376"/>
      <c r="F31" s="371" t="s">
        <v>161</v>
      </c>
    </row>
    <row r="32" spans="2:6" ht="15">
      <c r="B32" s="368"/>
      <c r="C32" s="619" t="s">
        <v>2341</v>
      </c>
      <c r="D32" s="370" t="s">
        <v>1658</v>
      </c>
      <c r="E32" s="376"/>
      <c r="F32" s="371">
        <v>0.3</v>
      </c>
    </row>
    <row r="33" spans="2:6" ht="15.75">
      <c r="B33" s="367" t="s">
        <v>1659</v>
      </c>
      <c r="C33" s="617" t="s">
        <v>1660</v>
      </c>
      <c r="D33" s="617"/>
      <c r="E33" s="617"/>
      <c r="F33" s="367"/>
    </row>
    <row r="34" spans="2:6" ht="15">
      <c r="B34" s="368"/>
      <c r="C34" s="379" t="s">
        <v>1661</v>
      </c>
      <c r="D34" s="370" t="str">
        <f>+'[2]Modelo Fin'!D183</f>
        <v>por tonelada</v>
      </c>
      <c r="E34" s="376"/>
      <c r="F34" s="371">
        <f>+'[2]Modelo Fin'!F183</f>
        <v>5</v>
      </c>
    </row>
    <row r="35" spans="2:6" ht="15">
      <c r="B35" s="368"/>
      <c r="C35" s="379" t="s">
        <v>1662</v>
      </c>
      <c r="D35" s="370" t="str">
        <f>+'[2]Modelo Fin'!D184</f>
        <v>por KWhr</v>
      </c>
      <c r="E35" s="376"/>
      <c r="F35" s="371">
        <f>+'[2]Modelo Fin'!F184</f>
        <v>0.2</v>
      </c>
    </row>
    <row r="36" spans="2:6" ht="15">
      <c r="B36" s="368"/>
      <c r="C36" s="379" t="s">
        <v>325</v>
      </c>
      <c r="D36" s="370" t="str">
        <f>+'[2]Modelo Fin'!D185</f>
        <v>por operación</v>
      </c>
      <c r="E36" s="376"/>
      <c r="F36" s="371">
        <f>+'[2]Modelo Fin'!F185</f>
        <v>85</v>
      </c>
    </row>
    <row r="37" spans="2:6" ht="15">
      <c r="B37" s="368"/>
      <c r="C37" s="379" t="s">
        <v>1663</v>
      </c>
      <c r="D37" s="370" t="str">
        <f>+'[2]Modelo Fin'!D186</f>
        <v>por operación</v>
      </c>
      <c r="E37" s="376"/>
      <c r="F37" s="371">
        <f>+'[2]Modelo Fin'!F186</f>
        <v>115</v>
      </c>
    </row>
    <row r="38" spans="2:6" ht="9.75" customHeight="1">
      <c r="B38" s="368"/>
      <c r="C38" s="380"/>
      <c r="D38" s="370"/>
      <c r="E38" s="376"/>
      <c r="F38" s="371"/>
    </row>
    <row r="39" spans="2:6" ht="15">
      <c r="F39" s="381"/>
    </row>
  </sheetData>
  <sheetProtection algorithmName="SHA-512" hashValue="ywiYDSRAalhsVpQogz39eED4fQ5ESxttaehZ/wwO3lhOzfFJRZQ87vo6/oe7x3A1829JtbRDPjYX+dnSrMG/8Q==" saltValue="+qreUDXIzjJLEcnA7qokog==" spinCount="100000" sheet="1" objects="1" scenarios="1"/>
  <mergeCells count="5">
    <mergeCell ref="B2:F2"/>
    <mergeCell ref="B3:F3"/>
    <mergeCell ref="B5:C5"/>
    <mergeCell ref="D5:E5"/>
    <mergeCell ref="D16:E1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724"/>
  <sheetViews>
    <sheetView tabSelected="1" workbookViewId="0">
      <selection activeCell="J126" sqref="J126"/>
    </sheetView>
  </sheetViews>
  <sheetFormatPr baseColWidth="10" defaultColWidth="25" defaultRowHeight="14.25"/>
  <cols>
    <col min="1" max="1" width="43.140625" style="16" customWidth="1"/>
    <col min="2" max="2" width="15.7109375" style="16" customWidth="1"/>
    <col min="3" max="3" width="19" style="16" customWidth="1"/>
    <col min="4" max="4" width="18" style="16" customWidth="1"/>
    <col min="5" max="5" width="23.140625" style="16" customWidth="1"/>
    <col min="6" max="6" width="17" style="16" customWidth="1"/>
    <col min="7" max="7" width="6.85546875" style="16" customWidth="1"/>
    <col min="8" max="8" width="9.140625" style="16" customWidth="1"/>
    <col min="9" max="9" width="9" style="16" customWidth="1"/>
    <col min="10" max="10" width="9.5703125" style="16" customWidth="1"/>
    <col min="11" max="16384" width="25" style="16"/>
  </cols>
  <sheetData>
    <row r="1" spans="1:7" ht="15">
      <c r="A1" s="1048" t="s">
        <v>627</v>
      </c>
      <c r="B1" s="1048"/>
      <c r="C1" s="1048"/>
      <c r="D1" s="1048"/>
      <c r="E1" s="1048"/>
      <c r="F1" s="140"/>
      <c r="G1" s="140"/>
    </row>
    <row r="2" spans="1:7">
      <c r="A2" s="140"/>
      <c r="B2" s="140"/>
      <c r="C2" s="140"/>
      <c r="D2" s="140"/>
      <c r="E2" s="140"/>
      <c r="F2" s="140"/>
      <c r="G2" s="140"/>
    </row>
    <row r="3" spans="1:7">
      <c r="A3" s="779" t="s">
        <v>511</v>
      </c>
      <c r="B3" s="779" t="s">
        <v>75</v>
      </c>
      <c r="C3" s="779" t="s">
        <v>124</v>
      </c>
      <c r="D3" s="1050" t="s">
        <v>95</v>
      </c>
      <c r="E3" s="1051"/>
      <c r="F3" s="140"/>
      <c r="G3" s="140"/>
    </row>
    <row r="4" spans="1:7">
      <c r="A4" s="1049"/>
      <c r="B4" s="1049"/>
      <c r="C4" s="1049"/>
      <c r="D4" s="1052"/>
      <c r="E4" s="1053"/>
      <c r="F4" s="140"/>
      <c r="G4" s="140"/>
    </row>
    <row r="5" spans="1:7" ht="15">
      <c r="A5" s="1038" t="s">
        <v>125</v>
      </c>
      <c r="B5" s="1038"/>
      <c r="C5" s="1038"/>
      <c r="D5" s="1038"/>
      <c r="E5" s="1038"/>
      <c r="F5" s="140"/>
      <c r="G5" s="140"/>
    </row>
    <row r="6" spans="1:7" ht="15">
      <c r="A6" s="720" t="s">
        <v>591</v>
      </c>
      <c r="B6" s="714"/>
      <c r="C6" s="714"/>
      <c r="D6" s="714"/>
      <c r="E6" s="715"/>
      <c r="F6" s="140"/>
      <c r="G6" s="140"/>
    </row>
    <row r="7" spans="1:7">
      <c r="A7" s="141" t="s">
        <v>497</v>
      </c>
      <c r="B7" s="142">
        <v>0.42</v>
      </c>
      <c r="C7" s="1039" t="s">
        <v>600</v>
      </c>
      <c r="D7" s="1041" t="s">
        <v>630</v>
      </c>
      <c r="E7" s="1042"/>
      <c r="F7" s="140"/>
      <c r="G7" s="140"/>
    </row>
    <row r="8" spans="1:7">
      <c r="A8" s="143" t="s">
        <v>498</v>
      </c>
      <c r="B8" s="76">
        <v>0.49</v>
      </c>
      <c r="C8" s="1039"/>
      <c r="D8" s="1043"/>
      <c r="E8" s="1044"/>
      <c r="F8" s="140"/>
      <c r="G8" s="140"/>
    </row>
    <row r="9" spans="1:7">
      <c r="A9" s="143" t="s">
        <v>499</v>
      </c>
      <c r="B9" s="76">
        <v>0.62</v>
      </c>
      <c r="C9" s="1039"/>
      <c r="D9" s="1043"/>
      <c r="E9" s="1044"/>
      <c r="F9" s="140"/>
      <c r="G9" s="140"/>
    </row>
    <row r="10" spans="1:7">
      <c r="A10" s="143" t="s">
        <v>500</v>
      </c>
      <c r="B10" s="76">
        <v>0.68</v>
      </c>
      <c r="C10" s="1040"/>
      <c r="D10" s="1043"/>
      <c r="E10" s="1044"/>
      <c r="F10" s="140"/>
      <c r="G10" s="140"/>
    </row>
    <row r="11" spans="1:7">
      <c r="A11" s="1047" t="s">
        <v>501</v>
      </c>
      <c r="B11" s="1047"/>
      <c r="C11" s="1047"/>
      <c r="D11" s="1045"/>
      <c r="E11" s="1046"/>
      <c r="F11" s="140"/>
      <c r="G11" s="140"/>
    </row>
    <row r="12" spans="1:7" ht="15">
      <c r="A12" s="720" t="s">
        <v>592</v>
      </c>
      <c r="B12" s="714"/>
      <c r="C12" s="714"/>
      <c r="D12" s="714"/>
      <c r="E12" s="715"/>
      <c r="F12" s="140"/>
      <c r="G12" s="140"/>
    </row>
    <row r="13" spans="1:7">
      <c r="A13" s="141" t="s">
        <v>502</v>
      </c>
      <c r="B13" s="142">
        <v>0.38</v>
      </c>
      <c r="C13" s="1039" t="s">
        <v>600</v>
      </c>
      <c r="D13" s="1041" t="s">
        <v>630</v>
      </c>
      <c r="E13" s="1042"/>
      <c r="F13" s="140"/>
      <c r="G13" s="140"/>
    </row>
    <row r="14" spans="1:7">
      <c r="A14" s="143" t="s">
        <v>503</v>
      </c>
      <c r="B14" s="76">
        <v>0.44</v>
      </c>
      <c r="C14" s="1039"/>
      <c r="D14" s="1043"/>
      <c r="E14" s="1044"/>
      <c r="F14" s="140"/>
      <c r="G14" s="140"/>
    </row>
    <row r="15" spans="1:7">
      <c r="A15" s="143" t="s">
        <v>504</v>
      </c>
      <c r="B15" s="76">
        <v>0.5</v>
      </c>
      <c r="C15" s="1039"/>
      <c r="D15" s="1043"/>
      <c r="E15" s="1044"/>
      <c r="F15" s="140"/>
      <c r="G15" s="140"/>
    </row>
    <row r="16" spans="1:7">
      <c r="A16" s="143" t="s">
        <v>505</v>
      </c>
      <c r="B16" s="76">
        <v>0.55000000000000004</v>
      </c>
      <c r="C16" s="1039"/>
      <c r="D16" s="1043"/>
      <c r="E16" s="1044"/>
      <c r="F16" s="140"/>
      <c r="G16" s="140"/>
    </row>
    <row r="17" spans="1:7">
      <c r="A17" s="143" t="s">
        <v>500</v>
      </c>
      <c r="B17" s="76">
        <v>0.6</v>
      </c>
      <c r="C17" s="1040"/>
      <c r="D17" s="1045"/>
      <c r="E17" s="1046"/>
      <c r="F17" s="140"/>
      <c r="G17" s="140"/>
    </row>
    <row r="18" spans="1:7" ht="15">
      <c r="A18" s="701" t="s">
        <v>512</v>
      </c>
      <c r="B18" s="702"/>
      <c r="C18" s="702"/>
      <c r="D18" s="702"/>
      <c r="E18" s="703"/>
      <c r="F18" s="140"/>
      <c r="G18" s="140"/>
    </row>
    <row r="19" spans="1:7" ht="28.5">
      <c r="A19" s="142" t="s">
        <v>513</v>
      </c>
      <c r="B19" s="144">
        <v>1000</v>
      </c>
      <c r="C19" s="145" t="s">
        <v>593</v>
      </c>
      <c r="D19" s="1047"/>
      <c r="E19" s="1047"/>
      <c r="F19" s="140"/>
      <c r="G19" s="140"/>
    </row>
    <row r="20" spans="1:7" ht="28.5">
      <c r="A20" s="146" t="s">
        <v>514</v>
      </c>
      <c r="B20" s="147">
        <v>500</v>
      </c>
      <c r="C20" s="146" t="s">
        <v>594</v>
      </c>
      <c r="D20" s="1047"/>
      <c r="E20" s="1047"/>
      <c r="F20" s="140"/>
      <c r="G20" s="140"/>
    </row>
    <row r="21" spans="1:7" ht="28.5">
      <c r="A21" s="143" t="s">
        <v>515</v>
      </c>
      <c r="B21" s="148">
        <v>200</v>
      </c>
      <c r="C21" s="149" t="s">
        <v>593</v>
      </c>
      <c r="D21" s="1047"/>
      <c r="E21" s="1047"/>
      <c r="F21" s="140"/>
      <c r="G21" s="140"/>
    </row>
    <row r="22" spans="1:7" ht="15">
      <c r="A22" s="700" t="s">
        <v>139</v>
      </c>
      <c r="B22" s="700"/>
      <c r="C22" s="700"/>
      <c r="D22" s="700"/>
      <c r="E22" s="700"/>
      <c r="F22" s="140"/>
      <c r="G22" s="140"/>
    </row>
    <row r="23" spans="1:7" ht="15">
      <c r="A23" s="1065" t="s">
        <v>599</v>
      </c>
      <c r="B23" s="1066"/>
      <c r="C23" s="1066"/>
      <c r="D23" s="1066"/>
      <c r="E23" s="1067"/>
      <c r="F23" s="140"/>
      <c r="G23" s="140"/>
    </row>
    <row r="24" spans="1:7">
      <c r="A24" s="143" t="s">
        <v>516</v>
      </c>
      <c r="B24" s="148">
        <v>4.5</v>
      </c>
      <c r="C24" s="149" t="s">
        <v>517</v>
      </c>
      <c r="D24" s="1064" t="s">
        <v>518</v>
      </c>
      <c r="E24" s="1064"/>
      <c r="F24" s="140"/>
      <c r="G24" s="140"/>
    </row>
    <row r="25" spans="1:7">
      <c r="A25" s="143" t="s">
        <v>2338</v>
      </c>
      <c r="B25" s="148">
        <v>3.52</v>
      </c>
      <c r="C25" s="149" t="s">
        <v>330</v>
      </c>
      <c r="D25" s="1064" t="s">
        <v>2339</v>
      </c>
      <c r="E25" s="1064"/>
      <c r="F25" s="140"/>
      <c r="G25" s="140"/>
    </row>
    <row r="26" spans="1:7">
      <c r="A26" s="143" t="s">
        <v>519</v>
      </c>
      <c r="B26" s="148">
        <v>4</v>
      </c>
      <c r="C26" s="149" t="s">
        <v>517</v>
      </c>
      <c r="D26" s="1064" t="s">
        <v>520</v>
      </c>
      <c r="E26" s="1064"/>
      <c r="F26" s="140"/>
      <c r="G26" s="140"/>
    </row>
    <row r="27" spans="1:7">
      <c r="A27" s="143" t="s">
        <v>521</v>
      </c>
      <c r="B27" s="148">
        <v>4.5</v>
      </c>
      <c r="C27" s="143" t="s">
        <v>517</v>
      </c>
      <c r="D27" s="1064" t="s">
        <v>522</v>
      </c>
      <c r="E27" s="1064"/>
      <c r="F27" s="140"/>
      <c r="G27" s="140"/>
    </row>
    <row r="28" spans="1:7">
      <c r="A28" s="143" t="s">
        <v>523</v>
      </c>
      <c r="B28" s="148">
        <v>18</v>
      </c>
      <c r="C28" s="143" t="s">
        <v>524</v>
      </c>
      <c r="D28" s="1055" t="s">
        <v>630</v>
      </c>
      <c r="E28" s="1056"/>
      <c r="F28" s="140"/>
      <c r="G28" s="140"/>
    </row>
    <row r="29" spans="1:7">
      <c r="A29" s="143" t="s">
        <v>525</v>
      </c>
      <c r="B29" s="148">
        <v>95</v>
      </c>
      <c r="C29" s="143" t="s">
        <v>524</v>
      </c>
      <c r="D29" s="1057"/>
      <c r="E29" s="1058"/>
      <c r="F29" s="140"/>
      <c r="G29" s="140"/>
    </row>
    <row r="30" spans="1:7">
      <c r="A30" s="143" t="s">
        <v>526</v>
      </c>
      <c r="B30" s="148">
        <v>125</v>
      </c>
      <c r="C30" s="143" t="s">
        <v>524</v>
      </c>
      <c r="D30" s="1057"/>
      <c r="E30" s="1058"/>
      <c r="F30" s="140"/>
      <c r="G30" s="140"/>
    </row>
    <row r="31" spans="1:7">
      <c r="A31" s="143" t="s">
        <v>224</v>
      </c>
      <c r="B31" s="148">
        <v>145</v>
      </c>
      <c r="C31" s="143" t="s">
        <v>524</v>
      </c>
      <c r="D31" s="1057"/>
      <c r="E31" s="1058"/>
      <c r="F31" s="140"/>
      <c r="G31" s="140"/>
    </row>
    <row r="32" spans="1:7">
      <c r="A32" s="143" t="s">
        <v>225</v>
      </c>
      <c r="B32" s="148">
        <v>110</v>
      </c>
      <c r="C32" s="143" t="s">
        <v>524</v>
      </c>
      <c r="D32" s="1057"/>
      <c r="E32" s="1058"/>
      <c r="F32" s="140"/>
      <c r="G32" s="140"/>
    </row>
    <row r="33" spans="1:7">
      <c r="A33" s="143" t="s">
        <v>226</v>
      </c>
      <c r="B33" s="148">
        <v>145</v>
      </c>
      <c r="C33" s="143" t="s">
        <v>524</v>
      </c>
      <c r="D33" s="1057"/>
      <c r="E33" s="1058"/>
      <c r="F33" s="140"/>
      <c r="G33" s="140"/>
    </row>
    <row r="34" spans="1:7">
      <c r="A34" s="143" t="s">
        <v>227</v>
      </c>
      <c r="B34" s="148">
        <v>110</v>
      </c>
      <c r="C34" s="143" t="s">
        <v>524</v>
      </c>
      <c r="D34" s="1057"/>
      <c r="E34" s="1058"/>
      <c r="F34" s="140"/>
      <c r="G34" s="140"/>
    </row>
    <row r="35" spans="1:7">
      <c r="A35" s="143" t="s">
        <v>228</v>
      </c>
      <c r="B35" s="148">
        <v>145</v>
      </c>
      <c r="C35" s="143" t="s">
        <v>524</v>
      </c>
      <c r="D35" s="1057"/>
      <c r="E35" s="1058"/>
      <c r="F35" s="140"/>
      <c r="G35" s="140"/>
    </row>
    <row r="36" spans="1:7">
      <c r="A36" s="143" t="s">
        <v>506</v>
      </c>
      <c r="B36" s="148">
        <v>110</v>
      </c>
      <c r="C36" s="143" t="s">
        <v>524</v>
      </c>
      <c r="D36" s="1057"/>
      <c r="E36" s="1058"/>
      <c r="F36" s="140"/>
      <c r="G36" s="140"/>
    </row>
    <row r="37" spans="1:7">
      <c r="A37" s="76" t="s">
        <v>527</v>
      </c>
      <c r="B37" s="148">
        <v>50</v>
      </c>
      <c r="C37" s="76" t="s">
        <v>524</v>
      </c>
      <c r="D37" s="1057"/>
      <c r="E37" s="1058"/>
      <c r="F37" s="140"/>
      <c r="G37" s="140"/>
    </row>
    <row r="38" spans="1:7">
      <c r="A38" s="76" t="s">
        <v>528</v>
      </c>
      <c r="B38" s="148">
        <v>70</v>
      </c>
      <c r="C38" s="76" t="s">
        <v>524</v>
      </c>
      <c r="D38" s="1057"/>
      <c r="E38" s="1058"/>
      <c r="F38" s="140"/>
      <c r="G38" s="140"/>
    </row>
    <row r="39" spans="1:7">
      <c r="A39" s="76" t="s">
        <v>529</v>
      </c>
      <c r="B39" s="148">
        <v>122</v>
      </c>
      <c r="C39" s="76" t="s">
        <v>524</v>
      </c>
      <c r="D39" s="1059"/>
      <c r="E39" s="1060"/>
      <c r="F39" s="140"/>
      <c r="G39" s="140"/>
    </row>
    <row r="40" spans="1:7" ht="15">
      <c r="A40" s="1068" t="s">
        <v>1092</v>
      </c>
      <c r="B40" s="1069"/>
      <c r="C40" s="1070"/>
      <c r="D40" s="1047"/>
      <c r="E40" s="1047"/>
      <c r="F40" s="140"/>
      <c r="G40" s="140"/>
    </row>
    <row r="41" spans="1:7" ht="15">
      <c r="A41" s="720" t="s">
        <v>595</v>
      </c>
      <c r="B41" s="714"/>
      <c r="C41" s="714"/>
      <c r="D41" s="714"/>
      <c r="E41" s="715"/>
      <c r="F41" s="140"/>
      <c r="G41" s="140"/>
    </row>
    <row r="42" spans="1:7">
      <c r="A42" s="142" t="s">
        <v>113</v>
      </c>
      <c r="B42" s="144">
        <v>1</v>
      </c>
      <c r="C42" s="142" t="s">
        <v>517</v>
      </c>
      <c r="D42" s="76"/>
      <c r="E42" s="76"/>
      <c r="F42" s="140"/>
      <c r="G42" s="140"/>
    </row>
    <row r="43" spans="1:7">
      <c r="A43" s="76" t="s">
        <v>531</v>
      </c>
      <c r="B43" s="147">
        <v>1</v>
      </c>
      <c r="C43" s="76" t="s">
        <v>517</v>
      </c>
      <c r="D43" s="76"/>
      <c r="E43" s="76"/>
      <c r="F43" s="140"/>
      <c r="G43" s="140"/>
    </row>
    <row r="44" spans="1:7">
      <c r="A44" s="76" t="s">
        <v>631</v>
      </c>
      <c r="B44" s="147">
        <v>1.27</v>
      </c>
      <c r="C44" s="76" t="s">
        <v>517</v>
      </c>
      <c r="D44" s="1064" t="s">
        <v>2339</v>
      </c>
      <c r="E44" s="1064"/>
      <c r="F44" s="140"/>
      <c r="G44" s="140"/>
    </row>
    <row r="45" spans="1:7">
      <c r="A45" s="76" t="s">
        <v>532</v>
      </c>
      <c r="B45" s="147">
        <v>3</v>
      </c>
      <c r="C45" s="76" t="s">
        <v>533</v>
      </c>
      <c r="D45" s="76"/>
      <c r="E45" s="76"/>
      <c r="F45" s="140"/>
      <c r="G45" s="140"/>
    </row>
    <row r="46" spans="1:7">
      <c r="A46" s="143" t="s">
        <v>534</v>
      </c>
      <c r="B46" s="148">
        <v>18</v>
      </c>
      <c r="C46" s="143" t="s">
        <v>533</v>
      </c>
      <c r="D46" s="143"/>
      <c r="E46" s="76"/>
      <c r="F46" s="140"/>
      <c r="G46" s="140"/>
    </row>
    <row r="47" spans="1:7" ht="15">
      <c r="A47" s="772" t="s">
        <v>2430</v>
      </c>
      <c r="B47" s="772"/>
      <c r="C47" s="772"/>
      <c r="D47" s="772"/>
      <c r="E47" s="660"/>
      <c r="F47" s="140"/>
      <c r="G47" s="140"/>
    </row>
    <row r="48" spans="1:7" ht="18.75" customHeight="1">
      <c r="A48" s="657" t="s">
        <v>2424</v>
      </c>
      <c r="B48" s="1074"/>
      <c r="C48" s="1075"/>
      <c r="D48" s="1061"/>
      <c r="E48" s="1062"/>
      <c r="F48" s="140"/>
      <c r="G48" s="140"/>
    </row>
    <row r="49" spans="1:7" ht="18.75" customHeight="1">
      <c r="A49" s="658" t="s">
        <v>2429</v>
      </c>
      <c r="B49" s="1074"/>
      <c r="C49" s="1075"/>
      <c r="D49" s="1061"/>
      <c r="E49" s="1063"/>
      <c r="F49" s="140"/>
      <c r="G49" s="140"/>
    </row>
    <row r="50" spans="1:7">
      <c r="A50" s="197" t="s">
        <v>2427</v>
      </c>
      <c r="B50" s="659"/>
      <c r="C50" s="659"/>
      <c r="D50" s="659">
        <v>10.4</v>
      </c>
      <c r="E50" s="1054" t="s">
        <v>2461</v>
      </c>
      <c r="F50" s="140"/>
      <c r="G50" s="140"/>
    </row>
    <row r="51" spans="1:7">
      <c r="A51" s="143" t="s">
        <v>2428</v>
      </c>
      <c r="B51" s="659"/>
      <c r="C51" s="659"/>
      <c r="D51" s="659">
        <v>6.24</v>
      </c>
      <c r="E51" s="1039"/>
      <c r="F51" s="140"/>
      <c r="G51" s="140"/>
    </row>
    <row r="52" spans="1:7">
      <c r="A52" s="143" t="s">
        <v>2425</v>
      </c>
      <c r="B52" s="659">
        <v>2.02</v>
      </c>
      <c r="C52" s="659">
        <v>4.46</v>
      </c>
      <c r="D52" s="659"/>
      <c r="E52" s="1039"/>
      <c r="F52" s="140"/>
      <c r="G52" s="140"/>
    </row>
    <row r="53" spans="1:7">
      <c r="A53" s="143" t="s">
        <v>2426</v>
      </c>
      <c r="B53" s="659">
        <v>1.21</v>
      </c>
      <c r="C53" s="659">
        <v>2.68</v>
      </c>
      <c r="D53" s="659"/>
      <c r="E53" s="1040"/>
      <c r="F53" s="140"/>
      <c r="G53" s="140"/>
    </row>
    <row r="54" spans="1:7" ht="15">
      <c r="A54" s="720" t="s">
        <v>598</v>
      </c>
      <c r="B54" s="714"/>
      <c r="C54" s="714"/>
      <c r="D54" s="714"/>
      <c r="E54" s="715"/>
      <c r="F54" s="140"/>
      <c r="G54" s="140"/>
    </row>
    <row r="55" spans="1:7">
      <c r="A55" s="141" t="s">
        <v>538</v>
      </c>
      <c r="B55" s="150">
        <v>0.2</v>
      </c>
      <c r="C55" s="141" t="s">
        <v>517</v>
      </c>
      <c r="D55" s="151"/>
      <c r="E55" s="76"/>
      <c r="F55" s="140"/>
      <c r="G55" s="140"/>
    </row>
    <row r="56" spans="1:7">
      <c r="A56" s="143" t="s">
        <v>539</v>
      </c>
      <c r="B56" s="148">
        <v>0.5</v>
      </c>
      <c r="C56" s="143" t="s">
        <v>533</v>
      </c>
      <c r="D56" s="71"/>
      <c r="E56" s="76"/>
      <c r="F56" s="140"/>
      <c r="G56" s="140"/>
    </row>
    <row r="57" spans="1:7">
      <c r="A57" s="143" t="s">
        <v>540</v>
      </c>
      <c r="B57" s="148">
        <v>2</v>
      </c>
      <c r="C57" s="143" t="s">
        <v>533</v>
      </c>
      <c r="D57" s="71"/>
      <c r="E57" s="76"/>
      <c r="F57" s="140"/>
      <c r="G57" s="140"/>
    </row>
    <row r="58" spans="1:7" ht="15">
      <c r="A58" s="720" t="s">
        <v>597</v>
      </c>
      <c r="B58" s="714"/>
      <c r="C58" s="714"/>
      <c r="D58" s="714"/>
      <c r="E58" s="715"/>
      <c r="F58" s="140"/>
      <c r="G58" s="140"/>
    </row>
    <row r="59" spans="1:7">
      <c r="A59" s="143" t="s">
        <v>61</v>
      </c>
      <c r="B59" s="148">
        <v>50</v>
      </c>
      <c r="C59" s="143"/>
      <c r="D59" s="71"/>
      <c r="E59" s="76"/>
      <c r="F59" s="140"/>
      <c r="G59" s="140"/>
    </row>
    <row r="60" spans="1:7">
      <c r="A60" s="143" t="s">
        <v>62</v>
      </c>
      <c r="B60" s="148">
        <v>90</v>
      </c>
      <c r="C60" s="143"/>
      <c r="D60" s="71"/>
      <c r="E60" s="76"/>
      <c r="F60" s="140"/>
      <c r="G60" s="140"/>
    </row>
    <row r="61" spans="1:7" ht="15">
      <c r="A61" s="720" t="s">
        <v>596</v>
      </c>
      <c r="B61" s="714"/>
      <c r="C61" s="714"/>
      <c r="D61" s="714"/>
      <c r="E61" s="715"/>
      <c r="F61" s="140"/>
      <c r="G61" s="140"/>
    </row>
    <row r="62" spans="1:7" ht="15">
      <c r="A62" s="1065" t="s">
        <v>541</v>
      </c>
      <c r="B62" s="1066"/>
      <c r="C62" s="1066"/>
      <c r="D62" s="1066"/>
      <c r="E62" s="1067"/>
      <c r="F62" s="140"/>
      <c r="G62" s="140"/>
    </row>
    <row r="63" spans="1:7">
      <c r="A63" s="143" t="s">
        <v>113</v>
      </c>
      <c r="B63" s="148">
        <v>3.5</v>
      </c>
      <c r="C63" s="143" t="s">
        <v>74</v>
      </c>
      <c r="D63" s="71"/>
      <c r="E63" s="76"/>
      <c r="F63" s="140"/>
      <c r="G63" s="140"/>
    </row>
    <row r="64" spans="1:7">
      <c r="A64" s="152" t="s">
        <v>532</v>
      </c>
      <c r="B64" s="153">
        <v>15</v>
      </c>
      <c r="C64" s="152" t="s">
        <v>533</v>
      </c>
      <c r="D64" s="1076" t="s">
        <v>630</v>
      </c>
      <c r="E64" s="1077"/>
      <c r="F64" s="140"/>
      <c r="G64" s="140"/>
    </row>
    <row r="65" spans="1:7">
      <c r="A65" s="143" t="s">
        <v>534</v>
      </c>
      <c r="B65" s="148">
        <v>25</v>
      </c>
      <c r="C65" s="143" t="s">
        <v>533</v>
      </c>
      <c r="D65" s="71"/>
      <c r="E65" s="76"/>
      <c r="F65" s="140"/>
      <c r="G65" s="140"/>
    </row>
    <row r="66" spans="1:7">
      <c r="A66" s="143" t="s">
        <v>535</v>
      </c>
      <c r="B66" s="148">
        <v>40</v>
      </c>
      <c r="C66" s="143" t="s">
        <v>533</v>
      </c>
      <c r="D66" s="71"/>
      <c r="E66" s="76"/>
      <c r="F66" s="140"/>
      <c r="G66" s="140"/>
    </row>
    <row r="67" spans="1:7">
      <c r="A67" s="143" t="s">
        <v>536</v>
      </c>
      <c r="B67" s="148">
        <v>60</v>
      </c>
      <c r="C67" s="143" t="s">
        <v>533</v>
      </c>
      <c r="D67" s="71"/>
      <c r="E67" s="76"/>
      <c r="F67" s="140"/>
      <c r="G67" s="140"/>
    </row>
    <row r="68" spans="1:7">
      <c r="A68" s="143" t="s">
        <v>537</v>
      </c>
      <c r="B68" s="148">
        <v>100</v>
      </c>
      <c r="C68" s="143" t="s">
        <v>533</v>
      </c>
      <c r="D68" s="71"/>
      <c r="E68" s="76"/>
      <c r="F68" s="140"/>
      <c r="G68" s="140"/>
    </row>
    <row r="69" spans="1:7" ht="15">
      <c r="A69" s="720" t="s">
        <v>530</v>
      </c>
      <c r="B69" s="714"/>
      <c r="C69" s="714"/>
      <c r="D69" s="714"/>
      <c r="E69" s="715"/>
      <c r="F69" s="140"/>
      <c r="G69" s="140"/>
    </row>
    <row r="70" spans="1:7">
      <c r="A70" s="76" t="s">
        <v>113</v>
      </c>
      <c r="B70" s="147">
        <v>1</v>
      </c>
      <c r="C70" s="76" t="s">
        <v>517</v>
      </c>
      <c r="D70" s="154"/>
      <c r="E70" s="76"/>
      <c r="F70" s="140"/>
      <c r="G70" s="140"/>
    </row>
    <row r="71" spans="1:7">
      <c r="A71" s="76" t="s">
        <v>532</v>
      </c>
      <c r="B71" s="147">
        <v>3</v>
      </c>
      <c r="C71" s="76" t="s">
        <v>533</v>
      </c>
      <c r="D71" s="154"/>
      <c r="E71" s="76"/>
      <c r="F71" s="140"/>
      <c r="G71" s="140"/>
    </row>
    <row r="72" spans="1:7">
      <c r="A72" s="76" t="s">
        <v>534</v>
      </c>
      <c r="B72" s="147">
        <v>5</v>
      </c>
      <c r="C72" s="76" t="s">
        <v>533</v>
      </c>
      <c r="D72" s="154"/>
      <c r="E72" s="76"/>
      <c r="F72" s="140"/>
      <c r="G72" s="140"/>
    </row>
    <row r="73" spans="1:7">
      <c r="A73" s="76" t="s">
        <v>535</v>
      </c>
      <c r="B73" s="147">
        <v>1</v>
      </c>
      <c r="C73" s="76" t="s">
        <v>533</v>
      </c>
      <c r="D73" s="154"/>
      <c r="E73" s="76"/>
      <c r="F73" s="140"/>
      <c r="G73" s="140"/>
    </row>
    <row r="74" spans="1:7">
      <c r="A74" s="76" t="s">
        <v>536</v>
      </c>
      <c r="B74" s="147">
        <v>2.5</v>
      </c>
      <c r="C74" s="76" t="s">
        <v>533</v>
      </c>
      <c r="D74" s="154"/>
      <c r="E74" s="76"/>
      <c r="F74" s="140"/>
      <c r="G74" s="140"/>
    </row>
    <row r="75" spans="1:7">
      <c r="A75" s="76" t="s">
        <v>537</v>
      </c>
      <c r="B75" s="147">
        <v>5</v>
      </c>
      <c r="C75" s="76" t="s">
        <v>533</v>
      </c>
      <c r="D75" s="154"/>
      <c r="E75" s="76"/>
      <c r="F75" s="140"/>
      <c r="G75" s="140"/>
    </row>
    <row r="76" spans="1:7" ht="15">
      <c r="A76" s="720" t="s">
        <v>623</v>
      </c>
      <c r="B76" s="714"/>
      <c r="C76" s="714"/>
      <c r="D76" s="714"/>
      <c r="E76" s="715"/>
      <c r="F76" s="140"/>
      <c r="G76" s="140"/>
    </row>
    <row r="77" spans="1:7" ht="15">
      <c r="A77" s="1065" t="s">
        <v>541</v>
      </c>
      <c r="B77" s="1066"/>
      <c r="C77" s="1066"/>
      <c r="D77" s="1066"/>
      <c r="E77" s="1067"/>
      <c r="F77" s="140"/>
      <c r="G77" s="140"/>
    </row>
    <row r="78" spans="1:7">
      <c r="A78" s="143" t="s">
        <v>113</v>
      </c>
      <c r="B78" s="148">
        <v>4</v>
      </c>
      <c r="C78" s="143" t="s">
        <v>74</v>
      </c>
      <c r="D78" s="71"/>
      <c r="E78" s="76"/>
      <c r="F78" s="140"/>
      <c r="G78" s="140"/>
    </row>
    <row r="79" spans="1:7">
      <c r="A79" s="143" t="s">
        <v>532</v>
      </c>
      <c r="B79" s="148">
        <v>5</v>
      </c>
      <c r="C79" s="143" t="s">
        <v>533</v>
      </c>
      <c r="D79" s="71"/>
      <c r="E79" s="76"/>
      <c r="F79" s="140"/>
      <c r="G79" s="140"/>
    </row>
    <row r="80" spans="1:7">
      <c r="A80" s="143" t="s">
        <v>534</v>
      </c>
      <c r="B80" s="148">
        <v>35</v>
      </c>
      <c r="C80" s="143" t="s">
        <v>533</v>
      </c>
      <c r="D80" s="71"/>
      <c r="E80" s="76"/>
      <c r="F80" s="140"/>
      <c r="G80" s="140"/>
    </row>
    <row r="81" spans="1:7">
      <c r="A81" s="143" t="s">
        <v>535</v>
      </c>
      <c r="B81" s="148">
        <v>20</v>
      </c>
      <c r="C81" s="143" t="s">
        <v>533</v>
      </c>
      <c r="D81" s="71"/>
      <c r="E81" s="76"/>
      <c r="F81" s="140"/>
      <c r="G81" s="140"/>
    </row>
    <row r="82" spans="1:7">
      <c r="A82" s="143" t="s">
        <v>536</v>
      </c>
      <c r="B82" s="148">
        <v>40</v>
      </c>
      <c r="C82" s="143" t="s">
        <v>533</v>
      </c>
      <c r="D82" s="71"/>
      <c r="E82" s="76"/>
      <c r="F82" s="140"/>
      <c r="G82" s="140"/>
    </row>
    <row r="83" spans="1:7">
      <c r="A83" s="143" t="s">
        <v>537</v>
      </c>
      <c r="B83" s="148">
        <v>60</v>
      </c>
      <c r="C83" s="143" t="s">
        <v>533</v>
      </c>
      <c r="D83" s="71"/>
      <c r="E83" s="76"/>
      <c r="F83" s="140"/>
      <c r="G83" s="140"/>
    </row>
    <row r="84" spans="1:7" ht="15">
      <c r="A84" s="720" t="s">
        <v>530</v>
      </c>
      <c r="B84" s="714"/>
      <c r="C84" s="714"/>
      <c r="D84" s="714"/>
      <c r="E84" s="715"/>
      <c r="F84" s="140"/>
      <c r="G84" s="140"/>
    </row>
    <row r="85" spans="1:7">
      <c r="A85" s="143" t="s">
        <v>113</v>
      </c>
      <c r="B85" s="148">
        <v>1</v>
      </c>
      <c r="C85" s="143" t="s">
        <v>517</v>
      </c>
      <c r="D85" s="71"/>
      <c r="E85" s="76"/>
      <c r="F85" s="140"/>
      <c r="G85" s="140"/>
    </row>
    <row r="86" spans="1:7">
      <c r="A86" s="149" t="s">
        <v>542</v>
      </c>
      <c r="B86" s="148">
        <v>4</v>
      </c>
      <c r="C86" s="143" t="s">
        <v>533</v>
      </c>
      <c r="D86" s="71"/>
      <c r="E86" s="76"/>
      <c r="F86" s="140"/>
      <c r="G86" s="140"/>
    </row>
    <row r="87" spans="1:7">
      <c r="A87" s="143" t="s">
        <v>535</v>
      </c>
      <c r="B87" s="148">
        <v>4</v>
      </c>
      <c r="C87" s="143" t="s">
        <v>533</v>
      </c>
      <c r="D87" s="71"/>
      <c r="E87" s="76"/>
      <c r="F87" s="140"/>
      <c r="G87" s="140"/>
    </row>
    <row r="88" spans="1:7">
      <c r="A88" s="143" t="s">
        <v>536</v>
      </c>
      <c r="B88" s="148">
        <v>4</v>
      </c>
      <c r="C88" s="143" t="s">
        <v>533</v>
      </c>
      <c r="D88" s="71"/>
      <c r="E88" s="76"/>
      <c r="F88" s="140"/>
      <c r="G88" s="140"/>
    </row>
    <row r="89" spans="1:7">
      <c r="A89" s="143" t="s">
        <v>537</v>
      </c>
      <c r="B89" s="148">
        <v>4</v>
      </c>
      <c r="C89" s="143" t="s">
        <v>533</v>
      </c>
      <c r="D89" s="71"/>
      <c r="E89" s="76"/>
      <c r="F89" s="140"/>
      <c r="G89" s="140"/>
    </row>
    <row r="90" spans="1:7" ht="15">
      <c r="A90" s="700" t="s">
        <v>543</v>
      </c>
      <c r="B90" s="700"/>
      <c r="C90" s="700"/>
      <c r="D90" s="700"/>
      <c r="E90" s="700"/>
      <c r="F90" s="140"/>
      <c r="G90" s="140"/>
    </row>
    <row r="91" spans="1:7">
      <c r="A91" s="143" t="s">
        <v>362</v>
      </c>
      <c r="B91" s="148">
        <v>300</v>
      </c>
      <c r="C91" s="149" t="s">
        <v>544</v>
      </c>
      <c r="D91" s="71"/>
      <c r="E91" s="76"/>
      <c r="F91" s="140"/>
      <c r="G91" s="140"/>
    </row>
    <row r="92" spans="1:7">
      <c r="A92" s="143" t="s">
        <v>545</v>
      </c>
      <c r="B92" s="148"/>
      <c r="C92" s="143"/>
      <c r="D92" s="71"/>
      <c r="E92" s="76"/>
      <c r="F92" s="140"/>
      <c r="G92" s="140"/>
    </row>
    <row r="93" spans="1:7">
      <c r="A93" s="143" t="s">
        <v>546</v>
      </c>
      <c r="B93" s="148">
        <v>30</v>
      </c>
      <c r="C93" s="149" t="s">
        <v>624</v>
      </c>
      <c r="D93" s="71"/>
      <c r="E93" s="76"/>
      <c r="F93" s="140"/>
      <c r="G93" s="140"/>
    </row>
    <row r="94" spans="1:7">
      <c r="A94" s="143" t="s">
        <v>547</v>
      </c>
      <c r="B94" s="148">
        <v>0.2</v>
      </c>
      <c r="C94" s="143" t="s">
        <v>548</v>
      </c>
      <c r="D94" s="71"/>
      <c r="E94" s="76"/>
      <c r="F94" s="140"/>
      <c r="G94" s="140"/>
    </row>
    <row r="95" spans="1:7">
      <c r="A95" s="143" t="s">
        <v>368</v>
      </c>
      <c r="B95" s="148"/>
      <c r="C95" s="143"/>
      <c r="D95" s="71"/>
      <c r="E95" s="76"/>
      <c r="F95" s="140"/>
      <c r="G95" s="140"/>
    </row>
    <row r="96" spans="1:7">
      <c r="A96" s="143" t="s">
        <v>549</v>
      </c>
      <c r="B96" s="148">
        <v>5</v>
      </c>
      <c r="C96" s="143" t="s">
        <v>517</v>
      </c>
      <c r="D96" s="71"/>
      <c r="E96" s="76"/>
      <c r="F96" s="140"/>
      <c r="G96" s="140"/>
    </row>
    <row r="97" spans="1:7">
      <c r="A97" s="143" t="s">
        <v>547</v>
      </c>
      <c r="B97" s="148">
        <v>2.5</v>
      </c>
      <c r="C97" s="143" t="s">
        <v>517</v>
      </c>
      <c r="D97" s="71"/>
      <c r="E97" s="76"/>
      <c r="F97" s="140"/>
      <c r="G97" s="140"/>
    </row>
    <row r="98" spans="1:7" ht="15">
      <c r="A98" s="700" t="s">
        <v>367</v>
      </c>
      <c r="B98" s="700"/>
      <c r="C98" s="700"/>
      <c r="D98" s="700"/>
      <c r="E98" s="700"/>
      <c r="F98" s="140"/>
      <c r="G98" s="140"/>
    </row>
    <row r="99" spans="1:7">
      <c r="A99" s="76" t="s">
        <v>550</v>
      </c>
      <c r="B99" s="147">
        <v>100</v>
      </c>
      <c r="C99" s="76" t="s">
        <v>551</v>
      </c>
      <c r="D99" s="154"/>
      <c r="E99" s="76"/>
      <c r="F99" s="140"/>
      <c r="G99" s="140"/>
    </row>
    <row r="100" spans="1:7">
      <c r="A100" s="76" t="s">
        <v>552</v>
      </c>
      <c r="B100" s="147">
        <v>50</v>
      </c>
      <c r="C100" s="76" t="s">
        <v>551</v>
      </c>
      <c r="D100" s="154"/>
      <c r="E100" s="76"/>
      <c r="F100" s="140"/>
      <c r="G100" s="140"/>
    </row>
    <row r="101" spans="1:7">
      <c r="A101" s="76" t="s">
        <v>553</v>
      </c>
      <c r="B101" s="147">
        <v>15</v>
      </c>
      <c r="C101" s="76" t="s">
        <v>554</v>
      </c>
      <c r="D101" s="154"/>
      <c r="E101" s="76"/>
      <c r="F101" s="140"/>
      <c r="G101" s="140"/>
    </row>
    <row r="102" spans="1:7" ht="15">
      <c r="A102" s="700" t="s">
        <v>555</v>
      </c>
      <c r="B102" s="700"/>
      <c r="C102" s="700"/>
      <c r="D102" s="700"/>
      <c r="E102" s="700"/>
      <c r="F102" s="140"/>
      <c r="G102" s="140"/>
    </row>
    <row r="103" spans="1:7" ht="15">
      <c r="A103" s="720" t="s">
        <v>556</v>
      </c>
      <c r="B103" s="714"/>
      <c r="C103" s="714"/>
      <c r="D103" s="714"/>
      <c r="E103" s="715"/>
      <c r="F103" s="140"/>
      <c r="G103" s="140"/>
    </row>
    <row r="104" spans="1:7">
      <c r="A104" s="76" t="s">
        <v>557</v>
      </c>
      <c r="B104" s="155" t="s">
        <v>558</v>
      </c>
      <c r="C104" s="76"/>
      <c r="D104" s="1055" t="s">
        <v>518</v>
      </c>
      <c r="E104" s="1056"/>
      <c r="F104" s="140"/>
      <c r="G104" s="140"/>
    </row>
    <row r="105" spans="1:7">
      <c r="A105" s="76" t="s">
        <v>559</v>
      </c>
      <c r="B105" s="155" t="s">
        <v>560</v>
      </c>
      <c r="C105" s="76"/>
      <c r="D105" s="1057"/>
      <c r="E105" s="1058"/>
      <c r="F105" s="140"/>
      <c r="G105" s="140"/>
    </row>
    <row r="106" spans="1:7">
      <c r="A106" s="76" t="s">
        <v>561</v>
      </c>
      <c r="B106" s="155" t="s">
        <v>72</v>
      </c>
      <c r="C106" s="76"/>
      <c r="D106" s="1059"/>
      <c r="E106" s="1060"/>
      <c r="F106" s="140"/>
      <c r="G106" s="140"/>
    </row>
    <row r="107" spans="1:7" ht="15">
      <c r="A107" s="720" t="s">
        <v>2473</v>
      </c>
      <c r="B107" s="714"/>
      <c r="C107" s="714"/>
      <c r="D107" s="714"/>
      <c r="E107" s="715"/>
      <c r="F107" s="140"/>
      <c r="G107" s="140"/>
    </row>
    <row r="108" spans="1:7" ht="14.25" customHeight="1">
      <c r="A108" s="76" t="s">
        <v>2462</v>
      </c>
      <c r="B108" s="671" t="s">
        <v>2463</v>
      </c>
      <c r="D108" s="1055" t="s">
        <v>2469</v>
      </c>
      <c r="E108" s="1056"/>
      <c r="F108" s="140"/>
      <c r="G108" s="140"/>
    </row>
    <row r="109" spans="1:7">
      <c r="A109" s="76" t="s">
        <v>2464</v>
      </c>
      <c r="B109" s="147">
        <v>1</v>
      </c>
      <c r="C109" s="76"/>
      <c r="D109" s="1057"/>
      <c r="E109" s="1058"/>
      <c r="F109" s="140"/>
      <c r="G109" s="140"/>
    </row>
    <row r="110" spans="1:7">
      <c r="A110" s="76" t="s">
        <v>2465</v>
      </c>
      <c r="B110" s="147">
        <v>0.85</v>
      </c>
      <c r="C110" s="76"/>
      <c r="D110" s="1057"/>
      <c r="E110" s="1058"/>
      <c r="F110" s="140"/>
      <c r="G110" s="140"/>
    </row>
    <row r="111" spans="1:7">
      <c r="A111" s="76" t="s">
        <v>2466</v>
      </c>
      <c r="B111" s="147">
        <v>0.65</v>
      </c>
      <c r="C111" s="76"/>
      <c r="D111" s="1057"/>
      <c r="E111" s="1058"/>
      <c r="F111" s="140"/>
      <c r="G111" s="140"/>
    </row>
    <row r="112" spans="1:7">
      <c r="A112" s="76" t="s">
        <v>2467</v>
      </c>
      <c r="B112" s="147">
        <v>0.36</v>
      </c>
      <c r="C112" s="76"/>
      <c r="D112" s="1057"/>
      <c r="E112" s="1058"/>
      <c r="F112" s="140"/>
      <c r="G112" s="140"/>
    </row>
    <row r="113" spans="1:7">
      <c r="A113" s="76" t="s">
        <v>2468</v>
      </c>
      <c r="B113" s="147">
        <v>0.15</v>
      </c>
      <c r="C113" s="76"/>
      <c r="D113" s="1059"/>
      <c r="E113" s="1060"/>
      <c r="F113" s="140"/>
      <c r="G113" s="140"/>
    </row>
    <row r="114" spans="1:7" ht="15">
      <c r="A114" s="720" t="s">
        <v>562</v>
      </c>
      <c r="B114" s="714"/>
      <c r="C114" s="714"/>
      <c r="D114" s="714"/>
      <c r="E114" s="715"/>
      <c r="F114" s="140"/>
      <c r="G114" s="140"/>
    </row>
    <row r="115" spans="1:7">
      <c r="A115" s="76" t="s">
        <v>557</v>
      </c>
      <c r="B115" s="155" t="s">
        <v>558</v>
      </c>
      <c r="C115" s="76"/>
      <c r="D115" s="1055" t="s">
        <v>518</v>
      </c>
      <c r="E115" s="1056"/>
      <c r="F115" s="140"/>
      <c r="G115" s="140"/>
    </row>
    <row r="116" spans="1:7">
      <c r="A116" s="76" t="s">
        <v>559</v>
      </c>
      <c r="B116" s="155" t="s">
        <v>560</v>
      </c>
      <c r="C116" s="76"/>
      <c r="D116" s="1057"/>
      <c r="E116" s="1058"/>
      <c r="F116" s="140"/>
      <c r="G116" s="140"/>
    </row>
    <row r="117" spans="1:7">
      <c r="A117" s="76" t="s">
        <v>561</v>
      </c>
      <c r="B117" s="155" t="s">
        <v>72</v>
      </c>
      <c r="C117" s="76"/>
      <c r="D117" s="1059"/>
      <c r="E117" s="1060"/>
      <c r="F117" s="140"/>
      <c r="G117" s="140"/>
    </row>
    <row r="118" spans="1:7" ht="15">
      <c r="A118" s="720" t="s">
        <v>563</v>
      </c>
      <c r="B118" s="714"/>
      <c r="C118" s="714"/>
      <c r="D118" s="714"/>
      <c r="E118" s="715"/>
      <c r="F118" s="140"/>
      <c r="G118" s="140"/>
    </row>
    <row r="119" spans="1:7">
      <c r="A119" s="76" t="s">
        <v>564</v>
      </c>
      <c r="B119" s="155" t="s">
        <v>565</v>
      </c>
      <c r="C119" s="76"/>
      <c r="D119" s="154"/>
      <c r="E119" s="76"/>
      <c r="F119" s="140"/>
      <c r="G119" s="140"/>
    </row>
    <row r="120" spans="1:7">
      <c r="A120" s="76" t="s">
        <v>566</v>
      </c>
      <c r="B120" s="155" t="s">
        <v>567</v>
      </c>
      <c r="C120" s="76"/>
      <c r="D120" s="154"/>
      <c r="E120" s="76"/>
      <c r="F120" s="140"/>
      <c r="G120" s="140"/>
    </row>
    <row r="121" spans="1:7">
      <c r="A121" s="76" t="s">
        <v>568</v>
      </c>
      <c r="B121" s="155" t="s">
        <v>569</v>
      </c>
      <c r="C121" s="76"/>
      <c r="D121" s="154"/>
      <c r="E121" s="76"/>
      <c r="F121" s="140"/>
      <c r="G121" s="140"/>
    </row>
    <row r="122" spans="1:7">
      <c r="A122" s="76" t="s">
        <v>570</v>
      </c>
      <c r="B122" s="155" t="s">
        <v>571</v>
      </c>
      <c r="C122" s="76"/>
      <c r="D122" s="154"/>
      <c r="E122" s="76"/>
      <c r="F122" s="140"/>
      <c r="G122" s="140"/>
    </row>
    <row r="123" spans="1:7">
      <c r="A123" s="76" t="s">
        <v>572</v>
      </c>
      <c r="B123" s="155" t="s">
        <v>573</v>
      </c>
      <c r="C123" s="76"/>
      <c r="D123" s="154"/>
      <c r="E123" s="76"/>
      <c r="F123" s="140"/>
      <c r="G123" s="140"/>
    </row>
    <row r="124" spans="1:7">
      <c r="A124" s="76" t="s">
        <v>574</v>
      </c>
      <c r="B124" s="155" t="s">
        <v>575</v>
      </c>
      <c r="C124" s="76"/>
      <c r="D124" s="154"/>
      <c r="E124" s="76"/>
      <c r="F124" s="140"/>
      <c r="G124" s="140"/>
    </row>
    <row r="125" spans="1:7">
      <c r="A125" s="76" t="s">
        <v>576</v>
      </c>
      <c r="B125" s="155" t="s">
        <v>577</v>
      </c>
      <c r="C125" s="76"/>
      <c r="D125" s="154"/>
      <c r="E125" s="76"/>
      <c r="F125" s="140"/>
      <c r="G125" s="140"/>
    </row>
    <row r="126" spans="1:7">
      <c r="A126" s="76" t="s">
        <v>578</v>
      </c>
      <c r="B126" s="155" t="s">
        <v>579</v>
      </c>
      <c r="C126" s="76"/>
      <c r="D126" s="154"/>
      <c r="E126" s="76"/>
      <c r="F126" s="140"/>
      <c r="G126" s="140"/>
    </row>
    <row r="127" spans="1:7">
      <c r="A127" s="76" t="s">
        <v>580</v>
      </c>
      <c r="B127" s="155" t="s">
        <v>581</v>
      </c>
      <c r="C127" s="76"/>
      <c r="D127" s="154"/>
      <c r="E127" s="76"/>
      <c r="F127" s="140"/>
      <c r="G127" s="140"/>
    </row>
    <row r="128" spans="1:7" ht="15">
      <c r="A128" s="720" t="s">
        <v>622</v>
      </c>
      <c r="B128" s="714"/>
      <c r="C128" s="714"/>
      <c r="D128" s="714"/>
      <c r="E128" s="715"/>
      <c r="F128" s="140"/>
      <c r="G128" s="140"/>
    </row>
    <row r="129" spans="1:10">
      <c r="A129" s="76" t="s">
        <v>582</v>
      </c>
      <c r="B129" s="155" t="s">
        <v>583</v>
      </c>
      <c r="C129" s="76"/>
      <c r="D129" s="1055" t="s">
        <v>518</v>
      </c>
      <c r="E129" s="1056"/>
      <c r="F129" s="140"/>
      <c r="G129" s="140"/>
    </row>
    <row r="130" spans="1:10">
      <c r="A130" s="76" t="s">
        <v>584</v>
      </c>
      <c r="B130" s="155" t="s">
        <v>558</v>
      </c>
      <c r="C130" s="76"/>
      <c r="D130" s="1057"/>
      <c r="E130" s="1058"/>
      <c r="F130" s="140"/>
      <c r="G130" s="140"/>
    </row>
    <row r="131" spans="1:10">
      <c r="A131" s="76" t="s">
        <v>585</v>
      </c>
      <c r="B131" s="155" t="s">
        <v>577</v>
      </c>
      <c r="C131" s="76"/>
      <c r="D131" s="1059"/>
      <c r="E131" s="1060"/>
      <c r="F131" s="140"/>
      <c r="G131" s="140"/>
    </row>
    <row r="132" spans="1:10" ht="15">
      <c r="A132" s="720" t="s">
        <v>621</v>
      </c>
      <c r="B132" s="714"/>
      <c r="C132" s="714"/>
      <c r="D132" s="714"/>
      <c r="E132" s="715"/>
      <c r="F132" s="140"/>
      <c r="G132" s="140"/>
    </row>
    <row r="133" spans="1:10">
      <c r="A133" s="143" t="s">
        <v>2470</v>
      </c>
      <c r="B133" s="679">
        <v>0</v>
      </c>
      <c r="C133" s="143"/>
      <c r="D133" s="1055" t="s">
        <v>2472</v>
      </c>
      <c r="E133" s="1056"/>
      <c r="F133" s="140"/>
      <c r="G133" s="140"/>
    </row>
    <row r="134" spans="1:10">
      <c r="A134" s="143" t="s">
        <v>2471</v>
      </c>
      <c r="B134" s="679">
        <v>0.1</v>
      </c>
      <c r="C134" s="143"/>
      <c r="D134" s="1057"/>
      <c r="E134" s="1058"/>
      <c r="F134" s="140"/>
      <c r="G134" s="140"/>
    </row>
    <row r="135" spans="1:10">
      <c r="A135" s="143" t="s">
        <v>508</v>
      </c>
      <c r="B135" s="679">
        <v>0.2</v>
      </c>
      <c r="C135" s="143"/>
      <c r="D135" s="1057"/>
      <c r="E135" s="1058"/>
      <c r="F135" s="140"/>
      <c r="G135" s="140"/>
    </row>
    <row r="136" spans="1:10">
      <c r="A136" s="143" t="s">
        <v>509</v>
      </c>
      <c r="B136" s="679">
        <v>0.3</v>
      </c>
      <c r="C136" s="143"/>
      <c r="D136" s="1057"/>
      <c r="E136" s="1058"/>
      <c r="F136" s="140"/>
      <c r="G136" s="140"/>
    </row>
    <row r="137" spans="1:10">
      <c r="A137" s="143" t="s">
        <v>510</v>
      </c>
      <c r="B137" s="679">
        <v>0.4</v>
      </c>
      <c r="C137" s="143"/>
      <c r="D137" s="1059"/>
      <c r="E137" s="1060"/>
      <c r="F137" s="140"/>
      <c r="G137" s="140"/>
    </row>
    <row r="138" spans="1:10" ht="15">
      <c r="A138" s="700" t="s">
        <v>586</v>
      </c>
      <c r="B138" s="700"/>
      <c r="C138" s="700"/>
      <c r="D138" s="700"/>
      <c r="E138" s="700"/>
      <c r="F138" s="140"/>
      <c r="G138" s="140"/>
    </row>
    <row r="139" spans="1:10">
      <c r="A139" s="76" t="s">
        <v>625</v>
      </c>
      <c r="B139" s="155">
        <v>0.25</v>
      </c>
      <c r="C139" s="76"/>
      <c r="D139" s="154"/>
      <c r="E139" s="76"/>
      <c r="F139" s="140"/>
      <c r="G139" s="140"/>
    </row>
    <row r="140" spans="1:10">
      <c r="A140" s="76" t="s">
        <v>626</v>
      </c>
      <c r="B140" s="155">
        <v>0.4</v>
      </c>
      <c r="C140" s="76"/>
      <c r="D140" s="154"/>
      <c r="E140" s="76"/>
      <c r="F140" s="140"/>
      <c r="G140" s="140"/>
    </row>
    <row r="141" spans="1:10">
      <c r="A141" s="76"/>
      <c r="B141" s="155"/>
      <c r="C141" s="76"/>
      <c r="D141" s="154"/>
      <c r="E141" s="76"/>
      <c r="F141" s="140"/>
      <c r="G141" s="140"/>
    </row>
    <row r="142" spans="1:10" ht="15">
      <c r="A142" s="700" t="s">
        <v>118</v>
      </c>
      <c r="B142" s="700"/>
      <c r="C142" s="700"/>
      <c r="D142" s="700"/>
      <c r="E142" s="700"/>
      <c r="F142" s="140"/>
      <c r="G142" s="140"/>
      <c r="H142" s="140"/>
      <c r="I142" s="140"/>
      <c r="J142" s="140"/>
    </row>
    <row r="143" spans="1:10" ht="15">
      <c r="A143" s="1065" t="s">
        <v>113</v>
      </c>
      <c r="B143" s="1066"/>
      <c r="C143" s="1066"/>
      <c r="D143" s="1066"/>
      <c r="E143" s="1067"/>
      <c r="F143" s="162"/>
      <c r="G143" s="162"/>
      <c r="H143" s="162"/>
      <c r="I143" s="162"/>
      <c r="J143" s="162"/>
    </row>
    <row r="144" spans="1:10">
      <c r="A144" s="163" t="s">
        <v>611</v>
      </c>
      <c r="B144" s="163" t="s">
        <v>608</v>
      </c>
      <c r="C144" s="163" t="s">
        <v>609</v>
      </c>
      <c r="D144" s="1055" t="s">
        <v>630</v>
      </c>
      <c r="E144" s="1056"/>
      <c r="F144" s="162"/>
      <c r="G144" s="162"/>
      <c r="H144" s="162"/>
      <c r="I144" s="162"/>
      <c r="J144" s="162"/>
    </row>
    <row r="145" spans="1:10">
      <c r="A145" s="76" t="s">
        <v>607</v>
      </c>
      <c r="B145" s="148">
        <v>1</v>
      </c>
      <c r="C145" s="148">
        <v>1.5</v>
      </c>
      <c r="D145" s="1057"/>
      <c r="E145" s="1058"/>
      <c r="F145" s="162"/>
      <c r="G145" s="162"/>
      <c r="H145" s="162"/>
      <c r="I145" s="162"/>
      <c r="J145" s="162"/>
    </row>
    <row r="146" spans="1:10">
      <c r="A146" s="76" t="s">
        <v>606</v>
      </c>
      <c r="B146" s="148">
        <v>0.8</v>
      </c>
      <c r="C146" s="148">
        <v>1.2</v>
      </c>
      <c r="D146" s="1059"/>
      <c r="E146" s="1060"/>
      <c r="F146" s="162"/>
      <c r="G146" s="162"/>
      <c r="H146" s="162"/>
      <c r="I146" s="162"/>
      <c r="J146" s="162"/>
    </row>
    <row r="147" spans="1:10" ht="15">
      <c r="A147" s="720" t="s">
        <v>507</v>
      </c>
      <c r="B147" s="714"/>
      <c r="C147" s="714"/>
      <c r="D147" s="714"/>
      <c r="E147" s="715"/>
      <c r="F147" s="164"/>
      <c r="G147" s="164"/>
      <c r="H147" s="165"/>
      <c r="I147" s="165"/>
      <c r="J147" s="165"/>
    </row>
    <row r="148" spans="1:10" ht="12.75" customHeight="1">
      <c r="A148" s="163" t="s">
        <v>611</v>
      </c>
      <c r="B148" s="166" t="s">
        <v>601</v>
      </c>
      <c r="C148" s="167" t="s">
        <v>164</v>
      </c>
      <c r="D148" s="1055" t="s">
        <v>630</v>
      </c>
      <c r="E148" s="1056"/>
      <c r="F148" s="162"/>
      <c r="G148" s="162"/>
      <c r="H148" s="162"/>
      <c r="I148" s="162"/>
      <c r="J148" s="162"/>
    </row>
    <row r="149" spans="1:10" ht="14.25" customHeight="1">
      <c r="A149" s="76" t="s">
        <v>535</v>
      </c>
      <c r="B149" s="147">
        <v>3</v>
      </c>
      <c r="C149" s="147">
        <v>4</v>
      </c>
      <c r="D149" s="1057"/>
      <c r="E149" s="1058"/>
      <c r="F149" s="162"/>
      <c r="G149" s="162"/>
      <c r="H149" s="162"/>
      <c r="I149" s="162"/>
      <c r="J149" s="162"/>
    </row>
    <row r="150" spans="1:10">
      <c r="A150" s="76" t="s">
        <v>602</v>
      </c>
      <c r="B150" s="148">
        <v>5</v>
      </c>
      <c r="C150" s="148">
        <v>6</v>
      </c>
      <c r="D150" s="1057"/>
      <c r="E150" s="1058"/>
      <c r="F150" s="162"/>
      <c r="G150" s="162"/>
      <c r="H150" s="162"/>
      <c r="I150" s="162"/>
      <c r="J150" s="162"/>
    </row>
    <row r="151" spans="1:10">
      <c r="A151" s="156" t="s">
        <v>537</v>
      </c>
      <c r="B151" s="157">
        <v>8</v>
      </c>
      <c r="C151" s="157">
        <v>10</v>
      </c>
      <c r="D151" s="1059"/>
      <c r="E151" s="1060"/>
      <c r="F151" s="162"/>
      <c r="G151" s="162"/>
      <c r="H151" s="162"/>
      <c r="I151" s="162"/>
      <c r="J151" s="162"/>
    </row>
    <row r="152" spans="1:10" ht="15">
      <c r="A152" s="720" t="s">
        <v>620</v>
      </c>
      <c r="B152" s="714"/>
      <c r="C152" s="714"/>
      <c r="D152" s="714"/>
      <c r="E152" s="715"/>
      <c r="F152" s="162"/>
      <c r="G152" s="162"/>
      <c r="H152" s="162"/>
      <c r="I152" s="162"/>
      <c r="J152" s="162"/>
    </row>
    <row r="153" spans="1:10" ht="22.5" customHeight="1">
      <c r="A153" s="163" t="s">
        <v>611</v>
      </c>
      <c r="B153" s="163" t="s">
        <v>1112</v>
      </c>
      <c r="C153" s="167" t="s">
        <v>1113</v>
      </c>
      <c r="D153" s="163" t="s">
        <v>1114</v>
      </c>
      <c r="E153" s="163" t="s">
        <v>1115</v>
      </c>
      <c r="F153" s="162"/>
      <c r="G153" s="162"/>
      <c r="H153" s="162"/>
      <c r="I153" s="162"/>
      <c r="J153" s="162"/>
    </row>
    <row r="154" spans="1:10" ht="14.25" customHeight="1">
      <c r="A154" s="76" t="s">
        <v>603</v>
      </c>
      <c r="B154" s="148" t="s">
        <v>161</v>
      </c>
      <c r="C154" s="148">
        <v>15</v>
      </c>
      <c r="D154" s="148">
        <v>20</v>
      </c>
      <c r="E154" s="148">
        <v>25</v>
      </c>
      <c r="F154" s="1054" t="s">
        <v>1123</v>
      </c>
      <c r="G154" s="162"/>
      <c r="H154" s="162"/>
      <c r="I154" s="162"/>
      <c r="J154" s="162"/>
    </row>
    <row r="155" spans="1:10">
      <c r="A155" s="76" t="s">
        <v>604</v>
      </c>
      <c r="B155" s="148" t="s">
        <v>161</v>
      </c>
      <c r="C155" s="148">
        <v>25</v>
      </c>
      <c r="D155" s="148">
        <v>30</v>
      </c>
      <c r="E155" s="148">
        <v>40</v>
      </c>
      <c r="F155" s="1039"/>
      <c r="G155" s="162"/>
      <c r="H155" s="162"/>
      <c r="I155" s="162"/>
      <c r="J155" s="162"/>
    </row>
    <row r="156" spans="1:10">
      <c r="A156" s="197" t="s">
        <v>1116</v>
      </c>
      <c r="B156" s="148" t="s">
        <v>161</v>
      </c>
      <c r="C156" s="148">
        <v>30</v>
      </c>
      <c r="D156" s="148">
        <v>40</v>
      </c>
      <c r="E156" s="148">
        <v>50</v>
      </c>
      <c r="F156" s="1039"/>
      <c r="G156" s="162"/>
      <c r="H156" s="162"/>
      <c r="I156" s="162"/>
      <c r="J156" s="162"/>
    </row>
    <row r="157" spans="1:10">
      <c r="A157" s="197" t="s">
        <v>1117</v>
      </c>
      <c r="B157" s="148" t="s">
        <v>161</v>
      </c>
      <c r="C157" s="148">
        <v>45</v>
      </c>
      <c r="D157" s="148">
        <v>55</v>
      </c>
      <c r="E157" s="148">
        <v>65</v>
      </c>
      <c r="F157" s="1039"/>
      <c r="G157" s="162"/>
      <c r="H157" s="162"/>
      <c r="I157" s="162"/>
      <c r="J157" s="162"/>
    </row>
    <row r="158" spans="1:10">
      <c r="A158" s="197" t="s">
        <v>1118</v>
      </c>
      <c r="B158" s="148" t="s">
        <v>161</v>
      </c>
      <c r="C158" s="148">
        <v>30</v>
      </c>
      <c r="D158" s="148">
        <v>40</v>
      </c>
      <c r="E158" s="148">
        <v>50</v>
      </c>
      <c r="F158" s="1039"/>
      <c r="G158" s="162"/>
      <c r="H158" s="162"/>
      <c r="I158" s="162"/>
      <c r="J158" s="162"/>
    </row>
    <row r="159" spans="1:10">
      <c r="A159" s="197" t="s">
        <v>1119</v>
      </c>
      <c r="B159" s="148" t="s">
        <v>161</v>
      </c>
      <c r="C159" s="148">
        <v>45</v>
      </c>
      <c r="D159" s="148">
        <v>55</v>
      </c>
      <c r="E159" s="148">
        <v>65</v>
      </c>
      <c r="F159" s="1039"/>
      <c r="G159" s="162"/>
      <c r="H159" s="162"/>
      <c r="I159" s="162"/>
      <c r="J159" s="162"/>
    </row>
    <row r="160" spans="1:10">
      <c r="A160" s="76" t="s">
        <v>1120</v>
      </c>
      <c r="B160" s="148" t="s">
        <v>161</v>
      </c>
      <c r="C160" s="148">
        <v>30</v>
      </c>
      <c r="D160" s="148">
        <v>40</v>
      </c>
      <c r="E160" s="148">
        <v>50</v>
      </c>
      <c r="F160" s="1040"/>
      <c r="G160" s="162"/>
      <c r="H160" s="162"/>
      <c r="I160" s="162"/>
      <c r="J160" s="162"/>
    </row>
    <row r="161" spans="1:10" ht="15">
      <c r="A161" s="720" t="s">
        <v>1149</v>
      </c>
      <c r="B161" s="714"/>
      <c r="C161" s="714"/>
      <c r="D161" s="714"/>
      <c r="E161" s="715"/>
      <c r="F161" s="184"/>
      <c r="G161" s="162"/>
      <c r="H161" s="162"/>
      <c r="I161" s="162"/>
      <c r="J161" s="162"/>
    </row>
    <row r="162" spans="1:10" ht="18.75" customHeight="1">
      <c r="A162" s="163" t="s">
        <v>611</v>
      </c>
      <c r="B162" s="167" t="s">
        <v>1112</v>
      </c>
      <c r="C162" s="163" t="s">
        <v>1150</v>
      </c>
      <c r="D162" s="163" t="s">
        <v>1151</v>
      </c>
      <c r="E162" s="197"/>
      <c r="F162" s="162"/>
      <c r="G162" s="162"/>
      <c r="H162" s="162"/>
      <c r="I162" s="162"/>
      <c r="J162" s="162"/>
    </row>
    <row r="163" spans="1:10">
      <c r="A163" s="76" t="s">
        <v>1121</v>
      </c>
      <c r="B163" s="148" t="s">
        <v>161</v>
      </c>
      <c r="C163" s="148">
        <v>1</v>
      </c>
      <c r="D163" s="148">
        <v>6</v>
      </c>
      <c r="E163" s="148"/>
      <c r="F163" s="162"/>
      <c r="G163" s="162"/>
      <c r="H163" s="162"/>
      <c r="I163" s="162"/>
      <c r="J163" s="162"/>
    </row>
    <row r="164" spans="1:10">
      <c r="A164" s="76" t="s">
        <v>1122</v>
      </c>
      <c r="B164" s="148" t="s">
        <v>161</v>
      </c>
      <c r="C164" s="148">
        <v>1.5</v>
      </c>
      <c r="D164" s="148">
        <v>8</v>
      </c>
      <c r="E164" s="148"/>
      <c r="F164" s="162"/>
      <c r="G164" s="162"/>
      <c r="H164" s="162"/>
      <c r="I164" s="162"/>
      <c r="J164" s="162"/>
    </row>
    <row r="165" spans="1:10" ht="15">
      <c r="A165" s="720" t="s">
        <v>610</v>
      </c>
      <c r="B165" s="714"/>
      <c r="C165" s="714"/>
      <c r="D165" s="714"/>
      <c r="E165" s="715"/>
      <c r="F165" s="162"/>
      <c r="G165" s="162"/>
      <c r="H165" s="162"/>
      <c r="I165" s="162"/>
      <c r="J165" s="162"/>
    </row>
    <row r="166" spans="1:10">
      <c r="A166" s="158"/>
      <c r="B166" s="614" t="s">
        <v>612</v>
      </c>
      <c r="C166" s="614" t="s">
        <v>613</v>
      </c>
      <c r="D166" s="159"/>
      <c r="E166" s="159"/>
      <c r="F166" s="162"/>
      <c r="G166" s="162"/>
      <c r="H166" s="162"/>
      <c r="I166" s="162"/>
      <c r="J166" s="162"/>
    </row>
    <row r="167" spans="1:10">
      <c r="A167" s="76" t="s">
        <v>614</v>
      </c>
      <c r="B167" s="148" t="s">
        <v>161</v>
      </c>
      <c r="C167" s="148">
        <v>6</v>
      </c>
      <c r="D167" s="168"/>
      <c r="E167" s="168"/>
      <c r="F167" s="162"/>
      <c r="G167" s="162"/>
      <c r="H167" s="162"/>
      <c r="I167" s="162"/>
      <c r="J167" s="162"/>
    </row>
    <row r="168" spans="1:10">
      <c r="A168" s="76" t="s">
        <v>604</v>
      </c>
      <c r="B168" s="148" t="s">
        <v>161</v>
      </c>
      <c r="C168" s="148">
        <v>8</v>
      </c>
      <c r="D168" s="168"/>
      <c r="E168" s="168"/>
      <c r="F168" s="162"/>
      <c r="G168" s="162"/>
      <c r="H168" s="162"/>
      <c r="I168" s="162"/>
      <c r="J168" s="162"/>
    </row>
    <row r="169" spans="1:10">
      <c r="A169" s="76" t="s">
        <v>615</v>
      </c>
      <c r="B169" s="148" t="s">
        <v>161</v>
      </c>
      <c r="C169" s="148">
        <v>0.5</v>
      </c>
      <c r="D169" s="168"/>
      <c r="E169" s="168"/>
      <c r="F169" s="162"/>
      <c r="G169" s="162"/>
      <c r="H169" s="162"/>
      <c r="I169" s="162"/>
      <c r="J169" s="162"/>
    </row>
    <row r="170" spans="1:10">
      <c r="A170" s="76" t="s">
        <v>605</v>
      </c>
      <c r="B170" s="148" t="s">
        <v>161</v>
      </c>
      <c r="C170" s="148">
        <v>0.75</v>
      </c>
      <c r="D170" s="168"/>
      <c r="E170" s="168"/>
      <c r="F170" s="162"/>
      <c r="G170" s="162"/>
      <c r="H170" s="162"/>
      <c r="I170" s="162"/>
      <c r="J170" s="162"/>
    </row>
    <row r="171" spans="1:10" ht="17.25" customHeight="1">
      <c r="A171" s="1072" t="s">
        <v>587</v>
      </c>
      <c r="B171" s="1072"/>
      <c r="C171" s="1072"/>
      <c r="D171" s="1072"/>
      <c r="E171" s="1072"/>
      <c r="F171" s="160"/>
      <c r="G171" s="160"/>
    </row>
    <row r="172" spans="1:10" ht="15">
      <c r="A172" s="720" t="s">
        <v>619</v>
      </c>
      <c r="B172" s="714"/>
      <c r="C172" s="714"/>
      <c r="D172" s="714"/>
      <c r="E172" s="715"/>
      <c r="F172" s="140"/>
      <c r="G172" s="140"/>
      <c r="H172" s="140"/>
    </row>
    <row r="173" spans="1:10" ht="15">
      <c r="A173" s="1073" t="s">
        <v>588</v>
      </c>
      <c r="B173" s="1073"/>
      <c r="C173" s="1073"/>
      <c r="D173" s="1073"/>
      <c r="E173" s="1073"/>
      <c r="F173" s="140"/>
      <c r="G173" s="140"/>
    </row>
    <row r="174" spans="1:10">
      <c r="A174" s="76" t="s">
        <v>616</v>
      </c>
      <c r="B174" s="144"/>
      <c r="C174" s="76" t="s">
        <v>589</v>
      </c>
      <c r="D174" s="1071" t="s">
        <v>590</v>
      </c>
      <c r="E174" s="1071"/>
      <c r="F174" s="140"/>
      <c r="G174" s="140"/>
    </row>
    <row r="175" spans="1:10" ht="13.5" customHeight="1">
      <c r="A175" s="76" t="s">
        <v>617</v>
      </c>
      <c r="B175" s="147"/>
      <c r="C175" s="76" t="s">
        <v>589</v>
      </c>
      <c r="D175" s="1071"/>
      <c r="E175" s="1071"/>
      <c r="F175" s="140"/>
      <c r="G175" s="140"/>
    </row>
    <row r="176" spans="1:10" ht="14.25" customHeight="1">
      <c r="A176" s="76" t="s">
        <v>618</v>
      </c>
      <c r="B176" s="147"/>
      <c r="C176" s="76" t="s">
        <v>589</v>
      </c>
      <c r="D176" s="1071"/>
      <c r="E176" s="1071"/>
      <c r="F176" s="140"/>
      <c r="G176" s="140"/>
    </row>
    <row r="177" spans="2:2">
      <c r="B177" s="161"/>
    </row>
    <row r="178" spans="2:2">
      <c r="B178" s="161"/>
    </row>
    <row r="179" spans="2:2">
      <c r="B179" s="161"/>
    </row>
    <row r="180" spans="2:2">
      <c r="B180" s="161"/>
    </row>
    <row r="181" spans="2:2">
      <c r="B181" s="161"/>
    </row>
    <row r="182" spans="2:2">
      <c r="B182" s="161"/>
    </row>
    <row r="183" spans="2:2">
      <c r="B183" s="161"/>
    </row>
    <row r="184" spans="2:2">
      <c r="B184" s="161"/>
    </row>
    <row r="185" spans="2:2">
      <c r="B185" s="161"/>
    </row>
    <row r="186" spans="2:2">
      <c r="B186" s="161"/>
    </row>
    <row r="187" spans="2:2">
      <c r="B187" s="161"/>
    </row>
    <row r="188" spans="2:2">
      <c r="B188" s="161"/>
    </row>
    <row r="189" spans="2:2">
      <c r="B189" s="161"/>
    </row>
    <row r="190" spans="2:2">
      <c r="B190" s="161"/>
    </row>
    <row r="191" spans="2:2">
      <c r="B191" s="161"/>
    </row>
    <row r="192" spans="2:2">
      <c r="B192" s="161"/>
    </row>
    <row r="193" spans="2:2">
      <c r="B193" s="161"/>
    </row>
    <row r="194" spans="2:2">
      <c r="B194" s="161"/>
    </row>
    <row r="195" spans="2:2">
      <c r="B195" s="161"/>
    </row>
    <row r="196" spans="2:2">
      <c r="B196" s="161"/>
    </row>
    <row r="197" spans="2:2">
      <c r="B197" s="161"/>
    </row>
    <row r="198" spans="2:2">
      <c r="B198" s="161"/>
    </row>
    <row r="199" spans="2:2">
      <c r="B199" s="161"/>
    </row>
    <row r="200" spans="2:2">
      <c r="B200" s="161"/>
    </row>
    <row r="201" spans="2:2">
      <c r="B201" s="161"/>
    </row>
    <row r="202" spans="2:2">
      <c r="B202" s="161"/>
    </row>
    <row r="203" spans="2:2">
      <c r="B203" s="161"/>
    </row>
    <row r="204" spans="2:2">
      <c r="B204" s="161"/>
    </row>
    <row r="205" spans="2:2">
      <c r="B205" s="161"/>
    </row>
    <row r="206" spans="2:2">
      <c r="B206" s="161"/>
    </row>
    <row r="207" spans="2:2">
      <c r="B207" s="161"/>
    </row>
    <row r="208" spans="2:2">
      <c r="B208" s="161"/>
    </row>
    <row r="209" spans="2:2">
      <c r="B209" s="161"/>
    </row>
    <row r="210" spans="2:2">
      <c r="B210" s="161"/>
    </row>
    <row r="211" spans="2:2">
      <c r="B211" s="161"/>
    </row>
    <row r="212" spans="2:2">
      <c r="B212" s="161"/>
    </row>
    <row r="213" spans="2:2">
      <c r="B213" s="161"/>
    </row>
    <row r="214" spans="2:2">
      <c r="B214" s="161"/>
    </row>
    <row r="215" spans="2:2">
      <c r="B215" s="161"/>
    </row>
    <row r="216" spans="2:2">
      <c r="B216" s="161"/>
    </row>
    <row r="217" spans="2:2">
      <c r="B217" s="161"/>
    </row>
    <row r="218" spans="2:2">
      <c r="B218" s="161"/>
    </row>
    <row r="219" spans="2:2">
      <c r="B219" s="161"/>
    </row>
    <row r="220" spans="2:2">
      <c r="B220" s="161"/>
    </row>
    <row r="221" spans="2:2">
      <c r="B221" s="161"/>
    </row>
    <row r="222" spans="2:2">
      <c r="B222" s="161"/>
    </row>
    <row r="223" spans="2:2">
      <c r="B223" s="161"/>
    </row>
    <row r="224" spans="2:2">
      <c r="B224" s="161"/>
    </row>
    <row r="225" spans="2:2">
      <c r="B225" s="161"/>
    </row>
    <row r="226" spans="2:2">
      <c r="B226" s="161"/>
    </row>
    <row r="227" spans="2:2">
      <c r="B227" s="161"/>
    </row>
    <row r="228" spans="2:2">
      <c r="B228" s="161"/>
    </row>
    <row r="229" spans="2:2">
      <c r="B229" s="161"/>
    </row>
    <row r="230" spans="2:2">
      <c r="B230" s="161"/>
    </row>
    <row r="231" spans="2:2">
      <c r="B231" s="161"/>
    </row>
    <row r="232" spans="2:2">
      <c r="B232" s="161"/>
    </row>
    <row r="233" spans="2:2">
      <c r="B233" s="161"/>
    </row>
    <row r="234" spans="2:2">
      <c r="B234" s="161"/>
    </row>
    <row r="235" spans="2:2">
      <c r="B235" s="161"/>
    </row>
    <row r="236" spans="2:2">
      <c r="B236" s="161"/>
    </row>
    <row r="237" spans="2:2">
      <c r="B237" s="161"/>
    </row>
    <row r="238" spans="2:2">
      <c r="B238" s="161"/>
    </row>
    <row r="239" spans="2:2">
      <c r="B239" s="161"/>
    </row>
    <row r="240" spans="2:2">
      <c r="B240" s="161"/>
    </row>
    <row r="241" spans="2:2">
      <c r="B241" s="161"/>
    </row>
    <row r="242" spans="2:2">
      <c r="B242" s="161"/>
    </row>
    <row r="243" spans="2:2">
      <c r="B243" s="161"/>
    </row>
    <row r="244" spans="2:2">
      <c r="B244" s="161"/>
    </row>
    <row r="245" spans="2:2">
      <c r="B245" s="161"/>
    </row>
    <row r="246" spans="2:2">
      <c r="B246" s="161"/>
    </row>
    <row r="247" spans="2:2">
      <c r="B247" s="161"/>
    </row>
    <row r="248" spans="2:2">
      <c r="B248" s="161"/>
    </row>
    <row r="249" spans="2:2">
      <c r="B249" s="161"/>
    </row>
    <row r="250" spans="2:2">
      <c r="B250" s="161"/>
    </row>
    <row r="251" spans="2:2">
      <c r="B251" s="161"/>
    </row>
    <row r="252" spans="2:2">
      <c r="B252" s="161"/>
    </row>
    <row r="253" spans="2:2">
      <c r="B253" s="161"/>
    </row>
    <row r="254" spans="2:2">
      <c r="B254" s="161"/>
    </row>
    <row r="255" spans="2:2">
      <c r="B255" s="161"/>
    </row>
    <row r="256" spans="2:2">
      <c r="B256" s="161"/>
    </row>
    <row r="257" spans="2:2">
      <c r="B257" s="161"/>
    </row>
    <row r="258" spans="2:2">
      <c r="B258" s="161"/>
    </row>
    <row r="259" spans="2:2">
      <c r="B259" s="161"/>
    </row>
    <row r="260" spans="2:2">
      <c r="B260" s="161"/>
    </row>
    <row r="261" spans="2:2">
      <c r="B261" s="161"/>
    </row>
    <row r="262" spans="2:2">
      <c r="B262" s="161"/>
    </row>
    <row r="263" spans="2:2">
      <c r="B263" s="161"/>
    </row>
    <row r="264" spans="2:2">
      <c r="B264" s="161"/>
    </row>
    <row r="265" spans="2:2">
      <c r="B265" s="161"/>
    </row>
    <row r="266" spans="2:2">
      <c r="B266" s="161"/>
    </row>
    <row r="267" spans="2:2">
      <c r="B267" s="161"/>
    </row>
    <row r="268" spans="2:2">
      <c r="B268" s="161"/>
    </row>
    <row r="269" spans="2:2">
      <c r="B269" s="161"/>
    </row>
    <row r="270" spans="2:2">
      <c r="B270" s="161"/>
    </row>
    <row r="271" spans="2:2">
      <c r="B271" s="161"/>
    </row>
    <row r="272" spans="2:2">
      <c r="B272" s="161"/>
    </row>
    <row r="273" spans="2:2">
      <c r="B273" s="161"/>
    </row>
    <row r="274" spans="2:2">
      <c r="B274" s="161"/>
    </row>
    <row r="275" spans="2:2">
      <c r="B275" s="161"/>
    </row>
    <row r="276" spans="2:2">
      <c r="B276" s="161"/>
    </row>
    <row r="277" spans="2:2">
      <c r="B277" s="161"/>
    </row>
    <row r="278" spans="2:2">
      <c r="B278" s="161"/>
    </row>
    <row r="279" spans="2:2">
      <c r="B279" s="161"/>
    </row>
    <row r="280" spans="2:2">
      <c r="B280" s="161"/>
    </row>
    <row r="281" spans="2:2">
      <c r="B281" s="161"/>
    </row>
    <row r="282" spans="2:2">
      <c r="B282" s="161"/>
    </row>
    <row r="283" spans="2:2">
      <c r="B283" s="161"/>
    </row>
    <row r="284" spans="2:2">
      <c r="B284" s="161"/>
    </row>
    <row r="285" spans="2:2">
      <c r="B285" s="161"/>
    </row>
    <row r="286" spans="2:2">
      <c r="B286" s="161"/>
    </row>
    <row r="287" spans="2:2">
      <c r="B287" s="161"/>
    </row>
    <row r="288" spans="2:2">
      <c r="B288" s="161"/>
    </row>
    <row r="289" spans="2:2">
      <c r="B289" s="161"/>
    </row>
    <row r="290" spans="2:2">
      <c r="B290" s="161"/>
    </row>
    <row r="291" spans="2:2">
      <c r="B291" s="161"/>
    </row>
    <row r="292" spans="2:2">
      <c r="B292" s="161"/>
    </row>
    <row r="293" spans="2:2">
      <c r="B293" s="161"/>
    </row>
    <row r="294" spans="2:2">
      <c r="B294" s="161"/>
    </row>
    <row r="295" spans="2:2">
      <c r="B295" s="161"/>
    </row>
    <row r="296" spans="2:2">
      <c r="B296" s="161"/>
    </row>
    <row r="297" spans="2:2">
      <c r="B297" s="161"/>
    </row>
    <row r="298" spans="2:2">
      <c r="B298" s="161"/>
    </row>
    <row r="299" spans="2:2">
      <c r="B299" s="161"/>
    </row>
    <row r="300" spans="2:2">
      <c r="B300" s="161"/>
    </row>
    <row r="301" spans="2:2">
      <c r="B301" s="161"/>
    </row>
    <row r="302" spans="2:2">
      <c r="B302" s="161"/>
    </row>
    <row r="303" spans="2:2">
      <c r="B303" s="161"/>
    </row>
    <row r="304" spans="2:2">
      <c r="B304" s="161"/>
    </row>
    <row r="305" spans="2:2">
      <c r="B305" s="161"/>
    </row>
    <row r="306" spans="2:2">
      <c r="B306" s="161"/>
    </row>
    <row r="307" spans="2:2">
      <c r="B307" s="161"/>
    </row>
    <row r="308" spans="2:2">
      <c r="B308" s="161"/>
    </row>
    <row r="309" spans="2:2">
      <c r="B309" s="161"/>
    </row>
    <row r="310" spans="2:2">
      <c r="B310" s="161"/>
    </row>
    <row r="311" spans="2:2">
      <c r="B311" s="161"/>
    </row>
    <row r="312" spans="2:2">
      <c r="B312" s="161"/>
    </row>
    <row r="313" spans="2:2">
      <c r="B313" s="161"/>
    </row>
    <row r="314" spans="2:2">
      <c r="B314" s="161"/>
    </row>
    <row r="315" spans="2:2">
      <c r="B315" s="161"/>
    </row>
    <row r="316" spans="2:2">
      <c r="B316" s="161"/>
    </row>
    <row r="317" spans="2:2">
      <c r="B317" s="161"/>
    </row>
    <row r="318" spans="2:2">
      <c r="B318" s="161"/>
    </row>
    <row r="319" spans="2:2">
      <c r="B319" s="161"/>
    </row>
    <row r="320" spans="2:2">
      <c r="B320" s="161"/>
    </row>
    <row r="321" spans="2:2">
      <c r="B321" s="161"/>
    </row>
    <row r="322" spans="2:2">
      <c r="B322" s="161"/>
    </row>
    <row r="323" spans="2:2">
      <c r="B323" s="161"/>
    </row>
    <row r="324" spans="2:2">
      <c r="B324" s="161"/>
    </row>
    <row r="325" spans="2:2">
      <c r="B325" s="161"/>
    </row>
    <row r="326" spans="2:2">
      <c r="B326" s="161"/>
    </row>
    <row r="327" spans="2:2">
      <c r="B327" s="161"/>
    </row>
    <row r="328" spans="2:2">
      <c r="B328" s="161"/>
    </row>
    <row r="329" spans="2:2">
      <c r="B329" s="161"/>
    </row>
    <row r="330" spans="2:2">
      <c r="B330" s="161"/>
    </row>
    <row r="331" spans="2:2">
      <c r="B331" s="161"/>
    </row>
    <row r="332" spans="2:2">
      <c r="B332" s="161"/>
    </row>
    <row r="333" spans="2:2">
      <c r="B333" s="161"/>
    </row>
    <row r="334" spans="2:2">
      <c r="B334" s="161"/>
    </row>
    <row r="335" spans="2:2">
      <c r="B335" s="161"/>
    </row>
    <row r="336" spans="2:2">
      <c r="B336" s="161"/>
    </row>
    <row r="337" spans="2:2">
      <c r="B337" s="161"/>
    </row>
    <row r="338" spans="2:2">
      <c r="B338" s="161"/>
    </row>
    <row r="339" spans="2:2">
      <c r="B339" s="161"/>
    </row>
    <row r="340" spans="2:2">
      <c r="B340" s="161"/>
    </row>
    <row r="341" spans="2:2">
      <c r="B341" s="161"/>
    </row>
    <row r="342" spans="2:2">
      <c r="B342" s="161"/>
    </row>
    <row r="343" spans="2:2">
      <c r="B343" s="161"/>
    </row>
    <row r="344" spans="2:2">
      <c r="B344" s="161"/>
    </row>
    <row r="345" spans="2:2">
      <c r="B345" s="161"/>
    </row>
    <row r="346" spans="2:2">
      <c r="B346" s="161"/>
    </row>
    <row r="347" spans="2:2">
      <c r="B347" s="161"/>
    </row>
    <row r="348" spans="2:2">
      <c r="B348" s="161"/>
    </row>
    <row r="349" spans="2:2">
      <c r="B349" s="161"/>
    </row>
    <row r="350" spans="2:2">
      <c r="B350" s="161"/>
    </row>
    <row r="351" spans="2:2">
      <c r="B351" s="161"/>
    </row>
    <row r="352" spans="2:2">
      <c r="B352" s="161"/>
    </row>
    <row r="353" spans="2:2">
      <c r="B353" s="161"/>
    </row>
    <row r="354" spans="2:2">
      <c r="B354" s="161"/>
    </row>
    <row r="355" spans="2:2">
      <c r="B355" s="161"/>
    </row>
    <row r="356" spans="2:2">
      <c r="B356" s="161"/>
    </row>
    <row r="357" spans="2:2">
      <c r="B357" s="161"/>
    </row>
    <row r="358" spans="2:2">
      <c r="B358" s="161"/>
    </row>
    <row r="359" spans="2:2">
      <c r="B359" s="161"/>
    </row>
    <row r="360" spans="2:2">
      <c r="B360" s="161"/>
    </row>
    <row r="361" spans="2:2">
      <c r="B361" s="161"/>
    </row>
    <row r="362" spans="2:2">
      <c r="B362" s="161"/>
    </row>
    <row r="363" spans="2:2">
      <c r="B363" s="161"/>
    </row>
    <row r="364" spans="2:2">
      <c r="B364" s="161"/>
    </row>
    <row r="365" spans="2:2">
      <c r="B365" s="161"/>
    </row>
    <row r="366" spans="2:2">
      <c r="B366" s="161"/>
    </row>
    <row r="367" spans="2:2">
      <c r="B367" s="161"/>
    </row>
    <row r="368" spans="2:2">
      <c r="B368" s="161"/>
    </row>
    <row r="369" spans="2:2">
      <c r="B369" s="161"/>
    </row>
    <row r="370" spans="2:2">
      <c r="B370" s="161"/>
    </row>
    <row r="371" spans="2:2">
      <c r="B371" s="161"/>
    </row>
    <row r="372" spans="2:2">
      <c r="B372" s="161"/>
    </row>
    <row r="373" spans="2:2">
      <c r="B373" s="161"/>
    </row>
    <row r="374" spans="2:2">
      <c r="B374" s="161"/>
    </row>
    <row r="375" spans="2:2">
      <c r="B375" s="161"/>
    </row>
    <row r="376" spans="2:2">
      <c r="B376" s="161"/>
    </row>
    <row r="377" spans="2:2">
      <c r="B377" s="161"/>
    </row>
    <row r="378" spans="2:2">
      <c r="B378" s="161"/>
    </row>
    <row r="379" spans="2:2">
      <c r="B379" s="161"/>
    </row>
    <row r="380" spans="2:2">
      <c r="B380" s="161"/>
    </row>
    <row r="381" spans="2:2">
      <c r="B381" s="161"/>
    </row>
    <row r="382" spans="2:2">
      <c r="B382" s="161"/>
    </row>
    <row r="383" spans="2:2">
      <c r="B383" s="161"/>
    </row>
    <row r="384" spans="2:2">
      <c r="B384" s="161"/>
    </row>
    <row r="385" spans="2:2">
      <c r="B385" s="161"/>
    </row>
    <row r="386" spans="2:2">
      <c r="B386" s="161"/>
    </row>
    <row r="387" spans="2:2">
      <c r="B387" s="161"/>
    </row>
    <row r="388" spans="2:2">
      <c r="B388" s="161"/>
    </row>
    <row r="389" spans="2:2">
      <c r="B389" s="161"/>
    </row>
    <row r="390" spans="2:2">
      <c r="B390" s="161"/>
    </row>
    <row r="391" spans="2:2">
      <c r="B391" s="161"/>
    </row>
    <row r="392" spans="2:2">
      <c r="B392" s="161"/>
    </row>
    <row r="393" spans="2:2">
      <c r="B393" s="161"/>
    </row>
    <row r="394" spans="2:2">
      <c r="B394" s="161"/>
    </row>
    <row r="395" spans="2:2">
      <c r="B395" s="161"/>
    </row>
    <row r="396" spans="2:2">
      <c r="B396" s="161"/>
    </row>
    <row r="397" spans="2:2">
      <c r="B397" s="161"/>
    </row>
    <row r="398" spans="2:2">
      <c r="B398" s="161"/>
    </row>
    <row r="399" spans="2:2">
      <c r="B399" s="161"/>
    </row>
    <row r="400" spans="2:2">
      <c r="B400" s="161"/>
    </row>
    <row r="401" spans="2:2">
      <c r="B401" s="161"/>
    </row>
    <row r="402" spans="2:2">
      <c r="B402" s="161"/>
    </row>
    <row r="403" spans="2:2">
      <c r="B403" s="161"/>
    </row>
    <row r="404" spans="2:2">
      <c r="B404" s="161"/>
    </row>
    <row r="405" spans="2:2">
      <c r="B405" s="161"/>
    </row>
    <row r="406" spans="2:2">
      <c r="B406" s="161"/>
    </row>
    <row r="407" spans="2:2">
      <c r="B407" s="161"/>
    </row>
    <row r="408" spans="2:2">
      <c r="B408" s="161"/>
    </row>
    <row r="409" spans="2:2">
      <c r="B409" s="161"/>
    </row>
    <row r="410" spans="2:2">
      <c r="B410" s="161"/>
    </row>
    <row r="411" spans="2:2">
      <c r="B411" s="161"/>
    </row>
    <row r="412" spans="2:2">
      <c r="B412" s="161"/>
    </row>
    <row r="413" spans="2:2">
      <c r="B413" s="161"/>
    </row>
    <row r="414" spans="2:2">
      <c r="B414" s="161"/>
    </row>
    <row r="415" spans="2:2">
      <c r="B415" s="161"/>
    </row>
    <row r="416" spans="2:2">
      <c r="B416" s="161"/>
    </row>
    <row r="417" spans="2:2">
      <c r="B417" s="161"/>
    </row>
    <row r="418" spans="2:2">
      <c r="B418" s="161"/>
    </row>
    <row r="419" spans="2:2">
      <c r="B419" s="161"/>
    </row>
    <row r="420" spans="2:2">
      <c r="B420" s="161"/>
    </row>
    <row r="421" spans="2:2">
      <c r="B421" s="161"/>
    </row>
    <row r="422" spans="2:2">
      <c r="B422" s="161"/>
    </row>
    <row r="423" spans="2:2">
      <c r="B423" s="161"/>
    </row>
    <row r="424" spans="2:2">
      <c r="B424" s="161"/>
    </row>
    <row r="425" spans="2:2">
      <c r="B425" s="161"/>
    </row>
    <row r="426" spans="2:2">
      <c r="B426" s="161"/>
    </row>
    <row r="427" spans="2:2">
      <c r="B427" s="161"/>
    </row>
    <row r="428" spans="2:2">
      <c r="B428" s="161"/>
    </row>
    <row r="429" spans="2:2">
      <c r="B429" s="161"/>
    </row>
    <row r="430" spans="2:2">
      <c r="B430" s="161"/>
    </row>
    <row r="431" spans="2:2">
      <c r="B431" s="161"/>
    </row>
    <row r="432" spans="2:2">
      <c r="B432" s="161"/>
    </row>
    <row r="433" spans="2:2">
      <c r="B433" s="161"/>
    </row>
    <row r="434" spans="2:2">
      <c r="B434" s="161"/>
    </row>
    <row r="435" spans="2:2">
      <c r="B435" s="161"/>
    </row>
    <row r="436" spans="2:2">
      <c r="B436" s="161"/>
    </row>
    <row r="437" spans="2:2">
      <c r="B437" s="161"/>
    </row>
    <row r="438" spans="2:2">
      <c r="B438" s="161"/>
    </row>
    <row r="439" spans="2:2">
      <c r="B439" s="161"/>
    </row>
    <row r="440" spans="2:2">
      <c r="B440" s="161"/>
    </row>
    <row r="441" spans="2:2">
      <c r="B441" s="161"/>
    </row>
    <row r="442" spans="2:2">
      <c r="B442" s="161"/>
    </row>
    <row r="443" spans="2:2">
      <c r="B443" s="161"/>
    </row>
    <row r="444" spans="2:2">
      <c r="B444" s="161"/>
    </row>
    <row r="445" spans="2:2">
      <c r="B445" s="161"/>
    </row>
    <row r="446" spans="2:2">
      <c r="B446" s="161"/>
    </row>
    <row r="447" spans="2:2">
      <c r="B447" s="161"/>
    </row>
    <row r="448" spans="2:2">
      <c r="B448" s="161"/>
    </row>
    <row r="449" spans="2:2">
      <c r="B449" s="161"/>
    </row>
    <row r="450" spans="2:2">
      <c r="B450" s="161"/>
    </row>
    <row r="451" spans="2:2">
      <c r="B451" s="161"/>
    </row>
    <row r="452" spans="2:2">
      <c r="B452" s="161"/>
    </row>
    <row r="453" spans="2:2">
      <c r="B453" s="161"/>
    </row>
    <row r="454" spans="2:2">
      <c r="B454" s="161"/>
    </row>
    <row r="455" spans="2:2">
      <c r="B455" s="161"/>
    </row>
    <row r="456" spans="2:2">
      <c r="B456" s="161"/>
    </row>
    <row r="457" spans="2:2">
      <c r="B457" s="161"/>
    </row>
    <row r="458" spans="2:2">
      <c r="B458" s="161"/>
    </row>
    <row r="459" spans="2:2">
      <c r="B459" s="161"/>
    </row>
    <row r="460" spans="2:2">
      <c r="B460" s="161"/>
    </row>
    <row r="461" spans="2:2">
      <c r="B461" s="161"/>
    </row>
    <row r="462" spans="2:2">
      <c r="B462" s="161"/>
    </row>
    <row r="463" spans="2:2">
      <c r="B463" s="161"/>
    </row>
    <row r="464" spans="2:2">
      <c r="B464" s="161"/>
    </row>
    <row r="465" spans="2:2">
      <c r="B465" s="161"/>
    </row>
    <row r="466" spans="2:2">
      <c r="B466" s="161"/>
    </row>
    <row r="467" spans="2:2">
      <c r="B467" s="161"/>
    </row>
    <row r="468" spans="2:2">
      <c r="B468" s="161"/>
    </row>
    <row r="469" spans="2:2">
      <c r="B469" s="161"/>
    </row>
    <row r="470" spans="2:2">
      <c r="B470" s="161"/>
    </row>
    <row r="471" spans="2:2">
      <c r="B471" s="161"/>
    </row>
    <row r="472" spans="2:2">
      <c r="B472" s="161"/>
    </row>
    <row r="473" spans="2:2">
      <c r="B473" s="161"/>
    </row>
    <row r="474" spans="2:2">
      <c r="B474" s="161"/>
    </row>
    <row r="475" spans="2:2">
      <c r="B475" s="161"/>
    </row>
    <row r="476" spans="2:2">
      <c r="B476" s="161"/>
    </row>
    <row r="477" spans="2:2">
      <c r="B477" s="161"/>
    </row>
    <row r="478" spans="2:2">
      <c r="B478" s="161"/>
    </row>
    <row r="479" spans="2:2">
      <c r="B479" s="161"/>
    </row>
    <row r="480" spans="2:2">
      <c r="B480" s="161"/>
    </row>
    <row r="481" spans="2:2">
      <c r="B481" s="161"/>
    </row>
    <row r="482" spans="2:2">
      <c r="B482" s="161"/>
    </row>
    <row r="483" spans="2:2">
      <c r="B483" s="161"/>
    </row>
    <row r="484" spans="2:2">
      <c r="B484" s="161"/>
    </row>
    <row r="485" spans="2:2">
      <c r="B485" s="161"/>
    </row>
    <row r="486" spans="2:2">
      <c r="B486" s="161"/>
    </row>
    <row r="487" spans="2:2">
      <c r="B487" s="161"/>
    </row>
    <row r="488" spans="2:2">
      <c r="B488" s="161"/>
    </row>
    <row r="489" spans="2:2">
      <c r="B489" s="161"/>
    </row>
    <row r="490" spans="2:2">
      <c r="B490" s="161"/>
    </row>
    <row r="491" spans="2:2">
      <c r="B491" s="161"/>
    </row>
    <row r="492" spans="2:2">
      <c r="B492" s="161"/>
    </row>
    <row r="493" spans="2:2">
      <c r="B493" s="161"/>
    </row>
    <row r="494" spans="2:2">
      <c r="B494" s="161"/>
    </row>
    <row r="495" spans="2:2">
      <c r="B495" s="161"/>
    </row>
    <row r="496" spans="2:2">
      <c r="B496" s="161"/>
    </row>
    <row r="497" spans="2:2">
      <c r="B497" s="161"/>
    </row>
    <row r="498" spans="2:2">
      <c r="B498" s="161"/>
    </row>
    <row r="499" spans="2:2">
      <c r="B499" s="161"/>
    </row>
    <row r="500" spans="2:2">
      <c r="B500" s="161"/>
    </row>
    <row r="501" spans="2:2">
      <c r="B501" s="161"/>
    </row>
    <row r="502" spans="2:2">
      <c r="B502" s="161"/>
    </row>
    <row r="503" spans="2:2">
      <c r="B503" s="161"/>
    </row>
    <row r="504" spans="2:2">
      <c r="B504" s="161"/>
    </row>
    <row r="505" spans="2:2">
      <c r="B505" s="161"/>
    </row>
    <row r="506" spans="2:2">
      <c r="B506" s="161"/>
    </row>
    <row r="507" spans="2:2">
      <c r="B507" s="161"/>
    </row>
    <row r="508" spans="2:2">
      <c r="B508" s="161"/>
    </row>
    <row r="509" spans="2:2">
      <c r="B509" s="161"/>
    </row>
    <row r="510" spans="2:2">
      <c r="B510" s="161"/>
    </row>
    <row r="511" spans="2:2">
      <c r="B511" s="161"/>
    </row>
    <row r="512" spans="2:2">
      <c r="B512" s="161"/>
    </row>
    <row r="513" spans="2:2">
      <c r="B513" s="161"/>
    </row>
    <row r="514" spans="2:2">
      <c r="B514" s="161"/>
    </row>
    <row r="515" spans="2:2">
      <c r="B515" s="161"/>
    </row>
    <row r="516" spans="2:2">
      <c r="B516" s="161"/>
    </row>
    <row r="517" spans="2:2">
      <c r="B517" s="161"/>
    </row>
    <row r="518" spans="2:2">
      <c r="B518" s="161"/>
    </row>
    <row r="519" spans="2:2">
      <c r="B519" s="161"/>
    </row>
    <row r="520" spans="2:2">
      <c r="B520" s="161"/>
    </row>
    <row r="521" spans="2:2">
      <c r="B521" s="161"/>
    </row>
    <row r="522" spans="2:2">
      <c r="B522" s="161"/>
    </row>
    <row r="523" spans="2:2">
      <c r="B523" s="161"/>
    </row>
    <row r="524" spans="2:2">
      <c r="B524" s="161"/>
    </row>
    <row r="525" spans="2:2">
      <c r="B525" s="161"/>
    </row>
    <row r="526" spans="2:2">
      <c r="B526" s="161"/>
    </row>
    <row r="527" spans="2:2">
      <c r="B527" s="161"/>
    </row>
    <row r="528" spans="2:2">
      <c r="B528" s="161"/>
    </row>
    <row r="529" spans="2:2">
      <c r="B529" s="161"/>
    </row>
    <row r="530" spans="2:2">
      <c r="B530" s="161"/>
    </row>
    <row r="531" spans="2:2">
      <c r="B531" s="161"/>
    </row>
    <row r="532" spans="2:2">
      <c r="B532" s="161"/>
    </row>
    <row r="533" spans="2:2">
      <c r="B533" s="161"/>
    </row>
    <row r="534" spans="2:2">
      <c r="B534" s="161"/>
    </row>
    <row r="535" spans="2:2">
      <c r="B535" s="161"/>
    </row>
    <row r="536" spans="2:2">
      <c r="B536" s="161"/>
    </row>
    <row r="537" spans="2:2">
      <c r="B537" s="161"/>
    </row>
    <row r="538" spans="2:2">
      <c r="B538" s="161"/>
    </row>
    <row r="539" spans="2:2">
      <c r="B539" s="161"/>
    </row>
    <row r="540" spans="2:2">
      <c r="B540" s="161"/>
    </row>
    <row r="541" spans="2:2">
      <c r="B541" s="161"/>
    </row>
    <row r="542" spans="2:2">
      <c r="B542" s="161"/>
    </row>
    <row r="543" spans="2:2">
      <c r="B543" s="161"/>
    </row>
    <row r="544" spans="2:2">
      <c r="B544" s="161"/>
    </row>
    <row r="545" spans="2:2">
      <c r="B545" s="161"/>
    </row>
    <row r="546" spans="2:2">
      <c r="B546" s="161"/>
    </row>
    <row r="547" spans="2:2">
      <c r="B547" s="161"/>
    </row>
    <row r="548" spans="2:2">
      <c r="B548" s="161"/>
    </row>
    <row r="549" spans="2:2">
      <c r="B549" s="161"/>
    </row>
    <row r="550" spans="2:2">
      <c r="B550" s="161"/>
    </row>
    <row r="551" spans="2:2">
      <c r="B551" s="161"/>
    </row>
    <row r="552" spans="2:2">
      <c r="B552" s="161"/>
    </row>
    <row r="553" spans="2:2">
      <c r="B553" s="161"/>
    </row>
    <row r="554" spans="2:2">
      <c r="B554" s="161"/>
    </row>
    <row r="555" spans="2:2">
      <c r="B555" s="161"/>
    </row>
    <row r="556" spans="2:2">
      <c r="B556" s="161"/>
    </row>
    <row r="557" spans="2:2">
      <c r="B557" s="161"/>
    </row>
    <row r="558" spans="2:2">
      <c r="B558" s="161"/>
    </row>
    <row r="559" spans="2:2">
      <c r="B559" s="161"/>
    </row>
    <row r="560" spans="2:2">
      <c r="B560" s="161"/>
    </row>
    <row r="561" spans="2:2">
      <c r="B561" s="161"/>
    </row>
    <row r="562" spans="2:2">
      <c r="B562" s="161"/>
    </row>
    <row r="563" spans="2:2">
      <c r="B563" s="161"/>
    </row>
    <row r="564" spans="2:2">
      <c r="B564" s="161"/>
    </row>
    <row r="565" spans="2:2">
      <c r="B565" s="161"/>
    </row>
    <row r="566" spans="2:2">
      <c r="B566" s="161"/>
    </row>
    <row r="567" spans="2:2">
      <c r="B567" s="161"/>
    </row>
    <row r="568" spans="2:2">
      <c r="B568" s="161"/>
    </row>
    <row r="569" spans="2:2">
      <c r="B569" s="161"/>
    </row>
    <row r="570" spans="2:2">
      <c r="B570" s="161"/>
    </row>
    <row r="571" spans="2:2">
      <c r="B571" s="161"/>
    </row>
    <row r="572" spans="2:2">
      <c r="B572" s="161"/>
    </row>
    <row r="573" spans="2:2">
      <c r="B573" s="161"/>
    </row>
    <row r="574" spans="2:2">
      <c r="B574" s="161"/>
    </row>
    <row r="575" spans="2:2">
      <c r="B575" s="161"/>
    </row>
    <row r="576" spans="2:2">
      <c r="B576" s="161"/>
    </row>
    <row r="577" spans="2:2">
      <c r="B577" s="161"/>
    </row>
    <row r="578" spans="2:2">
      <c r="B578" s="161"/>
    </row>
    <row r="579" spans="2:2">
      <c r="B579" s="161"/>
    </row>
    <row r="580" spans="2:2">
      <c r="B580" s="161"/>
    </row>
    <row r="581" spans="2:2">
      <c r="B581" s="161"/>
    </row>
    <row r="582" spans="2:2">
      <c r="B582" s="161"/>
    </row>
    <row r="583" spans="2:2">
      <c r="B583" s="161"/>
    </row>
    <row r="584" spans="2:2">
      <c r="B584" s="161"/>
    </row>
    <row r="585" spans="2:2">
      <c r="B585" s="161"/>
    </row>
    <row r="586" spans="2:2">
      <c r="B586" s="161"/>
    </row>
    <row r="587" spans="2:2">
      <c r="B587" s="161"/>
    </row>
    <row r="588" spans="2:2">
      <c r="B588" s="161"/>
    </row>
    <row r="589" spans="2:2">
      <c r="B589" s="161"/>
    </row>
    <row r="590" spans="2:2">
      <c r="B590" s="161"/>
    </row>
    <row r="591" spans="2:2">
      <c r="B591" s="161"/>
    </row>
    <row r="592" spans="2:2">
      <c r="B592" s="161"/>
    </row>
    <row r="593" spans="2:2">
      <c r="B593" s="161"/>
    </row>
    <row r="594" spans="2:2">
      <c r="B594" s="161"/>
    </row>
    <row r="595" spans="2:2">
      <c r="B595" s="161"/>
    </row>
    <row r="596" spans="2:2">
      <c r="B596" s="161"/>
    </row>
    <row r="597" spans="2:2">
      <c r="B597" s="161"/>
    </row>
    <row r="598" spans="2:2">
      <c r="B598" s="161"/>
    </row>
    <row r="599" spans="2:2">
      <c r="B599" s="161"/>
    </row>
    <row r="600" spans="2:2">
      <c r="B600" s="161"/>
    </row>
    <row r="601" spans="2:2">
      <c r="B601" s="161"/>
    </row>
    <row r="602" spans="2:2">
      <c r="B602" s="161"/>
    </row>
    <row r="603" spans="2:2">
      <c r="B603" s="161"/>
    </row>
    <row r="604" spans="2:2">
      <c r="B604" s="161"/>
    </row>
    <row r="605" spans="2:2">
      <c r="B605" s="161"/>
    </row>
    <row r="606" spans="2:2">
      <c r="B606" s="161"/>
    </row>
    <row r="607" spans="2:2">
      <c r="B607" s="161"/>
    </row>
    <row r="608" spans="2:2">
      <c r="B608" s="161"/>
    </row>
    <row r="609" spans="2:2">
      <c r="B609" s="161"/>
    </row>
    <row r="610" spans="2:2">
      <c r="B610" s="161"/>
    </row>
    <row r="611" spans="2:2">
      <c r="B611" s="161"/>
    </row>
    <row r="612" spans="2:2">
      <c r="B612" s="161"/>
    </row>
    <row r="613" spans="2:2">
      <c r="B613" s="161"/>
    </row>
    <row r="614" spans="2:2">
      <c r="B614" s="161"/>
    </row>
    <row r="615" spans="2:2">
      <c r="B615" s="161"/>
    </row>
    <row r="616" spans="2:2">
      <c r="B616" s="161"/>
    </row>
    <row r="617" spans="2:2">
      <c r="B617" s="161"/>
    </row>
    <row r="618" spans="2:2">
      <c r="B618" s="161"/>
    </row>
    <row r="619" spans="2:2">
      <c r="B619" s="161"/>
    </row>
    <row r="620" spans="2:2">
      <c r="B620" s="161"/>
    </row>
    <row r="621" spans="2:2">
      <c r="B621" s="161"/>
    </row>
    <row r="622" spans="2:2">
      <c r="B622" s="161"/>
    </row>
    <row r="623" spans="2:2">
      <c r="B623" s="161"/>
    </row>
    <row r="624" spans="2:2">
      <c r="B624" s="161"/>
    </row>
    <row r="625" spans="2:2">
      <c r="B625" s="161"/>
    </row>
    <row r="626" spans="2:2">
      <c r="B626" s="161"/>
    </row>
    <row r="627" spans="2:2">
      <c r="B627" s="161"/>
    </row>
    <row r="628" spans="2:2">
      <c r="B628" s="161"/>
    </row>
    <row r="629" spans="2:2">
      <c r="B629" s="161"/>
    </row>
    <row r="630" spans="2:2">
      <c r="B630" s="161"/>
    </row>
    <row r="631" spans="2:2">
      <c r="B631" s="161"/>
    </row>
    <row r="632" spans="2:2">
      <c r="B632" s="161"/>
    </row>
    <row r="633" spans="2:2">
      <c r="B633" s="161"/>
    </row>
    <row r="634" spans="2:2">
      <c r="B634" s="161"/>
    </row>
    <row r="635" spans="2:2">
      <c r="B635" s="161"/>
    </row>
    <row r="636" spans="2:2">
      <c r="B636" s="161"/>
    </row>
    <row r="637" spans="2:2">
      <c r="B637" s="161"/>
    </row>
    <row r="638" spans="2:2">
      <c r="B638" s="161"/>
    </row>
    <row r="639" spans="2:2">
      <c r="B639" s="161"/>
    </row>
    <row r="640" spans="2:2">
      <c r="B640" s="161"/>
    </row>
    <row r="641" spans="2:2">
      <c r="B641" s="161"/>
    </row>
    <row r="642" spans="2:2">
      <c r="B642" s="161"/>
    </row>
    <row r="643" spans="2:2">
      <c r="B643" s="161"/>
    </row>
    <row r="644" spans="2:2">
      <c r="B644" s="161"/>
    </row>
    <row r="645" spans="2:2">
      <c r="B645" s="161"/>
    </row>
    <row r="646" spans="2:2">
      <c r="B646" s="161"/>
    </row>
    <row r="647" spans="2:2">
      <c r="B647" s="161"/>
    </row>
    <row r="648" spans="2:2">
      <c r="B648" s="161"/>
    </row>
    <row r="649" spans="2:2">
      <c r="B649" s="161"/>
    </row>
    <row r="650" spans="2:2">
      <c r="B650" s="161"/>
    </row>
    <row r="651" spans="2:2">
      <c r="B651" s="161"/>
    </row>
    <row r="652" spans="2:2">
      <c r="B652" s="161"/>
    </row>
    <row r="653" spans="2:2">
      <c r="B653" s="161"/>
    </row>
    <row r="654" spans="2:2">
      <c r="B654" s="161"/>
    </row>
    <row r="655" spans="2:2">
      <c r="B655" s="161"/>
    </row>
    <row r="656" spans="2:2">
      <c r="B656" s="161"/>
    </row>
    <row r="657" spans="2:2">
      <c r="B657" s="161"/>
    </row>
    <row r="658" spans="2:2">
      <c r="B658" s="161"/>
    </row>
    <row r="659" spans="2:2">
      <c r="B659" s="161"/>
    </row>
    <row r="660" spans="2:2">
      <c r="B660" s="161"/>
    </row>
    <row r="661" spans="2:2">
      <c r="B661" s="161"/>
    </row>
    <row r="662" spans="2:2">
      <c r="B662" s="161"/>
    </row>
    <row r="663" spans="2:2">
      <c r="B663" s="161"/>
    </row>
    <row r="664" spans="2:2">
      <c r="B664" s="161"/>
    </row>
    <row r="665" spans="2:2">
      <c r="B665" s="161"/>
    </row>
    <row r="666" spans="2:2">
      <c r="B666" s="161"/>
    </row>
    <row r="667" spans="2:2">
      <c r="B667" s="161"/>
    </row>
    <row r="668" spans="2:2">
      <c r="B668" s="161"/>
    </row>
    <row r="669" spans="2:2">
      <c r="B669" s="161"/>
    </row>
    <row r="670" spans="2:2">
      <c r="B670" s="161"/>
    </row>
    <row r="671" spans="2:2">
      <c r="B671" s="161"/>
    </row>
    <row r="672" spans="2:2">
      <c r="B672" s="161"/>
    </row>
    <row r="673" spans="2:2">
      <c r="B673" s="161"/>
    </row>
    <row r="674" spans="2:2">
      <c r="B674" s="161"/>
    </row>
    <row r="675" spans="2:2">
      <c r="B675" s="161"/>
    </row>
    <row r="676" spans="2:2">
      <c r="B676" s="161"/>
    </row>
    <row r="677" spans="2:2">
      <c r="B677" s="161"/>
    </row>
    <row r="678" spans="2:2">
      <c r="B678" s="161"/>
    </row>
    <row r="679" spans="2:2">
      <c r="B679" s="161"/>
    </row>
    <row r="680" spans="2:2">
      <c r="B680" s="161"/>
    </row>
    <row r="681" spans="2:2">
      <c r="B681" s="161"/>
    </row>
    <row r="682" spans="2:2">
      <c r="B682" s="161"/>
    </row>
    <row r="683" spans="2:2">
      <c r="B683" s="161"/>
    </row>
    <row r="684" spans="2:2">
      <c r="B684" s="161"/>
    </row>
    <row r="685" spans="2:2">
      <c r="B685" s="161"/>
    </row>
    <row r="686" spans="2:2">
      <c r="B686" s="161"/>
    </row>
    <row r="687" spans="2:2">
      <c r="B687" s="161"/>
    </row>
    <row r="688" spans="2:2">
      <c r="B688" s="161"/>
    </row>
    <row r="689" spans="2:2">
      <c r="B689" s="161"/>
    </row>
    <row r="690" spans="2:2">
      <c r="B690" s="161"/>
    </row>
    <row r="691" spans="2:2">
      <c r="B691" s="161"/>
    </row>
    <row r="692" spans="2:2">
      <c r="B692" s="161"/>
    </row>
    <row r="693" spans="2:2">
      <c r="B693" s="161"/>
    </row>
    <row r="694" spans="2:2">
      <c r="B694" s="161"/>
    </row>
    <row r="695" spans="2:2">
      <c r="B695" s="161"/>
    </row>
    <row r="696" spans="2:2">
      <c r="B696" s="161"/>
    </row>
    <row r="697" spans="2:2">
      <c r="B697" s="161"/>
    </row>
    <row r="698" spans="2:2">
      <c r="B698" s="161"/>
    </row>
    <row r="699" spans="2:2">
      <c r="B699" s="161"/>
    </row>
    <row r="700" spans="2:2">
      <c r="B700" s="161"/>
    </row>
    <row r="701" spans="2:2">
      <c r="B701" s="161"/>
    </row>
    <row r="702" spans="2:2">
      <c r="B702" s="161"/>
    </row>
    <row r="703" spans="2:2">
      <c r="B703" s="161"/>
    </row>
    <row r="704" spans="2:2">
      <c r="B704" s="161"/>
    </row>
    <row r="705" spans="2:2">
      <c r="B705" s="161"/>
    </row>
    <row r="706" spans="2:2">
      <c r="B706" s="161"/>
    </row>
    <row r="707" spans="2:2">
      <c r="B707" s="161"/>
    </row>
    <row r="708" spans="2:2">
      <c r="B708" s="161"/>
    </row>
    <row r="709" spans="2:2">
      <c r="B709" s="161"/>
    </row>
    <row r="710" spans="2:2">
      <c r="B710" s="161"/>
    </row>
    <row r="711" spans="2:2">
      <c r="B711" s="161"/>
    </row>
    <row r="712" spans="2:2">
      <c r="B712" s="161"/>
    </row>
    <row r="713" spans="2:2">
      <c r="B713" s="161"/>
    </row>
    <row r="714" spans="2:2">
      <c r="B714" s="161"/>
    </row>
    <row r="715" spans="2:2">
      <c r="B715" s="161"/>
    </row>
    <row r="716" spans="2:2">
      <c r="B716" s="161"/>
    </row>
    <row r="717" spans="2:2">
      <c r="B717" s="161"/>
    </row>
    <row r="718" spans="2:2">
      <c r="B718" s="161"/>
    </row>
    <row r="719" spans="2:2">
      <c r="B719" s="161"/>
    </row>
    <row r="720" spans="2:2">
      <c r="B720" s="161"/>
    </row>
    <row r="721" spans="2:2">
      <c r="B721" s="161"/>
    </row>
    <row r="722" spans="2:2">
      <c r="B722" s="161"/>
    </row>
    <row r="723" spans="2:2">
      <c r="B723" s="161"/>
    </row>
    <row r="724" spans="2:2">
      <c r="B724" s="161"/>
    </row>
    <row r="725" spans="2:2">
      <c r="B725" s="161"/>
    </row>
    <row r="726" spans="2:2">
      <c r="B726" s="161"/>
    </row>
    <row r="727" spans="2:2">
      <c r="B727" s="161"/>
    </row>
    <row r="728" spans="2:2">
      <c r="B728" s="161"/>
    </row>
    <row r="729" spans="2:2">
      <c r="B729" s="161"/>
    </row>
    <row r="730" spans="2:2">
      <c r="B730" s="161"/>
    </row>
    <row r="731" spans="2:2">
      <c r="B731" s="161"/>
    </row>
    <row r="732" spans="2:2">
      <c r="B732" s="161"/>
    </row>
    <row r="733" spans="2:2">
      <c r="B733" s="161"/>
    </row>
    <row r="734" spans="2:2">
      <c r="B734" s="161"/>
    </row>
    <row r="735" spans="2:2">
      <c r="B735" s="161"/>
    </row>
    <row r="736" spans="2:2">
      <c r="B736" s="161"/>
    </row>
    <row r="737" spans="2:2">
      <c r="B737" s="161"/>
    </row>
    <row r="738" spans="2:2">
      <c r="B738" s="161"/>
    </row>
    <row r="739" spans="2:2">
      <c r="B739" s="161"/>
    </row>
    <row r="740" spans="2:2">
      <c r="B740" s="161"/>
    </row>
    <row r="741" spans="2:2">
      <c r="B741" s="161"/>
    </row>
    <row r="742" spans="2:2">
      <c r="B742" s="161"/>
    </row>
    <row r="743" spans="2:2">
      <c r="B743" s="161"/>
    </row>
    <row r="744" spans="2:2">
      <c r="B744" s="161"/>
    </row>
    <row r="745" spans="2:2">
      <c r="B745" s="161"/>
    </row>
    <row r="746" spans="2:2">
      <c r="B746" s="161"/>
    </row>
    <row r="747" spans="2:2">
      <c r="B747" s="161"/>
    </row>
    <row r="748" spans="2:2">
      <c r="B748" s="161"/>
    </row>
    <row r="749" spans="2:2">
      <c r="B749" s="161"/>
    </row>
    <row r="750" spans="2:2">
      <c r="B750" s="161"/>
    </row>
    <row r="751" spans="2:2">
      <c r="B751" s="161"/>
    </row>
    <row r="752" spans="2:2">
      <c r="B752" s="161"/>
    </row>
    <row r="753" spans="2:2">
      <c r="B753" s="161"/>
    </row>
    <row r="754" spans="2:2">
      <c r="B754" s="161"/>
    </row>
    <row r="755" spans="2:2">
      <c r="B755" s="161"/>
    </row>
    <row r="756" spans="2:2">
      <c r="B756" s="161"/>
    </row>
    <row r="757" spans="2:2">
      <c r="B757" s="161"/>
    </row>
    <row r="758" spans="2:2">
      <c r="B758" s="161"/>
    </row>
    <row r="759" spans="2:2">
      <c r="B759" s="161"/>
    </row>
    <row r="760" spans="2:2">
      <c r="B760" s="161"/>
    </row>
    <row r="761" spans="2:2">
      <c r="B761" s="161"/>
    </row>
    <row r="762" spans="2:2">
      <c r="B762" s="161"/>
    </row>
    <row r="763" spans="2:2">
      <c r="B763" s="161"/>
    </row>
    <row r="764" spans="2:2">
      <c r="B764" s="161"/>
    </row>
    <row r="765" spans="2:2">
      <c r="B765" s="161"/>
    </row>
    <row r="766" spans="2:2">
      <c r="B766" s="161"/>
    </row>
    <row r="767" spans="2:2">
      <c r="B767" s="161"/>
    </row>
    <row r="768" spans="2:2">
      <c r="B768" s="161"/>
    </row>
    <row r="769" spans="2:2">
      <c r="B769" s="161"/>
    </row>
    <row r="770" spans="2:2">
      <c r="B770" s="161"/>
    </row>
    <row r="771" spans="2:2">
      <c r="B771" s="161"/>
    </row>
    <row r="772" spans="2:2">
      <c r="B772" s="161"/>
    </row>
    <row r="773" spans="2:2">
      <c r="B773" s="161"/>
    </row>
    <row r="774" spans="2:2">
      <c r="B774" s="161"/>
    </row>
    <row r="775" spans="2:2">
      <c r="B775" s="161"/>
    </row>
    <row r="776" spans="2:2">
      <c r="B776" s="161"/>
    </row>
    <row r="777" spans="2:2">
      <c r="B777" s="161"/>
    </row>
    <row r="778" spans="2:2">
      <c r="B778" s="161"/>
    </row>
    <row r="779" spans="2:2">
      <c r="B779" s="161"/>
    </row>
    <row r="780" spans="2:2">
      <c r="B780" s="161"/>
    </row>
    <row r="781" spans="2:2">
      <c r="B781" s="161"/>
    </row>
    <row r="782" spans="2:2">
      <c r="B782" s="161"/>
    </row>
    <row r="783" spans="2:2">
      <c r="B783" s="161"/>
    </row>
    <row r="784" spans="2:2">
      <c r="B784" s="161"/>
    </row>
    <row r="785" spans="2:2">
      <c r="B785" s="161"/>
    </row>
    <row r="786" spans="2:2">
      <c r="B786" s="161"/>
    </row>
    <row r="787" spans="2:2">
      <c r="B787" s="161"/>
    </row>
    <row r="788" spans="2:2">
      <c r="B788" s="161"/>
    </row>
    <row r="789" spans="2:2">
      <c r="B789" s="161"/>
    </row>
    <row r="790" spans="2:2">
      <c r="B790" s="161"/>
    </row>
    <row r="791" spans="2:2">
      <c r="B791" s="161"/>
    </row>
    <row r="792" spans="2:2">
      <c r="B792" s="161"/>
    </row>
    <row r="793" spans="2:2">
      <c r="B793" s="161"/>
    </row>
    <row r="794" spans="2:2">
      <c r="B794" s="161"/>
    </row>
    <row r="795" spans="2:2">
      <c r="B795" s="161"/>
    </row>
    <row r="796" spans="2:2">
      <c r="B796" s="161"/>
    </row>
    <row r="797" spans="2:2">
      <c r="B797" s="161"/>
    </row>
    <row r="798" spans="2:2">
      <c r="B798" s="161"/>
    </row>
    <row r="799" spans="2:2">
      <c r="B799" s="161"/>
    </row>
    <row r="800" spans="2:2">
      <c r="B800" s="161"/>
    </row>
    <row r="801" spans="2:2">
      <c r="B801" s="161"/>
    </row>
    <row r="802" spans="2:2">
      <c r="B802" s="161"/>
    </row>
    <row r="803" spans="2:2">
      <c r="B803" s="161"/>
    </row>
    <row r="804" spans="2:2">
      <c r="B804" s="161"/>
    </row>
    <row r="805" spans="2:2">
      <c r="B805" s="161"/>
    </row>
    <row r="806" spans="2:2">
      <c r="B806" s="161"/>
    </row>
    <row r="807" spans="2:2">
      <c r="B807" s="161"/>
    </row>
    <row r="808" spans="2:2">
      <c r="B808" s="161"/>
    </row>
    <row r="809" spans="2:2">
      <c r="B809" s="161"/>
    </row>
    <row r="810" spans="2:2">
      <c r="B810" s="161"/>
    </row>
    <row r="811" spans="2:2">
      <c r="B811" s="161"/>
    </row>
    <row r="812" spans="2:2">
      <c r="B812" s="161"/>
    </row>
    <row r="813" spans="2:2">
      <c r="B813" s="161"/>
    </row>
    <row r="814" spans="2:2">
      <c r="B814" s="161"/>
    </row>
    <row r="815" spans="2:2">
      <c r="B815" s="161"/>
    </row>
    <row r="816" spans="2:2">
      <c r="B816" s="161"/>
    </row>
    <row r="817" spans="2:2">
      <c r="B817" s="161"/>
    </row>
    <row r="818" spans="2:2">
      <c r="B818" s="161"/>
    </row>
    <row r="819" spans="2:2">
      <c r="B819" s="161"/>
    </row>
    <row r="820" spans="2:2">
      <c r="B820" s="161"/>
    </row>
    <row r="821" spans="2:2">
      <c r="B821" s="161"/>
    </row>
    <row r="822" spans="2:2">
      <c r="B822" s="161"/>
    </row>
    <row r="823" spans="2:2">
      <c r="B823" s="161"/>
    </row>
    <row r="824" spans="2:2">
      <c r="B824" s="161"/>
    </row>
    <row r="825" spans="2:2">
      <c r="B825" s="161"/>
    </row>
    <row r="826" spans="2:2">
      <c r="B826" s="161"/>
    </row>
    <row r="827" spans="2:2">
      <c r="B827" s="161"/>
    </row>
    <row r="828" spans="2:2">
      <c r="B828" s="161"/>
    </row>
    <row r="829" spans="2:2">
      <c r="B829" s="161"/>
    </row>
    <row r="830" spans="2:2">
      <c r="B830" s="161"/>
    </row>
    <row r="831" spans="2:2">
      <c r="B831" s="161"/>
    </row>
    <row r="832" spans="2:2">
      <c r="B832" s="161"/>
    </row>
    <row r="833" spans="2:2">
      <c r="B833" s="161"/>
    </row>
    <row r="834" spans="2:2">
      <c r="B834" s="161"/>
    </row>
    <row r="835" spans="2:2">
      <c r="B835" s="161"/>
    </row>
    <row r="836" spans="2:2">
      <c r="B836" s="161"/>
    </row>
    <row r="837" spans="2:2">
      <c r="B837" s="161"/>
    </row>
    <row r="838" spans="2:2">
      <c r="B838" s="161"/>
    </row>
    <row r="839" spans="2:2">
      <c r="B839" s="161"/>
    </row>
    <row r="840" spans="2:2">
      <c r="B840" s="161"/>
    </row>
    <row r="841" spans="2:2">
      <c r="B841" s="161"/>
    </row>
    <row r="842" spans="2:2">
      <c r="B842" s="161"/>
    </row>
    <row r="843" spans="2:2">
      <c r="B843" s="161"/>
    </row>
    <row r="844" spans="2:2">
      <c r="B844" s="161"/>
    </row>
    <row r="845" spans="2:2">
      <c r="B845" s="161"/>
    </row>
    <row r="846" spans="2:2">
      <c r="B846" s="161"/>
    </row>
    <row r="847" spans="2:2">
      <c r="B847" s="161"/>
    </row>
    <row r="848" spans="2:2">
      <c r="B848" s="161"/>
    </row>
    <row r="849" spans="2:2">
      <c r="B849" s="161"/>
    </row>
    <row r="850" spans="2:2">
      <c r="B850" s="161"/>
    </row>
    <row r="851" spans="2:2">
      <c r="B851" s="161"/>
    </row>
    <row r="852" spans="2:2">
      <c r="B852" s="161"/>
    </row>
    <row r="853" spans="2:2">
      <c r="B853" s="161"/>
    </row>
    <row r="854" spans="2:2">
      <c r="B854" s="161"/>
    </row>
    <row r="855" spans="2:2">
      <c r="B855" s="161"/>
    </row>
    <row r="856" spans="2:2">
      <c r="B856" s="161"/>
    </row>
    <row r="857" spans="2:2">
      <c r="B857" s="161"/>
    </row>
    <row r="858" spans="2:2">
      <c r="B858" s="161"/>
    </row>
    <row r="859" spans="2:2">
      <c r="B859" s="161"/>
    </row>
    <row r="860" spans="2:2">
      <c r="B860" s="161"/>
    </row>
    <row r="861" spans="2:2">
      <c r="B861" s="161"/>
    </row>
    <row r="862" spans="2:2">
      <c r="B862" s="161"/>
    </row>
    <row r="863" spans="2:2">
      <c r="B863" s="161"/>
    </row>
    <row r="864" spans="2:2">
      <c r="B864" s="161"/>
    </row>
    <row r="865" spans="2:2">
      <c r="B865" s="161"/>
    </row>
    <row r="866" spans="2:2">
      <c r="B866" s="161"/>
    </row>
    <row r="867" spans="2:2">
      <c r="B867" s="161"/>
    </row>
    <row r="868" spans="2:2">
      <c r="B868" s="161"/>
    </row>
    <row r="869" spans="2:2">
      <c r="B869" s="161"/>
    </row>
    <row r="870" spans="2:2">
      <c r="B870" s="161"/>
    </row>
    <row r="871" spans="2:2">
      <c r="B871" s="161"/>
    </row>
    <row r="872" spans="2:2">
      <c r="B872" s="161"/>
    </row>
    <row r="873" spans="2:2">
      <c r="B873" s="161"/>
    </row>
    <row r="874" spans="2:2">
      <c r="B874" s="161"/>
    </row>
    <row r="875" spans="2:2">
      <c r="B875" s="161"/>
    </row>
    <row r="876" spans="2:2">
      <c r="B876" s="161"/>
    </row>
    <row r="877" spans="2:2">
      <c r="B877" s="161"/>
    </row>
    <row r="878" spans="2:2">
      <c r="B878" s="161"/>
    </row>
    <row r="879" spans="2:2">
      <c r="B879" s="161"/>
    </row>
    <row r="880" spans="2:2">
      <c r="B880" s="161"/>
    </row>
    <row r="881" spans="2:2">
      <c r="B881" s="161"/>
    </row>
    <row r="882" spans="2:2">
      <c r="B882" s="161"/>
    </row>
    <row r="883" spans="2:2">
      <c r="B883" s="161"/>
    </row>
    <row r="884" spans="2:2">
      <c r="B884" s="161"/>
    </row>
    <row r="885" spans="2:2">
      <c r="B885" s="161"/>
    </row>
    <row r="886" spans="2:2">
      <c r="B886" s="161"/>
    </row>
    <row r="887" spans="2:2">
      <c r="B887" s="161"/>
    </row>
    <row r="888" spans="2:2">
      <c r="B888" s="161"/>
    </row>
    <row r="889" spans="2:2">
      <c r="B889" s="161"/>
    </row>
    <row r="890" spans="2:2">
      <c r="B890" s="161"/>
    </row>
    <row r="891" spans="2:2">
      <c r="B891" s="161"/>
    </row>
    <row r="892" spans="2:2">
      <c r="B892" s="161"/>
    </row>
    <row r="893" spans="2:2">
      <c r="B893" s="161"/>
    </row>
    <row r="894" spans="2:2">
      <c r="B894" s="161"/>
    </row>
    <row r="895" spans="2:2">
      <c r="B895" s="161"/>
    </row>
    <row r="896" spans="2:2">
      <c r="B896" s="161"/>
    </row>
    <row r="897" spans="2:2">
      <c r="B897" s="161"/>
    </row>
    <row r="898" spans="2:2">
      <c r="B898" s="161"/>
    </row>
    <row r="899" spans="2:2">
      <c r="B899" s="161"/>
    </row>
    <row r="900" spans="2:2">
      <c r="B900" s="161"/>
    </row>
    <row r="901" spans="2:2">
      <c r="B901" s="161"/>
    </row>
    <row r="902" spans="2:2">
      <c r="B902" s="161"/>
    </row>
    <row r="903" spans="2:2">
      <c r="B903" s="161"/>
    </row>
    <row r="904" spans="2:2">
      <c r="B904" s="161"/>
    </row>
    <row r="905" spans="2:2">
      <c r="B905" s="161"/>
    </row>
    <row r="906" spans="2:2">
      <c r="B906" s="161"/>
    </row>
    <row r="907" spans="2:2">
      <c r="B907" s="161"/>
    </row>
    <row r="908" spans="2:2">
      <c r="B908" s="161"/>
    </row>
    <row r="909" spans="2:2">
      <c r="B909" s="161"/>
    </row>
    <row r="910" spans="2:2">
      <c r="B910" s="161"/>
    </row>
    <row r="911" spans="2:2">
      <c r="B911" s="161"/>
    </row>
    <row r="912" spans="2:2">
      <c r="B912" s="161"/>
    </row>
    <row r="913" spans="2:2">
      <c r="B913" s="161"/>
    </row>
    <row r="914" spans="2:2">
      <c r="B914" s="161"/>
    </row>
    <row r="915" spans="2:2">
      <c r="B915" s="161"/>
    </row>
    <row r="916" spans="2:2">
      <c r="B916" s="161"/>
    </row>
    <row r="917" spans="2:2">
      <c r="B917" s="161"/>
    </row>
    <row r="918" spans="2:2">
      <c r="B918" s="161"/>
    </row>
    <row r="919" spans="2:2">
      <c r="B919" s="161"/>
    </row>
    <row r="920" spans="2:2">
      <c r="B920" s="161"/>
    </row>
    <row r="921" spans="2:2">
      <c r="B921" s="161"/>
    </row>
    <row r="922" spans="2:2">
      <c r="B922" s="161"/>
    </row>
    <row r="923" spans="2:2">
      <c r="B923" s="161"/>
    </row>
    <row r="924" spans="2:2">
      <c r="B924" s="161"/>
    </row>
    <row r="925" spans="2:2">
      <c r="B925" s="161"/>
    </row>
    <row r="926" spans="2:2">
      <c r="B926" s="161"/>
    </row>
    <row r="927" spans="2:2">
      <c r="B927" s="161"/>
    </row>
    <row r="928" spans="2:2">
      <c r="B928" s="161"/>
    </row>
    <row r="929" spans="2:2">
      <c r="B929" s="161"/>
    </row>
    <row r="930" spans="2:2">
      <c r="B930" s="161"/>
    </row>
    <row r="931" spans="2:2">
      <c r="B931" s="161"/>
    </row>
    <row r="932" spans="2:2">
      <c r="B932" s="161"/>
    </row>
    <row r="933" spans="2:2">
      <c r="B933" s="161"/>
    </row>
    <row r="934" spans="2:2">
      <c r="B934" s="161"/>
    </row>
    <row r="935" spans="2:2">
      <c r="B935" s="161"/>
    </row>
    <row r="936" spans="2:2">
      <c r="B936" s="161"/>
    </row>
    <row r="937" spans="2:2">
      <c r="B937" s="161"/>
    </row>
    <row r="938" spans="2:2">
      <c r="B938" s="161"/>
    </row>
    <row r="939" spans="2:2">
      <c r="B939" s="161"/>
    </row>
    <row r="940" spans="2:2">
      <c r="B940" s="161"/>
    </row>
    <row r="941" spans="2:2">
      <c r="B941" s="161"/>
    </row>
    <row r="942" spans="2:2">
      <c r="B942" s="161"/>
    </row>
    <row r="943" spans="2:2">
      <c r="B943" s="161"/>
    </row>
    <row r="944" spans="2:2">
      <c r="B944" s="161"/>
    </row>
    <row r="945" spans="2:2">
      <c r="B945" s="161"/>
    </row>
    <row r="946" spans="2:2">
      <c r="B946" s="161"/>
    </row>
    <row r="947" spans="2:2">
      <c r="B947" s="161"/>
    </row>
    <row r="948" spans="2:2">
      <c r="B948" s="161"/>
    </row>
    <row r="949" spans="2:2">
      <c r="B949" s="161"/>
    </row>
    <row r="950" spans="2:2">
      <c r="B950" s="161"/>
    </row>
    <row r="951" spans="2:2">
      <c r="B951" s="161"/>
    </row>
    <row r="952" spans="2:2">
      <c r="B952" s="161"/>
    </row>
    <row r="953" spans="2:2">
      <c r="B953" s="161"/>
    </row>
    <row r="954" spans="2:2">
      <c r="B954" s="161"/>
    </row>
    <row r="955" spans="2:2">
      <c r="B955" s="161"/>
    </row>
    <row r="956" spans="2:2">
      <c r="B956" s="161"/>
    </row>
    <row r="957" spans="2:2">
      <c r="B957" s="161"/>
    </row>
    <row r="958" spans="2:2">
      <c r="B958" s="161"/>
    </row>
    <row r="959" spans="2:2">
      <c r="B959" s="161"/>
    </row>
    <row r="960" spans="2:2">
      <c r="B960" s="161"/>
    </row>
    <row r="961" spans="2:2">
      <c r="B961" s="161"/>
    </row>
    <row r="962" spans="2:2">
      <c r="B962" s="161"/>
    </row>
    <row r="963" spans="2:2">
      <c r="B963" s="161"/>
    </row>
    <row r="964" spans="2:2">
      <c r="B964" s="161"/>
    </row>
    <row r="965" spans="2:2">
      <c r="B965" s="161"/>
    </row>
    <row r="966" spans="2:2">
      <c r="B966" s="161"/>
    </row>
    <row r="967" spans="2:2">
      <c r="B967" s="161"/>
    </row>
    <row r="968" spans="2:2">
      <c r="B968" s="161"/>
    </row>
    <row r="969" spans="2:2">
      <c r="B969" s="161"/>
    </row>
    <row r="970" spans="2:2">
      <c r="B970" s="161"/>
    </row>
    <row r="971" spans="2:2">
      <c r="B971" s="161"/>
    </row>
    <row r="972" spans="2:2">
      <c r="B972" s="161"/>
    </row>
    <row r="973" spans="2:2">
      <c r="B973" s="161"/>
    </row>
    <row r="974" spans="2:2">
      <c r="B974" s="161"/>
    </row>
    <row r="975" spans="2:2">
      <c r="B975" s="161"/>
    </row>
    <row r="976" spans="2:2">
      <c r="B976" s="161"/>
    </row>
    <row r="977" spans="2:2">
      <c r="B977" s="161"/>
    </row>
    <row r="978" spans="2:2">
      <c r="B978" s="161"/>
    </row>
    <row r="979" spans="2:2">
      <c r="B979" s="161"/>
    </row>
    <row r="980" spans="2:2">
      <c r="B980" s="161"/>
    </row>
    <row r="981" spans="2:2">
      <c r="B981" s="161"/>
    </row>
    <row r="982" spans="2:2">
      <c r="B982" s="161"/>
    </row>
    <row r="983" spans="2:2">
      <c r="B983" s="161"/>
    </row>
    <row r="984" spans="2:2">
      <c r="B984" s="161"/>
    </row>
    <row r="985" spans="2:2">
      <c r="B985" s="161"/>
    </row>
    <row r="986" spans="2:2">
      <c r="B986" s="161"/>
    </row>
    <row r="987" spans="2:2">
      <c r="B987" s="161"/>
    </row>
    <row r="988" spans="2:2">
      <c r="B988" s="161"/>
    </row>
    <row r="989" spans="2:2">
      <c r="B989" s="161"/>
    </row>
    <row r="990" spans="2:2">
      <c r="B990" s="161"/>
    </row>
    <row r="991" spans="2:2">
      <c r="B991" s="161"/>
    </row>
    <row r="992" spans="2:2">
      <c r="B992" s="161"/>
    </row>
    <row r="993" spans="2:2">
      <c r="B993" s="161"/>
    </row>
    <row r="994" spans="2:2">
      <c r="B994" s="161"/>
    </row>
    <row r="995" spans="2:2">
      <c r="B995" s="161"/>
    </row>
    <row r="996" spans="2:2">
      <c r="B996" s="161"/>
    </row>
    <row r="997" spans="2:2">
      <c r="B997" s="161"/>
    </row>
    <row r="998" spans="2:2">
      <c r="B998" s="161"/>
    </row>
    <row r="999" spans="2:2">
      <c r="B999" s="161"/>
    </row>
    <row r="1000" spans="2:2">
      <c r="B1000" s="161"/>
    </row>
    <row r="1001" spans="2:2">
      <c r="B1001" s="161"/>
    </row>
    <row r="1002" spans="2:2">
      <c r="B1002" s="161"/>
    </row>
    <row r="1003" spans="2:2">
      <c r="B1003" s="161"/>
    </row>
    <row r="1004" spans="2:2">
      <c r="B1004" s="161"/>
    </row>
    <row r="1005" spans="2:2">
      <c r="B1005" s="161"/>
    </row>
    <row r="1006" spans="2:2">
      <c r="B1006" s="161"/>
    </row>
    <row r="1007" spans="2:2">
      <c r="B1007" s="161"/>
    </row>
    <row r="1008" spans="2:2">
      <c r="B1008" s="161"/>
    </row>
    <row r="1009" spans="2:2">
      <c r="B1009" s="161"/>
    </row>
    <row r="1010" spans="2:2">
      <c r="B1010" s="161"/>
    </row>
    <row r="1011" spans="2:2">
      <c r="B1011" s="161"/>
    </row>
    <row r="1012" spans="2:2">
      <c r="B1012" s="161"/>
    </row>
    <row r="1013" spans="2:2">
      <c r="B1013" s="161"/>
    </row>
    <row r="1014" spans="2:2">
      <c r="B1014" s="161"/>
    </row>
    <row r="1015" spans="2:2">
      <c r="B1015" s="161"/>
    </row>
    <row r="1016" spans="2:2">
      <c r="B1016" s="161"/>
    </row>
    <row r="1017" spans="2:2">
      <c r="B1017" s="161"/>
    </row>
    <row r="1018" spans="2:2">
      <c r="B1018" s="161"/>
    </row>
    <row r="1019" spans="2:2">
      <c r="B1019" s="161"/>
    </row>
    <row r="1020" spans="2:2">
      <c r="B1020" s="161"/>
    </row>
    <row r="1021" spans="2:2">
      <c r="B1021" s="161"/>
    </row>
    <row r="1022" spans="2:2">
      <c r="B1022" s="161"/>
    </row>
    <row r="1023" spans="2:2">
      <c r="B1023" s="161"/>
    </row>
    <row r="1024" spans="2:2">
      <c r="B1024" s="161"/>
    </row>
    <row r="1025" spans="2:2">
      <c r="B1025" s="161"/>
    </row>
    <row r="1026" spans="2:2">
      <c r="B1026" s="161"/>
    </row>
    <row r="1027" spans="2:2">
      <c r="B1027" s="161"/>
    </row>
    <row r="1028" spans="2:2">
      <c r="B1028" s="161"/>
    </row>
    <row r="1029" spans="2:2">
      <c r="B1029" s="161"/>
    </row>
    <row r="1030" spans="2:2">
      <c r="B1030" s="161"/>
    </row>
    <row r="1031" spans="2:2">
      <c r="B1031" s="161"/>
    </row>
    <row r="1032" spans="2:2">
      <c r="B1032" s="161"/>
    </row>
    <row r="1033" spans="2:2">
      <c r="B1033" s="161"/>
    </row>
    <row r="1034" spans="2:2">
      <c r="B1034" s="161"/>
    </row>
    <row r="1035" spans="2:2">
      <c r="B1035" s="161"/>
    </row>
    <row r="1036" spans="2:2">
      <c r="B1036" s="161"/>
    </row>
    <row r="1037" spans="2:2">
      <c r="B1037" s="161"/>
    </row>
    <row r="1038" spans="2:2">
      <c r="B1038" s="161"/>
    </row>
    <row r="1039" spans="2:2">
      <c r="B1039" s="161"/>
    </row>
    <row r="1040" spans="2:2">
      <c r="B1040" s="161"/>
    </row>
    <row r="1041" spans="2:2">
      <c r="B1041" s="161"/>
    </row>
    <row r="1042" spans="2:2">
      <c r="B1042" s="161"/>
    </row>
    <row r="1043" spans="2:2">
      <c r="B1043" s="161"/>
    </row>
    <row r="1044" spans="2:2">
      <c r="B1044" s="161"/>
    </row>
    <row r="1045" spans="2:2">
      <c r="B1045" s="161"/>
    </row>
    <row r="1046" spans="2:2">
      <c r="B1046" s="161"/>
    </row>
    <row r="1047" spans="2:2">
      <c r="B1047" s="161"/>
    </row>
    <row r="1048" spans="2:2">
      <c r="B1048" s="161"/>
    </row>
    <row r="1049" spans="2:2">
      <c r="B1049" s="161"/>
    </row>
    <row r="1050" spans="2:2">
      <c r="B1050" s="161"/>
    </row>
    <row r="1051" spans="2:2">
      <c r="B1051" s="161"/>
    </row>
    <row r="1052" spans="2:2">
      <c r="B1052" s="161"/>
    </row>
    <row r="1053" spans="2:2">
      <c r="B1053" s="161"/>
    </row>
    <row r="1054" spans="2:2">
      <c r="B1054" s="161"/>
    </row>
    <row r="1055" spans="2:2">
      <c r="B1055" s="161"/>
    </row>
    <row r="1056" spans="2:2">
      <c r="B1056" s="161"/>
    </row>
    <row r="1057" spans="2:2">
      <c r="B1057" s="161"/>
    </row>
    <row r="1058" spans="2:2">
      <c r="B1058" s="161"/>
    </row>
    <row r="1059" spans="2:2">
      <c r="B1059" s="161"/>
    </row>
    <row r="1060" spans="2:2">
      <c r="B1060" s="161"/>
    </row>
    <row r="1061" spans="2:2">
      <c r="B1061" s="161"/>
    </row>
    <row r="1062" spans="2:2">
      <c r="B1062" s="161"/>
    </row>
    <row r="1063" spans="2:2">
      <c r="B1063" s="161"/>
    </row>
    <row r="1064" spans="2:2">
      <c r="B1064" s="161"/>
    </row>
    <row r="1065" spans="2:2">
      <c r="B1065" s="161"/>
    </row>
    <row r="1066" spans="2:2">
      <c r="B1066" s="161"/>
    </row>
    <row r="1067" spans="2:2">
      <c r="B1067" s="161"/>
    </row>
    <row r="1068" spans="2:2">
      <c r="B1068" s="161"/>
    </row>
    <row r="1069" spans="2:2">
      <c r="B1069" s="161"/>
    </row>
    <row r="1070" spans="2:2">
      <c r="B1070" s="161"/>
    </row>
    <row r="1071" spans="2:2">
      <c r="B1071" s="161"/>
    </row>
    <row r="1072" spans="2:2">
      <c r="B1072" s="161"/>
    </row>
    <row r="1073" spans="2:2">
      <c r="B1073" s="161"/>
    </row>
    <row r="1074" spans="2:2">
      <c r="B1074" s="161"/>
    </row>
    <row r="1075" spans="2:2">
      <c r="B1075" s="161"/>
    </row>
    <row r="1076" spans="2:2">
      <c r="B1076" s="161"/>
    </row>
    <row r="1077" spans="2:2">
      <c r="B1077" s="161"/>
    </row>
    <row r="1078" spans="2:2">
      <c r="B1078" s="161"/>
    </row>
    <row r="1079" spans="2:2">
      <c r="B1079" s="161"/>
    </row>
    <row r="1080" spans="2:2">
      <c r="B1080" s="161"/>
    </row>
    <row r="1081" spans="2:2">
      <c r="B1081" s="161"/>
    </row>
    <row r="1082" spans="2:2">
      <c r="B1082" s="161"/>
    </row>
    <row r="1083" spans="2:2">
      <c r="B1083" s="161"/>
    </row>
    <row r="1084" spans="2:2">
      <c r="B1084" s="161"/>
    </row>
    <row r="1085" spans="2:2">
      <c r="B1085" s="161"/>
    </row>
    <row r="1086" spans="2:2">
      <c r="B1086" s="161"/>
    </row>
    <row r="1087" spans="2:2">
      <c r="B1087" s="161"/>
    </row>
    <row r="1088" spans="2:2">
      <c r="B1088" s="161"/>
    </row>
    <row r="1089" spans="2:2">
      <c r="B1089" s="161"/>
    </row>
    <row r="1090" spans="2:2">
      <c r="B1090" s="161"/>
    </row>
    <row r="1091" spans="2:2">
      <c r="B1091" s="161"/>
    </row>
    <row r="1092" spans="2:2">
      <c r="B1092" s="161"/>
    </row>
    <row r="1093" spans="2:2">
      <c r="B1093" s="161"/>
    </row>
    <row r="1094" spans="2:2">
      <c r="B1094" s="161"/>
    </row>
    <row r="1095" spans="2:2">
      <c r="B1095" s="161"/>
    </row>
    <row r="1096" spans="2:2">
      <c r="B1096" s="161"/>
    </row>
    <row r="1097" spans="2:2">
      <c r="B1097" s="161"/>
    </row>
    <row r="1098" spans="2:2">
      <c r="B1098" s="161"/>
    </row>
    <row r="1099" spans="2:2">
      <c r="B1099" s="161"/>
    </row>
    <row r="1100" spans="2:2">
      <c r="B1100" s="161"/>
    </row>
    <row r="1101" spans="2:2">
      <c r="B1101" s="161"/>
    </row>
    <row r="1102" spans="2:2">
      <c r="B1102" s="161"/>
    </row>
    <row r="1103" spans="2:2">
      <c r="B1103" s="161"/>
    </row>
    <row r="1104" spans="2:2">
      <c r="B1104" s="161"/>
    </row>
    <row r="1105" spans="2:2">
      <c r="B1105" s="161"/>
    </row>
    <row r="1106" spans="2:2">
      <c r="B1106" s="161"/>
    </row>
    <row r="1107" spans="2:2">
      <c r="B1107" s="161"/>
    </row>
    <row r="1108" spans="2:2">
      <c r="B1108" s="161"/>
    </row>
    <row r="1109" spans="2:2">
      <c r="B1109" s="161"/>
    </row>
    <row r="1110" spans="2:2">
      <c r="B1110" s="161"/>
    </row>
    <row r="1111" spans="2:2">
      <c r="B1111" s="161"/>
    </row>
    <row r="1112" spans="2:2">
      <c r="B1112" s="161"/>
    </row>
    <row r="1113" spans="2:2">
      <c r="B1113" s="161"/>
    </row>
    <row r="1114" spans="2:2">
      <c r="B1114" s="161"/>
    </row>
    <row r="1115" spans="2:2">
      <c r="B1115" s="161"/>
    </row>
    <row r="1116" spans="2:2">
      <c r="B1116" s="161"/>
    </row>
    <row r="1117" spans="2:2">
      <c r="B1117" s="161"/>
    </row>
    <row r="1118" spans="2:2">
      <c r="B1118" s="161"/>
    </row>
    <row r="1119" spans="2:2">
      <c r="B1119" s="161"/>
    </row>
    <row r="1120" spans="2:2">
      <c r="B1120" s="161"/>
    </row>
    <row r="1121" spans="2:2">
      <c r="B1121" s="161"/>
    </row>
    <row r="1122" spans="2:2">
      <c r="B1122" s="161"/>
    </row>
    <row r="1123" spans="2:2">
      <c r="B1123" s="161"/>
    </row>
    <row r="1124" spans="2:2">
      <c r="B1124" s="161"/>
    </row>
    <row r="1125" spans="2:2">
      <c r="B1125" s="161"/>
    </row>
    <row r="1126" spans="2:2">
      <c r="B1126" s="161"/>
    </row>
    <row r="1127" spans="2:2">
      <c r="B1127" s="161"/>
    </row>
    <row r="1128" spans="2:2">
      <c r="B1128" s="161"/>
    </row>
    <row r="1129" spans="2:2">
      <c r="B1129" s="161"/>
    </row>
    <row r="1130" spans="2:2">
      <c r="B1130" s="161"/>
    </row>
    <row r="1131" spans="2:2">
      <c r="B1131" s="161"/>
    </row>
    <row r="1132" spans="2:2">
      <c r="B1132" s="161"/>
    </row>
    <row r="1133" spans="2:2">
      <c r="B1133" s="161"/>
    </row>
    <row r="1134" spans="2:2">
      <c r="B1134" s="161"/>
    </row>
    <row r="1135" spans="2:2">
      <c r="B1135" s="161"/>
    </row>
    <row r="1136" spans="2:2">
      <c r="B1136" s="161"/>
    </row>
    <row r="1137" spans="2:2">
      <c r="B1137" s="161"/>
    </row>
    <row r="1138" spans="2:2">
      <c r="B1138" s="161"/>
    </row>
    <row r="1139" spans="2:2">
      <c r="B1139" s="161"/>
    </row>
    <row r="1140" spans="2:2">
      <c r="B1140" s="161"/>
    </row>
    <row r="1141" spans="2:2">
      <c r="B1141" s="161"/>
    </row>
    <row r="1142" spans="2:2">
      <c r="B1142" s="161"/>
    </row>
    <row r="1143" spans="2:2">
      <c r="B1143" s="161"/>
    </row>
    <row r="1144" spans="2:2">
      <c r="B1144" s="161"/>
    </row>
    <row r="1145" spans="2:2">
      <c r="B1145" s="161"/>
    </row>
    <row r="1146" spans="2:2">
      <c r="B1146" s="161"/>
    </row>
    <row r="1147" spans="2:2">
      <c r="B1147" s="161"/>
    </row>
    <row r="1148" spans="2:2">
      <c r="B1148" s="161"/>
    </row>
    <row r="1149" spans="2:2">
      <c r="B1149" s="161"/>
    </row>
    <row r="1150" spans="2:2">
      <c r="B1150" s="161"/>
    </row>
    <row r="1151" spans="2:2">
      <c r="B1151" s="161"/>
    </row>
    <row r="1152" spans="2:2">
      <c r="B1152" s="161"/>
    </row>
    <row r="1153" spans="2:2">
      <c r="B1153" s="161"/>
    </row>
    <row r="1154" spans="2:2">
      <c r="B1154" s="161"/>
    </row>
    <row r="1155" spans="2:2">
      <c r="B1155" s="161"/>
    </row>
    <row r="1156" spans="2:2">
      <c r="B1156" s="161"/>
    </row>
    <row r="1157" spans="2:2">
      <c r="B1157" s="161"/>
    </row>
    <row r="1158" spans="2:2">
      <c r="B1158" s="161"/>
    </row>
    <row r="1159" spans="2:2">
      <c r="B1159" s="161"/>
    </row>
    <row r="1160" spans="2:2">
      <c r="B1160" s="161"/>
    </row>
    <row r="1161" spans="2:2">
      <c r="B1161" s="161"/>
    </row>
    <row r="1162" spans="2:2">
      <c r="B1162" s="161"/>
    </row>
    <row r="1163" spans="2:2">
      <c r="B1163" s="161"/>
    </row>
    <row r="1164" spans="2:2">
      <c r="B1164" s="161"/>
    </row>
    <row r="1165" spans="2:2">
      <c r="B1165" s="161"/>
    </row>
    <row r="1166" spans="2:2">
      <c r="B1166" s="161"/>
    </row>
    <row r="1167" spans="2:2">
      <c r="B1167" s="161"/>
    </row>
    <row r="1168" spans="2:2">
      <c r="B1168" s="161"/>
    </row>
    <row r="1169" spans="2:2">
      <c r="B1169" s="161"/>
    </row>
    <row r="1170" spans="2:2">
      <c r="B1170" s="161"/>
    </row>
    <row r="1171" spans="2:2">
      <c r="B1171" s="161"/>
    </row>
    <row r="1172" spans="2:2">
      <c r="B1172" s="161"/>
    </row>
    <row r="1173" spans="2:2">
      <c r="B1173" s="161"/>
    </row>
    <row r="1174" spans="2:2">
      <c r="B1174" s="161"/>
    </row>
    <row r="1175" spans="2:2">
      <c r="B1175" s="161"/>
    </row>
    <row r="1176" spans="2:2">
      <c r="B1176" s="161"/>
    </row>
    <row r="1177" spans="2:2">
      <c r="B1177" s="161"/>
    </row>
    <row r="1178" spans="2:2">
      <c r="B1178" s="161"/>
    </row>
    <row r="1179" spans="2:2">
      <c r="B1179" s="161"/>
    </row>
    <row r="1180" spans="2:2">
      <c r="B1180" s="161"/>
    </row>
    <row r="1181" spans="2:2">
      <c r="B1181" s="161"/>
    </row>
    <row r="1182" spans="2:2">
      <c r="B1182" s="161"/>
    </row>
    <row r="1183" spans="2:2">
      <c r="B1183" s="161"/>
    </row>
    <row r="1184" spans="2:2">
      <c r="B1184" s="161"/>
    </row>
    <row r="1185" spans="2:2">
      <c r="B1185" s="161"/>
    </row>
    <row r="1186" spans="2:2">
      <c r="B1186" s="161"/>
    </row>
    <row r="1187" spans="2:2">
      <c r="B1187" s="161"/>
    </row>
    <row r="1188" spans="2:2">
      <c r="B1188" s="161"/>
    </row>
    <row r="1189" spans="2:2">
      <c r="B1189" s="161"/>
    </row>
    <row r="1190" spans="2:2">
      <c r="B1190" s="161"/>
    </row>
    <row r="1191" spans="2:2">
      <c r="B1191" s="161"/>
    </row>
    <row r="1192" spans="2:2">
      <c r="B1192" s="161"/>
    </row>
    <row r="1193" spans="2:2">
      <c r="B1193" s="161"/>
    </row>
    <row r="1194" spans="2:2">
      <c r="B1194" s="161"/>
    </row>
    <row r="1195" spans="2:2">
      <c r="B1195" s="161"/>
    </row>
    <row r="1196" spans="2:2">
      <c r="B1196" s="161"/>
    </row>
    <row r="1197" spans="2:2">
      <c r="B1197" s="161"/>
    </row>
    <row r="1198" spans="2:2">
      <c r="B1198" s="161"/>
    </row>
    <row r="1199" spans="2:2">
      <c r="B1199" s="161"/>
    </row>
    <row r="1200" spans="2:2">
      <c r="B1200" s="161"/>
    </row>
    <row r="1201" spans="2:2">
      <c r="B1201" s="161"/>
    </row>
    <row r="1202" spans="2:2">
      <c r="B1202" s="161"/>
    </row>
    <row r="1203" spans="2:2">
      <c r="B1203" s="161"/>
    </row>
    <row r="1204" spans="2:2">
      <c r="B1204" s="161"/>
    </row>
    <row r="1205" spans="2:2">
      <c r="B1205" s="161"/>
    </row>
    <row r="1206" spans="2:2">
      <c r="B1206" s="161"/>
    </row>
    <row r="1207" spans="2:2">
      <c r="B1207" s="161"/>
    </row>
    <row r="1208" spans="2:2">
      <c r="B1208" s="161"/>
    </row>
    <row r="1209" spans="2:2">
      <c r="B1209" s="161"/>
    </row>
    <row r="1210" spans="2:2">
      <c r="B1210" s="161"/>
    </row>
    <row r="1211" spans="2:2">
      <c r="B1211" s="161"/>
    </row>
    <row r="1212" spans="2:2">
      <c r="B1212" s="161"/>
    </row>
    <row r="1213" spans="2:2">
      <c r="B1213" s="161"/>
    </row>
    <row r="1214" spans="2:2">
      <c r="B1214" s="161"/>
    </row>
    <row r="1215" spans="2:2">
      <c r="B1215" s="161"/>
    </row>
    <row r="1216" spans="2:2">
      <c r="B1216" s="161"/>
    </row>
    <row r="1217" spans="2:2">
      <c r="B1217" s="161"/>
    </row>
    <row r="1218" spans="2:2">
      <c r="B1218" s="161"/>
    </row>
    <row r="1219" spans="2:2">
      <c r="B1219" s="161"/>
    </row>
    <row r="1220" spans="2:2">
      <c r="B1220" s="161"/>
    </row>
    <row r="1221" spans="2:2">
      <c r="B1221" s="161"/>
    </row>
    <row r="1222" spans="2:2">
      <c r="B1222" s="161"/>
    </row>
    <row r="1223" spans="2:2">
      <c r="B1223" s="161"/>
    </row>
    <row r="1224" spans="2:2">
      <c r="B1224" s="161"/>
    </row>
    <row r="1225" spans="2:2">
      <c r="B1225" s="161"/>
    </row>
    <row r="1226" spans="2:2">
      <c r="B1226" s="161"/>
    </row>
    <row r="1227" spans="2:2">
      <c r="B1227" s="161"/>
    </row>
    <row r="1228" spans="2:2">
      <c r="B1228" s="161"/>
    </row>
    <row r="1229" spans="2:2">
      <c r="B1229" s="161"/>
    </row>
    <row r="1230" spans="2:2">
      <c r="B1230" s="161"/>
    </row>
    <row r="1231" spans="2:2">
      <c r="B1231" s="161"/>
    </row>
    <row r="1232" spans="2:2">
      <c r="B1232" s="161"/>
    </row>
    <row r="1233" spans="2:2">
      <c r="B1233" s="161"/>
    </row>
    <row r="1234" spans="2:2">
      <c r="B1234" s="161"/>
    </row>
    <row r="1235" spans="2:2">
      <c r="B1235" s="161"/>
    </row>
    <row r="1236" spans="2:2">
      <c r="B1236" s="161"/>
    </row>
    <row r="1237" spans="2:2">
      <c r="B1237" s="161"/>
    </row>
    <row r="1238" spans="2:2">
      <c r="B1238" s="161"/>
    </row>
    <row r="1239" spans="2:2">
      <c r="B1239" s="161"/>
    </row>
    <row r="1240" spans="2:2">
      <c r="B1240" s="161"/>
    </row>
    <row r="1241" spans="2:2">
      <c r="B1241" s="161"/>
    </row>
    <row r="1242" spans="2:2">
      <c r="B1242" s="161"/>
    </row>
    <row r="1243" spans="2:2">
      <c r="B1243" s="161"/>
    </row>
    <row r="1244" spans="2:2">
      <c r="B1244" s="161"/>
    </row>
    <row r="1245" spans="2:2">
      <c r="B1245" s="161"/>
    </row>
    <row r="1246" spans="2:2">
      <c r="B1246" s="161"/>
    </row>
    <row r="1247" spans="2:2">
      <c r="B1247" s="161"/>
    </row>
    <row r="1248" spans="2:2">
      <c r="B1248" s="161"/>
    </row>
    <row r="1249" spans="2:2">
      <c r="B1249" s="161"/>
    </row>
    <row r="1250" spans="2:2">
      <c r="B1250" s="161"/>
    </row>
    <row r="1251" spans="2:2">
      <c r="B1251" s="161"/>
    </row>
    <row r="1252" spans="2:2">
      <c r="B1252" s="161"/>
    </row>
    <row r="1253" spans="2:2">
      <c r="B1253" s="161"/>
    </row>
    <row r="1254" spans="2:2">
      <c r="B1254" s="161"/>
    </row>
    <row r="1255" spans="2:2">
      <c r="B1255" s="161"/>
    </row>
    <row r="1256" spans="2:2">
      <c r="B1256" s="161"/>
    </row>
    <row r="1257" spans="2:2">
      <c r="B1257" s="161"/>
    </row>
    <row r="1258" spans="2:2">
      <c r="B1258" s="161"/>
    </row>
    <row r="1259" spans="2:2">
      <c r="B1259" s="161"/>
    </row>
    <row r="1260" spans="2:2">
      <c r="B1260" s="161"/>
    </row>
    <row r="1261" spans="2:2">
      <c r="B1261" s="161"/>
    </row>
    <row r="1262" spans="2:2">
      <c r="B1262" s="161"/>
    </row>
    <row r="1263" spans="2:2">
      <c r="B1263" s="161"/>
    </row>
    <row r="1264" spans="2:2">
      <c r="B1264" s="161"/>
    </row>
    <row r="1265" spans="2:2">
      <c r="B1265" s="161"/>
    </row>
    <row r="1266" spans="2:2">
      <c r="B1266" s="161"/>
    </row>
    <row r="1267" spans="2:2">
      <c r="B1267" s="161"/>
    </row>
    <row r="1268" spans="2:2">
      <c r="B1268" s="161"/>
    </row>
    <row r="1269" spans="2:2">
      <c r="B1269" s="161"/>
    </row>
    <row r="1270" spans="2:2">
      <c r="B1270" s="161"/>
    </row>
    <row r="1271" spans="2:2">
      <c r="B1271" s="161"/>
    </row>
    <row r="1272" spans="2:2">
      <c r="B1272" s="161"/>
    </row>
    <row r="1273" spans="2:2">
      <c r="B1273" s="161"/>
    </row>
    <row r="1274" spans="2:2">
      <c r="B1274" s="161"/>
    </row>
    <row r="1275" spans="2:2">
      <c r="B1275" s="161"/>
    </row>
    <row r="1276" spans="2:2">
      <c r="B1276" s="161"/>
    </row>
    <row r="1277" spans="2:2">
      <c r="B1277" s="161"/>
    </row>
    <row r="1278" spans="2:2">
      <c r="B1278" s="161"/>
    </row>
    <row r="1279" spans="2:2">
      <c r="B1279" s="161"/>
    </row>
    <row r="1280" spans="2:2">
      <c r="B1280" s="161"/>
    </row>
    <row r="1281" spans="2:2">
      <c r="B1281" s="161"/>
    </row>
    <row r="1282" spans="2:2">
      <c r="B1282" s="161"/>
    </row>
    <row r="1283" spans="2:2">
      <c r="B1283" s="161"/>
    </row>
    <row r="1284" spans="2:2">
      <c r="B1284" s="161"/>
    </row>
    <row r="1285" spans="2:2">
      <c r="B1285" s="161"/>
    </row>
    <row r="1286" spans="2:2">
      <c r="B1286" s="161"/>
    </row>
    <row r="1287" spans="2:2">
      <c r="B1287" s="161"/>
    </row>
    <row r="1288" spans="2:2">
      <c r="B1288" s="161"/>
    </row>
    <row r="1289" spans="2:2">
      <c r="B1289" s="161"/>
    </row>
    <row r="1290" spans="2:2">
      <c r="B1290" s="161"/>
    </row>
    <row r="1291" spans="2:2">
      <c r="B1291" s="161"/>
    </row>
    <row r="1292" spans="2:2">
      <c r="B1292" s="161"/>
    </row>
    <row r="1293" spans="2:2">
      <c r="B1293" s="161"/>
    </row>
    <row r="1294" spans="2:2">
      <c r="B1294" s="161"/>
    </row>
    <row r="1295" spans="2:2">
      <c r="B1295" s="161"/>
    </row>
    <row r="1296" spans="2:2">
      <c r="B1296" s="161"/>
    </row>
    <row r="1297" spans="2:2">
      <c r="B1297" s="161"/>
    </row>
    <row r="1298" spans="2:2">
      <c r="B1298" s="161"/>
    </row>
    <row r="1299" spans="2:2">
      <c r="B1299" s="161"/>
    </row>
    <row r="1300" spans="2:2">
      <c r="B1300" s="161"/>
    </row>
    <row r="1301" spans="2:2">
      <c r="B1301" s="161"/>
    </row>
    <row r="1302" spans="2:2">
      <c r="B1302" s="161"/>
    </row>
    <row r="1303" spans="2:2">
      <c r="B1303" s="161"/>
    </row>
    <row r="1304" spans="2:2">
      <c r="B1304" s="161"/>
    </row>
    <row r="1305" spans="2:2">
      <c r="B1305" s="161"/>
    </row>
    <row r="1306" spans="2:2">
      <c r="B1306" s="161"/>
    </row>
    <row r="1307" spans="2:2">
      <c r="B1307" s="161"/>
    </row>
    <row r="1308" spans="2:2">
      <c r="B1308" s="161"/>
    </row>
    <row r="1309" spans="2:2">
      <c r="B1309" s="161"/>
    </row>
    <row r="1310" spans="2:2">
      <c r="B1310" s="161"/>
    </row>
    <row r="1311" spans="2:2">
      <c r="B1311" s="161"/>
    </row>
    <row r="1312" spans="2:2">
      <c r="B1312" s="161"/>
    </row>
    <row r="1313" spans="2:2">
      <c r="B1313" s="161"/>
    </row>
    <row r="1314" spans="2:2">
      <c r="B1314" s="161"/>
    </row>
    <row r="1315" spans="2:2">
      <c r="B1315" s="161"/>
    </row>
    <row r="1316" spans="2:2">
      <c r="B1316" s="161"/>
    </row>
    <row r="1317" spans="2:2">
      <c r="B1317" s="161"/>
    </row>
    <row r="1318" spans="2:2">
      <c r="B1318" s="161"/>
    </row>
    <row r="1319" spans="2:2">
      <c r="B1319" s="161"/>
    </row>
    <row r="1320" spans="2:2">
      <c r="B1320" s="161"/>
    </row>
    <row r="1321" spans="2:2">
      <c r="B1321" s="161"/>
    </row>
    <row r="1322" spans="2:2">
      <c r="B1322" s="161"/>
    </row>
    <row r="1323" spans="2:2">
      <c r="B1323" s="161"/>
    </row>
    <row r="1324" spans="2:2">
      <c r="B1324" s="161"/>
    </row>
    <row r="1325" spans="2:2">
      <c r="B1325" s="161"/>
    </row>
    <row r="1326" spans="2:2">
      <c r="B1326" s="161"/>
    </row>
    <row r="1327" spans="2:2">
      <c r="B1327" s="161"/>
    </row>
    <row r="1328" spans="2:2">
      <c r="B1328" s="161"/>
    </row>
    <row r="1329" spans="2:2">
      <c r="B1329" s="161"/>
    </row>
    <row r="1330" spans="2:2">
      <c r="B1330" s="161"/>
    </row>
    <row r="1331" spans="2:2">
      <c r="B1331" s="161"/>
    </row>
    <row r="1332" spans="2:2">
      <c r="B1332" s="161"/>
    </row>
    <row r="1333" spans="2:2">
      <c r="B1333" s="161"/>
    </row>
    <row r="1334" spans="2:2">
      <c r="B1334" s="161"/>
    </row>
    <row r="1335" spans="2:2">
      <c r="B1335" s="161"/>
    </row>
    <row r="1336" spans="2:2">
      <c r="B1336" s="161"/>
    </row>
    <row r="1337" spans="2:2">
      <c r="B1337" s="161"/>
    </row>
    <row r="1338" spans="2:2">
      <c r="B1338" s="161"/>
    </row>
    <row r="1339" spans="2:2">
      <c r="B1339" s="161"/>
    </row>
    <row r="1340" spans="2:2">
      <c r="B1340" s="161"/>
    </row>
    <row r="1341" spans="2:2">
      <c r="B1341" s="161"/>
    </row>
    <row r="1342" spans="2:2">
      <c r="B1342" s="161"/>
    </row>
    <row r="1343" spans="2:2">
      <c r="B1343" s="161"/>
    </row>
    <row r="1344" spans="2:2">
      <c r="B1344" s="161"/>
    </row>
    <row r="1345" spans="2:2">
      <c r="B1345" s="161"/>
    </row>
    <row r="1346" spans="2:2">
      <c r="B1346" s="161"/>
    </row>
    <row r="1347" spans="2:2">
      <c r="B1347" s="161"/>
    </row>
    <row r="1348" spans="2:2">
      <c r="B1348" s="161"/>
    </row>
    <row r="1349" spans="2:2">
      <c r="B1349" s="161"/>
    </row>
    <row r="1350" spans="2:2">
      <c r="B1350" s="161"/>
    </row>
    <row r="1351" spans="2:2">
      <c r="B1351" s="161"/>
    </row>
    <row r="1352" spans="2:2">
      <c r="B1352" s="161"/>
    </row>
    <row r="1353" spans="2:2">
      <c r="B1353" s="161"/>
    </row>
    <row r="1354" spans="2:2">
      <c r="B1354" s="161"/>
    </row>
    <row r="1355" spans="2:2">
      <c r="B1355" s="161"/>
    </row>
    <row r="1356" spans="2:2">
      <c r="B1356" s="161"/>
    </row>
    <row r="1357" spans="2:2">
      <c r="B1357" s="161"/>
    </row>
    <row r="1358" spans="2:2">
      <c r="B1358" s="161"/>
    </row>
    <row r="1359" spans="2:2">
      <c r="B1359" s="161"/>
    </row>
    <row r="1360" spans="2:2">
      <c r="B1360" s="161"/>
    </row>
    <row r="1361" spans="2:2">
      <c r="B1361" s="161"/>
    </row>
    <row r="1362" spans="2:2">
      <c r="B1362" s="161"/>
    </row>
    <row r="1363" spans="2:2">
      <c r="B1363" s="161"/>
    </row>
    <row r="1364" spans="2:2">
      <c r="B1364" s="161"/>
    </row>
    <row r="1365" spans="2:2">
      <c r="B1365" s="161"/>
    </row>
    <row r="1366" spans="2:2">
      <c r="B1366" s="161"/>
    </row>
    <row r="1367" spans="2:2">
      <c r="B1367" s="161"/>
    </row>
    <row r="1368" spans="2:2">
      <c r="B1368" s="161"/>
    </row>
    <row r="1369" spans="2:2">
      <c r="B1369" s="161"/>
    </row>
    <row r="1370" spans="2:2">
      <c r="B1370" s="161"/>
    </row>
    <row r="1371" spans="2:2">
      <c r="B1371" s="161"/>
    </row>
    <row r="1372" spans="2:2">
      <c r="B1372" s="161"/>
    </row>
    <row r="1373" spans="2:2">
      <c r="B1373" s="161"/>
    </row>
    <row r="1374" spans="2:2">
      <c r="B1374" s="161"/>
    </row>
    <row r="1375" spans="2:2">
      <c r="B1375" s="161"/>
    </row>
    <row r="1376" spans="2:2">
      <c r="B1376" s="161"/>
    </row>
    <row r="1377" spans="2:2">
      <c r="B1377" s="161"/>
    </row>
    <row r="1378" spans="2:2">
      <c r="B1378" s="161"/>
    </row>
    <row r="1379" spans="2:2">
      <c r="B1379" s="161"/>
    </row>
    <row r="1380" spans="2:2">
      <c r="B1380" s="161"/>
    </row>
    <row r="1381" spans="2:2">
      <c r="B1381" s="161"/>
    </row>
    <row r="1382" spans="2:2">
      <c r="B1382" s="161"/>
    </row>
    <row r="1383" spans="2:2">
      <c r="B1383" s="161"/>
    </row>
    <row r="1384" spans="2:2">
      <c r="B1384" s="161"/>
    </row>
    <row r="1385" spans="2:2">
      <c r="B1385" s="161"/>
    </row>
    <row r="1386" spans="2:2">
      <c r="B1386" s="161"/>
    </row>
    <row r="1387" spans="2:2">
      <c r="B1387" s="161"/>
    </row>
    <row r="1388" spans="2:2">
      <c r="B1388" s="161"/>
    </row>
    <row r="1389" spans="2:2">
      <c r="B1389" s="161"/>
    </row>
    <row r="1390" spans="2:2">
      <c r="B1390" s="161"/>
    </row>
    <row r="1391" spans="2:2">
      <c r="B1391" s="161"/>
    </row>
    <row r="1392" spans="2:2">
      <c r="B1392" s="161"/>
    </row>
    <row r="1393" spans="2:2">
      <c r="B1393" s="161"/>
    </row>
    <row r="1394" spans="2:2">
      <c r="B1394" s="161"/>
    </row>
    <row r="1395" spans="2:2">
      <c r="B1395" s="161"/>
    </row>
    <row r="1396" spans="2:2">
      <c r="B1396" s="161"/>
    </row>
    <row r="1397" spans="2:2">
      <c r="B1397" s="161"/>
    </row>
    <row r="1398" spans="2:2">
      <c r="B1398" s="161"/>
    </row>
    <row r="1399" spans="2:2">
      <c r="B1399" s="161"/>
    </row>
    <row r="1400" spans="2:2">
      <c r="B1400" s="161"/>
    </row>
    <row r="1401" spans="2:2">
      <c r="B1401" s="161"/>
    </row>
    <row r="1402" spans="2:2">
      <c r="B1402" s="161"/>
    </row>
    <row r="1403" spans="2:2">
      <c r="B1403" s="161"/>
    </row>
    <row r="1404" spans="2:2">
      <c r="B1404" s="161"/>
    </row>
    <row r="1405" spans="2:2">
      <c r="B1405" s="161"/>
    </row>
    <row r="1406" spans="2:2">
      <c r="B1406" s="161"/>
    </row>
    <row r="1407" spans="2:2">
      <c r="B1407" s="161"/>
    </row>
    <row r="1408" spans="2:2">
      <c r="B1408" s="161"/>
    </row>
    <row r="1409" spans="2:2">
      <c r="B1409" s="161"/>
    </row>
    <row r="1410" spans="2:2">
      <c r="B1410" s="161"/>
    </row>
    <row r="1411" spans="2:2">
      <c r="B1411" s="161"/>
    </row>
    <row r="1412" spans="2:2">
      <c r="B1412" s="161"/>
    </row>
    <row r="1413" spans="2:2">
      <c r="B1413" s="161"/>
    </row>
    <row r="1414" spans="2:2">
      <c r="B1414" s="161"/>
    </row>
    <row r="1415" spans="2:2">
      <c r="B1415" s="161"/>
    </row>
    <row r="1416" spans="2:2">
      <c r="B1416" s="161"/>
    </row>
    <row r="1417" spans="2:2">
      <c r="B1417" s="161"/>
    </row>
    <row r="1418" spans="2:2">
      <c r="B1418" s="161"/>
    </row>
    <row r="1419" spans="2:2">
      <c r="B1419" s="161"/>
    </row>
    <row r="1420" spans="2:2">
      <c r="B1420" s="161"/>
    </row>
    <row r="1421" spans="2:2">
      <c r="B1421" s="161"/>
    </row>
    <row r="1422" spans="2:2">
      <c r="B1422" s="161"/>
    </row>
    <row r="1423" spans="2:2">
      <c r="B1423" s="161"/>
    </row>
    <row r="1424" spans="2:2">
      <c r="B1424" s="161"/>
    </row>
    <row r="1425" spans="2:2">
      <c r="B1425" s="161"/>
    </row>
    <row r="1426" spans="2:2">
      <c r="B1426" s="161"/>
    </row>
    <row r="1427" spans="2:2">
      <c r="B1427" s="161"/>
    </row>
    <row r="1428" spans="2:2">
      <c r="B1428" s="161"/>
    </row>
    <row r="1429" spans="2:2">
      <c r="B1429" s="161"/>
    </row>
    <row r="1430" spans="2:2">
      <c r="B1430" s="161"/>
    </row>
    <row r="1431" spans="2:2">
      <c r="B1431" s="161"/>
    </row>
    <row r="1432" spans="2:2">
      <c r="B1432" s="161"/>
    </row>
    <row r="1433" spans="2:2">
      <c r="B1433" s="161"/>
    </row>
    <row r="1434" spans="2:2">
      <c r="B1434" s="161"/>
    </row>
    <row r="1435" spans="2:2">
      <c r="B1435" s="161"/>
    </row>
    <row r="1436" spans="2:2">
      <c r="B1436" s="161"/>
    </row>
    <row r="1437" spans="2:2">
      <c r="B1437" s="161"/>
    </row>
    <row r="1438" spans="2:2">
      <c r="B1438" s="161"/>
    </row>
    <row r="1439" spans="2:2">
      <c r="B1439" s="161"/>
    </row>
    <row r="1440" spans="2:2">
      <c r="B1440" s="161"/>
    </row>
    <row r="1441" spans="2:2">
      <c r="B1441" s="161"/>
    </row>
    <row r="1442" spans="2:2">
      <c r="B1442" s="161"/>
    </row>
    <row r="1443" spans="2:2">
      <c r="B1443" s="161"/>
    </row>
    <row r="1444" spans="2:2">
      <c r="B1444" s="161"/>
    </row>
    <row r="1445" spans="2:2">
      <c r="B1445" s="161"/>
    </row>
    <row r="1446" spans="2:2">
      <c r="B1446" s="161"/>
    </row>
    <row r="1447" spans="2:2">
      <c r="B1447" s="161"/>
    </row>
    <row r="1448" spans="2:2">
      <c r="B1448" s="161"/>
    </row>
    <row r="1449" spans="2:2">
      <c r="B1449" s="161"/>
    </row>
    <row r="1450" spans="2:2">
      <c r="B1450" s="161"/>
    </row>
    <row r="1451" spans="2:2">
      <c r="B1451" s="161"/>
    </row>
    <row r="1452" spans="2:2">
      <c r="B1452" s="161"/>
    </row>
    <row r="1453" spans="2:2">
      <c r="B1453" s="161"/>
    </row>
    <row r="1454" spans="2:2">
      <c r="B1454" s="161"/>
    </row>
    <row r="1455" spans="2:2">
      <c r="B1455" s="161"/>
    </row>
    <row r="1456" spans="2:2">
      <c r="B1456" s="161"/>
    </row>
    <row r="1457" spans="2:2">
      <c r="B1457" s="161"/>
    </row>
    <row r="1458" spans="2:2">
      <c r="B1458" s="161"/>
    </row>
    <row r="1459" spans="2:2">
      <c r="B1459" s="161"/>
    </row>
    <row r="1460" spans="2:2">
      <c r="B1460" s="161"/>
    </row>
    <row r="1461" spans="2:2">
      <c r="B1461" s="161"/>
    </row>
    <row r="1462" spans="2:2">
      <c r="B1462" s="161"/>
    </row>
    <row r="1463" spans="2:2">
      <c r="B1463" s="161"/>
    </row>
    <row r="1464" spans="2:2">
      <c r="B1464" s="161"/>
    </row>
    <row r="1465" spans="2:2">
      <c r="B1465" s="161"/>
    </row>
    <row r="1466" spans="2:2">
      <c r="B1466" s="161"/>
    </row>
    <row r="1467" spans="2:2">
      <c r="B1467" s="161"/>
    </row>
    <row r="1468" spans="2:2">
      <c r="B1468" s="161"/>
    </row>
    <row r="1469" spans="2:2">
      <c r="B1469" s="161"/>
    </row>
    <row r="1470" spans="2:2">
      <c r="B1470" s="161"/>
    </row>
    <row r="1471" spans="2:2">
      <c r="B1471" s="161"/>
    </row>
    <row r="1472" spans="2:2">
      <c r="B1472" s="161"/>
    </row>
    <row r="1473" spans="2:2">
      <c r="B1473" s="161"/>
    </row>
    <row r="1474" spans="2:2">
      <c r="B1474" s="161"/>
    </row>
    <row r="1475" spans="2:2">
      <c r="B1475" s="161"/>
    </row>
    <row r="1476" spans="2:2">
      <c r="B1476" s="161"/>
    </row>
    <row r="1477" spans="2:2">
      <c r="B1477" s="161"/>
    </row>
    <row r="1478" spans="2:2">
      <c r="B1478" s="161"/>
    </row>
    <row r="1479" spans="2:2">
      <c r="B1479" s="161"/>
    </row>
    <row r="1480" spans="2:2">
      <c r="B1480" s="161"/>
    </row>
    <row r="1481" spans="2:2">
      <c r="B1481" s="161"/>
    </row>
    <row r="1482" spans="2:2">
      <c r="B1482" s="161"/>
    </row>
    <row r="1483" spans="2:2">
      <c r="B1483" s="161"/>
    </row>
    <row r="1484" spans="2:2">
      <c r="B1484" s="161"/>
    </row>
    <row r="1485" spans="2:2">
      <c r="B1485" s="161"/>
    </row>
    <row r="1486" spans="2:2">
      <c r="B1486" s="161"/>
    </row>
    <row r="1487" spans="2:2">
      <c r="B1487" s="161"/>
    </row>
    <row r="1488" spans="2:2">
      <c r="B1488" s="161"/>
    </row>
    <row r="1489" spans="2:2">
      <c r="B1489" s="161"/>
    </row>
    <row r="1490" spans="2:2">
      <c r="B1490" s="161"/>
    </row>
    <row r="1491" spans="2:2">
      <c r="B1491" s="161"/>
    </row>
    <row r="1492" spans="2:2">
      <c r="B1492" s="161"/>
    </row>
    <row r="1493" spans="2:2">
      <c r="B1493" s="161"/>
    </row>
    <row r="1494" spans="2:2">
      <c r="B1494" s="161"/>
    </row>
    <row r="1495" spans="2:2">
      <c r="B1495" s="161"/>
    </row>
    <row r="1496" spans="2:2">
      <c r="B1496" s="161"/>
    </row>
    <row r="1497" spans="2:2">
      <c r="B1497" s="161"/>
    </row>
    <row r="1498" spans="2:2">
      <c r="B1498" s="161"/>
    </row>
    <row r="1499" spans="2:2">
      <c r="B1499" s="161"/>
    </row>
    <row r="1500" spans="2:2">
      <c r="B1500" s="161"/>
    </row>
    <row r="1501" spans="2:2">
      <c r="B1501" s="161"/>
    </row>
    <row r="1502" spans="2:2">
      <c r="B1502" s="161"/>
    </row>
    <row r="1503" spans="2:2">
      <c r="B1503" s="161"/>
    </row>
    <row r="1504" spans="2:2">
      <c r="B1504" s="161"/>
    </row>
    <row r="1505" spans="2:2">
      <c r="B1505" s="161"/>
    </row>
    <row r="1506" spans="2:2">
      <c r="B1506" s="161"/>
    </row>
    <row r="1507" spans="2:2">
      <c r="B1507" s="161"/>
    </row>
    <row r="1508" spans="2:2">
      <c r="B1508" s="161"/>
    </row>
    <row r="1509" spans="2:2">
      <c r="B1509" s="161"/>
    </row>
    <row r="1510" spans="2:2">
      <c r="B1510" s="161"/>
    </row>
    <row r="1511" spans="2:2">
      <c r="B1511" s="161"/>
    </row>
    <row r="1512" spans="2:2">
      <c r="B1512" s="161"/>
    </row>
    <row r="1513" spans="2:2">
      <c r="B1513" s="161"/>
    </row>
    <row r="1514" spans="2:2">
      <c r="B1514" s="161"/>
    </row>
    <row r="1515" spans="2:2">
      <c r="B1515" s="161"/>
    </row>
    <row r="1516" spans="2:2">
      <c r="B1516" s="161"/>
    </row>
    <row r="1517" spans="2:2">
      <c r="B1517" s="161"/>
    </row>
    <row r="1518" spans="2:2">
      <c r="B1518" s="161"/>
    </row>
    <row r="1519" spans="2:2">
      <c r="B1519" s="161"/>
    </row>
    <row r="1520" spans="2:2">
      <c r="B1520" s="161"/>
    </row>
    <row r="1521" spans="2:2">
      <c r="B1521" s="161"/>
    </row>
    <row r="1522" spans="2:2">
      <c r="B1522" s="161"/>
    </row>
    <row r="1523" spans="2:2">
      <c r="B1523" s="161"/>
    </row>
    <row r="1524" spans="2:2">
      <c r="B1524" s="161"/>
    </row>
    <row r="1525" spans="2:2">
      <c r="B1525" s="161"/>
    </row>
    <row r="1526" spans="2:2">
      <c r="B1526" s="161"/>
    </row>
    <row r="1527" spans="2:2">
      <c r="B1527" s="161"/>
    </row>
    <row r="1528" spans="2:2">
      <c r="B1528" s="161"/>
    </row>
    <row r="1529" spans="2:2">
      <c r="B1529" s="161"/>
    </row>
    <row r="1530" spans="2:2">
      <c r="B1530" s="161"/>
    </row>
    <row r="1531" spans="2:2">
      <c r="B1531" s="161"/>
    </row>
    <row r="1532" spans="2:2">
      <c r="B1532" s="161"/>
    </row>
    <row r="1533" spans="2:2">
      <c r="B1533" s="161"/>
    </row>
    <row r="1534" spans="2:2">
      <c r="B1534" s="161"/>
    </row>
    <row r="1535" spans="2:2">
      <c r="B1535" s="161"/>
    </row>
    <row r="1536" spans="2:2">
      <c r="B1536" s="161"/>
    </row>
    <row r="1537" spans="2:2">
      <c r="B1537" s="161"/>
    </row>
    <row r="1538" spans="2:2">
      <c r="B1538" s="161"/>
    </row>
    <row r="1539" spans="2:2">
      <c r="B1539" s="161"/>
    </row>
    <row r="1540" spans="2:2">
      <c r="B1540" s="161"/>
    </row>
    <row r="1541" spans="2:2">
      <c r="B1541" s="161"/>
    </row>
    <row r="1542" spans="2:2">
      <c r="B1542" s="161"/>
    </row>
    <row r="1543" spans="2:2">
      <c r="B1543" s="161"/>
    </row>
    <row r="1544" spans="2:2">
      <c r="B1544" s="161"/>
    </row>
    <row r="1545" spans="2:2">
      <c r="B1545" s="161"/>
    </row>
    <row r="1546" spans="2:2">
      <c r="B1546" s="161"/>
    </row>
    <row r="1547" spans="2:2">
      <c r="B1547" s="161"/>
    </row>
    <row r="1548" spans="2:2">
      <c r="B1548" s="161"/>
    </row>
    <row r="1549" spans="2:2">
      <c r="B1549" s="161"/>
    </row>
    <row r="1550" spans="2:2">
      <c r="B1550" s="161"/>
    </row>
    <row r="1551" spans="2:2">
      <c r="B1551" s="161"/>
    </row>
    <row r="1552" spans="2:2">
      <c r="B1552" s="161"/>
    </row>
    <row r="1553" spans="2:2">
      <c r="B1553" s="161"/>
    </row>
    <row r="1554" spans="2:2">
      <c r="B1554" s="161"/>
    </row>
    <row r="1555" spans="2:2">
      <c r="B1555" s="161"/>
    </row>
    <row r="1556" spans="2:2">
      <c r="B1556" s="161"/>
    </row>
    <row r="1557" spans="2:2">
      <c r="B1557" s="161"/>
    </row>
    <row r="1558" spans="2:2">
      <c r="B1558" s="161"/>
    </row>
    <row r="1559" spans="2:2">
      <c r="B1559" s="161"/>
    </row>
    <row r="1560" spans="2:2">
      <c r="B1560" s="161"/>
    </row>
    <row r="1561" spans="2:2">
      <c r="B1561" s="161"/>
    </row>
    <row r="1562" spans="2:2">
      <c r="B1562" s="161"/>
    </row>
    <row r="1563" spans="2:2">
      <c r="B1563" s="161"/>
    </row>
    <row r="1564" spans="2:2">
      <c r="B1564" s="161"/>
    </row>
    <row r="1565" spans="2:2">
      <c r="B1565" s="161"/>
    </row>
    <row r="1566" spans="2:2">
      <c r="B1566" s="161"/>
    </row>
    <row r="1567" spans="2:2">
      <c r="B1567" s="161"/>
    </row>
    <row r="1568" spans="2:2">
      <c r="B1568" s="161"/>
    </row>
    <row r="1569" spans="2:2">
      <c r="B1569" s="161"/>
    </row>
    <row r="1570" spans="2:2">
      <c r="B1570" s="161"/>
    </row>
    <row r="1571" spans="2:2">
      <c r="B1571" s="161"/>
    </row>
    <row r="1572" spans="2:2">
      <c r="B1572" s="161"/>
    </row>
    <row r="1573" spans="2:2">
      <c r="B1573" s="161"/>
    </row>
    <row r="1574" spans="2:2">
      <c r="B1574" s="161"/>
    </row>
    <row r="1575" spans="2:2">
      <c r="B1575" s="161"/>
    </row>
    <row r="1576" spans="2:2">
      <c r="B1576" s="161"/>
    </row>
    <row r="1577" spans="2:2">
      <c r="B1577" s="161"/>
    </row>
    <row r="1578" spans="2:2">
      <c r="B1578" s="161"/>
    </row>
    <row r="1579" spans="2:2">
      <c r="B1579" s="161"/>
    </row>
    <row r="1580" spans="2:2">
      <c r="B1580" s="161"/>
    </row>
    <row r="1581" spans="2:2">
      <c r="B1581" s="161"/>
    </row>
    <row r="1582" spans="2:2">
      <c r="B1582" s="161"/>
    </row>
    <row r="1583" spans="2:2">
      <c r="B1583" s="161"/>
    </row>
    <row r="1584" spans="2:2">
      <c r="B1584" s="161"/>
    </row>
    <row r="1585" spans="2:2">
      <c r="B1585" s="161"/>
    </row>
    <row r="1586" spans="2:2">
      <c r="B1586" s="161"/>
    </row>
    <row r="1587" spans="2:2">
      <c r="B1587" s="161"/>
    </row>
    <row r="1588" spans="2:2">
      <c r="B1588" s="161"/>
    </row>
    <row r="1589" spans="2:2">
      <c r="B1589" s="161"/>
    </row>
    <row r="1590" spans="2:2">
      <c r="B1590" s="161"/>
    </row>
    <row r="1591" spans="2:2">
      <c r="B1591" s="161"/>
    </row>
    <row r="1592" spans="2:2">
      <c r="B1592" s="161"/>
    </row>
    <row r="1593" spans="2:2">
      <c r="B1593" s="161"/>
    </row>
    <row r="1594" spans="2:2">
      <c r="B1594" s="161"/>
    </row>
    <row r="1595" spans="2:2">
      <c r="B1595" s="161"/>
    </row>
    <row r="1596" spans="2:2">
      <c r="B1596" s="161"/>
    </row>
    <row r="1597" spans="2:2">
      <c r="B1597" s="161"/>
    </row>
    <row r="1598" spans="2:2">
      <c r="B1598" s="161"/>
    </row>
    <row r="1599" spans="2:2">
      <c r="B1599" s="161"/>
    </row>
    <row r="1600" spans="2:2">
      <c r="B1600" s="161"/>
    </row>
    <row r="1601" spans="2:2">
      <c r="B1601" s="161"/>
    </row>
    <row r="1602" spans="2:2">
      <c r="B1602" s="161"/>
    </row>
    <row r="1603" spans="2:2">
      <c r="B1603" s="161"/>
    </row>
    <row r="1604" spans="2:2">
      <c r="B1604" s="161"/>
    </row>
    <row r="1605" spans="2:2">
      <c r="B1605" s="161"/>
    </row>
    <row r="1606" spans="2:2">
      <c r="B1606" s="161"/>
    </row>
    <row r="1607" spans="2:2">
      <c r="B1607" s="161"/>
    </row>
    <row r="1608" spans="2:2">
      <c r="B1608" s="161"/>
    </row>
    <row r="1609" spans="2:2">
      <c r="B1609" s="161"/>
    </row>
    <row r="1610" spans="2:2">
      <c r="B1610" s="161"/>
    </row>
    <row r="1611" spans="2:2">
      <c r="B1611" s="161"/>
    </row>
    <row r="1612" spans="2:2">
      <c r="B1612" s="161"/>
    </row>
    <row r="1613" spans="2:2">
      <c r="B1613" s="161"/>
    </row>
    <row r="1614" spans="2:2">
      <c r="B1614" s="161"/>
    </row>
    <row r="1615" spans="2:2">
      <c r="B1615" s="161"/>
    </row>
    <row r="1616" spans="2:2">
      <c r="B1616" s="161"/>
    </row>
    <row r="1617" spans="2:2">
      <c r="B1617" s="161"/>
    </row>
    <row r="1618" spans="2:2">
      <c r="B1618" s="161"/>
    </row>
    <row r="1619" spans="2:2">
      <c r="B1619" s="161"/>
    </row>
    <row r="1620" spans="2:2">
      <c r="B1620" s="161"/>
    </row>
    <row r="1621" spans="2:2">
      <c r="B1621" s="161"/>
    </row>
    <row r="1622" spans="2:2">
      <c r="B1622" s="161"/>
    </row>
    <row r="1623" spans="2:2">
      <c r="B1623" s="161"/>
    </row>
    <row r="1624" spans="2:2">
      <c r="B1624" s="161"/>
    </row>
    <row r="1625" spans="2:2">
      <c r="B1625" s="161"/>
    </row>
    <row r="1626" spans="2:2">
      <c r="B1626" s="161"/>
    </row>
    <row r="1627" spans="2:2">
      <c r="B1627" s="161"/>
    </row>
    <row r="1628" spans="2:2">
      <c r="B1628" s="161"/>
    </row>
    <row r="1629" spans="2:2">
      <c r="B1629" s="161"/>
    </row>
    <row r="1630" spans="2:2">
      <c r="B1630" s="161"/>
    </row>
    <row r="1631" spans="2:2">
      <c r="B1631" s="161"/>
    </row>
    <row r="1632" spans="2:2">
      <c r="B1632" s="161"/>
    </row>
    <row r="1633" spans="2:2">
      <c r="B1633" s="161"/>
    </row>
    <row r="1634" spans="2:2">
      <c r="B1634" s="161"/>
    </row>
    <row r="1635" spans="2:2">
      <c r="B1635" s="161"/>
    </row>
    <row r="1636" spans="2:2">
      <c r="B1636" s="161"/>
    </row>
    <row r="1637" spans="2:2">
      <c r="B1637" s="161"/>
    </row>
    <row r="1638" spans="2:2">
      <c r="B1638" s="161"/>
    </row>
    <row r="1639" spans="2:2">
      <c r="B1639" s="161"/>
    </row>
    <row r="1640" spans="2:2">
      <c r="B1640" s="161"/>
    </row>
    <row r="1641" spans="2:2">
      <c r="B1641" s="161"/>
    </row>
    <row r="1642" spans="2:2">
      <c r="B1642" s="161"/>
    </row>
    <row r="1643" spans="2:2">
      <c r="B1643" s="161"/>
    </row>
    <row r="1644" spans="2:2">
      <c r="B1644" s="161"/>
    </row>
    <row r="1645" spans="2:2">
      <c r="B1645" s="161"/>
    </row>
    <row r="1646" spans="2:2">
      <c r="B1646" s="161"/>
    </row>
    <row r="1647" spans="2:2">
      <c r="B1647" s="161"/>
    </row>
    <row r="1648" spans="2:2">
      <c r="B1648" s="161"/>
    </row>
    <row r="1649" spans="2:2">
      <c r="B1649" s="161"/>
    </row>
    <row r="1650" spans="2:2">
      <c r="B1650" s="161"/>
    </row>
    <row r="1651" spans="2:2">
      <c r="B1651" s="161"/>
    </row>
    <row r="1652" spans="2:2">
      <c r="B1652" s="161"/>
    </row>
    <row r="1653" spans="2:2">
      <c r="B1653" s="161"/>
    </row>
    <row r="1654" spans="2:2">
      <c r="B1654" s="161"/>
    </row>
    <row r="1655" spans="2:2">
      <c r="B1655" s="161"/>
    </row>
    <row r="1656" spans="2:2">
      <c r="B1656" s="161"/>
    </row>
    <row r="1657" spans="2:2">
      <c r="B1657" s="161"/>
    </row>
    <row r="1658" spans="2:2">
      <c r="B1658" s="161"/>
    </row>
    <row r="1659" spans="2:2">
      <c r="B1659" s="161"/>
    </row>
    <row r="1660" spans="2:2">
      <c r="B1660" s="161"/>
    </row>
    <row r="1661" spans="2:2">
      <c r="B1661" s="161"/>
    </row>
    <row r="1662" spans="2:2">
      <c r="B1662" s="161"/>
    </row>
    <row r="1663" spans="2:2">
      <c r="B1663" s="161"/>
    </row>
    <row r="1664" spans="2:2">
      <c r="B1664" s="161"/>
    </row>
    <row r="1665" spans="2:2">
      <c r="B1665" s="161"/>
    </row>
    <row r="1666" spans="2:2">
      <c r="B1666" s="161"/>
    </row>
    <row r="1667" spans="2:2">
      <c r="B1667" s="161"/>
    </row>
    <row r="1668" spans="2:2">
      <c r="B1668" s="161"/>
    </row>
    <row r="1669" spans="2:2">
      <c r="B1669" s="161"/>
    </row>
    <row r="1670" spans="2:2">
      <c r="B1670" s="161"/>
    </row>
    <row r="1671" spans="2:2">
      <c r="B1671" s="161"/>
    </row>
    <row r="1672" spans="2:2">
      <c r="B1672" s="161"/>
    </row>
    <row r="1673" spans="2:2">
      <c r="B1673" s="161"/>
    </row>
    <row r="1674" spans="2:2">
      <c r="B1674" s="161"/>
    </row>
    <row r="1675" spans="2:2">
      <c r="B1675" s="161"/>
    </row>
    <row r="1676" spans="2:2">
      <c r="B1676" s="161"/>
    </row>
    <row r="1677" spans="2:2">
      <c r="B1677" s="161"/>
    </row>
    <row r="1678" spans="2:2">
      <c r="B1678" s="161"/>
    </row>
    <row r="1679" spans="2:2">
      <c r="B1679" s="161"/>
    </row>
    <row r="1680" spans="2:2">
      <c r="B1680" s="161"/>
    </row>
    <row r="1681" spans="2:2">
      <c r="B1681" s="161"/>
    </row>
    <row r="1682" spans="2:2">
      <c r="B1682" s="161"/>
    </row>
    <row r="1683" spans="2:2">
      <c r="B1683" s="161"/>
    </row>
    <row r="1684" spans="2:2">
      <c r="B1684" s="161"/>
    </row>
    <row r="1685" spans="2:2">
      <c r="B1685" s="161"/>
    </row>
    <row r="1686" spans="2:2">
      <c r="B1686" s="161"/>
    </row>
    <row r="1687" spans="2:2">
      <c r="B1687" s="161"/>
    </row>
    <row r="1688" spans="2:2">
      <c r="B1688" s="161"/>
    </row>
    <row r="1689" spans="2:2">
      <c r="B1689" s="161"/>
    </row>
    <row r="1690" spans="2:2">
      <c r="B1690" s="161"/>
    </row>
    <row r="1691" spans="2:2">
      <c r="B1691" s="161"/>
    </row>
    <row r="1692" spans="2:2">
      <c r="B1692" s="161"/>
    </row>
    <row r="1693" spans="2:2">
      <c r="B1693" s="161"/>
    </row>
    <row r="1694" spans="2:2">
      <c r="B1694" s="161"/>
    </row>
    <row r="1695" spans="2:2">
      <c r="B1695" s="161"/>
    </row>
    <row r="1696" spans="2:2">
      <c r="B1696" s="161"/>
    </row>
    <row r="1697" spans="2:2">
      <c r="B1697" s="161"/>
    </row>
    <row r="1698" spans="2:2">
      <c r="B1698" s="161"/>
    </row>
    <row r="1699" spans="2:2">
      <c r="B1699" s="161"/>
    </row>
    <row r="1700" spans="2:2">
      <c r="B1700" s="161"/>
    </row>
    <row r="1701" spans="2:2">
      <c r="B1701" s="161"/>
    </row>
    <row r="1702" spans="2:2">
      <c r="B1702" s="161"/>
    </row>
    <row r="1703" spans="2:2">
      <c r="B1703" s="161"/>
    </row>
    <row r="1704" spans="2:2">
      <c r="B1704" s="161"/>
    </row>
    <row r="1705" spans="2:2">
      <c r="B1705" s="161"/>
    </row>
    <row r="1706" spans="2:2">
      <c r="B1706" s="161"/>
    </row>
    <row r="1707" spans="2:2">
      <c r="B1707" s="161"/>
    </row>
    <row r="1708" spans="2:2">
      <c r="B1708" s="161"/>
    </row>
    <row r="1709" spans="2:2">
      <c r="B1709" s="161"/>
    </row>
    <row r="1710" spans="2:2">
      <c r="B1710" s="161"/>
    </row>
    <row r="1711" spans="2:2">
      <c r="B1711" s="161"/>
    </row>
    <row r="1712" spans="2:2">
      <c r="B1712" s="161"/>
    </row>
    <row r="1713" spans="2:2">
      <c r="B1713" s="161"/>
    </row>
    <row r="1714" spans="2:2">
      <c r="B1714" s="161"/>
    </row>
    <row r="1715" spans="2:2">
      <c r="B1715" s="161"/>
    </row>
    <row r="1716" spans="2:2">
      <c r="B1716" s="161"/>
    </row>
    <row r="1717" spans="2:2">
      <c r="B1717" s="161"/>
    </row>
    <row r="1718" spans="2:2">
      <c r="B1718" s="161"/>
    </row>
    <row r="1719" spans="2:2">
      <c r="B1719" s="161"/>
    </row>
    <row r="1720" spans="2:2">
      <c r="B1720" s="161"/>
    </row>
    <row r="1721" spans="2:2">
      <c r="B1721" s="161"/>
    </row>
    <row r="1722" spans="2:2">
      <c r="B1722" s="161"/>
    </row>
    <row r="1723" spans="2:2">
      <c r="B1723" s="161"/>
    </row>
    <row r="1724" spans="2:2">
      <c r="B1724" s="161"/>
    </row>
    <row r="1725" spans="2:2">
      <c r="B1725" s="161"/>
    </row>
    <row r="1726" spans="2:2">
      <c r="B1726" s="161"/>
    </row>
    <row r="1727" spans="2:2">
      <c r="B1727" s="161"/>
    </row>
    <row r="1728" spans="2:2">
      <c r="B1728" s="161"/>
    </row>
    <row r="1729" spans="2:2">
      <c r="B1729" s="161"/>
    </row>
    <row r="1730" spans="2:2">
      <c r="B1730" s="161"/>
    </row>
    <row r="1731" spans="2:2">
      <c r="B1731" s="161"/>
    </row>
    <row r="1732" spans="2:2">
      <c r="B1732" s="161"/>
    </row>
    <row r="1733" spans="2:2">
      <c r="B1733" s="161"/>
    </row>
    <row r="1734" spans="2:2">
      <c r="B1734" s="161"/>
    </row>
    <row r="1735" spans="2:2">
      <c r="B1735" s="161"/>
    </row>
    <row r="1736" spans="2:2">
      <c r="B1736" s="161"/>
    </row>
    <row r="1737" spans="2:2">
      <c r="B1737" s="161"/>
    </row>
    <row r="1738" spans="2:2">
      <c r="B1738" s="161"/>
    </row>
    <row r="1739" spans="2:2">
      <c r="B1739" s="161"/>
    </row>
    <row r="1740" spans="2:2">
      <c r="B1740" s="161"/>
    </row>
    <row r="1741" spans="2:2">
      <c r="B1741" s="161"/>
    </row>
    <row r="1742" spans="2:2">
      <c r="B1742" s="161"/>
    </row>
    <row r="1743" spans="2:2">
      <c r="B1743" s="161"/>
    </row>
    <row r="1744" spans="2:2">
      <c r="B1744" s="161"/>
    </row>
    <row r="1745" spans="2:2">
      <c r="B1745" s="161"/>
    </row>
    <row r="1746" spans="2:2">
      <c r="B1746" s="161"/>
    </row>
    <row r="1747" spans="2:2">
      <c r="B1747" s="161"/>
    </row>
    <row r="1748" spans="2:2">
      <c r="B1748" s="161"/>
    </row>
    <row r="1749" spans="2:2">
      <c r="B1749" s="161"/>
    </row>
    <row r="1750" spans="2:2">
      <c r="B1750" s="161"/>
    </row>
    <row r="1751" spans="2:2">
      <c r="B1751" s="161"/>
    </row>
    <row r="1752" spans="2:2">
      <c r="B1752" s="161"/>
    </row>
    <row r="1753" spans="2:2">
      <c r="B1753" s="161"/>
    </row>
    <row r="1754" spans="2:2">
      <c r="B1754" s="161"/>
    </row>
    <row r="1755" spans="2:2">
      <c r="B1755" s="161"/>
    </row>
    <row r="1756" spans="2:2">
      <c r="B1756" s="161"/>
    </row>
    <row r="1757" spans="2:2">
      <c r="B1757" s="161"/>
    </row>
    <row r="1758" spans="2:2">
      <c r="B1758" s="161"/>
    </row>
    <row r="1759" spans="2:2">
      <c r="B1759" s="161"/>
    </row>
    <row r="1760" spans="2:2">
      <c r="B1760" s="161"/>
    </row>
    <row r="1761" spans="2:2">
      <c r="B1761" s="161"/>
    </row>
    <row r="1762" spans="2:2">
      <c r="B1762" s="161"/>
    </row>
    <row r="1763" spans="2:2">
      <c r="B1763" s="161"/>
    </row>
    <row r="1764" spans="2:2">
      <c r="B1764" s="161"/>
    </row>
    <row r="1765" spans="2:2">
      <c r="B1765" s="161"/>
    </row>
    <row r="1766" spans="2:2">
      <c r="B1766" s="161"/>
    </row>
    <row r="1767" spans="2:2">
      <c r="B1767" s="161"/>
    </row>
    <row r="1768" spans="2:2">
      <c r="B1768" s="161"/>
    </row>
    <row r="1769" spans="2:2">
      <c r="B1769" s="161"/>
    </row>
    <row r="1770" spans="2:2">
      <c r="B1770" s="161"/>
    </row>
    <row r="1771" spans="2:2">
      <c r="B1771" s="161"/>
    </row>
    <row r="1772" spans="2:2">
      <c r="B1772" s="161"/>
    </row>
    <row r="1773" spans="2:2">
      <c r="B1773" s="161"/>
    </row>
    <row r="1774" spans="2:2">
      <c r="B1774" s="161"/>
    </row>
    <row r="1775" spans="2:2">
      <c r="B1775" s="161"/>
    </row>
    <row r="1776" spans="2:2">
      <c r="B1776" s="161"/>
    </row>
    <row r="1777" spans="2:2">
      <c r="B1777" s="161"/>
    </row>
    <row r="1778" spans="2:2">
      <c r="B1778" s="161"/>
    </row>
    <row r="1779" spans="2:2">
      <c r="B1779" s="161"/>
    </row>
    <row r="1780" spans="2:2">
      <c r="B1780" s="161"/>
    </row>
    <row r="1781" spans="2:2">
      <c r="B1781" s="161"/>
    </row>
    <row r="1782" spans="2:2">
      <c r="B1782" s="161"/>
    </row>
    <row r="1783" spans="2:2">
      <c r="B1783" s="161"/>
    </row>
    <row r="1784" spans="2:2">
      <c r="B1784" s="161"/>
    </row>
    <row r="1785" spans="2:2">
      <c r="B1785" s="161"/>
    </row>
    <row r="1786" spans="2:2">
      <c r="B1786" s="161"/>
    </row>
    <row r="1787" spans="2:2">
      <c r="B1787" s="161"/>
    </row>
    <row r="1788" spans="2:2">
      <c r="B1788" s="161"/>
    </row>
    <row r="1789" spans="2:2">
      <c r="B1789" s="161"/>
    </row>
    <row r="1790" spans="2:2">
      <c r="B1790" s="161"/>
    </row>
    <row r="1791" spans="2:2">
      <c r="B1791" s="161"/>
    </row>
    <row r="1792" spans="2:2">
      <c r="B1792" s="161"/>
    </row>
    <row r="1793" spans="2:2">
      <c r="B1793" s="161"/>
    </row>
    <row r="1794" spans="2:2">
      <c r="B1794" s="161"/>
    </row>
    <row r="1795" spans="2:2">
      <c r="B1795" s="161"/>
    </row>
    <row r="1796" spans="2:2">
      <c r="B1796" s="161"/>
    </row>
    <row r="1797" spans="2:2">
      <c r="B1797" s="161"/>
    </row>
    <row r="1798" spans="2:2">
      <c r="B1798" s="161"/>
    </row>
    <row r="1799" spans="2:2">
      <c r="B1799" s="161"/>
    </row>
    <row r="1800" spans="2:2">
      <c r="B1800" s="161"/>
    </row>
    <row r="1801" spans="2:2">
      <c r="B1801" s="161"/>
    </row>
    <row r="1802" spans="2:2">
      <c r="B1802" s="161"/>
    </row>
    <row r="1803" spans="2:2">
      <c r="B1803" s="161"/>
    </row>
    <row r="1804" spans="2:2">
      <c r="B1804" s="161"/>
    </row>
    <row r="1805" spans="2:2">
      <c r="B1805" s="161"/>
    </row>
    <row r="1806" spans="2:2">
      <c r="B1806" s="161"/>
    </row>
    <row r="1807" spans="2:2">
      <c r="B1807" s="161"/>
    </row>
    <row r="1808" spans="2:2">
      <c r="B1808" s="161"/>
    </row>
    <row r="1809" spans="2:2">
      <c r="B1809" s="161"/>
    </row>
    <row r="1810" spans="2:2">
      <c r="B1810" s="161"/>
    </row>
    <row r="1811" spans="2:2">
      <c r="B1811" s="161"/>
    </row>
    <row r="1812" spans="2:2">
      <c r="B1812" s="161"/>
    </row>
    <row r="1813" spans="2:2">
      <c r="B1813" s="161"/>
    </row>
    <row r="1814" spans="2:2">
      <c r="B1814" s="161"/>
    </row>
    <row r="1815" spans="2:2">
      <c r="B1815" s="161"/>
    </row>
    <row r="1816" spans="2:2">
      <c r="B1816" s="161"/>
    </row>
    <row r="1817" spans="2:2">
      <c r="B1817" s="161"/>
    </row>
    <row r="1818" spans="2:2">
      <c r="B1818" s="161"/>
    </row>
    <row r="1819" spans="2:2">
      <c r="B1819" s="161"/>
    </row>
    <row r="1820" spans="2:2">
      <c r="B1820" s="161"/>
    </row>
    <row r="1821" spans="2:2">
      <c r="B1821" s="161"/>
    </row>
    <row r="1822" spans="2:2">
      <c r="B1822" s="161"/>
    </row>
    <row r="1823" spans="2:2">
      <c r="B1823" s="161"/>
    </row>
    <row r="1824" spans="2:2">
      <c r="B1824" s="161"/>
    </row>
    <row r="1825" spans="2:2">
      <c r="B1825" s="161"/>
    </row>
    <row r="1826" spans="2:2">
      <c r="B1826" s="161"/>
    </row>
    <row r="1827" spans="2:2">
      <c r="B1827" s="161"/>
    </row>
    <row r="1828" spans="2:2">
      <c r="B1828" s="161"/>
    </row>
    <row r="1829" spans="2:2">
      <c r="B1829" s="161"/>
    </row>
    <row r="1830" spans="2:2">
      <c r="B1830" s="161"/>
    </row>
    <row r="1831" spans="2:2">
      <c r="B1831" s="161"/>
    </row>
    <row r="1832" spans="2:2">
      <c r="B1832" s="161"/>
    </row>
    <row r="1833" spans="2:2">
      <c r="B1833" s="161"/>
    </row>
    <row r="1834" spans="2:2">
      <c r="B1834" s="161"/>
    </row>
    <row r="1835" spans="2:2">
      <c r="B1835" s="161"/>
    </row>
    <row r="1836" spans="2:2">
      <c r="B1836" s="161"/>
    </row>
    <row r="1837" spans="2:2">
      <c r="B1837" s="161"/>
    </row>
    <row r="1838" spans="2:2">
      <c r="B1838" s="161"/>
    </row>
    <row r="1839" spans="2:2">
      <c r="B1839" s="161"/>
    </row>
    <row r="1840" spans="2:2">
      <c r="B1840" s="161"/>
    </row>
    <row r="1841" spans="2:2">
      <c r="B1841" s="161"/>
    </row>
    <row r="1842" spans="2:2">
      <c r="B1842" s="161"/>
    </row>
    <row r="1843" spans="2:2">
      <c r="B1843" s="161"/>
    </row>
    <row r="1844" spans="2:2">
      <c r="B1844" s="161"/>
    </row>
    <row r="1845" spans="2:2">
      <c r="B1845" s="161"/>
    </row>
    <row r="1846" spans="2:2">
      <c r="B1846" s="161"/>
    </row>
    <row r="1847" spans="2:2">
      <c r="B1847" s="161"/>
    </row>
    <row r="1848" spans="2:2">
      <c r="B1848" s="161"/>
    </row>
    <row r="1849" spans="2:2">
      <c r="B1849" s="161"/>
    </row>
    <row r="1850" spans="2:2">
      <c r="B1850" s="161"/>
    </row>
    <row r="1851" spans="2:2">
      <c r="B1851" s="161"/>
    </row>
    <row r="1852" spans="2:2">
      <c r="B1852" s="161"/>
    </row>
    <row r="1853" spans="2:2">
      <c r="B1853" s="161"/>
    </row>
    <row r="1854" spans="2:2">
      <c r="B1854" s="161"/>
    </row>
    <row r="1855" spans="2:2">
      <c r="B1855" s="161"/>
    </row>
    <row r="1856" spans="2:2">
      <c r="B1856" s="161"/>
    </row>
    <row r="1857" spans="2:2">
      <c r="B1857" s="161"/>
    </row>
    <row r="1858" spans="2:2">
      <c r="B1858" s="161"/>
    </row>
    <row r="1859" spans="2:2">
      <c r="B1859" s="161"/>
    </row>
    <row r="1860" spans="2:2">
      <c r="B1860" s="161"/>
    </row>
    <row r="1861" spans="2:2">
      <c r="B1861" s="161"/>
    </row>
    <row r="1862" spans="2:2">
      <c r="B1862" s="161"/>
    </row>
    <row r="1863" spans="2:2">
      <c r="B1863" s="161"/>
    </row>
    <row r="1864" spans="2:2">
      <c r="B1864" s="161"/>
    </row>
    <row r="1865" spans="2:2">
      <c r="B1865" s="161"/>
    </row>
    <row r="1866" spans="2:2">
      <c r="B1866" s="161"/>
    </row>
    <row r="1867" spans="2:2">
      <c r="B1867" s="161"/>
    </row>
    <row r="1868" spans="2:2">
      <c r="B1868" s="161"/>
    </row>
    <row r="1869" spans="2:2">
      <c r="B1869" s="161"/>
    </row>
    <row r="1870" spans="2:2">
      <c r="B1870" s="161"/>
    </row>
    <row r="1871" spans="2:2">
      <c r="B1871" s="161"/>
    </row>
    <row r="1872" spans="2:2">
      <c r="B1872" s="161"/>
    </row>
    <row r="1873" spans="2:2">
      <c r="B1873" s="161"/>
    </row>
    <row r="1874" spans="2:2">
      <c r="B1874" s="161"/>
    </row>
    <row r="1875" spans="2:2">
      <c r="B1875" s="161"/>
    </row>
    <row r="1876" spans="2:2">
      <c r="B1876" s="161"/>
    </row>
    <row r="1877" spans="2:2">
      <c r="B1877" s="161"/>
    </row>
    <row r="1878" spans="2:2">
      <c r="B1878" s="161"/>
    </row>
    <row r="1879" spans="2:2">
      <c r="B1879" s="161"/>
    </row>
    <row r="1880" spans="2:2">
      <c r="B1880" s="161"/>
    </row>
    <row r="1881" spans="2:2">
      <c r="B1881" s="161"/>
    </row>
    <row r="1882" spans="2:2">
      <c r="B1882" s="161"/>
    </row>
    <row r="1883" spans="2:2">
      <c r="B1883" s="161"/>
    </row>
    <row r="1884" spans="2:2">
      <c r="B1884" s="161"/>
    </row>
    <row r="1885" spans="2:2">
      <c r="B1885" s="161"/>
    </row>
    <row r="1886" spans="2:2">
      <c r="B1886" s="161"/>
    </row>
    <row r="1887" spans="2:2">
      <c r="B1887" s="161"/>
    </row>
    <row r="1888" spans="2:2">
      <c r="B1888" s="161"/>
    </row>
    <row r="1889" spans="2:2">
      <c r="B1889" s="161"/>
    </row>
    <row r="1890" spans="2:2">
      <c r="B1890" s="161"/>
    </row>
    <row r="1891" spans="2:2">
      <c r="B1891" s="161"/>
    </row>
    <row r="1892" spans="2:2">
      <c r="B1892" s="161"/>
    </row>
    <row r="1893" spans="2:2">
      <c r="B1893" s="161"/>
    </row>
    <row r="1894" spans="2:2">
      <c r="B1894" s="161"/>
    </row>
    <row r="1895" spans="2:2">
      <c r="B1895" s="161"/>
    </row>
    <row r="1896" spans="2:2">
      <c r="B1896" s="161"/>
    </row>
    <row r="1897" spans="2:2">
      <c r="B1897" s="161"/>
    </row>
    <row r="1898" spans="2:2">
      <c r="B1898" s="161"/>
    </row>
    <row r="1899" spans="2:2">
      <c r="B1899" s="161"/>
    </row>
    <row r="1900" spans="2:2">
      <c r="B1900" s="161"/>
    </row>
    <row r="1901" spans="2:2">
      <c r="B1901" s="161"/>
    </row>
    <row r="1902" spans="2:2">
      <c r="B1902" s="161"/>
    </row>
    <row r="1903" spans="2:2">
      <c r="B1903" s="161"/>
    </row>
    <row r="1904" spans="2:2">
      <c r="B1904" s="161"/>
    </row>
    <row r="1905" spans="2:2">
      <c r="B1905" s="161"/>
    </row>
    <row r="1906" spans="2:2">
      <c r="B1906" s="161"/>
    </row>
    <row r="1907" spans="2:2">
      <c r="B1907" s="161"/>
    </row>
    <row r="1908" spans="2:2">
      <c r="B1908" s="161"/>
    </row>
    <row r="1909" spans="2:2">
      <c r="B1909" s="161"/>
    </row>
    <row r="1910" spans="2:2">
      <c r="B1910" s="161"/>
    </row>
    <row r="1911" spans="2:2">
      <c r="B1911" s="161"/>
    </row>
    <row r="1912" spans="2:2">
      <c r="B1912" s="161"/>
    </row>
    <row r="1913" spans="2:2">
      <c r="B1913" s="161"/>
    </row>
    <row r="1914" spans="2:2">
      <c r="B1914" s="161"/>
    </row>
    <row r="1915" spans="2:2">
      <c r="B1915" s="161"/>
    </row>
    <row r="1916" spans="2:2">
      <c r="B1916" s="161"/>
    </row>
    <row r="1917" spans="2:2">
      <c r="B1917" s="161"/>
    </row>
    <row r="1918" spans="2:2">
      <c r="B1918" s="161"/>
    </row>
    <row r="1919" spans="2:2">
      <c r="B1919" s="161"/>
    </row>
    <row r="1920" spans="2:2">
      <c r="B1920" s="161"/>
    </row>
    <row r="1921" spans="2:2">
      <c r="B1921" s="161"/>
    </row>
    <row r="1922" spans="2:2">
      <c r="B1922" s="161"/>
    </row>
    <row r="1923" spans="2:2">
      <c r="B1923" s="161"/>
    </row>
    <row r="1924" spans="2:2">
      <c r="B1924" s="161"/>
    </row>
    <row r="1925" spans="2:2">
      <c r="B1925" s="161"/>
    </row>
    <row r="1926" spans="2:2">
      <c r="B1926" s="161"/>
    </row>
    <row r="1927" spans="2:2">
      <c r="B1927" s="161"/>
    </row>
    <row r="1928" spans="2:2">
      <c r="B1928" s="161"/>
    </row>
    <row r="1929" spans="2:2">
      <c r="B1929" s="161"/>
    </row>
    <row r="1930" spans="2:2">
      <c r="B1930" s="161"/>
    </row>
    <row r="1931" spans="2:2">
      <c r="B1931" s="161"/>
    </row>
    <row r="1932" spans="2:2">
      <c r="B1932" s="161"/>
    </row>
    <row r="1933" spans="2:2">
      <c r="B1933" s="161"/>
    </row>
    <row r="1934" spans="2:2">
      <c r="B1934" s="161"/>
    </row>
    <row r="1935" spans="2:2">
      <c r="B1935" s="161"/>
    </row>
    <row r="1936" spans="2:2">
      <c r="B1936" s="161"/>
    </row>
    <row r="1937" spans="2:2">
      <c r="B1937" s="161"/>
    </row>
    <row r="1938" spans="2:2">
      <c r="B1938" s="161"/>
    </row>
    <row r="1939" spans="2:2">
      <c r="B1939" s="161"/>
    </row>
    <row r="1940" spans="2:2">
      <c r="B1940" s="161"/>
    </row>
    <row r="1941" spans="2:2">
      <c r="B1941" s="161"/>
    </row>
    <row r="1942" spans="2:2">
      <c r="B1942" s="161"/>
    </row>
    <row r="1943" spans="2:2">
      <c r="B1943" s="161"/>
    </row>
    <row r="1944" spans="2:2">
      <c r="B1944" s="161"/>
    </row>
    <row r="1945" spans="2:2">
      <c r="B1945" s="161"/>
    </row>
    <row r="1946" spans="2:2">
      <c r="B1946" s="161"/>
    </row>
    <row r="1947" spans="2:2">
      <c r="B1947" s="161"/>
    </row>
    <row r="1948" spans="2:2">
      <c r="B1948" s="161"/>
    </row>
    <row r="1949" spans="2:2">
      <c r="B1949" s="161"/>
    </row>
    <row r="1950" spans="2:2">
      <c r="B1950" s="161"/>
    </row>
    <row r="1951" spans="2:2">
      <c r="B1951" s="161"/>
    </row>
    <row r="1952" spans="2:2">
      <c r="B1952" s="161"/>
    </row>
    <row r="1953" spans="2:2">
      <c r="B1953" s="161"/>
    </row>
    <row r="1954" spans="2:2">
      <c r="B1954" s="161"/>
    </row>
    <row r="1955" spans="2:2">
      <c r="B1955" s="161"/>
    </row>
    <row r="1956" spans="2:2">
      <c r="B1956" s="161"/>
    </row>
    <row r="1957" spans="2:2">
      <c r="B1957" s="161"/>
    </row>
    <row r="1958" spans="2:2">
      <c r="B1958" s="161"/>
    </row>
    <row r="1959" spans="2:2">
      <c r="B1959" s="161"/>
    </row>
    <row r="1960" spans="2:2">
      <c r="B1960" s="161"/>
    </row>
    <row r="1961" spans="2:2">
      <c r="B1961" s="161"/>
    </row>
    <row r="1962" spans="2:2">
      <c r="B1962" s="161"/>
    </row>
    <row r="1963" spans="2:2">
      <c r="B1963" s="161"/>
    </row>
    <row r="1964" spans="2:2">
      <c r="B1964" s="161"/>
    </row>
    <row r="1965" spans="2:2">
      <c r="B1965" s="161"/>
    </row>
    <row r="1966" spans="2:2">
      <c r="B1966" s="161"/>
    </row>
    <row r="1967" spans="2:2">
      <c r="B1967" s="161"/>
    </row>
    <row r="1968" spans="2:2">
      <c r="B1968" s="161"/>
    </row>
    <row r="1969" spans="2:2">
      <c r="B1969" s="161"/>
    </row>
    <row r="1970" spans="2:2">
      <c r="B1970" s="161"/>
    </row>
    <row r="1971" spans="2:2">
      <c r="B1971" s="161"/>
    </row>
    <row r="1972" spans="2:2">
      <c r="B1972" s="161"/>
    </row>
    <row r="1973" spans="2:2">
      <c r="B1973" s="161"/>
    </row>
    <row r="1974" spans="2:2">
      <c r="B1974" s="161"/>
    </row>
    <row r="1975" spans="2:2">
      <c r="B1975" s="161"/>
    </row>
    <row r="1976" spans="2:2">
      <c r="B1976" s="161"/>
    </row>
    <row r="1977" spans="2:2">
      <c r="B1977" s="161"/>
    </row>
    <row r="1978" spans="2:2">
      <c r="B1978" s="161"/>
    </row>
    <row r="1979" spans="2:2">
      <c r="B1979" s="161"/>
    </row>
    <row r="1980" spans="2:2">
      <c r="B1980" s="161"/>
    </row>
    <row r="1981" spans="2:2">
      <c r="B1981" s="161"/>
    </row>
    <row r="1982" spans="2:2">
      <c r="B1982" s="161"/>
    </row>
    <row r="1983" spans="2:2">
      <c r="B1983" s="161"/>
    </row>
    <row r="1984" spans="2:2">
      <c r="B1984" s="161"/>
    </row>
    <row r="1985" spans="2:2">
      <c r="B1985" s="161"/>
    </row>
    <row r="1986" spans="2:2">
      <c r="B1986" s="161"/>
    </row>
    <row r="1987" spans="2:2">
      <c r="B1987" s="161"/>
    </row>
    <row r="1988" spans="2:2">
      <c r="B1988" s="161"/>
    </row>
    <row r="1989" spans="2:2">
      <c r="B1989" s="161"/>
    </row>
    <row r="1990" spans="2:2">
      <c r="B1990" s="161"/>
    </row>
    <row r="1991" spans="2:2">
      <c r="B1991" s="161"/>
    </row>
    <row r="1992" spans="2:2">
      <c r="B1992" s="161"/>
    </row>
    <row r="1993" spans="2:2">
      <c r="B1993" s="161"/>
    </row>
    <row r="1994" spans="2:2">
      <c r="B1994" s="161"/>
    </row>
    <row r="1995" spans="2:2">
      <c r="B1995" s="161"/>
    </row>
    <row r="1996" spans="2:2">
      <c r="B1996" s="161"/>
    </row>
    <row r="1997" spans="2:2">
      <c r="B1997" s="161"/>
    </row>
    <row r="1998" spans="2:2">
      <c r="B1998" s="161"/>
    </row>
    <row r="1999" spans="2:2">
      <c r="B1999" s="161"/>
    </row>
    <row r="2000" spans="2:2">
      <c r="B2000" s="161"/>
    </row>
    <row r="2001" spans="2:2">
      <c r="B2001" s="161"/>
    </row>
    <row r="2002" spans="2:2">
      <c r="B2002" s="161"/>
    </row>
    <row r="2003" spans="2:2">
      <c r="B2003" s="161"/>
    </row>
    <row r="2004" spans="2:2">
      <c r="B2004" s="161"/>
    </row>
    <row r="2005" spans="2:2">
      <c r="B2005" s="161"/>
    </row>
    <row r="2006" spans="2:2">
      <c r="B2006" s="161"/>
    </row>
    <row r="2007" spans="2:2">
      <c r="B2007" s="161"/>
    </row>
    <row r="2008" spans="2:2">
      <c r="B2008" s="161"/>
    </row>
    <row r="2009" spans="2:2">
      <c r="B2009" s="161"/>
    </row>
    <row r="2010" spans="2:2">
      <c r="B2010" s="161"/>
    </row>
    <row r="2011" spans="2:2">
      <c r="B2011" s="161"/>
    </row>
    <row r="2012" spans="2:2">
      <c r="B2012" s="161"/>
    </row>
    <row r="2013" spans="2:2">
      <c r="B2013" s="161"/>
    </row>
    <row r="2014" spans="2:2">
      <c r="B2014" s="161"/>
    </row>
    <row r="2015" spans="2:2">
      <c r="B2015" s="161"/>
    </row>
    <row r="2016" spans="2:2">
      <c r="B2016" s="161"/>
    </row>
    <row r="2017" spans="2:2">
      <c r="B2017" s="161"/>
    </row>
    <row r="2018" spans="2:2">
      <c r="B2018" s="161"/>
    </row>
    <row r="2019" spans="2:2">
      <c r="B2019" s="161"/>
    </row>
    <row r="2020" spans="2:2">
      <c r="B2020" s="161"/>
    </row>
    <row r="2021" spans="2:2">
      <c r="B2021" s="161"/>
    </row>
    <row r="2022" spans="2:2">
      <c r="B2022" s="161"/>
    </row>
    <row r="2023" spans="2:2">
      <c r="B2023" s="161"/>
    </row>
    <row r="2024" spans="2:2">
      <c r="B2024" s="161"/>
    </row>
    <row r="2025" spans="2:2">
      <c r="B2025" s="161"/>
    </row>
    <row r="2026" spans="2:2">
      <c r="B2026" s="161"/>
    </row>
    <row r="2027" spans="2:2">
      <c r="B2027" s="161"/>
    </row>
    <row r="2028" spans="2:2">
      <c r="B2028" s="161"/>
    </row>
    <row r="2029" spans="2:2">
      <c r="B2029" s="161"/>
    </row>
    <row r="2030" spans="2:2">
      <c r="B2030" s="161"/>
    </row>
    <row r="2031" spans="2:2">
      <c r="B2031" s="161"/>
    </row>
    <row r="2032" spans="2:2">
      <c r="B2032" s="161"/>
    </row>
    <row r="2033" spans="2:2">
      <c r="B2033" s="161"/>
    </row>
    <row r="2034" spans="2:2">
      <c r="B2034" s="161"/>
    </row>
    <row r="2035" spans="2:2">
      <c r="B2035" s="161"/>
    </row>
    <row r="2036" spans="2:2">
      <c r="B2036" s="161"/>
    </row>
    <row r="2037" spans="2:2">
      <c r="B2037" s="161"/>
    </row>
    <row r="2038" spans="2:2">
      <c r="B2038" s="161"/>
    </row>
    <row r="2039" spans="2:2">
      <c r="B2039" s="161"/>
    </row>
    <row r="2040" spans="2:2">
      <c r="B2040" s="161"/>
    </row>
    <row r="2041" spans="2:2">
      <c r="B2041" s="161"/>
    </row>
    <row r="2042" spans="2:2">
      <c r="B2042" s="161"/>
    </row>
    <row r="2043" spans="2:2">
      <c r="B2043" s="161"/>
    </row>
    <row r="2044" spans="2:2">
      <c r="B2044" s="161"/>
    </row>
    <row r="2045" spans="2:2">
      <c r="B2045" s="161"/>
    </row>
    <row r="2046" spans="2:2">
      <c r="B2046" s="161"/>
    </row>
    <row r="2047" spans="2:2">
      <c r="B2047" s="161"/>
    </row>
    <row r="2048" spans="2:2">
      <c r="B2048" s="161"/>
    </row>
    <row r="2049" spans="2:2">
      <c r="B2049" s="161"/>
    </row>
    <row r="2050" spans="2:2">
      <c r="B2050" s="161"/>
    </row>
    <row r="2051" spans="2:2">
      <c r="B2051" s="161"/>
    </row>
    <row r="2052" spans="2:2">
      <c r="B2052" s="161"/>
    </row>
    <row r="2053" spans="2:2">
      <c r="B2053" s="161"/>
    </row>
    <row r="2054" spans="2:2">
      <c r="B2054" s="161"/>
    </row>
    <row r="2055" spans="2:2">
      <c r="B2055" s="161"/>
    </row>
    <row r="2056" spans="2:2">
      <c r="B2056" s="161"/>
    </row>
    <row r="2057" spans="2:2">
      <c r="B2057" s="161"/>
    </row>
    <row r="2058" spans="2:2">
      <c r="B2058" s="161"/>
    </row>
    <row r="2059" spans="2:2">
      <c r="B2059" s="161"/>
    </row>
    <row r="2060" spans="2:2">
      <c r="B2060" s="161"/>
    </row>
    <row r="2061" spans="2:2">
      <c r="B2061" s="161"/>
    </row>
    <row r="2062" spans="2:2">
      <c r="B2062" s="161"/>
    </row>
    <row r="2063" spans="2:2">
      <c r="B2063" s="161"/>
    </row>
    <row r="2064" spans="2:2">
      <c r="B2064" s="161"/>
    </row>
    <row r="2065" spans="2:2">
      <c r="B2065" s="161"/>
    </row>
    <row r="2066" spans="2:2">
      <c r="B2066" s="161"/>
    </row>
    <row r="2067" spans="2:2">
      <c r="B2067" s="161"/>
    </row>
    <row r="2068" spans="2:2">
      <c r="B2068" s="161"/>
    </row>
    <row r="2069" spans="2:2">
      <c r="B2069" s="161"/>
    </row>
    <row r="2070" spans="2:2">
      <c r="B2070" s="161"/>
    </row>
    <row r="2071" spans="2:2">
      <c r="B2071" s="161"/>
    </row>
    <row r="2072" spans="2:2">
      <c r="B2072" s="161"/>
    </row>
    <row r="2073" spans="2:2">
      <c r="B2073" s="161"/>
    </row>
    <row r="2074" spans="2:2">
      <c r="B2074" s="161"/>
    </row>
    <row r="2075" spans="2:2">
      <c r="B2075" s="161"/>
    </row>
    <row r="2076" spans="2:2">
      <c r="B2076" s="161"/>
    </row>
    <row r="2077" spans="2:2">
      <c r="B2077" s="161"/>
    </row>
    <row r="2078" spans="2:2">
      <c r="B2078" s="161"/>
    </row>
    <row r="2079" spans="2:2">
      <c r="B2079" s="161"/>
    </row>
    <row r="2080" spans="2:2">
      <c r="B2080" s="161"/>
    </row>
    <row r="2081" spans="2:2">
      <c r="B2081" s="161"/>
    </row>
    <row r="2082" spans="2:2">
      <c r="B2082" s="161"/>
    </row>
    <row r="2083" spans="2:2">
      <c r="B2083" s="161"/>
    </row>
    <row r="2084" spans="2:2">
      <c r="B2084" s="161"/>
    </row>
    <row r="2085" spans="2:2">
      <c r="B2085" s="161"/>
    </row>
    <row r="2086" spans="2:2">
      <c r="B2086" s="161"/>
    </row>
    <row r="2087" spans="2:2">
      <c r="B2087" s="161"/>
    </row>
    <row r="2088" spans="2:2">
      <c r="B2088" s="161"/>
    </row>
    <row r="2089" spans="2:2">
      <c r="B2089" s="161"/>
    </row>
    <row r="2090" spans="2:2">
      <c r="B2090" s="161"/>
    </row>
    <row r="2091" spans="2:2">
      <c r="B2091" s="161"/>
    </row>
    <row r="2092" spans="2:2">
      <c r="B2092" s="161"/>
    </row>
    <row r="2093" spans="2:2">
      <c r="B2093" s="161"/>
    </row>
    <row r="2094" spans="2:2">
      <c r="B2094" s="161"/>
    </row>
    <row r="2095" spans="2:2">
      <c r="B2095" s="161"/>
    </row>
    <row r="2096" spans="2:2">
      <c r="B2096" s="161"/>
    </row>
    <row r="2097" spans="2:2">
      <c r="B2097" s="161"/>
    </row>
    <row r="2098" spans="2:2">
      <c r="B2098" s="161"/>
    </row>
    <row r="2099" spans="2:2">
      <c r="B2099" s="161"/>
    </row>
    <row r="2100" spans="2:2">
      <c r="B2100" s="161"/>
    </row>
    <row r="2101" spans="2:2">
      <c r="B2101" s="161"/>
    </row>
    <row r="2102" spans="2:2">
      <c r="B2102" s="161"/>
    </row>
    <row r="2103" spans="2:2">
      <c r="B2103" s="161"/>
    </row>
    <row r="2104" spans="2:2">
      <c r="B2104" s="161"/>
    </row>
    <row r="2105" spans="2:2">
      <c r="B2105" s="161"/>
    </row>
    <row r="2106" spans="2:2">
      <c r="B2106" s="161"/>
    </row>
    <row r="2107" spans="2:2">
      <c r="B2107" s="161"/>
    </row>
    <row r="2108" spans="2:2">
      <c r="B2108" s="161"/>
    </row>
    <row r="2109" spans="2:2">
      <c r="B2109" s="161"/>
    </row>
    <row r="2110" spans="2:2">
      <c r="B2110" s="161"/>
    </row>
    <row r="2111" spans="2:2">
      <c r="B2111" s="161"/>
    </row>
    <row r="2112" spans="2:2">
      <c r="B2112" s="161"/>
    </row>
    <row r="2113" spans="2:2">
      <c r="B2113" s="161"/>
    </row>
    <row r="2114" spans="2:2">
      <c r="B2114" s="161"/>
    </row>
    <row r="2115" spans="2:2">
      <c r="B2115" s="161"/>
    </row>
    <row r="2116" spans="2:2">
      <c r="B2116" s="161"/>
    </row>
    <row r="2117" spans="2:2">
      <c r="B2117" s="161"/>
    </row>
    <row r="2118" spans="2:2">
      <c r="B2118" s="161"/>
    </row>
    <row r="2119" spans="2:2">
      <c r="B2119" s="161"/>
    </row>
    <row r="2120" spans="2:2">
      <c r="B2120" s="161"/>
    </row>
    <row r="2121" spans="2:2">
      <c r="B2121" s="161"/>
    </row>
    <row r="2122" spans="2:2">
      <c r="B2122" s="161"/>
    </row>
    <row r="2123" spans="2:2">
      <c r="B2123" s="161"/>
    </row>
    <row r="2124" spans="2:2">
      <c r="B2124" s="161"/>
    </row>
    <row r="2125" spans="2:2">
      <c r="B2125" s="161"/>
    </row>
    <row r="2126" spans="2:2">
      <c r="B2126" s="161"/>
    </row>
    <row r="2127" spans="2:2">
      <c r="B2127" s="161"/>
    </row>
    <row r="2128" spans="2:2">
      <c r="B2128" s="161"/>
    </row>
    <row r="2129" spans="2:2">
      <c r="B2129" s="161"/>
    </row>
    <row r="2130" spans="2:2">
      <c r="B2130" s="161"/>
    </row>
    <row r="2131" spans="2:2">
      <c r="B2131" s="161"/>
    </row>
    <row r="2132" spans="2:2">
      <c r="B2132" s="161"/>
    </row>
    <row r="2133" spans="2:2">
      <c r="B2133" s="161"/>
    </row>
    <row r="2134" spans="2:2">
      <c r="B2134" s="161"/>
    </row>
    <row r="2135" spans="2:2">
      <c r="B2135" s="161"/>
    </row>
    <row r="2136" spans="2:2">
      <c r="B2136" s="161"/>
    </row>
    <row r="2137" spans="2:2">
      <c r="B2137" s="161"/>
    </row>
    <row r="2138" spans="2:2">
      <c r="B2138" s="161"/>
    </row>
    <row r="2139" spans="2:2">
      <c r="B2139" s="161"/>
    </row>
    <row r="2140" spans="2:2">
      <c r="B2140" s="161"/>
    </row>
    <row r="2141" spans="2:2">
      <c r="B2141" s="161"/>
    </row>
    <row r="2142" spans="2:2">
      <c r="B2142" s="161"/>
    </row>
    <row r="2143" spans="2:2">
      <c r="B2143" s="161"/>
    </row>
    <row r="2144" spans="2:2">
      <c r="B2144" s="161"/>
    </row>
    <row r="2145" spans="2:2">
      <c r="B2145" s="161"/>
    </row>
    <row r="2146" spans="2:2">
      <c r="B2146" s="161"/>
    </row>
    <row r="2147" spans="2:2">
      <c r="B2147" s="161"/>
    </row>
    <row r="2148" spans="2:2">
      <c r="B2148" s="161"/>
    </row>
    <row r="2149" spans="2:2">
      <c r="B2149" s="161"/>
    </row>
    <row r="2150" spans="2:2">
      <c r="B2150" s="161"/>
    </row>
    <row r="2151" spans="2:2">
      <c r="B2151" s="161"/>
    </row>
    <row r="2152" spans="2:2">
      <c r="B2152" s="161"/>
    </row>
    <row r="2153" spans="2:2">
      <c r="B2153" s="161"/>
    </row>
    <row r="2154" spans="2:2">
      <c r="B2154" s="161"/>
    </row>
    <row r="2155" spans="2:2">
      <c r="B2155" s="161"/>
    </row>
    <row r="2156" spans="2:2">
      <c r="B2156" s="161"/>
    </row>
    <row r="2157" spans="2:2">
      <c r="B2157" s="161"/>
    </row>
    <row r="2158" spans="2:2">
      <c r="B2158" s="161"/>
    </row>
    <row r="2159" spans="2:2">
      <c r="B2159" s="161"/>
    </row>
    <row r="2160" spans="2:2">
      <c r="B2160" s="161"/>
    </row>
    <row r="2161" spans="2:2">
      <c r="B2161" s="161"/>
    </row>
    <row r="2162" spans="2:2">
      <c r="B2162" s="161"/>
    </row>
    <row r="2163" spans="2:2">
      <c r="B2163" s="161"/>
    </row>
    <row r="2164" spans="2:2">
      <c r="B2164" s="161"/>
    </row>
    <row r="2165" spans="2:2">
      <c r="B2165" s="161"/>
    </row>
    <row r="2166" spans="2:2">
      <c r="B2166" s="161"/>
    </row>
    <row r="2167" spans="2:2">
      <c r="B2167" s="161"/>
    </row>
    <row r="2168" spans="2:2">
      <c r="B2168" s="161"/>
    </row>
    <row r="2169" spans="2:2">
      <c r="B2169" s="161"/>
    </row>
    <row r="2170" spans="2:2">
      <c r="B2170" s="161"/>
    </row>
    <row r="2171" spans="2:2">
      <c r="B2171" s="161"/>
    </row>
    <row r="2172" spans="2:2">
      <c r="B2172" s="161"/>
    </row>
    <row r="2173" spans="2:2">
      <c r="B2173" s="161"/>
    </row>
    <row r="2174" spans="2:2">
      <c r="B2174" s="161"/>
    </row>
    <row r="2175" spans="2:2">
      <c r="B2175" s="161"/>
    </row>
    <row r="2176" spans="2:2">
      <c r="B2176" s="161"/>
    </row>
    <row r="2177" spans="2:2">
      <c r="B2177" s="161"/>
    </row>
    <row r="2178" spans="2:2">
      <c r="B2178" s="161"/>
    </row>
    <row r="2179" spans="2:2">
      <c r="B2179" s="161"/>
    </row>
    <row r="2180" spans="2:2">
      <c r="B2180" s="161"/>
    </row>
    <row r="2181" spans="2:2">
      <c r="B2181" s="161"/>
    </row>
    <row r="2182" spans="2:2">
      <c r="B2182" s="161"/>
    </row>
    <row r="2183" spans="2:2">
      <c r="B2183" s="161"/>
    </row>
    <row r="2184" spans="2:2">
      <c r="B2184" s="161"/>
    </row>
    <row r="2185" spans="2:2">
      <c r="B2185" s="161"/>
    </row>
    <row r="2186" spans="2:2">
      <c r="B2186" s="161"/>
    </row>
    <row r="2187" spans="2:2">
      <c r="B2187" s="161"/>
    </row>
    <row r="2188" spans="2:2">
      <c r="B2188" s="161"/>
    </row>
    <row r="2189" spans="2:2">
      <c r="B2189" s="161"/>
    </row>
    <row r="2190" spans="2:2">
      <c r="B2190" s="161"/>
    </row>
    <row r="2191" spans="2:2">
      <c r="B2191" s="161"/>
    </row>
    <row r="2192" spans="2:2">
      <c r="B2192" s="161"/>
    </row>
    <row r="2193" spans="2:2">
      <c r="B2193" s="161"/>
    </row>
    <row r="2194" spans="2:2">
      <c r="B2194" s="161"/>
    </row>
    <row r="2195" spans="2:2">
      <c r="B2195" s="161"/>
    </row>
    <row r="2196" spans="2:2">
      <c r="B2196" s="161"/>
    </row>
    <row r="2197" spans="2:2">
      <c r="B2197" s="161"/>
    </row>
    <row r="2198" spans="2:2">
      <c r="B2198" s="161"/>
    </row>
    <row r="2199" spans="2:2">
      <c r="B2199" s="161"/>
    </row>
    <row r="2200" spans="2:2">
      <c r="B2200" s="161"/>
    </row>
    <row r="2201" spans="2:2">
      <c r="B2201" s="161"/>
    </row>
    <row r="2202" spans="2:2">
      <c r="B2202" s="161"/>
    </row>
    <row r="2203" spans="2:2">
      <c r="B2203" s="161"/>
    </row>
    <row r="2204" spans="2:2">
      <c r="B2204" s="161"/>
    </row>
    <row r="2205" spans="2:2">
      <c r="B2205" s="161"/>
    </row>
    <row r="2206" spans="2:2">
      <c r="B2206" s="161"/>
    </row>
    <row r="2207" spans="2:2">
      <c r="B2207" s="161"/>
    </row>
    <row r="2208" spans="2:2">
      <c r="B2208" s="161"/>
    </row>
    <row r="2209" spans="2:2">
      <c r="B2209" s="161"/>
    </row>
    <row r="2210" spans="2:2">
      <c r="B2210" s="161"/>
    </row>
    <row r="2211" spans="2:2">
      <c r="B2211" s="161"/>
    </row>
    <row r="2212" spans="2:2">
      <c r="B2212" s="161"/>
    </row>
    <row r="2213" spans="2:2">
      <c r="B2213" s="161"/>
    </row>
    <row r="2214" spans="2:2">
      <c r="B2214" s="161"/>
    </row>
    <row r="2215" spans="2:2">
      <c r="B2215" s="161"/>
    </row>
    <row r="2216" spans="2:2">
      <c r="B2216" s="161"/>
    </row>
    <row r="2217" spans="2:2">
      <c r="B2217" s="161"/>
    </row>
    <row r="2218" spans="2:2">
      <c r="B2218" s="161"/>
    </row>
    <row r="2219" spans="2:2">
      <c r="B2219" s="161"/>
    </row>
    <row r="2220" spans="2:2">
      <c r="B2220" s="161"/>
    </row>
    <row r="2221" spans="2:2">
      <c r="B2221" s="161"/>
    </row>
    <row r="2222" spans="2:2">
      <c r="B2222" s="161"/>
    </row>
    <row r="2223" spans="2:2">
      <c r="B2223" s="161"/>
    </row>
    <row r="2224" spans="2:2">
      <c r="B2224" s="161"/>
    </row>
    <row r="2225" spans="2:2">
      <c r="B2225" s="161"/>
    </row>
    <row r="2226" spans="2:2">
      <c r="B2226" s="161"/>
    </row>
    <row r="2227" spans="2:2">
      <c r="B2227" s="161"/>
    </row>
    <row r="2228" spans="2:2">
      <c r="B2228" s="161"/>
    </row>
    <row r="2229" spans="2:2">
      <c r="B2229" s="161"/>
    </row>
    <row r="2230" spans="2:2">
      <c r="B2230" s="161"/>
    </row>
    <row r="2231" spans="2:2">
      <c r="B2231" s="161"/>
    </row>
    <row r="2232" spans="2:2">
      <c r="B2232" s="161"/>
    </row>
    <row r="2233" spans="2:2">
      <c r="B2233" s="161"/>
    </row>
    <row r="2234" spans="2:2">
      <c r="B2234" s="161"/>
    </row>
    <row r="2235" spans="2:2">
      <c r="B2235" s="161"/>
    </row>
    <row r="2236" spans="2:2">
      <c r="B2236" s="161"/>
    </row>
    <row r="2237" spans="2:2">
      <c r="B2237" s="161"/>
    </row>
    <row r="2238" spans="2:2">
      <c r="B2238" s="161"/>
    </row>
    <row r="2239" spans="2:2">
      <c r="B2239" s="161"/>
    </row>
    <row r="2240" spans="2:2">
      <c r="B2240" s="161"/>
    </row>
    <row r="2241" spans="2:2">
      <c r="B2241" s="161"/>
    </row>
    <row r="2242" spans="2:2">
      <c r="B2242" s="161"/>
    </row>
    <row r="2243" spans="2:2">
      <c r="B2243" s="161"/>
    </row>
    <row r="2244" spans="2:2">
      <c r="B2244" s="161"/>
    </row>
    <row r="2245" spans="2:2">
      <c r="B2245" s="161"/>
    </row>
    <row r="2246" spans="2:2">
      <c r="B2246" s="161"/>
    </row>
    <row r="2247" spans="2:2">
      <c r="B2247" s="161"/>
    </row>
    <row r="2248" spans="2:2">
      <c r="B2248" s="161"/>
    </row>
    <row r="2249" spans="2:2">
      <c r="B2249" s="161"/>
    </row>
    <row r="2250" spans="2:2">
      <c r="B2250" s="161"/>
    </row>
    <row r="2251" spans="2:2">
      <c r="B2251" s="161"/>
    </row>
    <row r="2252" spans="2:2">
      <c r="B2252" s="161"/>
    </row>
    <row r="2253" spans="2:2">
      <c r="B2253" s="161"/>
    </row>
    <row r="2254" spans="2:2">
      <c r="B2254" s="161"/>
    </row>
    <row r="2255" spans="2:2">
      <c r="B2255" s="161"/>
    </row>
    <row r="2256" spans="2:2">
      <c r="B2256" s="161"/>
    </row>
    <row r="2257" spans="2:2">
      <c r="B2257" s="161"/>
    </row>
    <row r="2258" spans="2:2">
      <c r="B2258" s="161"/>
    </row>
    <row r="2259" spans="2:2">
      <c r="B2259" s="161"/>
    </row>
    <row r="2260" spans="2:2">
      <c r="B2260" s="161"/>
    </row>
    <row r="2261" spans="2:2">
      <c r="B2261" s="161"/>
    </row>
    <row r="2262" spans="2:2">
      <c r="B2262" s="161"/>
    </row>
    <row r="2263" spans="2:2">
      <c r="B2263" s="161"/>
    </row>
    <row r="2264" spans="2:2">
      <c r="B2264" s="161"/>
    </row>
    <row r="2265" spans="2:2">
      <c r="B2265" s="161"/>
    </row>
    <row r="2266" spans="2:2">
      <c r="B2266" s="161"/>
    </row>
    <row r="2267" spans="2:2">
      <c r="B2267" s="161"/>
    </row>
    <row r="2268" spans="2:2">
      <c r="B2268" s="161"/>
    </row>
    <row r="2269" spans="2:2">
      <c r="B2269" s="161"/>
    </row>
    <row r="2270" spans="2:2">
      <c r="B2270" s="161"/>
    </row>
    <row r="2271" spans="2:2">
      <c r="B2271" s="161"/>
    </row>
    <row r="2272" spans="2:2">
      <c r="B2272" s="161"/>
    </row>
    <row r="2273" spans="2:2">
      <c r="B2273" s="161"/>
    </row>
    <row r="2274" spans="2:2">
      <c r="B2274" s="161"/>
    </row>
    <row r="2275" spans="2:2">
      <c r="B2275" s="161"/>
    </row>
    <row r="2276" spans="2:2">
      <c r="B2276" s="161"/>
    </row>
    <row r="2277" spans="2:2">
      <c r="B2277" s="161"/>
    </row>
    <row r="2278" spans="2:2">
      <c r="B2278" s="161"/>
    </row>
    <row r="2279" spans="2:2">
      <c r="B2279" s="161"/>
    </row>
    <row r="2280" spans="2:2">
      <c r="B2280" s="161"/>
    </row>
    <row r="2281" spans="2:2">
      <c r="B2281" s="161"/>
    </row>
    <row r="2282" spans="2:2">
      <c r="B2282" s="161"/>
    </row>
    <row r="2283" spans="2:2">
      <c r="B2283" s="161"/>
    </row>
    <row r="2284" spans="2:2">
      <c r="B2284" s="161"/>
    </row>
    <row r="2285" spans="2:2">
      <c r="B2285" s="161"/>
    </row>
    <row r="2286" spans="2:2">
      <c r="B2286" s="161"/>
    </row>
    <row r="2287" spans="2:2">
      <c r="B2287" s="161"/>
    </row>
    <row r="2288" spans="2:2">
      <c r="B2288" s="161"/>
    </row>
    <row r="2289" spans="2:2">
      <c r="B2289" s="161"/>
    </row>
    <row r="2290" spans="2:2">
      <c r="B2290" s="161"/>
    </row>
    <row r="2291" spans="2:2">
      <c r="B2291" s="161"/>
    </row>
    <row r="2292" spans="2:2">
      <c r="B2292" s="161"/>
    </row>
    <row r="2293" spans="2:2">
      <c r="B2293" s="161"/>
    </row>
    <row r="2294" spans="2:2">
      <c r="B2294" s="161"/>
    </row>
    <row r="2295" spans="2:2">
      <c r="B2295" s="161"/>
    </row>
    <row r="2296" spans="2:2">
      <c r="B2296" s="161"/>
    </row>
    <row r="2297" spans="2:2">
      <c r="B2297" s="161"/>
    </row>
    <row r="2298" spans="2:2">
      <c r="B2298" s="161"/>
    </row>
    <row r="2299" spans="2:2">
      <c r="B2299" s="161"/>
    </row>
    <row r="2300" spans="2:2">
      <c r="B2300" s="161"/>
    </row>
    <row r="2301" spans="2:2">
      <c r="B2301" s="161"/>
    </row>
    <row r="2302" spans="2:2">
      <c r="B2302" s="161"/>
    </row>
    <row r="2303" spans="2:2">
      <c r="B2303" s="161"/>
    </row>
    <row r="2304" spans="2:2">
      <c r="B2304" s="161"/>
    </row>
    <row r="2305" spans="2:2">
      <c r="B2305" s="161"/>
    </row>
    <row r="2306" spans="2:2">
      <c r="B2306" s="161"/>
    </row>
    <row r="2307" spans="2:2">
      <c r="B2307" s="161"/>
    </row>
    <row r="2308" spans="2:2">
      <c r="B2308" s="161"/>
    </row>
    <row r="2309" spans="2:2">
      <c r="B2309" s="161"/>
    </row>
    <row r="2310" spans="2:2">
      <c r="B2310" s="161"/>
    </row>
    <row r="2311" spans="2:2">
      <c r="B2311" s="161"/>
    </row>
    <row r="2312" spans="2:2">
      <c r="B2312" s="161"/>
    </row>
    <row r="2313" spans="2:2">
      <c r="B2313" s="161"/>
    </row>
    <row r="2314" spans="2:2">
      <c r="B2314" s="161"/>
    </row>
    <row r="2315" spans="2:2">
      <c r="B2315" s="161"/>
    </row>
    <row r="2316" spans="2:2">
      <c r="B2316" s="161"/>
    </row>
    <row r="2317" spans="2:2">
      <c r="B2317" s="161"/>
    </row>
    <row r="2318" spans="2:2">
      <c r="B2318" s="161"/>
    </row>
    <row r="2319" spans="2:2">
      <c r="B2319" s="161"/>
    </row>
    <row r="2320" spans="2:2">
      <c r="B2320" s="161"/>
    </row>
    <row r="2321" spans="2:2">
      <c r="B2321" s="161"/>
    </row>
    <row r="2322" spans="2:2">
      <c r="B2322" s="161"/>
    </row>
    <row r="2323" spans="2:2">
      <c r="B2323" s="161"/>
    </row>
    <row r="2324" spans="2:2">
      <c r="B2324" s="161"/>
    </row>
    <row r="2325" spans="2:2">
      <c r="B2325" s="161"/>
    </row>
    <row r="2326" spans="2:2">
      <c r="B2326" s="161"/>
    </row>
    <row r="2327" spans="2:2">
      <c r="B2327" s="161"/>
    </row>
    <row r="2328" spans="2:2">
      <c r="B2328" s="161"/>
    </row>
    <row r="2329" spans="2:2">
      <c r="B2329" s="161"/>
    </row>
    <row r="2330" spans="2:2">
      <c r="B2330" s="161"/>
    </row>
    <row r="2331" spans="2:2">
      <c r="B2331" s="161"/>
    </row>
    <row r="2332" spans="2:2">
      <c r="B2332" s="161"/>
    </row>
    <row r="2333" spans="2:2">
      <c r="B2333" s="161"/>
    </row>
    <row r="2334" spans="2:2">
      <c r="B2334" s="161"/>
    </row>
    <row r="2335" spans="2:2">
      <c r="B2335" s="161"/>
    </row>
    <row r="2336" spans="2:2">
      <c r="B2336" s="161"/>
    </row>
    <row r="2337" spans="2:2">
      <c r="B2337" s="161"/>
    </row>
    <row r="2338" spans="2:2">
      <c r="B2338" s="161"/>
    </row>
    <row r="2339" spans="2:2">
      <c r="B2339" s="161"/>
    </row>
    <row r="2340" spans="2:2">
      <c r="B2340" s="161"/>
    </row>
    <row r="2341" spans="2:2">
      <c r="B2341" s="161"/>
    </row>
    <row r="2342" spans="2:2">
      <c r="B2342" s="161"/>
    </row>
    <row r="2343" spans="2:2">
      <c r="B2343" s="161"/>
    </row>
    <row r="2344" spans="2:2">
      <c r="B2344" s="161"/>
    </row>
    <row r="2345" spans="2:2">
      <c r="B2345" s="161"/>
    </row>
    <row r="2346" spans="2:2">
      <c r="B2346" s="161"/>
    </row>
    <row r="2347" spans="2:2">
      <c r="B2347" s="161"/>
    </row>
    <row r="2348" spans="2:2">
      <c r="B2348" s="161"/>
    </row>
    <row r="2349" spans="2:2">
      <c r="B2349" s="161"/>
    </row>
    <row r="2350" spans="2:2">
      <c r="B2350" s="161"/>
    </row>
    <row r="2351" spans="2:2">
      <c r="B2351" s="161"/>
    </row>
    <row r="2352" spans="2:2">
      <c r="B2352" s="161"/>
    </row>
    <row r="2353" spans="2:2">
      <c r="B2353" s="161"/>
    </row>
    <row r="2354" spans="2:2">
      <c r="B2354" s="161"/>
    </row>
    <row r="2355" spans="2:2">
      <c r="B2355" s="161"/>
    </row>
    <row r="2356" spans="2:2">
      <c r="B2356" s="161"/>
    </row>
    <row r="2357" spans="2:2">
      <c r="B2357" s="161"/>
    </row>
    <row r="2358" spans="2:2">
      <c r="B2358" s="161"/>
    </row>
    <row r="2359" spans="2:2">
      <c r="B2359" s="161"/>
    </row>
    <row r="2360" spans="2:2">
      <c r="B2360" s="161"/>
    </row>
    <row r="2361" spans="2:2">
      <c r="B2361" s="161"/>
    </row>
    <row r="2362" spans="2:2">
      <c r="B2362" s="161"/>
    </row>
    <row r="2363" spans="2:2">
      <c r="B2363" s="161"/>
    </row>
    <row r="2364" spans="2:2">
      <c r="B2364" s="161"/>
    </row>
    <row r="2365" spans="2:2">
      <c r="B2365" s="161"/>
    </row>
    <row r="2366" spans="2:2">
      <c r="B2366" s="161"/>
    </row>
    <row r="2367" spans="2:2">
      <c r="B2367" s="161"/>
    </row>
    <row r="2368" spans="2:2">
      <c r="B2368" s="161"/>
    </row>
    <row r="2369" spans="2:2">
      <c r="B2369" s="161"/>
    </row>
    <row r="2370" spans="2:2">
      <c r="B2370" s="161"/>
    </row>
    <row r="2371" spans="2:2">
      <c r="B2371" s="161"/>
    </row>
    <row r="2372" spans="2:2">
      <c r="B2372" s="161"/>
    </row>
    <row r="2373" spans="2:2">
      <c r="B2373" s="161"/>
    </row>
    <row r="2374" spans="2:2">
      <c r="B2374" s="161"/>
    </row>
    <row r="2375" spans="2:2">
      <c r="B2375" s="161"/>
    </row>
    <row r="2376" spans="2:2">
      <c r="B2376" s="161"/>
    </row>
    <row r="2377" spans="2:2">
      <c r="B2377" s="161"/>
    </row>
    <row r="2378" spans="2:2">
      <c r="B2378" s="161"/>
    </row>
    <row r="2379" spans="2:2">
      <c r="B2379" s="161"/>
    </row>
    <row r="2380" spans="2:2">
      <c r="B2380" s="161"/>
    </row>
    <row r="2381" spans="2:2">
      <c r="B2381" s="161"/>
    </row>
    <row r="2382" spans="2:2">
      <c r="B2382" s="161"/>
    </row>
    <row r="2383" spans="2:2">
      <c r="B2383" s="161"/>
    </row>
    <row r="2384" spans="2:2">
      <c r="B2384" s="161"/>
    </row>
    <row r="2385" spans="2:2">
      <c r="B2385" s="161"/>
    </row>
    <row r="2386" spans="2:2">
      <c r="B2386" s="161"/>
    </row>
    <row r="2387" spans="2:2">
      <c r="B2387" s="161"/>
    </row>
    <row r="2388" spans="2:2">
      <c r="B2388" s="161"/>
    </row>
    <row r="2389" spans="2:2">
      <c r="B2389" s="161"/>
    </row>
    <row r="2390" spans="2:2">
      <c r="B2390" s="161"/>
    </row>
    <row r="2391" spans="2:2">
      <c r="B2391" s="161"/>
    </row>
    <row r="2392" spans="2:2">
      <c r="B2392" s="161"/>
    </row>
    <row r="2393" spans="2:2">
      <c r="B2393" s="161"/>
    </row>
    <row r="2394" spans="2:2">
      <c r="B2394" s="161"/>
    </row>
    <row r="2395" spans="2:2">
      <c r="B2395" s="161"/>
    </row>
    <row r="2396" spans="2:2">
      <c r="B2396" s="161"/>
    </row>
    <row r="2397" spans="2:2">
      <c r="B2397" s="161"/>
    </row>
    <row r="2398" spans="2:2">
      <c r="B2398" s="161"/>
    </row>
    <row r="2399" spans="2:2">
      <c r="B2399" s="161"/>
    </row>
    <row r="2400" spans="2:2">
      <c r="B2400" s="161"/>
    </row>
    <row r="2401" spans="2:2">
      <c r="B2401" s="161"/>
    </row>
    <row r="2402" spans="2:2">
      <c r="B2402" s="161"/>
    </row>
    <row r="2403" spans="2:2">
      <c r="B2403" s="161"/>
    </row>
    <row r="2404" spans="2:2">
      <c r="B2404" s="161"/>
    </row>
    <row r="2405" spans="2:2">
      <c r="B2405" s="161"/>
    </row>
    <row r="2406" spans="2:2">
      <c r="B2406" s="161"/>
    </row>
    <row r="2407" spans="2:2">
      <c r="B2407" s="161"/>
    </row>
    <row r="2408" spans="2:2">
      <c r="B2408" s="161"/>
    </row>
    <row r="2409" spans="2:2">
      <c r="B2409" s="161"/>
    </row>
    <row r="2410" spans="2:2">
      <c r="B2410" s="161"/>
    </row>
    <row r="2411" spans="2:2">
      <c r="B2411" s="161"/>
    </row>
    <row r="2412" spans="2:2">
      <c r="B2412" s="161"/>
    </row>
    <row r="2413" spans="2:2">
      <c r="B2413" s="161"/>
    </row>
    <row r="2414" spans="2:2">
      <c r="B2414" s="161"/>
    </row>
    <row r="2415" spans="2:2">
      <c r="B2415" s="161"/>
    </row>
    <row r="2416" spans="2:2">
      <c r="B2416" s="161"/>
    </row>
    <row r="2417" spans="2:2">
      <c r="B2417" s="161"/>
    </row>
    <row r="2418" spans="2:2">
      <c r="B2418" s="161"/>
    </row>
    <row r="2419" spans="2:2">
      <c r="B2419" s="161"/>
    </row>
    <row r="2420" spans="2:2">
      <c r="B2420" s="161"/>
    </row>
    <row r="2421" spans="2:2">
      <c r="B2421" s="161"/>
    </row>
    <row r="2422" spans="2:2">
      <c r="B2422" s="161"/>
    </row>
    <row r="2423" spans="2:2">
      <c r="B2423" s="161"/>
    </row>
    <row r="2424" spans="2:2">
      <c r="B2424" s="161"/>
    </row>
    <row r="2425" spans="2:2">
      <c r="B2425" s="161"/>
    </row>
    <row r="2426" spans="2:2">
      <c r="B2426" s="161"/>
    </row>
    <row r="2427" spans="2:2">
      <c r="B2427" s="161"/>
    </row>
    <row r="2428" spans="2:2">
      <c r="B2428" s="161"/>
    </row>
    <row r="2429" spans="2:2">
      <c r="B2429" s="161"/>
    </row>
    <row r="2430" spans="2:2">
      <c r="B2430" s="161"/>
    </row>
    <row r="2431" spans="2:2">
      <c r="B2431" s="161"/>
    </row>
    <row r="2432" spans="2:2">
      <c r="B2432" s="161"/>
    </row>
    <row r="2433" spans="2:2">
      <c r="B2433" s="161"/>
    </row>
    <row r="2434" spans="2:2">
      <c r="B2434" s="161"/>
    </row>
    <row r="2435" spans="2:2">
      <c r="B2435" s="161"/>
    </row>
    <row r="2436" spans="2:2">
      <c r="B2436" s="161"/>
    </row>
    <row r="2437" spans="2:2">
      <c r="B2437" s="161"/>
    </row>
    <row r="2438" spans="2:2">
      <c r="B2438" s="161"/>
    </row>
    <row r="2439" spans="2:2">
      <c r="B2439" s="161"/>
    </row>
    <row r="2440" spans="2:2">
      <c r="B2440" s="161"/>
    </row>
    <row r="2441" spans="2:2">
      <c r="B2441" s="161"/>
    </row>
    <row r="2442" spans="2:2">
      <c r="B2442" s="161"/>
    </row>
    <row r="2443" spans="2:2">
      <c r="B2443" s="161"/>
    </row>
    <row r="2444" spans="2:2">
      <c r="B2444" s="161"/>
    </row>
    <row r="2445" spans="2:2">
      <c r="B2445" s="161"/>
    </row>
    <row r="2446" spans="2:2">
      <c r="B2446" s="161"/>
    </row>
    <row r="2447" spans="2:2">
      <c r="B2447" s="161"/>
    </row>
    <row r="2448" spans="2:2">
      <c r="B2448" s="161"/>
    </row>
    <row r="2449" spans="2:2">
      <c r="B2449" s="161"/>
    </row>
    <row r="2450" spans="2:2">
      <c r="B2450" s="161"/>
    </row>
    <row r="2451" spans="2:2">
      <c r="B2451" s="161"/>
    </row>
    <row r="2452" spans="2:2">
      <c r="B2452" s="161"/>
    </row>
    <row r="2453" spans="2:2">
      <c r="B2453" s="161"/>
    </row>
    <row r="2454" spans="2:2">
      <c r="B2454" s="161"/>
    </row>
    <row r="2455" spans="2:2">
      <c r="B2455" s="161"/>
    </row>
    <row r="2456" spans="2:2">
      <c r="B2456" s="161"/>
    </row>
    <row r="2457" spans="2:2">
      <c r="B2457" s="161"/>
    </row>
    <row r="2458" spans="2:2">
      <c r="B2458" s="161"/>
    </row>
    <row r="2459" spans="2:2">
      <c r="B2459" s="161"/>
    </row>
    <row r="2460" spans="2:2">
      <c r="B2460" s="161"/>
    </row>
    <row r="2461" spans="2:2">
      <c r="B2461" s="161"/>
    </row>
    <row r="2462" spans="2:2">
      <c r="B2462" s="161"/>
    </row>
    <row r="2463" spans="2:2">
      <c r="B2463" s="161"/>
    </row>
    <row r="2464" spans="2:2">
      <c r="B2464" s="161"/>
    </row>
    <row r="2465" spans="2:2">
      <c r="B2465" s="161"/>
    </row>
    <row r="2466" spans="2:2">
      <c r="B2466" s="161"/>
    </row>
    <row r="2467" spans="2:2">
      <c r="B2467" s="161"/>
    </row>
    <row r="2468" spans="2:2">
      <c r="B2468" s="161"/>
    </row>
    <row r="2469" spans="2:2">
      <c r="B2469" s="161"/>
    </row>
    <row r="2470" spans="2:2">
      <c r="B2470" s="161"/>
    </row>
    <row r="2471" spans="2:2">
      <c r="B2471" s="161"/>
    </row>
    <row r="2472" spans="2:2">
      <c r="B2472" s="161"/>
    </row>
    <row r="2473" spans="2:2">
      <c r="B2473" s="161"/>
    </row>
    <row r="2474" spans="2:2">
      <c r="B2474" s="161"/>
    </row>
    <row r="2475" spans="2:2">
      <c r="B2475" s="161"/>
    </row>
    <row r="2476" spans="2:2">
      <c r="B2476" s="161"/>
    </row>
    <row r="2477" spans="2:2">
      <c r="B2477" s="161"/>
    </row>
    <row r="2478" spans="2:2">
      <c r="B2478" s="161"/>
    </row>
    <row r="2479" spans="2:2">
      <c r="B2479" s="161"/>
    </row>
    <row r="2480" spans="2:2">
      <c r="B2480" s="161"/>
    </row>
    <row r="2481" spans="2:2">
      <c r="B2481" s="161"/>
    </row>
    <row r="2482" spans="2:2">
      <c r="B2482" s="161"/>
    </row>
    <row r="2483" spans="2:2">
      <c r="B2483" s="161"/>
    </row>
    <row r="2484" spans="2:2">
      <c r="B2484" s="161"/>
    </row>
    <row r="2485" spans="2:2">
      <c r="B2485" s="161"/>
    </row>
    <row r="2486" spans="2:2">
      <c r="B2486" s="161"/>
    </row>
    <row r="2487" spans="2:2">
      <c r="B2487" s="161"/>
    </row>
    <row r="2488" spans="2:2">
      <c r="B2488" s="161"/>
    </row>
    <row r="2489" spans="2:2">
      <c r="B2489" s="161"/>
    </row>
    <row r="2490" spans="2:2">
      <c r="B2490" s="161"/>
    </row>
    <row r="2491" spans="2:2">
      <c r="B2491" s="161"/>
    </row>
    <row r="2492" spans="2:2">
      <c r="B2492" s="161"/>
    </row>
    <row r="2493" spans="2:2">
      <c r="B2493" s="161"/>
    </row>
    <row r="2494" spans="2:2">
      <c r="B2494" s="161"/>
    </row>
    <row r="2495" spans="2:2">
      <c r="B2495" s="161"/>
    </row>
    <row r="2496" spans="2:2">
      <c r="B2496" s="161"/>
    </row>
    <row r="2497" spans="2:2">
      <c r="B2497" s="161"/>
    </row>
    <row r="2498" spans="2:2">
      <c r="B2498" s="161"/>
    </row>
    <row r="2499" spans="2:2">
      <c r="B2499" s="161"/>
    </row>
    <row r="2500" spans="2:2">
      <c r="B2500" s="161"/>
    </row>
    <row r="2501" spans="2:2">
      <c r="B2501" s="161"/>
    </row>
    <row r="2502" spans="2:2">
      <c r="B2502" s="161"/>
    </row>
    <row r="2503" spans="2:2">
      <c r="B2503" s="161"/>
    </row>
    <row r="2504" spans="2:2">
      <c r="B2504" s="161"/>
    </row>
    <row r="2505" spans="2:2">
      <c r="B2505" s="161"/>
    </row>
    <row r="2506" spans="2:2">
      <c r="B2506" s="161"/>
    </row>
    <row r="2507" spans="2:2">
      <c r="B2507" s="161"/>
    </row>
    <row r="2508" spans="2:2">
      <c r="B2508" s="161"/>
    </row>
    <row r="2509" spans="2:2">
      <c r="B2509" s="161"/>
    </row>
    <row r="2510" spans="2:2">
      <c r="B2510" s="161"/>
    </row>
    <row r="2511" spans="2:2">
      <c r="B2511" s="161"/>
    </row>
    <row r="2512" spans="2:2">
      <c r="B2512" s="161"/>
    </row>
    <row r="2513" spans="2:2">
      <c r="B2513" s="161"/>
    </row>
    <row r="2514" spans="2:2">
      <c r="B2514" s="161"/>
    </row>
    <row r="2515" spans="2:2">
      <c r="B2515" s="161"/>
    </row>
    <row r="2516" spans="2:2">
      <c r="B2516" s="161"/>
    </row>
    <row r="2517" spans="2:2">
      <c r="B2517" s="161"/>
    </row>
    <row r="2518" spans="2:2">
      <c r="B2518" s="161"/>
    </row>
    <row r="2519" spans="2:2">
      <c r="B2519" s="161"/>
    </row>
    <row r="2520" spans="2:2">
      <c r="B2520" s="161"/>
    </row>
    <row r="2521" spans="2:2">
      <c r="B2521" s="161"/>
    </row>
    <row r="2522" spans="2:2">
      <c r="B2522" s="161"/>
    </row>
    <row r="2523" spans="2:2">
      <c r="B2523" s="161"/>
    </row>
    <row r="2524" spans="2:2">
      <c r="B2524" s="161"/>
    </row>
    <row r="2525" spans="2:2">
      <c r="B2525" s="161"/>
    </row>
    <row r="2526" spans="2:2">
      <c r="B2526" s="161"/>
    </row>
    <row r="2527" spans="2:2">
      <c r="B2527" s="161"/>
    </row>
    <row r="2528" spans="2:2">
      <c r="B2528" s="161"/>
    </row>
    <row r="2529" spans="2:2">
      <c r="B2529" s="161"/>
    </row>
    <row r="2530" spans="2:2">
      <c r="B2530" s="161"/>
    </row>
    <row r="2531" spans="2:2">
      <c r="B2531" s="161"/>
    </row>
    <row r="2532" spans="2:2">
      <c r="B2532" s="161"/>
    </row>
    <row r="2533" spans="2:2">
      <c r="B2533" s="161"/>
    </row>
    <row r="2534" spans="2:2">
      <c r="B2534" s="161"/>
    </row>
    <row r="2535" spans="2:2">
      <c r="B2535" s="161"/>
    </row>
    <row r="2536" spans="2:2">
      <c r="B2536" s="161"/>
    </row>
    <row r="2537" spans="2:2">
      <c r="B2537" s="161"/>
    </row>
    <row r="2538" spans="2:2">
      <c r="B2538" s="161"/>
    </row>
    <row r="2539" spans="2:2">
      <c r="B2539" s="161"/>
    </row>
    <row r="2540" spans="2:2">
      <c r="B2540" s="161"/>
    </row>
    <row r="2541" spans="2:2">
      <c r="B2541" s="161"/>
    </row>
    <row r="2542" spans="2:2">
      <c r="B2542" s="161"/>
    </row>
    <row r="2543" spans="2:2">
      <c r="B2543" s="161"/>
    </row>
    <row r="2544" spans="2:2">
      <c r="B2544" s="161"/>
    </row>
    <row r="2545" spans="2:2">
      <c r="B2545" s="161"/>
    </row>
    <row r="2546" spans="2:2">
      <c r="B2546" s="161"/>
    </row>
    <row r="2547" spans="2:2">
      <c r="B2547" s="161"/>
    </row>
    <row r="2548" spans="2:2">
      <c r="B2548" s="161"/>
    </row>
    <row r="2549" spans="2:2">
      <c r="B2549" s="161"/>
    </row>
    <row r="2550" spans="2:2">
      <c r="B2550" s="161"/>
    </row>
    <row r="2551" spans="2:2">
      <c r="B2551" s="161"/>
    </row>
    <row r="2552" spans="2:2">
      <c r="B2552" s="161"/>
    </row>
    <row r="2553" spans="2:2">
      <c r="B2553" s="161"/>
    </row>
    <row r="2554" spans="2:2">
      <c r="B2554" s="161"/>
    </row>
    <row r="2555" spans="2:2">
      <c r="B2555" s="161"/>
    </row>
    <row r="2556" spans="2:2">
      <c r="B2556" s="161"/>
    </row>
    <row r="2557" spans="2:2">
      <c r="B2557" s="161"/>
    </row>
    <row r="2558" spans="2:2">
      <c r="B2558" s="161"/>
    </row>
    <row r="2559" spans="2:2">
      <c r="B2559" s="161"/>
    </row>
    <row r="2560" spans="2:2">
      <c r="B2560" s="161"/>
    </row>
    <row r="2561" spans="2:2">
      <c r="B2561" s="161"/>
    </row>
    <row r="2562" spans="2:2">
      <c r="B2562" s="161"/>
    </row>
    <row r="2563" spans="2:2">
      <c r="B2563" s="161"/>
    </row>
    <row r="2564" spans="2:2">
      <c r="B2564" s="161"/>
    </row>
    <row r="2565" spans="2:2">
      <c r="B2565" s="161"/>
    </row>
    <row r="2566" spans="2:2">
      <c r="B2566" s="161"/>
    </row>
    <row r="2567" spans="2:2">
      <c r="B2567" s="161"/>
    </row>
    <row r="2568" spans="2:2">
      <c r="B2568" s="161"/>
    </row>
    <row r="2569" spans="2:2">
      <c r="B2569" s="161"/>
    </row>
    <row r="2570" spans="2:2">
      <c r="B2570" s="161"/>
    </row>
    <row r="2571" spans="2:2">
      <c r="B2571" s="161"/>
    </row>
    <row r="2572" spans="2:2">
      <c r="B2572" s="161"/>
    </row>
    <row r="2573" spans="2:2">
      <c r="B2573" s="161"/>
    </row>
    <row r="2574" spans="2:2">
      <c r="B2574" s="161"/>
    </row>
    <row r="2575" spans="2:2">
      <c r="B2575" s="161"/>
    </row>
    <row r="2576" spans="2:2">
      <c r="B2576" s="161"/>
    </row>
    <row r="2577" spans="2:2">
      <c r="B2577" s="161"/>
    </row>
    <row r="2578" spans="2:2">
      <c r="B2578" s="161"/>
    </row>
    <row r="2579" spans="2:2">
      <c r="B2579" s="161"/>
    </row>
    <row r="2580" spans="2:2">
      <c r="B2580" s="161"/>
    </row>
    <row r="2581" spans="2:2">
      <c r="B2581" s="161"/>
    </row>
    <row r="2582" spans="2:2">
      <c r="B2582" s="161"/>
    </row>
    <row r="2583" spans="2:2">
      <c r="B2583" s="161"/>
    </row>
    <row r="2584" spans="2:2">
      <c r="B2584" s="161"/>
    </row>
    <row r="2585" spans="2:2">
      <c r="B2585" s="161"/>
    </row>
    <row r="2586" spans="2:2">
      <c r="B2586" s="161"/>
    </row>
    <row r="2587" spans="2:2">
      <c r="B2587" s="161"/>
    </row>
    <row r="2588" spans="2:2">
      <c r="B2588" s="161"/>
    </row>
    <row r="2589" spans="2:2">
      <c r="B2589" s="161"/>
    </row>
    <row r="2590" spans="2:2">
      <c r="B2590" s="161"/>
    </row>
    <row r="2591" spans="2:2">
      <c r="B2591" s="161"/>
    </row>
    <row r="2592" spans="2:2">
      <c r="B2592" s="161"/>
    </row>
    <row r="2593" spans="2:2">
      <c r="B2593" s="161"/>
    </row>
    <row r="2594" spans="2:2">
      <c r="B2594" s="161"/>
    </row>
    <row r="2595" spans="2:2">
      <c r="B2595" s="161"/>
    </row>
    <row r="2596" spans="2:2">
      <c r="B2596" s="161"/>
    </row>
    <row r="2597" spans="2:2">
      <c r="B2597" s="161"/>
    </row>
    <row r="2598" spans="2:2">
      <c r="B2598" s="161"/>
    </row>
    <row r="2599" spans="2:2">
      <c r="B2599" s="161"/>
    </row>
    <row r="2600" spans="2:2">
      <c r="B2600" s="161"/>
    </row>
    <row r="2601" spans="2:2">
      <c r="B2601" s="161"/>
    </row>
    <row r="2602" spans="2:2">
      <c r="B2602" s="161"/>
    </row>
    <row r="2603" spans="2:2">
      <c r="B2603" s="161"/>
    </row>
    <row r="2604" spans="2:2">
      <c r="B2604" s="161"/>
    </row>
    <row r="2605" spans="2:2">
      <c r="B2605" s="161"/>
    </row>
    <row r="2606" spans="2:2">
      <c r="B2606" s="161"/>
    </row>
    <row r="2607" spans="2:2">
      <c r="B2607" s="161"/>
    </row>
    <row r="2608" spans="2:2">
      <c r="B2608" s="161"/>
    </row>
    <row r="2609" spans="2:2">
      <c r="B2609" s="161"/>
    </row>
    <row r="2610" spans="2:2">
      <c r="B2610" s="161"/>
    </row>
    <row r="2611" spans="2:2">
      <c r="B2611" s="161"/>
    </row>
    <row r="2612" spans="2:2">
      <c r="B2612" s="161"/>
    </row>
    <row r="2613" spans="2:2">
      <c r="B2613" s="161"/>
    </row>
    <row r="2614" spans="2:2">
      <c r="B2614" s="161"/>
    </row>
    <row r="2615" spans="2:2">
      <c r="B2615" s="161"/>
    </row>
    <row r="2616" spans="2:2">
      <c r="B2616" s="161"/>
    </row>
    <row r="2617" spans="2:2">
      <c r="B2617" s="161"/>
    </row>
    <row r="2618" spans="2:2">
      <c r="B2618" s="161"/>
    </row>
    <row r="2619" spans="2:2">
      <c r="B2619" s="161"/>
    </row>
    <row r="2620" spans="2:2">
      <c r="B2620" s="161"/>
    </row>
    <row r="2621" spans="2:2">
      <c r="B2621" s="161"/>
    </row>
    <row r="2622" spans="2:2">
      <c r="B2622" s="161"/>
    </row>
    <row r="2623" spans="2:2">
      <c r="B2623" s="161"/>
    </row>
    <row r="2624" spans="2:2">
      <c r="B2624" s="161"/>
    </row>
    <row r="2625" spans="2:2">
      <c r="B2625" s="161"/>
    </row>
    <row r="2626" spans="2:2">
      <c r="B2626" s="161"/>
    </row>
    <row r="2627" spans="2:2">
      <c r="B2627" s="161"/>
    </row>
    <row r="2628" spans="2:2">
      <c r="B2628" s="161"/>
    </row>
    <row r="2629" spans="2:2">
      <c r="B2629" s="161"/>
    </row>
    <row r="2630" spans="2:2">
      <c r="B2630" s="161"/>
    </row>
    <row r="2631" spans="2:2">
      <c r="B2631" s="161"/>
    </row>
    <row r="2632" spans="2:2">
      <c r="B2632" s="161"/>
    </row>
    <row r="2633" spans="2:2">
      <c r="B2633" s="161"/>
    </row>
    <row r="2634" spans="2:2">
      <c r="B2634" s="161"/>
    </row>
    <row r="2635" spans="2:2">
      <c r="B2635" s="161"/>
    </row>
    <row r="2636" spans="2:2">
      <c r="B2636" s="161"/>
    </row>
    <row r="2637" spans="2:2">
      <c r="B2637" s="161"/>
    </row>
    <row r="2638" spans="2:2">
      <c r="B2638" s="161"/>
    </row>
    <row r="2639" spans="2:2">
      <c r="B2639" s="161"/>
    </row>
    <row r="2640" spans="2:2">
      <c r="B2640" s="161"/>
    </row>
    <row r="2641" spans="2:2">
      <c r="B2641" s="161"/>
    </row>
    <row r="2642" spans="2:2">
      <c r="B2642" s="161"/>
    </row>
    <row r="2643" spans="2:2">
      <c r="B2643" s="161"/>
    </row>
    <row r="2644" spans="2:2">
      <c r="B2644" s="161"/>
    </row>
    <row r="2645" spans="2:2">
      <c r="B2645" s="161"/>
    </row>
    <row r="2646" spans="2:2">
      <c r="B2646" s="161"/>
    </row>
    <row r="2647" spans="2:2">
      <c r="B2647" s="161"/>
    </row>
    <row r="2648" spans="2:2">
      <c r="B2648" s="161"/>
    </row>
    <row r="2649" spans="2:2">
      <c r="B2649" s="161"/>
    </row>
    <row r="2650" spans="2:2">
      <c r="B2650" s="161"/>
    </row>
    <row r="2651" spans="2:2">
      <c r="B2651" s="161"/>
    </row>
    <row r="2652" spans="2:2">
      <c r="B2652" s="161"/>
    </row>
    <row r="2653" spans="2:2">
      <c r="B2653" s="161"/>
    </row>
    <row r="2654" spans="2:2">
      <c r="B2654" s="161"/>
    </row>
    <row r="2655" spans="2:2">
      <c r="B2655" s="161"/>
    </row>
    <row r="2656" spans="2:2">
      <c r="B2656" s="161"/>
    </row>
    <row r="2657" spans="2:2">
      <c r="B2657" s="161"/>
    </row>
    <row r="2658" spans="2:2">
      <c r="B2658" s="161"/>
    </row>
    <row r="2659" spans="2:2">
      <c r="B2659" s="161"/>
    </row>
    <row r="2660" spans="2:2">
      <c r="B2660" s="161"/>
    </row>
    <row r="2661" spans="2:2">
      <c r="B2661" s="161"/>
    </row>
    <row r="2662" spans="2:2">
      <c r="B2662" s="161"/>
    </row>
    <row r="2663" spans="2:2">
      <c r="B2663" s="161"/>
    </row>
    <row r="2664" spans="2:2">
      <c r="B2664" s="161"/>
    </row>
    <row r="2665" spans="2:2">
      <c r="B2665" s="161"/>
    </row>
    <row r="2666" spans="2:2">
      <c r="B2666" s="161"/>
    </row>
    <row r="2667" spans="2:2">
      <c r="B2667" s="161"/>
    </row>
    <row r="2668" spans="2:2">
      <c r="B2668" s="161"/>
    </row>
    <row r="2669" spans="2:2">
      <c r="B2669" s="161"/>
    </row>
    <row r="2670" spans="2:2">
      <c r="B2670" s="161"/>
    </row>
    <row r="2671" spans="2:2">
      <c r="B2671" s="161"/>
    </row>
    <row r="2672" spans="2:2">
      <c r="B2672" s="161"/>
    </row>
    <row r="2673" spans="2:2">
      <c r="B2673" s="161"/>
    </row>
    <row r="2674" spans="2:2">
      <c r="B2674" s="161"/>
    </row>
    <row r="2675" spans="2:2">
      <c r="B2675" s="161"/>
    </row>
    <row r="2676" spans="2:2">
      <c r="B2676" s="161"/>
    </row>
    <row r="2677" spans="2:2">
      <c r="B2677" s="161"/>
    </row>
    <row r="2678" spans="2:2">
      <c r="B2678" s="161"/>
    </row>
    <row r="2679" spans="2:2">
      <c r="B2679" s="161"/>
    </row>
    <row r="2680" spans="2:2">
      <c r="B2680" s="161"/>
    </row>
    <row r="2681" spans="2:2">
      <c r="B2681" s="161"/>
    </row>
    <row r="2682" spans="2:2">
      <c r="B2682" s="161"/>
    </row>
    <row r="2683" spans="2:2">
      <c r="B2683" s="161"/>
    </row>
    <row r="2684" spans="2:2">
      <c r="B2684" s="161"/>
    </row>
    <row r="2685" spans="2:2">
      <c r="B2685" s="161"/>
    </row>
    <row r="2686" spans="2:2">
      <c r="B2686" s="161"/>
    </row>
    <row r="2687" spans="2:2">
      <c r="B2687" s="161"/>
    </row>
    <row r="2688" spans="2:2">
      <c r="B2688" s="161"/>
    </row>
    <row r="2689" spans="2:2">
      <c r="B2689" s="161"/>
    </row>
    <row r="2690" spans="2:2">
      <c r="B2690" s="161"/>
    </row>
    <row r="2691" spans="2:2">
      <c r="B2691" s="161"/>
    </row>
    <row r="2692" spans="2:2">
      <c r="B2692" s="161"/>
    </row>
    <row r="2693" spans="2:2">
      <c r="B2693" s="161"/>
    </row>
    <row r="2694" spans="2:2">
      <c r="B2694" s="161"/>
    </row>
    <row r="2695" spans="2:2">
      <c r="B2695" s="161"/>
    </row>
    <row r="2696" spans="2:2">
      <c r="B2696" s="161"/>
    </row>
    <row r="2697" spans="2:2">
      <c r="B2697" s="161"/>
    </row>
    <row r="2698" spans="2:2">
      <c r="B2698" s="161"/>
    </row>
    <row r="2699" spans="2:2">
      <c r="B2699" s="161"/>
    </row>
    <row r="2700" spans="2:2">
      <c r="B2700" s="161"/>
    </row>
    <row r="2701" spans="2:2">
      <c r="B2701" s="161"/>
    </row>
    <row r="2702" spans="2:2">
      <c r="B2702" s="161"/>
    </row>
    <row r="2703" spans="2:2">
      <c r="B2703" s="161"/>
    </row>
    <row r="2704" spans="2:2">
      <c r="B2704" s="161"/>
    </row>
    <row r="2705" spans="2:2">
      <c r="B2705" s="161"/>
    </row>
    <row r="2706" spans="2:2">
      <c r="B2706" s="161"/>
    </row>
    <row r="2707" spans="2:2">
      <c r="B2707" s="161"/>
    </row>
    <row r="2708" spans="2:2">
      <c r="B2708" s="161"/>
    </row>
    <row r="2709" spans="2:2">
      <c r="B2709" s="161"/>
    </row>
    <row r="2710" spans="2:2">
      <c r="B2710" s="161"/>
    </row>
    <row r="2711" spans="2:2">
      <c r="B2711" s="161"/>
    </row>
    <row r="2712" spans="2:2">
      <c r="B2712" s="161"/>
    </row>
    <row r="2713" spans="2:2">
      <c r="B2713" s="161"/>
    </row>
    <row r="2714" spans="2:2">
      <c r="B2714" s="161"/>
    </row>
    <row r="2715" spans="2:2">
      <c r="B2715" s="161"/>
    </row>
    <row r="2716" spans="2:2">
      <c r="B2716" s="161"/>
    </row>
    <row r="2717" spans="2:2">
      <c r="B2717" s="161"/>
    </row>
    <row r="2718" spans="2:2">
      <c r="B2718" s="161"/>
    </row>
    <row r="2719" spans="2:2">
      <c r="B2719" s="161"/>
    </row>
    <row r="2720" spans="2:2">
      <c r="B2720" s="161"/>
    </row>
    <row r="2721" spans="2:2">
      <c r="B2721" s="161"/>
    </row>
    <row r="2722" spans="2:2">
      <c r="B2722" s="161"/>
    </row>
    <row r="2723" spans="2:2">
      <c r="B2723" s="161"/>
    </row>
    <row r="2724" spans="2:2">
      <c r="B2724" s="161"/>
    </row>
  </sheetData>
  <sheetProtection algorithmName="SHA-512" hashValue="4XXdmXBiBYaiqdgvPkQxE+Ic3cM5Gy9dVszJXhs2kYFbHa810aeJCDafnG9h94GslG3MTBFtQ2aGgeilMtnMpg==" saltValue="WKdLPDrQ3ffZ1J8XFExa3A==" spinCount="100000" sheet="1" objects="1" scenarios="1"/>
  <mergeCells count="69">
    <mergeCell ref="D104:E106"/>
    <mergeCell ref="A114:E114"/>
    <mergeCell ref="D115:E117"/>
    <mergeCell ref="A103:E103"/>
    <mergeCell ref="A58:E58"/>
    <mergeCell ref="A61:E61"/>
    <mergeCell ref="A62:E62"/>
    <mergeCell ref="D64:E64"/>
    <mergeCell ref="A69:E69"/>
    <mergeCell ref="A76:E76"/>
    <mergeCell ref="A77:E77"/>
    <mergeCell ref="A84:E84"/>
    <mergeCell ref="A90:E90"/>
    <mergeCell ref="A98:E98"/>
    <mergeCell ref="A118:E118"/>
    <mergeCell ref="A128:E128"/>
    <mergeCell ref="A107:E107"/>
    <mergeCell ref="D174:E176"/>
    <mergeCell ref="D129:E131"/>
    <mergeCell ref="A165:E165"/>
    <mergeCell ref="A171:E171"/>
    <mergeCell ref="A172:E172"/>
    <mergeCell ref="A173:E173"/>
    <mergeCell ref="A152:E152"/>
    <mergeCell ref="F154:F160"/>
    <mergeCell ref="A161:E161"/>
    <mergeCell ref="A132:E132"/>
    <mergeCell ref="D133:E137"/>
    <mergeCell ref="A138:E138"/>
    <mergeCell ref="A142:E142"/>
    <mergeCell ref="A143:E143"/>
    <mergeCell ref="D144:E146"/>
    <mergeCell ref="A147:E147"/>
    <mergeCell ref="D148:E151"/>
    <mergeCell ref="D108:E113"/>
    <mergeCell ref="C13:C17"/>
    <mergeCell ref="D13:E17"/>
    <mergeCell ref="A102:E102"/>
    <mergeCell ref="D48:D49"/>
    <mergeCell ref="E48:E49"/>
    <mergeCell ref="D44:E44"/>
    <mergeCell ref="A18:E18"/>
    <mergeCell ref="D19:E21"/>
    <mergeCell ref="A22:E22"/>
    <mergeCell ref="A23:E23"/>
    <mergeCell ref="D24:E24"/>
    <mergeCell ref="D26:E26"/>
    <mergeCell ref="D25:E25"/>
    <mergeCell ref="D27:E27"/>
    <mergeCell ref="D28:E39"/>
    <mergeCell ref="A1:E1"/>
    <mergeCell ref="A3:A4"/>
    <mergeCell ref="B3:B4"/>
    <mergeCell ref="C3:C4"/>
    <mergeCell ref="D3:E4"/>
    <mergeCell ref="A12:E12"/>
    <mergeCell ref="A54:E54"/>
    <mergeCell ref="A5:E5"/>
    <mergeCell ref="A6:E6"/>
    <mergeCell ref="C7:C10"/>
    <mergeCell ref="D7:E11"/>
    <mergeCell ref="A11:C11"/>
    <mergeCell ref="A47:D47"/>
    <mergeCell ref="E50:E53"/>
    <mergeCell ref="A40:C40"/>
    <mergeCell ref="D40:E40"/>
    <mergeCell ref="A41:E41"/>
    <mergeCell ref="B48:B49"/>
    <mergeCell ref="C48:C4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E10"/>
  <sheetViews>
    <sheetView workbookViewId="0">
      <selection activeCell="E16" sqref="E16"/>
    </sheetView>
  </sheetViews>
  <sheetFormatPr baseColWidth="10" defaultRowHeight="12.75"/>
  <cols>
    <col min="2" max="2" width="42.140625" customWidth="1"/>
    <col min="3" max="3" width="25.5703125" customWidth="1"/>
    <col min="4" max="4" width="20.140625" customWidth="1"/>
  </cols>
  <sheetData>
    <row r="3" spans="2:5" ht="15">
      <c r="B3" s="724" t="s">
        <v>2345</v>
      </c>
      <c r="C3" s="724"/>
      <c r="D3" s="724"/>
      <c r="E3" s="624"/>
    </row>
    <row r="4" spans="2:5" ht="14.25">
      <c r="B4" s="725" t="s">
        <v>2346</v>
      </c>
      <c r="C4" s="725"/>
      <c r="D4" s="725"/>
      <c r="E4" s="626"/>
    </row>
    <row r="5" spans="2:5" ht="15">
      <c r="B5" s="724" t="s">
        <v>373</v>
      </c>
      <c r="C5" s="724"/>
      <c r="D5" s="724"/>
      <c r="E5" s="624"/>
    </row>
    <row r="6" spans="2:5" ht="24" customHeight="1">
      <c r="B6" s="731" t="s">
        <v>2442</v>
      </c>
      <c r="C6" s="731"/>
      <c r="D6" s="731"/>
      <c r="E6" s="625"/>
    </row>
    <row r="7" spans="2:5" ht="36" customHeight="1">
      <c r="B7" s="666" t="s">
        <v>49</v>
      </c>
      <c r="C7" s="666" t="s">
        <v>124</v>
      </c>
      <c r="D7" s="666" t="s">
        <v>2343</v>
      </c>
    </row>
    <row r="8" spans="2:5" ht="27.75" customHeight="1">
      <c r="B8" s="667" t="s">
        <v>2344</v>
      </c>
      <c r="C8" s="8" t="s">
        <v>1710</v>
      </c>
      <c r="D8" s="668">
        <v>1100</v>
      </c>
    </row>
    <row r="9" spans="2:5" ht="24.75" customHeight="1">
      <c r="B9" s="667" t="s">
        <v>2438</v>
      </c>
      <c r="C9" s="8" t="s">
        <v>2439</v>
      </c>
      <c r="D9" s="668">
        <v>7000</v>
      </c>
    </row>
    <row r="10" spans="2:5" ht="25.5" customHeight="1">
      <c r="B10" s="667" t="s">
        <v>2440</v>
      </c>
      <c r="C10" s="8" t="s">
        <v>2441</v>
      </c>
      <c r="D10" s="668">
        <v>11000</v>
      </c>
    </row>
  </sheetData>
  <sheetProtection algorithmName="SHA-512" hashValue="AqdWHV9dhH5ToUCeskpnYNdQk10417cLrA5cNZ9pBM0k+xyB9uVqaqNLP6tTYT4mUnkp59AJLjqT7ktin5ue7A==" saltValue="11y+XutkCI+wfWfzR64CcQ==" spinCount="100000" sheet="1" objects="1" scenarios="1"/>
  <mergeCells count="4">
    <mergeCell ref="B3:D3"/>
    <mergeCell ref="B5:D5"/>
    <mergeCell ref="B6:D6"/>
    <mergeCell ref="B4:D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33"/>
  <sheetViews>
    <sheetView workbookViewId="0">
      <selection activeCell="F7" sqref="F7"/>
    </sheetView>
  </sheetViews>
  <sheetFormatPr baseColWidth="10" defaultRowHeight="12.75"/>
  <cols>
    <col min="1" max="1" width="45.85546875" customWidth="1"/>
    <col min="2" max="2" width="30" bestFit="1" customWidth="1"/>
    <col min="3" max="3" width="26" customWidth="1"/>
    <col min="256" max="256" width="45.85546875" customWidth="1"/>
    <col min="257" max="257" width="27.140625" customWidth="1"/>
    <col min="258" max="258" width="26" customWidth="1"/>
    <col min="512" max="512" width="45.85546875" customWidth="1"/>
    <col min="513" max="513" width="27.140625" customWidth="1"/>
    <col min="514" max="514" width="26" customWidth="1"/>
    <col min="768" max="768" width="45.85546875" customWidth="1"/>
    <col min="769" max="769" width="27.140625" customWidth="1"/>
    <col min="770" max="770" width="26" customWidth="1"/>
    <col min="1024" max="1024" width="45.85546875" customWidth="1"/>
    <col min="1025" max="1025" width="27.140625" customWidth="1"/>
    <col min="1026" max="1026" width="26" customWidth="1"/>
    <col min="1280" max="1280" width="45.85546875" customWidth="1"/>
    <col min="1281" max="1281" width="27.140625" customWidth="1"/>
    <col min="1282" max="1282" width="26" customWidth="1"/>
    <col min="1536" max="1536" width="45.85546875" customWidth="1"/>
    <col min="1537" max="1537" width="27.140625" customWidth="1"/>
    <col min="1538" max="1538" width="26" customWidth="1"/>
    <col min="1792" max="1792" width="45.85546875" customWidth="1"/>
    <col min="1793" max="1793" width="27.140625" customWidth="1"/>
    <col min="1794" max="1794" width="26" customWidth="1"/>
    <col min="2048" max="2048" width="45.85546875" customWidth="1"/>
    <col min="2049" max="2049" width="27.140625" customWidth="1"/>
    <col min="2050" max="2050" width="26" customWidth="1"/>
    <col min="2304" max="2304" width="45.85546875" customWidth="1"/>
    <col min="2305" max="2305" width="27.140625" customWidth="1"/>
    <col min="2306" max="2306" width="26" customWidth="1"/>
    <col min="2560" max="2560" width="45.85546875" customWidth="1"/>
    <col min="2561" max="2561" width="27.140625" customWidth="1"/>
    <col min="2562" max="2562" width="26" customWidth="1"/>
    <col min="2816" max="2816" width="45.85546875" customWidth="1"/>
    <col min="2817" max="2817" width="27.140625" customWidth="1"/>
    <col min="2818" max="2818" width="26" customWidth="1"/>
    <col min="3072" max="3072" width="45.85546875" customWidth="1"/>
    <col min="3073" max="3073" width="27.140625" customWidth="1"/>
    <col min="3074" max="3074" width="26" customWidth="1"/>
    <col min="3328" max="3328" width="45.85546875" customWidth="1"/>
    <col min="3329" max="3329" width="27.140625" customWidth="1"/>
    <col min="3330" max="3330" width="26" customWidth="1"/>
    <col min="3584" max="3584" width="45.85546875" customWidth="1"/>
    <col min="3585" max="3585" width="27.140625" customWidth="1"/>
    <col min="3586" max="3586" width="26" customWidth="1"/>
    <col min="3840" max="3840" width="45.85546875" customWidth="1"/>
    <col min="3841" max="3841" width="27.140625" customWidth="1"/>
    <col min="3842" max="3842" width="26" customWidth="1"/>
    <col min="4096" max="4096" width="45.85546875" customWidth="1"/>
    <col min="4097" max="4097" width="27.140625" customWidth="1"/>
    <col min="4098" max="4098" width="26" customWidth="1"/>
    <col min="4352" max="4352" width="45.85546875" customWidth="1"/>
    <col min="4353" max="4353" width="27.140625" customWidth="1"/>
    <col min="4354" max="4354" width="26" customWidth="1"/>
    <col min="4608" max="4608" width="45.85546875" customWidth="1"/>
    <col min="4609" max="4609" width="27.140625" customWidth="1"/>
    <col min="4610" max="4610" width="26" customWidth="1"/>
    <col min="4864" max="4864" width="45.85546875" customWidth="1"/>
    <col min="4865" max="4865" width="27.140625" customWidth="1"/>
    <col min="4866" max="4866" width="26" customWidth="1"/>
    <col min="5120" max="5120" width="45.85546875" customWidth="1"/>
    <col min="5121" max="5121" width="27.140625" customWidth="1"/>
    <col min="5122" max="5122" width="26" customWidth="1"/>
    <col min="5376" max="5376" width="45.85546875" customWidth="1"/>
    <col min="5377" max="5377" width="27.140625" customWidth="1"/>
    <col min="5378" max="5378" width="26" customWidth="1"/>
    <col min="5632" max="5632" width="45.85546875" customWidth="1"/>
    <col min="5633" max="5633" width="27.140625" customWidth="1"/>
    <col min="5634" max="5634" width="26" customWidth="1"/>
    <col min="5888" max="5888" width="45.85546875" customWidth="1"/>
    <col min="5889" max="5889" width="27.140625" customWidth="1"/>
    <col min="5890" max="5890" width="26" customWidth="1"/>
    <col min="6144" max="6144" width="45.85546875" customWidth="1"/>
    <col min="6145" max="6145" width="27.140625" customWidth="1"/>
    <col min="6146" max="6146" width="26" customWidth="1"/>
    <col min="6400" max="6400" width="45.85546875" customWidth="1"/>
    <col min="6401" max="6401" width="27.140625" customWidth="1"/>
    <col min="6402" max="6402" width="26" customWidth="1"/>
    <col min="6656" max="6656" width="45.85546875" customWidth="1"/>
    <col min="6657" max="6657" width="27.140625" customWidth="1"/>
    <col min="6658" max="6658" width="26" customWidth="1"/>
    <col min="6912" max="6912" width="45.85546875" customWidth="1"/>
    <col min="6913" max="6913" width="27.140625" customWidth="1"/>
    <col min="6914" max="6914" width="26" customWidth="1"/>
    <col min="7168" max="7168" width="45.85546875" customWidth="1"/>
    <col min="7169" max="7169" width="27.140625" customWidth="1"/>
    <col min="7170" max="7170" width="26" customWidth="1"/>
    <col min="7424" max="7424" width="45.85546875" customWidth="1"/>
    <col min="7425" max="7425" width="27.140625" customWidth="1"/>
    <col min="7426" max="7426" width="26" customWidth="1"/>
    <col min="7680" max="7680" width="45.85546875" customWidth="1"/>
    <col min="7681" max="7681" width="27.140625" customWidth="1"/>
    <col min="7682" max="7682" width="26" customWidth="1"/>
    <col min="7936" max="7936" width="45.85546875" customWidth="1"/>
    <col min="7937" max="7937" width="27.140625" customWidth="1"/>
    <col min="7938" max="7938" width="26" customWidth="1"/>
    <col min="8192" max="8192" width="45.85546875" customWidth="1"/>
    <col min="8193" max="8193" width="27.140625" customWidth="1"/>
    <col min="8194" max="8194" width="26" customWidth="1"/>
    <col min="8448" max="8448" width="45.85546875" customWidth="1"/>
    <col min="8449" max="8449" width="27.140625" customWidth="1"/>
    <col min="8450" max="8450" width="26" customWidth="1"/>
    <col min="8704" max="8704" width="45.85546875" customWidth="1"/>
    <col min="8705" max="8705" width="27.140625" customWidth="1"/>
    <col min="8706" max="8706" width="26" customWidth="1"/>
    <col min="8960" max="8960" width="45.85546875" customWidth="1"/>
    <col min="8961" max="8961" width="27.140625" customWidth="1"/>
    <col min="8962" max="8962" width="26" customWidth="1"/>
    <col min="9216" max="9216" width="45.85546875" customWidth="1"/>
    <col min="9217" max="9217" width="27.140625" customWidth="1"/>
    <col min="9218" max="9218" width="26" customWidth="1"/>
    <col min="9472" max="9472" width="45.85546875" customWidth="1"/>
    <col min="9473" max="9473" width="27.140625" customWidth="1"/>
    <col min="9474" max="9474" width="26" customWidth="1"/>
    <col min="9728" max="9728" width="45.85546875" customWidth="1"/>
    <col min="9729" max="9729" width="27.140625" customWidth="1"/>
    <col min="9730" max="9730" width="26" customWidth="1"/>
    <col min="9984" max="9984" width="45.85546875" customWidth="1"/>
    <col min="9985" max="9985" width="27.140625" customWidth="1"/>
    <col min="9986" max="9986" width="26" customWidth="1"/>
    <col min="10240" max="10240" width="45.85546875" customWidth="1"/>
    <col min="10241" max="10241" width="27.140625" customWidth="1"/>
    <col min="10242" max="10242" width="26" customWidth="1"/>
    <col min="10496" max="10496" width="45.85546875" customWidth="1"/>
    <col min="10497" max="10497" width="27.140625" customWidth="1"/>
    <col min="10498" max="10498" width="26" customWidth="1"/>
    <col min="10752" max="10752" width="45.85546875" customWidth="1"/>
    <col min="10753" max="10753" width="27.140625" customWidth="1"/>
    <col min="10754" max="10754" width="26" customWidth="1"/>
    <col min="11008" max="11008" width="45.85546875" customWidth="1"/>
    <col min="11009" max="11009" width="27.140625" customWidth="1"/>
    <col min="11010" max="11010" width="26" customWidth="1"/>
    <col min="11264" max="11264" width="45.85546875" customWidth="1"/>
    <col min="11265" max="11265" width="27.140625" customWidth="1"/>
    <col min="11266" max="11266" width="26" customWidth="1"/>
    <col min="11520" max="11520" width="45.85546875" customWidth="1"/>
    <col min="11521" max="11521" width="27.140625" customWidth="1"/>
    <col min="11522" max="11522" width="26" customWidth="1"/>
    <col min="11776" max="11776" width="45.85546875" customWidth="1"/>
    <col min="11777" max="11777" width="27.140625" customWidth="1"/>
    <col min="11778" max="11778" width="26" customWidth="1"/>
    <col min="12032" max="12032" width="45.85546875" customWidth="1"/>
    <col min="12033" max="12033" width="27.140625" customWidth="1"/>
    <col min="12034" max="12034" width="26" customWidth="1"/>
    <col min="12288" max="12288" width="45.85546875" customWidth="1"/>
    <col min="12289" max="12289" width="27.140625" customWidth="1"/>
    <col min="12290" max="12290" width="26" customWidth="1"/>
    <col min="12544" max="12544" width="45.85546875" customWidth="1"/>
    <col min="12545" max="12545" width="27.140625" customWidth="1"/>
    <col min="12546" max="12546" width="26" customWidth="1"/>
    <col min="12800" max="12800" width="45.85546875" customWidth="1"/>
    <col min="12801" max="12801" width="27.140625" customWidth="1"/>
    <col min="12802" max="12802" width="26" customWidth="1"/>
    <col min="13056" max="13056" width="45.85546875" customWidth="1"/>
    <col min="13057" max="13057" width="27.140625" customWidth="1"/>
    <col min="13058" max="13058" width="26" customWidth="1"/>
    <col min="13312" max="13312" width="45.85546875" customWidth="1"/>
    <col min="13313" max="13313" width="27.140625" customWidth="1"/>
    <col min="13314" max="13314" width="26" customWidth="1"/>
    <col min="13568" max="13568" width="45.85546875" customWidth="1"/>
    <col min="13569" max="13569" width="27.140625" customWidth="1"/>
    <col min="13570" max="13570" width="26" customWidth="1"/>
    <col min="13824" max="13824" width="45.85546875" customWidth="1"/>
    <col min="13825" max="13825" width="27.140625" customWidth="1"/>
    <col min="13826" max="13826" width="26" customWidth="1"/>
    <col min="14080" max="14080" width="45.85546875" customWidth="1"/>
    <col min="14081" max="14081" width="27.140625" customWidth="1"/>
    <col min="14082" max="14082" width="26" customWidth="1"/>
    <col min="14336" max="14336" width="45.85546875" customWidth="1"/>
    <col min="14337" max="14337" width="27.140625" customWidth="1"/>
    <col min="14338" max="14338" width="26" customWidth="1"/>
    <col min="14592" max="14592" width="45.85546875" customWidth="1"/>
    <col min="14593" max="14593" width="27.140625" customWidth="1"/>
    <col min="14594" max="14594" width="26" customWidth="1"/>
    <col min="14848" max="14848" width="45.85546875" customWidth="1"/>
    <col min="14849" max="14849" width="27.140625" customWidth="1"/>
    <col min="14850" max="14850" width="26" customWidth="1"/>
    <col min="15104" max="15104" width="45.85546875" customWidth="1"/>
    <col min="15105" max="15105" width="27.140625" customWidth="1"/>
    <col min="15106" max="15106" width="26" customWidth="1"/>
    <col min="15360" max="15360" width="45.85546875" customWidth="1"/>
    <col min="15361" max="15361" width="27.140625" customWidth="1"/>
    <col min="15362" max="15362" width="26" customWidth="1"/>
    <col min="15616" max="15616" width="45.85546875" customWidth="1"/>
    <col min="15617" max="15617" width="27.140625" customWidth="1"/>
    <col min="15618" max="15618" width="26" customWidth="1"/>
    <col min="15872" max="15872" width="45.85546875" customWidth="1"/>
    <col min="15873" max="15873" width="27.140625" customWidth="1"/>
    <col min="15874" max="15874" width="26" customWidth="1"/>
    <col min="16128" max="16128" width="45.85546875" customWidth="1"/>
    <col min="16129" max="16129" width="27.140625" customWidth="1"/>
    <col min="16130" max="16130" width="26" customWidth="1"/>
  </cols>
  <sheetData>
    <row r="1" spans="1:3" ht="15">
      <c r="A1" s="680" t="s">
        <v>2347</v>
      </c>
      <c r="B1" s="680"/>
      <c r="C1" s="680"/>
    </row>
    <row r="2" spans="1:3" ht="15">
      <c r="A2" s="680" t="s">
        <v>2364</v>
      </c>
      <c r="B2" s="680"/>
      <c r="C2" s="680"/>
    </row>
    <row r="3" spans="1:3" ht="14.25">
      <c r="A3" s="799"/>
      <c r="B3" s="799"/>
      <c r="C3" s="799"/>
    </row>
    <row r="4" spans="1:3" ht="21" customHeight="1">
      <c r="A4" s="510" t="s">
        <v>49</v>
      </c>
      <c r="B4" s="510" t="s">
        <v>124</v>
      </c>
      <c r="C4" s="242" t="s">
        <v>75</v>
      </c>
    </row>
    <row r="5" spans="1:3" ht="18" customHeight="1">
      <c r="A5" s="634" t="s">
        <v>125</v>
      </c>
      <c r="B5" s="169"/>
      <c r="C5" s="620"/>
    </row>
    <row r="6" spans="1:3" ht="18" customHeight="1">
      <c r="A6" s="628" t="s">
        <v>2348</v>
      </c>
      <c r="B6" s="628" t="s">
        <v>2349</v>
      </c>
      <c r="C6" s="630">
        <v>14</v>
      </c>
    </row>
    <row r="7" spans="1:3" ht="18" customHeight="1">
      <c r="A7" s="628" t="s">
        <v>2232</v>
      </c>
      <c r="B7" s="628" t="str">
        <f>+B6</f>
        <v>Por metro eslora día o fracción</v>
      </c>
      <c r="C7" s="630">
        <v>2</v>
      </c>
    </row>
    <row r="8" spans="1:3" ht="18" customHeight="1">
      <c r="A8" s="1084" t="s">
        <v>2350</v>
      </c>
      <c r="B8" s="1084"/>
      <c r="C8" s="242" t="s">
        <v>75</v>
      </c>
    </row>
    <row r="9" spans="1:3" ht="18" customHeight="1">
      <c r="A9" s="628" t="s">
        <v>1214</v>
      </c>
      <c r="B9" s="621" t="s">
        <v>56</v>
      </c>
      <c r="C9" s="148">
        <v>4.5</v>
      </c>
    </row>
    <row r="10" spans="1:3" ht="18" customHeight="1">
      <c r="A10" s="628" t="s">
        <v>2351</v>
      </c>
      <c r="B10" s="621" t="s">
        <v>56</v>
      </c>
      <c r="C10" s="629">
        <v>4.5</v>
      </c>
    </row>
    <row r="11" spans="1:3" ht="14.25">
      <c r="A11" s="860"/>
      <c r="B11" s="861"/>
      <c r="C11" s="862"/>
    </row>
    <row r="12" spans="1:3" ht="18" customHeight="1">
      <c r="A12" s="1084" t="s">
        <v>2062</v>
      </c>
      <c r="B12" s="1084"/>
      <c r="C12" s="242" t="s">
        <v>75</v>
      </c>
    </row>
    <row r="13" spans="1:3" ht="18" customHeight="1">
      <c r="A13" s="628" t="s">
        <v>1214</v>
      </c>
      <c r="B13" s="621" t="s">
        <v>56</v>
      </c>
      <c r="C13" s="148">
        <v>1.2</v>
      </c>
    </row>
    <row r="14" spans="1:3" ht="18" customHeight="1">
      <c r="A14" s="628" t="s">
        <v>2351</v>
      </c>
      <c r="B14" s="631" t="s">
        <v>56</v>
      </c>
      <c r="C14" s="148">
        <v>1.2</v>
      </c>
    </row>
    <row r="15" spans="1:3" ht="18" customHeight="1">
      <c r="A15" s="6" t="s">
        <v>210</v>
      </c>
      <c r="B15" s="621" t="s">
        <v>96</v>
      </c>
      <c r="C15" s="148">
        <v>14</v>
      </c>
    </row>
    <row r="16" spans="1:3" ht="18" customHeight="1">
      <c r="A16" s="6" t="s">
        <v>131</v>
      </c>
      <c r="B16" s="621" t="s">
        <v>96</v>
      </c>
      <c r="C16" s="148">
        <v>38</v>
      </c>
    </row>
    <row r="17" spans="1:3" ht="18" customHeight="1">
      <c r="A17" s="6" t="s">
        <v>272</v>
      </c>
      <c r="B17" s="627" t="s">
        <v>2359</v>
      </c>
      <c r="C17" s="148">
        <v>1.8</v>
      </c>
    </row>
    <row r="18" spans="1:3" ht="18" customHeight="1">
      <c r="A18" s="6" t="s">
        <v>2363</v>
      </c>
      <c r="B18" s="627" t="s">
        <v>2360</v>
      </c>
      <c r="C18" s="148">
        <v>95</v>
      </c>
    </row>
    <row r="19" spans="1:3" ht="18" customHeight="1">
      <c r="A19" s="6" t="s">
        <v>2362</v>
      </c>
      <c r="B19" s="627" t="s">
        <v>2360</v>
      </c>
      <c r="C19" s="148">
        <v>120</v>
      </c>
    </row>
    <row r="20" spans="1:3" ht="18" customHeight="1">
      <c r="A20" s="6" t="s">
        <v>368</v>
      </c>
      <c r="B20" s="627" t="s">
        <v>2361</v>
      </c>
      <c r="C20" s="148">
        <v>8</v>
      </c>
    </row>
    <row r="21" spans="1:3" ht="14.1" customHeight="1">
      <c r="A21" s="860"/>
      <c r="B21" s="861"/>
      <c r="C21" s="862"/>
    </row>
    <row r="22" spans="1:3" ht="18" customHeight="1">
      <c r="A22" s="635" t="s">
        <v>2063</v>
      </c>
      <c r="B22" s="636"/>
      <c r="C22" s="639"/>
    </row>
    <row r="23" spans="1:3" ht="18" customHeight="1">
      <c r="A23" s="457" t="s">
        <v>2352</v>
      </c>
      <c r="B23" s="622" t="s">
        <v>1921</v>
      </c>
      <c r="C23" s="632">
        <v>8.8000000000000005E-3</v>
      </c>
    </row>
    <row r="24" spans="1:3" ht="18" customHeight="1">
      <c r="A24" s="457" t="s">
        <v>2353</v>
      </c>
      <c r="B24" s="622" t="s">
        <v>1921</v>
      </c>
      <c r="C24" s="633">
        <v>0.01</v>
      </c>
    </row>
    <row r="25" spans="1:3" ht="18" customHeight="1">
      <c r="A25" s="457" t="s">
        <v>2354</v>
      </c>
      <c r="B25" s="622" t="s">
        <v>1921</v>
      </c>
      <c r="C25" s="632">
        <v>1.0999999999999999E-2</v>
      </c>
    </row>
    <row r="26" spans="1:3" ht="18" customHeight="1">
      <c r="A26" s="457" t="s">
        <v>2355</v>
      </c>
      <c r="B26" s="622" t="s">
        <v>1921</v>
      </c>
      <c r="C26" s="632">
        <v>1.4999999999999999E-2</v>
      </c>
    </row>
    <row r="27" spans="1:3" ht="14.1" customHeight="1">
      <c r="A27" s="637"/>
      <c r="B27" s="623"/>
      <c r="C27" s="638"/>
    </row>
    <row r="28" spans="1:3" ht="18" customHeight="1">
      <c r="A28" s="1078" t="s">
        <v>114</v>
      </c>
      <c r="B28" s="1079"/>
      <c r="C28" s="1080"/>
    </row>
    <row r="29" spans="1:3" ht="18" customHeight="1">
      <c r="A29" s="860" t="s">
        <v>1608</v>
      </c>
      <c r="B29" s="861"/>
      <c r="C29" s="862"/>
    </row>
    <row r="30" spans="1:3" ht="14.1" customHeight="1">
      <c r="A30" s="912"/>
      <c r="B30" s="912"/>
      <c r="C30" s="912"/>
    </row>
    <row r="31" spans="1:3" ht="18" customHeight="1">
      <c r="A31" s="1078" t="s">
        <v>2356</v>
      </c>
      <c r="B31" s="1079"/>
      <c r="C31" s="1080"/>
    </row>
    <row r="32" spans="1:3" ht="18" customHeight="1">
      <c r="A32" s="1081" t="s">
        <v>2357</v>
      </c>
      <c r="B32" s="1082"/>
      <c r="C32" s="1083"/>
    </row>
    <row r="33" spans="1:3" ht="18" customHeight="1">
      <c r="A33" s="1081" t="s">
        <v>2358</v>
      </c>
      <c r="B33" s="1082"/>
      <c r="C33" s="1083"/>
    </row>
  </sheetData>
  <sheetProtection algorithmName="SHA-512" hashValue="nYa/dygNwHlc7tk+WMz38qOAtinz3tfoC+h+nQZ2cXNCT7g5QDy7/abBzik+7Yl87ZOh5gUbEALEg7CdNCF5PQ==" saltValue="i+FdBHXEX/QDx/4RD6z86w==" spinCount="100000" sheet="1" objects="1" scenarios="1"/>
  <mergeCells count="13">
    <mergeCell ref="A21:C21"/>
    <mergeCell ref="A1:C1"/>
    <mergeCell ref="A2:C2"/>
    <mergeCell ref="A3:C3"/>
    <mergeCell ref="A8:B8"/>
    <mergeCell ref="A11:C11"/>
    <mergeCell ref="A12:B12"/>
    <mergeCell ref="A29:C29"/>
    <mergeCell ref="A28:C28"/>
    <mergeCell ref="A32:C32"/>
    <mergeCell ref="A33:C33"/>
    <mergeCell ref="A31:C31"/>
    <mergeCell ref="A30:C3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E114"/>
  <sheetViews>
    <sheetView workbookViewId="0">
      <selection activeCell="H17" sqref="H17"/>
    </sheetView>
  </sheetViews>
  <sheetFormatPr baseColWidth="10" defaultRowHeight="12.75"/>
  <cols>
    <col min="1" max="1" width="47.7109375" bestFit="1" customWidth="1"/>
    <col min="2" max="2" width="17.140625" style="3" customWidth="1"/>
    <col min="3" max="3" width="15.28515625" customWidth="1"/>
    <col min="4" max="4" width="13.140625" customWidth="1"/>
    <col min="5" max="5" width="17.85546875" customWidth="1"/>
    <col min="257" max="257" width="47.42578125" customWidth="1"/>
    <col min="258" max="258" width="12.42578125" customWidth="1"/>
    <col min="259" max="260" width="9.5703125" bestFit="1" customWidth="1"/>
    <col min="261" max="261" width="12.140625" customWidth="1"/>
    <col min="513" max="513" width="47.42578125" customWidth="1"/>
    <col min="514" max="514" width="12.42578125" customWidth="1"/>
    <col min="515" max="516" width="9.5703125" bestFit="1" customWidth="1"/>
    <col min="517" max="517" width="12.140625" customWidth="1"/>
    <col min="769" max="769" width="47.42578125" customWidth="1"/>
    <col min="770" max="770" width="12.42578125" customWidth="1"/>
    <col min="771" max="772" width="9.5703125" bestFit="1" customWidth="1"/>
    <col min="773" max="773" width="12.140625" customWidth="1"/>
    <col min="1025" max="1025" width="47.42578125" customWidth="1"/>
    <col min="1026" max="1026" width="12.42578125" customWidth="1"/>
    <col min="1027" max="1028" width="9.5703125" bestFit="1" customWidth="1"/>
    <col min="1029" max="1029" width="12.140625" customWidth="1"/>
    <col min="1281" max="1281" width="47.42578125" customWidth="1"/>
    <col min="1282" max="1282" width="12.42578125" customWidth="1"/>
    <col min="1283" max="1284" width="9.5703125" bestFit="1" customWidth="1"/>
    <col min="1285" max="1285" width="12.140625" customWidth="1"/>
    <col min="1537" max="1537" width="47.42578125" customWidth="1"/>
    <col min="1538" max="1538" width="12.42578125" customWidth="1"/>
    <col min="1539" max="1540" width="9.5703125" bestFit="1" customWidth="1"/>
    <col min="1541" max="1541" width="12.140625" customWidth="1"/>
    <col min="1793" max="1793" width="47.42578125" customWidth="1"/>
    <col min="1794" max="1794" width="12.42578125" customWidth="1"/>
    <col min="1795" max="1796" width="9.5703125" bestFit="1" customWidth="1"/>
    <col min="1797" max="1797" width="12.140625" customWidth="1"/>
    <col min="2049" max="2049" width="47.42578125" customWidth="1"/>
    <col min="2050" max="2050" width="12.42578125" customWidth="1"/>
    <col min="2051" max="2052" width="9.5703125" bestFit="1" customWidth="1"/>
    <col min="2053" max="2053" width="12.140625" customWidth="1"/>
    <col min="2305" max="2305" width="47.42578125" customWidth="1"/>
    <col min="2306" max="2306" width="12.42578125" customWidth="1"/>
    <col min="2307" max="2308" width="9.5703125" bestFit="1" customWidth="1"/>
    <col min="2309" max="2309" width="12.140625" customWidth="1"/>
    <col min="2561" max="2561" width="47.42578125" customWidth="1"/>
    <col min="2562" max="2562" width="12.42578125" customWidth="1"/>
    <col min="2563" max="2564" width="9.5703125" bestFit="1" customWidth="1"/>
    <col min="2565" max="2565" width="12.140625" customWidth="1"/>
    <col min="2817" max="2817" width="47.42578125" customWidth="1"/>
    <col min="2818" max="2818" width="12.42578125" customWidth="1"/>
    <col min="2819" max="2820" width="9.5703125" bestFit="1" customWidth="1"/>
    <col min="2821" max="2821" width="12.140625" customWidth="1"/>
    <col min="3073" max="3073" width="47.42578125" customWidth="1"/>
    <col min="3074" max="3074" width="12.42578125" customWidth="1"/>
    <col min="3075" max="3076" width="9.5703125" bestFit="1" customWidth="1"/>
    <col min="3077" max="3077" width="12.140625" customWidth="1"/>
    <col min="3329" max="3329" width="47.42578125" customWidth="1"/>
    <col min="3330" max="3330" width="12.42578125" customWidth="1"/>
    <col min="3331" max="3332" width="9.5703125" bestFit="1" customWidth="1"/>
    <col min="3333" max="3333" width="12.140625" customWidth="1"/>
    <col min="3585" max="3585" width="47.42578125" customWidth="1"/>
    <col min="3586" max="3586" width="12.42578125" customWidth="1"/>
    <col min="3587" max="3588" width="9.5703125" bestFit="1" customWidth="1"/>
    <col min="3589" max="3589" width="12.140625" customWidth="1"/>
    <col min="3841" max="3841" width="47.42578125" customWidth="1"/>
    <col min="3842" max="3842" width="12.42578125" customWidth="1"/>
    <col min="3843" max="3844" width="9.5703125" bestFit="1" customWidth="1"/>
    <col min="3845" max="3845" width="12.140625" customWidth="1"/>
    <col min="4097" max="4097" width="47.42578125" customWidth="1"/>
    <col min="4098" max="4098" width="12.42578125" customWidth="1"/>
    <col min="4099" max="4100" width="9.5703125" bestFit="1" customWidth="1"/>
    <col min="4101" max="4101" width="12.140625" customWidth="1"/>
    <col min="4353" max="4353" width="47.42578125" customWidth="1"/>
    <col min="4354" max="4354" width="12.42578125" customWidth="1"/>
    <col min="4355" max="4356" width="9.5703125" bestFit="1" customWidth="1"/>
    <col min="4357" max="4357" width="12.140625" customWidth="1"/>
    <col min="4609" max="4609" width="47.42578125" customWidth="1"/>
    <col min="4610" max="4610" width="12.42578125" customWidth="1"/>
    <col min="4611" max="4612" width="9.5703125" bestFit="1" customWidth="1"/>
    <col min="4613" max="4613" width="12.140625" customWidth="1"/>
    <col min="4865" max="4865" width="47.42578125" customWidth="1"/>
    <col min="4866" max="4866" width="12.42578125" customWidth="1"/>
    <col min="4867" max="4868" width="9.5703125" bestFit="1" customWidth="1"/>
    <col min="4869" max="4869" width="12.140625" customWidth="1"/>
    <col min="5121" max="5121" width="47.42578125" customWidth="1"/>
    <col min="5122" max="5122" width="12.42578125" customWidth="1"/>
    <col min="5123" max="5124" width="9.5703125" bestFit="1" customWidth="1"/>
    <col min="5125" max="5125" width="12.140625" customWidth="1"/>
    <col min="5377" max="5377" width="47.42578125" customWidth="1"/>
    <col min="5378" max="5378" width="12.42578125" customWidth="1"/>
    <col min="5379" max="5380" width="9.5703125" bestFit="1" customWidth="1"/>
    <col min="5381" max="5381" width="12.140625" customWidth="1"/>
    <col min="5633" max="5633" width="47.42578125" customWidth="1"/>
    <col min="5634" max="5634" width="12.42578125" customWidth="1"/>
    <col min="5635" max="5636" width="9.5703125" bestFit="1" customWidth="1"/>
    <col min="5637" max="5637" width="12.140625" customWidth="1"/>
    <col min="5889" max="5889" width="47.42578125" customWidth="1"/>
    <col min="5890" max="5890" width="12.42578125" customWidth="1"/>
    <col min="5891" max="5892" width="9.5703125" bestFit="1" customWidth="1"/>
    <col min="5893" max="5893" width="12.140625" customWidth="1"/>
    <col min="6145" max="6145" width="47.42578125" customWidth="1"/>
    <col min="6146" max="6146" width="12.42578125" customWidth="1"/>
    <col min="6147" max="6148" width="9.5703125" bestFit="1" customWidth="1"/>
    <col min="6149" max="6149" width="12.140625" customWidth="1"/>
    <col min="6401" max="6401" width="47.42578125" customWidth="1"/>
    <col min="6402" max="6402" width="12.42578125" customWidth="1"/>
    <col min="6403" max="6404" width="9.5703125" bestFit="1" customWidth="1"/>
    <col min="6405" max="6405" width="12.140625" customWidth="1"/>
    <col min="6657" max="6657" width="47.42578125" customWidth="1"/>
    <col min="6658" max="6658" width="12.42578125" customWidth="1"/>
    <col min="6659" max="6660" width="9.5703125" bestFit="1" customWidth="1"/>
    <col min="6661" max="6661" width="12.140625" customWidth="1"/>
    <col min="6913" max="6913" width="47.42578125" customWidth="1"/>
    <col min="6914" max="6914" width="12.42578125" customWidth="1"/>
    <col min="6915" max="6916" width="9.5703125" bestFit="1" customWidth="1"/>
    <col min="6917" max="6917" width="12.140625" customWidth="1"/>
    <col min="7169" max="7169" width="47.42578125" customWidth="1"/>
    <col min="7170" max="7170" width="12.42578125" customWidth="1"/>
    <col min="7171" max="7172" width="9.5703125" bestFit="1" customWidth="1"/>
    <col min="7173" max="7173" width="12.140625" customWidth="1"/>
    <col min="7425" max="7425" width="47.42578125" customWidth="1"/>
    <col min="7426" max="7426" width="12.42578125" customWidth="1"/>
    <col min="7427" max="7428" width="9.5703125" bestFit="1" customWidth="1"/>
    <col min="7429" max="7429" width="12.140625" customWidth="1"/>
    <col min="7681" max="7681" width="47.42578125" customWidth="1"/>
    <col min="7682" max="7682" width="12.42578125" customWidth="1"/>
    <col min="7683" max="7684" width="9.5703125" bestFit="1" customWidth="1"/>
    <col min="7685" max="7685" width="12.140625" customWidth="1"/>
    <col min="7937" max="7937" width="47.42578125" customWidth="1"/>
    <col min="7938" max="7938" width="12.42578125" customWidth="1"/>
    <col min="7939" max="7940" width="9.5703125" bestFit="1" customWidth="1"/>
    <col min="7941" max="7941" width="12.140625" customWidth="1"/>
    <col min="8193" max="8193" width="47.42578125" customWidth="1"/>
    <col min="8194" max="8194" width="12.42578125" customWidth="1"/>
    <col min="8195" max="8196" width="9.5703125" bestFit="1" customWidth="1"/>
    <col min="8197" max="8197" width="12.140625" customWidth="1"/>
    <col min="8449" max="8449" width="47.42578125" customWidth="1"/>
    <col min="8450" max="8450" width="12.42578125" customWidth="1"/>
    <col min="8451" max="8452" width="9.5703125" bestFit="1" customWidth="1"/>
    <col min="8453" max="8453" width="12.140625" customWidth="1"/>
    <col min="8705" max="8705" width="47.42578125" customWidth="1"/>
    <col min="8706" max="8706" width="12.42578125" customWidth="1"/>
    <col min="8707" max="8708" width="9.5703125" bestFit="1" customWidth="1"/>
    <col min="8709" max="8709" width="12.140625" customWidth="1"/>
    <col min="8961" max="8961" width="47.42578125" customWidth="1"/>
    <col min="8962" max="8962" width="12.42578125" customWidth="1"/>
    <col min="8963" max="8964" width="9.5703125" bestFit="1" customWidth="1"/>
    <col min="8965" max="8965" width="12.140625" customWidth="1"/>
    <col min="9217" max="9217" width="47.42578125" customWidth="1"/>
    <col min="9218" max="9218" width="12.42578125" customWidth="1"/>
    <col min="9219" max="9220" width="9.5703125" bestFit="1" customWidth="1"/>
    <col min="9221" max="9221" width="12.140625" customWidth="1"/>
    <col min="9473" max="9473" width="47.42578125" customWidth="1"/>
    <col min="9474" max="9474" width="12.42578125" customWidth="1"/>
    <col min="9475" max="9476" width="9.5703125" bestFit="1" customWidth="1"/>
    <col min="9477" max="9477" width="12.140625" customWidth="1"/>
    <col min="9729" max="9729" width="47.42578125" customWidth="1"/>
    <col min="9730" max="9730" width="12.42578125" customWidth="1"/>
    <col min="9731" max="9732" width="9.5703125" bestFit="1" customWidth="1"/>
    <col min="9733" max="9733" width="12.140625" customWidth="1"/>
    <col min="9985" max="9985" width="47.42578125" customWidth="1"/>
    <col min="9986" max="9986" width="12.42578125" customWidth="1"/>
    <col min="9987" max="9988" width="9.5703125" bestFit="1" customWidth="1"/>
    <col min="9989" max="9989" width="12.140625" customWidth="1"/>
    <col min="10241" max="10241" width="47.42578125" customWidth="1"/>
    <col min="10242" max="10242" width="12.42578125" customWidth="1"/>
    <col min="10243" max="10244" width="9.5703125" bestFit="1" customWidth="1"/>
    <col min="10245" max="10245" width="12.140625" customWidth="1"/>
    <col min="10497" max="10497" width="47.42578125" customWidth="1"/>
    <col min="10498" max="10498" width="12.42578125" customWidth="1"/>
    <col min="10499" max="10500" width="9.5703125" bestFit="1" customWidth="1"/>
    <col min="10501" max="10501" width="12.140625" customWidth="1"/>
    <col min="10753" max="10753" width="47.42578125" customWidth="1"/>
    <col min="10754" max="10754" width="12.42578125" customWidth="1"/>
    <col min="10755" max="10756" width="9.5703125" bestFit="1" customWidth="1"/>
    <col min="10757" max="10757" width="12.140625" customWidth="1"/>
    <col min="11009" max="11009" width="47.42578125" customWidth="1"/>
    <col min="11010" max="11010" width="12.42578125" customWidth="1"/>
    <col min="11011" max="11012" width="9.5703125" bestFit="1" customWidth="1"/>
    <col min="11013" max="11013" width="12.140625" customWidth="1"/>
    <col min="11265" max="11265" width="47.42578125" customWidth="1"/>
    <col min="11266" max="11266" width="12.42578125" customWidth="1"/>
    <col min="11267" max="11268" width="9.5703125" bestFit="1" customWidth="1"/>
    <col min="11269" max="11269" width="12.140625" customWidth="1"/>
    <col min="11521" max="11521" width="47.42578125" customWidth="1"/>
    <col min="11522" max="11522" width="12.42578125" customWidth="1"/>
    <col min="11523" max="11524" width="9.5703125" bestFit="1" customWidth="1"/>
    <col min="11525" max="11525" width="12.140625" customWidth="1"/>
    <col min="11777" max="11777" width="47.42578125" customWidth="1"/>
    <col min="11778" max="11778" width="12.42578125" customWidth="1"/>
    <col min="11779" max="11780" width="9.5703125" bestFit="1" customWidth="1"/>
    <col min="11781" max="11781" width="12.140625" customWidth="1"/>
    <col min="12033" max="12033" width="47.42578125" customWidth="1"/>
    <col min="12034" max="12034" width="12.42578125" customWidth="1"/>
    <col min="12035" max="12036" width="9.5703125" bestFit="1" customWidth="1"/>
    <col min="12037" max="12037" width="12.140625" customWidth="1"/>
    <col min="12289" max="12289" width="47.42578125" customWidth="1"/>
    <col min="12290" max="12290" width="12.42578125" customWidth="1"/>
    <col min="12291" max="12292" width="9.5703125" bestFit="1" customWidth="1"/>
    <col min="12293" max="12293" width="12.140625" customWidth="1"/>
    <col min="12545" max="12545" width="47.42578125" customWidth="1"/>
    <col min="12546" max="12546" width="12.42578125" customWidth="1"/>
    <col min="12547" max="12548" width="9.5703125" bestFit="1" customWidth="1"/>
    <col min="12549" max="12549" width="12.140625" customWidth="1"/>
    <col min="12801" max="12801" width="47.42578125" customWidth="1"/>
    <col min="12802" max="12802" width="12.42578125" customWidth="1"/>
    <col min="12803" max="12804" width="9.5703125" bestFit="1" customWidth="1"/>
    <col min="12805" max="12805" width="12.140625" customWidth="1"/>
    <col min="13057" max="13057" width="47.42578125" customWidth="1"/>
    <col min="13058" max="13058" width="12.42578125" customWidth="1"/>
    <col min="13059" max="13060" width="9.5703125" bestFit="1" customWidth="1"/>
    <col min="13061" max="13061" width="12.140625" customWidth="1"/>
    <col min="13313" max="13313" width="47.42578125" customWidth="1"/>
    <col min="13314" max="13314" width="12.42578125" customWidth="1"/>
    <col min="13315" max="13316" width="9.5703125" bestFit="1" customWidth="1"/>
    <col min="13317" max="13317" width="12.140625" customWidth="1"/>
    <col min="13569" max="13569" width="47.42578125" customWidth="1"/>
    <col min="13570" max="13570" width="12.42578125" customWidth="1"/>
    <col min="13571" max="13572" width="9.5703125" bestFit="1" customWidth="1"/>
    <col min="13573" max="13573" width="12.140625" customWidth="1"/>
    <col min="13825" max="13825" width="47.42578125" customWidth="1"/>
    <col min="13826" max="13826" width="12.42578125" customWidth="1"/>
    <col min="13827" max="13828" width="9.5703125" bestFit="1" customWidth="1"/>
    <col min="13829" max="13829" width="12.140625" customWidth="1"/>
    <col min="14081" max="14081" width="47.42578125" customWidth="1"/>
    <col min="14082" max="14082" width="12.42578125" customWidth="1"/>
    <col min="14083" max="14084" width="9.5703125" bestFit="1" customWidth="1"/>
    <col min="14085" max="14085" width="12.140625" customWidth="1"/>
    <col min="14337" max="14337" width="47.42578125" customWidth="1"/>
    <col min="14338" max="14338" width="12.42578125" customWidth="1"/>
    <col min="14339" max="14340" width="9.5703125" bestFit="1" customWidth="1"/>
    <col min="14341" max="14341" width="12.140625" customWidth="1"/>
    <col min="14593" max="14593" width="47.42578125" customWidth="1"/>
    <col min="14594" max="14594" width="12.42578125" customWidth="1"/>
    <col min="14595" max="14596" width="9.5703125" bestFit="1" customWidth="1"/>
    <col min="14597" max="14597" width="12.140625" customWidth="1"/>
    <col min="14849" max="14849" width="47.42578125" customWidth="1"/>
    <col min="14850" max="14850" width="12.42578125" customWidth="1"/>
    <col min="14851" max="14852" width="9.5703125" bestFit="1" customWidth="1"/>
    <col min="14853" max="14853" width="12.140625" customWidth="1"/>
    <col min="15105" max="15105" width="47.42578125" customWidth="1"/>
    <col min="15106" max="15106" width="12.42578125" customWidth="1"/>
    <col min="15107" max="15108" width="9.5703125" bestFit="1" customWidth="1"/>
    <col min="15109" max="15109" width="12.140625" customWidth="1"/>
    <col min="15361" max="15361" width="47.42578125" customWidth="1"/>
    <col min="15362" max="15362" width="12.42578125" customWidth="1"/>
    <col min="15363" max="15364" width="9.5703125" bestFit="1" customWidth="1"/>
    <col min="15365" max="15365" width="12.140625" customWidth="1"/>
    <col min="15617" max="15617" width="47.42578125" customWidth="1"/>
    <col min="15618" max="15618" width="12.42578125" customWidth="1"/>
    <col min="15619" max="15620" width="9.5703125" bestFit="1" customWidth="1"/>
    <col min="15621" max="15621" width="12.140625" customWidth="1"/>
    <col min="15873" max="15873" width="47.42578125" customWidth="1"/>
    <col min="15874" max="15874" width="12.42578125" customWidth="1"/>
    <col min="15875" max="15876" width="9.5703125" bestFit="1" customWidth="1"/>
    <col min="15877" max="15877" width="12.140625" customWidth="1"/>
    <col min="16129" max="16129" width="47.42578125" customWidth="1"/>
    <col min="16130" max="16130" width="12.42578125" customWidth="1"/>
    <col min="16131" max="16132" width="9.5703125" bestFit="1" customWidth="1"/>
    <col min="16133" max="16133" width="12.140625" customWidth="1"/>
  </cols>
  <sheetData>
    <row r="2" spans="1:5">
      <c r="A2" s="902" t="s">
        <v>2369</v>
      </c>
      <c r="B2" s="902"/>
      <c r="C2" s="902"/>
      <c r="D2" s="902"/>
      <c r="E2" s="902"/>
    </row>
    <row r="3" spans="1:5" ht="16.5">
      <c r="A3" s="903" t="s">
        <v>2423</v>
      </c>
      <c r="B3" s="903"/>
      <c r="C3" s="903"/>
      <c r="D3" s="903"/>
      <c r="E3" s="903"/>
    </row>
    <row r="4" spans="1:5" ht="16.5">
      <c r="A4" s="642"/>
      <c r="B4" s="642"/>
      <c r="C4" s="642"/>
      <c r="D4" s="642"/>
      <c r="E4" s="642"/>
    </row>
    <row r="5" spans="1:5" ht="15.75">
      <c r="A5" s="895" t="s">
        <v>2399</v>
      </c>
      <c r="B5" s="896"/>
      <c r="C5" s="896"/>
      <c r="D5" s="896"/>
      <c r="E5" s="897"/>
    </row>
    <row r="6" spans="1:5" ht="15.75">
      <c r="A6" s="239"/>
      <c r="B6" s="898" t="s">
        <v>1729</v>
      </c>
      <c r="C6" s="898"/>
      <c r="D6" s="898" t="s">
        <v>124</v>
      </c>
      <c r="E6" s="898"/>
    </row>
    <row r="7" spans="1:5" ht="23.25" customHeight="1">
      <c r="A7" s="402" t="s">
        <v>2370</v>
      </c>
      <c r="B7" s="904">
        <v>0.55000000000000004</v>
      </c>
      <c r="C7" s="904"/>
      <c r="D7" s="905" t="s">
        <v>107</v>
      </c>
      <c r="E7" s="905"/>
    </row>
    <row r="8" spans="1:5" ht="15.75">
      <c r="A8" s="895" t="s">
        <v>1730</v>
      </c>
      <c r="B8" s="896"/>
      <c r="C8" s="896"/>
      <c r="D8" s="896"/>
      <c r="E8" s="897"/>
    </row>
    <row r="9" spans="1:5" ht="15.75">
      <c r="A9" s="641"/>
      <c r="B9" s="898" t="s">
        <v>1729</v>
      </c>
      <c r="C9" s="898"/>
      <c r="D9" s="898" t="s">
        <v>124</v>
      </c>
      <c r="E9" s="898"/>
    </row>
    <row r="10" spans="1:5">
      <c r="A10" s="27" t="s">
        <v>232</v>
      </c>
      <c r="B10" s="904">
        <v>5.5</v>
      </c>
      <c r="C10" s="904"/>
      <c r="D10" s="901" t="s">
        <v>74</v>
      </c>
      <c r="E10" s="901"/>
    </row>
    <row r="11" spans="1:5">
      <c r="A11" s="27" t="s">
        <v>2371</v>
      </c>
      <c r="B11" s="904">
        <v>4.5</v>
      </c>
      <c r="C11" s="904"/>
      <c r="D11" s="901" t="s">
        <v>74</v>
      </c>
      <c r="E11" s="901"/>
    </row>
    <row r="12" spans="1:5">
      <c r="A12" s="27" t="s">
        <v>234</v>
      </c>
      <c r="B12" s="1095">
        <v>60</v>
      </c>
      <c r="C12" s="1096"/>
      <c r="D12" s="943" t="s">
        <v>110</v>
      </c>
      <c r="E12" s="944"/>
    </row>
    <row r="13" spans="1:5">
      <c r="A13" s="27" t="s">
        <v>235</v>
      </c>
      <c r="B13" s="1095">
        <v>85</v>
      </c>
      <c r="C13" s="1096"/>
      <c r="D13" s="943" t="s">
        <v>110</v>
      </c>
      <c r="E13" s="944"/>
    </row>
    <row r="14" spans="1:5">
      <c r="A14" s="27" t="s">
        <v>236</v>
      </c>
      <c r="B14" s="904">
        <v>150</v>
      </c>
      <c r="C14" s="904"/>
      <c r="D14" s="901" t="s">
        <v>110</v>
      </c>
      <c r="E14" s="901"/>
    </row>
    <row r="15" spans="1:5">
      <c r="A15" s="649" t="s">
        <v>165</v>
      </c>
      <c r="B15" s="650" t="s">
        <v>2380</v>
      </c>
      <c r="C15" s="650" t="s">
        <v>2381</v>
      </c>
      <c r="D15" s="1097"/>
      <c r="E15" s="1097"/>
    </row>
    <row r="16" spans="1:5">
      <c r="A16" s="27" t="s">
        <v>2374</v>
      </c>
      <c r="B16" s="644">
        <v>94</v>
      </c>
      <c r="C16" s="644">
        <v>116</v>
      </c>
      <c r="D16" s="943" t="s">
        <v>1708</v>
      </c>
      <c r="E16" s="944"/>
    </row>
    <row r="17" spans="1:5">
      <c r="A17" s="27" t="s">
        <v>2375</v>
      </c>
      <c r="B17" s="644">
        <v>86</v>
      </c>
      <c r="C17" s="644">
        <v>106</v>
      </c>
      <c r="D17" s="943" t="s">
        <v>1708</v>
      </c>
      <c r="E17" s="944"/>
    </row>
    <row r="18" spans="1:5">
      <c r="A18" s="646" t="s">
        <v>2376</v>
      </c>
      <c r="B18" s="644">
        <v>80</v>
      </c>
      <c r="C18" s="644">
        <v>96</v>
      </c>
      <c r="D18" s="943" t="s">
        <v>1708</v>
      </c>
      <c r="E18" s="944"/>
    </row>
    <row r="19" spans="1:5">
      <c r="A19" s="27" t="s">
        <v>2377</v>
      </c>
      <c r="B19" s="644">
        <v>76</v>
      </c>
      <c r="C19" s="644">
        <v>93</v>
      </c>
      <c r="D19" s="943" t="s">
        <v>1708</v>
      </c>
      <c r="E19" s="944"/>
    </row>
    <row r="20" spans="1:5">
      <c r="A20" s="27" t="s">
        <v>2378</v>
      </c>
      <c r="B20" s="644">
        <v>102</v>
      </c>
      <c r="C20" s="644">
        <v>144</v>
      </c>
      <c r="D20" s="943" t="s">
        <v>1708</v>
      </c>
      <c r="E20" s="944"/>
    </row>
    <row r="21" spans="1:5">
      <c r="A21" s="27" t="s">
        <v>2379</v>
      </c>
      <c r="B21" s="644">
        <v>92</v>
      </c>
      <c r="C21" s="644">
        <v>117</v>
      </c>
      <c r="D21" s="943" t="s">
        <v>1708</v>
      </c>
      <c r="E21" s="944"/>
    </row>
    <row r="22" spans="1:5">
      <c r="A22" s="27" t="s">
        <v>506</v>
      </c>
      <c r="B22" s="644">
        <v>122</v>
      </c>
      <c r="C22" s="644">
        <v>122</v>
      </c>
      <c r="D22" s="943" t="s">
        <v>1708</v>
      </c>
      <c r="E22" s="944"/>
    </row>
    <row r="23" spans="1:5">
      <c r="A23" s="27" t="s">
        <v>2382</v>
      </c>
      <c r="B23" s="644">
        <v>19</v>
      </c>
      <c r="C23" s="647">
        <v>21</v>
      </c>
      <c r="D23" s="943" t="s">
        <v>1708</v>
      </c>
      <c r="E23" s="944"/>
    </row>
    <row r="24" spans="1:5">
      <c r="A24" s="28" t="s">
        <v>1338</v>
      </c>
      <c r="C24" s="644">
        <v>176</v>
      </c>
      <c r="D24" s="1098" t="s">
        <v>1708</v>
      </c>
      <c r="E24" s="1099"/>
    </row>
    <row r="25" spans="1:5">
      <c r="A25" s="649" t="s">
        <v>2387</v>
      </c>
      <c r="B25" s="650" t="s">
        <v>2380</v>
      </c>
      <c r="C25" s="650" t="s">
        <v>2381</v>
      </c>
      <c r="D25" s="1097"/>
      <c r="E25" s="1097"/>
    </row>
    <row r="26" spans="1:5">
      <c r="A26" s="27" t="s">
        <v>2374</v>
      </c>
      <c r="B26" s="644">
        <v>35</v>
      </c>
      <c r="C26" s="644">
        <v>35</v>
      </c>
      <c r="D26" s="943" t="s">
        <v>1708</v>
      </c>
      <c r="E26" s="944"/>
    </row>
    <row r="27" spans="1:5">
      <c r="A27" s="27" t="s">
        <v>2375</v>
      </c>
      <c r="B27" s="644">
        <v>30</v>
      </c>
      <c r="C27" s="644">
        <v>30</v>
      </c>
      <c r="D27" s="943" t="s">
        <v>1708</v>
      </c>
      <c r="E27" s="944"/>
    </row>
    <row r="28" spans="1:5">
      <c r="A28" s="648" t="s">
        <v>2386</v>
      </c>
      <c r="B28" s="644">
        <v>25</v>
      </c>
      <c r="C28" s="644">
        <v>25</v>
      </c>
      <c r="D28" s="943" t="s">
        <v>1708</v>
      </c>
      <c r="E28" s="944"/>
    </row>
    <row r="29" spans="1:5">
      <c r="A29" s="27" t="s">
        <v>2385</v>
      </c>
      <c r="B29" s="644">
        <v>22</v>
      </c>
      <c r="C29" s="644">
        <v>22</v>
      </c>
      <c r="D29" s="943" t="s">
        <v>1708</v>
      </c>
      <c r="E29" s="944"/>
    </row>
    <row r="30" spans="1:5">
      <c r="A30" s="649" t="s">
        <v>2388</v>
      </c>
      <c r="B30" s="650" t="s">
        <v>2383</v>
      </c>
      <c r="C30" s="650" t="s">
        <v>2384</v>
      </c>
      <c r="D30" s="1097"/>
      <c r="E30" s="1097"/>
    </row>
    <row r="31" spans="1:5">
      <c r="A31" s="27" t="s">
        <v>2374</v>
      </c>
      <c r="B31" s="644">
        <v>25</v>
      </c>
      <c r="C31" s="644">
        <v>25</v>
      </c>
      <c r="D31" s="943" t="s">
        <v>1708</v>
      </c>
      <c r="E31" s="944"/>
    </row>
    <row r="32" spans="1:5">
      <c r="A32" s="27" t="s">
        <v>2375</v>
      </c>
      <c r="B32" s="644">
        <v>20</v>
      </c>
      <c r="C32" s="644">
        <v>20</v>
      </c>
      <c r="D32" s="943" t="s">
        <v>1708</v>
      </c>
      <c r="E32" s="944"/>
    </row>
    <row r="33" spans="1:5">
      <c r="A33" s="648" t="s">
        <v>2386</v>
      </c>
      <c r="B33" s="644">
        <v>15</v>
      </c>
      <c r="C33" s="644">
        <v>15</v>
      </c>
      <c r="D33" s="943" t="s">
        <v>1708</v>
      </c>
      <c r="E33" s="944"/>
    </row>
    <row r="34" spans="1:5">
      <c r="A34" s="27" t="s">
        <v>2385</v>
      </c>
      <c r="B34" s="644">
        <v>11</v>
      </c>
      <c r="C34" s="644">
        <v>11</v>
      </c>
      <c r="D34" s="943" t="s">
        <v>1708</v>
      </c>
      <c r="E34" s="944"/>
    </row>
    <row r="35" spans="1:5" ht="15.75">
      <c r="A35" s="895" t="s">
        <v>2400</v>
      </c>
      <c r="B35" s="896"/>
      <c r="C35" s="896"/>
      <c r="D35" s="896"/>
      <c r="E35" s="897"/>
    </row>
    <row r="36" spans="1:5" ht="12.75" customHeight="1">
      <c r="A36" s="640" t="s">
        <v>2365</v>
      </c>
      <c r="B36" s="898" t="s">
        <v>1729</v>
      </c>
      <c r="C36" s="898"/>
      <c r="D36" s="898" t="s">
        <v>186</v>
      </c>
      <c r="E36" s="898"/>
    </row>
    <row r="37" spans="1:5">
      <c r="A37" t="s">
        <v>2366</v>
      </c>
      <c r="B37" s="1095">
        <v>4.5</v>
      </c>
      <c r="C37" s="1096"/>
      <c r="D37" s="1085">
        <v>0</v>
      </c>
      <c r="E37" s="1085"/>
    </row>
    <row r="38" spans="1:5">
      <c r="A38" s="645" t="s">
        <v>2367</v>
      </c>
      <c r="B38" s="1095">
        <f>$B$37*(1-D38)</f>
        <v>4.05</v>
      </c>
      <c r="C38" s="1096"/>
      <c r="D38" s="1085">
        <v>0.1</v>
      </c>
      <c r="E38" s="1085"/>
    </row>
    <row r="39" spans="1:5">
      <c r="A39" s="645" t="s">
        <v>2368</v>
      </c>
      <c r="B39" s="1095">
        <f t="shared" ref="B39:B40" si="0">$B$37*(1-D39)</f>
        <v>3.6</v>
      </c>
      <c r="C39" s="1096"/>
      <c r="D39" s="1085">
        <v>0.2</v>
      </c>
      <c r="E39" s="1085"/>
    </row>
    <row r="40" spans="1:5">
      <c r="A40" s="645" t="s">
        <v>342</v>
      </c>
      <c r="B40" s="1095">
        <f t="shared" si="0"/>
        <v>3.15</v>
      </c>
      <c r="C40" s="1096"/>
      <c r="D40" s="1085">
        <v>0.3</v>
      </c>
      <c r="E40" s="1085"/>
    </row>
    <row r="41" spans="1:5" ht="15.75">
      <c r="A41" s="896" t="s">
        <v>2401</v>
      </c>
      <c r="B41" s="896"/>
      <c r="C41" s="896"/>
      <c r="D41" s="896"/>
      <c r="E41" s="896"/>
    </row>
    <row r="42" spans="1:5" ht="15">
      <c r="A42" s="406" t="s">
        <v>257</v>
      </c>
      <c r="B42" s="898" t="s">
        <v>1729</v>
      </c>
      <c r="C42" s="898"/>
      <c r="D42" s="898" t="s">
        <v>124</v>
      </c>
      <c r="E42" s="898"/>
    </row>
    <row r="43" spans="1:5">
      <c r="A43" s="27" t="s">
        <v>232</v>
      </c>
      <c r="B43" s="904">
        <v>1.2</v>
      </c>
      <c r="C43" s="904"/>
      <c r="D43" s="901" t="s">
        <v>74</v>
      </c>
      <c r="E43" s="901"/>
    </row>
    <row r="44" spans="1:5">
      <c r="A44" s="27" t="s">
        <v>2371</v>
      </c>
      <c r="B44" s="904">
        <v>1</v>
      </c>
      <c r="C44" s="904"/>
      <c r="D44" s="901" t="s">
        <v>74</v>
      </c>
      <c r="E44" s="901"/>
    </row>
    <row r="45" spans="1:5">
      <c r="A45" s="27" t="s">
        <v>234</v>
      </c>
      <c r="B45" s="904">
        <v>2</v>
      </c>
      <c r="C45" s="904"/>
      <c r="D45" s="901" t="s">
        <v>110</v>
      </c>
      <c r="E45" s="901"/>
    </row>
    <row r="46" spans="1:5">
      <c r="A46" s="27" t="s">
        <v>235</v>
      </c>
      <c r="B46" s="904">
        <v>8</v>
      </c>
      <c r="C46" s="904"/>
      <c r="D46" s="901" t="s">
        <v>110</v>
      </c>
      <c r="E46" s="901"/>
    </row>
    <row r="47" spans="1:5">
      <c r="A47" s="27" t="s">
        <v>236</v>
      </c>
      <c r="B47" s="904">
        <v>16</v>
      </c>
      <c r="C47" s="904"/>
      <c r="D47" s="901" t="s">
        <v>110</v>
      </c>
      <c r="E47" s="901"/>
    </row>
    <row r="48" spans="1:5">
      <c r="A48" s="652" t="s">
        <v>2389</v>
      </c>
      <c r="B48" s="904">
        <v>18</v>
      </c>
      <c r="C48" s="904"/>
      <c r="D48" s="901" t="s">
        <v>110</v>
      </c>
      <c r="E48" s="901"/>
    </row>
    <row r="49" spans="1:5">
      <c r="A49" s="652" t="s">
        <v>2390</v>
      </c>
      <c r="B49" s="904">
        <v>24</v>
      </c>
      <c r="C49" s="904"/>
      <c r="D49" s="901" t="s">
        <v>110</v>
      </c>
      <c r="E49" s="901"/>
    </row>
    <row r="50" spans="1:5">
      <c r="A50" s="652" t="s">
        <v>2391</v>
      </c>
      <c r="B50" s="904">
        <v>4.5</v>
      </c>
      <c r="C50" s="904"/>
      <c r="D50" s="901" t="s">
        <v>110</v>
      </c>
      <c r="E50" s="901"/>
    </row>
    <row r="51" spans="1:5">
      <c r="A51" s="652" t="s">
        <v>2392</v>
      </c>
      <c r="B51" s="904">
        <v>4.5</v>
      </c>
      <c r="C51" s="904"/>
      <c r="D51" s="901" t="s">
        <v>110</v>
      </c>
      <c r="E51" s="901"/>
    </row>
    <row r="52" spans="1:5">
      <c r="A52" s="652" t="s">
        <v>2393</v>
      </c>
      <c r="B52" s="904">
        <v>5</v>
      </c>
      <c r="C52" s="904"/>
      <c r="D52" s="901" t="s">
        <v>110</v>
      </c>
      <c r="E52" s="901"/>
    </row>
    <row r="53" spans="1:5">
      <c r="A53" s="652" t="s">
        <v>2394</v>
      </c>
      <c r="B53" s="904">
        <v>8</v>
      </c>
      <c r="C53" s="904"/>
      <c r="D53" s="901" t="s">
        <v>110</v>
      </c>
      <c r="E53" s="901"/>
    </row>
    <row r="54" spans="1:5">
      <c r="A54" s="652" t="s">
        <v>2395</v>
      </c>
      <c r="B54" s="904">
        <v>3</v>
      </c>
      <c r="C54" s="904"/>
      <c r="D54" s="901" t="s">
        <v>110</v>
      </c>
      <c r="E54" s="901"/>
    </row>
    <row r="55" spans="1:5">
      <c r="A55" s="652" t="s">
        <v>2396</v>
      </c>
      <c r="B55" s="904">
        <v>3.5</v>
      </c>
      <c r="C55" s="904"/>
      <c r="D55" s="901" t="s">
        <v>110</v>
      </c>
      <c r="E55" s="901"/>
    </row>
    <row r="56" spans="1:5">
      <c r="A56" s="653" t="s">
        <v>773</v>
      </c>
      <c r="B56" s="1095">
        <v>35</v>
      </c>
      <c r="C56" s="1096"/>
      <c r="D56" s="943" t="s">
        <v>96</v>
      </c>
      <c r="E56" s="944"/>
    </row>
    <row r="57" spans="1:5">
      <c r="A57" s="653" t="s">
        <v>2404</v>
      </c>
      <c r="B57" s="1095">
        <v>12</v>
      </c>
      <c r="C57" s="1096"/>
      <c r="D57" s="943" t="s">
        <v>96</v>
      </c>
      <c r="E57" s="944"/>
    </row>
    <row r="58" spans="1:5" ht="15">
      <c r="A58" s="406" t="s">
        <v>265</v>
      </c>
      <c r="B58" s="898" t="s">
        <v>1729</v>
      </c>
      <c r="C58" s="898"/>
      <c r="D58" s="898" t="s">
        <v>124</v>
      </c>
      <c r="E58" s="898"/>
    </row>
    <row r="59" spans="1:5">
      <c r="A59" s="27" t="s">
        <v>2397</v>
      </c>
      <c r="B59" s="904">
        <v>2.5</v>
      </c>
      <c r="C59" s="904"/>
      <c r="D59" s="901" t="s">
        <v>110</v>
      </c>
      <c r="E59" s="901"/>
    </row>
    <row r="60" spans="1:5">
      <c r="A60" s="27" t="s">
        <v>2398</v>
      </c>
      <c r="B60" s="904">
        <v>1.5</v>
      </c>
      <c r="C60" s="904"/>
      <c r="D60" s="901" t="s">
        <v>110</v>
      </c>
      <c r="E60" s="901"/>
    </row>
    <row r="61" spans="1:5">
      <c r="A61" s="27" t="s">
        <v>316</v>
      </c>
      <c r="B61" s="904">
        <v>0.20300000000000001</v>
      </c>
      <c r="C61" s="904"/>
      <c r="D61" s="901" t="s">
        <v>74</v>
      </c>
      <c r="E61" s="901"/>
    </row>
    <row r="62" spans="1:5" ht="15.75">
      <c r="A62" s="896" t="s">
        <v>2402</v>
      </c>
      <c r="B62" s="896"/>
      <c r="C62" s="896"/>
      <c r="D62" s="896"/>
      <c r="E62" s="896"/>
    </row>
    <row r="63" spans="1:5" ht="15">
      <c r="A63" s="640" t="s">
        <v>2365</v>
      </c>
      <c r="B63" s="898" t="s">
        <v>1729</v>
      </c>
      <c r="C63" s="898"/>
      <c r="D63" s="898" t="s">
        <v>186</v>
      </c>
      <c r="E63" s="898"/>
    </row>
    <row r="64" spans="1:5">
      <c r="A64" s="1" t="s">
        <v>2366</v>
      </c>
      <c r="B64" s="904">
        <v>1.2</v>
      </c>
      <c r="C64" s="904"/>
      <c r="D64" s="1085">
        <v>0</v>
      </c>
      <c r="E64" s="1085"/>
    </row>
    <row r="65" spans="1:5">
      <c r="A65" s="645" t="s">
        <v>2367</v>
      </c>
      <c r="B65" s="904">
        <f>$B$64*(1-D65)</f>
        <v>1.08</v>
      </c>
      <c r="C65" s="904"/>
      <c r="D65" s="1085">
        <v>0.1</v>
      </c>
      <c r="E65" s="1085"/>
    </row>
    <row r="66" spans="1:5">
      <c r="A66" s="645" t="s">
        <v>2368</v>
      </c>
      <c r="B66" s="904">
        <f t="shared" ref="B66:B67" si="1">$B$64*(1-D66)</f>
        <v>0.96</v>
      </c>
      <c r="C66" s="904"/>
      <c r="D66" s="1085">
        <v>0.2</v>
      </c>
      <c r="E66" s="1085"/>
    </row>
    <row r="67" spans="1:5">
      <c r="A67" s="645" t="s">
        <v>342</v>
      </c>
      <c r="B67" s="904">
        <f t="shared" si="1"/>
        <v>0.84</v>
      </c>
      <c r="C67" s="904"/>
      <c r="D67" s="1085">
        <v>0.3</v>
      </c>
      <c r="E67" s="1085"/>
    </row>
    <row r="68" spans="1:5" ht="15.75">
      <c r="A68" s="896" t="s">
        <v>2403</v>
      </c>
      <c r="B68" s="896"/>
      <c r="C68" s="896"/>
      <c r="D68" s="896"/>
      <c r="E68" s="896"/>
    </row>
    <row r="69" spans="1:5" ht="15.75">
      <c r="A69" s="896" t="s">
        <v>2422</v>
      </c>
      <c r="B69" s="896"/>
      <c r="C69" s="896"/>
      <c r="D69" s="896"/>
      <c r="E69" s="896"/>
    </row>
    <row r="70" spans="1:5">
      <c r="A70" s="405"/>
      <c r="B70" s="909" t="s">
        <v>1729</v>
      </c>
      <c r="C70" s="910"/>
      <c r="D70" s="910"/>
      <c r="E70" s="911"/>
    </row>
    <row r="71" spans="1:5">
      <c r="A71" s="649" t="s">
        <v>275</v>
      </c>
      <c r="B71" s="651" t="s">
        <v>245</v>
      </c>
      <c r="C71" s="651" t="s">
        <v>246</v>
      </c>
      <c r="D71" s="651" t="s">
        <v>1732</v>
      </c>
      <c r="E71" s="651" t="s">
        <v>1733</v>
      </c>
    </row>
    <row r="72" spans="1:5">
      <c r="A72" s="27" t="s">
        <v>247</v>
      </c>
      <c r="B72" s="5">
        <v>19</v>
      </c>
      <c r="C72" s="5">
        <v>23</v>
      </c>
      <c r="D72" s="5">
        <v>45</v>
      </c>
      <c r="E72" s="5">
        <v>50</v>
      </c>
    </row>
    <row r="73" spans="1:5">
      <c r="A73" s="27" t="s">
        <v>1939</v>
      </c>
      <c r="B73" s="5">
        <v>9</v>
      </c>
      <c r="C73" s="5">
        <v>11</v>
      </c>
      <c r="D73" s="5">
        <v>21</v>
      </c>
      <c r="E73" s="5">
        <v>22</v>
      </c>
    </row>
    <row r="74" spans="1:5">
      <c r="A74" s="27" t="s">
        <v>248</v>
      </c>
      <c r="B74" s="5">
        <v>21</v>
      </c>
      <c r="C74" s="5">
        <v>27</v>
      </c>
      <c r="D74" s="5">
        <v>50</v>
      </c>
      <c r="E74" s="5">
        <v>55</v>
      </c>
    </row>
    <row r="75" spans="1:5">
      <c r="A75" s="27" t="s">
        <v>248</v>
      </c>
      <c r="B75" s="5">
        <v>13</v>
      </c>
      <c r="C75" s="5">
        <v>15</v>
      </c>
      <c r="D75" s="5">
        <v>30</v>
      </c>
      <c r="E75" s="5">
        <v>35</v>
      </c>
    </row>
    <row r="76" spans="1:5">
      <c r="A76" s="1"/>
      <c r="B76" s="31"/>
      <c r="C76" s="31"/>
      <c r="D76" s="31"/>
      <c r="E76" s="31"/>
    </row>
    <row r="77" spans="1:5">
      <c r="A77" s="27" t="s">
        <v>251</v>
      </c>
      <c r="B77" s="5">
        <v>1.4</v>
      </c>
      <c r="C77" s="5">
        <v>1.64</v>
      </c>
      <c r="D77" s="5">
        <v>3.64</v>
      </c>
      <c r="E77" s="5">
        <v>4.05</v>
      </c>
    </row>
    <row r="78" spans="1:5">
      <c r="A78" s="27" t="s">
        <v>252</v>
      </c>
      <c r="B78" s="5">
        <v>1</v>
      </c>
      <c r="C78" s="5">
        <v>1.2</v>
      </c>
      <c r="D78" s="5">
        <v>2.87</v>
      </c>
      <c r="E78" s="5">
        <v>3.15</v>
      </c>
    </row>
    <row r="79" spans="1:5">
      <c r="A79" s="27"/>
      <c r="B79" s="1"/>
      <c r="C79" s="1"/>
      <c r="D79" s="1"/>
      <c r="E79" s="1"/>
    </row>
    <row r="80" spans="1:5">
      <c r="A80" s="649" t="s">
        <v>2372</v>
      </c>
      <c r="B80" s="651" t="s">
        <v>2373</v>
      </c>
      <c r="C80" s="651" t="s">
        <v>246</v>
      </c>
      <c r="D80" s="651" t="s">
        <v>1732</v>
      </c>
      <c r="E80" s="651" t="s">
        <v>1733</v>
      </c>
    </row>
    <row r="81" spans="1:5">
      <c r="A81" s="27" t="s">
        <v>253</v>
      </c>
      <c r="B81" s="5" t="s">
        <v>161</v>
      </c>
      <c r="C81" s="5">
        <v>22</v>
      </c>
      <c r="D81" s="5">
        <v>25</v>
      </c>
      <c r="E81" s="5">
        <v>45</v>
      </c>
    </row>
    <row r="82" spans="1:5">
      <c r="A82" s="27" t="s">
        <v>255</v>
      </c>
      <c r="B82" s="5" t="s">
        <v>161</v>
      </c>
      <c r="C82" s="5">
        <v>10</v>
      </c>
      <c r="D82" s="5">
        <v>15</v>
      </c>
      <c r="E82" s="5">
        <v>22</v>
      </c>
    </row>
    <row r="83" spans="1:5">
      <c r="A83" s="27" t="s">
        <v>254</v>
      </c>
      <c r="B83" s="5" t="s">
        <v>161</v>
      </c>
      <c r="C83" s="5">
        <v>25</v>
      </c>
      <c r="D83" s="5">
        <v>30</v>
      </c>
      <c r="E83" s="5">
        <v>50</v>
      </c>
    </row>
    <row r="84" spans="1:5">
      <c r="A84" s="27" t="s">
        <v>256</v>
      </c>
      <c r="B84" s="5" t="s">
        <v>161</v>
      </c>
      <c r="C84" s="5">
        <v>15</v>
      </c>
      <c r="D84" s="5">
        <v>20</v>
      </c>
      <c r="E84" s="5">
        <v>30</v>
      </c>
    </row>
    <row r="85" spans="1:5" ht="15.75">
      <c r="A85" s="896" t="s">
        <v>2405</v>
      </c>
      <c r="B85" s="896"/>
      <c r="C85" s="896"/>
      <c r="D85" s="896"/>
      <c r="E85" s="896"/>
    </row>
    <row r="86" spans="1:5">
      <c r="A86" s="405"/>
      <c r="B86" s="909" t="s">
        <v>1729</v>
      </c>
      <c r="C86" s="910"/>
      <c r="D86" s="910"/>
      <c r="E86" s="911"/>
    </row>
    <row r="87" spans="1:5">
      <c r="A87" s="649" t="s">
        <v>2406</v>
      </c>
      <c r="B87" s="651" t="s">
        <v>1926</v>
      </c>
      <c r="C87" s="651" t="s">
        <v>608</v>
      </c>
      <c r="D87" s="651" t="s">
        <v>1927</v>
      </c>
      <c r="E87" s="651" t="s">
        <v>1928</v>
      </c>
    </row>
    <row r="88" spans="1:5">
      <c r="A88" s="27" t="s">
        <v>1924</v>
      </c>
      <c r="B88" s="5" t="s">
        <v>161</v>
      </c>
      <c r="C88" s="5">
        <v>1.9</v>
      </c>
      <c r="D88" s="5">
        <v>2.5</v>
      </c>
      <c r="E88" s="5">
        <v>3</v>
      </c>
    </row>
    <row r="89" spans="1:5">
      <c r="A89" s="27" t="s">
        <v>1925</v>
      </c>
      <c r="B89" s="5" t="s">
        <v>161</v>
      </c>
      <c r="C89" s="5">
        <v>1.25</v>
      </c>
      <c r="D89" s="5">
        <v>1.7</v>
      </c>
      <c r="E89" s="5">
        <v>2.1</v>
      </c>
    </row>
    <row r="90" spans="1:5">
      <c r="A90" s="649" t="s">
        <v>2407</v>
      </c>
      <c r="B90" s="651" t="s">
        <v>1926</v>
      </c>
      <c r="C90" s="651" t="s">
        <v>284</v>
      </c>
      <c r="D90" s="651" t="s">
        <v>246</v>
      </c>
      <c r="E90" s="651" t="s">
        <v>164</v>
      </c>
    </row>
    <row r="91" spans="1:5">
      <c r="A91" s="27" t="s">
        <v>2408</v>
      </c>
      <c r="B91" s="5" t="s">
        <v>161</v>
      </c>
      <c r="C91" s="5">
        <v>3.25</v>
      </c>
      <c r="D91" s="5">
        <v>4</v>
      </c>
      <c r="E91" s="5">
        <v>10.4</v>
      </c>
    </row>
    <row r="92" spans="1:5">
      <c r="A92" s="27" t="s">
        <v>2409</v>
      </c>
      <c r="B92" s="5" t="s">
        <v>161</v>
      </c>
      <c r="C92" s="5">
        <v>4.5</v>
      </c>
      <c r="D92" s="5">
        <v>5.25</v>
      </c>
      <c r="E92" s="5">
        <v>12.7</v>
      </c>
    </row>
    <row r="93" spans="1:5">
      <c r="A93" s="27" t="s">
        <v>2410</v>
      </c>
      <c r="B93" s="5" t="s">
        <v>161</v>
      </c>
      <c r="C93" s="5">
        <v>15.6</v>
      </c>
      <c r="D93" s="5">
        <v>18</v>
      </c>
      <c r="E93" s="5">
        <v>33</v>
      </c>
    </row>
    <row r="94" spans="1:5">
      <c r="A94" s="649" t="s">
        <v>2411</v>
      </c>
      <c r="B94" s="651" t="s">
        <v>2412</v>
      </c>
      <c r="C94" s="651" t="s">
        <v>2413</v>
      </c>
      <c r="D94" s="651" t="s">
        <v>2414</v>
      </c>
      <c r="E94" s="651" t="s">
        <v>2415</v>
      </c>
    </row>
    <row r="95" spans="1:5">
      <c r="A95" s="654" t="s">
        <v>2416</v>
      </c>
      <c r="B95" s="655">
        <v>6.0000000000000001E-3</v>
      </c>
      <c r="C95" s="655">
        <v>0.01</v>
      </c>
      <c r="D95" s="655">
        <v>1.4999999999999999E-2</v>
      </c>
      <c r="E95" s="655">
        <v>0.02</v>
      </c>
    </row>
    <row r="96" spans="1:5">
      <c r="A96" s="27"/>
      <c r="B96" s="5"/>
      <c r="C96" s="5"/>
      <c r="D96" s="5"/>
      <c r="E96" s="5"/>
    </row>
    <row r="97" spans="1:5" ht="15.75">
      <c r="A97" s="896" t="s">
        <v>2417</v>
      </c>
      <c r="B97" s="896"/>
      <c r="C97" s="896"/>
      <c r="D97" s="896"/>
      <c r="E97" s="896"/>
    </row>
    <row r="98" spans="1:5" ht="15.75">
      <c r="A98" s="643"/>
      <c r="B98" s="909" t="s">
        <v>1729</v>
      </c>
      <c r="C98" s="911"/>
      <c r="D98" s="909" t="s">
        <v>124</v>
      </c>
      <c r="E98" s="911"/>
    </row>
    <row r="99" spans="1:5">
      <c r="A99" s="28" t="s">
        <v>269</v>
      </c>
      <c r="B99" s="899">
        <v>75</v>
      </c>
      <c r="C99" s="900"/>
      <c r="D99" s="972" t="s">
        <v>295</v>
      </c>
      <c r="E99" s="973"/>
    </row>
    <row r="100" spans="1:5">
      <c r="A100" s="28" t="s">
        <v>270</v>
      </c>
      <c r="B100" s="899">
        <v>100</v>
      </c>
      <c r="C100" s="900"/>
      <c r="D100" s="972" t="s">
        <v>295</v>
      </c>
      <c r="E100" s="973"/>
    </row>
    <row r="101" spans="1:5">
      <c r="A101" s="28" t="s">
        <v>271</v>
      </c>
      <c r="B101" s="899">
        <v>200</v>
      </c>
      <c r="C101" s="900"/>
      <c r="D101" s="972" t="s">
        <v>295</v>
      </c>
      <c r="E101" s="973"/>
    </row>
    <row r="102" spans="1:5">
      <c r="A102" s="28" t="s">
        <v>272</v>
      </c>
      <c r="B102" s="899">
        <v>1.5</v>
      </c>
      <c r="C102" s="900"/>
      <c r="D102" s="972" t="s">
        <v>74</v>
      </c>
      <c r="E102" s="973"/>
    </row>
    <row r="103" spans="1:5" ht="15.75">
      <c r="A103" s="896" t="s">
        <v>2420</v>
      </c>
      <c r="B103" s="896"/>
      <c r="C103" s="896"/>
      <c r="D103" s="896"/>
      <c r="E103" s="896"/>
    </row>
    <row r="104" spans="1:5">
      <c r="A104" s="656" t="s">
        <v>113</v>
      </c>
      <c r="B104" s="1090" t="s">
        <v>2365</v>
      </c>
      <c r="C104" s="1091"/>
      <c r="D104" s="1092" t="s">
        <v>186</v>
      </c>
      <c r="E104" s="1092"/>
    </row>
    <row r="105" spans="1:5">
      <c r="A105" s="654" t="s">
        <v>337</v>
      </c>
      <c r="B105" s="1093" t="s">
        <v>2418</v>
      </c>
      <c r="C105" s="1093"/>
      <c r="D105" s="1094">
        <v>0.1</v>
      </c>
      <c r="E105" s="1094"/>
    </row>
    <row r="106" spans="1:5">
      <c r="A106" s="654" t="s">
        <v>339</v>
      </c>
      <c r="B106" s="1093" t="s">
        <v>2419</v>
      </c>
      <c r="C106" s="1093"/>
      <c r="D106" s="1094">
        <v>0.2</v>
      </c>
      <c r="E106" s="1094"/>
    </row>
    <row r="107" spans="1:5">
      <c r="A107" s="654" t="s">
        <v>341</v>
      </c>
      <c r="B107" s="1093" t="s">
        <v>342</v>
      </c>
      <c r="C107" s="1093"/>
      <c r="D107" s="1094">
        <v>0.3</v>
      </c>
      <c r="E107" s="1094"/>
    </row>
    <row r="108" spans="1:5">
      <c r="A108" s="656" t="s">
        <v>343</v>
      </c>
      <c r="B108" s="1100" t="s">
        <v>2365</v>
      </c>
      <c r="C108" s="1100"/>
      <c r="D108" s="1092" t="s">
        <v>186</v>
      </c>
      <c r="E108" s="1092"/>
    </row>
    <row r="109" spans="1:5">
      <c r="A109" s="654" t="s">
        <v>337</v>
      </c>
      <c r="B109" s="1093" t="s">
        <v>2367</v>
      </c>
      <c r="C109" s="1093"/>
      <c r="D109" s="1094">
        <v>0.1</v>
      </c>
      <c r="E109" s="1094"/>
    </row>
    <row r="110" spans="1:5">
      <c r="A110" s="654" t="s">
        <v>339</v>
      </c>
      <c r="B110" s="1093" t="s">
        <v>2368</v>
      </c>
      <c r="C110" s="1093"/>
      <c r="D110" s="1094">
        <v>0.2</v>
      </c>
      <c r="E110" s="1094"/>
    </row>
    <row r="111" spans="1:5">
      <c r="A111" s="654" t="s">
        <v>341</v>
      </c>
      <c r="B111" s="1093" t="s">
        <v>342</v>
      </c>
      <c r="C111" s="1093"/>
      <c r="D111" s="1094">
        <v>0.3</v>
      </c>
      <c r="E111" s="1094"/>
    </row>
    <row r="112" spans="1:5" ht="15.75">
      <c r="A112" s="896" t="s">
        <v>2421</v>
      </c>
      <c r="B112" s="896"/>
      <c r="C112" s="896"/>
      <c r="D112" s="896"/>
      <c r="E112" s="896"/>
    </row>
    <row r="113" spans="1:5">
      <c r="A113" s="28" t="s">
        <v>273</v>
      </c>
      <c r="B113" s="1086">
        <v>0.25</v>
      </c>
      <c r="C113" s="1087"/>
      <c r="D113" s="1088"/>
      <c r="E113" s="1089"/>
    </row>
    <row r="114" spans="1:5">
      <c r="A114" s="28" t="s">
        <v>274</v>
      </c>
      <c r="B114" s="1086">
        <v>0.4</v>
      </c>
      <c r="C114" s="1087"/>
      <c r="D114" s="1088"/>
      <c r="E114" s="1089"/>
    </row>
  </sheetData>
  <sheetProtection algorithmName="SHA-512" hashValue="QPWvItfM0wG3XI8mi/NnS18upKmIZhhmE9q0AuzC4nM9pt0hghmbr0z84zCILAvfGoDUTVQCCJslhCs6qlZBHA==" saltValue="lra1gqYhG8dytN4XfMWFHg==" spinCount="100000" sheet="1" objects="1" scenarios="1"/>
  <mergeCells count="141">
    <mergeCell ref="D111:E111"/>
    <mergeCell ref="A103:E103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56:C56"/>
    <mergeCell ref="B57:C57"/>
    <mergeCell ref="D56:E56"/>
    <mergeCell ref="D57:E57"/>
    <mergeCell ref="A69:E6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D26:E26"/>
    <mergeCell ref="D27:E27"/>
    <mergeCell ref="D28:E28"/>
    <mergeCell ref="D29:E29"/>
    <mergeCell ref="D30:E30"/>
    <mergeCell ref="D34:E34"/>
    <mergeCell ref="D31:E31"/>
    <mergeCell ref="D32:E32"/>
    <mergeCell ref="D33:E33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A2:E2"/>
    <mergeCell ref="A3:E3"/>
    <mergeCell ref="A5:E5"/>
    <mergeCell ref="B6:C6"/>
    <mergeCell ref="D6:E6"/>
    <mergeCell ref="B7:C7"/>
    <mergeCell ref="D7:E7"/>
    <mergeCell ref="A8:E8"/>
    <mergeCell ref="A62:E62"/>
    <mergeCell ref="B37:C37"/>
    <mergeCell ref="B38:C38"/>
    <mergeCell ref="D38:E38"/>
    <mergeCell ref="B39:C39"/>
    <mergeCell ref="D39:E39"/>
    <mergeCell ref="B40:C40"/>
    <mergeCell ref="D40:E40"/>
    <mergeCell ref="D37:E37"/>
    <mergeCell ref="B9:C9"/>
    <mergeCell ref="D9:E9"/>
    <mergeCell ref="D55:E55"/>
    <mergeCell ref="D15:E15"/>
    <mergeCell ref="D25:E25"/>
    <mergeCell ref="A41:E41"/>
    <mergeCell ref="B42:C42"/>
    <mergeCell ref="D42:E42"/>
    <mergeCell ref="B54:C54"/>
    <mergeCell ref="D54:E54"/>
    <mergeCell ref="B55:C55"/>
    <mergeCell ref="A68:E68"/>
    <mergeCell ref="B70:E70"/>
    <mergeCell ref="B61:C61"/>
    <mergeCell ref="D61:E61"/>
    <mergeCell ref="B58:C58"/>
    <mergeCell ref="D58:E58"/>
    <mergeCell ref="B59:C59"/>
    <mergeCell ref="B60:C60"/>
    <mergeCell ref="D59:E59"/>
    <mergeCell ref="D60:E60"/>
    <mergeCell ref="D65:E65"/>
    <mergeCell ref="B48:C48"/>
    <mergeCell ref="B49:C49"/>
    <mergeCell ref="B50:C50"/>
    <mergeCell ref="B51:C51"/>
    <mergeCell ref="B52:C52"/>
    <mergeCell ref="B53:C53"/>
    <mergeCell ref="D48:E48"/>
    <mergeCell ref="D49:E49"/>
    <mergeCell ref="D50:E50"/>
    <mergeCell ref="B64:C64"/>
    <mergeCell ref="D64:E64"/>
    <mergeCell ref="B65:C65"/>
    <mergeCell ref="B113:C113"/>
    <mergeCell ref="D113:E113"/>
    <mergeCell ref="B114:C114"/>
    <mergeCell ref="D114:E114"/>
    <mergeCell ref="B104:C104"/>
    <mergeCell ref="D104:E104"/>
    <mergeCell ref="B105:C105"/>
    <mergeCell ref="D105:E105"/>
    <mergeCell ref="A97:E97"/>
    <mergeCell ref="A112:E112"/>
    <mergeCell ref="B100:C100"/>
    <mergeCell ref="D100:E100"/>
    <mergeCell ref="B102:C102"/>
    <mergeCell ref="D102:E102"/>
    <mergeCell ref="B98:C98"/>
    <mergeCell ref="D98:E98"/>
    <mergeCell ref="B99:C99"/>
    <mergeCell ref="D99:E99"/>
    <mergeCell ref="B101:C101"/>
    <mergeCell ref="D101:E101"/>
    <mergeCell ref="B111:C111"/>
    <mergeCell ref="D51:E51"/>
    <mergeCell ref="D52:E52"/>
    <mergeCell ref="D53:E53"/>
    <mergeCell ref="A85:E85"/>
    <mergeCell ref="B86:E86"/>
    <mergeCell ref="A35:E35"/>
    <mergeCell ref="B36:C36"/>
    <mergeCell ref="B46:C46"/>
    <mergeCell ref="D46:E46"/>
    <mergeCell ref="B47:C47"/>
    <mergeCell ref="D47:E47"/>
    <mergeCell ref="B43:C43"/>
    <mergeCell ref="D43:E43"/>
    <mergeCell ref="B44:C44"/>
    <mergeCell ref="D44:E44"/>
    <mergeCell ref="B45:C45"/>
    <mergeCell ref="D45:E45"/>
    <mergeCell ref="B66:C66"/>
    <mergeCell ref="D66:E66"/>
    <mergeCell ref="B67:C67"/>
    <mergeCell ref="D67:E67"/>
    <mergeCell ref="D36:E36"/>
    <mergeCell ref="B63:C63"/>
    <mergeCell ref="D63:E6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2:D12"/>
  <sheetViews>
    <sheetView workbookViewId="0">
      <selection activeCell="E22" sqref="E22"/>
    </sheetView>
  </sheetViews>
  <sheetFormatPr baseColWidth="10" defaultRowHeight="12.75"/>
  <cols>
    <col min="2" max="2" width="31.42578125" bestFit="1" customWidth="1"/>
    <col min="3" max="3" width="29.28515625" customWidth="1"/>
    <col min="4" max="4" width="26.5703125" customWidth="1"/>
  </cols>
  <sheetData>
    <row r="2" spans="2:4">
      <c r="B2" s="1101"/>
      <c r="C2" s="1101"/>
      <c r="D2" s="1101"/>
    </row>
    <row r="3" spans="2:4" ht="20.25" customHeight="1">
      <c r="B3" s="1102" t="s">
        <v>2431</v>
      </c>
      <c r="C3" s="1102"/>
      <c r="D3" s="1102"/>
    </row>
    <row r="4" spans="2:4" ht="25.5" customHeight="1">
      <c r="B4" s="1103" t="s">
        <v>2443</v>
      </c>
      <c r="C4" s="1104"/>
      <c r="D4" s="1105"/>
    </row>
    <row r="5" spans="2:4" ht="15.75">
      <c r="B5" s="749" t="s">
        <v>373</v>
      </c>
      <c r="C5" s="749"/>
      <c r="D5" s="749"/>
    </row>
    <row r="6" spans="2:4" ht="15.75">
      <c r="B6" s="749" t="s">
        <v>318</v>
      </c>
      <c r="C6" s="749"/>
      <c r="D6" s="749"/>
    </row>
    <row r="7" spans="2:4" ht="15.75">
      <c r="B7" s="661" t="s">
        <v>2432</v>
      </c>
      <c r="C7" s="661" t="s">
        <v>921</v>
      </c>
      <c r="D7" s="661" t="s">
        <v>2433</v>
      </c>
    </row>
    <row r="8" spans="2:4" ht="15">
      <c r="B8" s="662" t="s">
        <v>1106</v>
      </c>
      <c r="C8" s="662" t="s">
        <v>2434</v>
      </c>
      <c r="D8" s="663">
        <v>4.7</v>
      </c>
    </row>
    <row r="9" spans="2:4" ht="15.75">
      <c r="B9" s="749" t="s">
        <v>125</v>
      </c>
      <c r="C9" s="749"/>
      <c r="D9" s="749"/>
    </row>
    <row r="10" spans="2:4" ht="15.75">
      <c r="B10" s="661" t="s">
        <v>2432</v>
      </c>
      <c r="C10" s="661" t="s">
        <v>921</v>
      </c>
      <c r="D10" s="661" t="s">
        <v>2433</v>
      </c>
    </row>
    <row r="11" spans="2:4" ht="15">
      <c r="B11" s="662" t="s">
        <v>2435</v>
      </c>
      <c r="C11" s="662" t="s">
        <v>2436</v>
      </c>
      <c r="D11" s="664">
        <v>3.3</v>
      </c>
    </row>
    <row r="12" spans="2:4" ht="15">
      <c r="B12" s="662" t="s">
        <v>2437</v>
      </c>
      <c r="C12" s="662" t="s">
        <v>2436</v>
      </c>
      <c r="D12" s="665">
        <v>5</v>
      </c>
    </row>
  </sheetData>
  <sheetProtection algorithmName="SHA-512" hashValue="2JMzG+23AyVQMbMST9iRvaINOyrBj+4HFAa6ybSxdl70VYwYFmYy+KtqqRyU8rMnzGGSWerH97K3ul9gc36kkA==" saltValue="SySxN0djUJ+2s3joCkEoEQ==" spinCount="100000" sheet="1" objects="1" scenarios="1"/>
  <mergeCells count="6">
    <mergeCell ref="B2:D2"/>
    <mergeCell ref="B9:D9"/>
    <mergeCell ref="B3:D3"/>
    <mergeCell ref="B4:D4"/>
    <mergeCell ref="B5:D5"/>
    <mergeCell ref="B6:D6"/>
  </mergeCells>
  <pageMargins left="0.7" right="0.7" top="0.75" bottom="0.75" header="0.3" footer="0.3"/>
  <pageSetup paperSize="13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7030A0"/>
  </sheetPr>
  <dimension ref="A1:F140"/>
  <sheetViews>
    <sheetView workbookViewId="0">
      <selection activeCell="F12" sqref="F12"/>
    </sheetView>
  </sheetViews>
  <sheetFormatPr baseColWidth="10" defaultRowHeight="15"/>
  <cols>
    <col min="1" max="1" width="60.140625" style="97" customWidth="1"/>
    <col min="2" max="2" width="19.5703125" style="97" bestFit="1" customWidth="1"/>
    <col min="3" max="3" width="26.85546875" style="97" bestFit="1" customWidth="1"/>
    <col min="4" max="4" width="25" style="97" customWidth="1"/>
    <col min="5" max="16384" width="11.42578125" style="97"/>
  </cols>
  <sheetData>
    <row r="1" spans="1:5">
      <c r="A1" s="724" t="s">
        <v>371</v>
      </c>
      <c r="B1" s="724"/>
      <c r="C1" s="724"/>
      <c r="D1" s="724"/>
      <c r="E1" s="121"/>
    </row>
    <row r="2" spans="1:5">
      <c r="A2" s="725" t="s">
        <v>372</v>
      </c>
      <c r="B2" s="725"/>
      <c r="C2" s="725"/>
      <c r="D2" s="725"/>
      <c r="E2" s="121"/>
    </row>
    <row r="3" spans="1:5">
      <c r="A3" s="724" t="s">
        <v>373</v>
      </c>
      <c r="B3" s="724"/>
      <c r="C3" s="724"/>
      <c r="D3" s="724"/>
      <c r="E3" s="121"/>
    </row>
    <row r="4" spans="1:5" ht="15" customHeight="1">
      <c r="A4" s="731" t="s">
        <v>1091</v>
      </c>
      <c r="B4" s="731"/>
      <c r="C4" s="731"/>
      <c r="D4" s="731"/>
      <c r="E4" s="121"/>
    </row>
    <row r="5" spans="1:5">
      <c r="A5" s="726" t="s">
        <v>374</v>
      </c>
      <c r="B5" s="727"/>
      <c r="C5" s="727"/>
      <c r="D5" s="728"/>
      <c r="E5" s="96"/>
    </row>
    <row r="6" spans="1:5">
      <c r="A6" s="729" t="s">
        <v>375</v>
      </c>
      <c r="B6" s="730"/>
      <c r="C6" s="120" t="s">
        <v>376</v>
      </c>
      <c r="D6" s="120" t="s">
        <v>377</v>
      </c>
      <c r="E6" s="96"/>
    </row>
    <row r="7" spans="1:5">
      <c r="A7" s="98"/>
      <c r="B7" s="99"/>
      <c r="C7" s="100"/>
      <c r="D7" s="101"/>
      <c r="E7" s="96"/>
    </row>
    <row r="8" spans="1:5">
      <c r="A8" s="102" t="s">
        <v>378</v>
      </c>
      <c r="B8" s="102"/>
      <c r="C8" s="103" t="s">
        <v>379</v>
      </c>
      <c r="D8" s="104">
        <v>89.25</v>
      </c>
    </row>
    <row r="9" spans="1:5">
      <c r="A9" s="102" t="s">
        <v>380</v>
      </c>
      <c r="B9" s="102"/>
      <c r="C9" s="103" t="s">
        <v>379</v>
      </c>
      <c r="D9" s="105">
        <v>120.75</v>
      </c>
    </row>
    <row r="10" spans="1:5">
      <c r="A10" s="102" t="s">
        <v>381</v>
      </c>
      <c r="B10" s="102"/>
      <c r="C10" s="103" t="s">
        <v>379</v>
      </c>
      <c r="D10" s="105">
        <v>25</v>
      </c>
    </row>
    <row r="11" spans="1:5">
      <c r="A11" s="102" t="s">
        <v>382</v>
      </c>
      <c r="B11" s="102"/>
      <c r="C11" s="103" t="s">
        <v>379</v>
      </c>
      <c r="D11" s="105">
        <v>25</v>
      </c>
    </row>
    <row r="12" spans="1:5">
      <c r="A12" s="102" t="s">
        <v>383</v>
      </c>
      <c r="B12" s="102"/>
      <c r="C12" s="103" t="s">
        <v>379</v>
      </c>
      <c r="D12" s="104">
        <v>89.25</v>
      </c>
    </row>
    <row r="13" spans="1:5">
      <c r="A13" s="102" t="s">
        <v>384</v>
      </c>
      <c r="B13" s="102"/>
      <c r="C13" s="103" t="s">
        <v>379</v>
      </c>
      <c r="D13" s="105">
        <v>25</v>
      </c>
    </row>
    <row r="14" spans="1:5">
      <c r="A14" s="102" t="s">
        <v>385</v>
      </c>
      <c r="B14" s="102"/>
      <c r="C14" s="103" t="s">
        <v>379</v>
      </c>
      <c r="D14" s="104">
        <v>89.25</v>
      </c>
    </row>
    <row r="15" spans="1:5">
      <c r="A15" s="102" t="s">
        <v>386</v>
      </c>
      <c r="B15" s="102"/>
      <c r="C15" s="103" t="s">
        <v>379</v>
      </c>
      <c r="D15" s="105">
        <v>120.75</v>
      </c>
    </row>
    <row r="16" spans="1:5">
      <c r="A16" s="102" t="s">
        <v>111</v>
      </c>
      <c r="B16" s="102" t="s">
        <v>83</v>
      </c>
      <c r="C16" s="103" t="s">
        <v>379</v>
      </c>
      <c r="D16" s="105">
        <v>60.9</v>
      </c>
    </row>
    <row r="17" spans="1:5">
      <c r="A17" s="102" t="s">
        <v>111</v>
      </c>
      <c r="B17" s="102" t="s">
        <v>387</v>
      </c>
      <c r="C17" s="103" t="s">
        <v>379</v>
      </c>
      <c r="D17" s="104">
        <v>79.8</v>
      </c>
    </row>
    <row r="18" spans="1:5">
      <c r="A18" s="102" t="s">
        <v>111</v>
      </c>
      <c r="B18" s="102" t="s">
        <v>388</v>
      </c>
      <c r="C18" s="103" t="s">
        <v>379</v>
      </c>
      <c r="D18" s="105">
        <v>147</v>
      </c>
    </row>
    <row r="19" spans="1:5">
      <c r="A19" s="102" t="s">
        <v>389</v>
      </c>
      <c r="B19" s="102"/>
      <c r="C19" s="103" t="s">
        <v>379</v>
      </c>
      <c r="D19" s="105">
        <v>25</v>
      </c>
    </row>
    <row r="20" spans="1:5">
      <c r="A20" s="102" t="s">
        <v>390</v>
      </c>
      <c r="B20" s="102"/>
      <c r="C20" s="103" t="s">
        <v>379</v>
      </c>
      <c r="D20" s="105">
        <v>36.75</v>
      </c>
    </row>
    <row r="21" spans="1:5">
      <c r="A21" s="102" t="s">
        <v>391</v>
      </c>
      <c r="B21" s="102"/>
      <c r="C21" s="103" t="s">
        <v>392</v>
      </c>
      <c r="D21" s="104">
        <v>5.04</v>
      </c>
    </row>
    <row r="22" spans="1:5">
      <c r="A22" s="102" t="s">
        <v>13</v>
      </c>
      <c r="B22" s="102"/>
      <c r="C22" s="103" t="s">
        <v>392</v>
      </c>
      <c r="D22" s="104">
        <v>4.7249999999999996</v>
      </c>
    </row>
    <row r="23" spans="1:5">
      <c r="A23" s="102" t="s">
        <v>393</v>
      </c>
      <c r="B23" s="102" t="s">
        <v>394</v>
      </c>
      <c r="C23" s="103" t="s">
        <v>379</v>
      </c>
      <c r="D23" s="105">
        <v>89.25</v>
      </c>
    </row>
    <row r="24" spans="1:5">
      <c r="A24" s="102" t="s">
        <v>393</v>
      </c>
      <c r="B24" s="102" t="s">
        <v>395</v>
      </c>
      <c r="C24" s="103" t="s">
        <v>379</v>
      </c>
      <c r="D24" s="105">
        <v>120.75</v>
      </c>
    </row>
    <row r="25" spans="1:5">
      <c r="A25" s="102" t="s">
        <v>393</v>
      </c>
      <c r="B25" s="102" t="s">
        <v>396</v>
      </c>
      <c r="C25" s="103" t="s">
        <v>379</v>
      </c>
      <c r="D25" s="105">
        <v>262.5</v>
      </c>
    </row>
    <row r="26" spans="1:5">
      <c r="A26" s="102" t="s">
        <v>397</v>
      </c>
      <c r="B26" s="102"/>
      <c r="C26" s="102" t="s">
        <v>398</v>
      </c>
      <c r="D26" s="105">
        <v>23.1</v>
      </c>
    </row>
    <row r="27" spans="1:5">
      <c r="A27" s="102"/>
      <c r="B27" s="102"/>
      <c r="C27" s="102" t="s">
        <v>399</v>
      </c>
      <c r="D27" s="105">
        <v>42</v>
      </c>
    </row>
    <row r="28" spans="1:5">
      <c r="A28" s="102" t="s">
        <v>400</v>
      </c>
      <c r="B28" s="102"/>
      <c r="C28" s="103" t="s">
        <v>392</v>
      </c>
      <c r="D28" s="105">
        <v>2.625</v>
      </c>
    </row>
    <row r="29" spans="1:5">
      <c r="A29" s="102" t="s">
        <v>401</v>
      </c>
      <c r="B29" s="102"/>
      <c r="C29" s="103" t="s">
        <v>379</v>
      </c>
      <c r="D29" s="105">
        <v>5.04</v>
      </c>
    </row>
    <row r="30" spans="1:5">
      <c r="A30" s="106"/>
      <c r="B30" s="107"/>
      <c r="C30" s="107"/>
      <c r="D30" s="108"/>
      <c r="E30" s="96"/>
    </row>
    <row r="31" spans="1:5">
      <c r="A31" s="721" t="s">
        <v>402</v>
      </c>
      <c r="B31" s="722"/>
      <c r="C31" s="722"/>
      <c r="D31" s="723"/>
      <c r="E31" s="96"/>
    </row>
    <row r="32" spans="1:5">
      <c r="A32" s="98"/>
      <c r="B32" s="99"/>
      <c r="C32" s="100"/>
      <c r="D32" s="101"/>
      <c r="E32" s="96"/>
    </row>
    <row r="33" spans="1:4">
      <c r="A33" s="102" t="s">
        <v>13</v>
      </c>
      <c r="B33" s="102"/>
      <c r="C33" s="103" t="s">
        <v>392</v>
      </c>
      <c r="D33" s="105">
        <v>1.05</v>
      </c>
    </row>
    <row r="34" spans="1:4">
      <c r="A34" s="102" t="s">
        <v>403</v>
      </c>
      <c r="B34" s="102"/>
      <c r="C34" s="103" t="s">
        <v>392</v>
      </c>
      <c r="D34" s="104">
        <v>1.575</v>
      </c>
    </row>
    <row r="35" spans="1:4">
      <c r="A35" s="102" t="s">
        <v>378</v>
      </c>
      <c r="B35" s="102"/>
      <c r="C35" s="103" t="s">
        <v>379</v>
      </c>
      <c r="D35" s="104">
        <v>19.425000000000001</v>
      </c>
    </row>
    <row r="36" spans="1:4">
      <c r="A36" s="102" t="s">
        <v>380</v>
      </c>
      <c r="B36" s="102"/>
      <c r="C36" s="103" t="s">
        <v>379</v>
      </c>
      <c r="D36" s="105">
        <v>22.05</v>
      </c>
    </row>
    <row r="37" spans="1:4">
      <c r="A37" s="102" t="s">
        <v>381</v>
      </c>
      <c r="B37" s="102"/>
      <c r="C37" s="103" t="s">
        <v>379</v>
      </c>
      <c r="D37" s="104">
        <v>3.4649999999999999</v>
      </c>
    </row>
    <row r="38" spans="1:4">
      <c r="A38" s="102" t="s">
        <v>382</v>
      </c>
      <c r="B38" s="102"/>
      <c r="C38" s="103" t="s">
        <v>379</v>
      </c>
      <c r="D38" s="105">
        <v>4.7249999999999996</v>
      </c>
    </row>
    <row r="39" spans="1:4">
      <c r="A39" s="102" t="s">
        <v>383</v>
      </c>
      <c r="B39" s="102"/>
      <c r="C39" s="103" t="s">
        <v>379</v>
      </c>
      <c r="D39" s="105">
        <v>19.425000000000001</v>
      </c>
    </row>
    <row r="40" spans="1:4">
      <c r="A40" s="102" t="s">
        <v>384</v>
      </c>
      <c r="B40" s="102"/>
      <c r="C40" s="103" t="s">
        <v>379</v>
      </c>
      <c r="D40" s="105">
        <v>3.4649999999999999</v>
      </c>
    </row>
    <row r="41" spans="1:4">
      <c r="A41" s="102" t="s">
        <v>404</v>
      </c>
      <c r="B41" s="102"/>
      <c r="C41" s="103" t="s">
        <v>379</v>
      </c>
      <c r="D41" s="105">
        <v>19.425000000000001</v>
      </c>
    </row>
    <row r="42" spans="1:4">
      <c r="A42" s="102" t="s">
        <v>405</v>
      </c>
      <c r="B42" s="102"/>
      <c r="C42" s="103" t="s">
        <v>379</v>
      </c>
      <c r="D42" s="105">
        <v>22.05</v>
      </c>
    </row>
    <row r="43" spans="1:4">
      <c r="A43" s="102" t="s">
        <v>111</v>
      </c>
      <c r="B43" s="102" t="s">
        <v>83</v>
      </c>
      <c r="C43" s="103" t="s">
        <v>379</v>
      </c>
      <c r="D43" s="105">
        <v>1.575</v>
      </c>
    </row>
    <row r="44" spans="1:4">
      <c r="A44" s="102" t="s">
        <v>111</v>
      </c>
      <c r="B44" s="102" t="s">
        <v>387</v>
      </c>
      <c r="C44" s="103" t="s">
        <v>379</v>
      </c>
      <c r="D44" s="104">
        <v>2.1</v>
      </c>
    </row>
    <row r="45" spans="1:4">
      <c r="A45" s="102" t="s">
        <v>111</v>
      </c>
      <c r="B45" s="102" t="s">
        <v>388</v>
      </c>
      <c r="C45" s="103" t="s">
        <v>379</v>
      </c>
      <c r="D45" s="105">
        <v>4.2</v>
      </c>
    </row>
    <row r="46" spans="1:4">
      <c r="A46" s="102" t="s">
        <v>389</v>
      </c>
      <c r="B46" s="102"/>
      <c r="C46" s="103" t="s">
        <v>379</v>
      </c>
      <c r="D46" s="105">
        <v>1.05</v>
      </c>
    </row>
    <row r="47" spans="1:4">
      <c r="A47" s="102" t="s">
        <v>390</v>
      </c>
      <c r="B47" s="102"/>
      <c r="C47" s="103" t="s">
        <v>379</v>
      </c>
      <c r="D47" s="105">
        <v>1.575</v>
      </c>
    </row>
    <row r="48" spans="1:4">
      <c r="A48" s="102" t="s">
        <v>393</v>
      </c>
      <c r="B48" s="102" t="s">
        <v>394</v>
      </c>
      <c r="C48" s="103" t="s">
        <v>379</v>
      </c>
      <c r="D48" s="105">
        <v>2.1</v>
      </c>
    </row>
    <row r="49" spans="1:5">
      <c r="A49" s="102" t="s">
        <v>393</v>
      </c>
      <c r="B49" s="102" t="s">
        <v>395</v>
      </c>
      <c r="C49" s="103" t="s">
        <v>379</v>
      </c>
      <c r="D49" s="105">
        <v>3.15</v>
      </c>
    </row>
    <row r="50" spans="1:5">
      <c r="A50" s="102" t="s">
        <v>393</v>
      </c>
      <c r="B50" s="102" t="s">
        <v>396</v>
      </c>
      <c r="C50" s="103" t="s">
        <v>379</v>
      </c>
      <c r="D50" s="105">
        <v>4.2</v>
      </c>
    </row>
    <row r="51" spans="1:5">
      <c r="A51" s="102" t="s">
        <v>406</v>
      </c>
      <c r="B51" s="102"/>
      <c r="C51" s="103" t="s">
        <v>392</v>
      </c>
      <c r="D51" s="105">
        <v>1.05</v>
      </c>
    </row>
    <row r="52" spans="1:5">
      <c r="A52" s="102" t="s">
        <v>407</v>
      </c>
      <c r="B52" s="102"/>
      <c r="C52" s="103" t="s">
        <v>408</v>
      </c>
      <c r="D52" s="105">
        <v>10.5</v>
      </c>
    </row>
    <row r="53" spans="1:5">
      <c r="A53" s="102" t="s">
        <v>409</v>
      </c>
      <c r="B53" s="102"/>
      <c r="C53" s="103" t="s">
        <v>408</v>
      </c>
      <c r="D53" s="104">
        <v>31.5</v>
      </c>
    </row>
    <row r="54" spans="1:5">
      <c r="A54" s="106"/>
      <c r="B54" s="107"/>
      <c r="C54" s="109"/>
      <c r="D54" s="108"/>
      <c r="E54" s="96"/>
    </row>
    <row r="55" spans="1:5">
      <c r="A55" s="721" t="s">
        <v>410</v>
      </c>
      <c r="B55" s="722"/>
      <c r="C55" s="722"/>
      <c r="D55" s="723"/>
      <c r="E55" s="96"/>
    </row>
    <row r="56" spans="1:5">
      <c r="A56" s="98"/>
      <c r="B56" s="99"/>
      <c r="C56" s="100"/>
      <c r="D56" s="101"/>
      <c r="E56" s="96"/>
    </row>
    <row r="57" spans="1:5">
      <c r="A57" s="102" t="s">
        <v>13</v>
      </c>
      <c r="B57" s="102"/>
      <c r="C57" s="103" t="s">
        <v>392</v>
      </c>
      <c r="D57" s="105">
        <v>0.315</v>
      </c>
    </row>
    <row r="58" spans="1:5">
      <c r="A58" s="102" t="s">
        <v>403</v>
      </c>
      <c r="B58" s="102"/>
      <c r="C58" s="103" t="s">
        <v>392</v>
      </c>
      <c r="D58" s="105">
        <v>0.52500000000000002</v>
      </c>
    </row>
    <row r="59" spans="1:5">
      <c r="A59" s="102" t="s">
        <v>378</v>
      </c>
      <c r="B59" s="102"/>
      <c r="C59" s="103" t="s">
        <v>379</v>
      </c>
      <c r="D59" s="105">
        <v>2.1</v>
      </c>
    </row>
    <row r="60" spans="1:5">
      <c r="A60" s="102" t="s">
        <v>380</v>
      </c>
      <c r="B60" s="102"/>
      <c r="C60" s="103" t="s">
        <v>379</v>
      </c>
      <c r="D60" s="105">
        <v>2.415</v>
      </c>
    </row>
    <row r="61" spans="1:5">
      <c r="A61" s="102" t="s">
        <v>381</v>
      </c>
      <c r="B61" s="102"/>
      <c r="C61" s="103" t="s">
        <v>379</v>
      </c>
      <c r="D61" s="105">
        <v>1.05</v>
      </c>
    </row>
    <row r="62" spans="1:5">
      <c r="A62" s="102" t="s">
        <v>382</v>
      </c>
      <c r="B62" s="102"/>
      <c r="C62" s="103" t="s">
        <v>379</v>
      </c>
      <c r="D62" s="105">
        <v>1.365</v>
      </c>
    </row>
    <row r="63" spans="1:5">
      <c r="A63" s="102" t="s">
        <v>383</v>
      </c>
      <c r="B63" s="102"/>
      <c r="C63" s="103" t="s">
        <v>379</v>
      </c>
      <c r="D63" s="105">
        <v>2.1</v>
      </c>
    </row>
    <row r="64" spans="1:5">
      <c r="A64" s="102" t="s">
        <v>384</v>
      </c>
      <c r="B64" s="102"/>
      <c r="C64" s="103" t="s">
        <v>379</v>
      </c>
      <c r="D64" s="105">
        <v>1.05</v>
      </c>
    </row>
    <row r="65" spans="1:5">
      <c r="A65" s="102" t="s">
        <v>404</v>
      </c>
      <c r="B65" s="102"/>
      <c r="C65" s="103" t="s">
        <v>379</v>
      </c>
      <c r="D65" s="105">
        <v>2.1</v>
      </c>
    </row>
    <row r="66" spans="1:5">
      <c r="A66" s="102" t="s">
        <v>405</v>
      </c>
      <c r="B66" s="102"/>
      <c r="C66" s="103" t="s">
        <v>379</v>
      </c>
      <c r="D66" s="105">
        <v>2.415</v>
      </c>
    </row>
    <row r="67" spans="1:5">
      <c r="A67" s="106"/>
      <c r="B67" s="107"/>
      <c r="C67" s="109"/>
      <c r="D67" s="110"/>
      <c r="E67" s="96"/>
    </row>
    <row r="68" spans="1:5">
      <c r="A68" s="721" t="s">
        <v>411</v>
      </c>
      <c r="B68" s="722"/>
      <c r="C68" s="722"/>
      <c r="D68" s="723"/>
      <c r="E68" s="96"/>
    </row>
    <row r="69" spans="1:5">
      <c r="A69" s="98"/>
      <c r="B69" s="99"/>
      <c r="C69" s="100"/>
      <c r="D69" s="101"/>
      <c r="E69" s="96"/>
    </row>
    <row r="70" spans="1:5">
      <c r="A70" s="102" t="s">
        <v>378</v>
      </c>
      <c r="B70" s="102"/>
      <c r="C70" s="103" t="s">
        <v>412</v>
      </c>
      <c r="D70" s="105">
        <v>25</v>
      </c>
    </row>
    <row r="71" spans="1:5">
      <c r="A71" s="102" t="s">
        <v>380</v>
      </c>
      <c r="B71" s="102"/>
      <c r="C71" s="103" t="s">
        <v>412</v>
      </c>
      <c r="D71" s="105">
        <v>49.35</v>
      </c>
    </row>
    <row r="72" spans="1:5">
      <c r="A72" s="102" t="s">
        <v>381</v>
      </c>
      <c r="B72" s="102"/>
      <c r="C72" s="103" t="s">
        <v>412</v>
      </c>
      <c r="D72" s="104">
        <v>15.75</v>
      </c>
      <c r="E72" s="111"/>
    </row>
    <row r="73" spans="1:5">
      <c r="A73" s="102" t="s">
        <v>382</v>
      </c>
      <c r="B73" s="102"/>
      <c r="C73" s="103" t="s">
        <v>412</v>
      </c>
      <c r="D73" s="105">
        <v>24.15</v>
      </c>
    </row>
    <row r="74" spans="1:5">
      <c r="A74" s="102" t="s">
        <v>383</v>
      </c>
      <c r="B74" s="102"/>
      <c r="C74" s="103" t="s">
        <v>412</v>
      </c>
      <c r="D74" s="105">
        <v>25</v>
      </c>
    </row>
    <row r="75" spans="1:5">
      <c r="A75" s="102" t="s">
        <v>384</v>
      </c>
      <c r="B75" s="102"/>
      <c r="C75" s="103" t="s">
        <v>412</v>
      </c>
      <c r="D75" s="105">
        <v>15.75</v>
      </c>
    </row>
    <row r="76" spans="1:5">
      <c r="A76" s="102" t="s">
        <v>404</v>
      </c>
      <c r="B76" s="102"/>
      <c r="C76" s="103" t="s">
        <v>412</v>
      </c>
      <c r="D76" s="105">
        <v>25</v>
      </c>
    </row>
    <row r="77" spans="1:5">
      <c r="A77" s="102" t="s">
        <v>405</v>
      </c>
      <c r="B77" s="102"/>
      <c r="C77" s="103" t="s">
        <v>412</v>
      </c>
      <c r="D77" s="105">
        <v>49.35</v>
      </c>
    </row>
    <row r="78" spans="1:5">
      <c r="A78" s="102" t="s">
        <v>403</v>
      </c>
      <c r="B78" s="102"/>
      <c r="C78" s="103" t="s">
        <v>412</v>
      </c>
      <c r="D78" s="105">
        <v>11.045999999999999</v>
      </c>
    </row>
    <row r="79" spans="1:5">
      <c r="A79" s="102" t="s">
        <v>111</v>
      </c>
      <c r="B79" s="102"/>
      <c r="C79" s="103" t="s">
        <v>412</v>
      </c>
      <c r="D79" s="105">
        <v>23.173500000000001</v>
      </c>
    </row>
    <row r="80" spans="1:5">
      <c r="A80" s="102" t="s">
        <v>393</v>
      </c>
      <c r="B80" s="102"/>
      <c r="C80" s="103" t="s">
        <v>412</v>
      </c>
      <c r="D80" s="105">
        <v>45.233999999999995</v>
      </c>
    </row>
    <row r="81" spans="1:5">
      <c r="A81" s="106"/>
      <c r="B81" s="107"/>
      <c r="C81" s="109"/>
      <c r="D81" s="110"/>
      <c r="E81" s="96"/>
    </row>
    <row r="82" spans="1:5">
      <c r="A82" s="721" t="s">
        <v>413</v>
      </c>
      <c r="B82" s="722"/>
      <c r="C82" s="722"/>
      <c r="D82" s="723"/>
      <c r="E82" s="96"/>
    </row>
    <row r="83" spans="1:5">
      <c r="A83" s="98"/>
      <c r="B83" s="99"/>
      <c r="C83" s="100"/>
      <c r="D83" s="101"/>
      <c r="E83" s="96"/>
    </row>
    <row r="84" spans="1:5">
      <c r="A84" s="102" t="s">
        <v>378</v>
      </c>
      <c r="B84" s="102"/>
      <c r="C84" s="103" t="s">
        <v>414</v>
      </c>
      <c r="D84" s="104">
        <v>15.75</v>
      </c>
    </row>
    <row r="85" spans="1:5">
      <c r="A85" s="102" t="s">
        <v>380</v>
      </c>
      <c r="B85" s="102"/>
      <c r="C85" s="103" t="s">
        <v>414</v>
      </c>
      <c r="D85" s="104">
        <v>25</v>
      </c>
    </row>
    <row r="86" spans="1:5">
      <c r="A86" s="102" t="s">
        <v>381</v>
      </c>
      <c r="B86" s="102"/>
      <c r="C86" s="103" t="s">
        <v>414</v>
      </c>
      <c r="D86" s="105">
        <v>9.4499999999999993</v>
      </c>
    </row>
    <row r="87" spans="1:5">
      <c r="A87" s="102" t="s">
        <v>382</v>
      </c>
      <c r="B87" s="102"/>
      <c r="C87" s="103" t="s">
        <v>414</v>
      </c>
      <c r="D87" s="105">
        <v>14.7</v>
      </c>
    </row>
    <row r="88" spans="1:5">
      <c r="A88" s="102" t="s">
        <v>383</v>
      </c>
      <c r="B88" s="102"/>
      <c r="C88" s="103" t="s">
        <v>414</v>
      </c>
      <c r="D88" s="105">
        <v>15.75</v>
      </c>
    </row>
    <row r="89" spans="1:5">
      <c r="A89" s="102" t="s">
        <v>384</v>
      </c>
      <c r="B89" s="102"/>
      <c r="C89" s="103" t="s">
        <v>414</v>
      </c>
      <c r="D89" s="105">
        <v>9.4499999999999993</v>
      </c>
    </row>
    <row r="90" spans="1:5">
      <c r="A90" s="102" t="s">
        <v>404</v>
      </c>
      <c r="B90" s="102"/>
      <c r="C90" s="103" t="s">
        <v>414</v>
      </c>
      <c r="D90" s="105">
        <v>15.75</v>
      </c>
    </row>
    <row r="91" spans="1:5">
      <c r="A91" s="102" t="s">
        <v>405</v>
      </c>
      <c r="B91" s="102"/>
      <c r="C91" s="103" t="s">
        <v>414</v>
      </c>
      <c r="D91" s="105">
        <v>25</v>
      </c>
    </row>
    <row r="92" spans="1:5">
      <c r="A92" s="102" t="s">
        <v>415</v>
      </c>
      <c r="B92" s="102"/>
      <c r="C92" s="103" t="s">
        <v>392</v>
      </c>
      <c r="D92" s="105">
        <v>1.575</v>
      </c>
    </row>
    <row r="93" spans="1:5">
      <c r="A93" s="102" t="s">
        <v>416</v>
      </c>
      <c r="B93" s="102"/>
      <c r="C93" s="103" t="s">
        <v>392</v>
      </c>
      <c r="D93" s="105">
        <v>1.26</v>
      </c>
    </row>
    <row r="94" spans="1:5">
      <c r="A94" s="102" t="s">
        <v>417</v>
      </c>
      <c r="B94" s="102"/>
      <c r="C94" s="103" t="s">
        <v>392</v>
      </c>
      <c r="D94" s="105">
        <v>1.05</v>
      </c>
    </row>
    <row r="95" spans="1:5">
      <c r="A95" s="102" t="s">
        <v>111</v>
      </c>
      <c r="B95" s="102" t="s">
        <v>83</v>
      </c>
      <c r="C95" s="103" t="s">
        <v>379</v>
      </c>
      <c r="D95" s="105">
        <v>1.575</v>
      </c>
    </row>
    <row r="96" spans="1:5">
      <c r="A96" s="102" t="s">
        <v>111</v>
      </c>
      <c r="B96" s="102" t="s">
        <v>387</v>
      </c>
      <c r="C96" s="103" t="s">
        <v>379</v>
      </c>
      <c r="D96" s="105">
        <v>9.4499999999999993</v>
      </c>
    </row>
    <row r="97" spans="1:6">
      <c r="A97" s="102" t="s">
        <v>111</v>
      </c>
      <c r="B97" s="102" t="s">
        <v>388</v>
      </c>
      <c r="C97" s="103" t="s">
        <v>379</v>
      </c>
      <c r="D97" s="105">
        <v>10.5</v>
      </c>
    </row>
    <row r="98" spans="1:6">
      <c r="A98" s="102" t="s">
        <v>389</v>
      </c>
      <c r="B98" s="102"/>
      <c r="C98" s="103" t="s">
        <v>379</v>
      </c>
      <c r="D98" s="105">
        <v>1.365</v>
      </c>
    </row>
    <row r="99" spans="1:6">
      <c r="A99" s="102" t="s">
        <v>390</v>
      </c>
      <c r="B99" s="102"/>
      <c r="C99" s="103" t="s">
        <v>379</v>
      </c>
      <c r="D99" s="105">
        <v>1.155</v>
      </c>
    </row>
    <row r="100" spans="1:6">
      <c r="A100" s="102" t="s">
        <v>393</v>
      </c>
      <c r="B100" s="102" t="s">
        <v>394</v>
      </c>
      <c r="C100" s="103" t="s">
        <v>379</v>
      </c>
      <c r="D100" s="105">
        <v>5.25</v>
      </c>
    </row>
    <row r="101" spans="1:6">
      <c r="A101" s="102" t="s">
        <v>393</v>
      </c>
      <c r="B101" s="102" t="s">
        <v>395</v>
      </c>
      <c r="C101" s="103" t="s">
        <v>379</v>
      </c>
      <c r="D101" s="105">
        <v>7.35</v>
      </c>
    </row>
    <row r="102" spans="1:6">
      <c r="A102" s="102" t="s">
        <v>393</v>
      </c>
      <c r="B102" s="102" t="s">
        <v>396</v>
      </c>
      <c r="C102" s="103" t="s">
        <v>379</v>
      </c>
      <c r="D102" s="105">
        <v>8.4</v>
      </c>
    </row>
    <row r="103" spans="1:6">
      <c r="A103" s="102" t="s">
        <v>400</v>
      </c>
      <c r="B103" s="102"/>
      <c r="C103" s="103" t="s">
        <v>392</v>
      </c>
      <c r="D103" s="105">
        <v>2.1</v>
      </c>
    </row>
    <row r="104" spans="1:6">
      <c r="A104" s="106"/>
      <c r="B104" s="107"/>
      <c r="C104" s="109"/>
      <c r="D104" s="108"/>
      <c r="E104" s="96"/>
    </row>
    <row r="105" spans="1:6">
      <c r="A105" s="721" t="s">
        <v>418</v>
      </c>
      <c r="B105" s="722"/>
      <c r="C105" s="722"/>
      <c r="D105" s="723"/>
      <c r="E105" s="96"/>
    </row>
    <row r="106" spans="1:6">
      <c r="A106" s="98"/>
      <c r="B106" s="99"/>
      <c r="C106" s="100"/>
      <c r="D106" s="101"/>
      <c r="E106" s="96"/>
    </row>
    <row r="107" spans="1:6">
      <c r="A107" s="102" t="s">
        <v>419</v>
      </c>
      <c r="B107" s="112">
        <v>37</v>
      </c>
      <c r="C107" s="103" t="s">
        <v>420</v>
      </c>
      <c r="D107" s="105">
        <v>36.75</v>
      </c>
      <c r="F107" s="113"/>
    </row>
    <row r="108" spans="1:6">
      <c r="A108" s="102" t="s">
        <v>421</v>
      </c>
      <c r="B108" s="112" t="s">
        <v>422</v>
      </c>
      <c r="C108" s="103" t="s">
        <v>420</v>
      </c>
      <c r="D108" s="105">
        <v>89.25</v>
      </c>
      <c r="F108" s="113"/>
    </row>
    <row r="109" spans="1:6">
      <c r="A109" s="102" t="s">
        <v>421</v>
      </c>
      <c r="B109" s="112" t="s">
        <v>423</v>
      </c>
      <c r="C109" s="103" t="s">
        <v>420</v>
      </c>
      <c r="D109" s="105">
        <v>105</v>
      </c>
      <c r="F109" s="113"/>
    </row>
    <row r="110" spans="1:6">
      <c r="A110" s="102" t="s">
        <v>421</v>
      </c>
      <c r="B110" s="112" t="s">
        <v>424</v>
      </c>
      <c r="C110" s="103" t="s">
        <v>420</v>
      </c>
      <c r="D110" s="105">
        <v>126</v>
      </c>
      <c r="F110" s="113"/>
    </row>
    <row r="111" spans="1:6">
      <c r="A111" s="102" t="s">
        <v>421</v>
      </c>
      <c r="B111" s="112" t="s">
        <v>425</v>
      </c>
      <c r="C111" s="103" t="s">
        <v>420</v>
      </c>
      <c r="D111" s="105">
        <v>131.25</v>
      </c>
      <c r="F111" s="113"/>
    </row>
    <row r="112" spans="1:6">
      <c r="A112" s="102" t="s">
        <v>421</v>
      </c>
      <c r="B112" s="112" t="s">
        <v>426</v>
      </c>
      <c r="C112" s="103" t="s">
        <v>420</v>
      </c>
      <c r="D112" s="105">
        <v>136.5</v>
      </c>
      <c r="F112" s="113"/>
    </row>
    <row r="113" spans="1:6">
      <c r="A113" s="102" t="s">
        <v>421</v>
      </c>
      <c r="B113" s="112" t="s">
        <v>427</v>
      </c>
      <c r="C113" s="103" t="s">
        <v>420</v>
      </c>
      <c r="D113" s="105">
        <v>152.25</v>
      </c>
      <c r="E113" s="113"/>
      <c r="F113" s="113"/>
    </row>
    <row r="114" spans="1:6">
      <c r="A114" s="102" t="s">
        <v>428</v>
      </c>
      <c r="B114" s="112">
        <v>37</v>
      </c>
      <c r="C114" s="103" t="s">
        <v>420</v>
      </c>
      <c r="D114" s="105">
        <v>36.75</v>
      </c>
      <c r="F114" s="113"/>
    </row>
    <row r="115" spans="1:6">
      <c r="A115" s="102" t="s">
        <v>428</v>
      </c>
      <c r="B115" s="112" t="s">
        <v>429</v>
      </c>
      <c r="C115" s="103" t="s">
        <v>420</v>
      </c>
      <c r="D115" s="105">
        <v>89.25</v>
      </c>
      <c r="F115" s="113"/>
    </row>
    <row r="116" spans="1:6">
      <c r="A116" s="114"/>
      <c r="B116" s="107"/>
      <c r="C116" s="107"/>
      <c r="D116" s="115"/>
      <c r="E116" s="96"/>
    </row>
    <row r="117" spans="1:6">
      <c r="A117" s="114" t="s">
        <v>430</v>
      </c>
      <c r="B117" s="107"/>
      <c r="C117" s="109"/>
      <c r="D117" s="108"/>
      <c r="E117" s="96"/>
    </row>
    <row r="118" spans="1:6">
      <c r="A118" s="106" t="s">
        <v>431</v>
      </c>
      <c r="B118" s="107"/>
      <c r="C118" s="116"/>
      <c r="D118" s="108"/>
      <c r="E118" s="96"/>
    </row>
    <row r="119" spans="1:6">
      <c r="A119" s="106"/>
      <c r="B119" s="107"/>
      <c r="C119" s="109"/>
      <c r="D119" s="108"/>
      <c r="E119" s="96"/>
    </row>
    <row r="120" spans="1:6">
      <c r="A120" s="721" t="s">
        <v>432</v>
      </c>
      <c r="B120" s="722"/>
      <c r="C120" s="722"/>
      <c r="D120" s="723"/>
      <c r="E120" s="96"/>
    </row>
    <row r="121" spans="1:6">
      <c r="A121" s="106"/>
      <c r="B121" s="109"/>
      <c r="C121" s="117"/>
      <c r="D121" s="115"/>
      <c r="E121" s="96"/>
    </row>
    <row r="122" spans="1:6">
      <c r="A122" s="102" t="s">
        <v>433</v>
      </c>
      <c r="B122" s="102"/>
      <c r="C122" s="103" t="s">
        <v>434</v>
      </c>
      <c r="D122" s="104">
        <v>28.35</v>
      </c>
    </row>
    <row r="123" spans="1:6">
      <c r="A123" s="102" t="s">
        <v>435</v>
      </c>
      <c r="B123" s="102"/>
      <c r="C123" s="103" t="s">
        <v>408</v>
      </c>
      <c r="D123" s="105">
        <v>28.35</v>
      </c>
    </row>
    <row r="124" spans="1:6">
      <c r="A124" s="102" t="s">
        <v>436</v>
      </c>
      <c r="B124" s="102"/>
      <c r="C124" s="103" t="s">
        <v>437</v>
      </c>
      <c r="D124" s="105">
        <v>5.25</v>
      </c>
    </row>
    <row r="125" spans="1:6" ht="28.5" customHeight="1">
      <c r="A125" s="102" t="s">
        <v>438</v>
      </c>
      <c r="B125" s="102" t="s">
        <v>439</v>
      </c>
      <c r="C125" s="732" t="s">
        <v>440</v>
      </c>
      <c r="D125" s="733"/>
      <c r="E125" s="96"/>
    </row>
    <row r="126" spans="1:6" ht="30.75" customHeight="1">
      <c r="A126" s="102" t="s">
        <v>441</v>
      </c>
      <c r="B126" s="102" t="s">
        <v>442</v>
      </c>
      <c r="C126" s="732" t="s">
        <v>440</v>
      </c>
      <c r="D126" s="733"/>
    </row>
    <row r="127" spans="1:6">
      <c r="A127" s="106"/>
      <c r="B127" s="109"/>
      <c r="C127" s="109"/>
      <c r="D127" s="108"/>
    </row>
    <row r="128" spans="1:6">
      <c r="A128" s="106"/>
      <c r="B128" s="109"/>
      <c r="C128" s="109"/>
      <c r="D128" s="108"/>
    </row>
    <row r="129" spans="1:4">
      <c r="A129" s="721" t="s">
        <v>443</v>
      </c>
      <c r="B129" s="722"/>
      <c r="C129" s="722"/>
      <c r="D129" s="723"/>
    </row>
    <row r="130" spans="1:4">
      <c r="A130" s="112" t="s">
        <v>444</v>
      </c>
      <c r="B130" s="118">
        <v>0.25</v>
      </c>
      <c r="C130" s="102"/>
      <c r="D130" s="105"/>
    </row>
    <row r="131" spans="1:4">
      <c r="A131" s="112" t="s">
        <v>445</v>
      </c>
      <c r="B131" s="118">
        <v>0.4</v>
      </c>
      <c r="C131" s="102"/>
      <c r="D131" s="105"/>
    </row>
    <row r="132" spans="1:4">
      <c r="A132" s="109"/>
      <c r="B132" s="109"/>
      <c r="C132" s="109"/>
      <c r="D132" s="111"/>
    </row>
    <row r="133" spans="1:4">
      <c r="A133" s="109"/>
      <c r="B133" s="109"/>
      <c r="C133" s="109"/>
      <c r="D133" s="111"/>
    </row>
    <row r="134" spans="1:4">
      <c r="A134" s="119"/>
      <c r="B134" s="109"/>
      <c r="C134" s="109"/>
      <c r="D134" s="111"/>
    </row>
    <row r="135" spans="1:4">
      <c r="A135" s="109"/>
      <c r="B135" s="109"/>
      <c r="C135" s="109"/>
      <c r="D135" s="111"/>
    </row>
    <row r="136" spans="1:4">
      <c r="A136" s="109"/>
      <c r="B136" s="109"/>
      <c r="C136" s="109"/>
      <c r="D136" s="111"/>
    </row>
    <row r="137" spans="1:4">
      <c r="A137" s="109"/>
      <c r="B137" s="109"/>
      <c r="C137" s="109"/>
      <c r="D137" s="111"/>
    </row>
    <row r="138" spans="1:4">
      <c r="A138" s="109"/>
      <c r="B138" s="109"/>
      <c r="C138" s="109"/>
      <c r="D138" s="111"/>
    </row>
    <row r="139" spans="1:4">
      <c r="A139" s="109"/>
      <c r="B139" s="109"/>
      <c r="C139" s="109"/>
      <c r="D139" s="111"/>
    </row>
    <row r="140" spans="1:4">
      <c r="A140" s="109"/>
      <c r="B140" s="109"/>
      <c r="C140" s="109"/>
      <c r="D140" s="111"/>
    </row>
  </sheetData>
  <sheetProtection algorithmName="SHA-512" hashValue="hfw0shn3wgptdxXpvDBPZXLx+1GuRDIYyCDw/NfzHzKcUKBWDbxrcMCFJKO95bflKWp3Q5k6y2+1k5Hrg4I9Fg==" saltValue="FsXHQXZ9XwB79daEhoSK4w==" spinCount="100000" sheet="1" objects="1" scenarios="1"/>
  <mergeCells count="15">
    <mergeCell ref="A129:D129"/>
    <mergeCell ref="A120:D120"/>
    <mergeCell ref="A55:D55"/>
    <mergeCell ref="A68:D68"/>
    <mergeCell ref="A1:D1"/>
    <mergeCell ref="A2:D2"/>
    <mergeCell ref="A3:D3"/>
    <mergeCell ref="A5:D5"/>
    <mergeCell ref="A6:B6"/>
    <mergeCell ref="A31:D31"/>
    <mergeCell ref="A82:D82"/>
    <mergeCell ref="A105:D105"/>
    <mergeCell ref="A4:D4"/>
    <mergeCell ref="C125:D125"/>
    <mergeCell ref="C126:D126"/>
  </mergeCells>
  <pageMargins left="0.7" right="0.7" top="0.75" bottom="0.75" header="0.3" footer="0.3"/>
  <customProperties>
    <customPr name="DVSECTIONID" r:id="rId1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H33"/>
  <sheetViews>
    <sheetView workbookViewId="0">
      <selection activeCell="H16" sqref="H16"/>
    </sheetView>
  </sheetViews>
  <sheetFormatPr baseColWidth="10" defaultRowHeight="12.75"/>
  <cols>
    <col min="1" max="1" width="55.42578125" customWidth="1"/>
    <col min="2" max="2" width="15" customWidth="1"/>
    <col min="3" max="3" width="13.5703125" customWidth="1"/>
    <col min="4" max="4" width="14.5703125" customWidth="1"/>
    <col min="5" max="5" width="16.140625" customWidth="1"/>
    <col min="8" max="8" width="8.85546875" customWidth="1"/>
  </cols>
  <sheetData>
    <row r="2" spans="1:8" ht="18" customHeight="1">
      <c r="A2" s="1121" t="s">
        <v>2444</v>
      </c>
      <c r="B2" s="1121"/>
      <c r="C2" s="1121"/>
      <c r="D2" s="1121"/>
      <c r="E2" s="674"/>
      <c r="F2" s="674"/>
      <c r="G2" s="674"/>
      <c r="H2" s="674"/>
    </row>
    <row r="3" spans="1:8" ht="18" customHeight="1">
      <c r="A3" s="1121" t="s">
        <v>2445</v>
      </c>
      <c r="B3" s="1121"/>
      <c r="C3" s="1121"/>
      <c r="D3" s="1121"/>
      <c r="E3" s="674"/>
      <c r="F3" s="674"/>
      <c r="G3" s="674"/>
      <c r="H3" s="674"/>
    </row>
    <row r="4" spans="1:8" ht="23.25" customHeight="1">
      <c r="A4" s="672" t="s">
        <v>295</v>
      </c>
      <c r="B4" s="1122" t="s">
        <v>296</v>
      </c>
      <c r="C4" s="1123"/>
      <c r="D4" s="1118" t="s">
        <v>758</v>
      </c>
      <c r="E4" s="1118"/>
    </row>
    <row r="5" spans="1:8" ht="18" customHeight="1">
      <c r="A5" s="673" t="s">
        <v>213</v>
      </c>
      <c r="B5" s="1114" t="s">
        <v>2447</v>
      </c>
      <c r="C5" s="1115"/>
      <c r="D5" s="1119" t="s">
        <v>921</v>
      </c>
      <c r="E5" s="1119"/>
    </row>
    <row r="6" spans="1:8" ht="21.75" customHeight="1">
      <c r="A6" s="402" t="s">
        <v>2446</v>
      </c>
      <c r="B6" s="1107" t="s">
        <v>107</v>
      </c>
      <c r="C6" s="1120"/>
      <c r="D6" s="904">
        <v>2.5</v>
      </c>
      <c r="E6" s="904"/>
    </row>
    <row r="7" spans="1:8" ht="19.5" customHeight="1">
      <c r="A7" s="673" t="s">
        <v>2448</v>
      </c>
      <c r="B7" s="1114" t="s">
        <v>2447</v>
      </c>
      <c r="C7" s="1115"/>
      <c r="D7" s="1119" t="s">
        <v>921</v>
      </c>
      <c r="E7" s="1119"/>
    </row>
    <row r="8" spans="1:8" ht="21" customHeight="1">
      <c r="A8" s="675" t="s">
        <v>2449</v>
      </c>
      <c r="B8" s="1107" t="s">
        <v>74</v>
      </c>
      <c r="C8" s="1120"/>
      <c r="D8" s="904">
        <v>6.5</v>
      </c>
      <c r="E8" s="904"/>
    </row>
    <row r="9" spans="1:8" ht="21.75" customHeight="1">
      <c r="A9" s="673" t="s">
        <v>2450</v>
      </c>
      <c r="B9" s="1114" t="s">
        <v>2447</v>
      </c>
      <c r="C9" s="1115"/>
      <c r="D9" s="1119" t="s">
        <v>921</v>
      </c>
      <c r="E9" s="1119"/>
    </row>
    <row r="10" spans="1:8" ht="18" customHeight="1">
      <c r="A10" s="402" t="s">
        <v>2449</v>
      </c>
      <c r="B10" s="1116" t="s">
        <v>74</v>
      </c>
      <c r="C10" s="1117"/>
      <c r="D10" s="1111">
        <v>2.5</v>
      </c>
      <c r="E10" s="1111"/>
    </row>
    <row r="11" spans="1:8" ht="18" customHeight="1">
      <c r="A11" s="676" t="s">
        <v>2451</v>
      </c>
      <c r="B11" s="1116" t="s">
        <v>74</v>
      </c>
      <c r="C11" s="1117"/>
      <c r="D11" s="1111">
        <v>3.7</v>
      </c>
      <c r="E11" s="1111"/>
    </row>
    <row r="12" spans="1:8" ht="18" customHeight="1">
      <c r="A12" s="676" t="s">
        <v>210</v>
      </c>
      <c r="B12" s="1116" t="s">
        <v>96</v>
      </c>
      <c r="C12" s="1117"/>
      <c r="D12" s="1111">
        <v>12</v>
      </c>
      <c r="E12" s="1111"/>
    </row>
    <row r="13" spans="1:8" ht="18" customHeight="1">
      <c r="A13" s="677" t="s">
        <v>131</v>
      </c>
      <c r="B13" s="1116" t="s">
        <v>96</v>
      </c>
      <c r="C13" s="1117"/>
      <c r="D13" s="1111">
        <v>35</v>
      </c>
      <c r="E13" s="1111"/>
    </row>
    <row r="14" spans="1:8" ht="18" customHeight="1">
      <c r="A14" s="678" t="s">
        <v>2452</v>
      </c>
      <c r="B14" s="1116" t="s">
        <v>326</v>
      </c>
      <c r="C14" s="1117"/>
      <c r="D14" s="1111">
        <v>90</v>
      </c>
      <c r="E14" s="1111"/>
    </row>
    <row r="15" spans="1:8" ht="18" customHeight="1">
      <c r="A15" s="678" t="s">
        <v>2453</v>
      </c>
      <c r="B15" s="1116" t="s">
        <v>122</v>
      </c>
      <c r="C15" s="1117"/>
      <c r="D15" s="1111">
        <v>16</v>
      </c>
      <c r="E15" s="1111"/>
    </row>
    <row r="16" spans="1:8" ht="18" customHeight="1">
      <c r="A16" s="678" t="s">
        <v>2454</v>
      </c>
      <c r="B16" s="1116" t="s">
        <v>326</v>
      </c>
      <c r="C16" s="1117"/>
      <c r="D16" s="1111">
        <v>110</v>
      </c>
      <c r="E16" s="1111"/>
    </row>
    <row r="17" spans="1:5" ht="18" customHeight="1">
      <c r="A17" s="678" t="s">
        <v>2455</v>
      </c>
      <c r="B17" s="1116" t="s">
        <v>326</v>
      </c>
      <c r="C17" s="1117"/>
      <c r="D17" s="1111">
        <v>250</v>
      </c>
      <c r="E17" s="1111"/>
    </row>
    <row r="18" spans="1:5" ht="18" customHeight="1">
      <c r="A18" s="678" t="s">
        <v>1582</v>
      </c>
      <c r="B18" s="1116" t="s">
        <v>54</v>
      </c>
      <c r="C18" s="1117"/>
      <c r="D18" s="1111">
        <v>6</v>
      </c>
      <c r="E18" s="1111"/>
    </row>
    <row r="19" spans="1:5" ht="18" customHeight="1">
      <c r="A19" s="673" t="s">
        <v>2456</v>
      </c>
      <c r="B19" s="1114" t="s">
        <v>2447</v>
      </c>
      <c r="C19" s="1115"/>
      <c r="D19" s="1112" t="s">
        <v>921</v>
      </c>
      <c r="E19" s="1113"/>
    </row>
    <row r="20" spans="1:5" ht="18" customHeight="1">
      <c r="A20" s="678" t="s">
        <v>2457</v>
      </c>
      <c r="B20" s="1107" t="s">
        <v>2459</v>
      </c>
      <c r="C20" s="1108"/>
      <c r="D20" s="1111">
        <v>3.5</v>
      </c>
      <c r="E20" s="1111"/>
    </row>
    <row r="21" spans="1:5" ht="18" customHeight="1">
      <c r="A21" s="678" t="s">
        <v>2449</v>
      </c>
      <c r="B21" s="669" t="s">
        <v>1926</v>
      </c>
      <c r="C21" s="669" t="s">
        <v>608</v>
      </c>
      <c r="D21" s="669" t="s">
        <v>1927</v>
      </c>
      <c r="E21" s="669" t="s">
        <v>1928</v>
      </c>
    </row>
    <row r="22" spans="1:5" ht="18" customHeight="1">
      <c r="A22" s="678" t="s">
        <v>2458</v>
      </c>
      <c r="B22" s="670" t="s">
        <v>161</v>
      </c>
      <c r="C22" s="670" t="s">
        <v>161</v>
      </c>
      <c r="D22" s="224">
        <v>3</v>
      </c>
      <c r="E22" s="224">
        <v>4</v>
      </c>
    </row>
    <row r="23" spans="1:5" ht="18" customHeight="1">
      <c r="A23" s="1109" t="s">
        <v>2460</v>
      </c>
      <c r="B23" s="1110"/>
      <c r="C23" s="1110"/>
      <c r="D23" s="1110"/>
      <c r="E23" s="1110"/>
    </row>
    <row r="24" spans="1:5" ht="18" customHeight="1">
      <c r="A24" s="678" t="s">
        <v>635</v>
      </c>
      <c r="B24" s="1106">
        <v>0.4</v>
      </c>
      <c r="C24" s="912"/>
      <c r="D24" s="912"/>
      <c r="E24" s="912"/>
    </row>
    <row r="25" spans="1:5" ht="18" customHeight="1"/>
    <row r="26" spans="1:5" ht="18" customHeight="1"/>
    <row r="27" spans="1:5" ht="18" customHeight="1"/>
    <row r="28" spans="1:5" ht="18" customHeight="1"/>
    <row r="29" spans="1:5" ht="18" customHeight="1"/>
    <row r="30" spans="1:5" ht="18" customHeight="1"/>
    <row r="31" spans="1:5" ht="18" customHeight="1"/>
    <row r="32" spans="1:5" ht="18" customHeight="1"/>
    <row r="33" ht="18" customHeight="1"/>
  </sheetData>
  <sheetProtection algorithmName="SHA-512" hashValue="oouelWkYM5wBQk4SvzOnS4GCpkrbs+qirU72d7gRKKOvi371nxvGDRhMBomI9SdwkxGkIKjgaUlc467lsUkKnA==" saltValue="72LbLQrtC0xApX4xpyUWTg==" spinCount="100000" sheet="1" objects="1" scenarios="1"/>
  <mergeCells count="38">
    <mergeCell ref="B6:C6"/>
    <mergeCell ref="B8:C8"/>
    <mergeCell ref="A2:D2"/>
    <mergeCell ref="A3:D3"/>
    <mergeCell ref="B12:C12"/>
    <mergeCell ref="B4:C4"/>
    <mergeCell ref="B5:C5"/>
    <mergeCell ref="D9:E9"/>
    <mergeCell ref="D10:E10"/>
    <mergeCell ref="D11:E11"/>
    <mergeCell ref="D12:E12"/>
    <mergeCell ref="B13:C13"/>
    <mergeCell ref="B7:C7"/>
    <mergeCell ref="B9:C9"/>
    <mergeCell ref="B10:C10"/>
    <mergeCell ref="B11:C11"/>
    <mergeCell ref="D14:E14"/>
    <mergeCell ref="D15:E15"/>
    <mergeCell ref="D16:E16"/>
    <mergeCell ref="B14:C14"/>
    <mergeCell ref="B15:C15"/>
    <mergeCell ref="B16:C16"/>
    <mergeCell ref="D13:E13"/>
    <mergeCell ref="D4:E4"/>
    <mergeCell ref="D5:E5"/>
    <mergeCell ref="D6:E6"/>
    <mergeCell ref="D7:E7"/>
    <mergeCell ref="D8:E8"/>
    <mergeCell ref="B24:E24"/>
    <mergeCell ref="B20:C20"/>
    <mergeCell ref="A23:E23"/>
    <mergeCell ref="D17:E17"/>
    <mergeCell ref="D18:E18"/>
    <mergeCell ref="D19:E19"/>
    <mergeCell ref="D20:E20"/>
    <mergeCell ref="B19:C19"/>
    <mergeCell ref="B17:C17"/>
    <mergeCell ref="B18:C1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C000"/>
  </sheetPr>
  <dimension ref="A1:C33"/>
  <sheetViews>
    <sheetView topLeftCell="A22" workbookViewId="0">
      <selection activeCell="D40" sqref="D40"/>
    </sheetView>
  </sheetViews>
  <sheetFormatPr baseColWidth="10" defaultRowHeight="14.25"/>
  <cols>
    <col min="1" max="1" width="46.42578125" style="17" customWidth="1"/>
    <col min="2" max="2" width="27.42578125" style="17" customWidth="1"/>
    <col min="3" max="3" width="24.5703125" style="17" customWidth="1"/>
    <col min="4" max="16384" width="11.42578125" style="17"/>
  </cols>
  <sheetData>
    <row r="1" spans="1:3" ht="15">
      <c r="A1" s="737" t="s">
        <v>473</v>
      </c>
      <c r="B1" s="737"/>
      <c r="C1" s="737"/>
    </row>
    <row r="2" spans="1:3" ht="16.5">
      <c r="A2" s="735" t="s">
        <v>632</v>
      </c>
      <c r="B2" s="735"/>
      <c r="C2" s="735"/>
    </row>
    <row r="3" spans="1:3" ht="15">
      <c r="A3" s="700" t="s">
        <v>125</v>
      </c>
      <c r="B3" s="700"/>
      <c r="C3" s="700"/>
    </row>
    <row r="4" spans="1:3" ht="15">
      <c r="A4" s="133" t="s">
        <v>474</v>
      </c>
      <c r="B4" s="133" t="s">
        <v>475</v>
      </c>
      <c r="C4" s="134" t="s">
        <v>75</v>
      </c>
    </row>
    <row r="5" spans="1:3">
      <c r="A5" s="135" t="s">
        <v>126</v>
      </c>
      <c r="B5" s="136" t="s">
        <v>476</v>
      </c>
      <c r="C5" s="137">
        <v>0.45</v>
      </c>
    </row>
    <row r="6" spans="1:3">
      <c r="A6" s="135"/>
      <c r="B6" s="136"/>
      <c r="C6" s="138"/>
    </row>
    <row r="7" spans="1:3">
      <c r="A7" s="135" t="s">
        <v>131</v>
      </c>
      <c r="B7" s="136" t="s">
        <v>477</v>
      </c>
      <c r="C7" s="138">
        <v>50</v>
      </c>
    </row>
    <row r="8" spans="1:3">
      <c r="A8" s="135" t="s">
        <v>478</v>
      </c>
      <c r="B8" s="136" t="s">
        <v>477</v>
      </c>
      <c r="C8" s="137">
        <v>20</v>
      </c>
    </row>
    <row r="9" spans="1:3" ht="15">
      <c r="A9" s="700" t="s">
        <v>479</v>
      </c>
      <c r="B9" s="700"/>
      <c r="C9" s="700"/>
    </row>
    <row r="10" spans="1:3" ht="15">
      <c r="A10" s="700" t="s">
        <v>480</v>
      </c>
      <c r="B10" s="700"/>
      <c r="C10" s="700"/>
    </row>
    <row r="11" spans="1:3">
      <c r="A11" s="135" t="s">
        <v>481</v>
      </c>
      <c r="B11" s="734">
        <v>0.1</v>
      </c>
      <c r="C11" s="734"/>
    </row>
    <row r="12" spans="1:3">
      <c r="A12" s="135" t="s">
        <v>482</v>
      </c>
      <c r="B12" s="734">
        <v>0.15</v>
      </c>
      <c r="C12" s="734"/>
    </row>
    <row r="13" spans="1:3">
      <c r="A13" s="135" t="s">
        <v>483</v>
      </c>
      <c r="B13" s="734">
        <v>0.2</v>
      </c>
      <c r="C13" s="734"/>
    </row>
    <row r="14" spans="1:3">
      <c r="A14" s="736" t="s">
        <v>318</v>
      </c>
      <c r="B14" s="736"/>
      <c r="C14" s="736"/>
    </row>
    <row r="15" spans="1:3" ht="15">
      <c r="A15" s="133" t="s">
        <v>474</v>
      </c>
      <c r="B15" s="133" t="s">
        <v>475</v>
      </c>
      <c r="C15" s="134" t="s">
        <v>75</v>
      </c>
    </row>
    <row r="16" spans="1:3">
      <c r="A16" s="135" t="s">
        <v>484</v>
      </c>
      <c r="B16" s="136" t="s">
        <v>74</v>
      </c>
      <c r="C16" s="137">
        <v>4.5</v>
      </c>
    </row>
    <row r="17" spans="1:3">
      <c r="A17" s="135" t="s">
        <v>485</v>
      </c>
      <c r="B17" s="136" t="s">
        <v>74</v>
      </c>
      <c r="C17" s="138">
        <f>+C16*1.25</f>
        <v>5.625</v>
      </c>
    </row>
    <row r="18" spans="1:3">
      <c r="A18" s="135"/>
      <c r="B18" s="136"/>
      <c r="C18" s="137"/>
    </row>
    <row r="19" spans="1:3">
      <c r="A19" s="135"/>
      <c r="B19" s="136"/>
      <c r="C19" s="138"/>
    </row>
    <row r="20" spans="1:3" ht="15">
      <c r="A20" s="700" t="s">
        <v>486</v>
      </c>
      <c r="B20" s="700"/>
      <c r="C20" s="700"/>
    </row>
    <row r="21" spans="1:3" ht="15">
      <c r="A21" s="700" t="s">
        <v>487</v>
      </c>
      <c r="B21" s="700"/>
      <c r="C21" s="700"/>
    </row>
    <row r="22" spans="1:3">
      <c r="A22" s="135" t="s">
        <v>488</v>
      </c>
      <c r="B22" s="734">
        <v>0.65</v>
      </c>
      <c r="C22" s="734"/>
    </row>
    <row r="23" spans="1:3">
      <c r="A23" s="135" t="s">
        <v>489</v>
      </c>
      <c r="B23" s="734">
        <v>0.625</v>
      </c>
      <c r="C23" s="734"/>
    </row>
    <row r="24" spans="1:3">
      <c r="A24" s="135" t="s">
        <v>490</v>
      </c>
      <c r="B24" s="734">
        <v>0.6</v>
      </c>
      <c r="C24" s="734"/>
    </row>
    <row r="25" spans="1:3">
      <c r="A25" s="135" t="s">
        <v>491</v>
      </c>
      <c r="B25" s="734">
        <v>0.5</v>
      </c>
      <c r="C25" s="734"/>
    </row>
    <row r="26" spans="1:3">
      <c r="A26" s="135" t="s">
        <v>492</v>
      </c>
      <c r="B26" s="734">
        <v>0.35</v>
      </c>
      <c r="C26" s="734"/>
    </row>
    <row r="27" spans="1:3">
      <c r="A27" s="135" t="s">
        <v>493</v>
      </c>
      <c r="B27" s="734">
        <v>0.25</v>
      </c>
      <c r="C27" s="734"/>
    </row>
    <row r="28" spans="1:3">
      <c r="A28" s="135" t="s">
        <v>494</v>
      </c>
      <c r="B28" s="734">
        <v>0.15</v>
      </c>
      <c r="C28" s="734"/>
    </row>
    <row r="29" spans="1:3">
      <c r="A29" s="135" t="s">
        <v>495</v>
      </c>
      <c r="B29" s="734">
        <v>0.1</v>
      </c>
      <c r="C29" s="734"/>
    </row>
    <row r="30" spans="1:3" ht="15">
      <c r="A30" s="700" t="s">
        <v>496</v>
      </c>
      <c r="B30" s="700"/>
      <c r="C30" s="700"/>
    </row>
    <row r="31" spans="1:3" ht="15">
      <c r="A31" s="133" t="s">
        <v>474</v>
      </c>
      <c r="B31" s="133" t="s">
        <v>475</v>
      </c>
      <c r="C31" s="134" t="s">
        <v>75</v>
      </c>
    </row>
    <row r="32" spans="1:3">
      <c r="A32" s="135" t="s">
        <v>484</v>
      </c>
      <c r="B32" s="136" t="s">
        <v>74</v>
      </c>
      <c r="C32" s="137">
        <v>1.1000000000000001</v>
      </c>
    </row>
    <row r="33" spans="1:3" ht="28.5">
      <c r="A33" s="139" t="s">
        <v>485</v>
      </c>
      <c r="B33" s="136" t="s">
        <v>74</v>
      </c>
      <c r="C33" s="138">
        <f>+C32*1.25</f>
        <v>1.375</v>
      </c>
    </row>
  </sheetData>
  <sheetProtection algorithmName="SHA-512" hashValue="3QyiDxFnFLfaPUFFYzJTmO/GryC7LOf3oI72RPqVBLPhEhU9fuH4WJ9/14gYcTtUoGOVUcP/XA+daZWVwG31+A==" saltValue="YqjDu+Wv7Zze8GU1r/oOxw==" spinCount="100000" sheet="1" objects="1" scenarios="1"/>
  <mergeCells count="20">
    <mergeCell ref="A1:C1"/>
    <mergeCell ref="A3:C3"/>
    <mergeCell ref="A9:C9"/>
    <mergeCell ref="A10:C10"/>
    <mergeCell ref="B11:C11"/>
    <mergeCell ref="A21:C21"/>
    <mergeCell ref="B22:C22"/>
    <mergeCell ref="A2:C2"/>
    <mergeCell ref="A30:C30"/>
    <mergeCell ref="B24:C24"/>
    <mergeCell ref="B25:C25"/>
    <mergeCell ref="B26:C26"/>
    <mergeCell ref="B27:C27"/>
    <mergeCell ref="B28:C28"/>
    <mergeCell ref="B29:C29"/>
    <mergeCell ref="B23:C23"/>
    <mergeCell ref="B12:C12"/>
    <mergeCell ref="B13:C13"/>
    <mergeCell ref="A14:C14"/>
    <mergeCell ref="A20:C20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70C0"/>
  </sheetPr>
  <dimension ref="A1:C151"/>
  <sheetViews>
    <sheetView workbookViewId="0">
      <selection activeCell="F37" sqref="F37"/>
    </sheetView>
  </sheetViews>
  <sheetFormatPr baseColWidth="10" defaultRowHeight="14.25"/>
  <cols>
    <col min="1" max="1" width="60.85546875" style="17" bestFit="1" customWidth="1"/>
    <col min="2" max="2" width="27.5703125" style="17" bestFit="1" customWidth="1"/>
    <col min="3" max="3" width="11.85546875" style="77" customWidth="1"/>
    <col min="4" max="16384" width="11.42578125" style="17"/>
  </cols>
  <sheetData>
    <row r="1" spans="1:3" ht="15">
      <c r="A1" s="680" t="s">
        <v>762</v>
      </c>
      <c r="B1" s="680"/>
      <c r="C1" s="680"/>
    </row>
    <row r="2" spans="1:3">
      <c r="A2" s="746" t="s">
        <v>763</v>
      </c>
      <c r="B2" s="747"/>
      <c r="C2" s="747"/>
    </row>
    <row r="3" spans="1:3">
      <c r="C3" s="175"/>
    </row>
    <row r="4" spans="1:3" ht="9.75" customHeight="1">
      <c r="A4" s="742" t="s">
        <v>49</v>
      </c>
      <c r="B4" s="740" t="s">
        <v>124</v>
      </c>
      <c r="C4" s="738" t="s">
        <v>75</v>
      </c>
    </row>
    <row r="5" spans="1:3" ht="8.25" customHeight="1">
      <c r="A5" s="743"/>
      <c r="B5" s="741"/>
      <c r="C5" s="739"/>
    </row>
    <row r="6" spans="1:3" ht="15">
      <c r="A6" s="182" t="s">
        <v>1099</v>
      </c>
      <c r="B6" s="19"/>
      <c r="C6" s="174"/>
    </row>
    <row r="7" spans="1:3" ht="15">
      <c r="A7" s="38" t="s">
        <v>125</v>
      </c>
      <c r="B7" s="38"/>
      <c r="C7" s="180"/>
    </row>
    <row r="8" spans="1:3" ht="15">
      <c r="A8" s="22" t="s">
        <v>764</v>
      </c>
      <c r="B8" s="75"/>
      <c r="C8" s="174"/>
    </row>
    <row r="9" spans="1:3">
      <c r="A9" s="22" t="s">
        <v>765</v>
      </c>
      <c r="B9" s="6" t="s">
        <v>766</v>
      </c>
      <c r="C9" s="174">
        <v>0.34</v>
      </c>
    </row>
    <row r="10" spans="1:3">
      <c r="A10" s="22" t="s">
        <v>767</v>
      </c>
      <c r="B10" s="6" t="s">
        <v>766</v>
      </c>
      <c r="C10" s="174">
        <v>0.4</v>
      </c>
    </row>
    <row r="11" spans="1:3">
      <c r="A11" s="22" t="s">
        <v>768</v>
      </c>
      <c r="B11" s="6" t="s">
        <v>766</v>
      </c>
      <c r="C11" s="174">
        <v>0.44</v>
      </c>
    </row>
    <row r="12" spans="1:3">
      <c r="A12" s="22" t="s">
        <v>769</v>
      </c>
      <c r="B12" s="6" t="s">
        <v>766</v>
      </c>
      <c r="C12" s="174">
        <v>0.52</v>
      </c>
    </row>
    <row r="13" spans="1:3">
      <c r="A13" s="22" t="s">
        <v>770</v>
      </c>
      <c r="B13" s="6" t="s">
        <v>771</v>
      </c>
      <c r="C13" s="174">
        <v>1.55</v>
      </c>
    </row>
    <row r="14" spans="1:3">
      <c r="A14" s="22" t="s">
        <v>772</v>
      </c>
      <c r="B14" s="6" t="s">
        <v>766</v>
      </c>
      <c r="C14" s="174">
        <v>0.34</v>
      </c>
    </row>
    <row r="15" spans="1:3">
      <c r="A15" s="22" t="s">
        <v>773</v>
      </c>
      <c r="B15" s="22" t="s">
        <v>774</v>
      </c>
      <c r="C15" s="174" t="s">
        <v>775</v>
      </c>
    </row>
    <row r="16" spans="1:3">
      <c r="A16" s="22" t="s">
        <v>776</v>
      </c>
      <c r="B16" s="22" t="s">
        <v>774</v>
      </c>
      <c r="C16" s="174">
        <v>500</v>
      </c>
    </row>
    <row r="17" spans="1:3">
      <c r="A17" s="22" t="s">
        <v>128</v>
      </c>
      <c r="B17" s="22" t="s">
        <v>774</v>
      </c>
      <c r="C17" s="174">
        <v>100</v>
      </c>
    </row>
    <row r="18" spans="1:3" ht="15">
      <c r="A18" s="38" t="s">
        <v>777</v>
      </c>
      <c r="B18" s="179"/>
      <c r="C18" s="180"/>
    </row>
    <row r="19" spans="1:3">
      <c r="A19" s="6" t="s">
        <v>643</v>
      </c>
      <c r="B19" s="6" t="s">
        <v>110</v>
      </c>
      <c r="C19" s="174">
        <v>25</v>
      </c>
    </row>
    <row r="20" spans="1:3">
      <c r="A20" s="6" t="s">
        <v>644</v>
      </c>
      <c r="B20" s="6" t="s">
        <v>110</v>
      </c>
      <c r="C20" s="174">
        <v>25</v>
      </c>
    </row>
    <row r="21" spans="1:3">
      <c r="A21" s="6" t="s">
        <v>778</v>
      </c>
      <c r="B21" s="6" t="s">
        <v>110</v>
      </c>
      <c r="C21" s="174">
        <v>35</v>
      </c>
    </row>
    <row r="22" spans="1:3">
      <c r="A22" s="6" t="s">
        <v>779</v>
      </c>
      <c r="B22" s="6" t="s">
        <v>110</v>
      </c>
      <c r="C22" s="174">
        <v>45</v>
      </c>
    </row>
    <row r="23" spans="1:3">
      <c r="A23" s="6" t="s">
        <v>780</v>
      </c>
      <c r="B23" s="6" t="s">
        <v>110</v>
      </c>
      <c r="C23" s="174">
        <v>10</v>
      </c>
    </row>
    <row r="24" spans="1:3">
      <c r="A24" s="6" t="s">
        <v>781</v>
      </c>
      <c r="B24" s="6" t="s">
        <v>782</v>
      </c>
      <c r="C24" s="174">
        <v>4</v>
      </c>
    </row>
    <row r="25" spans="1:3">
      <c r="A25" s="6" t="s">
        <v>783</v>
      </c>
      <c r="B25" s="6"/>
      <c r="C25" s="174"/>
    </row>
    <row r="26" spans="1:3">
      <c r="A26" s="6" t="s">
        <v>784</v>
      </c>
      <c r="B26" s="6" t="s">
        <v>110</v>
      </c>
      <c r="C26" s="174">
        <v>25</v>
      </c>
    </row>
    <row r="27" spans="1:3">
      <c r="A27" s="6" t="s">
        <v>785</v>
      </c>
      <c r="B27" s="6" t="s">
        <v>110</v>
      </c>
      <c r="C27" s="174">
        <v>35</v>
      </c>
    </row>
    <row r="28" spans="1:3">
      <c r="A28" s="6" t="s">
        <v>786</v>
      </c>
      <c r="B28" s="6" t="s">
        <v>787</v>
      </c>
      <c r="C28" s="174">
        <v>3</v>
      </c>
    </row>
    <row r="29" spans="1:3" ht="15">
      <c r="A29" s="38" t="s">
        <v>118</v>
      </c>
      <c r="B29" s="37"/>
      <c r="C29" s="180"/>
    </row>
    <row r="30" spans="1:3">
      <c r="A30" s="22" t="s">
        <v>788</v>
      </c>
      <c r="B30" s="22"/>
      <c r="C30" s="174"/>
    </row>
    <row r="31" spans="1:3">
      <c r="A31" s="6" t="s">
        <v>789</v>
      </c>
      <c r="B31" s="6" t="s">
        <v>790</v>
      </c>
      <c r="C31" s="174">
        <v>8</v>
      </c>
    </row>
    <row r="32" spans="1:3">
      <c r="A32" s="6" t="s">
        <v>791</v>
      </c>
      <c r="B32" s="6" t="s">
        <v>790</v>
      </c>
      <c r="C32" s="174">
        <v>12</v>
      </c>
    </row>
    <row r="33" spans="1:3">
      <c r="A33" s="22" t="s">
        <v>792</v>
      </c>
      <c r="B33" s="22" t="s">
        <v>793</v>
      </c>
      <c r="C33" s="174">
        <v>0.8</v>
      </c>
    </row>
    <row r="34" spans="1:3">
      <c r="A34" s="22" t="s">
        <v>794</v>
      </c>
      <c r="B34" s="22" t="s">
        <v>793</v>
      </c>
      <c r="C34" s="174">
        <v>0.6</v>
      </c>
    </row>
    <row r="35" spans="1:3">
      <c r="A35" s="22" t="s">
        <v>795</v>
      </c>
      <c r="B35" s="22"/>
      <c r="C35" s="174"/>
    </row>
    <row r="36" spans="1:3">
      <c r="A36" s="6" t="s">
        <v>789</v>
      </c>
      <c r="B36" s="6" t="s">
        <v>790</v>
      </c>
      <c r="C36" s="174">
        <v>0.7</v>
      </c>
    </row>
    <row r="37" spans="1:3">
      <c r="A37" s="6" t="s">
        <v>791</v>
      </c>
      <c r="B37" s="6" t="s">
        <v>790</v>
      </c>
      <c r="C37" s="174">
        <v>0.95</v>
      </c>
    </row>
    <row r="38" spans="1:3" ht="15">
      <c r="A38" s="183" t="s">
        <v>1100</v>
      </c>
      <c r="B38" s="22"/>
      <c r="C38" s="174"/>
    </row>
    <row r="39" spans="1:3" ht="15">
      <c r="A39" s="38" t="s">
        <v>796</v>
      </c>
      <c r="B39" s="179"/>
      <c r="C39" s="180"/>
    </row>
    <row r="40" spans="1:3">
      <c r="A40" s="6" t="s">
        <v>355</v>
      </c>
      <c r="B40" s="6" t="s">
        <v>797</v>
      </c>
      <c r="C40" s="174">
        <v>4.5</v>
      </c>
    </row>
    <row r="41" spans="1:3">
      <c r="A41" s="6" t="s">
        <v>798</v>
      </c>
      <c r="B41" s="6" t="s">
        <v>797</v>
      </c>
      <c r="C41" s="174">
        <v>5.8</v>
      </c>
    </row>
    <row r="42" spans="1:3">
      <c r="A42" s="22" t="s">
        <v>799</v>
      </c>
      <c r="B42" s="6" t="s">
        <v>797</v>
      </c>
      <c r="C42" s="174">
        <v>1.5</v>
      </c>
    </row>
    <row r="43" spans="1:3">
      <c r="A43" s="22" t="s">
        <v>800</v>
      </c>
      <c r="B43" s="6" t="s">
        <v>797</v>
      </c>
      <c r="C43" s="174">
        <v>1.8</v>
      </c>
    </row>
    <row r="44" spans="1:3" ht="15">
      <c r="A44" s="38" t="s">
        <v>801</v>
      </c>
      <c r="B44" s="179"/>
      <c r="C44" s="180"/>
    </row>
    <row r="45" spans="1:3">
      <c r="A45" s="22" t="s">
        <v>802</v>
      </c>
      <c r="B45" s="22" t="s">
        <v>782</v>
      </c>
      <c r="C45" s="174">
        <v>4</v>
      </c>
    </row>
    <row r="46" spans="1:3">
      <c r="A46" s="6" t="s">
        <v>803</v>
      </c>
      <c r="B46" s="22" t="s">
        <v>782</v>
      </c>
      <c r="C46" s="174">
        <v>5.5</v>
      </c>
    </row>
    <row r="47" spans="1:3">
      <c r="A47" s="22" t="s">
        <v>804</v>
      </c>
      <c r="B47" s="22" t="s">
        <v>782</v>
      </c>
      <c r="C47" s="174">
        <v>4</v>
      </c>
    </row>
    <row r="48" spans="1:3">
      <c r="A48" s="6" t="s">
        <v>805</v>
      </c>
      <c r="B48" s="22" t="s">
        <v>782</v>
      </c>
      <c r="C48" s="174">
        <v>5.5</v>
      </c>
    </row>
    <row r="49" spans="1:3" ht="15">
      <c r="A49" s="38" t="s">
        <v>806</v>
      </c>
      <c r="B49" s="179"/>
      <c r="C49" s="180"/>
    </row>
    <row r="50" spans="1:3">
      <c r="A50" s="6" t="s">
        <v>807</v>
      </c>
      <c r="B50" s="22" t="s">
        <v>110</v>
      </c>
      <c r="C50" s="174">
        <v>40</v>
      </c>
    </row>
    <row r="51" spans="1:3">
      <c r="A51" s="6" t="s">
        <v>808</v>
      </c>
      <c r="B51" s="22" t="s">
        <v>110</v>
      </c>
      <c r="C51" s="174">
        <v>60</v>
      </c>
    </row>
    <row r="52" spans="1:3">
      <c r="A52" s="6" t="s">
        <v>809</v>
      </c>
      <c r="B52" s="22" t="s">
        <v>110</v>
      </c>
      <c r="C52" s="174">
        <v>100</v>
      </c>
    </row>
    <row r="53" spans="1:3" ht="15">
      <c r="A53" s="38" t="s">
        <v>810</v>
      </c>
      <c r="B53" s="179"/>
      <c r="C53" s="180"/>
    </row>
    <row r="54" spans="1:3">
      <c r="A54" s="6" t="s">
        <v>811</v>
      </c>
      <c r="B54" s="6" t="s">
        <v>110</v>
      </c>
      <c r="C54" s="174">
        <v>85</v>
      </c>
    </row>
    <row r="55" spans="1:3">
      <c r="A55" s="6" t="s">
        <v>812</v>
      </c>
      <c r="B55" s="6" t="s">
        <v>110</v>
      </c>
      <c r="C55" s="174">
        <v>107</v>
      </c>
    </row>
    <row r="56" spans="1:3">
      <c r="A56" s="6" t="s">
        <v>813</v>
      </c>
      <c r="B56" s="6" t="s">
        <v>110</v>
      </c>
      <c r="C56" s="174">
        <v>110</v>
      </c>
    </row>
    <row r="57" spans="1:3">
      <c r="A57" s="6" t="s">
        <v>814</v>
      </c>
      <c r="B57" s="6" t="s">
        <v>110</v>
      </c>
      <c r="C57" s="174">
        <v>138</v>
      </c>
    </row>
    <row r="58" spans="1:3">
      <c r="A58" s="6" t="s">
        <v>815</v>
      </c>
      <c r="B58" s="6" t="s">
        <v>110</v>
      </c>
      <c r="C58" s="174">
        <v>25</v>
      </c>
    </row>
    <row r="59" spans="1:3" ht="15">
      <c r="A59" s="38" t="s">
        <v>118</v>
      </c>
      <c r="B59" s="37"/>
      <c r="C59" s="180"/>
    </row>
    <row r="60" spans="1:3">
      <c r="A60" s="22" t="s">
        <v>816</v>
      </c>
      <c r="B60" s="6"/>
      <c r="C60" s="174"/>
    </row>
    <row r="61" spans="1:3">
      <c r="A61" s="6" t="s">
        <v>817</v>
      </c>
      <c r="B61" s="6" t="s">
        <v>818</v>
      </c>
      <c r="C61" s="174">
        <v>0.8</v>
      </c>
    </row>
    <row r="62" spans="1:3">
      <c r="A62" s="6" t="s">
        <v>819</v>
      </c>
      <c r="B62" s="6" t="s">
        <v>820</v>
      </c>
      <c r="C62" s="174">
        <v>0.6</v>
      </c>
    </row>
    <row r="63" spans="1:3">
      <c r="A63" s="6" t="s">
        <v>821</v>
      </c>
      <c r="B63" s="6" t="s">
        <v>645</v>
      </c>
      <c r="C63" s="174">
        <v>1</v>
      </c>
    </row>
    <row r="64" spans="1:3">
      <c r="A64" s="6" t="s">
        <v>822</v>
      </c>
      <c r="B64" s="6" t="s">
        <v>820</v>
      </c>
      <c r="C64" s="174">
        <v>0.8</v>
      </c>
    </row>
    <row r="65" spans="1:3">
      <c r="A65" s="6" t="s">
        <v>823</v>
      </c>
      <c r="B65" s="6" t="s">
        <v>824</v>
      </c>
      <c r="C65" s="174">
        <v>1</v>
      </c>
    </row>
    <row r="66" spans="1:3">
      <c r="A66" s="6" t="s">
        <v>825</v>
      </c>
      <c r="B66" s="6" t="s">
        <v>824</v>
      </c>
      <c r="C66" s="174">
        <v>0.8</v>
      </c>
    </row>
    <row r="67" spans="1:3">
      <c r="A67" s="6" t="s">
        <v>826</v>
      </c>
      <c r="B67" s="6"/>
      <c r="C67" s="174"/>
    </row>
    <row r="68" spans="1:3" ht="15">
      <c r="A68" s="38" t="s">
        <v>109</v>
      </c>
      <c r="B68" s="37"/>
      <c r="C68" s="180"/>
    </row>
    <row r="69" spans="1:3">
      <c r="A69" s="6" t="s">
        <v>811</v>
      </c>
      <c r="B69" s="6" t="s">
        <v>827</v>
      </c>
      <c r="C69" s="174">
        <v>8</v>
      </c>
    </row>
    <row r="70" spans="1:3">
      <c r="A70" s="6" t="s">
        <v>812</v>
      </c>
      <c r="B70" s="6" t="s">
        <v>828</v>
      </c>
      <c r="C70" s="174">
        <v>11</v>
      </c>
    </row>
    <row r="71" spans="1:3">
      <c r="A71" s="6" t="s">
        <v>813</v>
      </c>
      <c r="B71" s="6" t="s">
        <v>828</v>
      </c>
      <c r="C71" s="174">
        <v>13</v>
      </c>
    </row>
    <row r="72" spans="1:3">
      <c r="A72" s="6" t="s">
        <v>814</v>
      </c>
      <c r="B72" s="6" t="s">
        <v>828</v>
      </c>
      <c r="C72" s="174">
        <v>16</v>
      </c>
    </row>
    <row r="73" spans="1:3" ht="15">
      <c r="A73" s="38" t="s">
        <v>111</v>
      </c>
      <c r="B73" s="37"/>
      <c r="C73" s="180"/>
    </row>
    <row r="74" spans="1:3">
      <c r="A74" s="6" t="s">
        <v>807</v>
      </c>
      <c r="B74" s="6" t="s">
        <v>828</v>
      </c>
      <c r="C74" s="174">
        <v>2</v>
      </c>
    </row>
    <row r="75" spans="1:3">
      <c r="A75" s="6" t="s">
        <v>808</v>
      </c>
      <c r="B75" s="6" t="s">
        <v>828</v>
      </c>
      <c r="C75" s="174">
        <v>3.5</v>
      </c>
    </row>
    <row r="76" spans="1:3">
      <c r="A76" s="6" t="s">
        <v>809</v>
      </c>
      <c r="B76" s="6" t="s">
        <v>828</v>
      </c>
      <c r="C76" s="174">
        <v>7</v>
      </c>
    </row>
    <row r="77" spans="1:3" ht="15">
      <c r="A77" s="170" t="s">
        <v>1098</v>
      </c>
      <c r="B77" s="6"/>
      <c r="C77" s="174"/>
    </row>
    <row r="78" spans="1:3" ht="15">
      <c r="A78" s="38" t="s">
        <v>829</v>
      </c>
      <c r="B78" s="37"/>
      <c r="C78" s="180"/>
    </row>
    <row r="79" spans="1:3">
      <c r="A79" s="6" t="s">
        <v>538</v>
      </c>
      <c r="B79" s="6" t="s">
        <v>797</v>
      </c>
      <c r="C79" s="174">
        <v>1</v>
      </c>
    </row>
    <row r="80" spans="1:3">
      <c r="A80" s="22" t="s">
        <v>830</v>
      </c>
      <c r="B80" s="6" t="s">
        <v>797</v>
      </c>
      <c r="C80" s="174">
        <v>0.4</v>
      </c>
    </row>
    <row r="81" spans="1:3">
      <c r="A81" s="22" t="s">
        <v>831</v>
      </c>
      <c r="B81" s="22" t="s">
        <v>782</v>
      </c>
      <c r="C81" s="174">
        <v>1</v>
      </c>
    </row>
    <row r="82" spans="1:3">
      <c r="A82" s="22" t="s">
        <v>832</v>
      </c>
      <c r="B82" s="22" t="s">
        <v>782</v>
      </c>
      <c r="C82" s="174">
        <v>0.6</v>
      </c>
    </row>
    <row r="83" spans="1:3">
      <c r="A83" s="6" t="s">
        <v>807</v>
      </c>
      <c r="B83" s="6" t="s">
        <v>110</v>
      </c>
      <c r="C83" s="174">
        <v>1</v>
      </c>
    </row>
    <row r="84" spans="1:3">
      <c r="A84" s="6" t="s">
        <v>808</v>
      </c>
      <c r="B84" s="6" t="s">
        <v>110</v>
      </c>
      <c r="C84" s="174">
        <v>2</v>
      </c>
    </row>
    <row r="85" spans="1:3">
      <c r="A85" s="6" t="s">
        <v>809</v>
      </c>
      <c r="B85" s="6" t="s">
        <v>110</v>
      </c>
      <c r="C85" s="174">
        <v>4</v>
      </c>
    </row>
    <row r="86" spans="1:3">
      <c r="A86" s="6" t="s">
        <v>833</v>
      </c>
      <c r="B86" s="6" t="s">
        <v>110</v>
      </c>
      <c r="C86" s="174">
        <v>19</v>
      </c>
    </row>
    <row r="87" spans="1:3">
      <c r="A87" s="6" t="s">
        <v>834</v>
      </c>
      <c r="B87" s="6" t="s">
        <v>110</v>
      </c>
      <c r="C87" s="174">
        <v>3</v>
      </c>
    </row>
    <row r="88" spans="1:3">
      <c r="A88" s="22" t="s">
        <v>835</v>
      </c>
      <c r="B88" s="6" t="s">
        <v>110</v>
      </c>
      <c r="C88" s="174">
        <v>5</v>
      </c>
    </row>
    <row r="89" spans="1:3">
      <c r="A89" s="22" t="s">
        <v>836</v>
      </c>
      <c r="B89" s="6" t="s">
        <v>110</v>
      </c>
      <c r="C89" s="174">
        <v>3</v>
      </c>
    </row>
    <row r="90" spans="1:3" ht="15">
      <c r="A90" s="38" t="s">
        <v>837</v>
      </c>
      <c r="B90" s="37"/>
      <c r="C90" s="180"/>
    </row>
    <row r="91" spans="1:3">
      <c r="A91" s="6" t="s">
        <v>538</v>
      </c>
      <c r="B91" s="6" t="s">
        <v>797</v>
      </c>
      <c r="C91" s="174">
        <v>0.2</v>
      </c>
    </row>
    <row r="92" spans="1:3">
      <c r="A92" s="22" t="s">
        <v>830</v>
      </c>
      <c r="B92" s="6" t="s">
        <v>797</v>
      </c>
      <c r="C92" s="174">
        <v>0.2</v>
      </c>
    </row>
    <row r="93" spans="1:3">
      <c r="A93" s="22" t="s">
        <v>831</v>
      </c>
      <c r="B93" s="22" t="s">
        <v>782</v>
      </c>
      <c r="C93" s="174">
        <v>0.2</v>
      </c>
    </row>
    <row r="94" spans="1:3">
      <c r="A94" s="22" t="s">
        <v>832</v>
      </c>
      <c r="B94" s="22" t="s">
        <v>782</v>
      </c>
      <c r="C94" s="174">
        <v>0.2</v>
      </c>
    </row>
    <row r="95" spans="1:3">
      <c r="A95" s="6" t="s">
        <v>807</v>
      </c>
      <c r="B95" s="6" t="s">
        <v>110</v>
      </c>
      <c r="C95" s="174">
        <v>0.2</v>
      </c>
    </row>
    <row r="96" spans="1:3">
      <c r="A96" s="6" t="s">
        <v>808</v>
      </c>
      <c r="B96" s="6" t="s">
        <v>110</v>
      </c>
      <c r="C96" s="174">
        <v>0.2</v>
      </c>
    </row>
    <row r="97" spans="1:3">
      <c r="A97" s="6" t="s">
        <v>833</v>
      </c>
      <c r="B97" s="6" t="s">
        <v>110</v>
      </c>
      <c r="C97" s="174">
        <v>2</v>
      </c>
    </row>
    <row r="98" spans="1:3">
      <c r="A98" s="6" t="s">
        <v>834</v>
      </c>
      <c r="B98" s="6" t="s">
        <v>110</v>
      </c>
      <c r="C98" s="174">
        <v>2</v>
      </c>
    </row>
    <row r="99" spans="1:3" ht="15">
      <c r="A99" s="38" t="s">
        <v>838</v>
      </c>
      <c r="B99" s="37"/>
      <c r="C99" s="180"/>
    </row>
    <row r="100" spans="1:3">
      <c r="A100" s="22" t="s">
        <v>839</v>
      </c>
      <c r="B100" s="6" t="s">
        <v>96</v>
      </c>
      <c r="C100" s="174">
        <v>30</v>
      </c>
    </row>
    <row r="101" spans="1:3">
      <c r="A101" s="6" t="s">
        <v>210</v>
      </c>
      <c r="B101" s="6" t="s">
        <v>96</v>
      </c>
      <c r="C101" s="174">
        <v>10</v>
      </c>
    </row>
    <row r="102" spans="1:3" ht="15">
      <c r="A102" s="38" t="s">
        <v>840</v>
      </c>
      <c r="B102" s="37"/>
      <c r="C102" s="180"/>
    </row>
    <row r="103" spans="1:3">
      <c r="A103" s="6" t="s">
        <v>323</v>
      </c>
      <c r="B103" s="6" t="s">
        <v>787</v>
      </c>
      <c r="C103" s="174">
        <v>1</v>
      </c>
    </row>
    <row r="104" spans="1:3">
      <c r="A104" s="6" t="s">
        <v>841</v>
      </c>
      <c r="B104" s="6" t="s">
        <v>842</v>
      </c>
      <c r="C104" s="174">
        <v>20</v>
      </c>
    </row>
    <row r="105" spans="1:3">
      <c r="A105" s="6" t="s">
        <v>843</v>
      </c>
      <c r="B105" s="6" t="s">
        <v>326</v>
      </c>
      <c r="C105" s="174">
        <v>100</v>
      </c>
    </row>
    <row r="106" spans="1:3">
      <c r="A106" s="6" t="s">
        <v>844</v>
      </c>
      <c r="B106" s="6" t="s">
        <v>326</v>
      </c>
      <c r="C106" s="174">
        <v>50</v>
      </c>
    </row>
    <row r="107" spans="1:3">
      <c r="A107" s="6" t="s">
        <v>845</v>
      </c>
      <c r="B107" s="6" t="s">
        <v>846</v>
      </c>
      <c r="C107" s="174">
        <v>50</v>
      </c>
    </row>
    <row r="108" spans="1:3" ht="15">
      <c r="A108" s="171" t="s">
        <v>1096</v>
      </c>
      <c r="B108" s="37"/>
      <c r="C108" s="180"/>
    </row>
    <row r="109" spans="1:3">
      <c r="A109" s="6" t="s">
        <v>847</v>
      </c>
      <c r="B109" s="6" t="s">
        <v>848</v>
      </c>
      <c r="C109" s="174">
        <v>20</v>
      </c>
    </row>
    <row r="110" spans="1:3">
      <c r="A110" s="6" t="s">
        <v>849</v>
      </c>
      <c r="B110" s="6" t="s">
        <v>850</v>
      </c>
      <c r="C110" s="174">
        <v>0.2</v>
      </c>
    </row>
    <row r="111" spans="1:3">
      <c r="A111" s="6" t="s">
        <v>851</v>
      </c>
      <c r="B111" s="6" t="s">
        <v>787</v>
      </c>
      <c r="C111" s="174">
        <v>4.8</v>
      </c>
    </row>
    <row r="112" spans="1:3">
      <c r="A112" s="6" t="s">
        <v>852</v>
      </c>
      <c r="B112" s="6" t="s">
        <v>439</v>
      </c>
      <c r="C112" s="174">
        <v>15</v>
      </c>
    </row>
    <row r="113" spans="1:3">
      <c r="A113" s="6" t="s">
        <v>853</v>
      </c>
      <c r="B113" s="6" t="s">
        <v>854</v>
      </c>
      <c r="C113" s="174">
        <v>360</v>
      </c>
    </row>
    <row r="114" spans="1:3">
      <c r="A114" s="6"/>
      <c r="B114" s="6"/>
      <c r="C114" s="174"/>
    </row>
    <row r="115" spans="1:3" ht="15">
      <c r="A115" s="171" t="s">
        <v>1097</v>
      </c>
      <c r="B115" s="37"/>
      <c r="C115" s="181"/>
    </row>
    <row r="116" spans="1:3" ht="15">
      <c r="A116" s="744"/>
      <c r="B116" s="745"/>
      <c r="C116" s="745"/>
    </row>
    <row r="117" spans="1:3" ht="15">
      <c r="A117" s="38" t="s">
        <v>125</v>
      </c>
      <c r="B117" s="38" t="s">
        <v>855</v>
      </c>
      <c r="C117" s="178"/>
    </row>
    <row r="118" spans="1:3">
      <c r="A118" s="6" t="s">
        <v>856</v>
      </c>
      <c r="B118" s="24" t="s">
        <v>857</v>
      </c>
      <c r="C118" s="178"/>
    </row>
    <row r="119" spans="1:3">
      <c r="A119" s="6" t="s">
        <v>858</v>
      </c>
      <c r="B119" s="24" t="s">
        <v>859</v>
      </c>
      <c r="C119" s="178"/>
    </row>
    <row r="120" spans="1:3" ht="15">
      <c r="A120" s="38" t="s">
        <v>0</v>
      </c>
      <c r="B120" s="24"/>
      <c r="C120" s="178"/>
    </row>
    <row r="121" spans="1:3">
      <c r="A121" s="6" t="s">
        <v>860</v>
      </c>
      <c r="B121" s="24" t="s">
        <v>861</v>
      </c>
      <c r="C121" s="178"/>
    </row>
    <row r="122" spans="1:3">
      <c r="A122" s="6" t="s">
        <v>862</v>
      </c>
      <c r="B122" s="24" t="s">
        <v>863</v>
      </c>
      <c r="C122" s="178"/>
    </row>
    <row r="123" spans="1:3">
      <c r="A123" s="6" t="s">
        <v>864</v>
      </c>
      <c r="B123" s="24" t="s">
        <v>865</v>
      </c>
      <c r="C123" s="178"/>
    </row>
    <row r="124" spans="1:3" ht="15">
      <c r="A124" s="38" t="s">
        <v>111</v>
      </c>
      <c r="B124" s="24"/>
      <c r="C124" s="178"/>
    </row>
    <row r="125" spans="1:3">
      <c r="A125" s="76" t="s">
        <v>866</v>
      </c>
      <c r="B125" s="24" t="s">
        <v>857</v>
      </c>
      <c r="C125" s="178"/>
    </row>
    <row r="126" spans="1:3">
      <c r="A126" s="76" t="s">
        <v>867</v>
      </c>
      <c r="B126" s="24" t="s">
        <v>859</v>
      </c>
      <c r="C126" s="178"/>
    </row>
    <row r="127" spans="1:3" ht="15">
      <c r="A127" s="38" t="s">
        <v>109</v>
      </c>
      <c r="B127" s="24"/>
      <c r="C127" s="178"/>
    </row>
    <row r="128" spans="1:3">
      <c r="A128" s="6" t="s">
        <v>868</v>
      </c>
      <c r="B128" s="24" t="s">
        <v>859</v>
      </c>
      <c r="C128" s="178"/>
    </row>
    <row r="129" spans="1:3">
      <c r="A129" s="6" t="s">
        <v>869</v>
      </c>
      <c r="B129" s="24" t="s">
        <v>870</v>
      </c>
      <c r="C129" s="178"/>
    </row>
    <row r="130" spans="1:3">
      <c r="A130" s="6" t="s">
        <v>871</v>
      </c>
      <c r="B130" s="24" t="s">
        <v>872</v>
      </c>
      <c r="C130" s="178"/>
    </row>
    <row r="131" spans="1:3" ht="15">
      <c r="A131" s="38" t="s">
        <v>873</v>
      </c>
      <c r="B131" s="24"/>
      <c r="C131" s="178"/>
    </row>
    <row r="132" spans="1:3">
      <c r="A132" s="76" t="s">
        <v>874</v>
      </c>
      <c r="B132" s="24" t="s">
        <v>870</v>
      </c>
      <c r="C132" s="178"/>
    </row>
    <row r="133" spans="1:3">
      <c r="A133" s="76" t="s">
        <v>875</v>
      </c>
      <c r="B133" s="24" t="s">
        <v>876</v>
      </c>
      <c r="C133" s="178"/>
    </row>
    <row r="134" spans="1:3">
      <c r="A134" s="76" t="s">
        <v>877</v>
      </c>
      <c r="B134" s="24" t="s">
        <v>878</v>
      </c>
      <c r="C134" s="178"/>
    </row>
    <row r="135" spans="1:3">
      <c r="A135" s="6" t="s">
        <v>879</v>
      </c>
      <c r="B135" s="24" t="s">
        <v>865</v>
      </c>
      <c r="C135" s="178"/>
    </row>
    <row r="136" spans="1:3" ht="15">
      <c r="A136" s="38" t="s">
        <v>880</v>
      </c>
      <c r="B136" s="24"/>
      <c r="C136" s="178"/>
    </row>
    <row r="137" spans="1:3">
      <c r="A137" s="6" t="s">
        <v>881</v>
      </c>
      <c r="B137" s="24" t="s">
        <v>859</v>
      </c>
      <c r="C137" s="178"/>
    </row>
    <row r="138" spans="1:3">
      <c r="A138" s="6" t="s">
        <v>882</v>
      </c>
      <c r="B138" s="24" t="s">
        <v>872</v>
      </c>
      <c r="C138" s="178"/>
    </row>
    <row r="139" spans="1:3">
      <c r="A139" s="6" t="s">
        <v>883</v>
      </c>
      <c r="B139" s="24" t="s">
        <v>876</v>
      </c>
      <c r="C139" s="178"/>
    </row>
    <row r="140" spans="1:3">
      <c r="A140" s="6" t="s">
        <v>884</v>
      </c>
      <c r="B140" s="24" t="s">
        <v>885</v>
      </c>
      <c r="C140" s="178"/>
    </row>
    <row r="141" spans="1:3">
      <c r="A141" s="6" t="s">
        <v>886</v>
      </c>
      <c r="B141" s="24" t="s">
        <v>878</v>
      </c>
      <c r="C141" s="178"/>
    </row>
    <row r="142" spans="1:3">
      <c r="A142" s="32"/>
      <c r="B142" s="36"/>
      <c r="C142" s="178"/>
    </row>
    <row r="143" spans="1:3">
      <c r="A143" s="32"/>
      <c r="B143" s="36"/>
      <c r="C143" s="178"/>
    </row>
    <row r="144" spans="1:3">
      <c r="A144" s="32"/>
      <c r="B144" s="36"/>
      <c r="C144" s="178"/>
    </row>
    <row r="145" spans="1:3">
      <c r="A145" s="32"/>
      <c r="B145" s="36"/>
      <c r="C145" s="178"/>
    </row>
    <row r="146" spans="1:3">
      <c r="A146" s="32"/>
      <c r="B146" s="36"/>
      <c r="C146" s="178"/>
    </row>
    <row r="147" spans="1:3">
      <c r="A147" s="32"/>
      <c r="B147" s="36"/>
      <c r="C147" s="178"/>
    </row>
    <row r="148" spans="1:3">
      <c r="A148" s="32"/>
      <c r="B148" s="36"/>
      <c r="C148" s="178"/>
    </row>
    <row r="149" spans="1:3">
      <c r="A149" s="32"/>
      <c r="B149" s="36"/>
      <c r="C149" s="178"/>
    </row>
    <row r="150" spans="1:3">
      <c r="A150" s="32"/>
      <c r="B150" s="36"/>
      <c r="C150" s="178"/>
    </row>
    <row r="151" spans="1:3">
      <c r="A151" s="32"/>
      <c r="B151" s="32"/>
      <c r="C151" s="178"/>
    </row>
  </sheetData>
  <sheetProtection algorithmName="SHA-512" hashValue="rQyHf/CHOonl/GaPFLjiBJc6M1bIZ/0N19RTHQHcDEiHa3at6uQeRQBTDRQJgMkjiVFp6AOnIJwBWS8begWi3g==" saltValue="koU1JdCAJKZ25iq3ZrVZzQ==" spinCount="100000" sheet="1" objects="1" scenarios="1"/>
  <mergeCells count="6">
    <mergeCell ref="C4:C5"/>
    <mergeCell ref="B4:B5"/>
    <mergeCell ref="A4:A5"/>
    <mergeCell ref="A116:C116"/>
    <mergeCell ref="A1:C1"/>
    <mergeCell ref="A2:C2"/>
  </mergeCells>
  <pageMargins left="0.7" right="0.7" top="0.75" bottom="0.75" header="0.3" footer="0.3"/>
  <customProperties>
    <customPr name="DVSECTION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7" tint="0.39997558519241921"/>
  </sheetPr>
  <dimension ref="A1:C9"/>
  <sheetViews>
    <sheetView workbookViewId="0">
      <selection activeCell="D26" sqref="D26"/>
    </sheetView>
  </sheetViews>
  <sheetFormatPr baseColWidth="10" defaultRowHeight="15"/>
  <cols>
    <col min="1" max="1" width="41.5703125" style="7" customWidth="1"/>
    <col min="2" max="2" width="25" style="7" customWidth="1"/>
    <col min="3" max="3" width="18.28515625" style="7" customWidth="1"/>
    <col min="4" max="16384" width="11.42578125" style="7"/>
  </cols>
  <sheetData>
    <row r="1" spans="1:3" ht="15.75">
      <c r="A1" s="748" t="s">
        <v>919</v>
      </c>
      <c r="B1" s="748"/>
      <c r="C1" s="748"/>
    </row>
    <row r="2" spans="1:3" ht="21.75" customHeight="1">
      <c r="A2" s="748" t="s">
        <v>1488</v>
      </c>
      <c r="B2" s="748"/>
      <c r="C2" s="748"/>
    </row>
    <row r="3" spans="1:3" ht="15.75">
      <c r="A3" s="749" t="s">
        <v>373</v>
      </c>
      <c r="B3" s="749"/>
      <c r="C3" s="749"/>
    </row>
    <row r="4" spans="1:3" ht="54" customHeight="1">
      <c r="A4" s="750" t="s">
        <v>920</v>
      </c>
      <c r="B4" s="751"/>
      <c r="C4" s="752"/>
    </row>
    <row r="5" spans="1:3" ht="13.5" customHeight="1">
      <c r="A5" s="8"/>
      <c r="B5" s="8"/>
      <c r="C5" s="8"/>
    </row>
    <row r="6" spans="1:3" ht="15.75">
      <c r="A6" s="753" t="s">
        <v>318</v>
      </c>
      <c r="B6" s="754"/>
      <c r="C6" s="755"/>
    </row>
    <row r="7" spans="1:3" ht="26.25" customHeight="1">
      <c r="A7" s="195" t="s">
        <v>474</v>
      </c>
      <c r="B7" s="195" t="s">
        <v>921</v>
      </c>
      <c r="C7" s="195" t="s">
        <v>75</v>
      </c>
    </row>
    <row r="8" spans="1:3" ht="24" customHeight="1">
      <c r="A8" s="756" t="s">
        <v>922</v>
      </c>
      <c r="B8" s="176" t="s">
        <v>74</v>
      </c>
      <c r="C8" s="40">
        <f>+'[1]Cálculo Tarifa'!C108</f>
        <v>3.44144884402637</v>
      </c>
    </row>
    <row r="9" spans="1:3" ht="27" customHeight="1">
      <c r="A9" s="757"/>
      <c r="B9" s="176" t="s">
        <v>923</v>
      </c>
      <c r="C9" s="40">
        <f>+'[1]Cálculo Tarifa'!C111</f>
        <v>0.50861172465865723</v>
      </c>
    </row>
  </sheetData>
  <sheetProtection algorithmName="SHA-512" hashValue="FfhSsW4tW70DZbgIP34fk4I/jxxf3P/6U2+NPGStlD8ai4C7Qe6XuDDDSwCJpI0VWWMZCARNFsTERs0DUIZ3TA==" saltValue="2nD1I8kOdnkeAys2lyygFA==" spinCount="100000" sheet="1" objects="1" scenarios="1"/>
  <mergeCells count="6">
    <mergeCell ref="A1:C1"/>
    <mergeCell ref="A3:C3"/>
    <mergeCell ref="A4:C4"/>
    <mergeCell ref="A6:C6"/>
    <mergeCell ref="A8:A9"/>
    <mergeCell ref="A2:C2"/>
  </mergeCells>
  <pageMargins left="0.7" right="0.7" top="0.75" bottom="0.75" header="0.3" footer="0.3"/>
  <customProperties>
    <customPr name="DVSECTION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6" tint="0.39997558519241921"/>
  </sheetPr>
  <dimension ref="A2:F28"/>
  <sheetViews>
    <sheetView workbookViewId="0">
      <selection activeCell="A18" sqref="A18:B21"/>
    </sheetView>
  </sheetViews>
  <sheetFormatPr baseColWidth="10" defaultRowHeight="12.75"/>
  <cols>
    <col min="1" max="1" width="52.42578125" customWidth="1"/>
    <col min="2" max="2" width="29.140625" style="65" bestFit="1" customWidth="1"/>
    <col min="3" max="3" width="10.7109375" customWidth="1"/>
    <col min="4" max="4" width="11" customWidth="1"/>
    <col min="5" max="5" width="23.140625" style="65" customWidth="1"/>
    <col min="6" max="6" width="14" style="65" customWidth="1"/>
  </cols>
  <sheetData>
    <row r="2" spans="1:6" ht="15">
      <c r="A2" s="758" t="s">
        <v>924</v>
      </c>
      <c r="B2" s="759"/>
      <c r="C2" s="759"/>
    </row>
    <row r="3" spans="1:6" ht="15">
      <c r="A3" s="680" t="s">
        <v>1230</v>
      </c>
      <c r="B3" s="680"/>
      <c r="C3" s="680"/>
      <c r="D3" s="9"/>
    </row>
    <row r="4" spans="1:6" ht="15">
      <c r="A4" s="453"/>
      <c r="B4" s="453"/>
      <c r="C4" s="453"/>
      <c r="D4" s="454"/>
    </row>
    <row r="5" spans="1:6" ht="15">
      <c r="A5" s="186" t="s">
        <v>125</v>
      </c>
      <c r="B5" s="186" t="s">
        <v>124</v>
      </c>
      <c r="C5" s="186" t="s">
        <v>220</v>
      </c>
      <c r="D5" s="454"/>
    </row>
    <row r="6" spans="1:6" ht="15">
      <c r="A6" s="187" t="s">
        <v>1225</v>
      </c>
      <c r="B6" s="252" t="s">
        <v>1224</v>
      </c>
      <c r="C6" s="251">
        <v>12</v>
      </c>
      <c r="D6" s="454"/>
    </row>
    <row r="7" spans="1:6" ht="15">
      <c r="A7" s="9"/>
      <c r="B7" s="9"/>
      <c r="C7" s="9"/>
      <c r="D7" s="9"/>
    </row>
    <row r="8" spans="1:6" ht="15.75" customHeight="1">
      <c r="A8" s="186" t="s">
        <v>1222</v>
      </c>
      <c r="B8" s="186" t="s">
        <v>124</v>
      </c>
      <c r="C8" s="186" t="s">
        <v>220</v>
      </c>
      <c r="D8" s="11"/>
    </row>
    <row r="9" spans="1:6" ht="15">
      <c r="A9" s="253" t="s">
        <v>1220</v>
      </c>
      <c r="B9" s="192" t="s">
        <v>74</v>
      </c>
      <c r="C9" s="246">
        <v>4.5</v>
      </c>
      <c r="D9" s="12"/>
    </row>
    <row r="10" spans="1:6" ht="15">
      <c r="A10" s="254" t="s">
        <v>1221</v>
      </c>
      <c r="B10" s="250" t="s">
        <v>74</v>
      </c>
      <c r="C10" s="190">
        <v>4.5</v>
      </c>
      <c r="D10" s="13"/>
    </row>
    <row r="11" spans="1:6" ht="15">
      <c r="A11" s="247"/>
      <c r="B11" s="248"/>
      <c r="C11" s="249"/>
      <c r="D11" s="14"/>
    </row>
    <row r="12" spans="1:6" ht="15">
      <c r="A12" s="186" t="s">
        <v>1223</v>
      </c>
      <c r="B12" s="186" t="s">
        <v>124</v>
      </c>
      <c r="C12" s="186" t="s">
        <v>220</v>
      </c>
      <c r="D12" s="15"/>
    </row>
    <row r="13" spans="1:6" ht="15">
      <c r="A13" s="187" t="s">
        <v>7</v>
      </c>
      <c r="B13" s="250" t="s">
        <v>74</v>
      </c>
      <c r="C13" s="190">
        <v>1</v>
      </c>
      <c r="D13" s="10"/>
      <c r="E13" s="243"/>
      <c r="F13" s="244"/>
    </row>
    <row r="14" spans="1:6" ht="15">
      <c r="A14" s="187" t="s">
        <v>407</v>
      </c>
      <c r="B14" s="250" t="s">
        <v>96</v>
      </c>
      <c r="C14" s="190">
        <v>12</v>
      </c>
      <c r="D14" s="10"/>
      <c r="E14" s="243"/>
      <c r="F14" s="244"/>
    </row>
    <row r="15" spans="1:6" ht="15">
      <c r="A15" s="187" t="s">
        <v>1227</v>
      </c>
      <c r="B15" s="250" t="s">
        <v>96</v>
      </c>
      <c r="C15" s="190">
        <v>35</v>
      </c>
      <c r="D15" s="10"/>
      <c r="E15" s="243"/>
      <c r="F15" s="244"/>
    </row>
    <row r="16" spans="1:6" ht="15">
      <c r="A16" s="10"/>
      <c r="B16" s="191"/>
      <c r="C16" s="10"/>
      <c r="D16" s="10"/>
      <c r="E16" s="243"/>
      <c r="F16" s="244"/>
    </row>
    <row r="17" spans="1:4" ht="15">
      <c r="A17" s="186" t="s">
        <v>118</v>
      </c>
      <c r="B17" s="186" t="s">
        <v>124</v>
      </c>
      <c r="C17" s="186" t="s">
        <v>695</v>
      </c>
      <c r="D17" s="10"/>
    </row>
    <row r="18" spans="1:4" ht="15">
      <c r="A18" s="457" t="s">
        <v>1917</v>
      </c>
      <c r="B18" s="455" t="s">
        <v>1921</v>
      </c>
      <c r="C18" s="458">
        <v>6.0000000000000001E-3</v>
      </c>
      <c r="D18" s="10"/>
    </row>
    <row r="19" spans="1:4" ht="15">
      <c r="A19" s="457" t="s">
        <v>1918</v>
      </c>
      <c r="B19" s="455" t="s">
        <v>1921</v>
      </c>
      <c r="C19" s="458">
        <v>0.01</v>
      </c>
      <c r="D19" s="10"/>
    </row>
    <row r="20" spans="1:4" ht="15">
      <c r="A20" s="457" t="s">
        <v>1919</v>
      </c>
      <c r="B20" s="455" t="s">
        <v>1921</v>
      </c>
      <c r="C20" s="458">
        <v>1.4999999999999999E-2</v>
      </c>
      <c r="D20" s="10"/>
    </row>
    <row r="21" spans="1:4" ht="15">
      <c r="A21" s="457" t="s">
        <v>1920</v>
      </c>
      <c r="B21" s="455" t="s">
        <v>1921</v>
      </c>
      <c r="C21" s="458">
        <v>0.02</v>
      </c>
      <c r="D21" s="10"/>
    </row>
    <row r="22" spans="1:4" ht="15">
      <c r="A22" s="10"/>
      <c r="B22" s="191"/>
      <c r="C22" s="10"/>
      <c r="D22" s="10"/>
    </row>
    <row r="23" spans="1:4" ht="15">
      <c r="A23" s="760" t="s">
        <v>1226</v>
      </c>
      <c r="B23" s="761"/>
    </row>
    <row r="24" spans="1:4" ht="14.25">
      <c r="A24" s="245" t="s">
        <v>925</v>
      </c>
      <c r="B24" s="246">
        <v>3.9</v>
      </c>
    </row>
    <row r="25" spans="1:4" ht="14.25">
      <c r="A25" s="193" t="s">
        <v>926</v>
      </c>
      <c r="B25" s="188">
        <v>3.8</v>
      </c>
    </row>
    <row r="26" spans="1:4" ht="14.25">
      <c r="A26" s="193" t="s">
        <v>927</v>
      </c>
      <c r="B26" s="188">
        <v>3.7</v>
      </c>
    </row>
    <row r="27" spans="1:4" ht="14.25">
      <c r="A27" s="193" t="s">
        <v>1228</v>
      </c>
      <c r="B27" s="188">
        <v>3.6</v>
      </c>
    </row>
    <row r="28" spans="1:4" ht="14.25">
      <c r="A28" s="194" t="s">
        <v>928</v>
      </c>
      <c r="B28" s="189">
        <v>3.5</v>
      </c>
    </row>
  </sheetData>
  <sheetProtection algorithmName="SHA-512" hashValue="L2aMkRTES7HLozYQHZAIQVrBFd4aUSFOF6cJ2aU0a9WR6mWQh8qe1E60J6q0rmJSBD9AN34cYukG/8h7mab7uw==" saltValue="0mpVbaiPtIpGLuKVU59wmw==" spinCount="100000" sheet="1" objects="1" scenarios="1"/>
  <mergeCells count="3">
    <mergeCell ref="A2:C2"/>
    <mergeCell ref="A23:B23"/>
    <mergeCell ref="A3:C3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FFFF00"/>
  </sheetPr>
  <dimension ref="A1:F107"/>
  <sheetViews>
    <sheetView workbookViewId="0">
      <selection activeCell="H10" sqref="H10"/>
    </sheetView>
  </sheetViews>
  <sheetFormatPr baseColWidth="10" defaultRowHeight="14.25"/>
  <cols>
    <col min="1" max="1" width="31.5703125" style="17" customWidth="1"/>
    <col min="2" max="2" width="13.140625" style="17" customWidth="1"/>
    <col min="3" max="3" width="12.85546875" style="17" customWidth="1"/>
    <col min="4" max="4" width="16.5703125" style="17" customWidth="1"/>
    <col min="5" max="5" width="22.85546875" style="17" customWidth="1"/>
    <col min="6" max="6" width="11.42578125" style="16"/>
    <col min="7" max="16384" width="11.42578125" style="17"/>
  </cols>
  <sheetData>
    <row r="1" spans="1:5" ht="15">
      <c r="A1" s="762" t="s">
        <v>948</v>
      </c>
      <c r="B1" s="762"/>
      <c r="C1" s="762"/>
      <c r="D1" s="762"/>
      <c r="E1" s="762"/>
    </row>
    <row r="2" spans="1:5" ht="15">
      <c r="A2" s="762" t="s">
        <v>125</v>
      </c>
      <c r="B2" s="762"/>
      <c r="C2" s="762"/>
      <c r="D2" s="762"/>
      <c r="E2" s="762"/>
    </row>
    <row r="3" spans="1:5" ht="15">
      <c r="A3" s="763" t="s">
        <v>949</v>
      </c>
      <c r="B3" s="763"/>
      <c r="C3" s="763"/>
      <c r="D3" s="763"/>
      <c r="E3" s="763"/>
    </row>
    <row r="4" spans="1:5">
      <c r="A4" s="764" t="s">
        <v>950</v>
      </c>
      <c r="B4" s="764"/>
      <c r="C4" s="764"/>
      <c r="D4" s="765"/>
      <c r="E4" s="765"/>
    </row>
    <row r="5" spans="1:5">
      <c r="A5" s="764" t="s">
        <v>951</v>
      </c>
      <c r="B5" s="764"/>
      <c r="C5" s="764"/>
      <c r="D5" s="766" t="s">
        <v>952</v>
      </c>
      <c r="E5" s="766"/>
    </row>
    <row r="6" spans="1:5">
      <c r="A6" s="764" t="s">
        <v>953</v>
      </c>
      <c r="B6" s="764"/>
      <c r="C6" s="764"/>
      <c r="D6" s="769"/>
      <c r="E6" s="769"/>
    </row>
    <row r="7" spans="1:5">
      <c r="A7" s="764" t="s">
        <v>951</v>
      </c>
      <c r="B7" s="764"/>
      <c r="C7" s="764"/>
      <c r="D7" s="766" t="s">
        <v>954</v>
      </c>
      <c r="E7" s="766"/>
    </row>
    <row r="8" spans="1:5">
      <c r="A8" s="764" t="s">
        <v>955</v>
      </c>
      <c r="B8" s="764"/>
      <c r="C8" s="764"/>
      <c r="D8" s="769"/>
      <c r="E8" s="769"/>
    </row>
    <row r="9" spans="1:5">
      <c r="A9" s="764" t="s">
        <v>947</v>
      </c>
      <c r="B9" s="764"/>
      <c r="C9" s="764"/>
      <c r="D9" s="766" t="s">
        <v>956</v>
      </c>
      <c r="E9" s="766"/>
    </row>
    <row r="10" spans="1:5" ht="15">
      <c r="A10" s="767" t="s">
        <v>957</v>
      </c>
      <c r="B10" s="767"/>
      <c r="C10" s="767"/>
      <c r="D10" s="767"/>
      <c r="E10" s="767"/>
    </row>
    <row r="11" spans="1:5">
      <c r="A11" s="6" t="s">
        <v>958</v>
      </c>
      <c r="B11" s="18">
        <v>0</v>
      </c>
      <c r="C11" s="6" t="s">
        <v>959</v>
      </c>
      <c r="D11" s="768">
        <v>0.22</v>
      </c>
      <c r="E11" s="768"/>
    </row>
    <row r="12" spans="1:5">
      <c r="A12" s="6" t="s">
        <v>929</v>
      </c>
      <c r="B12" s="18">
        <v>0.1</v>
      </c>
      <c r="C12" s="6" t="s">
        <v>931</v>
      </c>
      <c r="D12" s="768">
        <v>0.26</v>
      </c>
      <c r="E12" s="768"/>
    </row>
    <row r="13" spans="1:5">
      <c r="A13" s="6" t="s">
        <v>960</v>
      </c>
      <c r="B13" s="18">
        <v>0.14000000000000001</v>
      </c>
      <c r="C13" s="6" t="s">
        <v>932</v>
      </c>
      <c r="D13" s="768">
        <v>0.4</v>
      </c>
      <c r="E13" s="768"/>
    </row>
    <row r="14" spans="1:5">
      <c r="A14" s="6" t="s">
        <v>930</v>
      </c>
      <c r="B14" s="18">
        <v>0.18</v>
      </c>
      <c r="C14" s="6" t="s">
        <v>961</v>
      </c>
      <c r="D14" s="768">
        <v>0.5</v>
      </c>
      <c r="E14" s="768"/>
    </row>
    <row r="15" spans="1:5" ht="15">
      <c r="A15" s="770" t="s">
        <v>50</v>
      </c>
      <c r="B15" s="770"/>
      <c r="C15" s="770"/>
      <c r="D15" s="770"/>
      <c r="E15" s="770"/>
    </row>
    <row r="16" spans="1:5" ht="15">
      <c r="A16" s="771" t="s">
        <v>933</v>
      </c>
      <c r="B16" s="771"/>
      <c r="C16" s="771"/>
      <c r="D16" s="771"/>
      <c r="E16" s="771"/>
    </row>
    <row r="17" spans="1:5" ht="15">
      <c r="A17" s="772" t="s">
        <v>934</v>
      </c>
      <c r="B17" s="772"/>
      <c r="C17" s="772"/>
      <c r="D17" s="772"/>
      <c r="E17" s="772"/>
    </row>
    <row r="18" spans="1:5">
      <c r="A18" s="765" t="s">
        <v>962</v>
      </c>
      <c r="B18" s="765"/>
      <c r="C18" s="765"/>
      <c r="D18" s="773" t="s">
        <v>963</v>
      </c>
      <c r="E18" s="773"/>
    </row>
    <row r="19" spans="1:5">
      <c r="A19" s="764" t="s">
        <v>964</v>
      </c>
      <c r="B19" s="764"/>
      <c r="C19" s="764"/>
      <c r="D19" s="773" t="s">
        <v>965</v>
      </c>
      <c r="E19" s="773"/>
    </row>
    <row r="20" spans="1:5">
      <c r="A20" s="764" t="s">
        <v>966</v>
      </c>
      <c r="B20" s="764"/>
      <c r="C20" s="764"/>
      <c r="D20" s="773" t="s">
        <v>967</v>
      </c>
      <c r="E20" s="773"/>
    </row>
    <row r="21" spans="1:5">
      <c r="A21" s="764" t="s">
        <v>968</v>
      </c>
      <c r="B21" s="764"/>
      <c r="C21" s="764"/>
      <c r="D21" s="773" t="s">
        <v>969</v>
      </c>
      <c r="E21" s="773"/>
    </row>
    <row r="22" spans="1:5">
      <c r="A22" s="764" t="s">
        <v>970</v>
      </c>
      <c r="B22" s="764"/>
      <c r="C22" s="764"/>
      <c r="D22" s="773" t="s">
        <v>971</v>
      </c>
      <c r="E22" s="773"/>
    </row>
    <row r="23" spans="1:5">
      <c r="A23" s="764" t="s">
        <v>972</v>
      </c>
      <c r="B23" s="764"/>
      <c r="C23" s="764"/>
      <c r="D23" s="773" t="s">
        <v>973</v>
      </c>
      <c r="E23" s="773"/>
    </row>
    <row r="24" spans="1:5">
      <c r="A24" s="764" t="s">
        <v>974</v>
      </c>
      <c r="B24" s="764"/>
      <c r="C24" s="764"/>
      <c r="D24" s="773" t="s">
        <v>975</v>
      </c>
      <c r="E24" s="773"/>
    </row>
    <row r="25" spans="1:5">
      <c r="A25" s="764" t="s">
        <v>976</v>
      </c>
      <c r="B25" s="764"/>
      <c r="C25" s="764"/>
      <c r="D25" s="773" t="s">
        <v>977</v>
      </c>
      <c r="E25" s="773"/>
    </row>
    <row r="26" spans="1:5">
      <c r="A26" s="764" t="s">
        <v>978</v>
      </c>
      <c r="B26" s="764"/>
      <c r="C26" s="764"/>
      <c r="D26" s="773" t="s">
        <v>979</v>
      </c>
      <c r="E26" s="773"/>
    </row>
    <row r="27" spans="1:5">
      <c r="A27" s="764" t="s">
        <v>980</v>
      </c>
      <c r="B27" s="764"/>
      <c r="C27" s="764"/>
      <c r="D27" s="773" t="s">
        <v>981</v>
      </c>
      <c r="E27" s="773"/>
    </row>
    <row r="28" spans="1:5">
      <c r="A28" s="764" t="s">
        <v>982</v>
      </c>
      <c r="B28" s="764"/>
      <c r="C28" s="764"/>
      <c r="D28" s="773" t="s">
        <v>983</v>
      </c>
      <c r="E28" s="773"/>
    </row>
    <row r="29" spans="1:5">
      <c r="A29" s="764" t="s">
        <v>984</v>
      </c>
      <c r="B29" s="764"/>
      <c r="C29" s="764"/>
      <c r="D29" s="773" t="s">
        <v>985</v>
      </c>
      <c r="E29" s="773"/>
    </row>
    <row r="30" spans="1:5">
      <c r="A30" s="19" t="s">
        <v>986</v>
      </c>
      <c r="B30" s="19"/>
      <c r="C30" s="19"/>
      <c r="D30" s="20"/>
      <c r="E30" s="20"/>
    </row>
    <row r="31" spans="1:5" ht="15">
      <c r="A31" s="772" t="s">
        <v>208</v>
      </c>
      <c r="B31" s="772"/>
      <c r="C31" s="772"/>
      <c r="D31" s="772"/>
      <c r="E31" s="772"/>
    </row>
    <row r="32" spans="1:5">
      <c r="A32" s="774" t="s">
        <v>987</v>
      </c>
      <c r="B32" s="774"/>
      <c r="C32" s="774"/>
      <c r="D32" s="773" t="s">
        <v>988</v>
      </c>
      <c r="E32" s="773"/>
    </row>
    <row r="33" spans="1:5">
      <c r="A33" s="764" t="s">
        <v>978</v>
      </c>
      <c r="B33" s="764"/>
      <c r="C33" s="764"/>
      <c r="D33" s="773" t="s">
        <v>989</v>
      </c>
      <c r="E33" s="773"/>
    </row>
    <row r="34" spans="1:5">
      <c r="A34" s="764" t="s">
        <v>980</v>
      </c>
      <c r="B34" s="764"/>
      <c r="C34" s="764"/>
      <c r="D34" s="773" t="s">
        <v>990</v>
      </c>
      <c r="E34" s="773"/>
    </row>
    <row r="35" spans="1:5">
      <c r="A35" s="764" t="s">
        <v>982</v>
      </c>
      <c r="B35" s="764"/>
      <c r="C35" s="764"/>
      <c r="D35" s="773" t="s">
        <v>991</v>
      </c>
      <c r="E35" s="773"/>
    </row>
    <row r="36" spans="1:5">
      <c r="A36" s="764" t="s">
        <v>984</v>
      </c>
      <c r="B36" s="764"/>
      <c r="C36" s="764"/>
      <c r="D36" s="773" t="s">
        <v>992</v>
      </c>
      <c r="E36" s="773"/>
    </row>
    <row r="37" spans="1:5" ht="15">
      <c r="A37" s="772" t="s">
        <v>935</v>
      </c>
      <c r="B37" s="772"/>
      <c r="C37" s="772"/>
      <c r="D37" s="772"/>
      <c r="E37" s="772"/>
    </row>
    <row r="38" spans="1:5">
      <c r="A38" s="764" t="s">
        <v>993</v>
      </c>
      <c r="B38" s="764"/>
      <c r="C38" s="764"/>
      <c r="D38" s="773" t="s">
        <v>994</v>
      </c>
      <c r="E38" s="773"/>
    </row>
    <row r="39" spans="1:5">
      <c r="A39" s="764" t="s">
        <v>995</v>
      </c>
      <c r="B39" s="764"/>
      <c r="C39" s="764"/>
      <c r="D39" s="773" t="s">
        <v>996</v>
      </c>
      <c r="E39" s="773"/>
    </row>
    <row r="40" spans="1:5" ht="15">
      <c r="A40" s="767" t="s">
        <v>936</v>
      </c>
      <c r="B40" s="767"/>
      <c r="C40" s="767"/>
      <c r="D40" s="767"/>
      <c r="E40" s="767"/>
    </row>
    <row r="41" spans="1:5" ht="15">
      <c r="A41" s="764" t="s">
        <v>997</v>
      </c>
      <c r="B41" s="764"/>
      <c r="C41" s="21"/>
      <c r="D41" s="775" t="s">
        <v>965</v>
      </c>
      <c r="E41" s="775"/>
    </row>
    <row r="42" spans="1:5">
      <c r="A42" s="22" t="s">
        <v>998</v>
      </c>
      <c r="B42" s="22"/>
      <c r="C42" s="23">
        <v>0.05</v>
      </c>
      <c r="D42" s="775" t="s">
        <v>999</v>
      </c>
      <c r="E42" s="775"/>
    </row>
    <row r="43" spans="1:5">
      <c r="A43" s="22" t="s">
        <v>1000</v>
      </c>
      <c r="B43" s="22"/>
      <c r="C43" s="23">
        <v>0.1</v>
      </c>
      <c r="D43" s="775" t="s">
        <v>1001</v>
      </c>
      <c r="E43" s="775"/>
    </row>
    <row r="44" spans="1:5">
      <c r="A44" s="22" t="s">
        <v>1002</v>
      </c>
      <c r="B44" s="22"/>
      <c r="C44" s="23">
        <v>0.15</v>
      </c>
      <c r="D44" s="775" t="s">
        <v>1003</v>
      </c>
      <c r="E44" s="775"/>
    </row>
    <row r="45" spans="1:5">
      <c r="A45" s="22" t="s">
        <v>1004</v>
      </c>
      <c r="B45" s="22"/>
      <c r="C45" s="23">
        <v>0.25</v>
      </c>
      <c r="D45" s="775" t="s">
        <v>1005</v>
      </c>
      <c r="E45" s="775"/>
    </row>
    <row r="46" spans="1:5">
      <c r="A46" s="22" t="s">
        <v>1006</v>
      </c>
      <c r="B46" s="22"/>
      <c r="C46" s="23">
        <v>0.3</v>
      </c>
      <c r="D46" s="775" t="s">
        <v>1007</v>
      </c>
      <c r="E46" s="775"/>
    </row>
    <row r="47" spans="1:5" ht="15">
      <c r="A47" s="776" t="s">
        <v>937</v>
      </c>
      <c r="B47" s="776"/>
      <c r="C47" s="776"/>
      <c r="D47" s="776"/>
      <c r="E47" s="776"/>
    </row>
    <row r="48" spans="1:5">
      <c r="A48" s="777" t="s">
        <v>1008</v>
      </c>
      <c r="B48" s="777"/>
      <c r="C48" s="777"/>
      <c r="D48" s="773" t="s">
        <v>1009</v>
      </c>
      <c r="E48" s="773"/>
    </row>
    <row r="49" spans="1:5">
      <c r="A49" s="777" t="s">
        <v>1010</v>
      </c>
      <c r="B49" s="777"/>
      <c r="C49" s="777"/>
      <c r="D49" s="773" t="s">
        <v>1011</v>
      </c>
      <c r="E49" s="773"/>
    </row>
    <row r="50" spans="1:5" ht="15">
      <c r="A50" s="772" t="s">
        <v>636</v>
      </c>
      <c r="B50" s="772"/>
      <c r="C50" s="772"/>
      <c r="D50" s="772"/>
      <c r="E50" s="772"/>
    </row>
    <row r="51" spans="1:5" ht="15">
      <c r="A51" s="771" t="s">
        <v>938</v>
      </c>
      <c r="B51" s="771"/>
      <c r="C51" s="771"/>
      <c r="D51" s="771"/>
      <c r="E51" s="771"/>
    </row>
    <row r="52" spans="1:5">
      <c r="A52" s="764" t="s">
        <v>1012</v>
      </c>
      <c r="B52" s="764"/>
      <c r="C52" s="764"/>
      <c r="D52" s="778" t="s">
        <v>1013</v>
      </c>
      <c r="E52" s="778"/>
    </row>
    <row r="53" spans="1:5">
      <c r="A53" s="764" t="s">
        <v>1014</v>
      </c>
      <c r="B53" s="764"/>
      <c r="C53" s="764"/>
      <c r="D53" s="778" t="s">
        <v>1015</v>
      </c>
      <c r="E53" s="778"/>
    </row>
    <row r="54" spans="1:5">
      <c r="A54" s="779" t="s">
        <v>637</v>
      </c>
      <c r="B54" s="779"/>
      <c r="C54" s="779"/>
      <c r="D54" s="779"/>
      <c r="E54" s="779"/>
    </row>
    <row r="55" spans="1:5" ht="2.25" hidden="1" customHeight="1">
      <c r="A55" s="779"/>
      <c r="B55" s="779"/>
      <c r="C55" s="779"/>
      <c r="D55" s="779"/>
      <c r="E55" s="779"/>
    </row>
    <row r="56" spans="1:5">
      <c r="A56" s="780" t="s">
        <v>1016</v>
      </c>
      <c r="B56" s="780"/>
      <c r="C56" s="780"/>
      <c r="D56" s="781" t="s">
        <v>1017</v>
      </c>
      <c r="E56" s="781"/>
    </row>
    <row r="57" spans="1:5">
      <c r="A57" s="780" t="s">
        <v>1018</v>
      </c>
      <c r="B57" s="780"/>
      <c r="C57" s="780"/>
      <c r="D57" s="781" t="s">
        <v>975</v>
      </c>
      <c r="E57" s="781"/>
    </row>
    <row r="58" spans="1:5">
      <c r="A58" s="780" t="s">
        <v>1019</v>
      </c>
      <c r="B58" s="780"/>
      <c r="C58" s="780"/>
      <c r="D58" s="781" t="s">
        <v>1020</v>
      </c>
      <c r="E58" s="781"/>
    </row>
    <row r="59" spans="1:5">
      <c r="A59" s="780" t="s">
        <v>1021</v>
      </c>
      <c r="B59" s="780"/>
      <c r="C59" s="780"/>
      <c r="D59" s="781" t="s">
        <v>988</v>
      </c>
      <c r="E59" s="781"/>
    </row>
    <row r="60" spans="1:5">
      <c r="A60" s="780" t="s">
        <v>1022</v>
      </c>
      <c r="B60" s="780"/>
      <c r="C60" s="780"/>
      <c r="D60" s="781" t="s">
        <v>1005</v>
      </c>
      <c r="E60" s="781"/>
    </row>
    <row r="61" spans="1:5" ht="13.5" customHeight="1">
      <c r="A61" s="779" t="s">
        <v>939</v>
      </c>
      <c r="B61" s="779"/>
      <c r="C61" s="779"/>
      <c r="D61" s="779"/>
      <c r="E61" s="779"/>
    </row>
    <row r="62" spans="1:5" hidden="1">
      <c r="A62" s="779"/>
      <c r="B62" s="779"/>
      <c r="C62" s="779"/>
      <c r="D62" s="779"/>
      <c r="E62" s="779"/>
    </row>
    <row r="63" spans="1:5">
      <c r="A63" s="764" t="s">
        <v>1023</v>
      </c>
      <c r="B63" s="764"/>
      <c r="C63" s="764"/>
      <c r="D63" s="773" t="s">
        <v>965</v>
      </c>
      <c r="E63" s="773"/>
    </row>
    <row r="64" spans="1:5">
      <c r="A64" s="764" t="s">
        <v>1024</v>
      </c>
      <c r="B64" s="764"/>
      <c r="C64" s="764"/>
      <c r="D64" s="773" t="s">
        <v>963</v>
      </c>
      <c r="E64" s="773"/>
    </row>
    <row r="65" spans="1:5" ht="15">
      <c r="A65" s="772" t="s">
        <v>208</v>
      </c>
      <c r="B65" s="772"/>
      <c r="C65" s="772"/>
      <c r="D65" s="772"/>
      <c r="E65" s="772"/>
    </row>
    <row r="66" spans="1:5">
      <c r="A66" s="6" t="s">
        <v>1025</v>
      </c>
      <c r="B66" s="6"/>
      <c r="C66" s="6"/>
      <c r="D66" s="773" t="s">
        <v>1026</v>
      </c>
      <c r="E66" s="773"/>
    </row>
    <row r="67" spans="1:5">
      <c r="A67" s="782" t="s">
        <v>1083</v>
      </c>
      <c r="B67" s="783"/>
      <c r="C67" s="783"/>
      <c r="D67" s="783"/>
      <c r="E67" s="783"/>
    </row>
    <row r="68" spans="1:5">
      <c r="A68" s="779" t="s">
        <v>940</v>
      </c>
      <c r="B68" s="779"/>
      <c r="C68" s="779"/>
      <c r="D68" s="779"/>
      <c r="E68" s="779"/>
    </row>
    <row r="69" spans="1:5" ht="5.25" hidden="1" customHeight="1">
      <c r="A69" s="779"/>
      <c r="B69" s="779"/>
      <c r="C69" s="779"/>
      <c r="D69" s="779"/>
      <c r="E69" s="779"/>
    </row>
    <row r="70" spans="1:5">
      <c r="A70" s="710" t="s">
        <v>1027</v>
      </c>
      <c r="B70" s="710"/>
      <c r="C70" s="784" t="s">
        <v>1028</v>
      </c>
      <c r="D70" s="784" t="s">
        <v>1029</v>
      </c>
      <c r="E70" s="784" t="s">
        <v>1030</v>
      </c>
    </row>
    <row r="71" spans="1:5">
      <c r="A71" s="710"/>
      <c r="B71" s="710"/>
      <c r="C71" s="784"/>
      <c r="D71" s="784"/>
      <c r="E71" s="784"/>
    </row>
    <row r="72" spans="1:5">
      <c r="A72" s="710" t="s">
        <v>1031</v>
      </c>
      <c r="B72" s="710"/>
      <c r="C72" s="24" t="s">
        <v>1032</v>
      </c>
      <c r="D72" s="24" t="s">
        <v>1033</v>
      </c>
      <c r="E72" s="24" t="s">
        <v>1034</v>
      </c>
    </row>
    <row r="73" spans="1:5">
      <c r="A73" s="765" t="s">
        <v>1035</v>
      </c>
      <c r="B73" s="765"/>
      <c r="C73" s="24" t="s">
        <v>1036</v>
      </c>
      <c r="D73" s="24" t="s">
        <v>1037</v>
      </c>
      <c r="E73" s="24" t="s">
        <v>1038</v>
      </c>
    </row>
    <row r="74" spans="1:5">
      <c r="A74" s="765" t="s">
        <v>1039</v>
      </c>
      <c r="B74" s="765"/>
      <c r="C74" s="24" t="s">
        <v>1040</v>
      </c>
      <c r="D74" s="24" t="s">
        <v>1041</v>
      </c>
      <c r="E74" s="24" t="s">
        <v>1042</v>
      </c>
    </row>
    <row r="75" spans="1:5">
      <c r="A75" s="765" t="s">
        <v>1043</v>
      </c>
      <c r="B75" s="765"/>
      <c r="C75" s="24" t="s">
        <v>1044</v>
      </c>
      <c r="D75" s="24" t="s">
        <v>1045</v>
      </c>
      <c r="E75" s="24" t="s">
        <v>1046</v>
      </c>
    </row>
    <row r="76" spans="1:5">
      <c r="A76" s="765" t="s">
        <v>1047</v>
      </c>
      <c r="B76" s="765"/>
      <c r="C76" s="24" t="s">
        <v>1048</v>
      </c>
      <c r="D76" s="24" t="s">
        <v>1049</v>
      </c>
      <c r="E76" s="24" t="s">
        <v>1050</v>
      </c>
    </row>
    <row r="77" spans="1:5" ht="15">
      <c r="A77" s="776" t="s">
        <v>1051</v>
      </c>
      <c r="B77" s="776"/>
      <c r="C77" s="776"/>
      <c r="D77" s="776"/>
      <c r="E77" s="776"/>
    </row>
    <row r="78" spans="1:5">
      <c r="A78" s="765" t="s">
        <v>1052</v>
      </c>
      <c r="B78" s="765"/>
      <c r="C78" s="765"/>
      <c r="D78" s="765"/>
      <c r="E78" s="765"/>
    </row>
    <row r="79" spans="1:5">
      <c r="A79" s="22" t="s">
        <v>941</v>
      </c>
      <c r="B79" s="22"/>
      <c r="C79" s="22"/>
      <c r="D79" s="778" t="s">
        <v>1053</v>
      </c>
      <c r="E79" s="778"/>
    </row>
    <row r="80" spans="1:5">
      <c r="A80" s="22" t="s">
        <v>1054</v>
      </c>
      <c r="B80" s="22"/>
      <c r="C80" s="22"/>
      <c r="D80" s="778" t="s">
        <v>1055</v>
      </c>
      <c r="E80" s="778"/>
    </row>
    <row r="81" spans="1:5" ht="15">
      <c r="A81" s="772" t="s">
        <v>1056</v>
      </c>
      <c r="B81" s="772"/>
      <c r="C81" s="772"/>
      <c r="D81" s="772"/>
      <c r="E81" s="772"/>
    </row>
    <row r="82" spans="1:5">
      <c r="A82" s="22" t="s">
        <v>942</v>
      </c>
      <c r="B82" s="22"/>
      <c r="C82" s="22"/>
      <c r="D82" s="778" t="s">
        <v>994</v>
      </c>
      <c r="E82" s="778"/>
    </row>
    <row r="83" spans="1:5" ht="15">
      <c r="A83" s="772" t="s">
        <v>943</v>
      </c>
      <c r="B83" s="772"/>
      <c r="C83" s="772"/>
      <c r="D83" s="772"/>
      <c r="E83" s="772"/>
    </row>
    <row r="84" spans="1:5">
      <c r="A84" s="22" t="s">
        <v>942</v>
      </c>
      <c r="B84" s="22"/>
      <c r="C84" s="22"/>
      <c r="D84" s="778" t="s">
        <v>1057</v>
      </c>
      <c r="E84" s="778"/>
    </row>
    <row r="85" spans="1:5">
      <c r="A85" s="779" t="s">
        <v>1101</v>
      </c>
      <c r="B85" s="779"/>
      <c r="C85" s="779"/>
      <c r="D85" s="779"/>
      <c r="E85" s="779"/>
    </row>
    <row r="86" spans="1:5" hidden="1">
      <c r="A86" s="779"/>
      <c r="B86" s="779"/>
      <c r="C86" s="779"/>
      <c r="D86" s="779"/>
      <c r="E86" s="779"/>
    </row>
    <row r="87" spans="1:5" ht="15">
      <c r="A87" s="771" t="s">
        <v>944</v>
      </c>
      <c r="B87" s="771"/>
      <c r="C87" s="771"/>
      <c r="D87" s="771"/>
      <c r="E87" s="771"/>
    </row>
    <row r="88" spans="1:5">
      <c r="A88" s="780" t="s">
        <v>1058</v>
      </c>
      <c r="B88" s="780"/>
      <c r="C88" s="780"/>
      <c r="D88" s="785" t="s">
        <v>1017</v>
      </c>
      <c r="E88" s="786"/>
    </row>
    <row r="89" spans="1:5">
      <c r="A89" s="780" t="s">
        <v>1059</v>
      </c>
      <c r="B89" s="780"/>
      <c r="C89" s="780"/>
      <c r="D89" s="785" t="s">
        <v>1060</v>
      </c>
      <c r="E89" s="785"/>
    </row>
    <row r="90" spans="1:5">
      <c r="A90" s="780" t="s">
        <v>1061</v>
      </c>
      <c r="B90" s="780"/>
      <c r="C90" s="780"/>
      <c r="D90" s="785" t="s">
        <v>1062</v>
      </c>
      <c r="E90" s="785"/>
    </row>
    <row r="91" spans="1:5">
      <c r="A91" s="780" t="s">
        <v>1063</v>
      </c>
      <c r="B91" s="780"/>
      <c r="C91" s="780"/>
      <c r="D91" s="785" t="s">
        <v>1064</v>
      </c>
      <c r="E91" s="785"/>
    </row>
    <row r="92" spans="1:5">
      <c r="A92" s="780" t="s">
        <v>1065</v>
      </c>
      <c r="B92" s="780"/>
      <c r="C92" s="780"/>
      <c r="D92" s="785" t="s">
        <v>989</v>
      </c>
      <c r="E92" s="785"/>
    </row>
    <row r="93" spans="1:5">
      <c r="A93" s="780" t="s">
        <v>1066</v>
      </c>
      <c r="B93" s="780"/>
      <c r="C93" s="780"/>
      <c r="D93" s="785" t="s">
        <v>1067</v>
      </c>
      <c r="E93" s="785"/>
    </row>
    <row r="94" spans="1:5">
      <c r="A94" s="780" t="s">
        <v>1068</v>
      </c>
      <c r="B94" s="780"/>
      <c r="C94" s="780"/>
      <c r="D94" s="785" t="s">
        <v>1069</v>
      </c>
      <c r="E94" s="785"/>
    </row>
    <row r="95" spans="1:5">
      <c r="A95" s="780" t="s">
        <v>1070</v>
      </c>
      <c r="B95" s="780"/>
      <c r="C95" s="780"/>
      <c r="D95" s="785" t="s">
        <v>1071</v>
      </c>
      <c r="E95" s="785"/>
    </row>
    <row r="96" spans="1:5">
      <c r="A96" s="780" t="s">
        <v>1072</v>
      </c>
      <c r="B96" s="780"/>
      <c r="C96" s="780"/>
      <c r="D96" s="785" t="s">
        <v>1073</v>
      </c>
      <c r="E96" s="785"/>
    </row>
    <row r="97" spans="1:5">
      <c r="A97" s="780" t="s">
        <v>1074</v>
      </c>
      <c r="B97" s="780"/>
      <c r="C97" s="780"/>
      <c r="D97" s="785" t="s">
        <v>1011</v>
      </c>
      <c r="E97" s="785"/>
    </row>
    <row r="98" spans="1:5">
      <c r="A98" s="780" t="s">
        <v>1075</v>
      </c>
      <c r="B98" s="780"/>
      <c r="C98" s="780"/>
      <c r="D98" s="785" t="s">
        <v>1060</v>
      </c>
      <c r="E98" s="785"/>
    </row>
    <row r="99" spans="1:5">
      <c r="A99" s="787" t="s">
        <v>1076</v>
      </c>
      <c r="B99" s="787"/>
      <c r="C99" s="787"/>
      <c r="D99" s="787"/>
      <c r="E99" s="787"/>
    </row>
    <row r="100" spans="1:5" ht="15">
      <c r="A100" s="772" t="s">
        <v>945</v>
      </c>
      <c r="B100" s="772"/>
      <c r="C100" s="772"/>
      <c r="D100" s="772"/>
      <c r="E100" s="772"/>
    </row>
    <row r="101" spans="1:5">
      <c r="A101" s="780" t="s">
        <v>1077</v>
      </c>
      <c r="B101" s="780"/>
      <c r="C101" s="780"/>
      <c r="D101" s="778" t="s">
        <v>1078</v>
      </c>
      <c r="E101" s="778"/>
    </row>
    <row r="102" spans="1:5" ht="15">
      <c r="A102" s="772" t="s">
        <v>946</v>
      </c>
      <c r="B102" s="772"/>
      <c r="C102" s="772"/>
      <c r="D102" s="772"/>
      <c r="E102" s="772"/>
    </row>
    <row r="103" spans="1:5">
      <c r="A103" s="764" t="s">
        <v>1079</v>
      </c>
      <c r="B103" s="764"/>
      <c r="C103" s="764"/>
      <c r="D103" s="773" t="s">
        <v>1080</v>
      </c>
      <c r="E103" s="773"/>
    </row>
    <row r="104" spans="1:5" ht="15">
      <c r="A104" s="772" t="s">
        <v>586</v>
      </c>
      <c r="B104" s="772"/>
      <c r="C104" s="772"/>
      <c r="D104" s="772"/>
      <c r="E104" s="772"/>
    </row>
    <row r="105" spans="1:5">
      <c r="A105" s="780" t="s">
        <v>1081</v>
      </c>
      <c r="B105" s="780"/>
      <c r="C105" s="780"/>
      <c r="D105" s="788">
        <v>0.4</v>
      </c>
      <c r="E105" s="788"/>
    </row>
    <row r="106" spans="1:5">
      <c r="A106" s="780" t="s">
        <v>1082</v>
      </c>
      <c r="B106" s="780"/>
      <c r="C106" s="780"/>
      <c r="D106" s="788">
        <v>0.25</v>
      </c>
      <c r="E106" s="788"/>
    </row>
    <row r="107" spans="1:5">
      <c r="A107" s="25"/>
      <c r="B107" s="25"/>
      <c r="C107" s="25"/>
      <c r="D107" s="26"/>
      <c r="E107" s="26"/>
    </row>
  </sheetData>
  <sheetProtection algorithmName="SHA-512" hashValue="zCgqZ65b+SJ3sYre56HhyZ4IeFgss5hhtC41AVWjOUxRcEi3vJgdhsGRoNdOo7W9cnUeiKJOY3a2HwTTOp+lbw==" saltValue="WoEgS7gNGHP6hjePh7rL8A==" spinCount="100000" sheet="1" objects="1" scenarios="1"/>
  <mergeCells count="155">
    <mergeCell ref="A100:E100"/>
    <mergeCell ref="A105:C105"/>
    <mergeCell ref="D105:E105"/>
    <mergeCell ref="A106:C106"/>
    <mergeCell ref="D106:E106"/>
    <mergeCell ref="A101:C101"/>
    <mergeCell ref="D101:E101"/>
    <mergeCell ref="A102:E102"/>
    <mergeCell ref="A103:C103"/>
    <mergeCell ref="D103:E103"/>
    <mergeCell ref="A104:E104"/>
    <mergeCell ref="A95:C95"/>
    <mergeCell ref="D95:E95"/>
    <mergeCell ref="A96:C96"/>
    <mergeCell ref="D96:E96"/>
    <mergeCell ref="A97:C97"/>
    <mergeCell ref="D97:E97"/>
    <mergeCell ref="A98:C98"/>
    <mergeCell ref="D98:E98"/>
    <mergeCell ref="A99:E9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81:E81"/>
    <mergeCell ref="D82:E82"/>
    <mergeCell ref="A83:E83"/>
    <mergeCell ref="D84:E84"/>
    <mergeCell ref="A85:E86"/>
    <mergeCell ref="A87:E87"/>
    <mergeCell ref="A88:C88"/>
    <mergeCell ref="D88:E88"/>
    <mergeCell ref="A89:C89"/>
    <mergeCell ref="D89:E89"/>
    <mergeCell ref="A72:B72"/>
    <mergeCell ref="A73:B73"/>
    <mergeCell ref="A74:B74"/>
    <mergeCell ref="A75:B75"/>
    <mergeCell ref="A76:B76"/>
    <mergeCell ref="A77:E77"/>
    <mergeCell ref="A78:E78"/>
    <mergeCell ref="D79:E79"/>
    <mergeCell ref="D80:E80"/>
    <mergeCell ref="A63:C63"/>
    <mergeCell ref="D63:E63"/>
    <mergeCell ref="A64:C64"/>
    <mergeCell ref="D64:E64"/>
    <mergeCell ref="A65:E65"/>
    <mergeCell ref="D66:E66"/>
    <mergeCell ref="A67:E67"/>
    <mergeCell ref="A68:E69"/>
    <mergeCell ref="A70:B71"/>
    <mergeCell ref="C70:C71"/>
    <mergeCell ref="D70:D71"/>
    <mergeCell ref="E70:E71"/>
    <mergeCell ref="A57:C57"/>
    <mergeCell ref="D57:E57"/>
    <mergeCell ref="A58:C58"/>
    <mergeCell ref="D58:E58"/>
    <mergeCell ref="A59:C59"/>
    <mergeCell ref="D59:E59"/>
    <mergeCell ref="A60:C60"/>
    <mergeCell ref="D60:E60"/>
    <mergeCell ref="A61:E62"/>
    <mergeCell ref="A50:E50"/>
    <mergeCell ref="A51:E51"/>
    <mergeCell ref="A52:C52"/>
    <mergeCell ref="D52:E52"/>
    <mergeCell ref="A53:C53"/>
    <mergeCell ref="D53:E53"/>
    <mergeCell ref="A54:E55"/>
    <mergeCell ref="A56:C56"/>
    <mergeCell ref="D56:E56"/>
    <mergeCell ref="D43:E43"/>
    <mergeCell ref="D44:E44"/>
    <mergeCell ref="D45:E45"/>
    <mergeCell ref="D46:E46"/>
    <mergeCell ref="A47:E47"/>
    <mergeCell ref="A48:C48"/>
    <mergeCell ref="D48:E48"/>
    <mergeCell ref="A49:C49"/>
    <mergeCell ref="D49:E49"/>
    <mergeCell ref="A37:E37"/>
    <mergeCell ref="A38:C38"/>
    <mergeCell ref="D38:E38"/>
    <mergeCell ref="A39:C39"/>
    <mergeCell ref="D39:E39"/>
    <mergeCell ref="A40:E40"/>
    <mergeCell ref="A41:B41"/>
    <mergeCell ref="D41:E41"/>
    <mergeCell ref="D42:E42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26:C26"/>
    <mergeCell ref="D26:E26"/>
    <mergeCell ref="A27:C27"/>
    <mergeCell ref="D27:E27"/>
    <mergeCell ref="A28:C28"/>
    <mergeCell ref="D28:E28"/>
    <mergeCell ref="A29:C29"/>
    <mergeCell ref="D29:E29"/>
    <mergeCell ref="A31:E31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D14:E14"/>
    <mergeCell ref="A15:E15"/>
    <mergeCell ref="A16:E16"/>
    <mergeCell ref="A17:E17"/>
    <mergeCell ref="A18:C18"/>
    <mergeCell ref="D18:E18"/>
    <mergeCell ref="A19:C19"/>
    <mergeCell ref="D19:E19"/>
    <mergeCell ref="A20:C20"/>
    <mergeCell ref="D20:E20"/>
    <mergeCell ref="D12:E12"/>
    <mergeCell ref="D13:E13"/>
    <mergeCell ref="A6:C6"/>
    <mergeCell ref="D6:E6"/>
    <mergeCell ref="A7:C7"/>
    <mergeCell ref="D7:E7"/>
    <mergeCell ref="A8:C8"/>
    <mergeCell ref="D8:E8"/>
    <mergeCell ref="A9:C9"/>
    <mergeCell ref="D9:E9"/>
    <mergeCell ref="A1:E1"/>
    <mergeCell ref="A2:E2"/>
    <mergeCell ref="A3:E3"/>
    <mergeCell ref="A4:C4"/>
    <mergeCell ref="D4:E4"/>
    <mergeCell ref="A5:C5"/>
    <mergeCell ref="D5:E5"/>
    <mergeCell ref="A10:E10"/>
    <mergeCell ref="D11:E11"/>
  </mergeCells>
  <pageMargins left="0.7" right="0.7" top="0.75" bottom="0.75" header="0.3" footer="0.3"/>
  <pageSetup orientation="portrait" horizontalDpi="300" verticalDpi="300" r:id="rId1"/>
  <customProperties>
    <customPr name="DVSECTION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1</vt:i4>
      </vt:variant>
    </vt:vector>
  </HeadingPairs>
  <TitlesOfParts>
    <vt:vector size="40" baseType="lpstr">
      <vt:lpstr> SPR BUENAVENTURA</vt:lpstr>
      <vt:lpstr>SPR BARRANQUILLA</vt:lpstr>
      <vt:lpstr>PENSOPORT</vt:lpstr>
      <vt:lpstr>SP TMSYP</vt:lpstr>
      <vt:lpstr>SP PORTMAGDALENA</vt:lpstr>
      <vt:lpstr>PALERMO SP</vt:lpstr>
      <vt:lpstr>OCENSA</vt:lpstr>
      <vt:lpstr>COMPAS BUENAVENTURA</vt:lpstr>
      <vt:lpstr>GRUPO PORT.</vt:lpstr>
      <vt:lpstr>ALGRANEL</vt:lpstr>
      <vt:lpstr>COMPAS TOLU</vt:lpstr>
      <vt:lpstr>BUENAVISTA</vt:lpstr>
      <vt:lpstr>SP DEL DIQUE</vt:lpstr>
      <vt:lpstr>RIO GRANDE</vt:lpstr>
      <vt:lpstr>SIDUPORT</vt:lpstr>
      <vt:lpstr>AQUAMAR</vt:lpstr>
      <vt:lpstr>OILTANKING</vt:lpstr>
      <vt:lpstr>SP CENTRAL CART</vt:lpstr>
      <vt:lpstr>OLEOFINAS Y DERIVADOS</vt:lpstr>
      <vt:lpstr> SPR TUMACO</vt:lpstr>
      <vt:lpstr> SPR CARTAGENA</vt:lpstr>
      <vt:lpstr> CONTECAR</vt:lpstr>
      <vt:lpstr>TCBUEN</vt:lpstr>
      <vt:lpstr>BITCO</vt:lpstr>
      <vt:lpstr>COMPAS BQLLA</vt:lpstr>
      <vt:lpstr>MICHELLMAR</vt:lpstr>
      <vt:lpstr>COMPAS CARTAGENA</vt:lpstr>
      <vt:lpstr>SP RIVERPORT</vt:lpstr>
      <vt:lpstr>PUERTO BRISA</vt:lpstr>
      <vt:lpstr>SP SAPS</vt:lpstr>
      <vt:lpstr>PUERTO DE MAMONAL</vt:lpstr>
      <vt:lpstr>PUERTO BAHIA</vt:lpstr>
      <vt:lpstr>PUERTO NUEVO</vt:lpstr>
      <vt:lpstr> SPR SANTA MARTA</vt:lpstr>
      <vt:lpstr>SPR MAGANGUÉ</vt:lpstr>
      <vt:lpstr>SP DEXTON</vt:lpstr>
      <vt:lpstr>SP AGUADULCE</vt:lpstr>
      <vt:lpstr>VOPAK</vt:lpstr>
      <vt:lpstr>CAYAO</vt:lpstr>
      <vt:lpstr>'SPR BARRANQUILLA'!Títulos_a_imprimir</vt:lpstr>
    </vt:vector>
  </TitlesOfParts>
  <Company>SUPERTRANSPORTE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Néstor Ríos</dc:creator>
  <cp:lastModifiedBy>Nestor Ivan Rios Ramirez</cp:lastModifiedBy>
  <cp:lastPrinted>2013-10-03T15:38:57Z</cp:lastPrinted>
  <dcterms:created xsi:type="dcterms:W3CDTF">2002-04-11T19:33:20Z</dcterms:created>
  <dcterms:modified xsi:type="dcterms:W3CDTF">2017-10-26T13:48:39Z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DocumentId">
    <vt:lpwstr>17RRdK6GALJtnnzLfj4tQEqhznNdfKw6ueWNIFRkuqxc</vt:lpwstr>
  </property>
  <property fmtid="{D5CDD505-2E9C-101B-9397-08002B2CF9AE}" pid="3" name="Google.Documents.RevisionId">
    <vt:lpwstr>08382176422886298644</vt:lpwstr>
  </property>
  <property fmtid="{D5CDD505-2E9C-101B-9397-08002B2CF9AE}" pid="4" name="Google.Documents.PluginVersion">
    <vt:lpwstr>2.0.2662.553</vt:lpwstr>
  </property>
  <property fmtid="{D5CDD505-2E9C-101B-9397-08002B2CF9AE}" pid="5" name="Google.Documents.MergeIncapabilityFlags">
    <vt:i4>0</vt:i4>
  </property>
  <property fmtid="{D5CDD505-2E9C-101B-9397-08002B2CF9AE}" pid="6" name="Google.Documents.Tracking">
    <vt:lpwstr>true</vt:lpwstr>
  </property>
</Properties>
</file>